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e Hideaki\Desktop\AI\"/>
    </mc:Choice>
  </mc:AlternateContent>
  <xr:revisionPtr revIDLastSave="0" documentId="8_{6E23FB3F-4050-45F0-B678-AFECC33F882C}" xr6:coauthVersionLast="47" xr6:coauthVersionMax="47" xr10:uidLastSave="{00000000-0000-0000-0000-000000000000}"/>
  <bookViews>
    <workbookView xWindow="-120" yWindow="480" windowWidth="57840" windowHeight="31320" tabRatio="799" activeTab="6" xr2:uid="{00000000-000D-0000-FFFF-FFFF00000000}"/>
  </bookViews>
  <sheets>
    <sheet name="銘柄管理" sheetId="2" r:id="rId1"/>
    <sheet name="買　抽出" sheetId="3" r:id="rId2"/>
    <sheet name="ダッシュボード" sheetId="12" r:id="rId3"/>
    <sheet name="分析" sheetId="4" r:id="rId4"/>
    <sheet name="売分析" sheetId="24" r:id="rId5"/>
    <sheet name="売ダッシュボード" sheetId="25" r:id="rId6"/>
    <sheet name="売抽出" sheetId="26" r:id="rId7"/>
    <sheet name="始値" sheetId="5" r:id="rId8"/>
    <sheet name="高値" sheetId="6" r:id="rId9"/>
    <sheet name="安値" sheetId="7" r:id="rId10"/>
    <sheet name="終値" sheetId="8" r:id="rId11"/>
    <sheet name="出来高" sheetId="9" r:id="rId12"/>
    <sheet name="データ取込" sheetId="10" r:id="rId13"/>
    <sheet name="自動注文決済" sheetId="21" r:id="rId14"/>
    <sheet name="取扱説明書" sheetId="22" r:id="rId15"/>
    <sheet name="管理" sheetId="19" r:id="rId16"/>
    <sheet name="海外指標" sheetId="27" r:id="rId17"/>
    <sheet name="Sheet1" sheetId="23" state="hidden" r:id="rId18"/>
  </sheets>
  <functionGroups builtInGroupCount="19"/>
  <definedNames>
    <definedName name="_xlnm._FilterDatabase" localSheetId="2" hidden="1">ダッシュボード!$A$2:$Z$502</definedName>
    <definedName name="_xlnm._FilterDatabase" localSheetId="3" hidden="1">分析!$A$2:$AA$204</definedName>
    <definedName name="B93b204">銘柄管理!$B$93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6" l="1"/>
  <c r="A8" i="26"/>
  <c r="A7" i="26"/>
  <c r="A6" i="26"/>
  <c r="A12" i="26"/>
  <c r="A11" i="26"/>
  <c r="A9" i="26"/>
  <c r="A5" i="26"/>
  <c r="A10" i="26"/>
  <c r="A4" i="3"/>
  <c r="A11" i="3"/>
  <c r="A5" i="3"/>
  <c r="A6" i="3"/>
  <c r="A10" i="3"/>
  <c r="A9" i="3"/>
  <c r="A8" i="3"/>
  <c r="A7" i="3"/>
  <c r="A3" i="10" l="1"/>
  <c r="F2" i="21"/>
  <c r="I4" i="27" a="1"/>
  <c r="I4" i="27" l="1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4" i="19"/>
  <c r="D10" i="19" a="1"/>
  <c r="D19" i="19" a="1"/>
  <c r="J6" i="19" a="1"/>
  <c r="D6" i="19" a="1"/>
  <c r="I6" i="19" a="1"/>
  <c r="D26" i="19" a="1"/>
  <c r="H4" i="19" a="1"/>
  <c r="H5" i="19" a="1"/>
  <c r="D18" i="19" a="1"/>
  <c r="D21" i="19" a="1"/>
  <c r="D14" i="19" a="1"/>
  <c r="D4" i="19" a="1"/>
  <c r="J5" i="19" a="1"/>
  <c r="D16" i="19" a="1"/>
  <c r="D25" i="19" a="1"/>
  <c r="D20" i="19" a="1"/>
  <c r="D17" i="19" a="1"/>
  <c r="D9" i="19" a="1"/>
  <c r="D11" i="19" a="1"/>
  <c r="D12" i="19" a="1"/>
  <c r="J4" i="19" a="1"/>
  <c r="D24" i="19" a="1"/>
  <c r="D5" i="19" a="1"/>
  <c r="D13" i="19" a="1"/>
  <c r="D23" i="19" a="1"/>
  <c r="I5" i="19" a="1"/>
  <c r="I4" i="19" a="1"/>
  <c r="D7" i="19" a="1"/>
  <c r="H6" i="19" a="1"/>
  <c r="D15" i="19" a="1"/>
  <c r="D8" i="19" a="1"/>
  <c r="D22" i="19" a="1"/>
  <c r="J6" i="19" l="1"/>
  <c r="J5" i="19"/>
  <c r="J4" i="19"/>
  <c r="I6" i="19"/>
  <c r="I5" i="19"/>
  <c r="I4" i="19"/>
  <c r="H4" i="19"/>
  <c r="H6" i="19"/>
  <c r="H5" i="19"/>
  <c r="D19" i="19"/>
  <c r="D11" i="19"/>
  <c r="D17" i="19"/>
  <c r="D8" i="19"/>
  <c r="D15" i="19"/>
  <c r="D20" i="19"/>
  <c r="D18" i="19"/>
  <c r="D24" i="19"/>
  <c r="D7" i="19"/>
  <c r="D26" i="19"/>
  <c r="D25" i="19"/>
  <c r="D16" i="19"/>
  <c r="D6" i="19"/>
  <c r="D12" i="19"/>
  <c r="D9" i="19"/>
  <c r="D14" i="19"/>
  <c r="D10" i="19"/>
  <c r="D23" i="19"/>
  <c r="D22" i="19"/>
  <c r="D21" i="19"/>
  <c r="D13" i="19"/>
  <c r="D5" i="19"/>
  <c r="D4" i="19"/>
  <c r="W5" i="19" l="1"/>
  <c r="C302" i="7"/>
  <c r="B3" i="27" a="1"/>
  <c r="C302" i="6"/>
  <c r="C302" i="8"/>
  <c r="C3" i="27" a="1"/>
  <c r="C302" i="5"/>
  <c r="C302" i="2"/>
  <c r="C302" i="9"/>
  <c r="I3" i="27" a="1"/>
  <c r="I3" i="27" l="1"/>
  <c r="C3" i="27"/>
  <c r="B3" i="27"/>
  <c r="B302" i="9"/>
  <c r="B302" i="7"/>
  <c r="B302" i="6"/>
  <c r="B302" i="5"/>
  <c r="B302" i="8"/>
  <c r="AC202" i="4"/>
  <c r="AB202" i="4"/>
  <c r="AC201" i="4"/>
  <c r="AB201" i="4"/>
  <c r="AC200" i="4"/>
  <c r="AB200" i="4"/>
  <c r="AC199" i="4"/>
  <c r="AB199" i="4"/>
  <c r="AC198" i="4"/>
  <c r="AB198" i="4"/>
  <c r="AC197" i="4"/>
  <c r="AB197" i="4"/>
  <c r="AC196" i="4"/>
  <c r="AB196" i="4"/>
  <c r="AC195" i="4"/>
  <c r="AB195" i="4"/>
  <c r="AC194" i="4"/>
  <c r="AB194" i="4"/>
  <c r="AC193" i="4"/>
  <c r="AB193" i="4"/>
  <c r="AC192" i="4"/>
  <c r="AB192" i="4"/>
  <c r="AC191" i="4"/>
  <c r="AB191" i="4"/>
  <c r="AC190" i="4"/>
  <c r="AB190" i="4"/>
  <c r="AC189" i="4"/>
  <c r="AB189" i="4"/>
  <c r="AC188" i="4"/>
  <c r="AB188" i="4"/>
  <c r="AC187" i="4"/>
  <c r="AB187" i="4"/>
  <c r="AC186" i="4"/>
  <c r="AB186" i="4"/>
  <c r="AC185" i="4"/>
  <c r="AB185" i="4"/>
  <c r="AC184" i="4"/>
  <c r="AB184" i="4"/>
  <c r="AC183" i="4"/>
  <c r="AB183" i="4"/>
  <c r="AC182" i="4"/>
  <c r="AB182" i="4"/>
  <c r="AC181" i="4"/>
  <c r="AB181" i="4"/>
  <c r="AC180" i="4"/>
  <c r="AB180" i="4"/>
  <c r="AC179" i="4"/>
  <c r="AB179" i="4"/>
  <c r="AC178" i="4"/>
  <c r="AB178" i="4"/>
  <c r="AC177" i="4"/>
  <c r="AB177" i="4"/>
  <c r="AC176" i="4"/>
  <c r="AB176" i="4"/>
  <c r="AC175" i="4"/>
  <c r="AB175" i="4"/>
  <c r="AC174" i="4"/>
  <c r="AB174" i="4"/>
  <c r="AC173" i="4"/>
  <c r="AB173" i="4"/>
  <c r="AC172" i="4"/>
  <c r="AB172" i="4"/>
  <c r="AC171" i="4"/>
  <c r="AB171" i="4"/>
  <c r="AC170" i="4"/>
  <c r="AB170" i="4"/>
  <c r="AC169" i="4"/>
  <c r="AB169" i="4"/>
  <c r="AC168" i="4"/>
  <c r="AB168" i="4"/>
  <c r="AC167" i="4"/>
  <c r="AB167" i="4"/>
  <c r="AC166" i="4"/>
  <c r="AB166" i="4"/>
  <c r="AC165" i="4"/>
  <c r="AB165" i="4"/>
  <c r="AC164" i="4"/>
  <c r="AB164" i="4"/>
  <c r="AC163" i="4"/>
  <c r="AB163" i="4"/>
  <c r="AC162" i="4"/>
  <c r="AB162" i="4"/>
  <c r="AC161" i="4"/>
  <c r="AB161" i="4"/>
  <c r="AC160" i="4"/>
  <c r="AB160" i="4"/>
  <c r="AC159" i="4"/>
  <c r="AB159" i="4"/>
  <c r="AC158" i="4"/>
  <c r="AB158" i="4"/>
  <c r="AC157" i="4"/>
  <c r="AB157" i="4"/>
  <c r="AC156" i="4"/>
  <c r="AB156" i="4"/>
  <c r="AC155" i="4"/>
  <c r="AB155" i="4"/>
  <c r="AC154" i="4"/>
  <c r="AB154" i="4"/>
  <c r="AC153" i="4"/>
  <c r="AB153" i="4"/>
  <c r="AC152" i="4"/>
  <c r="AB152" i="4"/>
  <c r="AC151" i="4"/>
  <c r="AB151" i="4"/>
  <c r="AC150" i="4"/>
  <c r="AB150" i="4"/>
  <c r="AC149" i="4"/>
  <c r="AB149" i="4"/>
  <c r="AC148" i="4"/>
  <c r="AB148" i="4"/>
  <c r="AC147" i="4"/>
  <c r="AB147" i="4"/>
  <c r="AC146" i="4"/>
  <c r="AB146" i="4"/>
  <c r="AC145" i="4"/>
  <c r="AB145" i="4"/>
  <c r="AC144" i="4"/>
  <c r="AB144" i="4"/>
  <c r="AC143" i="4"/>
  <c r="AB143" i="4"/>
  <c r="AC142" i="4"/>
  <c r="AB142" i="4"/>
  <c r="AC141" i="4"/>
  <c r="AB141" i="4"/>
  <c r="AC140" i="4"/>
  <c r="AB140" i="4"/>
  <c r="AC139" i="4"/>
  <c r="AB139" i="4"/>
  <c r="AC138" i="4"/>
  <c r="AB138" i="4"/>
  <c r="AC137" i="4"/>
  <c r="AB137" i="4"/>
  <c r="AC136" i="4"/>
  <c r="AB136" i="4"/>
  <c r="AC135" i="4"/>
  <c r="AB135" i="4"/>
  <c r="AC134" i="4"/>
  <c r="AB134" i="4"/>
  <c r="AC133" i="4"/>
  <c r="AB133" i="4"/>
  <c r="AC132" i="4"/>
  <c r="AB132" i="4"/>
  <c r="AC131" i="4"/>
  <c r="AB131" i="4"/>
  <c r="AC130" i="4"/>
  <c r="AB130" i="4"/>
  <c r="AC129" i="4"/>
  <c r="AB129" i="4"/>
  <c r="AC128" i="4"/>
  <c r="AB128" i="4"/>
  <c r="AC127" i="4"/>
  <c r="AB127" i="4"/>
  <c r="AC126" i="4"/>
  <c r="AB126" i="4"/>
  <c r="AC125" i="4"/>
  <c r="AB125" i="4"/>
  <c r="AC124" i="4"/>
  <c r="AB124" i="4"/>
  <c r="AC123" i="4"/>
  <c r="AB123" i="4"/>
  <c r="AC122" i="4"/>
  <c r="AB122" i="4"/>
  <c r="AC121" i="4"/>
  <c r="AB121" i="4"/>
  <c r="AC120" i="4"/>
  <c r="AB120" i="4"/>
  <c r="AC119" i="4"/>
  <c r="AB119" i="4"/>
  <c r="AC118" i="4"/>
  <c r="AB118" i="4"/>
  <c r="AC117" i="4"/>
  <c r="AB117" i="4"/>
  <c r="AC116" i="4"/>
  <c r="AB116" i="4"/>
  <c r="AC115" i="4"/>
  <c r="AB115" i="4"/>
  <c r="AC114" i="4"/>
  <c r="AB114" i="4"/>
  <c r="AC113" i="4"/>
  <c r="AB113" i="4"/>
  <c r="AC112" i="4"/>
  <c r="AB112" i="4"/>
  <c r="AC111" i="4"/>
  <c r="AB111" i="4"/>
  <c r="AC110" i="4"/>
  <c r="AB110" i="4"/>
  <c r="AC109" i="4"/>
  <c r="AB109" i="4"/>
  <c r="AC108" i="4"/>
  <c r="AB108" i="4"/>
  <c r="AC107" i="4"/>
  <c r="AB107" i="4"/>
  <c r="AC106" i="4"/>
  <c r="AB106" i="4"/>
  <c r="AC105" i="4"/>
  <c r="AB105" i="4"/>
  <c r="AC104" i="4"/>
  <c r="AB104" i="4"/>
  <c r="AC103" i="4"/>
  <c r="AB103" i="4"/>
  <c r="AC102" i="4"/>
  <c r="AB102" i="4"/>
  <c r="AC101" i="4"/>
  <c r="AB101" i="4"/>
  <c r="AC100" i="4"/>
  <c r="AB100" i="4"/>
  <c r="AC99" i="4"/>
  <c r="AB99" i="4"/>
  <c r="AC98" i="4"/>
  <c r="AB98" i="4"/>
  <c r="AC97" i="4"/>
  <c r="AB97" i="4"/>
  <c r="AC96" i="4"/>
  <c r="AB96" i="4"/>
  <c r="AC95" i="4"/>
  <c r="AB95" i="4"/>
  <c r="AC94" i="4"/>
  <c r="AB94" i="4"/>
  <c r="AC93" i="4"/>
  <c r="AB93" i="4"/>
  <c r="AC92" i="4"/>
  <c r="AB92" i="4"/>
  <c r="AC91" i="4"/>
  <c r="AB91" i="4"/>
  <c r="AC90" i="4"/>
  <c r="AB90" i="4"/>
  <c r="AC89" i="4"/>
  <c r="AB89" i="4"/>
  <c r="AC88" i="4"/>
  <c r="AB88" i="4"/>
  <c r="AC87" i="4"/>
  <c r="AB87" i="4"/>
  <c r="AC86" i="4"/>
  <c r="AB86" i="4"/>
  <c r="AC85" i="4"/>
  <c r="AB85" i="4"/>
  <c r="AC84" i="4"/>
  <c r="AB84" i="4"/>
  <c r="AC83" i="4"/>
  <c r="AB83" i="4"/>
  <c r="AC82" i="4"/>
  <c r="AB82" i="4"/>
  <c r="AC81" i="4"/>
  <c r="AB81" i="4"/>
  <c r="AC80" i="4"/>
  <c r="AB80" i="4"/>
  <c r="AC79" i="4"/>
  <c r="AB79" i="4"/>
  <c r="AC78" i="4"/>
  <c r="AB78" i="4"/>
  <c r="AC77" i="4"/>
  <c r="AB77" i="4"/>
  <c r="AC76" i="4"/>
  <c r="AB76" i="4"/>
  <c r="AC75" i="4"/>
  <c r="AB75" i="4"/>
  <c r="AC74" i="4"/>
  <c r="AB74" i="4"/>
  <c r="AC73" i="4"/>
  <c r="AB73" i="4"/>
  <c r="AC72" i="4"/>
  <c r="AB72" i="4"/>
  <c r="AC71" i="4"/>
  <c r="AB71" i="4"/>
  <c r="AC70" i="4"/>
  <c r="AB70" i="4"/>
  <c r="AC69" i="4"/>
  <c r="AB69" i="4"/>
  <c r="AC68" i="4"/>
  <c r="AB68" i="4"/>
  <c r="AC67" i="4"/>
  <c r="AB67" i="4"/>
  <c r="AC66" i="4"/>
  <c r="AB66" i="4"/>
  <c r="AC65" i="4"/>
  <c r="AB65" i="4"/>
  <c r="AC64" i="4"/>
  <c r="AB64" i="4"/>
  <c r="AC63" i="4"/>
  <c r="AB63" i="4"/>
  <c r="AC62" i="4"/>
  <c r="AB62" i="4"/>
  <c r="AC61" i="4"/>
  <c r="AB61" i="4"/>
  <c r="AC60" i="4"/>
  <c r="AB60" i="4"/>
  <c r="AC59" i="4"/>
  <c r="AB59" i="4"/>
  <c r="AC58" i="4"/>
  <c r="AB58" i="4"/>
  <c r="AC57" i="4"/>
  <c r="AB57" i="4"/>
  <c r="AC56" i="4"/>
  <c r="AB56" i="4"/>
  <c r="AC55" i="4"/>
  <c r="AB55" i="4"/>
  <c r="AC54" i="4"/>
  <c r="AB54" i="4"/>
  <c r="AC53" i="4"/>
  <c r="AB53" i="4"/>
  <c r="AC52" i="4"/>
  <c r="AB52" i="4"/>
  <c r="AC51" i="4"/>
  <c r="AB51" i="4"/>
  <c r="AC50" i="4"/>
  <c r="AB50" i="4"/>
  <c r="AC49" i="4"/>
  <c r="AB49" i="4"/>
  <c r="AC48" i="4"/>
  <c r="AB48" i="4"/>
  <c r="AC47" i="4"/>
  <c r="AB47" i="4"/>
  <c r="AC46" i="4"/>
  <c r="AB46" i="4"/>
  <c r="AC45" i="4"/>
  <c r="AB45" i="4"/>
  <c r="AC44" i="4"/>
  <c r="AB44" i="4"/>
  <c r="AC43" i="4"/>
  <c r="AB43" i="4"/>
  <c r="AC42" i="4"/>
  <c r="AB42" i="4"/>
  <c r="AC41" i="4"/>
  <c r="AB41" i="4"/>
  <c r="AC40" i="4"/>
  <c r="AB40" i="4"/>
  <c r="AC39" i="4"/>
  <c r="AB39" i="4"/>
  <c r="AC38" i="4"/>
  <c r="AB38" i="4"/>
  <c r="AC37" i="4"/>
  <c r="AB37" i="4"/>
  <c r="AC36" i="4"/>
  <c r="AB36" i="4"/>
  <c r="AC35" i="4"/>
  <c r="AB35" i="4"/>
  <c r="AC34" i="4"/>
  <c r="AB34" i="4"/>
  <c r="AC33" i="4"/>
  <c r="AB33" i="4"/>
  <c r="AC32" i="4"/>
  <c r="AB32" i="4"/>
  <c r="AC31" i="4"/>
  <c r="AB31" i="4"/>
  <c r="AC30" i="4"/>
  <c r="AB30" i="4"/>
  <c r="AC29" i="4"/>
  <c r="AB29" i="4"/>
  <c r="AC28" i="4"/>
  <c r="AB28" i="4"/>
  <c r="AC27" i="4"/>
  <c r="AB27" i="4"/>
  <c r="AC26" i="4"/>
  <c r="AB26" i="4"/>
  <c r="AC25" i="4"/>
  <c r="AB25" i="4"/>
  <c r="AC24" i="4"/>
  <c r="AB24" i="4"/>
  <c r="AC23" i="4"/>
  <c r="AB23" i="4"/>
  <c r="AC22" i="4"/>
  <c r="AB22" i="4"/>
  <c r="AC21" i="4"/>
  <c r="AB21" i="4"/>
  <c r="AC20" i="4"/>
  <c r="AB20" i="4"/>
  <c r="AC19" i="4"/>
  <c r="AB19" i="4"/>
  <c r="AC18" i="4"/>
  <c r="AB18" i="4"/>
  <c r="AC17" i="4"/>
  <c r="AB17" i="4"/>
  <c r="AC16" i="4"/>
  <c r="AB16" i="4"/>
  <c r="AC15" i="4"/>
  <c r="AB15" i="4"/>
  <c r="AC14" i="4"/>
  <c r="AB14" i="4"/>
  <c r="AC13" i="4"/>
  <c r="AB13" i="4"/>
  <c r="AC12" i="4"/>
  <c r="AB12" i="4"/>
  <c r="AC11" i="4"/>
  <c r="AB11" i="4"/>
  <c r="AC10" i="4"/>
  <c r="AB10" i="4"/>
  <c r="AC9" i="4"/>
  <c r="AB9" i="4"/>
  <c r="AC8" i="4"/>
  <c r="AB8" i="4"/>
  <c r="AC7" i="4"/>
  <c r="AB7" i="4"/>
  <c r="AC6" i="4"/>
  <c r="AB6" i="4"/>
  <c r="AC5" i="4"/>
  <c r="AB5" i="4"/>
  <c r="AC4" i="4"/>
  <c r="AB4" i="4"/>
  <c r="AC3" i="4"/>
  <c r="AB3" i="4"/>
  <c r="E63" i="4"/>
  <c r="AE63" i="4" l="1"/>
  <c r="AD63" i="4"/>
  <c r="Q4" i="19" a="1"/>
  <c r="Q4" i="19" s="1"/>
  <c r="Q5" i="19" a="1"/>
  <c r="Q5" i="19" s="1"/>
  <c r="Q6" i="19" a="1"/>
  <c r="Q6" i="19" s="1"/>
  <c r="Q7" i="19" a="1"/>
  <c r="Q7" i="19" s="1"/>
  <c r="Q8" i="19" a="1"/>
  <c r="Q8" i="19" s="1"/>
  <c r="Q9" i="19" a="1"/>
  <c r="Q9" i="19" s="1"/>
  <c r="Q10" i="19" a="1"/>
  <c r="Q10" i="19" s="1"/>
  <c r="Q11" i="19" a="1"/>
  <c r="Q11" i="19" s="1"/>
  <c r="Q12" i="19" a="1"/>
  <c r="Q12" i="19" s="1"/>
  <c r="Q13" i="19" a="1"/>
  <c r="Q13" i="19" s="1"/>
  <c r="Q14" i="19" a="1"/>
  <c r="Q14" i="19" s="1"/>
  <c r="Q15" i="19" a="1"/>
  <c r="Q15" i="19" s="1"/>
  <c r="Q16" i="19" a="1"/>
  <c r="Q16" i="19" s="1"/>
  <c r="Q17" i="19" a="1"/>
  <c r="Q17" i="19" s="1"/>
  <c r="Q18" i="19" a="1"/>
  <c r="Q18" i="19" s="1"/>
  <c r="Q19" i="19" a="1"/>
  <c r="Q19" i="19" s="1"/>
  <c r="Q20" i="19" a="1"/>
  <c r="Q20" i="19" s="1"/>
  <c r="Q21" i="19" a="1"/>
  <c r="Q21" i="19" s="1"/>
  <c r="Q22" i="19" a="1"/>
  <c r="Q22" i="19" s="1"/>
  <c r="Q23" i="19" a="1"/>
  <c r="Q23" i="19" s="1"/>
  <c r="Q24" i="19" a="1"/>
  <c r="Q24" i="19" s="1"/>
  <c r="Q25" i="19" a="1"/>
  <c r="Q25" i="19" s="1"/>
  <c r="Q26" i="19" a="1"/>
  <c r="Q26" i="19" s="1"/>
  <c r="Q27" i="19" a="1"/>
  <c r="Q27" i="19" s="1"/>
  <c r="Q28" i="19" a="1"/>
  <c r="Q28" i="19" s="1"/>
  <c r="Q29" i="19" a="1"/>
  <c r="Q29" i="19" s="1"/>
  <c r="Q30" i="19" a="1"/>
  <c r="Q30" i="19" s="1"/>
  <c r="Q31" i="19" a="1"/>
  <c r="Q31" i="19" s="1"/>
  <c r="Q32" i="19" a="1"/>
  <c r="Q32" i="19" s="1"/>
  <c r="Q33" i="19" a="1"/>
  <c r="Q33" i="19" s="1"/>
  <c r="Q34" i="19" a="1"/>
  <c r="Q34" i="19" s="1"/>
  <c r="Q35" i="19" a="1"/>
  <c r="Q35" i="19" s="1"/>
  <c r="Q36" i="19" a="1"/>
  <c r="Q36" i="19" s="1"/>
  <c r="Q37" i="19" a="1"/>
  <c r="Q37" i="19" s="1"/>
  <c r="Q38" i="19" a="1"/>
  <c r="Q38" i="19" s="1"/>
  <c r="Q39" i="19" a="1"/>
  <c r="Q39" i="19" s="1"/>
  <c r="Q40" i="19" a="1"/>
  <c r="Q40" i="19" s="1"/>
  <c r="Q41" i="19" a="1"/>
  <c r="Q41" i="19" s="1"/>
  <c r="Q42" i="19" a="1"/>
  <c r="Q42" i="19" s="1"/>
  <c r="Q43" i="19" a="1"/>
  <c r="Q43" i="19" s="1"/>
  <c r="Q44" i="19" a="1"/>
  <c r="Q44" i="19" s="1"/>
  <c r="Q45" i="19" a="1"/>
  <c r="Q45" i="19" s="1"/>
  <c r="Q46" i="19" a="1"/>
  <c r="Q46" i="19" s="1"/>
  <c r="Q47" i="19" a="1"/>
  <c r="Q47" i="19" s="1"/>
  <c r="Q48" i="19" a="1"/>
  <c r="Q48" i="19" s="1"/>
  <c r="Q49" i="19" a="1"/>
  <c r="Q49" i="19" s="1"/>
  <c r="Q50" i="19" a="1"/>
  <c r="Q50" i="19" s="1"/>
  <c r="Q51" i="19" a="1"/>
  <c r="Q51" i="19" s="1"/>
  <c r="Q52" i="19" a="1"/>
  <c r="Q52" i="19" s="1"/>
  <c r="Q53" i="19" a="1"/>
  <c r="Q53" i="19" s="1"/>
  <c r="Q54" i="19" a="1"/>
  <c r="Q54" i="19" s="1"/>
  <c r="Q55" i="19" a="1"/>
  <c r="Q55" i="19" s="1"/>
  <c r="Q56" i="19" a="1"/>
  <c r="Q56" i="19" s="1"/>
  <c r="Q57" i="19" a="1"/>
  <c r="Q57" i="19" s="1"/>
  <c r="Q58" i="19" a="1"/>
  <c r="Q58" i="19" s="1"/>
  <c r="Q59" i="19" a="1"/>
  <c r="Q59" i="19" s="1"/>
  <c r="Q60" i="19" a="1"/>
  <c r="Q60" i="19" s="1"/>
  <c r="Q61" i="19" a="1"/>
  <c r="Q61" i="19" s="1"/>
  <c r="Q62" i="19" a="1"/>
  <c r="Q62" i="19" s="1"/>
  <c r="Q63" i="19" a="1"/>
  <c r="Q63" i="19" s="1"/>
  <c r="Q64" i="19" a="1"/>
  <c r="Q64" i="19" s="1"/>
  <c r="Q65" i="19" a="1"/>
  <c r="Q65" i="19" s="1"/>
  <c r="Q66" i="19" a="1"/>
  <c r="Q66" i="19" s="1"/>
  <c r="Q67" i="19" a="1"/>
  <c r="Q67" i="19" s="1"/>
  <c r="Q68" i="19" a="1"/>
  <c r="Q68" i="19" s="1"/>
  <c r="Q69" i="19" a="1"/>
  <c r="Q69" i="19" s="1"/>
  <c r="Q70" i="19" a="1"/>
  <c r="Q70" i="19" s="1"/>
  <c r="Q71" i="19" a="1"/>
  <c r="Q71" i="19" s="1"/>
  <c r="Q72" i="19" a="1"/>
  <c r="Q72" i="19" s="1"/>
  <c r="Q73" i="19" a="1"/>
  <c r="Q73" i="19" s="1"/>
  <c r="Q74" i="19" a="1"/>
  <c r="Q74" i="19" s="1"/>
  <c r="Q75" i="19" a="1"/>
  <c r="Q75" i="19" s="1"/>
  <c r="Q76" i="19" a="1"/>
  <c r="Q76" i="19" s="1"/>
  <c r="Q77" i="19" a="1"/>
  <c r="Q77" i="19" s="1"/>
  <c r="Q78" i="19" a="1"/>
  <c r="Q78" i="19" s="1"/>
  <c r="Q79" i="19" a="1"/>
  <c r="Q79" i="19" s="1"/>
  <c r="Q80" i="19" a="1"/>
  <c r="Q80" i="19" s="1"/>
  <c r="Q81" i="19" a="1"/>
  <c r="Q81" i="19" s="1"/>
  <c r="Q82" i="19" a="1"/>
  <c r="Q82" i="19" s="1"/>
  <c r="Q83" i="19" a="1"/>
  <c r="Q83" i="19" s="1"/>
  <c r="Q84" i="19" a="1"/>
  <c r="Q84" i="19" s="1"/>
  <c r="Q85" i="19" a="1"/>
  <c r="Q85" i="19" s="1"/>
  <c r="Q86" i="19" a="1"/>
  <c r="Q86" i="19" s="1"/>
  <c r="Q87" i="19" a="1"/>
  <c r="Q87" i="19" s="1"/>
  <c r="Q88" i="19" a="1"/>
  <c r="Q88" i="19" s="1"/>
  <c r="Q89" i="19" a="1"/>
  <c r="Q89" i="19" s="1"/>
  <c r="Q90" i="19" a="1"/>
  <c r="Q90" i="19" s="1"/>
  <c r="Q91" i="19" a="1"/>
  <c r="Q91" i="19" s="1"/>
  <c r="Q92" i="19" a="1"/>
  <c r="Q92" i="19" s="1"/>
  <c r="Q93" i="19" a="1"/>
  <c r="Q93" i="19" s="1"/>
  <c r="Q94" i="19" a="1"/>
  <c r="Q94" i="19" s="1"/>
  <c r="Q95" i="19" a="1"/>
  <c r="Q95" i="19" s="1"/>
  <c r="Q96" i="19" a="1"/>
  <c r="Q96" i="19" s="1"/>
  <c r="Q97" i="19" a="1"/>
  <c r="Q97" i="19" s="1"/>
  <c r="Q98" i="19" a="1"/>
  <c r="Q98" i="19" s="1"/>
  <c r="Q99" i="19" a="1"/>
  <c r="Q99" i="19" s="1"/>
  <c r="Q100" i="19" a="1"/>
  <c r="Q100" i="19" s="1"/>
  <c r="Q101" i="19" a="1"/>
  <c r="Q101" i="19" s="1"/>
  <c r="Q102" i="19" a="1"/>
  <c r="Q102" i="19" s="1"/>
  <c r="Q103" i="19" a="1"/>
  <c r="Q103" i="19" s="1"/>
  <c r="Q104" i="19" a="1"/>
  <c r="Q104" i="19" s="1"/>
  <c r="Q105" i="19" a="1"/>
  <c r="Q105" i="19" s="1"/>
  <c r="Q106" i="19" a="1"/>
  <c r="Q106" i="19" s="1"/>
  <c r="Q107" i="19" a="1"/>
  <c r="Q107" i="19" s="1"/>
  <c r="Q108" i="19" a="1"/>
  <c r="Q108" i="19" s="1"/>
  <c r="Q109" i="19" a="1"/>
  <c r="Q109" i="19" s="1"/>
  <c r="Q110" i="19" a="1"/>
  <c r="Q110" i="19" s="1"/>
  <c r="Q111" i="19" a="1"/>
  <c r="Q111" i="19" s="1"/>
  <c r="Q112" i="19" a="1"/>
  <c r="Q112" i="19" s="1"/>
  <c r="Q113" i="19" a="1"/>
  <c r="Q113" i="19" s="1"/>
  <c r="Q114" i="19" a="1"/>
  <c r="Q114" i="19" s="1"/>
  <c r="Q115" i="19" a="1"/>
  <c r="Q115" i="19" s="1"/>
  <c r="Q116" i="19" a="1"/>
  <c r="Q116" i="19" s="1"/>
  <c r="Q117" i="19" a="1"/>
  <c r="Q117" i="19" s="1"/>
  <c r="Q118" i="19" a="1"/>
  <c r="Q118" i="19" s="1"/>
  <c r="Q119" i="19" a="1"/>
  <c r="Q119" i="19" s="1"/>
  <c r="Q120" i="19" a="1"/>
  <c r="Q120" i="19" s="1"/>
  <c r="Q121" i="19" a="1"/>
  <c r="Q121" i="19" s="1"/>
  <c r="Q122" i="19" a="1"/>
  <c r="Q122" i="19" s="1"/>
  <c r="Q123" i="19" a="1"/>
  <c r="Q123" i="19" s="1"/>
  <c r="Q124" i="19" a="1"/>
  <c r="Q124" i="19" s="1"/>
  <c r="Q125" i="19" a="1"/>
  <c r="Q125" i="19" s="1"/>
  <c r="Q126" i="19" a="1"/>
  <c r="Q126" i="19" s="1"/>
  <c r="Q127" i="19" a="1"/>
  <c r="Q127" i="19" s="1"/>
  <c r="Q128" i="19" a="1"/>
  <c r="Q128" i="19" s="1"/>
  <c r="Q129" i="19" a="1"/>
  <c r="Q129" i="19" s="1"/>
  <c r="Q130" i="19" a="1"/>
  <c r="Q130" i="19" s="1"/>
  <c r="Q131" i="19" a="1"/>
  <c r="Q131" i="19" s="1"/>
  <c r="Q132" i="19" a="1"/>
  <c r="Q132" i="19" s="1"/>
  <c r="Q133" i="19" a="1"/>
  <c r="Q133" i="19" s="1"/>
  <c r="Q134" i="19" a="1"/>
  <c r="Q134" i="19" s="1"/>
  <c r="Q135" i="19" a="1"/>
  <c r="Q135" i="19" s="1"/>
  <c r="Q136" i="19" a="1"/>
  <c r="Q136" i="19" s="1"/>
  <c r="Q137" i="19" a="1"/>
  <c r="Q137" i="19" s="1"/>
  <c r="Q138" i="19" a="1"/>
  <c r="Q138" i="19" s="1"/>
  <c r="Q139" i="19" a="1"/>
  <c r="Q139" i="19" s="1"/>
  <c r="Q140" i="19" a="1"/>
  <c r="Q140" i="19" s="1"/>
  <c r="Q141" i="19" a="1"/>
  <c r="Q141" i="19" s="1"/>
  <c r="Q142" i="19" a="1"/>
  <c r="Q142" i="19" s="1"/>
  <c r="Q143" i="19" a="1"/>
  <c r="Q143" i="19" s="1"/>
  <c r="Q144" i="19" a="1"/>
  <c r="Q144" i="19" s="1"/>
  <c r="Q145" i="19" a="1"/>
  <c r="Q145" i="19" s="1"/>
  <c r="Q146" i="19" a="1"/>
  <c r="Q146" i="19" s="1"/>
  <c r="Q147" i="19" a="1"/>
  <c r="Q147" i="19" s="1"/>
  <c r="Q148" i="19" a="1"/>
  <c r="Q148" i="19" s="1"/>
  <c r="Q149" i="19" a="1"/>
  <c r="Q149" i="19" s="1"/>
  <c r="Q150" i="19" a="1"/>
  <c r="Q150" i="19" s="1"/>
  <c r="Q151" i="19" a="1"/>
  <c r="Q151" i="19" s="1"/>
  <c r="Q152" i="19" a="1"/>
  <c r="Q152" i="19" s="1"/>
  <c r="Q153" i="19" a="1"/>
  <c r="Q153" i="19" s="1"/>
  <c r="Q154" i="19" a="1"/>
  <c r="Q154" i="19" s="1"/>
  <c r="Q155" i="19" a="1"/>
  <c r="Q155" i="19" s="1"/>
  <c r="Q156" i="19" a="1"/>
  <c r="Q156" i="19" s="1"/>
  <c r="Q157" i="19" a="1"/>
  <c r="Q157" i="19" s="1"/>
  <c r="Q158" i="19" a="1"/>
  <c r="Q158" i="19" s="1"/>
  <c r="Q159" i="19" a="1"/>
  <c r="Q159" i="19" s="1"/>
  <c r="Q160" i="19" a="1"/>
  <c r="Q160" i="19" s="1"/>
  <c r="Q161" i="19" a="1"/>
  <c r="Q161" i="19" s="1"/>
  <c r="Q162" i="19" a="1"/>
  <c r="Q162" i="19" s="1"/>
  <c r="Q163" i="19" a="1"/>
  <c r="Q163" i="19" s="1"/>
  <c r="Q164" i="19" a="1"/>
  <c r="Q164" i="19" s="1"/>
  <c r="Q165" i="19" a="1"/>
  <c r="Q165" i="19" s="1"/>
  <c r="Q166" i="19" a="1"/>
  <c r="Q166" i="19" s="1"/>
  <c r="Q167" i="19" a="1"/>
  <c r="Q167" i="19" s="1"/>
  <c r="Q168" i="19" a="1"/>
  <c r="Q168" i="19" s="1"/>
  <c r="Q169" i="19" a="1"/>
  <c r="Q169" i="19" s="1"/>
  <c r="Q170" i="19" a="1"/>
  <c r="Q170" i="19" s="1"/>
  <c r="Q171" i="19" a="1"/>
  <c r="Q171" i="19" s="1"/>
  <c r="Q172" i="19" a="1"/>
  <c r="Q172" i="19" s="1"/>
  <c r="Q173" i="19" a="1"/>
  <c r="Q173" i="19" s="1"/>
  <c r="Q174" i="19" a="1"/>
  <c r="Q174" i="19" s="1"/>
  <c r="Q175" i="19" a="1"/>
  <c r="Q175" i="19" s="1"/>
  <c r="Q176" i="19" a="1"/>
  <c r="Q176" i="19" s="1"/>
  <c r="Q177" i="19" a="1"/>
  <c r="Q177" i="19" s="1"/>
  <c r="Q178" i="19" a="1"/>
  <c r="Q178" i="19" s="1"/>
  <c r="Q179" i="19" a="1"/>
  <c r="Q179" i="19" s="1"/>
  <c r="Q180" i="19" a="1"/>
  <c r="Q180" i="19" s="1"/>
  <c r="Q181" i="19" a="1"/>
  <c r="Q181" i="19" s="1"/>
  <c r="Q182" i="19" a="1"/>
  <c r="Q182" i="19" s="1"/>
  <c r="Q183" i="19" a="1"/>
  <c r="Q183" i="19" s="1"/>
  <c r="Q184" i="19" a="1"/>
  <c r="Q184" i="19" s="1"/>
  <c r="Q185" i="19" a="1"/>
  <c r="Q185" i="19" s="1"/>
  <c r="Q186" i="19" a="1"/>
  <c r="Q186" i="19" s="1"/>
  <c r="Q187" i="19" a="1"/>
  <c r="Q187" i="19" s="1"/>
  <c r="Q188" i="19" a="1"/>
  <c r="Q188" i="19" s="1"/>
  <c r="Q189" i="19" a="1"/>
  <c r="Q189" i="19" s="1"/>
  <c r="Q190" i="19" a="1"/>
  <c r="Q190" i="19" s="1"/>
  <c r="Q191" i="19" a="1"/>
  <c r="Q191" i="19" s="1"/>
  <c r="Q192" i="19" a="1"/>
  <c r="Q192" i="19" s="1"/>
  <c r="Q193" i="19" a="1"/>
  <c r="Q193" i="19" s="1"/>
  <c r="Q194" i="19" a="1"/>
  <c r="Q194" i="19" s="1"/>
  <c r="Q195" i="19" a="1"/>
  <c r="Q195" i="19" s="1"/>
  <c r="Q196" i="19" a="1"/>
  <c r="Q196" i="19" s="1"/>
  <c r="Q197" i="19" a="1"/>
  <c r="Q197" i="19" s="1"/>
  <c r="Q198" i="19" a="1"/>
  <c r="Q198" i="19" s="1"/>
  <c r="Q199" i="19" a="1"/>
  <c r="Q199" i="19" s="1"/>
  <c r="Q200" i="19" a="1"/>
  <c r="Q200" i="19" s="1"/>
  <c r="Q201" i="19" a="1"/>
  <c r="Q201" i="19" s="1"/>
  <c r="Q202" i="19" a="1"/>
  <c r="Q202" i="19" s="1"/>
  <c r="Q203" i="19" a="1"/>
  <c r="Q203" i="19" s="1"/>
  <c r="Q204" i="19" a="1"/>
  <c r="Q204" i="19" s="1"/>
  <c r="Q205" i="19" a="1"/>
  <c r="Q205" i="19" s="1"/>
  <c r="Q206" i="19" a="1"/>
  <c r="Q206" i="19" s="1"/>
  <c r="Q207" i="19" a="1"/>
  <c r="Q207" i="19" s="1"/>
  <c r="Q208" i="19" a="1"/>
  <c r="Q208" i="19" s="1"/>
  <c r="Q209" i="19" a="1"/>
  <c r="Q209" i="19" s="1"/>
  <c r="Q210" i="19" a="1"/>
  <c r="Q210" i="19" s="1"/>
  <c r="Q211" i="19" a="1"/>
  <c r="Q211" i="19" s="1"/>
  <c r="Q212" i="19" a="1"/>
  <c r="Q212" i="19" s="1"/>
  <c r="Q213" i="19" a="1"/>
  <c r="Q213" i="19" s="1"/>
  <c r="Q214" i="19" a="1"/>
  <c r="Q214" i="19" s="1"/>
  <c r="Q215" i="19" a="1"/>
  <c r="Q215" i="19" s="1"/>
  <c r="Q216" i="19" a="1"/>
  <c r="Q216" i="19" s="1"/>
  <c r="Q217" i="19" a="1"/>
  <c r="Q217" i="19" s="1"/>
  <c r="Q218" i="19" a="1"/>
  <c r="Q218" i="19" s="1"/>
  <c r="Q219" i="19" a="1"/>
  <c r="Q219" i="19" s="1"/>
  <c r="Q220" i="19" a="1"/>
  <c r="Q220" i="19" s="1"/>
  <c r="Q221" i="19" a="1"/>
  <c r="Q221" i="19" s="1"/>
  <c r="Q222" i="19" a="1"/>
  <c r="Q222" i="19" s="1"/>
  <c r="Q223" i="19" a="1"/>
  <c r="Q223" i="19" s="1"/>
  <c r="Q224" i="19" a="1"/>
  <c r="Q224" i="19" s="1"/>
  <c r="Q225" i="19" a="1"/>
  <c r="Q225" i="19" s="1"/>
  <c r="Q226" i="19" a="1"/>
  <c r="Q226" i="19" s="1"/>
  <c r="Q227" i="19" a="1"/>
  <c r="Q227" i="19" s="1"/>
  <c r="Q228" i="19" a="1"/>
  <c r="Q228" i="19" s="1"/>
  <c r="Q229" i="19" a="1"/>
  <c r="Q229" i="19" s="1"/>
  <c r="Q230" i="19" a="1"/>
  <c r="Q230" i="19" s="1"/>
  <c r="Q231" i="19" a="1"/>
  <c r="Q231" i="19" s="1"/>
  <c r="Q232" i="19" a="1"/>
  <c r="Q232" i="19" s="1"/>
  <c r="Q233" i="19" a="1"/>
  <c r="Q233" i="19" s="1"/>
  <c r="Q234" i="19" a="1"/>
  <c r="Q234" i="19" s="1"/>
  <c r="Q235" i="19" a="1"/>
  <c r="Q235" i="19" s="1"/>
  <c r="Q236" i="19" a="1"/>
  <c r="Q236" i="19" s="1"/>
  <c r="Q237" i="19" a="1"/>
  <c r="Q237" i="19" s="1"/>
  <c r="Q238" i="19" a="1"/>
  <c r="Q238" i="19" s="1"/>
  <c r="Q239" i="19" a="1"/>
  <c r="Q239" i="19" s="1"/>
  <c r="Q240" i="19" a="1"/>
  <c r="Q240" i="19" s="1"/>
  <c r="Q241" i="19" a="1"/>
  <c r="Q241" i="19" s="1"/>
  <c r="Q242" i="19" a="1"/>
  <c r="Q242" i="19" s="1"/>
  <c r="Q243" i="19" a="1"/>
  <c r="Q243" i="19" s="1"/>
  <c r="Q244" i="19" a="1"/>
  <c r="Q244" i="19" s="1"/>
  <c r="Q245" i="19" a="1"/>
  <c r="Q245" i="19" s="1"/>
  <c r="Q246" i="19" a="1"/>
  <c r="Q246" i="19" s="1"/>
  <c r="Q247" i="19" a="1"/>
  <c r="Q247" i="19" s="1"/>
  <c r="Q248" i="19" a="1"/>
  <c r="Q248" i="19" s="1"/>
  <c r="Q249" i="19" a="1"/>
  <c r="Q249" i="19" s="1"/>
  <c r="Q250" i="19" a="1"/>
  <c r="Q250" i="19" s="1"/>
  <c r="Q251" i="19" a="1"/>
  <c r="Q251" i="19" s="1"/>
  <c r="Q252" i="19" a="1"/>
  <c r="Q252" i="19" s="1"/>
  <c r="Q253" i="19" a="1"/>
  <c r="Q253" i="19" s="1"/>
  <c r="Q254" i="19" a="1"/>
  <c r="Q254" i="19" s="1"/>
  <c r="Q255" i="19" a="1"/>
  <c r="Q255" i="19" s="1"/>
  <c r="Q256" i="19" a="1"/>
  <c r="Q256" i="19" s="1"/>
  <c r="Q257" i="19" a="1"/>
  <c r="Q257" i="19" s="1"/>
  <c r="Q258" i="19" a="1"/>
  <c r="Q258" i="19" s="1"/>
  <c r="Q259" i="19" a="1"/>
  <c r="Q259" i="19" s="1"/>
  <c r="Q260" i="19" a="1"/>
  <c r="Q260" i="19" s="1"/>
  <c r="Q261" i="19" a="1"/>
  <c r="Q261" i="19" s="1"/>
  <c r="Q262" i="19" a="1"/>
  <c r="Q262" i="19" s="1"/>
  <c r="Q263" i="19" a="1"/>
  <c r="Q263" i="19" s="1"/>
  <c r="Q264" i="19" a="1"/>
  <c r="Q264" i="19" s="1"/>
  <c r="Q265" i="19" a="1"/>
  <c r="Q265" i="19" s="1"/>
  <c r="Q266" i="19" a="1"/>
  <c r="Q266" i="19" s="1"/>
  <c r="Q267" i="19" a="1"/>
  <c r="Q267" i="19" s="1"/>
  <c r="Q268" i="19" a="1"/>
  <c r="Q268" i="19" s="1"/>
  <c r="Q269" i="19" a="1"/>
  <c r="Q269" i="19" s="1"/>
  <c r="Q270" i="19" a="1"/>
  <c r="Q270" i="19" s="1"/>
  <c r="Q271" i="19" a="1"/>
  <c r="Q271" i="19" s="1"/>
  <c r="Q272" i="19" a="1"/>
  <c r="Q272" i="19" s="1"/>
  <c r="Q273" i="19" a="1"/>
  <c r="Q273" i="19" s="1"/>
  <c r="Q274" i="19" a="1"/>
  <c r="Q274" i="19" s="1"/>
  <c r="Q275" i="19" a="1"/>
  <c r="Q275" i="19" s="1"/>
  <c r="Q276" i="19" a="1"/>
  <c r="Q276" i="19" s="1"/>
  <c r="Q277" i="19" a="1"/>
  <c r="Q277" i="19" s="1"/>
  <c r="Q278" i="19" a="1"/>
  <c r="Q278" i="19" s="1"/>
  <c r="Q279" i="19" a="1"/>
  <c r="Q279" i="19" s="1"/>
  <c r="Q280" i="19" a="1"/>
  <c r="Q280" i="19" s="1"/>
  <c r="Q281" i="19" a="1"/>
  <c r="Q281" i="19" s="1"/>
  <c r="Q282" i="19" a="1"/>
  <c r="Q282" i="19" s="1"/>
  <c r="Q283" i="19" a="1"/>
  <c r="Q283" i="19" s="1"/>
  <c r="Q284" i="19" a="1"/>
  <c r="Q284" i="19" s="1"/>
  <c r="Q285" i="19" a="1"/>
  <c r="Q285" i="19" s="1"/>
  <c r="Q286" i="19" a="1"/>
  <c r="Q286" i="19" s="1"/>
  <c r="Q287" i="19" a="1"/>
  <c r="Q287" i="19" s="1"/>
  <c r="Q288" i="19" a="1"/>
  <c r="Q288" i="19" s="1"/>
  <c r="Q289" i="19" a="1"/>
  <c r="Q289" i="19" s="1"/>
  <c r="Q290" i="19" a="1"/>
  <c r="Q290" i="19" s="1"/>
  <c r="Q291" i="19" a="1"/>
  <c r="Q291" i="19" s="1"/>
  <c r="Q292" i="19" a="1"/>
  <c r="Q292" i="19" s="1"/>
  <c r="Q293" i="19" a="1"/>
  <c r="Q293" i="19" s="1"/>
  <c r="Q294" i="19" a="1"/>
  <c r="Q294" i="19" s="1"/>
  <c r="Q295" i="19" a="1"/>
  <c r="Q295" i="19" s="1"/>
  <c r="Q296" i="19" a="1"/>
  <c r="Q296" i="19" s="1"/>
  <c r="Q297" i="19" a="1"/>
  <c r="Q297" i="19" s="1"/>
  <c r="Q298" i="19" a="1"/>
  <c r="Q298" i="19" s="1"/>
  <c r="Q299" i="19" a="1"/>
  <c r="Q299" i="19" s="1"/>
  <c r="Q300" i="19" a="1"/>
  <c r="Q300" i="19" s="1"/>
  <c r="Q301" i="19" a="1"/>
  <c r="Q301" i="19" s="1"/>
  <c r="Q302" i="19" a="1"/>
  <c r="Q302" i="19" s="1"/>
  <c r="Q303" i="19" a="1"/>
  <c r="Q303" i="19" s="1"/>
  <c r="Q304" i="19" a="1"/>
  <c r="Q304" i="19" s="1"/>
  <c r="Q305" i="19" a="1"/>
  <c r="Q305" i="19" s="1"/>
  <c r="Q306" i="19" a="1"/>
  <c r="Q306" i="19" s="1"/>
  <c r="Q307" i="19" a="1"/>
  <c r="Q307" i="19" s="1"/>
  <c r="Q308" i="19" a="1"/>
  <c r="Q308" i="19" s="1"/>
  <c r="Q309" i="19" a="1"/>
  <c r="Q309" i="19" s="1"/>
  <c r="Q310" i="19" a="1"/>
  <c r="Q310" i="19" s="1"/>
  <c r="P4" i="19" a="1"/>
  <c r="P4" i="19" s="1"/>
  <c r="P5" i="19" a="1"/>
  <c r="P5" i="19" s="1"/>
  <c r="P6" i="19" a="1"/>
  <c r="P6" i="19" s="1"/>
  <c r="P7" i="19" a="1"/>
  <c r="P7" i="19" s="1"/>
  <c r="R7" i="19" s="1"/>
  <c r="P8" i="19" a="1"/>
  <c r="P8" i="19" s="1"/>
  <c r="R8" i="19" s="1"/>
  <c r="P9" i="19" a="1"/>
  <c r="P9" i="19" s="1"/>
  <c r="R9" i="19" s="1"/>
  <c r="P10" i="19" a="1"/>
  <c r="P10" i="19" s="1"/>
  <c r="R10" i="19" s="1"/>
  <c r="P11" i="19" a="1"/>
  <c r="P11" i="19" s="1"/>
  <c r="R11" i="19" s="1"/>
  <c r="P12" i="19" a="1"/>
  <c r="P12" i="19" s="1"/>
  <c r="R12" i="19" s="1"/>
  <c r="P13" i="19" a="1"/>
  <c r="P13" i="19" s="1"/>
  <c r="R13" i="19" s="1"/>
  <c r="P14" i="19" a="1"/>
  <c r="P14" i="19" s="1"/>
  <c r="P15" i="19" a="1"/>
  <c r="P15" i="19" s="1"/>
  <c r="P16" i="19" a="1"/>
  <c r="P16" i="19" s="1"/>
  <c r="P17" i="19" a="1"/>
  <c r="P17" i="19" s="1"/>
  <c r="P18" i="19" a="1"/>
  <c r="P18" i="19" s="1"/>
  <c r="P19" i="19" a="1"/>
  <c r="P19" i="19" s="1"/>
  <c r="P20" i="19" a="1"/>
  <c r="P20" i="19" s="1"/>
  <c r="P21" i="19" a="1"/>
  <c r="P21" i="19" s="1"/>
  <c r="P22" i="19" a="1"/>
  <c r="P22" i="19" s="1"/>
  <c r="P23" i="19" a="1"/>
  <c r="P23" i="19" s="1"/>
  <c r="P24" i="19" a="1"/>
  <c r="P24" i="19" s="1"/>
  <c r="P25" i="19" a="1"/>
  <c r="P25" i="19" s="1"/>
  <c r="P26" i="19" a="1"/>
  <c r="P26" i="19" s="1"/>
  <c r="P27" i="19" a="1"/>
  <c r="P27" i="19" s="1"/>
  <c r="P28" i="19" a="1"/>
  <c r="P28" i="19" s="1"/>
  <c r="P29" i="19" a="1"/>
  <c r="P29" i="19" s="1"/>
  <c r="P30" i="19" a="1"/>
  <c r="P30" i="19" s="1"/>
  <c r="P31" i="19" a="1"/>
  <c r="P31" i="19" s="1"/>
  <c r="P32" i="19" a="1"/>
  <c r="P32" i="19" s="1"/>
  <c r="P33" i="19" a="1"/>
  <c r="P33" i="19" s="1"/>
  <c r="P34" i="19" a="1"/>
  <c r="P34" i="19" s="1"/>
  <c r="P35" i="19" a="1"/>
  <c r="P35" i="19" s="1"/>
  <c r="P36" i="19" a="1"/>
  <c r="P36" i="19" s="1"/>
  <c r="P37" i="19" a="1"/>
  <c r="P37" i="19" s="1"/>
  <c r="P38" i="19" a="1"/>
  <c r="P38" i="19" s="1"/>
  <c r="P39" i="19" a="1"/>
  <c r="P39" i="19" s="1"/>
  <c r="P40" i="19" a="1"/>
  <c r="P40" i="19" s="1"/>
  <c r="P41" i="19" a="1"/>
  <c r="P41" i="19" s="1"/>
  <c r="P42" i="19" a="1"/>
  <c r="P42" i="19" s="1"/>
  <c r="P43" i="19" a="1"/>
  <c r="P43" i="19" s="1"/>
  <c r="P44" i="19" a="1"/>
  <c r="P44" i="19" s="1"/>
  <c r="P45" i="19" a="1"/>
  <c r="P45" i="19" s="1"/>
  <c r="P46" i="19" a="1"/>
  <c r="P46" i="19" s="1"/>
  <c r="P47" i="19" a="1"/>
  <c r="P47" i="19" s="1"/>
  <c r="P48" i="19" a="1"/>
  <c r="P48" i="19" s="1"/>
  <c r="P49" i="19" a="1"/>
  <c r="P49" i="19" s="1"/>
  <c r="P50" i="19" a="1"/>
  <c r="P50" i="19" s="1"/>
  <c r="P51" i="19" a="1"/>
  <c r="P51" i="19" s="1"/>
  <c r="P52" i="19" a="1"/>
  <c r="P52" i="19" s="1"/>
  <c r="P53" i="19" a="1"/>
  <c r="P53" i="19" s="1"/>
  <c r="P54" i="19" a="1"/>
  <c r="P54" i="19" s="1"/>
  <c r="P55" i="19" a="1"/>
  <c r="P55" i="19" s="1"/>
  <c r="P56" i="19" a="1"/>
  <c r="P56" i="19" s="1"/>
  <c r="P57" i="19" a="1"/>
  <c r="P57" i="19" s="1"/>
  <c r="P58" i="19" a="1"/>
  <c r="P58" i="19" s="1"/>
  <c r="P59" i="19" a="1"/>
  <c r="P59" i="19" s="1"/>
  <c r="P60" i="19" a="1"/>
  <c r="P60" i="19" s="1"/>
  <c r="P61" i="19" a="1"/>
  <c r="P61" i="19" s="1"/>
  <c r="P62" i="19" a="1"/>
  <c r="P62" i="19" s="1"/>
  <c r="P63" i="19" a="1"/>
  <c r="P63" i="19" s="1"/>
  <c r="P64" i="19" a="1"/>
  <c r="P64" i="19" s="1"/>
  <c r="P65" i="19" a="1"/>
  <c r="P65" i="19" s="1"/>
  <c r="P66" i="19" a="1"/>
  <c r="P66" i="19" s="1"/>
  <c r="P67" i="19" a="1"/>
  <c r="P67" i="19" s="1"/>
  <c r="P68" i="19" a="1"/>
  <c r="P68" i="19" s="1"/>
  <c r="P69" i="19" a="1"/>
  <c r="P69" i="19" s="1"/>
  <c r="P70" i="19" a="1"/>
  <c r="P70" i="19" s="1"/>
  <c r="P71" i="19" a="1"/>
  <c r="P71" i="19" s="1"/>
  <c r="P72" i="19" a="1"/>
  <c r="P72" i="19" s="1"/>
  <c r="P73" i="19" a="1"/>
  <c r="P73" i="19" s="1"/>
  <c r="P74" i="19" a="1"/>
  <c r="P74" i="19" s="1"/>
  <c r="P75" i="19" a="1"/>
  <c r="P75" i="19" s="1"/>
  <c r="P76" i="19" a="1"/>
  <c r="P76" i="19" s="1"/>
  <c r="P77" i="19" a="1"/>
  <c r="P77" i="19" s="1"/>
  <c r="P78" i="19" a="1"/>
  <c r="P78" i="19" s="1"/>
  <c r="P79" i="19" a="1"/>
  <c r="P79" i="19" s="1"/>
  <c r="P80" i="19" a="1"/>
  <c r="P80" i="19" s="1"/>
  <c r="P81" i="19" a="1"/>
  <c r="P81" i="19" s="1"/>
  <c r="P82" i="19" a="1"/>
  <c r="P82" i="19" s="1"/>
  <c r="P83" i="19" a="1"/>
  <c r="P83" i="19" s="1"/>
  <c r="P84" i="19" a="1"/>
  <c r="P84" i="19" s="1"/>
  <c r="P85" i="19" a="1"/>
  <c r="P85" i="19" s="1"/>
  <c r="P86" i="19" a="1"/>
  <c r="P86" i="19" s="1"/>
  <c r="P87" i="19" a="1"/>
  <c r="P87" i="19" s="1"/>
  <c r="P88" i="19" a="1"/>
  <c r="P88" i="19" s="1"/>
  <c r="P89" i="19" a="1"/>
  <c r="P89" i="19" s="1"/>
  <c r="P90" i="19" a="1"/>
  <c r="P90" i="19" s="1"/>
  <c r="P91" i="19" a="1"/>
  <c r="P91" i="19" s="1"/>
  <c r="P92" i="19" a="1"/>
  <c r="P92" i="19" s="1"/>
  <c r="P93" i="19" a="1"/>
  <c r="P93" i="19" s="1"/>
  <c r="P94" i="19" a="1"/>
  <c r="P94" i="19" s="1"/>
  <c r="P95" i="19" a="1"/>
  <c r="P95" i="19" s="1"/>
  <c r="P96" i="19" a="1"/>
  <c r="P96" i="19" s="1"/>
  <c r="P97" i="19" a="1"/>
  <c r="P97" i="19" s="1"/>
  <c r="P98" i="19" a="1"/>
  <c r="P98" i="19" s="1"/>
  <c r="P99" i="19" a="1"/>
  <c r="P99" i="19" s="1"/>
  <c r="P100" i="19" a="1"/>
  <c r="P100" i="19" s="1"/>
  <c r="P101" i="19" a="1"/>
  <c r="P101" i="19" s="1"/>
  <c r="P102" i="19" a="1"/>
  <c r="P102" i="19" s="1"/>
  <c r="P103" i="19" a="1"/>
  <c r="P103" i="19" s="1"/>
  <c r="P104" i="19" a="1"/>
  <c r="P104" i="19" s="1"/>
  <c r="P105" i="19" a="1"/>
  <c r="P105" i="19" s="1"/>
  <c r="P106" i="19" a="1"/>
  <c r="P106" i="19" s="1"/>
  <c r="P107" i="19" a="1"/>
  <c r="P107" i="19" s="1"/>
  <c r="P108" i="19" a="1"/>
  <c r="P108" i="19" s="1"/>
  <c r="P109" i="19" a="1"/>
  <c r="P109" i="19" s="1"/>
  <c r="P110" i="19" a="1"/>
  <c r="P110" i="19" s="1"/>
  <c r="P111" i="19" a="1"/>
  <c r="P111" i="19" s="1"/>
  <c r="P112" i="19" a="1"/>
  <c r="P112" i="19" s="1"/>
  <c r="P113" i="19" a="1"/>
  <c r="P113" i="19" s="1"/>
  <c r="P114" i="19" a="1"/>
  <c r="P114" i="19" s="1"/>
  <c r="P115" i="19" a="1"/>
  <c r="P115" i="19" s="1"/>
  <c r="P116" i="19" a="1"/>
  <c r="P116" i="19" s="1"/>
  <c r="P117" i="19" a="1"/>
  <c r="P117" i="19" s="1"/>
  <c r="P118" i="19" a="1"/>
  <c r="P118" i="19" s="1"/>
  <c r="P119" i="19" a="1"/>
  <c r="P119" i="19" s="1"/>
  <c r="P120" i="19" a="1"/>
  <c r="P120" i="19" s="1"/>
  <c r="P121" i="19" a="1"/>
  <c r="P121" i="19" s="1"/>
  <c r="P122" i="19" a="1"/>
  <c r="P122" i="19" s="1"/>
  <c r="P123" i="19" a="1"/>
  <c r="P123" i="19" s="1"/>
  <c r="P124" i="19" a="1"/>
  <c r="P124" i="19" s="1"/>
  <c r="P125" i="19" a="1"/>
  <c r="P125" i="19" s="1"/>
  <c r="P126" i="19" a="1"/>
  <c r="P126" i="19" s="1"/>
  <c r="P127" i="19" a="1"/>
  <c r="P127" i="19" s="1"/>
  <c r="P128" i="19" a="1"/>
  <c r="P128" i="19" s="1"/>
  <c r="P129" i="19" a="1"/>
  <c r="P129" i="19" s="1"/>
  <c r="P130" i="19" a="1"/>
  <c r="P130" i="19" s="1"/>
  <c r="P131" i="19" a="1"/>
  <c r="P131" i="19" s="1"/>
  <c r="P132" i="19" a="1"/>
  <c r="P132" i="19" s="1"/>
  <c r="P133" i="19" a="1"/>
  <c r="P133" i="19" s="1"/>
  <c r="P134" i="19" a="1"/>
  <c r="P134" i="19" s="1"/>
  <c r="P135" i="19" a="1"/>
  <c r="P135" i="19" s="1"/>
  <c r="P136" i="19" a="1"/>
  <c r="P136" i="19" s="1"/>
  <c r="P137" i="19" a="1"/>
  <c r="P137" i="19" s="1"/>
  <c r="P138" i="19" a="1"/>
  <c r="P138" i="19" s="1"/>
  <c r="P139" i="19" a="1"/>
  <c r="P139" i="19" s="1"/>
  <c r="P140" i="19" a="1"/>
  <c r="P140" i="19" s="1"/>
  <c r="P141" i="19" a="1"/>
  <c r="P141" i="19" s="1"/>
  <c r="P142" i="19" a="1"/>
  <c r="P142" i="19" s="1"/>
  <c r="P143" i="19" a="1"/>
  <c r="P143" i="19" s="1"/>
  <c r="P144" i="19" a="1"/>
  <c r="P144" i="19" s="1"/>
  <c r="P145" i="19" a="1"/>
  <c r="P145" i="19" s="1"/>
  <c r="P146" i="19" a="1"/>
  <c r="P146" i="19" s="1"/>
  <c r="P147" i="19" a="1"/>
  <c r="P147" i="19" s="1"/>
  <c r="P148" i="19" a="1"/>
  <c r="P148" i="19" s="1"/>
  <c r="P149" i="19" a="1"/>
  <c r="P149" i="19" s="1"/>
  <c r="P150" i="19" a="1"/>
  <c r="P150" i="19" s="1"/>
  <c r="P151" i="19" a="1"/>
  <c r="P151" i="19" s="1"/>
  <c r="P152" i="19" a="1"/>
  <c r="P152" i="19" s="1"/>
  <c r="P153" i="19" a="1"/>
  <c r="P153" i="19" s="1"/>
  <c r="P154" i="19" a="1"/>
  <c r="P154" i="19" s="1"/>
  <c r="P155" i="19" a="1"/>
  <c r="P155" i="19" s="1"/>
  <c r="P156" i="19" a="1"/>
  <c r="P156" i="19" s="1"/>
  <c r="P157" i="19" a="1"/>
  <c r="P157" i="19" s="1"/>
  <c r="P158" i="19" a="1"/>
  <c r="P158" i="19" s="1"/>
  <c r="P159" i="19" a="1"/>
  <c r="P159" i="19" s="1"/>
  <c r="P160" i="19" a="1"/>
  <c r="P160" i="19" s="1"/>
  <c r="P161" i="19" a="1"/>
  <c r="P161" i="19" s="1"/>
  <c r="P162" i="19" a="1"/>
  <c r="P162" i="19" s="1"/>
  <c r="P163" i="19" a="1"/>
  <c r="P163" i="19" s="1"/>
  <c r="P164" i="19" a="1"/>
  <c r="P164" i="19" s="1"/>
  <c r="P165" i="19" a="1"/>
  <c r="P165" i="19" s="1"/>
  <c r="P166" i="19" a="1"/>
  <c r="P166" i="19" s="1"/>
  <c r="P167" i="19" a="1"/>
  <c r="P167" i="19" s="1"/>
  <c r="P168" i="19" a="1"/>
  <c r="P168" i="19" s="1"/>
  <c r="P169" i="19" a="1"/>
  <c r="P169" i="19" s="1"/>
  <c r="P170" i="19" a="1"/>
  <c r="P170" i="19" s="1"/>
  <c r="P171" i="19" a="1"/>
  <c r="P171" i="19" s="1"/>
  <c r="P172" i="19" a="1"/>
  <c r="P172" i="19" s="1"/>
  <c r="P173" i="19" a="1"/>
  <c r="P173" i="19" s="1"/>
  <c r="P174" i="19" a="1"/>
  <c r="P174" i="19" s="1"/>
  <c r="P175" i="19" a="1"/>
  <c r="P175" i="19" s="1"/>
  <c r="P176" i="19" a="1"/>
  <c r="P176" i="19" s="1"/>
  <c r="P177" i="19" a="1"/>
  <c r="P177" i="19" s="1"/>
  <c r="P178" i="19" a="1"/>
  <c r="P178" i="19" s="1"/>
  <c r="P179" i="19" a="1"/>
  <c r="P179" i="19" s="1"/>
  <c r="P180" i="19" a="1"/>
  <c r="P180" i="19" s="1"/>
  <c r="P181" i="19" a="1"/>
  <c r="P181" i="19" s="1"/>
  <c r="P182" i="19" a="1"/>
  <c r="P182" i="19" s="1"/>
  <c r="P183" i="19" a="1"/>
  <c r="P183" i="19" s="1"/>
  <c r="P184" i="19" a="1"/>
  <c r="P184" i="19" s="1"/>
  <c r="P185" i="19" a="1"/>
  <c r="P185" i="19" s="1"/>
  <c r="P186" i="19" a="1"/>
  <c r="P186" i="19" s="1"/>
  <c r="P187" i="19" a="1"/>
  <c r="P187" i="19" s="1"/>
  <c r="P188" i="19" a="1"/>
  <c r="P188" i="19" s="1"/>
  <c r="P189" i="19" a="1"/>
  <c r="P189" i="19" s="1"/>
  <c r="P190" i="19" a="1"/>
  <c r="P190" i="19" s="1"/>
  <c r="P191" i="19" a="1"/>
  <c r="P191" i="19" s="1"/>
  <c r="P192" i="19" a="1"/>
  <c r="P192" i="19" s="1"/>
  <c r="P193" i="19" a="1"/>
  <c r="P193" i="19" s="1"/>
  <c r="P194" i="19" a="1"/>
  <c r="P194" i="19" s="1"/>
  <c r="P195" i="19" a="1"/>
  <c r="P195" i="19" s="1"/>
  <c r="P196" i="19" a="1"/>
  <c r="P196" i="19" s="1"/>
  <c r="P197" i="19" a="1"/>
  <c r="P197" i="19" s="1"/>
  <c r="P198" i="19" a="1"/>
  <c r="P198" i="19" s="1"/>
  <c r="P199" i="19" a="1"/>
  <c r="P199" i="19" s="1"/>
  <c r="P200" i="19" a="1"/>
  <c r="P200" i="19" s="1"/>
  <c r="P201" i="19" a="1"/>
  <c r="P201" i="19" s="1"/>
  <c r="P202" i="19" a="1"/>
  <c r="P202" i="19" s="1"/>
  <c r="P203" i="19" a="1"/>
  <c r="P203" i="19" s="1"/>
  <c r="P204" i="19" a="1"/>
  <c r="P204" i="19" s="1"/>
  <c r="P205" i="19" a="1"/>
  <c r="P205" i="19" s="1"/>
  <c r="P206" i="19" a="1"/>
  <c r="P206" i="19" s="1"/>
  <c r="P207" i="19" a="1"/>
  <c r="P207" i="19" s="1"/>
  <c r="P208" i="19" a="1"/>
  <c r="P208" i="19" s="1"/>
  <c r="P209" i="19" a="1"/>
  <c r="P209" i="19" s="1"/>
  <c r="P210" i="19" a="1"/>
  <c r="P210" i="19" s="1"/>
  <c r="P211" i="19" a="1"/>
  <c r="P211" i="19" s="1"/>
  <c r="P212" i="19" a="1"/>
  <c r="P212" i="19" s="1"/>
  <c r="P213" i="19" a="1"/>
  <c r="P213" i="19" s="1"/>
  <c r="P214" i="19" a="1"/>
  <c r="P214" i="19" s="1"/>
  <c r="P215" i="19" a="1"/>
  <c r="P215" i="19" s="1"/>
  <c r="P216" i="19" a="1"/>
  <c r="P216" i="19" s="1"/>
  <c r="P217" i="19" a="1"/>
  <c r="P217" i="19" s="1"/>
  <c r="P218" i="19" a="1"/>
  <c r="P218" i="19" s="1"/>
  <c r="P219" i="19" a="1"/>
  <c r="P219" i="19" s="1"/>
  <c r="P220" i="19" a="1"/>
  <c r="P220" i="19" s="1"/>
  <c r="P221" i="19" a="1"/>
  <c r="P221" i="19" s="1"/>
  <c r="P222" i="19" a="1"/>
  <c r="P222" i="19" s="1"/>
  <c r="P223" i="19" a="1"/>
  <c r="P223" i="19" s="1"/>
  <c r="P224" i="19" a="1"/>
  <c r="P224" i="19" s="1"/>
  <c r="P225" i="19" a="1"/>
  <c r="P225" i="19" s="1"/>
  <c r="P226" i="19" a="1"/>
  <c r="P226" i="19" s="1"/>
  <c r="P227" i="19" a="1"/>
  <c r="P227" i="19" s="1"/>
  <c r="P228" i="19" a="1"/>
  <c r="P228" i="19" s="1"/>
  <c r="P229" i="19" a="1"/>
  <c r="P229" i="19" s="1"/>
  <c r="P230" i="19" a="1"/>
  <c r="P230" i="19" s="1"/>
  <c r="P231" i="19" a="1"/>
  <c r="P231" i="19" s="1"/>
  <c r="P232" i="19" a="1"/>
  <c r="P232" i="19" s="1"/>
  <c r="P233" i="19" a="1"/>
  <c r="P233" i="19" s="1"/>
  <c r="P234" i="19" a="1"/>
  <c r="P234" i="19" s="1"/>
  <c r="P235" i="19" a="1"/>
  <c r="P235" i="19" s="1"/>
  <c r="P236" i="19" a="1"/>
  <c r="P236" i="19" s="1"/>
  <c r="P237" i="19" a="1"/>
  <c r="P237" i="19" s="1"/>
  <c r="P238" i="19" a="1"/>
  <c r="P238" i="19" s="1"/>
  <c r="P239" i="19" a="1"/>
  <c r="P239" i="19" s="1"/>
  <c r="P240" i="19" a="1"/>
  <c r="P240" i="19" s="1"/>
  <c r="P241" i="19" a="1"/>
  <c r="P241" i="19" s="1"/>
  <c r="P242" i="19" a="1"/>
  <c r="P242" i="19" s="1"/>
  <c r="P243" i="19" a="1"/>
  <c r="P243" i="19" s="1"/>
  <c r="P244" i="19" a="1"/>
  <c r="P244" i="19" s="1"/>
  <c r="P245" i="19" a="1"/>
  <c r="P245" i="19" s="1"/>
  <c r="P246" i="19" a="1"/>
  <c r="P246" i="19" s="1"/>
  <c r="P247" i="19" a="1"/>
  <c r="P247" i="19" s="1"/>
  <c r="P248" i="19" a="1"/>
  <c r="P248" i="19" s="1"/>
  <c r="P249" i="19" a="1"/>
  <c r="P249" i="19" s="1"/>
  <c r="P250" i="19" a="1"/>
  <c r="P250" i="19" s="1"/>
  <c r="P251" i="19" a="1"/>
  <c r="P251" i="19" s="1"/>
  <c r="P252" i="19" a="1"/>
  <c r="P252" i="19" s="1"/>
  <c r="P253" i="19" a="1"/>
  <c r="P253" i="19" s="1"/>
  <c r="P254" i="19" a="1"/>
  <c r="P254" i="19" s="1"/>
  <c r="P255" i="19" a="1"/>
  <c r="P255" i="19" s="1"/>
  <c r="P256" i="19" a="1"/>
  <c r="P256" i="19" s="1"/>
  <c r="P257" i="19" a="1"/>
  <c r="P257" i="19" s="1"/>
  <c r="P258" i="19" a="1"/>
  <c r="P258" i="19" s="1"/>
  <c r="P259" i="19" a="1"/>
  <c r="P259" i="19" s="1"/>
  <c r="P260" i="19" a="1"/>
  <c r="P260" i="19" s="1"/>
  <c r="P261" i="19" a="1"/>
  <c r="P261" i="19" s="1"/>
  <c r="P262" i="19" a="1"/>
  <c r="P262" i="19" s="1"/>
  <c r="P263" i="19" a="1"/>
  <c r="P263" i="19" s="1"/>
  <c r="P264" i="19" a="1"/>
  <c r="P264" i="19" s="1"/>
  <c r="P265" i="19" a="1"/>
  <c r="P265" i="19" s="1"/>
  <c r="P266" i="19" a="1"/>
  <c r="P266" i="19" s="1"/>
  <c r="P267" i="19" a="1"/>
  <c r="P267" i="19" s="1"/>
  <c r="P268" i="19" a="1"/>
  <c r="P268" i="19" s="1"/>
  <c r="P269" i="19" a="1"/>
  <c r="P269" i="19" s="1"/>
  <c r="P270" i="19" a="1"/>
  <c r="P270" i="19" s="1"/>
  <c r="P271" i="19" a="1"/>
  <c r="P271" i="19" s="1"/>
  <c r="P272" i="19" a="1"/>
  <c r="P272" i="19" s="1"/>
  <c r="P273" i="19" a="1"/>
  <c r="P273" i="19" s="1"/>
  <c r="P274" i="19" a="1"/>
  <c r="P274" i="19" s="1"/>
  <c r="P275" i="19" a="1"/>
  <c r="P275" i="19" s="1"/>
  <c r="P276" i="19" a="1"/>
  <c r="P276" i="19" s="1"/>
  <c r="P277" i="19" a="1"/>
  <c r="P277" i="19" s="1"/>
  <c r="P278" i="19" a="1"/>
  <c r="P278" i="19" s="1"/>
  <c r="P279" i="19" a="1"/>
  <c r="P279" i="19" s="1"/>
  <c r="P280" i="19" a="1"/>
  <c r="P280" i="19" s="1"/>
  <c r="P281" i="19" a="1"/>
  <c r="P281" i="19" s="1"/>
  <c r="P282" i="19" a="1"/>
  <c r="P282" i="19" s="1"/>
  <c r="P283" i="19" a="1"/>
  <c r="P283" i="19" s="1"/>
  <c r="P284" i="19" a="1"/>
  <c r="P284" i="19" s="1"/>
  <c r="P285" i="19" a="1"/>
  <c r="P285" i="19" s="1"/>
  <c r="P286" i="19" a="1"/>
  <c r="P286" i="19" s="1"/>
  <c r="P287" i="19" a="1"/>
  <c r="P287" i="19" s="1"/>
  <c r="P288" i="19" a="1"/>
  <c r="P288" i="19" s="1"/>
  <c r="P289" i="19" a="1"/>
  <c r="P289" i="19" s="1"/>
  <c r="P290" i="19" a="1"/>
  <c r="P290" i="19" s="1"/>
  <c r="P291" i="19" a="1"/>
  <c r="P291" i="19" s="1"/>
  <c r="P292" i="19" a="1"/>
  <c r="P292" i="19" s="1"/>
  <c r="P293" i="19" a="1"/>
  <c r="P293" i="19" s="1"/>
  <c r="P294" i="19" a="1"/>
  <c r="P294" i="19" s="1"/>
  <c r="P295" i="19" a="1"/>
  <c r="P295" i="19" s="1"/>
  <c r="P296" i="19" a="1"/>
  <c r="P296" i="19" s="1"/>
  <c r="P297" i="19" a="1"/>
  <c r="P297" i="19" s="1"/>
  <c r="P298" i="19" a="1"/>
  <c r="P298" i="19" s="1"/>
  <c r="P299" i="19" a="1"/>
  <c r="P299" i="19" s="1"/>
  <c r="P300" i="19" a="1"/>
  <c r="P300" i="19" s="1"/>
  <c r="P301" i="19" a="1"/>
  <c r="P301" i="19" s="1"/>
  <c r="P302" i="19" a="1"/>
  <c r="P302" i="19" s="1"/>
  <c r="P303" i="19" a="1"/>
  <c r="P303" i="19" s="1"/>
  <c r="P304" i="19" a="1"/>
  <c r="P304" i="19" s="1"/>
  <c r="P305" i="19" a="1"/>
  <c r="P305" i="19" s="1"/>
  <c r="P306" i="19" a="1"/>
  <c r="P306" i="19" s="1"/>
  <c r="P307" i="19" a="1"/>
  <c r="P307" i="19" s="1"/>
  <c r="P308" i="19" a="1"/>
  <c r="P308" i="19" s="1"/>
  <c r="P309" i="19" a="1"/>
  <c r="P309" i="19" s="1"/>
  <c r="P310" i="19" a="1"/>
  <c r="P310" i="19" s="1"/>
  <c r="P311" i="19" a="1"/>
  <c r="P311" i="19" s="1"/>
  <c r="P312" i="19" a="1"/>
  <c r="P312" i="19" s="1"/>
  <c r="P313" i="19" a="1"/>
  <c r="P313" i="19" s="1"/>
  <c r="P314" i="19" a="1"/>
  <c r="P314" i="19" s="1"/>
  <c r="P315" i="19" a="1"/>
  <c r="P315" i="19" s="1"/>
  <c r="P316" i="19" a="1"/>
  <c r="P316" i="19" s="1"/>
  <c r="P317" i="19" a="1"/>
  <c r="P317" i="19" s="1"/>
  <c r="P318" i="19" a="1"/>
  <c r="P318" i="19" s="1"/>
  <c r="P319" i="19" a="1"/>
  <c r="P319" i="19" s="1"/>
  <c r="P320" i="19" a="1"/>
  <c r="P320" i="19" s="1"/>
  <c r="P321" i="19" a="1"/>
  <c r="P321" i="19" s="1"/>
  <c r="P322" i="19" a="1"/>
  <c r="P322" i="19" s="1"/>
  <c r="P323" i="19" a="1"/>
  <c r="P323" i="19" s="1"/>
  <c r="P324" i="19" a="1"/>
  <c r="P324" i="19" s="1"/>
  <c r="P325" i="19" a="1"/>
  <c r="P325" i="19" s="1"/>
  <c r="P326" i="19" a="1"/>
  <c r="P326" i="19" s="1"/>
  <c r="P327" i="19" a="1"/>
  <c r="P327" i="19" s="1"/>
  <c r="P328" i="19" a="1"/>
  <c r="P328" i="19" s="1"/>
  <c r="P329" i="19" a="1"/>
  <c r="P329" i="19" s="1"/>
  <c r="P330" i="19" a="1"/>
  <c r="P330" i="19" s="1"/>
  <c r="P331" i="19" a="1"/>
  <c r="P331" i="19" s="1"/>
  <c r="P332" i="19" a="1"/>
  <c r="P332" i="19" s="1"/>
  <c r="P333" i="19" a="1"/>
  <c r="P333" i="19" s="1"/>
  <c r="P334" i="19" a="1"/>
  <c r="P334" i="19" s="1"/>
  <c r="P335" i="19" a="1"/>
  <c r="P335" i="19" s="1"/>
  <c r="P336" i="19" a="1"/>
  <c r="P336" i="19" s="1"/>
  <c r="P337" i="19" a="1"/>
  <c r="P337" i="19" s="1"/>
  <c r="P338" i="19" a="1"/>
  <c r="P338" i="19" s="1"/>
  <c r="P339" i="19" a="1"/>
  <c r="P339" i="19" s="1"/>
  <c r="P340" i="19" a="1"/>
  <c r="P340" i="19" s="1"/>
  <c r="P341" i="19" a="1"/>
  <c r="P341" i="19" s="1"/>
  <c r="P342" i="19" a="1"/>
  <c r="P342" i="19" s="1"/>
  <c r="P343" i="19" a="1"/>
  <c r="P343" i="19" s="1"/>
  <c r="P344" i="19" a="1"/>
  <c r="P344" i="19" s="1"/>
  <c r="P345" i="19" a="1"/>
  <c r="P345" i="19" s="1"/>
  <c r="P346" i="19" a="1"/>
  <c r="P346" i="19" s="1"/>
  <c r="P347" i="19" a="1"/>
  <c r="P347" i="19" s="1"/>
  <c r="P348" i="19" a="1"/>
  <c r="P348" i="19" s="1"/>
  <c r="P349" i="19" a="1"/>
  <c r="P349" i="19" s="1"/>
  <c r="P350" i="19" a="1"/>
  <c r="P350" i="19" s="1"/>
  <c r="P351" i="19" a="1"/>
  <c r="P351" i="19" s="1"/>
  <c r="P352" i="19" a="1"/>
  <c r="P352" i="19" s="1"/>
  <c r="P353" i="19" a="1"/>
  <c r="P353" i="19" s="1"/>
  <c r="P354" i="19" a="1"/>
  <c r="P354" i="19" s="1"/>
  <c r="P355" i="19" a="1"/>
  <c r="P355" i="19" s="1"/>
  <c r="P356" i="19" a="1"/>
  <c r="P356" i="19" s="1"/>
  <c r="P357" i="19" a="1"/>
  <c r="P357" i="19" s="1"/>
  <c r="P358" i="19" a="1"/>
  <c r="P358" i="19" s="1"/>
  <c r="P359" i="19" a="1"/>
  <c r="P359" i="19" s="1"/>
  <c r="P360" i="19" a="1"/>
  <c r="P360" i="19" s="1"/>
  <c r="P361" i="19" a="1"/>
  <c r="P361" i="19" s="1"/>
  <c r="P362" i="19" a="1"/>
  <c r="P362" i="19" s="1"/>
  <c r="P363" i="19" a="1"/>
  <c r="P363" i="19" s="1"/>
  <c r="P364" i="19" a="1"/>
  <c r="P364" i="19" s="1"/>
  <c r="P365" i="19" a="1"/>
  <c r="P365" i="19" s="1"/>
  <c r="P366" i="19" a="1"/>
  <c r="P366" i="19" s="1"/>
  <c r="P367" i="19" a="1"/>
  <c r="P367" i="19" s="1"/>
  <c r="P368" i="19" a="1"/>
  <c r="P368" i="19" s="1"/>
  <c r="P369" i="19" a="1"/>
  <c r="P369" i="19" s="1"/>
  <c r="P370" i="19" a="1"/>
  <c r="P370" i="19" s="1"/>
  <c r="P371" i="19" a="1"/>
  <c r="P371" i="19" s="1"/>
  <c r="P372" i="19" a="1"/>
  <c r="P372" i="19" s="1"/>
  <c r="P373" i="19" a="1"/>
  <c r="P373" i="19" s="1"/>
  <c r="P374" i="19" a="1"/>
  <c r="P374" i="19" s="1"/>
  <c r="P375" i="19" a="1"/>
  <c r="P375" i="19" s="1"/>
  <c r="P376" i="19" a="1"/>
  <c r="P376" i="19" s="1"/>
  <c r="P377" i="19" a="1"/>
  <c r="P377" i="19" s="1"/>
  <c r="P378" i="19" a="1"/>
  <c r="P378" i="19" s="1"/>
  <c r="P379" i="19" a="1"/>
  <c r="P379" i="19" s="1"/>
  <c r="P380" i="19" a="1"/>
  <c r="P380" i="19" s="1"/>
  <c r="P381" i="19" a="1"/>
  <c r="P381" i="19" s="1"/>
  <c r="P382" i="19" a="1"/>
  <c r="P382" i="19" s="1"/>
  <c r="P383" i="19" a="1"/>
  <c r="P383" i="19" s="1"/>
  <c r="P384" i="19" a="1"/>
  <c r="P384" i="19" s="1"/>
  <c r="P385" i="19" a="1"/>
  <c r="P385" i="19" s="1"/>
  <c r="P386" i="19" a="1"/>
  <c r="P386" i="19" s="1"/>
  <c r="P387" i="19" a="1"/>
  <c r="P387" i="19" s="1"/>
  <c r="P388" i="19" a="1"/>
  <c r="P388" i="19" s="1"/>
  <c r="P389" i="19" a="1"/>
  <c r="P389" i="19" s="1"/>
  <c r="P390" i="19" a="1"/>
  <c r="P390" i="19" s="1"/>
  <c r="P391" i="19" a="1"/>
  <c r="P391" i="19" s="1"/>
  <c r="P392" i="19" a="1"/>
  <c r="P392" i="19" s="1"/>
  <c r="P393" i="19" a="1"/>
  <c r="P393" i="19" s="1"/>
  <c r="P394" i="19" a="1"/>
  <c r="P394" i="19" s="1"/>
  <c r="P395" i="19" a="1"/>
  <c r="P395" i="19" s="1"/>
  <c r="P396" i="19" a="1"/>
  <c r="P396" i="19" s="1"/>
  <c r="P397" i="19" a="1"/>
  <c r="P397" i="19" s="1"/>
  <c r="P398" i="19" a="1"/>
  <c r="P398" i="19" s="1"/>
  <c r="P399" i="19" a="1"/>
  <c r="P399" i="19" s="1"/>
  <c r="P400" i="19" a="1"/>
  <c r="P400" i="19" s="1"/>
  <c r="P401" i="19" a="1"/>
  <c r="P401" i="19" s="1"/>
  <c r="P402" i="19" a="1"/>
  <c r="P402" i="19" s="1"/>
  <c r="P403" i="19" a="1"/>
  <c r="P403" i="19" s="1"/>
  <c r="P404" i="19" a="1"/>
  <c r="P404" i="19" s="1"/>
  <c r="P405" i="19" a="1"/>
  <c r="P405" i="19" s="1"/>
  <c r="P406" i="19" a="1"/>
  <c r="P406" i="19" s="1"/>
  <c r="P407" i="19" a="1"/>
  <c r="P407" i="19" s="1"/>
  <c r="P408" i="19" a="1"/>
  <c r="P408" i="19" s="1"/>
  <c r="P409" i="19" a="1"/>
  <c r="P409" i="19" s="1"/>
  <c r="P410" i="19" a="1"/>
  <c r="P410" i="19" s="1"/>
  <c r="P411" i="19" a="1"/>
  <c r="P411" i="19" s="1"/>
  <c r="P412" i="19" a="1"/>
  <c r="P412" i="19" s="1"/>
  <c r="P413" i="19" a="1"/>
  <c r="P413" i="19" s="1"/>
  <c r="P414" i="19" a="1"/>
  <c r="P414" i="19" s="1"/>
  <c r="P415" i="19" a="1"/>
  <c r="P415" i="19" s="1"/>
  <c r="P416" i="19" a="1"/>
  <c r="P416" i="19" s="1"/>
  <c r="P417" i="19" a="1"/>
  <c r="P417" i="19" s="1"/>
  <c r="P418" i="19" a="1"/>
  <c r="P418" i="19" s="1"/>
  <c r="P419" i="19" a="1"/>
  <c r="P419" i="19" s="1"/>
  <c r="P420" i="19" a="1"/>
  <c r="P420" i="19" s="1"/>
  <c r="P421" i="19" a="1"/>
  <c r="P421" i="19" s="1"/>
  <c r="P422" i="19" a="1"/>
  <c r="P422" i="19" s="1"/>
  <c r="P423" i="19" a="1"/>
  <c r="P423" i="19" s="1"/>
  <c r="P424" i="19" a="1"/>
  <c r="P424" i="19" s="1"/>
  <c r="P425" i="19" a="1"/>
  <c r="P425" i="19" s="1"/>
  <c r="P426" i="19" a="1"/>
  <c r="P426" i="19" s="1"/>
  <c r="P427" i="19" a="1"/>
  <c r="P427" i="19" s="1"/>
  <c r="P428" i="19" a="1"/>
  <c r="P428" i="19" s="1"/>
  <c r="P429" i="19" a="1"/>
  <c r="P429" i="19" s="1"/>
  <c r="P430" i="19" a="1"/>
  <c r="P430" i="19" s="1"/>
  <c r="P431" i="19" a="1"/>
  <c r="P431" i="19" s="1"/>
  <c r="P432" i="19" a="1"/>
  <c r="P432" i="19" s="1"/>
  <c r="P433" i="19" a="1"/>
  <c r="P433" i="19" s="1"/>
  <c r="P434" i="19" a="1"/>
  <c r="P434" i="19" s="1"/>
  <c r="P435" i="19" a="1"/>
  <c r="P435" i="19" s="1"/>
  <c r="P436" i="19" a="1"/>
  <c r="P436" i="19" s="1"/>
  <c r="P437" i="19" a="1"/>
  <c r="P437" i="19" s="1"/>
  <c r="P438" i="19" a="1"/>
  <c r="P438" i="19" s="1"/>
  <c r="P439" i="19" a="1"/>
  <c r="P439" i="19" s="1"/>
  <c r="P440" i="19" a="1"/>
  <c r="P440" i="19" s="1"/>
  <c r="P441" i="19" a="1"/>
  <c r="P441" i="19" s="1"/>
  <c r="P442" i="19" a="1"/>
  <c r="P442" i="19" s="1"/>
  <c r="P443" i="19" a="1"/>
  <c r="P443" i="19" s="1"/>
  <c r="P444" i="19" a="1"/>
  <c r="P444" i="19" s="1"/>
  <c r="P445" i="19" a="1"/>
  <c r="P445" i="19" s="1"/>
  <c r="P446" i="19" a="1"/>
  <c r="P446" i="19" s="1"/>
  <c r="P447" i="19" a="1"/>
  <c r="P447" i="19" s="1"/>
  <c r="P448" i="19" a="1"/>
  <c r="P448" i="19" s="1"/>
  <c r="P449" i="19" a="1"/>
  <c r="P449" i="19" s="1"/>
  <c r="P450" i="19" a="1"/>
  <c r="P450" i="19" s="1"/>
  <c r="P451" i="19" a="1"/>
  <c r="P451" i="19" s="1"/>
  <c r="P452" i="19" a="1"/>
  <c r="P452" i="19" s="1"/>
  <c r="P453" i="19" a="1"/>
  <c r="P453" i="19" s="1"/>
  <c r="P454" i="19" a="1"/>
  <c r="P454" i="19" s="1"/>
  <c r="P455" i="19" a="1"/>
  <c r="P455" i="19" s="1"/>
  <c r="P456" i="19" a="1"/>
  <c r="P456" i="19" s="1"/>
  <c r="P457" i="19" a="1"/>
  <c r="P457" i="19" s="1"/>
  <c r="P458" i="19" a="1"/>
  <c r="P458" i="19" s="1"/>
  <c r="P459" i="19" a="1"/>
  <c r="P459" i="19" s="1"/>
  <c r="P460" i="19" a="1"/>
  <c r="P460" i="19" s="1"/>
  <c r="P461" i="19" a="1"/>
  <c r="P461" i="19" s="1"/>
  <c r="P462" i="19" a="1"/>
  <c r="P462" i="19" s="1"/>
  <c r="P463" i="19" a="1"/>
  <c r="P463" i="19" s="1"/>
  <c r="P464" i="19" a="1"/>
  <c r="P464" i="19" s="1"/>
  <c r="P465" i="19" a="1"/>
  <c r="P465" i="19" s="1"/>
  <c r="P466" i="19" a="1"/>
  <c r="P466" i="19" s="1"/>
  <c r="P467" i="19" a="1"/>
  <c r="P467" i="19" s="1"/>
  <c r="P468" i="19" a="1"/>
  <c r="P468" i="19" s="1"/>
  <c r="P469" i="19" a="1"/>
  <c r="P469" i="19" s="1"/>
  <c r="P470" i="19" a="1"/>
  <c r="P470" i="19" s="1"/>
  <c r="P471" i="19" a="1"/>
  <c r="P471" i="19" s="1"/>
  <c r="P472" i="19" a="1"/>
  <c r="P472" i="19" s="1"/>
  <c r="P473" i="19" a="1"/>
  <c r="P473" i="19" s="1"/>
  <c r="P474" i="19" a="1"/>
  <c r="P474" i="19" s="1"/>
  <c r="P475" i="19" a="1"/>
  <c r="P475" i="19" s="1"/>
  <c r="P476" i="19" a="1"/>
  <c r="P476" i="19" s="1"/>
  <c r="P477" i="19" a="1"/>
  <c r="P477" i="19" s="1"/>
  <c r="P478" i="19" a="1"/>
  <c r="P478" i="19" s="1"/>
  <c r="P479" i="19" a="1"/>
  <c r="P479" i="19" s="1"/>
  <c r="P480" i="19" a="1"/>
  <c r="P480" i="19" s="1"/>
  <c r="P481" i="19" a="1"/>
  <c r="P481" i="19" s="1"/>
  <c r="P482" i="19" a="1"/>
  <c r="P482" i="19" s="1"/>
  <c r="P483" i="19" a="1"/>
  <c r="P483" i="19" s="1"/>
  <c r="P484" i="19" a="1"/>
  <c r="P484" i="19" s="1"/>
  <c r="P485" i="19" a="1"/>
  <c r="P485" i="19" s="1"/>
  <c r="P486" i="19" a="1"/>
  <c r="P486" i="19" s="1"/>
  <c r="P487" i="19" a="1"/>
  <c r="P487" i="19" s="1"/>
  <c r="P488" i="19" a="1"/>
  <c r="P488" i="19" s="1"/>
  <c r="P489" i="19" a="1"/>
  <c r="P489" i="19" s="1"/>
  <c r="P490" i="19" a="1"/>
  <c r="P490" i="19" s="1"/>
  <c r="P491" i="19" a="1"/>
  <c r="P491" i="19" s="1"/>
  <c r="P492" i="19" a="1"/>
  <c r="P492" i="19" s="1"/>
  <c r="P493" i="19" a="1"/>
  <c r="P493" i="19" s="1"/>
  <c r="P494" i="19" a="1"/>
  <c r="P494" i="19" s="1"/>
  <c r="P495" i="19" a="1"/>
  <c r="P495" i="19" s="1"/>
  <c r="P496" i="19" a="1"/>
  <c r="P496" i="19" s="1"/>
  <c r="P497" i="19" a="1"/>
  <c r="P497" i="19" s="1"/>
  <c r="P498" i="19" a="1"/>
  <c r="P498" i="19" s="1"/>
  <c r="P499" i="19" a="1"/>
  <c r="P499" i="19" s="1"/>
  <c r="Q311" i="19"/>
  <c r="Q312" i="19"/>
  <c r="Q313" i="19"/>
  <c r="Q314" i="19"/>
  <c r="Q315" i="19"/>
  <c r="Q316" i="19"/>
  <c r="Q317" i="19"/>
  <c r="Q318" i="19"/>
  <c r="Q319" i="19"/>
  <c r="Q320" i="19"/>
  <c r="Q321" i="19"/>
  <c r="Q322" i="19"/>
  <c r="Q323" i="19"/>
  <c r="Q324" i="19"/>
  <c r="Q325" i="19"/>
  <c r="Q326" i="19"/>
  <c r="Q327" i="19"/>
  <c r="Q328" i="19"/>
  <c r="Q329" i="19"/>
  <c r="Q330" i="19"/>
  <c r="Q331" i="19"/>
  <c r="Q332" i="19"/>
  <c r="Q333" i="19"/>
  <c r="Q334" i="19"/>
  <c r="Q335" i="19"/>
  <c r="Q336" i="19"/>
  <c r="Q337" i="19"/>
  <c r="Q338" i="19"/>
  <c r="Q339" i="19"/>
  <c r="Q340" i="19"/>
  <c r="Q341" i="19"/>
  <c r="Q342" i="19"/>
  <c r="Q343" i="19"/>
  <c r="Q344" i="19"/>
  <c r="Q345" i="19"/>
  <c r="Q346" i="19"/>
  <c r="Q347" i="19"/>
  <c r="Q348" i="19"/>
  <c r="Q349" i="19"/>
  <c r="Q350" i="19"/>
  <c r="Q351" i="19"/>
  <c r="Q352" i="19"/>
  <c r="Q353" i="19"/>
  <c r="Q354" i="19"/>
  <c r="Q355" i="19"/>
  <c r="Q356" i="19"/>
  <c r="Q357" i="19"/>
  <c r="Q358" i="19"/>
  <c r="Q359" i="19"/>
  <c r="Q360" i="19"/>
  <c r="Q361" i="19"/>
  <c r="Q362" i="19"/>
  <c r="Q363" i="19"/>
  <c r="Q364" i="19"/>
  <c r="Q365" i="19"/>
  <c r="Q366" i="19"/>
  <c r="Q367" i="19"/>
  <c r="Q368" i="19"/>
  <c r="Q369" i="19"/>
  <c r="Q370" i="19"/>
  <c r="Q371" i="19"/>
  <c r="Q372" i="19"/>
  <c r="Q373" i="19"/>
  <c r="Q374" i="19"/>
  <c r="Q375" i="19"/>
  <c r="Q376" i="19"/>
  <c r="Q377" i="19"/>
  <c r="Q378" i="19"/>
  <c r="Q379" i="19"/>
  <c r="Q380" i="19"/>
  <c r="Q381" i="19"/>
  <c r="R6" i="19" l="1"/>
  <c r="V6" i="19"/>
  <c r="M6" i="19"/>
  <c r="N6" i="19"/>
  <c r="W6" i="19"/>
  <c r="W172" i="19" l="1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R5" i="19"/>
  <c r="R4" i="19"/>
  <c r="H77" i="19" a="1"/>
  <c r="H77" i="19" s="1"/>
  <c r="H76" i="19" a="1"/>
  <c r="H76" i="19" s="1"/>
  <c r="H75" i="19" a="1"/>
  <c r="H75" i="19" s="1"/>
  <c r="H74" i="19" a="1"/>
  <c r="H74" i="19" s="1"/>
  <c r="H73" i="19" a="1"/>
  <c r="H73" i="19" s="1"/>
  <c r="H72" i="19" a="1"/>
  <c r="H72" i="19" s="1"/>
  <c r="H71" i="19" a="1"/>
  <c r="H71" i="19" s="1"/>
  <c r="H70" i="19" a="1"/>
  <c r="H70" i="19" s="1"/>
  <c r="H69" i="19" a="1"/>
  <c r="H69" i="19" s="1"/>
  <c r="H68" i="19" a="1"/>
  <c r="H68" i="19" s="1"/>
  <c r="H67" i="19" a="1"/>
  <c r="H67" i="19" s="1"/>
  <c r="H66" i="19" a="1"/>
  <c r="H66" i="19" s="1"/>
  <c r="H65" i="19" a="1"/>
  <c r="H65" i="19" s="1"/>
  <c r="H64" i="19" a="1"/>
  <c r="H64" i="19" s="1"/>
  <c r="H63" i="19" a="1"/>
  <c r="H63" i="19" s="1"/>
  <c r="L63" i="19" s="1"/>
  <c r="H62" i="19" a="1"/>
  <c r="H62" i="19" s="1"/>
  <c r="H61" i="19" a="1"/>
  <c r="H61" i="19" s="1"/>
  <c r="H60" i="19" a="1"/>
  <c r="H60" i="19" s="1"/>
  <c r="H59" i="19" a="1"/>
  <c r="H59" i="19" s="1"/>
  <c r="H58" i="19" a="1"/>
  <c r="H58" i="19" s="1"/>
  <c r="H57" i="19" a="1"/>
  <c r="H57" i="19" s="1"/>
  <c r="H56" i="19" a="1"/>
  <c r="H56" i="19" s="1"/>
  <c r="H55" i="19" a="1"/>
  <c r="H55" i="19" s="1"/>
  <c r="L55" i="19" s="1"/>
  <c r="H54" i="19" a="1"/>
  <c r="H54" i="19" s="1"/>
  <c r="H53" i="19" a="1"/>
  <c r="H53" i="19" s="1"/>
  <c r="H52" i="19" a="1"/>
  <c r="H52" i="19" s="1"/>
  <c r="H51" i="19" a="1"/>
  <c r="H51" i="19" s="1"/>
  <c r="H50" i="19" a="1"/>
  <c r="H50" i="19" s="1"/>
  <c r="H49" i="19" a="1"/>
  <c r="H49" i="19" s="1"/>
  <c r="H48" i="19" a="1"/>
  <c r="H48" i="19" s="1"/>
  <c r="H47" i="19" a="1"/>
  <c r="H47" i="19" s="1"/>
  <c r="L47" i="19" s="1"/>
  <c r="H46" i="19" a="1"/>
  <c r="H46" i="19" s="1"/>
  <c r="H45" i="19" a="1"/>
  <c r="H45" i="19" s="1"/>
  <c r="H44" i="19" a="1"/>
  <c r="H44" i="19" s="1"/>
  <c r="H43" i="19" a="1"/>
  <c r="H43" i="19" s="1"/>
  <c r="H42" i="19" a="1"/>
  <c r="H42" i="19" s="1"/>
  <c r="H41" i="19" a="1"/>
  <c r="H41" i="19" s="1"/>
  <c r="H40" i="19" a="1"/>
  <c r="H40" i="19" s="1"/>
  <c r="H39" i="19" a="1"/>
  <c r="H39" i="19" s="1"/>
  <c r="L39" i="19" s="1"/>
  <c r="H38" i="19" a="1"/>
  <c r="H38" i="19" s="1"/>
  <c r="H37" i="19" a="1"/>
  <c r="H37" i="19" s="1"/>
  <c r="H36" i="19" a="1"/>
  <c r="H36" i="19" s="1"/>
  <c r="H35" i="19" a="1"/>
  <c r="H35" i="19" s="1"/>
  <c r="H34" i="19" a="1"/>
  <c r="H34" i="19" s="1"/>
  <c r="H33" i="19" a="1"/>
  <c r="H33" i="19" s="1"/>
  <c r="H32" i="19" a="1"/>
  <c r="H32" i="19" s="1"/>
  <c r="H31" i="19" a="1"/>
  <c r="H31" i="19" s="1"/>
  <c r="L31" i="19" s="1"/>
  <c r="H30" i="19" a="1"/>
  <c r="H30" i="19" s="1"/>
  <c r="H29" i="19" a="1"/>
  <c r="H29" i="19" s="1"/>
  <c r="H28" i="19" a="1"/>
  <c r="H28" i="19" s="1"/>
  <c r="H27" i="19" a="1"/>
  <c r="H27" i="19" s="1"/>
  <c r="H26" i="19" a="1"/>
  <c r="H26" i="19" s="1"/>
  <c r="H25" i="19" a="1"/>
  <c r="H25" i="19" s="1"/>
  <c r="H24" i="19" a="1"/>
  <c r="H24" i="19" s="1"/>
  <c r="H23" i="19" a="1"/>
  <c r="H23" i="19" s="1"/>
  <c r="K23" i="19" s="1"/>
  <c r="H22" i="19" a="1"/>
  <c r="H22" i="19" s="1"/>
  <c r="H21" i="19" a="1"/>
  <c r="H21" i="19" s="1"/>
  <c r="H20" i="19" a="1"/>
  <c r="H20" i="19" s="1"/>
  <c r="H19" i="19" a="1"/>
  <c r="H19" i="19" s="1"/>
  <c r="H18" i="19" a="1"/>
  <c r="H18" i="19" s="1"/>
  <c r="H17" i="19" a="1"/>
  <c r="H17" i="19" s="1"/>
  <c r="H16" i="19" a="1"/>
  <c r="H16" i="19" s="1"/>
  <c r="H15" i="19" a="1"/>
  <c r="H15" i="19" s="1"/>
  <c r="L15" i="19" s="1"/>
  <c r="H14" i="19" a="1"/>
  <c r="H14" i="19" s="1"/>
  <c r="H13" i="19" a="1"/>
  <c r="H13" i="19" s="1"/>
  <c r="H12" i="19" a="1"/>
  <c r="H12" i="19" s="1"/>
  <c r="H11" i="19" a="1"/>
  <c r="H11" i="19" s="1"/>
  <c r="H10" i="19" a="1"/>
  <c r="H10" i="19" s="1"/>
  <c r="H9" i="19" a="1"/>
  <c r="H9" i="19" s="1"/>
  <c r="H8" i="19" a="1"/>
  <c r="H8" i="19" s="1"/>
  <c r="H7" i="19" a="1"/>
  <c r="H7" i="19" s="1"/>
  <c r="L7" i="19" s="1"/>
  <c r="D77" i="19" a="1"/>
  <c r="D77" i="19" s="1"/>
  <c r="D76" i="19" a="1"/>
  <c r="D76" i="19" s="1"/>
  <c r="D75" i="19" a="1"/>
  <c r="D75" i="19" s="1"/>
  <c r="D74" i="19" a="1"/>
  <c r="D74" i="19" s="1"/>
  <c r="D73" i="19" a="1"/>
  <c r="D73" i="19" s="1"/>
  <c r="D72" i="19" a="1"/>
  <c r="D72" i="19" s="1"/>
  <c r="D71" i="19" a="1"/>
  <c r="D71" i="19" s="1"/>
  <c r="D70" i="19" a="1"/>
  <c r="D70" i="19" s="1"/>
  <c r="D69" i="19" a="1"/>
  <c r="D69" i="19" s="1"/>
  <c r="D68" i="19" a="1"/>
  <c r="D68" i="19" s="1"/>
  <c r="D67" i="19" a="1"/>
  <c r="D67" i="19" s="1"/>
  <c r="D66" i="19" a="1"/>
  <c r="D66" i="19" s="1"/>
  <c r="D65" i="19" a="1"/>
  <c r="D65" i="19" s="1"/>
  <c r="D64" i="19" a="1"/>
  <c r="D64" i="19" s="1"/>
  <c r="D63" i="19" a="1"/>
  <c r="D63" i="19" s="1"/>
  <c r="D62" i="19" a="1"/>
  <c r="D62" i="19" s="1"/>
  <c r="D61" i="19" a="1"/>
  <c r="D61" i="19" s="1"/>
  <c r="D60" i="19" a="1"/>
  <c r="D60" i="19" s="1"/>
  <c r="D59" i="19" a="1"/>
  <c r="D59" i="19" s="1"/>
  <c r="D58" i="19" a="1"/>
  <c r="D58" i="19" s="1"/>
  <c r="D57" i="19" a="1"/>
  <c r="D57" i="19" s="1"/>
  <c r="D56" i="19" a="1"/>
  <c r="D56" i="19" s="1"/>
  <c r="D55" i="19" a="1"/>
  <c r="D55" i="19" s="1"/>
  <c r="D54" i="19" a="1"/>
  <c r="D54" i="19" s="1"/>
  <c r="D53" i="19" a="1"/>
  <c r="D53" i="19" s="1"/>
  <c r="D52" i="19" a="1"/>
  <c r="D52" i="19" s="1"/>
  <c r="D51" i="19" a="1"/>
  <c r="D51" i="19" s="1"/>
  <c r="D50" i="19" a="1"/>
  <c r="D50" i="19" s="1"/>
  <c r="D49" i="19" a="1"/>
  <c r="D49" i="19" s="1"/>
  <c r="D48" i="19" a="1"/>
  <c r="D48" i="19" s="1"/>
  <c r="D47" i="19" a="1"/>
  <c r="D47" i="19" s="1"/>
  <c r="D46" i="19" a="1"/>
  <c r="D46" i="19" s="1"/>
  <c r="D45" i="19" a="1"/>
  <c r="D45" i="19" s="1"/>
  <c r="D44" i="19" a="1"/>
  <c r="D44" i="19" s="1"/>
  <c r="D43" i="19" a="1"/>
  <c r="D43" i="19" s="1"/>
  <c r="D42" i="19" a="1"/>
  <c r="D42" i="19" s="1"/>
  <c r="D41" i="19" a="1"/>
  <c r="D41" i="19" s="1"/>
  <c r="D40" i="19" a="1"/>
  <c r="D40" i="19" s="1"/>
  <c r="D39" i="19" a="1"/>
  <c r="D39" i="19" s="1"/>
  <c r="D38" i="19" a="1"/>
  <c r="D38" i="19" s="1"/>
  <c r="D37" i="19" a="1"/>
  <c r="D37" i="19" s="1"/>
  <c r="D36" i="19" a="1"/>
  <c r="D36" i="19" s="1"/>
  <c r="D35" i="19" a="1"/>
  <c r="D35" i="19" s="1"/>
  <c r="D34" i="19" a="1"/>
  <c r="D34" i="19" s="1"/>
  <c r="D33" i="19" a="1"/>
  <c r="D33" i="19" s="1"/>
  <c r="D32" i="19" a="1"/>
  <c r="D32" i="19" s="1"/>
  <c r="D31" i="19" a="1"/>
  <c r="D31" i="19" s="1"/>
  <c r="D30" i="19" a="1"/>
  <c r="D30" i="19" s="1"/>
  <c r="D29" i="19" a="1"/>
  <c r="D29" i="19" s="1"/>
  <c r="D28" i="19" a="1"/>
  <c r="D28" i="19" s="1"/>
  <c r="D27" i="19" a="1"/>
  <c r="D27" i="19" s="1"/>
  <c r="V77" i="19"/>
  <c r="S77" i="19"/>
  <c r="R77" i="19"/>
  <c r="O77" i="19"/>
  <c r="N77" i="19"/>
  <c r="M77" i="19"/>
  <c r="V76" i="19"/>
  <c r="S76" i="19"/>
  <c r="R76" i="19"/>
  <c r="O76" i="19"/>
  <c r="N76" i="19"/>
  <c r="M76" i="19"/>
  <c r="V75" i="19"/>
  <c r="S75" i="19"/>
  <c r="R75" i="19"/>
  <c r="O75" i="19"/>
  <c r="N75" i="19"/>
  <c r="M75" i="19"/>
  <c r="V74" i="19"/>
  <c r="S74" i="19"/>
  <c r="R74" i="19"/>
  <c r="O74" i="19"/>
  <c r="N74" i="19"/>
  <c r="M74" i="19"/>
  <c r="V73" i="19"/>
  <c r="S73" i="19"/>
  <c r="R73" i="19"/>
  <c r="O73" i="19"/>
  <c r="N73" i="19"/>
  <c r="M73" i="19"/>
  <c r="V72" i="19"/>
  <c r="S72" i="19"/>
  <c r="R72" i="19"/>
  <c r="O72" i="19"/>
  <c r="N72" i="19"/>
  <c r="M72" i="19"/>
  <c r="V71" i="19"/>
  <c r="S71" i="19"/>
  <c r="R71" i="19"/>
  <c r="O71" i="19"/>
  <c r="N71" i="19"/>
  <c r="M71" i="19"/>
  <c r="V70" i="19"/>
  <c r="S70" i="19"/>
  <c r="R70" i="19"/>
  <c r="O70" i="19"/>
  <c r="N70" i="19"/>
  <c r="M70" i="19"/>
  <c r="V69" i="19"/>
  <c r="S69" i="19"/>
  <c r="R69" i="19"/>
  <c r="O69" i="19"/>
  <c r="N69" i="19"/>
  <c r="M69" i="19"/>
  <c r="V68" i="19"/>
  <c r="S68" i="19"/>
  <c r="R68" i="19"/>
  <c r="O68" i="19"/>
  <c r="N68" i="19"/>
  <c r="M68" i="19"/>
  <c r="V67" i="19"/>
  <c r="S67" i="19"/>
  <c r="R67" i="19"/>
  <c r="O67" i="19"/>
  <c r="N67" i="19"/>
  <c r="M67" i="19"/>
  <c r="V66" i="19"/>
  <c r="S66" i="19"/>
  <c r="R66" i="19"/>
  <c r="O66" i="19"/>
  <c r="N66" i="19"/>
  <c r="M66" i="19"/>
  <c r="V65" i="19"/>
  <c r="S65" i="19"/>
  <c r="R65" i="19"/>
  <c r="O65" i="19"/>
  <c r="N65" i="19"/>
  <c r="M65" i="19"/>
  <c r="V64" i="19"/>
  <c r="S64" i="19"/>
  <c r="R64" i="19"/>
  <c r="O64" i="19"/>
  <c r="N64" i="19"/>
  <c r="M64" i="19"/>
  <c r="V63" i="19"/>
  <c r="S63" i="19"/>
  <c r="R63" i="19"/>
  <c r="O63" i="19"/>
  <c r="N63" i="19"/>
  <c r="M63" i="19"/>
  <c r="V62" i="19"/>
  <c r="S62" i="19"/>
  <c r="R62" i="19"/>
  <c r="O62" i="19"/>
  <c r="N62" i="19"/>
  <c r="M62" i="19"/>
  <c r="V61" i="19"/>
  <c r="S61" i="19"/>
  <c r="R61" i="19"/>
  <c r="O61" i="19"/>
  <c r="N61" i="19"/>
  <c r="M61" i="19"/>
  <c r="V60" i="19"/>
  <c r="S60" i="19"/>
  <c r="R60" i="19"/>
  <c r="O60" i="19"/>
  <c r="N60" i="19"/>
  <c r="M60" i="19"/>
  <c r="V59" i="19"/>
  <c r="S59" i="19"/>
  <c r="R59" i="19"/>
  <c r="O59" i="19"/>
  <c r="N59" i="19"/>
  <c r="M59" i="19"/>
  <c r="V58" i="19"/>
  <c r="S58" i="19"/>
  <c r="R58" i="19"/>
  <c r="O58" i="19"/>
  <c r="N58" i="19"/>
  <c r="M58" i="19"/>
  <c r="V57" i="19"/>
  <c r="S57" i="19"/>
  <c r="R57" i="19"/>
  <c r="O57" i="19"/>
  <c r="N57" i="19"/>
  <c r="M57" i="19"/>
  <c r="V56" i="19"/>
  <c r="S56" i="19"/>
  <c r="R56" i="19"/>
  <c r="O56" i="19"/>
  <c r="N56" i="19"/>
  <c r="M56" i="19"/>
  <c r="V55" i="19"/>
  <c r="S55" i="19"/>
  <c r="R55" i="19"/>
  <c r="O55" i="19"/>
  <c r="N55" i="19"/>
  <c r="M55" i="19"/>
  <c r="V54" i="19"/>
  <c r="S54" i="19"/>
  <c r="R54" i="19"/>
  <c r="O54" i="19"/>
  <c r="N54" i="19"/>
  <c r="M54" i="19"/>
  <c r="V53" i="19"/>
  <c r="S53" i="19"/>
  <c r="R53" i="19"/>
  <c r="O53" i="19"/>
  <c r="N53" i="19"/>
  <c r="M53" i="19"/>
  <c r="V52" i="19"/>
  <c r="S52" i="19"/>
  <c r="R52" i="19"/>
  <c r="O52" i="19"/>
  <c r="N52" i="19"/>
  <c r="M52" i="19"/>
  <c r="V51" i="19"/>
  <c r="S51" i="19"/>
  <c r="R51" i="19"/>
  <c r="O51" i="19"/>
  <c r="N51" i="19"/>
  <c r="M51" i="19"/>
  <c r="V50" i="19"/>
  <c r="S50" i="19"/>
  <c r="R50" i="19"/>
  <c r="O50" i="19"/>
  <c r="N50" i="19"/>
  <c r="M50" i="19"/>
  <c r="V49" i="19"/>
  <c r="S49" i="19"/>
  <c r="R49" i="19"/>
  <c r="O49" i="19"/>
  <c r="N49" i="19"/>
  <c r="M49" i="19"/>
  <c r="V48" i="19"/>
  <c r="S48" i="19"/>
  <c r="R48" i="19"/>
  <c r="O48" i="19"/>
  <c r="N48" i="19"/>
  <c r="M48" i="19"/>
  <c r="V47" i="19"/>
  <c r="S47" i="19"/>
  <c r="R47" i="19"/>
  <c r="O47" i="19"/>
  <c r="N47" i="19"/>
  <c r="M47" i="19"/>
  <c r="V46" i="19"/>
  <c r="S46" i="19"/>
  <c r="R46" i="19"/>
  <c r="O46" i="19"/>
  <c r="N46" i="19"/>
  <c r="M46" i="19"/>
  <c r="V45" i="19"/>
  <c r="S45" i="19"/>
  <c r="R45" i="19"/>
  <c r="O45" i="19"/>
  <c r="N45" i="19"/>
  <c r="M45" i="19"/>
  <c r="V44" i="19"/>
  <c r="S44" i="19"/>
  <c r="R44" i="19"/>
  <c r="O44" i="19"/>
  <c r="N44" i="19"/>
  <c r="M44" i="19"/>
  <c r="V43" i="19"/>
  <c r="S43" i="19"/>
  <c r="R43" i="19"/>
  <c r="O43" i="19"/>
  <c r="N43" i="19"/>
  <c r="M43" i="19"/>
  <c r="V42" i="19"/>
  <c r="S42" i="19"/>
  <c r="R42" i="19"/>
  <c r="O42" i="19"/>
  <c r="N42" i="19"/>
  <c r="M42" i="19"/>
  <c r="V41" i="19"/>
  <c r="S41" i="19"/>
  <c r="R41" i="19"/>
  <c r="O41" i="19"/>
  <c r="N41" i="19"/>
  <c r="M41" i="19"/>
  <c r="V40" i="19"/>
  <c r="S40" i="19"/>
  <c r="R40" i="19"/>
  <c r="O40" i="19"/>
  <c r="N40" i="19"/>
  <c r="M40" i="19"/>
  <c r="V39" i="19"/>
  <c r="S39" i="19"/>
  <c r="R39" i="19"/>
  <c r="O39" i="19"/>
  <c r="N39" i="19"/>
  <c r="M39" i="19"/>
  <c r="V38" i="19"/>
  <c r="S38" i="19"/>
  <c r="R38" i="19"/>
  <c r="O38" i="19"/>
  <c r="N38" i="19"/>
  <c r="M38" i="19"/>
  <c r="V37" i="19"/>
  <c r="S37" i="19"/>
  <c r="R37" i="19"/>
  <c r="O37" i="19"/>
  <c r="N37" i="19"/>
  <c r="M37" i="19"/>
  <c r="V36" i="19"/>
  <c r="S36" i="19"/>
  <c r="R36" i="19"/>
  <c r="O36" i="19"/>
  <c r="N36" i="19"/>
  <c r="M36" i="19"/>
  <c r="V35" i="19"/>
  <c r="S35" i="19"/>
  <c r="R35" i="19"/>
  <c r="O35" i="19"/>
  <c r="N35" i="19"/>
  <c r="M35" i="19"/>
  <c r="V34" i="19"/>
  <c r="S34" i="19"/>
  <c r="R34" i="19"/>
  <c r="O34" i="19"/>
  <c r="N34" i="19"/>
  <c r="M34" i="19"/>
  <c r="V33" i="19"/>
  <c r="S33" i="19"/>
  <c r="R33" i="19"/>
  <c r="O33" i="19"/>
  <c r="N33" i="19"/>
  <c r="M33" i="19"/>
  <c r="V32" i="19"/>
  <c r="S32" i="19"/>
  <c r="R32" i="19"/>
  <c r="O32" i="19"/>
  <c r="N32" i="19"/>
  <c r="M32" i="19"/>
  <c r="V31" i="19"/>
  <c r="S31" i="19"/>
  <c r="R31" i="19"/>
  <c r="O31" i="19"/>
  <c r="N31" i="19"/>
  <c r="M31" i="19"/>
  <c r="V30" i="19"/>
  <c r="S30" i="19"/>
  <c r="R30" i="19"/>
  <c r="O30" i="19"/>
  <c r="N30" i="19"/>
  <c r="M30" i="19"/>
  <c r="V29" i="19"/>
  <c r="S29" i="19"/>
  <c r="R29" i="19"/>
  <c r="O29" i="19"/>
  <c r="N29" i="19"/>
  <c r="M29" i="19"/>
  <c r="V28" i="19"/>
  <c r="S28" i="19"/>
  <c r="R28" i="19"/>
  <c r="O28" i="19"/>
  <c r="N28" i="19"/>
  <c r="M28" i="19"/>
  <c r="V27" i="19"/>
  <c r="S27" i="19"/>
  <c r="R27" i="19"/>
  <c r="O27" i="19"/>
  <c r="N27" i="19"/>
  <c r="M27" i="19"/>
  <c r="V26" i="19"/>
  <c r="S26" i="19"/>
  <c r="R26" i="19"/>
  <c r="O26" i="19"/>
  <c r="N26" i="19"/>
  <c r="M26" i="19"/>
  <c r="V25" i="19"/>
  <c r="S25" i="19"/>
  <c r="R25" i="19"/>
  <c r="O25" i="19"/>
  <c r="N25" i="19"/>
  <c r="M25" i="19"/>
  <c r="V24" i="19"/>
  <c r="S24" i="19"/>
  <c r="R24" i="19"/>
  <c r="O24" i="19"/>
  <c r="N24" i="19"/>
  <c r="M24" i="19"/>
  <c r="V23" i="19"/>
  <c r="S23" i="19"/>
  <c r="R23" i="19"/>
  <c r="O23" i="19"/>
  <c r="N23" i="19"/>
  <c r="M23" i="19"/>
  <c r="V22" i="19"/>
  <c r="S22" i="19"/>
  <c r="R22" i="19"/>
  <c r="O22" i="19"/>
  <c r="N22" i="19"/>
  <c r="M22" i="19"/>
  <c r="V21" i="19"/>
  <c r="S21" i="19"/>
  <c r="R21" i="19"/>
  <c r="O21" i="19"/>
  <c r="N21" i="19"/>
  <c r="M21" i="19"/>
  <c r="V20" i="19"/>
  <c r="S20" i="19"/>
  <c r="R20" i="19"/>
  <c r="O20" i="19"/>
  <c r="N20" i="19"/>
  <c r="M20" i="19"/>
  <c r="V19" i="19"/>
  <c r="S19" i="19"/>
  <c r="R19" i="19"/>
  <c r="O19" i="19"/>
  <c r="N19" i="19"/>
  <c r="M19" i="19"/>
  <c r="V18" i="19"/>
  <c r="S18" i="19"/>
  <c r="R18" i="19"/>
  <c r="O18" i="19"/>
  <c r="N18" i="19"/>
  <c r="M18" i="19"/>
  <c r="V17" i="19"/>
  <c r="S17" i="19"/>
  <c r="R17" i="19"/>
  <c r="O17" i="19"/>
  <c r="N17" i="19"/>
  <c r="M17" i="19"/>
  <c r="V16" i="19"/>
  <c r="S16" i="19"/>
  <c r="R16" i="19"/>
  <c r="O16" i="19"/>
  <c r="N16" i="19"/>
  <c r="M16" i="19"/>
  <c r="V15" i="19"/>
  <c r="S15" i="19"/>
  <c r="R15" i="19"/>
  <c r="O15" i="19"/>
  <c r="N15" i="19"/>
  <c r="M15" i="19"/>
  <c r="V14" i="19"/>
  <c r="S14" i="19"/>
  <c r="R14" i="19"/>
  <c r="O14" i="19"/>
  <c r="N14" i="19"/>
  <c r="M14" i="19"/>
  <c r="V13" i="19"/>
  <c r="S13" i="19"/>
  <c r="O13" i="19"/>
  <c r="N13" i="19"/>
  <c r="M13" i="19"/>
  <c r="V12" i="19"/>
  <c r="S12" i="19"/>
  <c r="O12" i="19"/>
  <c r="N12" i="19"/>
  <c r="M12" i="19"/>
  <c r="V11" i="19"/>
  <c r="S11" i="19"/>
  <c r="O11" i="19"/>
  <c r="N11" i="19"/>
  <c r="M11" i="19"/>
  <c r="V10" i="19"/>
  <c r="S10" i="19"/>
  <c r="O10" i="19"/>
  <c r="N10" i="19"/>
  <c r="M10" i="19"/>
  <c r="V9" i="19"/>
  <c r="S9" i="19"/>
  <c r="O9" i="19"/>
  <c r="N9" i="19"/>
  <c r="M9" i="19"/>
  <c r="V8" i="19"/>
  <c r="S8" i="19"/>
  <c r="O8" i="19"/>
  <c r="N8" i="19"/>
  <c r="M8" i="19"/>
  <c r="V7" i="19"/>
  <c r="S7" i="19"/>
  <c r="O7" i="19"/>
  <c r="N7" i="19"/>
  <c r="M7" i="19"/>
  <c r="N5" i="19"/>
  <c r="M5" i="19"/>
  <c r="N4" i="19"/>
  <c r="M4" i="19"/>
  <c r="J126" i="19" a="1"/>
  <c r="J48" i="19" a="1"/>
  <c r="J94" i="19" a="1"/>
  <c r="J15" i="19" a="1"/>
  <c r="J29" i="19" a="1"/>
  <c r="J77" i="19" a="1"/>
  <c r="J155" i="19" a="1"/>
  <c r="J52" i="19" a="1"/>
  <c r="J92" i="19" a="1"/>
  <c r="J166" i="19" a="1"/>
  <c r="J43" i="19" a="1"/>
  <c r="J85" i="19" a="1"/>
  <c r="J173" i="19" a="1"/>
  <c r="J112" i="19" a="1"/>
  <c r="J35" i="19" a="1"/>
  <c r="J63" i="19" a="1"/>
  <c r="J39" i="19" a="1"/>
  <c r="J141" i="19" a="1"/>
  <c r="J7" i="19" a="1"/>
  <c r="J172" i="19" a="1"/>
  <c r="J100" i="19" a="1"/>
  <c r="J139" i="19" a="1"/>
  <c r="J22" i="19" a="1"/>
  <c r="J200" i="19" a="1"/>
  <c r="J61" i="19" a="1"/>
  <c r="J102" i="19" a="1"/>
  <c r="J12" i="19" a="1"/>
  <c r="J11" i="19" a="1"/>
  <c r="J164" i="19" a="1"/>
  <c r="J36" i="19" a="1"/>
  <c r="J113" i="19" a="1"/>
  <c r="J87" i="19" a="1"/>
  <c r="J160" i="19" a="1"/>
  <c r="J153" i="19" a="1"/>
  <c r="J138" i="19" a="1"/>
  <c r="J124" i="19" a="1"/>
  <c r="J204" i="19" a="1"/>
  <c r="J76" i="19" a="1"/>
  <c r="J49" i="19" a="1"/>
  <c r="J45" i="19" a="1"/>
  <c r="J58" i="19" a="1"/>
  <c r="J135" i="19" a="1"/>
  <c r="J55" i="19" a="1"/>
  <c r="J176" i="19" a="1"/>
  <c r="J201" i="19" a="1"/>
  <c r="J23" i="19" a="1"/>
  <c r="J158" i="19" a="1"/>
  <c r="J53" i="19" a="1"/>
  <c r="J83" i="19" a="1"/>
  <c r="J46" i="19" a="1"/>
  <c r="J99" i="19" a="1"/>
  <c r="J132" i="19" a="1"/>
  <c r="J42" i="19" a="1"/>
  <c r="J131" i="19" a="1"/>
  <c r="J145" i="19" a="1"/>
  <c r="J151" i="19" a="1"/>
  <c r="J73" i="19" a="1"/>
  <c r="J194" i="19" a="1"/>
  <c r="J81" i="19" a="1"/>
  <c r="J195" i="19" a="1"/>
  <c r="J57" i="19" a="1"/>
  <c r="J161" i="19" a="1"/>
  <c r="J88" i="19" a="1"/>
  <c r="J19" i="19" a="1"/>
  <c r="J8" i="19" a="1"/>
  <c r="J179" i="19" a="1"/>
  <c r="J28" i="19" a="1"/>
  <c r="J198" i="19" a="1"/>
  <c r="J183" i="19" a="1"/>
  <c r="J9" i="19" a="1"/>
  <c r="J119" i="19" a="1"/>
  <c r="J205" i="19" a="1"/>
  <c r="J193" i="19" a="1"/>
  <c r="J184" i="19" a="1"/>
  <c r="J181" i="19" a="1"/>
  <c r="J27" i="19" a="1"/>
  <c r="J142" i="19" a="1"/>
  <c r="J189" i="19" a="1"/>
  <c r="J197" i="19" a="1"/>
  <c r="J54" i="19" a="1"/>
  <c r="J163" i="19" a="1"/>
  <c r="J116" i="19" a="1"/>
  <c r="J203" i="19" a="1"/>
  <c r="J121" i="19" a="1"/>
  <c r="J50" i="19" a="1"/>
  <c r="J156" i="19" a="1"/>
  <c r="J82" i="19" a="1"/>
  <c r="J162" i="19" a="1"/>
  <c r="J41" i="19" a="1"/>
  <c r="J69" i="19" a="1"/>
  <c r="J182" i="19" a="1"/>
  <c r="J146" i="19" a="1"/>
  <c r="J137" i="19" a="1"/>
  <c r="J191" i="19" a="1"/>
  <c r="J206" i="19" a="1"/>
  <c r="J114" i="19" a="1"/>
  <c r="J185" i="19" a="1"/>
  <c r="J65" i="19" a="1"/>
  <c r="J17" i="19" a="1"/>
  <c r="J64" i="19" a="1"/>
  <c r="J95" i="19" a="1"/>
  <c r="J188" i="19" a="1"/>
  <c r="J25" i="19" a="1"/>
  <c r="J26" i="19" a="1"/>
  <c r="J40" i="19" a="1"/>
  <c r="J143" i="19" a="1"/>
  <c r="J13" i="19" a="1"/>
  <c r="J122" i="19" a="1"/>
  <c r="J107" i="19" a="1"/>
  <c r="J90" i="19" a="1"/>
  <c r="J130" i="19" a="1"/>
  <c r="J78" i="19" a="1"/>
  <c r="J175" i="19" a="1"/>
  <c r="J44" i="19" a="1"/>
  <c r="J136" i="19" a="1"/>
  <c r="J10" i="19" a="1"/>
  <c r="J21" i="19" a="1"/>
  <c r="J14" i="19" a="1"/>
  <c r="J123" i="19" a="1"/>
  <c r="J140" i="19" a="1"/>
  <c r="J152" i="19" a="1"/>
  <c r="J70" i="19" a="1"/>
  <c r="J93" i="19" a="1"/>
  <c r="J187" i="19" a="1"/>
  <c r="J133" i="19" a="1"/>
  <c r="J30" i="19" a="1"/>
  <c r="J147" i="19" a="1"/>
  <c r="J128" i="19" a="1"/>
  <c r="J118" i="19" a="1"/>
  <c r="J34" i="19" a="1"/>
  <c r="J68" i="19" a="1"/>
  <c r="J169" i="19" a="1"/>
  <c r="J108" i="19" a="1"/>
  <c r="J75" i="19" a="1"/>
  <c r="J32" i="19" a="1"/>
  <c r="J38" i="19" a="1"/>
  <c r="J208" i="19" a="1"/>
  <c r="J33" i="19" a="1"/>
  <c r="J186" i="19" a="1"/>
  <c r="J101" i="19" a="1"/>
  <c r="J98" i="19" a="1"/>
  <c r="J106" i="19" a="1"/>
  <c r="J37" i="19" a="1"/>
  <c r="J134" i="19" a="1"/>
  <c r="J79" i="19" a="1"/>
  <c r="J154" i="19" a="1"/>
  <c r="J62" i="19" a="1"/>
  <c r="J165" i="19" a="1"/>
  <c r="J157" i="19" a="1"/>
  <c r="J31" i="19" a="1"/>
  <c r="J111" i="19" a="1"/>
  <c r="J66" i="19" a="1"/>
  <c r="J51" i="19" a="1"/>
  <c r="J71" i="19" a="1"/>
  <c r="J167" i="19" a="1"/>
  <c r="J150" i="19" a="1"/>
  <c r="J149" i="19" a="1"/>
  <c r="J104" i="19" a="1"/>
  <c r="J97" i="19" a="1"/>
  <c r="J207" i="19" a="1"/>
  <c r="J20" i="19" a="1"/>
  <c r="J190" i="19" a="1"/>
  <c r="J174" i="19" a="1"/>
  <c r="J109" i="19" a="1"/>
  <c r="J56" i="19" a="1"/>
  <c r="J84" i="19" a="1"/>
  <c r="J91" i="19" a="1"/>
  <c r="J199" i="19" a="1"/>
  <c r="J129" i="19" a="1"/>
  <c r="J16" i="19" a="1"/>
  <c r="J74" i="19" a="1"/>
  <c r="J80" i="19" a="1"/>
  <c r="J180" i="19" a="1"/>
  <c r="J159" i="19" a="1"/>
  <c r="J18" i="19" a="1"/>
  <c r="J115" i="19" a="1"/>
  <c r="J127" i="19" a="1"/>
  <c r="J72" i="19" a="1"/>
  <c r="J144" i="19" a="1"/>
  <c r="J86" i="19" a="1"/>
  <c r="J148" i="19" a="1"/>
  <c r="J192" i="19" a="1"/>
  <c r="J171" i="19" a="1"/>
  <c r="J170" i="19" a="1"/>
  <c r="J89" i="19" a="1"/>
  <c r="J125" i="19" a="1"/>
  <c r="J110" i="19" a="1"/>
  <c r="J103" i="19" a="1"/>
  <c r="J24" i="19" a="1"/>
  <c r="J178" i="19" a="1"/>
  <c r="J105" i="19" a="1"/>
  <c r="J47" i="19" a="1"/>
  <c r="J168" i="19" a="1"/>
  <c r="J196" i="19" a="1"/>
  <c r="J67" i="19" a="1"/>
  <c r="J117" i="19" a="1"/>
  <c r="J59" i="19" a="1"/>
  <c r="J202" i="19" a="1"/>
  <c r="J96" i="19" a="1"/>
  <c r="J60" i="19" a="1"/>
  <c r="J120" i="19" a="1"/>
  <c r="J177" i="19" a="1"/>
  <c r="L74" i="19" l="1"/>
  <c r="K74" i="19"/>
  <c r="L75" i="19"/>
  <c r="K75" i="19"/>
  <c r="O6" i="19"/>
  <c r="S6" i="19"/>
  <c r="K6" i="19"/>
  <c r="L6" i="19"/>
  <c r="O5" i="19"/>
  <c r="O4" i="19"/>
  <c r="J25" i="19"/>
  <c r="J73" i="19"/>
  <c r="J121" i="19"/>
  <c r="J185" i="19"/>
  <c r="J34" i="19"/>
  <c r="J58" i="19"/>
  <c r="J66" i="19"/>
  <c r="J98" i="19"/>
  <c r="J106" i="19"/>
  <c r="J114" i="19"/>
  <c r="J122" i="19"/>
  <c r="J130" i="19"/>
  <c r="J138" i="19"/>
  <c r="J146" i="19"/>
  <c r="J154" i="19"/>
  <c r="J162" i="19"/>
  <c r="J170" i="19"/>
  <c r="J178" i="19"/>
  <c r="J186" i="19"/>
  <c r="J194" i="19"/>
  <c r="J202" i="19"/>
  <c r="J33" i="19"/>
  <c r="J137" i="19"/>
  <c r="J43" i="19"/>
  <c r="J83" i="19"/>
  <c r="J131" i="19"/>
  <c r="J155" i="19"/>
  <c r="J179" i="19"/>
  <c r="J187" i="19"/>
  <c r="J203" i="19"/>
  <c r="J113" i="19"/>
  <c r="J59" i="19"/>
  <c r="J195" i="19"/>
  <c r="J129" i="19"/>
  <c r="J75" i="19"/>
  <c r="J60" i="19"/>
  <c r="J100" i="19"/>
  <c r="J132" i="19"/>
  <c r="J148" i="19"/>
  <c r="J156" i="19"/>
  <c r="J164" i="19"/>
  <c r="J180" i="19"/>
  <c r="J188" i="19"/>
  <c r="J196" i="19"/>
  <c r="J204" i="19"/>
  <c r="J81" i="19"/>
  <c r="J193" i="19"/>
  <c r="J42" i="19"/>
  <c r="J90" i="19"/>
  <c r="J51" i="19"/>
  <c r="J147" i="19"/>
  <c r="J52" i="19"/>
  <c r="J68" i="19"/>
  <c r="J92" i="19"/>
  <c r="J140" i="19"/>
  <c r="J172" i="19"/>
  <c r="J177" i="19"/>
  <c r="J26" i="19"/>
  <c r="J82" i="19"/>
  <c r="J19" i="19"/>
  <c r="J115" i="19"/>
  <c r="J124" i="19"/>
  <c r="J13" i="19"/>
  <c r="J21" i="19"/>
  <c r="J37" i="19"/>
  <c r="J45" i="19"/>
  <c r="J61" i="19"/>
  <c r="J69" i="19"/>
  <c r="J77" i="19"/>
  <c r="J85" i="19"/>
  <c r="J93" i="19"/>
  <c r="J101" i="19"/>
  <c r="J109" i="19"/>
  <c r="J117" i="19"/>
  <c r="J125" i="19"/>
  <c r="J133" i="19"/>
  <c r="J141" i="19"/>
  <c r="J149" i="19"/>
  <c r="J157" i="19"/>
  <c r="J165" i="19"/>
  <c r="J173" i="19"/>
  <c r="J181" i="19"/>
  <c r="J189" i="19"/>
  <c r="J197" i="19"/>
  <c r="J205" i="19"/>
  <c r="J41" i="19"/>
  <c r="J105" i="19"/>
  <c r="J201" i="19"/>
  <c r="J107" i="19"/>
  <c r="J12" i="19"/>
  <c r="J44" i="19"/>
  <c r="J76" i="19"/>
  <c r="J29" i="19"/>
  <c r="J53" i="19"/>
  <c r="J17" i="19"/>
  <c r="J65" i="19"/>
  <c r="J153" i="19"/>
  <c r="J18" i="19"/>
  <c r="J67" i="19"/>
  <c r="J99" i="19"/>
  <c r="J163" i="19"/>
  <c r="J116" i="19"/>
  <c r="J14" i="19"/>
  <c r="J22" i="19"/>
  <c r="J30" i="19"/>
  <c r="J38" i="19"/>
  <c r="J46" i="19"/>
  <c r="J54" i="19"/>
  <c r="J62" i="19"/>
  <c r="J70" i="19"/>
  <c r="J78" i="19"/>
  <c r="J86" i="19"/>
  <c r="J94" i="19"/>
  <c r="J102" i="19"/>
  <c r="J110" i="19"/>
  <c r="J118" i="19"/>
  <c r="J126" i="19"/>
  <c r="J134" i="19"/>
  <c r="J142" i="19"/>
  <c r="J150" i="19"/>
  <c r="J158" i="19"/>
  <c r="J166" i="19"/>
  <c r="J174" i="19"/>
  <c r="J182" i="19"/>
  <c r="J190" i="19"/>
  <c r="J198" i="19"/>
  <c r="J206" i="19"/>
  <c r="J57" i="19"/>
  <c r="J27" i="19"/>
  <c r="J36" i="19"/>
  <c r="J9" i="19"/>
  <c r="J145" i="19"/>
  <c r="J11" i="19"/>
  <c r="J139" i="19"/>
  <c r="J39" i="19"/>
  <c r="J71" i="19"/>
  <c r="J79" i="19"/>
  <c r="J87" i="19"/>
  <c r="J95" i="19"/>
  <c r="J103" i="19"/>
  <c r="J111" i="19"/>
  <c r="J119" i="19"/>
  <c r="J127" i="19"/>
  <c r="J135" i="19"/>
  <c r="J143" i="19"/>
  <c r="J151" i="19"/>
  <c r="J159" i="19"/>
  <c r="J167" i="19"/>
  <c r="J175" i="19"/>
  <c r="J183" i="19"/>
  <c r="J191" i="19"/>
  <c r="J199" i="19"/>
  <c r="J207" i="19"/>
  <c r="J49" i="19"/>
  <c r="J35" i="19"/>
  <c r="J20" i="19"/>
  <c r="J47" i="19"/>
  <c r="J97" i="19"/>
  <c r="J169" i="19"/>
  <c r="J10" i="19"/>
  <c r="J74" i="19"/>
  <c r="J91" i="19"/>
  <c r="J108" i="19"/>
  <c r="J7" i="19"/>
  <c r="J23" i="19"/>
  <c r="J31" i="19"/>
  <c r="J63" i="19"/>
  <c r="J8" i="19"/>
  <c r="J16" i="19"/>
  <c r="J24" i="19"/>
  <c r="J32" i="19"/>
  <c r="J40" i="19"/>
  <c r="J48" i="19"/>
  <c r="J56" i="19"/>
  <c r="J64" i="19"/>
  <c r="J72" i="19"/>
  <c r="J80" i="19"/>
  <c r="J88" i="19"/>
  <c r="J96" i="19"/>
  <c r="J104" i="19"/>
  <c r="J112" i="19"/>
  <c r="J120" i="19"/>
  <c r="J128" i="19"/>
  <c r="J136" i="19"/>
  <c r="J144" i="19"/>
  <c r="J152" i="19"/>
  <c r="J160" i="19"/>
  <c r="J168" i="19"/>
  <c r="J176" i="19"/>
  <c r="J184" i="19"/>
  <c r="J192" i="19"/>
  <c r="J200" i="19"/>
  <c r="J208" i="19"/>
  <c r="J89" i="19"/>
  <c r="J161" i="19"/>
  <c r="J50" i="19"/>
  <c r="J123" i="19"/>
  <c r="J171" i="19"/>
  <c r="J28" i="19"/>
  <c r="J84" i="19"/>
  <c r="J15" i="19"/>
  <c r="J55" i="19"/>
  <c r="L5" i="19"/>
  <c r="V5" i="19"/>
  <c r="K5" i="19"/>
  <c r="S5" i="19"/>
  <c r="L4" i="19"/>
  <c r="V4" i="19"/>
  <c r="K4" i="19"/>
  <c r="S4" i="19"/>
  <c r="L36" i="19"/>
  <c r="K36" i="19"/>
  <c r="L8" i="19"/>
  <c r="K8" i="19"/>
  <c r="L37" i="19"/>
  <c r="K37" i="19"/>
  <c r="L51" i="19"/>
  <c r="K51" i="19"/>
  <c r="L65" i="19"/>
  <c r="K65" i="19"/>
  <c r="L67" i="19"/>
  <c r="K67" i="19"/>
  <c r="K9" i="19"/>
  <c r="L9" i="19"/>
  <c r="K11" i="19"/>
  <c r="L11" i="19"/>
  <c r="K12" i="19"/>
  <c r="L12" i="19"/>
  <c r="L70" i="19"/>
  <c r="K70" i="19"/>
  <c r="L14" i="19"/>
  <c r="K14" i="19"/>
  <c r="L28" i="19"/>
  <c r="K28" i="19"/>
  <c r="L42" i="19"/>
  <c r="K42" i="19"/>
  <c r="L56" i="19"/>
  <c r="K56" i="19"/>
  <c r="L71" i="19"/>
  <c r="K71" i="19"/>
  <c r="L22" i="19"/>
  <c r="K22" i="19"/>
  <c r="L66" i="19"/>
  <c r="K66" i="19"/>
  <c r="K24" i="19"/>
  <c r="L24" i="19"/>
  <c r="L69" i="19"/>
  <c r="K69" i="19"/>
  <c r="L64" i="19"/>
  <c r="K64" i="19"/>
  <c r="L10" i="19"/>
  <c r="K10" i="19"/>
  <c r="L25" i="19"/>
  <c r="K25" i="19"/>
  <c r="L40" i="19"/>
  <c r="K40" i="19"/>
  <c r="L27" i="19"/>
  <c r="K27" i="19"/>
  <c r="L43" i="19"/>
  <c r="K43" i="19"/>
  <c r="L30" i="19"/>
  <c r="K30" i="19"/>
  <c r="L44" i="19"/>
  <c r="K44" i="19"/>
  <c r="L58" i="19"/>
  <c r="K58" i="19"/>
  <c r="L73" i="19"/>
  <c r="K73" i="19"/>
  <c r="L26" i="19"/>
  <c r="K26" i="19"/>
  <c r="L41" i="19"/>
  <c r="K41" i="19"/>
  <c r="L72" i="19"/>
  <c r="K72" i="19"/>
  <c r="L16" i="19"/>
  <c r="K16" i="19"/>
  <c r="L45" i="19"/>
  <c r="K45" i="19"/>
  <c r="L59" i="19"/>
  <c r="K59" i="19"/>
  <c r="L46" i="19"/>
  <c r="K46" i="19"/>
  <c r="L60" i="19"/>
  <c r="K60" i="19"/>
  <c r="L50" i="19"/>
  <c r="K50" i="19"/>
  <c r="L52" i="19"/>
  <c r="K52" i="19"/>
  <c r="L68" i="19"/>
  <c r="K68" i="19"/>
  <c r="L57" i="19"/>
  <c r="K57" i="19"/>
  <c r="L17" i="19"/>
  <c r="K17" i="19"/>
  <c r="K18" i="19"/>
  <c r="L18" i="19"/>
  <c r="L32" i="19"/>
  <c r="K32" i="19"/>
  <c r="L61" i="19"/>
  <c r="K61" i="19"/>
  <c r="L19" i="19"/>
  <c r="K19" i="19"/>
  <c r="L33" i="19"/>
  <c r="K33" i="19"/>
  <c r="L62" i="19"/>
  <c r="K62" i="19"/>
  <c r="L20" i="19"/>
  <c r="K20" i="19"/>
  <c r="L34" i="19"/>
  <c r="K34" i="19"/>
  <c r="L48" i="19"/>
  <c r="K48" i="19"/>
  <c r="L76" i="19"/>
  <c r="K76" i="19"/>
  <c r="L38" i="19"/>
  <c r="K38" i="19"/>
  <c r="L53" i="19"/>
  <c r="K53" i="19"/>
  <c r="L54" i="19"/>
  <c r="K54" i="19"/>
  <c r="L13" i="19"/>
  <c r="K13" i="19"/>
  <c r="L29" i="19"/>
  <c r="K29" i="19"/>
  <c r="L21" i="19"/>
  <c r="K21" i="19"/>
  <c r="L35" i="19"/>
  <c r="K35" i="19"/>
  <c r="L49" i="19"/>
  <c r="K49" i="19"/>
  <c r="L77" i="19"/>
  <c r="K77" i="19"/>
  <c r="K31" i="19"/>
  <c r="K39" i="19"/>
  <c r="K47" i="19"/>
  <c r="K55" i="19"/>
  <c r="K63" i="19"/>
  <c r="K7" i="19"/>
  <c r="K15" i="19"/>
  <c r="L23" i="19"/>
  <c r="C6" i="8" l="1"/>
  <c r="R197" i="19"/>
  <c r="R198" i="19"/>
  <c r="R199" i="19"/>
  <c r="R200" i="19"/>
  <c r="R201" i="19"/>
  <c r="R202" i="19"/>
  <c r="R203" i="19"/>
  <c r="R204" i="19"/>
  <c r="R205" i="19"/>
  <c r="R206" i="19"/>
  <c r="R207" i="19"/>
  <c r="R208" i="19"/>
  <c r="R209" i="19"/>
  <c r="R210" i="19"/>
  <c r="R211" i="19"/>
  <c r="R212" i="19"/>
  <c r="R213" i="19"/>
  <c r="R78" i="19"/>
  <c r="R79" i="19"/>
  <c r="R80" i="19"/>
  <c r="R81" i="19"/>
  <c r="R82" i="19"/>
  <c r="R83" i="19"/>
  <c r="R84" i="19"/>
  <c r="R85" i="19"/>
  <c r="R86" i="19"/>
  <c r="R87" i="19"/>
  <c r="R88" i="19"/>
  <c r="R89" i="19"/>
  <c r="R90" i="19"/>
  <c r="R91" i="19"/>
  <c r="R92" i="19"/>
  <c r="R93" i="19"/>
  <c r="R94" i="19"/>
  <c r="R95" i="19"/>
  <c r="R96" i="19"/>
  <c r="R97" i="19"/>
  <c r="R98" i="19"/>
  <c r="R99" i="19"/>
  <c r="R100" i="19"/>
  <c r="R101" i="19"/>
  <c r="R102" i="19"/>
  <c r="R103" i="19"/>
  <c r="R104" i="19"/>
  <c r="R105" i="19"/>
  <c r="R106" i="19"/>
  <c r="R107" i="19"/>
  <c r="R108" i="19"/>
  <c r="R109" i="19"/>
  <c r="R110" i="19"/>
  <c r="R111" i="19"/>
  <c r="R112" i="19"/>
  <c r="R113" i="19"/>
  <c r="R114" i="19"/>
  <c r="R115" i="19"/>
  <c r="R116" i="19"/>
  <c r="R117" i="19"/>
  <c r="R118" i="19"/>
  <c r="R119" i="19"/>
  <c r="R120" i="19"/>
  <c r="R121" i="19"/>
  <c r="R122" i="19"/>
  <c r="R123" i="19"/>
  <c r="R124" i="19"/>
  <c r="R125" i="19"/>
  <c r="R126" i="19"/>
  <c r="R127" i="19"/>
  <c r="R128" i="19"/>
  <c r="R129" i="19"/>
  <c r="R130" i="19"/>
  <c r="R131" i="19"/>
  <c r="R132" i="19"/>
  <c r="R133" i="19"/>
  <c r="R134" i="19"/>
  <c r="R135" i="19"/>
  <c r="R136" i="19"/>
  <c r="R137" i="19"/>
  <c r="R138" i="19"/>
  <c r="R139" i="19"/>
  <c r="R140" i="19"/>
  <c r="R141" i="19"/>
  <c r="R142" i="19"/>
  <c r="R143" i="19"/>
  <c r="R144" i="19"/>
  <c r="R145" i="19"/>
  <c r="R146" i="19"/>
  <c r="R147" i="19"/>
  <c r="R148" i="19"/>
  <c r="R149" i="19"/>
  <c r="R150" i="19"/>
  <c r="R151" i="19"/>
  <c r="R152" i="19"/>
  <c r="R153" i="19"/>
  <c r="R154" i="19"/>
  <c r="R155" i="19"/>
  <c r="R156" i="19"/>
  <c r="R157" i="19"/>
  <c r="R158" i="19"/>
  <c r="R159" i="19"/>
  <c r="R160" i="19"/>
  <c r="R161" i="19"/>
  <c r="R162" i="19"/>
  <c r="R163" i="19"/>
  <c r="R164" i="19"/>
  <c r="R165" i="19"/>
  <c r="R166" i="19"/>
  <c r="R167" i="19"/>
  <c r="R168" i="19"/>
  <c r="R169" i="19"/>
  <c r="R170" i="19"/>
  <c r="R171" i="19"/>
  <c r="R172" i="19"/>
  <c r="R173" i="19"/>
  <c r="R174" i="19"/>
  <c r="R175" i="19"/>
  <c r="R176" i="19"/>
  <c r="R177" i="19"/>
  <c r="R178" i="19"/>
  <c r="R179" i="19"/>
  <c r="R180" i="19"/>
  <c r="R181" i="19"/>
  <c r="R182" i="19"/>
  <c r="R183" i="19"/>
  <c r="R184" i="19"/>
  <c r="R185" i="19"/>
  <c r="R186" i="19"/>
  <c r="R187" i="19"/>
  <c r="R188" i="19"/>
  <c r="R189" i="19"/>
  <c r="R190" i="19"/>
  <c r="R191" i="19"/>
  <c r="R192" i="19"/>
  <c r="R193" i="19"/>
  <c r="R194" i="19"/>
  <c r="R195" i="19"/>
  <c r="R196" i="19"/>
  <c r="O213" i="19"/>
  <c r="S213" i="19"/>
  <c r="W213" i="19"/>
  <c r="O197" i="19"/>
  <c r="S197" i="19"/>
  <c r="W197" i="19"/>
  <c r="O198" i="19"/>
  <c r="S198" i="19"/>
  <c r="W198" i="19"/>
  <c r="O199" i="19"/>
  <c r="S199" i="19"/>
  <c r="W199" i="19"/>
  <c r="O200" i="19"/>
  <c r="S200" i="19"/>
  <c r="W200" i="19"/>
  <c r="O201" i="19"/>
  <c r="S201" i="19"/>
  <c r="W201" i="19"/>
  <c r="O202" i="19"/>
  <c r="S202" i="19"/>
  <c r="W202" i="19"/>
  <c r="O203" i="19"/>
  <c r="S203" i="19"/>
  <c r="W203" i="19"/>
  <c r="O204" i="19"/>
  <c r="S204" i="19"/>
  <c r="W204" i="19"/>
  <c r="O205" i="19"/>
  <c r="S205" i="19"/>
  <c r="W205" i="19"/>
  <c r="O206" i="19"/>
  <c r="S206" i="19"/>
  <c r="W206" i="19"/>
  <c r="O207" i="19"/>
  <c r="S207" i="19"/>
  <c r="W207" i="19"/>
  <c r="O208" i="19"/>
  <c r="S208" i="19"/>
  <c r="W208" i="19"/>
  <c r="O209" i="19"/>
  <c r="S209" i="19"/>
  <c r="W209" i="19"/>
  <c r="O210" i="19"/>
  <c r="S210" i="19"/>
  <c r="W210" i="19"/>
  <c r="O211" i="19"/>
  <c r="S211" i="19"/>
  <c r="W211" i="19"/>
  <c r="O212" i="19"/>
  <c r="S212" i="19"/>
  <c r="W212" i="19"/>
  <c r="W4" i="19"/>
  <c r="O78" i="19"/>
  <c r="S78" i="19"/>
  <c r="O79" i="19"/>
  <c r="S79" i="19"/>
  <c r="O80" i="19"/>
  <c r="S80" i="19"/>
  <c r="O81" i="19"/>
  <c r="S81" i="19"/>
  <c r="O82" i="19"/>
  <c r="S82" i="19"/>
  <c r="O83" i="19"/>
  <c r="S83" i="19"/>
  <c r="O84" i="19"/>
  <c r="S84" i="19"/>
  <c r="O85" i="19"/>
  <c r="S85" i="19"/>
  <c r="O86" i="19"/>
  <c r="S86" i="19"/>
  <c r="O87" i="19"/>
  <c r="S87" i="19"/>
  <c r="O88" i="19"/>
  <c r="S88" i="19"/>
  <c r="O89" i="19"/>
  <c r="S89" i="19"/>
  <c r="O90" i="19"/>
  <c r="S90" i="19"/>
  <c r="O91" i="19"/>
  <c r="S91" i="19"/>
  <c r="O92" i="19"/>
  <c r="S92" i="19"/>
  <c r="O93" i="19"/>
  <c r="S93" i="19"/>
  <c r="O94" i="19"/>
  <c r="S94" i="19"/>
  <c r="O95" i="19"/>
  <c r="S95" i="19"/>
  <c r="O96" i="19"/>
  <c r="S96" i="19"/>
  <c r="O97" i="19"/>
  <c r="S97" i="19"/>
  <c r="O98" i="19"/>
  <c r="S98" i="19"/>
  <c r="O99" i="19"/>
  <c r="S99" i="19"/>
  <c r="O100" i="19"/>
  <c r="S100" i="19"/>
  <c r="O101" i="19"/>
  <c r="S101" i="19"/>
  <c r="O102" i="19"/>
  <c r="S102" i="19"/>
  <c r="O103" i="19"/>
  <c r="S103" i="19"/>
  <c r="O104" i="19"/>
  <c r="S104" i="19"/>
  <c r="O105" i="19"/>
  <c r="S105" i="19"/>
  <c r="O106" i="19"/>
  <c r="S106" i="19"/>
  <c r="O107" i="19"/>
  <c r="S107" i="19"/>
  <c r="O108" i="19"/>
  <c r="S108" i="19"/>
  <c r="O109" i="19"/>
  <c r="S109" i="19"/>
  <c r="O110" i="19"/>
  <c r="S110" i="19"/>
  <c r="O111" i="19"/>
  <c r="S111" i="19"/>
  <c r="O112" i="19"/>
  <c r="S112" i="19"/>
  <c r="O113" i="19"/>
  <c r="S113" i="19"/>
  <c r="O114" i="19"/>
  <c r="S114" i="19"/>
  <c r="O115" i="19"/>
  <c r="S115" i="19"/>
  <c r="O116" i="19"/>
  <c r="S116" i="19"/>
  <c r="O117" i="19"/>
  <c r="S117" i="19"/>
  <c r="O118" i="19"/>
  <c r="S118" i="19"/>
  <c r="O119" i="19"/>
  <c r="S119" i="19"/>
  <c r="O120" i="19"/>
  <c r="S120" i="19"/>
  <c r="O121" i="19"/>
  <c r="S121" i="19"/>
  <c r="O122" i="19"/>
  <c r="S122" i="19"/>
  <c r="O123" i="19"/>
  <c r="S123" i="19"/>
  <c r="O124" i="19"/>
  <c r="S124" i="19"/>
  <c r="O125" i="19"/>
  <c r="S125" i="19"/>
  <c r="O126" i="19"/>
  <c r="S126" i="19"/>
  <c r="O127" i="19"/>
  <c r="S127" i="19"/>
  <c r="O128" i="19"/>
  <c r="S128" i="19"/>
  <c r="O129" i="19"/>
  <c r="S129" i="19"/>
  <c r="O130" i="19"/>
  <c r="S130" i="19"/>
  <c r="O131" i="19"/>
  <c r="S131" i="19"/>
  <c r="O132" i="19"/>
  <c r="S132" i="19"/>
  <c r="O133" i="19"/>
  <c r="S133" i="19"/>
  <c r="O134" i="19"/>
  <c r="S134" i="19"/>
  <c r="O135" i="19"/>
  <c r="S135" i="19"/>
  <c r="O136" i="19"/>
  <c r="S136" i="19"/>
  <c r="O137" i="19"/>
  <c r="S137" i="19"/>
  <c r="O138" i="19"/>
  <c r="S138" i="19"/>
  <c r="O139" i="19"/>
  <c r="S139" i="19"/>
  <c r="O140" i="19"/>
  <c r="S140" i="19"/>
  <c r="O141" i="19"/>
  <c r="S141" i="19"/>
  <c r="O142" i="19"/>
  <c r="S142" i="19"/>
  <c r="O143" i="19"/>
  <c r="S143" i="19"/>
  <c r="O144" i="19"/>
  <c r="S144" i="19"/>
  <c r="O145" i="19"/>
  <c r="S145" i="19"/>
  <c r="O146" i="19"/>
  <c r="S146" i="19"/>
  <c r="O147" i="19"/>
  <c r="S147" i="19"/>
  <c r="O148" i="19"/>
  <c r="S148" i="19"/>
  <c r="O149" i="19"/>
  <c r="S149" i="19"/>
  <c r="O150" i="19"/>
  <c r="S150" i="19"/>
  <c r="O151" i="19"/>
  <c r="S151" i="19"/>
  <c r="O152" i="19"/>
  <c r="S152" i="19"/>
  <c r="O153" i="19"/>
  <c r="S153" i="19"/>
  <c r="O154" i="19"/>
  <c r="S154" i="19"/>
  <c r="O155" i="19"/>
  <c r="S155" i="19"/>
  <c r="O156" i="19"/>
  <c r="S156" i="19"/>
  <c r="O157" i="19"/>
  <c r="S157" i="19"/>
  <c r="O158" i="19"/>
  <c r="S158" i="19"/>
  <c r="O159" i="19"/>
  <c r="S159" i="19"/>
  <c r="O160" i="19"/>
  <c r="S160" i="19"/>
  <c r="O161" i="19"/>
  <c r="S161" i="19"/>
  <c r="O162" i="19"/>
  <c r="S162" i="19"/>
  <c r="O163" i="19"/>
  <c r="S163" i="19"/>
  <c r="O164" i="19"/>
  <c r="S164" i="19"/>
  <c r="O165" i="19"/>
  <c r="S165" i="19"/>
  <c r="O166" i="19"/>
  <c r="S166" i="19"/>
  <c r="O167" i="19"/>
  <c r="S167" i="19"/>
  <c r="O168" i="19"/>
  <c r="S168" i="19"/>
  <c r="O169" i="19"/>
  <c r="S169" i="19"/>
  <c r="O170" i="19"/>
  <c r="S170" i="19"/>
  <c r="O171" i="19"/>
  <c r="S171" i="19"/>
  <c r="O172" i="19"/>
  <c r="S172" i="19"/>
  <c r="O173" i="19"/>
  <c r="S173" i="19"/>
  <c r="W173" i="19"/>
  <c r="O174" i="19"/>
  <c r="S174" i="19"/>
  <c r="W174" i="19"/>
  <c r="O175" i="19"/>
  <c r="S175" i="19"/>
  <c r="W175" i="19"/>
  <c r="O176" i="19"/>
  <c r="S176" i="19"/>
  <c r="W176" i="19"/>
  <c r="O177" i="19"/>
  <c r="S177" i="19"/>
  <c r="W177" i="19"/>
  <c r="O178" i="19"/>
  <c r="S178" i="19"/>
  <c r="W178" i="19"/>
  <c r="O179" i="19"/>
  <c r="S179" i="19"/>
  <c r="W179" i="19"/>
  <c r="O180" i="19"/>
  <c r="S180" i="19"/>
  <c r="W180" i="19"/>
  <c r="O181" i="19"/>
  <c r="S181" i="19"/>
  <c r="W181" i="19"/>
  <c r="O182" i="19"/>
  <c r="S182" i="19"/>
  <c r="W182" i="19"/>
  <c r="O183" i="19"/>
  <c r="S183" i="19"/>
  <c r="W183" i="19"/>
  <c r="O184" i="19"/>
  <c r="S184" i="19"/>
  <c r="W184" i="19"/>
  <c r="O185" i="19"/>
  <c r="S185" i="19"/>
  <c r="W185" i="19"/>
  <c r="O186" i="19"/>
  <c r="S186" i="19"/>
  <c r="W186" i="19"/>
  <c r="O187" i="19"/>
  <c r="S187" i="19"/>
  <c r="W187" i="19"/>
  <c r="O188" i="19"/>
  <c r="S188" i="19"/>
  <c r="W188" i="19"/>
  <c r="O189" i="19"/>
  <c r="S189" i="19"/>
  <c r="W189" i="19"/>
  <c r="O190" i="19"/>
  <c r="S190" i="19"/>
  <c r="W190" i="19"/>
  <c r="O191" i="19"/>
  <c r="S191" i="19"/>
  <c r="W191" i="19"/>
  <c r="O192" i="19"/>
  <c r="S192" i="19"/>
  <c r="W192" i="19"/>
  <c r="O193" i="19"/>
  <c r="S193" i="19"/>
  <c r="W193" i="19"/>
  <c r="O194" i="19"/>
  <c r="S194" i="19"/>
  <c r="W194" i="19"/>
  <c r="O195" i="19"/>
  <c r="S195" i="19"/>
  <c r="W195" i="19"/>
  <c r="O196" i="19"/>
  <c r="S196" i="19"/>
  <c r="W196" i="19"/>
  <c r="I58" i="19" a="1"/>
  <c r="I92" i="19" a="1"/>
  <c r="I154" i="19" a="1"/>
  <c r="I139" i="19" a="1"/>
  <c r="I96" i="19" a="1"/>
  <c r="I195" i="19" a="1"/>
  <c r="H88" i="19"/>
  <c r="I159" i="19" a="1"/>
  <c r="H200" i="19"/>
  <c r="H173" i="19"/>
  <c r="I173" i="19" a="1"/>
  <c r="I20" i="19" a="1"/>
  <c r="I76" i="19" a="1"/>
  <c r="H134" i="19"/>
  <c r="H177" i="19"/>
  <c r="I204" i="19" a="1"/>
  <c r="I47" i="19" a="1"/>
  <c r="I18" i="19" a="1"/>
  <c r="I130" i="19" a="1"/>
  <c r="H78" i="19"/>
  <c r="I25" i="19" a="1"/>
  <c r="I75" i="19" a="1"/>
  <c r="I68" i="19" a="1"/>
  <c r="H137" i="19"/>
  <c r="H95" i="19"/>
  <c r="I146" i="19" a="1"/>
  <c r="H132" i="19"/>
  <c r="H195" i="19"/>
  <c r="H112" i="19"/>
  <c r="H117" i="19"/>
  <c r="H191" i="19"/>
  <c r="I85" i="19" a="1"/>
  <c r="I45" i="19" a="1"/>
  <c r="I177" i="19" a="1"/>
  <c r="H203" i="19"/>
  <c r="I73" i="19" a="1"/>
  <c r="I153" i="19" a="1"/>
  <c r="I12" i="19" a="1"/>
  <c r="H131" i="19"/>
  <c r="H120" i="19"/>
  <c r="H175" i="19"/>
  <c r="I129" i="19" a="1"/>
  <c r="H115" i="19"/>
  <c r="I64" i="19" a="1"/>
  <c r="H101" i="19"/>
  <c r="I111" i="19" a="1"/>
  <c r="H151" i="19"/>
  <c r="I131" i="19" a="1"/>
  <c r="H143" i="19"/>
  <c r="H98" i="19"/>
  <c r="I61" i="19" a="1"/>
  <c r="I39" i="19" a="1"/>
  <c r="H108" i="19"/>
  <c r="H149" i="19"/>
  <c r="H93" i="19"/>
  <c r="H190" i="19"/>
  <c r="I193" i="19" a="1"/>
  <c r="I191" i="19" a="1"/>
  <c r="H138" i="19"/>
  <c r="I184" i="19" a="1"/>
  <c r="I149" i="19" a="1"/>
  <c r="I167" i="19" a="1"/>
  <c r="H208" i="19"/>
  <c r="I176" i="19" a="1"/>
  <c r="H210" i="19"/>
  <c r="H100" i="19"/>
  <c r="H163" i="19"/>
  <c r="I180" i="19" a="1"/>
  <c r="H83" i="19"/>
  <c r="I132" i="19" a="1"/>
  <c r="I197" i="19" a="1"/>
  <c r="H179" i="19"/>
  <c r="I169" i="19" a="1"/>
  <c r="I171" i="19" a="1"/>
  <c r="I163" i="19" a="1"/>
  <c r="I202" i="19" a="1"/>
  <c r="I83" i="19" a="1"/>
  <c r="H161" i="19"/>
  <c r="I138" i="19" a="1"/>
  <c r="H85" i="19"/>
  <c r="H150" i="19"/>
  <c r="I78" i="19" a="1"/>
  <c r="H99" i="19"/>
  <c r="H118" i="19"/>
  <c r="I41" i="19" a="1"/>
  <c r="I179" i="19" a="1"/>
  <c r="I81" i="19" a="1"/>
  <c r="I51" i="19" a="1"/>
  <c r="I157" i="19" a="1"/>
  <c r="I24" i="19" a="1"/>
  <c r="I19" i="19" a="1"/>
  <c r="I66" i="19" a="1"/>
  <c r="H176" i="19"/>
  <c r="I88" i="19" a="1"/>
  <c r="H84" i="19"/>
  <c r="I121" i="19" a="1"/>
  <c r="H205" i="19"/>
  <c r="H133" i="19"/>
  <c r="H186" i="19"/>
  <c r="I52" i="19" a="1"/>
  <c r="H90" i="19"/>
  <c r="H168" i="19"/>
  <c r="H154" i="19"/>
  <c r="I178" i="19" a="1"/>
  <c r="H201" i="19"/>
  <c r="I7" i="19" a="1"/>
  <c r="H172" i="19"/>
  <c r="H119" i="19"/>
  <c r="H182" i="19"/>
  <c r="I166" i="19" a="1"/>
  <c r="I124" i="19" a="1"/>
  <c r="I147" i="19" a="1"/>
  <c r="I155" i="19" a="1"/>
  <c r="I192" i="19" a="1"/>
  <c r="H184" i="19"/>
  <c r="I28" i="19" a="1"/>
  <c r="H197" i="19"/>
  <c r="I89" i="19" a="1"/>
  <c r="I104" i="19" a="1"/>
  <c r="H91" i="19"/>
  <c r="I137" i="19" a="1"/>
  <c r="H167" i="19"/>
  <c r="I205" i="19" a="1"/>
  <c r="I174" i="19" a="1"/>
  <c r="H209" i="19"/>
  <c r="H122" i="19"/>
  <c r="I208" i="19" a="1"/>
  <c r="H129" i="19"/>
  <c r="I60" i="19" a="1"/>
  <c r="I112" i="19" a="1"/>
  <c r="I156" i="19" a="1"/>
  <c r="H126" i="19"/>
  <c r="I43" i="19" a="1"/>
  <c r="I162" i="19" a="1"/>
  <c r="H87" i="19"/>
  <c r="I94" i="19" a="1"/>
  <c r="H145" i="19"/>
  <c r="H159" i="19"/>
  <c r="I189" i="19" a="1"/>
  <c r="H140" i="19"/>
  <c r="I15" i="19" a="1"/>
  <c r="I125" i="19" a="1"/>
  <c r="I168" i="19" a="1"/>
  <c r="I143" i="19" a="1"/>
  <c r="I74" i="19" a="1"/>
  <c r="H102" i="19"/>
  <c r="H124" i="19"/>
  <c r="H127" i="19"/>
  <c r="H187" i="19"/>
  <c r="H164" i="19"/>
  <c r="H155" i="19"/>
  <c r="I165" i="19" a="1"/>
  <c r="I26" i="19" a="1"/>
  <c r="I113" i="19" a="1"/>
  <c r="I161" i="19" a="1"/>
  <c r="H114" i="19"/>
  <c r="H130" i="19"/>
  <c r="I135" i="19" a="1"/>
  <c r="H146" i="19"/>
  <c r="I11" i="19" a="1"/>
  <c r="H169" i="19"/>
  <c r="I188" i="19" a="1"/>
  <c r="I115" i="19" a="1"/>
  <c r="I164" i="19" a="1"/>
  <c r="H121" i="19"/>
  <c r="H96" i="19"/>
  <c r="I119" i="19" a="1"/>
  <c r="H106" i="19"/>
  <c r="H198" i="19"/>
  <c r="H211" i="19"/>
  <c r="I10" i="19" a="1"/>
  <c r="H128" i="19"/>
  <c r="I213" i="19" a="1"/>
  <c r="I128" i="19" a="1"/>
  <c r="H109" i="19"/>
  <c r="I67" i="19" a="1"/>
  <c r="H170" i="19"/>
  <c r="H180" i="19"/>
  <c r="H97" i="19"/>
  <c r="I32" i="19" a="1"/>
  <c r="I210" i="19" a="1"/>
  <c r="I46" i="19" a="1"/>
  <c r="I9" i="19" a="1"/>
  <c r="H94" i="19"/>
  <c r="I57" i="19" a="1"/>
  <c r="I48" i="19" a="1"/>
  <c r="H86" i="19"/>
  <c r="I117" i="19" a="1"/>
  <c r="I13" i="19" a="1"/>
  <c r="I90" i="19" a="1"/>
  <c r="I44" i="19" a="1"/>
  <c r="H188" i="19"/>
  <c r="H181" i="19"/>
  <c r="I141" i="19" a="1"/>
  <c r="I33" i="19" a="1"/>
  <c r="I42" i="19" a="1"/>
  <c r="I105" i="19" a="1"/>
  <c r="H204" i="19"/>
  <c r="I30" i="19" a="1"/>
  <c r="I80" i="19" a="1"/>
  <c r="H116" i="19"/>
  <c r="I106" i="19" a="1"/>
  <c r="I122" i="19" a="1"/>
  <c r="I181" i="19" a="1"/>
  <c r="I72" i="19" a="1"/>
  <c r="H136" i="19"/>
  <c r="H81" i="19"/>
  <c r="I206" i="19" a="1"/>
  <c r="H80" i="19"/>
  <c r="H110" i="19"/>
  <c r="I71" i="19" a="1"/>
  <c r="H212" i="19"/>
  <c r="I70" i="19" a="1"/>
  <c r="I201" i="19" a="1"/>
  <c r="I95" i="19" a="1"/>
  <c r="H139" i="19"/>
  <c r="I109" i="19" a="1"/>
  <c r="I133" i="19" a="1"/>
  <c r="I134" i="19" a="1"/>
  <c r="I127" i="19" a="1"/>
  <c r="I54" i="19" a="1"/>
  <c r="I116" i="19" a="1"/>
  <c r="I91" i="19" a="1"/>
  <c r="I62" i="19" a="1"/>
  <c r="H89" i="19"/>
  <c r="H193" i="19"/>
  <c r="I160" i="19" a="1"/>
  <c r="H207" i="19"/>
  <c r="H156" i="19"/>
  <c r="I175" i="19" a="1"/>
  <c r="I82" i="19" a="1"/>
  <c r="H206" i="19"/>
  <c r="I99" i="19" a="1"/>
  <c r="I101" i="19" a="1"/>
  <c r="I21" i="19" a="1"/>
  <c r="H148" i="19"/>
  <c r="H166" i="19"/>
  <c r="I142" i="19" a="1"/>
  <c r="H135" i="19"/>
  <c r="I158" i="19" a="1"/>
  <c r="H165" i="19"/>
  <c r="I200" i="19" a="1"/>
  <c r="I49" i="19" a="1"/>
  <c r="I100" i="19" a="1"/>
  <c r="I102" i="19" a="1"/>
  <c r="I40" i="19" a="1"/>
  <c r="I17" i="19" a="1"/>
  <c r="H79" i="19"/>
  <c r="I212" i="19" a="1"/>
  <c r="I150" i="19" a="1"/>
  <c r="H103" i="19"/>
  <c r="I187" i="19" a="1"/>
  <c r="I126" i="19" a="1"/>
  <c r="I69" i="19" a="1"/>
  <c r="H141" i="19"/>
  <c r="I183" i="19" a="1"/>
  <c r="I145" i="19" a="1"/>
  <c r="H171" i="19"/>
  <c r="I77" i="19" a="1"/>
  <c r="H125" i="19"/>
  <c r="I87" i="19" a="1"/>
  <c r="I170" i="19" a="1"/>
  <c r="I151" i="19" a="1"/>
  <c r="I203" i="19" a="1"/>
  <c r="I98" i="19" a="1"/>
  <c r="H107" i="19"/>
  <c r="I14" i="19" a="1"/>
  <c r="H92" i="19"/>
  <c r="I123" i="19" a="1"/>
  <c r="I207" i="19" a="1"/>
  <c r="H105" i="19"/>
  <c r="I65" i="19" a="1"/>
  <c r="I144" i="19" a="1"/>
  <c r="H142" i="19"/>
  <c r="I86" i="19" a="1"/>
  <c r="I110" i="19" a="1"/>
  <c r="I59" i="19" a="1"/>
  <c r="I185" i="19" a="1"/>
  <c r="H152" i="19"/>
  <c r="H174" i="19"/>
  <c r="H178" i="19"/>
  <c r="I172" i="19" a="1"/>
  <c r="I34" i="19" a="1"/>
  <c r="H104" i="19"/>
  <c r="I120" i="19" a="1"/>
  <c r="I22" i="19" a="1"/>
  <c r="I108" i="19" a="1"/>
  <c r="I35" i="19" a="1"/>
  <c r="H192" i="19"/>
  <c r="I29" i="19" a="1"/>
  <c r="I97" i="19" a="1"/>
  <c r="I50" i="19" a="1"/>
  <c r="I56" i="19" a="1"/>
  <c r="I190" i="19" a="1"/>
  <c r="H196" i="19"/>
  <c r="I136" i="19" a="1"/>
  <c r="I55" i="19" a="1"/>
  <c r="I84" i="19" a="1"/>
  <c r="H213" i="19"/>
  <c r="I8" i="19" a="1"/>
  <c r="H202" i="19"/>
  <c r="H160" i="19"/>
  <c r="I140" i="19" a="1"/>
  <c r="H185" i="19"/>
  <c r="H111" i="19"/>
  <c r="I148" i="19" a="1"/>
  <c r="I198" i="19" a="1"/>
  <c r="H153" i="19"/>
  <c r="I114" i="19" a="1"/>
  <c r="I31" i="19" a="1"/>
  <c r="I36" i="19" a="1"/>
  <c r="I194" i="19" a="1"/>
  <c r="H158" i="19"/>
  <c r="I107" i="19" a="1"/>
  <c r="H82" i="19"/>
  <c r="H157" i="19"/>
  <c r="I211" i="19" a="1"/>
  <c r="I16" i="19" a="1"/>
  <c r="I103" i="19" a="1"/>
  <c r="I93" i="19" a="1"/>
  <c r="I37" i="19" a="1"/>
  <c r="H113" i="19"/>
  <c r="H194" i="19"/>
  <c r="H144" i="19"/>
  <c r="H199" i="19"/>
  <c r="H123" i="19"/>
  <c r="I209" i="19" a="1"/>
  <c r="I196" i="19" a="1"/>
  <c r="I186" i="19" a="1"/>
  <c r="H183" i="19"/>
  <c r="H162" i="19"/>
  <c r="I63" i="19" a="1"/>
  <c r="I79" i="19" a="1"/>
  <c r="I23" i="19" a="1"/>
  <c r="I118" i="19" a="1"/>
  <c r="I199" i="19" a="1"/>
  <c r="H189" i="19"/>
  <c r="I53" i="19" a="1"/>
  <c r="I27" i="19" a="1"/>
  <c r="H147" i="19"/>
  <c r="I182" i="19" a="1"/>
  <c r="I152" i="19" a="1"/>
  <c r="I38" i="19" a="1"/>
  <c r="I213" i="19" l="1"/>
  <c r="I202" i="19"/>
  <c r="I203" i="19"/>
  <c r="I204" i="19"/>
  <c r="I205" i="19"/>
  <c r="I206" i="19"/>
  <c r="I207" i="19"/>
  <c r="I208" i="19"/>
  <c r="I209" i="19"/>
  <c r="I210" i="19"/>
  <c r="I211" i="19"/>
  <c r="I212" i="19"/>
  <c r="I197" i="19"/>
  <c r="I198" i="19"/>
  <c r="I199" i="19"/>
  <c r="I200" i="19"/>
  <c r="I201" i="19"/>
  <c r="I173" i="19"/>
  <c r="I136" i="19"/>
  <c r="I123" i="19"/>
  <c r="I92" i="19"/>
  <c r="I172" i="19"/>
  <c r="I157" i="19"/>
  <c r="I108" i="19"/>
  <c r="I191" i="19"/>
  <c r="I175" i="19"/>
  <c r="I159" i="19"/>
  <c r="I126" i="19"/>
  <c r="I12" i="19"/>
  <c r="I176" i="19"/>
  <c r="I160" i="19"/>
  <c r="I147" i="19"/>
  <c r="I177" i="19"/>
  <c r="I161" i="19"/>
  <c r="I142" i="19"/>
  <c r="I59" i="19"/>
  <c r="I44" i="19"/>
  <c r="I188" i="19"/>
  <c r="I178" i="19"/>
  <c r="I162" i="19"/>
  <c r="I137" i="19"/>
  <c r="I189" i="19"/>
  <c r="I174" i="19"/>
  <c r="I158" i="19"/>
  <c r="I195" i="19"/>
  <c r="I179" i="19"/>
  <c r="I163" i="19"/>
  <c r="I148" i="19"/>
  <c r="I130" i="19"/>
  <c r="I121" i="19"/>
  <c r="I75" i="19"/>
  <c r="I180" i="19"/>
  <c r="I164" i="19"/>
  <c r="I124" i="19"/>
  <c r="I54" i="19"/>
  <c r="I194" i="19"/>
  <c r="I165" i="19"/>
  <c r="I149" i="19"/>
  <c r="I143" i="19"/>
  <c r="I107" i="19"/>
  <c r="I91" i="19"/>
  <c r="I28" i="19"/>
  <c r="I156" i="19"/>
  <c r="I190" i="19"/>
  <c r="I192" i="19"/>
  <c r="I181" i="19"/>
  <c r="I182" i="19"/>
  <c r="I166" i="19"/>
  <c r="I150" i="19"/>
  <c r="I134" i="19"/>
  <c r="I119" i="19"/>
  <c r="I105" i="19"/>
  <c r="I76" i="19"/>
  <c r="I193" i="19"/>
  <c r="I183" i="19"/>
  <c r="I167" i="19"/>
  <c r="I151" i="19"/>
  <c r="I70" i="19"/>
  <c r="I184" i="19"/>
  <c r="I168" i="19"/>
  <c r="I152" i="19"/>
  <c r="I139" i="19"/>
  <c r="I38" i="19"/>
  <c r="I118" i="19"/>
  <c r="I146" i="19"/>
  <c r="I196" i="19"/>
  <c r="I185" i="19"/>
  <c r="I169" i="19"/>
  <c r="I153" i="19"/>
  <c r="I144" i="19"/>
  <c r="I131" i="19"/>
  <c r="I128" i="19"/>
  <c r="I86" i="19"/>
  <c r="I154" i="19"/>
  <c r="I60" i="19"/>
  <c r="I186" i="19"/>
  <c r="I170" i="19"/>
  <c r="I187" i="19"/>
  <c r="I171" i="19"/>
  <c r="I155" i="19"/>
  <c r="I140" i="19"/>
  <c r="I135" i="19"/>
  <c r="I102" i="19"/>
  <c r="I22" i="19"/>
  <c r="I103" i="19"/>
  <c r="I87" i="19"/>
  <c r="I71" i="19"/>
  <c r="I55" i="19"/>
  <c r="I39" i="19"/>
  <c r="I23" i="19"/>
  <c r="I7" i="19"/>
  <c r="I120" i="19"/>
  <c r="I104" i="19"/>
  <c r="I88" i="19"/>
  <c r="I72" i="19"/>
  <c r="I56" i="19"/>
  <c r="I40" i="19"/>
  <c r="I24" i="19"/>
  <c r="I8" i="19"/>
  <c r="I89" i="19"/>
  <c r="I73" i="19"/>
  <c r="I57" i="19"/>
  <c r="I41" i="19"/>
  <c r="I25" i="19"/>
  <c r="I9" i="19"/>
  <c r="I138" i="19"/>
  <c r="I122" i="19"/>
  <c r="I106" i="19"/>
  <c r="I90" i="19"/>
  <c r="I74" i="19"/>
  <c r="I58" i="19"/>
  <c r="I42" i="19"/>
  <c r="I26" i="19"/>
  <c r="I10" i="19"/>
  <c r="I43" i="19"/>
  <c r="I27" i="19"/>
  <c r="I11" i="19"/>
  <c r="I141" i="19"/>
  <c r="I125" i="19"/>
  <c r="I109" i="19"/>
  <c r="I93" i="19"/>
  <c r="I77" i="19"/>
  <c r="I61" i="19"/>
  <c r="I45" i="19"/>
  <c r="I29" i="19"/>
  <c r="I13" i="19"/>
  <c r="I110" i="19"/>
  <c r="I94" i="19"/>
  <c r="I78" i="19"/>
  <c r="I62" i="19"/>
  <c r="I46" i="19"/>
  <c r="I30" i="19"/>
  <c r="I14" i="19"/>
  <c r="I127" i="19"/>
  <c r="I111" i="19"/>
  <c r="I95" i="19"/>
  <c r="I79" i="19"/>
  <c r="I63" i="19"/>
  <c r="I47" i="19"/>
  <c r="I31" i="19"/>
  <c r="I15" i="19"/>
  <c r="I112" i="19"/>
  <c r="I96" i="19"/>
  <c r="I80" i="19"/>
  <c r="I64" i="19"/>
  <c r="I48" i="19"/>
  <c r="I32" i="19"/>
  <c r="I16" i="19"/>
  <c r="I145" i="19"/>
  <c r="I129" i="19"/>
  <c r="I113" i="19"/>
  <c r="I97" i="19"/>
  <c r="I81" i="19"/>
  <c r="I65" i="19"/>
  <c r="I49" i="19"/>
  <c r="I33" i="19"/>
  <c r="I17" i="19"/>
  <c r="I114" i="19"/>
  <c r="I98" i="19"/>
  <c r="I82" i="19"/>
  <c r="I66" i="19"/>
  <c r="I50" i="19"/>
  <c r="I34" i="19"/>
  <c r="I18" i="19"/>
  <c r="I115" i="19"/>
  <c r="I99" i="19"/>
  <c r="I83" i="19"/>
  <c r="I67" i="19"/>
  <c r="I51" i="19"/>
  <c r="I35" i="19"/>
  <c r="I19" i="19"/>
  <c r="I132" i="19"/>
  <c r="I116" i="19"/>
  <c r="I100" i="19"/>
  <c r="I84" i="19"/>
  <c r="I68" i="19"/>
  <c r="I52" i="19"/>
  <c r="I36" i="19"/>
  <c r="I20" i="19"/>
  <c r="I133" i="19"/>
  <c r="I117" i="19"/>
  <c r="I101" i="19"/>
  <c r="I85" i="19"/>
  <c r="I69" i="19"/>
  <c r="I53" i="19"/>
  <c r="I37" i="19"/>
  <c r="I21" i="19"/>
  <c r="AM2" i="24"/>
  <c r="AN2" i="24" s="1"/>
  <c r="AK2" i="4"/>
  <c r="AL2" i="4" s="1"/>
  <c r="D2" i="19" l="1"/>
  <c r="K213" i="19"/>
  <c r="L213" i="19"/>
  <c r="M213" i="19"/>
  <c r="N213" i="19"/>
  <c r="V213" i="19"/>
  <c r="N206" i="19"/>
  <c r="V206" i="19"/>
  <c r="K206" i="19"/>
  <c r="M206" i="19"/>
  <c r="L206" i="19"/>
  <c r="K197" i="19"/>
  <c r="L197" i="19"/>
  <c r="M197" i="19"/>
  <c r="N197" i="19"/>
  <c r="V197" i="19"/>
  <c r="L204" i="19"/>
  <c r="M204" i="19"/>
  <c r="N204" i="19"/>
  <c r="V204" i="19"/>
  <c r="K204" i="19"/>
  <c r="K202" i="19"/>
  <c r="L202" i="19"/>
  <c r="M202" i="19"/>
  <c r="N202" i="19"/>
  <c r="V202" i="19"/>
  <c r="V209" i="19"/>
  <c r="K209" i="19"/>
  <c r="L209" i="19"/>
  <c r="M209" i="19"/>
  <c r="N209" i="19"/>
  <c r="K201" i="19"/>
  <c r="L201" i="19"/>
  <c r="M201" i="19"/>
  <c r="N201" i="19"/>
  <c r="V201" i="19"/>
  <c r="V208" i="19"/>
  <c r="K208" i="19"/>
  <c r="L208" i="19"/>
  <c r="M208" i="19"/>
  <c r="N208" i="19"/>
  <c r="K199" i="19"/>
  <c r="L199" i="19"/>
  <c r="M199" i="19"/>
  <c r="N199" i="19"/>
  <c r="V199" i="19"/>
  <c r="M205" i="19"/>
  <c r="N205" i="19"/>
  <c r="V205" i="19"/>
  <c r="L205" i="19"/>
  <c r="K205" i="19"/>
  <c r="K200" i="19"/>
  <c r="L200" i="19"/>
  <c r="M200" i="19"/>
  <c r="N200" i="19"/>
  <c r="V200" i="19"/>
  <c r="K198" i="19"/>
  <c r="L198" i="19"/>
  <c r="M198" i="19"/>
  <c r="N198" i="19"/>
  <c r="V198" i="19"/>
  <c r="K212" i="19"/>
  <c r="L212" i="19"/>
  <c r="M212" i="19"/>
  <c r="N212" i="19"/>
  <c r="V212" i="19"/>
  <c r="K203" i="19"/>
  <c r="L203" i="19"/>
  <c r="M203" i="19"/>
  <c r="N203" i="19"/>
  <c r="V203" i="19"/>
  <c r="K211" i="19"/>
  <c r="V211" i="19"/>
  <c r="L211" i="19"/>
  <c r="M211" i="19"/>
  <c r="N211" i="19"/>
  <c r="V210" i="19"/>
  <c r="K210" i="19"/>
  <c r="L210" i="19"/>
  <c r="M210" i="19"/>
  <c r="N210" i="19"/>
  <c r="V207" i="19"/>
  <c r="N207" i="19"/>
  <c r="K207" i="19"/>
  <c r="L207" i="19"/>
  <c r="M207" i="19"/>
  <c r="V195" i="19"/>
  <c r="K195" i="19"/>
  <c r="L195" i="19"/>
  <c r="M195" i="19"/>
  <c r="N195" i="19"/>
  <c r="K81" i="19"/>
  <c r="L81" i="19"/>
  <c r="M81" i="19"/>
  <c r="V81" i="19"/>
  <c r="N81" i="19"/>
  <c r="K155" i="19"/>
  <c r="L155" i="19"/>
  <c r="M155" i="19"/>
  <c r="N155" i="19"/>
  <c r="V155" i="19"/>
  <c r="K172" i="19"/>
  <c r="L172" i="19"/>
  <c r="M172" i="19"/>
  <c r="N172" i="19"/>
  <c r="V172" i="19"/>
  <c r="K150" i="19"/>
  <c r="L150" i="19"/>
  <c r="M150" i="19"/>
  <c r="N150" i="19"/>
  <c r="V150" i="19"/>
  <c r="K171" i="19"/>
  <c r="L171" i="19"/>
  <c r="M171" i="19"/>
  <c r="N171" i="19"/>
  <c r="V171" i="19"/>
  <c r="K188" i="19"/>
  <c r="L188" i="19"/>
  <c r="M188" i="19"/>
  <c r="N188" i="19"/>
  <c r="V188" i="19"/>
  <c r="V78" i="19"/>
  <c r="M78" i="19"/>
  <c r="N78" i="19"/>
  <c r="L78" i="19"/>
  <c r="K78" i="19"/>
  <c r="K183" i="19"/>
  <c r="L183" i="19"/>
  <c r="M183" i="19"/>
  <c r="N183" i="19"/>
  <c r="V183" i="19"/>
  <c r="V178" i="19"/>
  <c r="N178" i="19"/>
  <c r="K178" i="19"/>
  <c r="L178" i="19"/>
  <c r="M178" i="19"/>
  <c r="K79" i="19"/>
  <c r="N79" i="19"/>
  <c r="L79" i="19"/>
  <c r="M79" i="19"/>
  <c r="V79" i="19"/>
  <c r="K157" i="19"/>
  <c r="L157" i="19"/>
  <c r="M157" i="19"/>
  <c r="N157" i="19"/>
  <c r="V157" i="19"/>
  <c r="V92" i="19"/>
  <c r="K92" i="19"/>
  <c r="L92" i="19"/>
  <c r="M92" i="19"/>
  <c r="N92" i="19"/>
  <c r="V91" i="19"/>
  <c r="K91" i="19"/>
  <c r="L91" i="19"/>
  <c r="M91" i="19"/>
  <c r="N91" i="19"/>
  <c r="V182" i="19"/>
  <c r="K182" i="19"/>
  <c r="L182" i="19"/>
  <c r="M182" i="19"/>
  <c r="N182" i="19"/>
  <c r="V193" i="19"/>
  <c r="N193" i="19"/>
  <c r="L193" i="19"/>
  <c r="K193" i="19"/>
  <c r="M193" i="19"/>
  <c r="K169" i="19"/>
  <c r="L169" i="19"/>
  <c r="M169" i="19"/>
  <c r="N169" i="19"/>
  <c r="V169" i="19"/>
  <c r="N194" i="19"/>
  <c r="V194" i="19"/>
  <c r="K194" i="19"/>
  <c r="M194" i="19"/>
  <c r="L194" i="19"/>
  <c r="K116" i="19"/>
  <c r="L116" i="19"/>
  <c r="N116" i="19"/>
  <c r="V116" i="19"/>
  <c r="M116" i="19"/>
  <c r="K173" i="19"/>
  <c r="L173" i="19"/>
  <c r="M173" i="19"/>
  <c r="N173" i="19"/>
  <c r="V173" i="19"/>
  <c r="K96" i="19"/>
  <c r="L96" i="19"/>
  <c r="V96" i="19"/>
  <c r="M96" i="19"/>
  <c r="N96" i="19"/>
  <c r="V110" i="19"/>
  <c r="M110" i="19"/>
  <c r="N110" i="19"/>
  <c r="L110" i="19"/>
  <c r="K110" i="19"/>
  <c r="V93" i="19"/>
  <c r="L93" i="19"/>
  <c r="M93" i="19"/>
  <c r="N93" i="19"/>
  <c r="K93" i="19"/>
  <c r="V108" i="19"/>
  <c r="K108" i="19"/>
  <c r="M108" i="19"/>
  <c r="N108" i="19"/>
  <c r="L108" i="19"/>
  <c r="V107" i="19"/>
  <c r="L107" i="19"/>
  <c r="M107" i="19"/>
  <c r="K107" i="19"/>
  <c r="N107" i="19"/>
  <c r="N122" i="19"/>
  <c r="V122" i="19"/>
  <c r="K122" i="19"/>
  <c r="L122" i="19"/>
  <c r="M122" i="19"/>
  <c r="L128" i="19"/>
  <c r="K128" i="19"/>
  <c r="M128" i="19"/>
  <c r="N128" i="19"/>
  <c r="V128" i="19"/>
  <c r="V125" i="19"/>
  <c r="L125" i="19"/>
  <c r="N125" i="19"/>
  <c r="K125" i="19"/>
  <c r="M125" i="19"/>
  <c r="M89" i="19"/>
  <c r="N89" i="19"/>
  <c r="V89" i="19"/>
  <c r="K89" i="19"/>
  <c r="L89" i="19"/>
  <c r="V137" i="19"/>
  <c r="K137" i="19"/>
  <c r="L137" i="19"/>
  <c r="M137" i="19"/>
  <c r="N137" i="19"/>
  <c r="M146" i="19"/>
  <c r="N146" i="19"/>
  <c r="L146" i="19"/>
  <c r="V146" i="19"/>
  <c r="K146" i="19"/>
  <c r="K102" i="19"/>
  <c r="L102" i="19"/>
  <c r="M102" i="19"/>
  <c r="N102" i="19"/>
  <c r="V102" i="19"/>
  <c r="V179" i="19"/>
  <c r="N179" i="19"/>
  <c r="K179" i="19"/>
  <c r="L179" i="19"/>
  <c r="M179" i="19"/>
  <c r="M136" i="19"/>
  <c r="V136" i="19"/>
  <c r="L136" i="19"/>
  <c r="N136" i="19"/>
  <c r="K136" i="19"/>
  <c r="K82" i="19"/>
  <c r="L82" i="19"/>
  <c r="M82" i="19"/>
  <c r="N82" i="19"/>
  <c r="V82" i="19"/>
  <c r="L135" i="19"/>
  <c r="K135" i="19"/>
  <c r="M135" i="19"/>
  <c r="N135" i="19"/>
  <c r="V135" i="19"/>
  <c r="K154" i="19"/>
  <c r="L154" i="19"/>
  <c r="M154" i="19"/>
  <c r="N154" i="19"/>
  <c r="V154" i="19"/>
  <c r="L141" i="19"/>
  <c r="M141" i="19"/>
  <c r="N141" i="19"/>
  <c r="V141" i="19"/>
  <c r="K141" i="19"/>
  <c r="V181" i="19"/>
  <c r="K181" i="19"/>
  <c r="L181" i="19"/>
  <c r="M181" i="19"/>
  <c r="N181" i="19"/>
  <c r="K131" i="19"/>
  <c r="M131" i="19"/>
  <c r="V131" i="19"/>
  <c r="L131" i="19"/>
  <c r="N131" i="19"/>
  <c r="K140" i="19"/>
  <c r="L140" i="19"/>
  <c r="M140" i="19"/>
  <c r="N140" i="19"/>
  <c r="V140" i="19"/>
  <c r="V161" i="19"/>
  <c r="L161" i="19"/>
  <c r="M161" i="19"/>
  <c r="N161" i="19"/>
  <c r="K161" i="19"/>
  <c r="L158" i="19"/>
  <c r="M158" i="19"/>
  <c r="N158" i="19"/>
  <c r="K158" i="19"/>
  <c r="V158" i="19"/>
  <c r="K189" i="19"/>
  <c r="L189" i="19"/>
  <c r="M189" i="19"/>
  <c r="N189" i="19"/>
  <c r="V189" i="19"/>
  <c r="K186" i="19"/>
  <c r="L186" i="19"/>
  <c r="N186" i="19"/>
  <c r="M186" i="19"/>
  <c r="V186" i="19"/>
  <c r="M191" i="19"/>
  <c r="N191" i="19"/>
  <c r="V191" i="19"/>
  <c r="L191" i="19"/>
  <c r="K191" i="19"/>
  <c r="N90" i="19"/>
  <c r="V90" i="19"/>
  <c r="K90" i="19"/>
  <c r="L90" i="19"/>
  <c r="M90" i="19"/>
  <c r="K87" i="19"/>
  <c r="L87" i="19"/>
  <c r="M87" i="19"/>
  <c r="N87" i="19"/>
  <c r="V87" i="19"/>
  <c r="K118" i="19"/>
  <c r="L118" i="19"/>
  <c r="M118" i="19"/>
  <c r="N118" i="19"/>
  <c r="V118" i="19"/>
  <c r="K170" i="19"/>
  <c r="L170" i="19"/>
  <c r="M170" i="19"/>
  <c r="N170" i="19"/>
  <c r="V170" i="19"/>
  <c r="L174" i="19"/>
  <c r="M174" i="19"/>
  <c r="N174" i="19"/>
  <c r="K174" i="19"/>
  <c r="V174" i="19"/>
  <c r="L168" i="19"/>
  <c r="K168" i="19"/>
  <c r="M168" i="19"/>
  <c r="N168" i="19"/>
  <c r="V168" i="19"/>
  <c r="K115" i="19"/>
  <c r="M115" i="19"/>
  <c r="N115" i="19"/>
  <c r="V115" i="19"/>
  <c r="L115" i="19"/>
  <c r="V180" i="19"/>
  <c r="K180" i="19"/>
  <c r="L180" i="19"/>
  <c r="M180" i="19"/>
  <c r="N180" i="19"/>
  <c r="M121" i="19"/>
  <c r="N121" i="19"/>
  <c r="V121" i="19"/>
  <c r="K121" i="19"/>
  <c r="L121" i="19"/>
  <c r="L88" i="19"/>
  <c r="M88" i="19"/>
  <c r="N88" i="19"/>
  <c r="V88" i="19"/>
  <c r="K88" i="19"/>
  <c r="V167" i="19"/>
  <c r="K167" i="19"/>
  <c r="L167" i="19"/>
  <c r="M167" i="19"/>
  <c r="N167" i="19"/>
  <c r="N160" i="19"/>
  <c r="K160" i="19"/>
  <c r="M160" i="19"/>
  <c r="V160" i="19"/>
  <c r="L160" i="19"/>
  <c r="K80" i="19"/>
  <c r="L80" i="19"/>
  <c r="V80" i="19"/>
  <c r="M80" i="19"/>
  <c r="N80" i="19"/>
  <c r="N192" i="19"/>
  <c r="V192" i="19"/>
  <c r="M192" i="19"/>
  <c r="K192" i="19"/>
  <c r="L192" i="19"/>
  <c r="L114" i="19"/>
  <c r="M114" i="19"/>
  <c r="N114" i="19"/>
  <c r="V114" i="19"/>
  <c r="K114" i="19"/>
  <c r="L130" i="19"/>
  <c r="N130" i="19"/>
  <c r="K130" i="19"/>
  <c r="M130" i="19"/>
  <c r="V130" i="19"/>
  <c r="V126" i="19"/>
  <c r="M126" i="19"/>
  <c r="N126" i="19"/>
  <c r="L126" i="19"/>
  <c r="K126" i="19"/>
  <c r="V109" i="19"/>
  <c r="L109" i="19"/>
  <c r="N109" i="19"/>
  <c r="K109" i="19"/>
  <c r="M109" i="19"/>
  <c r="V138" i="19"/>
  <c r="K138" i="19"/>
  <c r="L138" i="19"/>
  <c r="M138" i="19"/>
  <c r="N138" i="19"/>
  <c r="K139" i="19"/>
  <c r="L139" i="19"/>
  <c r="M139" i="19"/>
  <c r="N139" i="19"/>
  <c r="V139" i="19"/>
  <c r="K187" i="19"/>
  <c r="L187" i="19"/>
  <c r="M187" i="19"/>
  <c r="N187" i="19"/>
  <c r="V187" i="19"/>
  <c r="K143" i="19"/>
  <c r="N143" i="19"/>
  <c r="L143" i="19"/>
  <c r="M143" i="19"/>
  <c r="V143" i="19"/>
  <c r="K129" i="19"/>
  <c r="M129" i="19"/>
  <c r="N129" i="19"/>
  <c r="V129" i="19"/>
  <c r="L129" i="19"/>
  <c r="L144" i="19"/>
  <c r="K144" i="19"/>
  <c r="M144" i="19"/>
  <c r="N144" i="19"/>
  <c r="V144" i="19"/>
  <c r="K151" i="19"/>
  <c r="L151" i="19"/>
  <c r="M151" i="19"/>
  <c r="N151" i="19"/>
  <c r="V151" i="19"/>
  <c r="K127" i="19"/>
  <c r="N127" i="19"/>
  <c r="L127" i="19"/>
  <c r="M127" i="19"/>
  <c r="V127" i="19"/>
  <c r="L177" i="19"/>
  <c r="N177" i="19"/>
  <c r="V177" i="19"/>
  <c r="K177" i="19"/>
  <c r="M177" i="19"/>
  <c r="K99" i="19"/>
  <c r="L99" i="19"/>
  <c r="M99" i="19"/>
  <c r="N99" i="19"/>
  <c r="V99" i="19"/>
  <c r="K152" i="19"/>
  <c r="L152" i="19"/>
  <c r="M152" i="19"/>
  <c r="N152" i="19"/>
  <c r="V152" i="19"/>
  <c r="L120" i="19"/>
  <c r="M120" i="19"/>
  <c r="N120" i="19"/>
  <c r="V120" i="19"/>
  <c r="K120" i="19"/>
  <c r="M105" i="19"/>
  <c r="N105" i="19"/>
  <c r="V105" i="19"/>
  <c r="K105" i="19"/>
  <c r="L105" i="19"/>
  <c r="L148" i="19"/>
  <c r="V148" i="19"/>
  <c r="K148" i="19"/>
  <c r="M148" i="19"/>
  <c r="N148" i="19"/>
  <c r="L190" i="19"/>
  <c r="M190" i="19"/>
  <c r="N190" i="19"/>
  <c r="K190" i="19"/>
  <c r="V190" i="19"/>
  <c r="K100" i="19"/>
  <c r="L100" i="19"/>
  <c r="M100" i="19"/>
  <c r="N100" i="19"/>
  <c r="V100" i="19"/>
  <c r="K103" i="19"/>
  <c r="L103" i="19"/>
  <c r="M103" i="19"/>
  <c r="N103" i="19"/>
  <c r="V103" i="19"/>
  <c r="K86" i="19"/>
  <c r="L86" i="19"/>
  <c r="M86" i="19"/>
  <c r="N86" i="19"/>
  <c r="V86" i="19"/>
  <c r="V163" i="19"/>
  <c r="K163" i="19"/>
  <c r="L163" i="19"/>
  <c r="M163" i="19"/>
  <c r="N163" i="19"/>
  <c r="M133" i="19"/>
  <c r="V133" i="19"/>
  <c r="K133" i="19"/>
  <c r="L133" i="19"/>
  <c r="N133" i="19"/>
  <c r="M175" i="19"/>
  <c r="N175" i="19"/>
  <c r="V175" i="19"/>
  <c r="K175" i="19"/>
  <c r="L175" i="19"/>
  <c r="K153" i="19"/>
  <c r="L153" i="19"/>
  <c r="M153" i="19"/>
  <c r="N153" i="19"/>
  <c r="V153" i="19"/>
  <c r="K156" i="19"/>
  <c r="L156" i="19"/>
  <c r="M156" i="19"/>
  <c r="N156" i="19"/>
  <c r="V156" i="19"/>
  <c r="M145" i="19"/>
  <c r="K145" i="19"/>
  <c r="L145" i="19"/>
  <c r="N145" i="19"/>
  <c r="V145" i="19"/>
  <c r="K119" i="19"/>
  <c r="L119" i="19"/>
  <c r="M119" i="19"/>
  <c r="N119" i="19"/>
  <c r="V119" i="19"/>
  <c r="L132" i="19"/>
  <c r="N132" i="19"/>
  <c r="V132" i="19"/>
  <c r="K132" i="19"/>
  <c r="M132" i="19"/>
  <c r="V165" i="19"/>
  <c r="K165" i="19"/>
  <c r="L165" i="19"/>
  <c r="M165" i="19"/>
  <c r="N165" i="19"/>
  <c r="V162" i="19"/>
  <c r="M162" i="19"/>
  <c r="N162" i="19"/>
  <c r="K162" i="19"/>
  <c r="L162" i="19"/>
  <c r="K166" i="19"/>
  <c r="L166" i="19"/>
  <c r="M166" i="19"/>
  <c r="N166" i="19"/>
  <c r="V166" i="19"/>
  <c r="N176" i="19"/>
  <c r="V176" i="19"/>
  <c r="K176" i="19"/>
  <c r="L176" i="19"/>
  <c r="M176" i="19"/>
  <c r="K98" i="19"/>
  <c r="L98" i="19"/>
  <c r="M98" i="19"/>
  <c r="N98" i="19"/>
  <c r="V98" i="19"/>
  <c r="V94" i="19"/>
  <c r="M94" i="19"/>
  <c r="N94" i="19"/>
  <c r="K94" i="19"/>
  <c r="L94" i="19"/>
  <c r="N106" i="19"/>
  <c r="V106" i="19"/>
  <c r="K106" i="19"/>
  <c r="L106" i="19"/>
  <c r="M106" i="19"/>
  <c r="K185" i="19"/>
  <c r="L185" i="19"/>
  <c r="N185" i="19"/>
  <c r="M185" i="19"/>
  <c r="V185" i="19"/>
  <c r="K83" i="19"/>
  <c r="L83" i="19"/>
  <c r="M83" i="19"/>
  <c r="N83" i="19"/>
  <c r="V83" i="19"/>
  <c r="K97" i="19"/>
  <c r="L97" i="19"/>
  <c r="M97" i="19"/>
  <c r="V97" i="19"/>
  <c r="N97" i="19"/>
  <c r="K95" i="19"/>
  <c r="N95" i="19"/>
  <c r="L95" i="19"/>
  <c r="M95" i="19"/>
  <c r="V95" i="19"/>
  <c r="K113" i="19"/>
  <c r="L113" i="19"/>
  <c r="M113" i="19"/>
  <c r="V113" i="19"/>
  <c r="N113" i="19"/>
  <c r="K111" i="19"/>
  <c r="N111" i="19"/>
  <c r="L111" i="19"/>
  <c r="M111" i="19"/>
  <c r="V111" i="19"/>
  <c r="K112" i="19"/>
  <c r="L112" i="19"/>
  <c r="V112" i="19"/>
  <c r="N112" i="19"/>
  <c r="M112" i="19"/>
  <c r="K124" i="19"/>
  <c r="M124" i="19"/>
  <c r="L124" i="19"/>
  <c r="V124" i="19"/>
  <c r="N124" i="19"/>
  <c r="M142" i="19"/>
  <c r="V142" i="19"/>
  <c r="K142" i="19"/>
  <c r="L142" i="19"/>
  <c r="N142" i="19"/>
  <c r="K85" i="19"/>
  <c r="L85" i="19"/>
  <c r="M85" i="19"/>
  <c r="N85" i="19"/>
  <c r="V85" i="19"/>
  <c r="K84" i="19"/>
  <c r="L84" i="19"/>
  <c r="M84" i="19"/>
  <c r="N84" i="19"/>
  <c r="V84" i="19"/>
  <c r="V164" i="19"/>
  <c r="K164" i="19"/>
  <c r="L164" i="19"/>
  <c r="M164" i="19"/>
  <c r="N164" i="19"/>
  <c r="L104" i="19"/>
  <c r="M104" i="19"/>
  <c r="N104" i="19"/>
  <c r="V104" i="19"/>
  <c r="K104" i="19"/>
  <c r="M159" i="19"/>
  <c r="N159" i="19"/>
  <c r="K159" i="19"/>
  <c r="V159" i="19"/>
  <c r="L159" i="19"/>
  <c r="K101" i="19"/>
  <c r="L101" i="19"/>
  <c r="M101" i="19"/>
  <c r="N101" i="19"/>
  <c r="V101" i="19"/>
  <c r="K117" i="19"/>
  <c r="L117" i="19"/>
  <c r="M117" i="19"/>
  <c r="N117" i="19"/>
  <c r="V117" i="19"/>
  <c r="M184" i="19"/>
  <c r="L184" i="19"/>
  <c r="K184" i="19"/>
  <c r="N184" i="19"/>
  <c r="V184" i="19"/>
  <c r="K134" i="19"/>
  <c r="N134" i="19"/>
  <c r="V134" i="19"/>
  <c r="L134" i="19"/>
  <c r="M134" i="19"/>
  <c r="V149" i="19"/>
  <c r="K149" i="19"/>
  <c r="L149" i="19"/>
  <c r="M149" i="19"/>
  <c r="N149" i="19"/>
  <c r="V196" i="19"/>
  <c r="L196" i="19"/>
  <c r="M196" i="19"/>
  <c r="K196" i="19"/>
  <c r="N196" i="19"/>
  <c r="K147" i="19"/>
  <c r="V147" i="19"/>
  <c r="M147" i="19"/>
  <c r="N147" i="19"/>
  <c r="L147" i="19"/>
  <c r="V123" i="19"/>
  <c r="L123" i="19"/>
  <c r="N123" i="19"/>
  <c r="K123" i="19"/>
  <c r="M123" i="19"/>
  <c r="AJ197" i="24" a="1"/>
  <c r="AJ197" i="24" s="1"/>
  <c r="AJ177" i="24" a="1"/>
  <c r="AJ177" i="24" s="1"/>
  <c r="AJ75" i="24" a="1"/>
  <c r="AJ75" i="24" s="1"/>
  <c r="AJ13" i="24" a="1"/>
  <c r="AJ13" i="24" s="1"/>
  <c r="AJ198" i="24" a="1"/>
  <c r="AJ198" i="24" s="1"/>
  <c r="AJ170" i="24" a="1"/>
  <c r="AJ170" i="24" s="1"/>
  <c r="AJ96" i="24" a="1"/>
  <c r="AJ96" i="24" s="1"/>
  <c r="AJ20" i="24" a="1"/>
  <c r="AJ20" i="24" s="1"/>
  <c r="AJ163" i="24" a="1"/>
  <c r="AJ163" i="24" s="1"/>
  <c r="AJ89" i="24" a="1"/>
  <c r="AJ89" i="24" s="1"/>
  <c r="AJ205" i="24" a="1"/>
  <c r="AJ205" i="24" s="1"/>
  <c r="AJ156" i="24" a="1"/>
  <c r="AJ156" i="24" s="1"/>
  <c r="AJ119" i="24" a="1"/>
  <c r="AJ119" i="24" s="1"/>
  <c r="AJ34" i="24" a="1"/>
  <c r="AJ34" i="24" s="1"/>
  <c r="AJ127" i="24" a="1"/>
  <c r="AJ127" i="24" s="1"/>
  <c r="AJ26" i="24" a="1"/>
  <c r="AJ26" i="24" s="1"/>
  <c r="AG202" i="4" a="1"/>
  <c r="AG202" i="4" s="1"/>
  <c r="AG194" i="4" a="1"/>
  <c r="AG194" i="4" s="1"/>
  <c r="AG186" i="4" a="1"/>
  <c r="AG186" i="4" s="1"/>
  <c r="AG178" i="4" a="1"/>
  <c r="AG178" i="4" s="1"/>
  <c r="AG170" i="4" a="1"/>
  <c r="AG170" i="4" s="1"/>
  <c r="AG162" i="4" a="1"/>
  <c r="AG162" i="4" s="1"/>
  <c r="AG154" i="4" a="1"/>
  <c r="AG154" i="4" s="1"/>
  <c r="AG146" i="4" a="1"/>
  <c r="AG146" i="4" s="1"/>
  <c r="AG123" i="4" a="1"/>
  <c r="AG123" i="4" s="1"/>
  <c r="AG115" i="4" a="1"/>
  <c r="AG115" i="4" s="1"/>
  <c r="AG107" i="4" a="1"/>
  <c r="AG107" i="4" s="1"/>
  <c r="AG138" i="4" a="1"/>
  <c r="AG138" i="4" s="1"/>
  <c r="AG130" i="4" a="1"/>
  <c r="AG130" i="4" s="1"/>
  <c r="AG99" i="4" a="1"/>
  <c r="AG99" i="4" s="1"/>
  <c r="AG91" i="4" a="1"/>
  <c r="AG91" i="4" s="1"/>
  <c r="AG77" i="4" a="1"/>
  <c r="AG77" i="4" s="1"/>
  <c r="AG70" i="4" a="1"/>
  <c r="AG70" i="4" s="1"/>
  <c r="AG201" i="4" a="1"/>
  <c r="AG201" i="4" s="1"/>
  <c r="AG193" i="4" a="1"/>
  <c r="AG193" i="4" s="1"/>
  <c r="AG185" i="4" a="1"/>
  <c r="AG185" i="4" s="1"/>
  <c r="AG177" i="4" a="1"/>
  <c r="AG177" i="4" s="1"/>
  <c r="AG169" i="4" a="1"/>
  <c r="AG169" i="4" s="1"/>
  <c r="AG161" i="4" a="1"/>
  <c r="AG161" i="4" s="1"/>
  <c r="AG153" i="4" a="1"/>
  <c r="AG153" i="4" s="1"/>
  <c r="AG145" i="4" a="1"/>
  <c r="AG145" i="4" s="1"/>
  <c r="AG122" i="4" a="1"/>
  <c r="AG122" i="4" s="1"/>
  <c r="AG114" i="4" a="1"/>
  <c r="AG114" i="4" s="1"/>
  <c r="AG106" i="4" a="1"/>
  <c r="AG106" i="4" s="1"/>
  <c r="AG84" i="4" a="1"/>
  <c r="AG84" i="4" s="1"/>
  <c r="AG205" i="4" a="1"/>
  <c r="AG205" i="4" s="1"/>
  <c r="AG174" i="4" a="1"/>
  <c r="AG174" i="4" s="1"/>
  <c r="AG155" i="4" a="1"/>
  <c r="AG155" i="4" s="1"/>
  <c r="AG144" i="4" a="1"/>
  <c r="AG144" i="4" s="1"/>
  <c r="AG135" i="4" a="1"/>
  <c r="AG135" i="4" s="1"/>
  <c r="AG79" i="4" a="1"/>
  <c r="AG79" i="4" s="1"/>
  <c r="AG71" i="4" a="1"/>
  <c r="AG71" i="4" s="1"/>
  <c r="AG47" i="4" a="1"/>
  <c r="AG47" i="4" s="1"/>
  <c r="AG3" i="4" a="1"/>
  <c r="AG3" i="4" s="1"/>
  <c r="AG17" i="4" a="1"/>
  <c r="AG17" i="4" s="1"/>
  <c r="AG163" i="4" a="1"/>
  <c r="AG163" i="4" s="1"/>
  <c r="AG95" i="4" a="1"/>
  <c r="AG95" i="4" s="1"/>
  <c r="AG8" i="4" a="1"/>
  <c r="AG8" i="4" s="1"/>
  <c r="AG124" i="4" a="1"/>
  <c r="AG124" i="4" s="1"/>
  <c r="AG59" i="4" a="1"/>
  <c r="AG59" i="4" s="1"/>
  <c r="AG15" i="4" a="1"/>
  <c r="AG15" i="4" s="1"/>
  <c r="AG67" i="4" a="1"/>
  <c r="AG67" i="4" s="1"/>
  <c r="AG204" i="4" a="1"/>
  <c r="AG204" i="4" s="1"/>
  <c r="AG183" i="4" a="1"/>
  <c r="AG183" i="4" s="1"/>
  <c r="AG164" i="4" a="1"/>
  <c r="AG164" i="4" s="1"/>
  <c r="AG125" i="4" a="1"/>
  <c r="AG125" i="4" s="1"/>
  <c r="AG116" i="4" a="1"/>
  <c r="AG116" i="4" s="1"/>
  <c r="AG105" i="4" a="1"/>
  <c r="AG105" i="4" s="1"/>
  <c r="AG96" i="4" a="1"/>
  <c r="AG96" i="4" s="1"/>
  <c r="AG69" i="4" a="1"/>
  <c r="AG69" i="4" s="1"/>
  <c r="AG61" i="4" a="1"/>
  <c r="AG61" i="4" s="1"/>
  <c r="AG54" i="4" a="1"/>
  <c r="AG54" i="4" s="1"/>
  <c r="AG32" i="4" a="1"/>
  <c r="AG32" i="4" s="1"/>
  <c r="AG152" i="4" a="1"/>
  <c r="AG152" i="4" s="1"/>
  <c r="AG68" i="4" a="1"/>
  <c r="AG68" i="4" s="1"/>
  <c r="AG85" i="4" a="1"/>
  <c r="AG85" i="4" s="1"/>
  <c r="AG192" i="4" a="1"/>
  <c r="AG192" i="4" s="1"/>
  <c r="AG173" i="4" a="1"/>
  <c r="AG173" i="4" s="1"/>
  <c r="AG143" i="4" a="1"/>
  <c r="AG143" i="4" s="1"/>
  <c r="AG134" i="4" a="1"/>
  <c r="AG134" i="4" s="1"/>
  <c r="AG87" i="4" a="1"/>
  <c r="AG87" i="4" s="1"/>
  <c r="AG78" i="4" a="1"/>
  <c r="AG78" i="4" s="1"/>
  <c r="AG46" i="4" a="1"/>
  <c r="AG46" i="4" s="1"/>
  <c r="AG39" i="4" a="1"/>
  <c r="AG39" i="4" s="1"/>
  <c r="AG182" i="4" a="1"/>
  <c r="AG182" i="4" s="1"/>
  <c r="AG60" i="4" a="1"/>
  <c r="AG60" i="4" s="1"/>
  <c r="AG31" i="4" a="1"/>
  <c r="AG31" i="4" s="1"/>
  <c r="AG142" i="4" a="1"/>
  <c r="AG142" i="4" s="1"/>
  <c r="AG104" i="4" a="1"/>
  <c r="AG104" i="4" s="1"/>
  <c r="AG23" i="4" a="1"/>
  <c r="AG23" i="4" s="1"/>
  <c r="AG75" i="4" a="1"/>
  <c r="AG75" i="4" s="1"/>
  <c r="AG37" i="4" a="1"/>
  <c r="AG37" i="4" s="1"/>
  <c r="AG38" i="4" a="1"/>
  <c r="AG38" i="4" s="1"/>
  <c r="AG52" i="4" a="1"/>
  <c r="AG52" i="4" s="1"/>
  <c r="AG191" i="4" a="1"/>
  <c r="AG191" i="4" s="1"/>
  <c r="AG172" i="4" a="1"/>
  <c r="AG172" i="4" s="1"/>
  <c r="AG133" i="4" a="1"/>
  <c r="AG133" i="4" s="1"/>
  <c r="AG76" i="4" a="1"/>
  <c r="AG76" i="4" s="1"/>
  <c r="AG22" i="4" a="1"/>
  <c r="AG22" i="4" s="1"/>
  <c r="AG181" i="4" a="1"/>
  <c r="AG181" i="4" s="1"/>
  <c r="AG151" i="4" a="1"/>
  <c r="AG151" i="4" s="1"/>
  <c r="AG94" i="4" a="1"/>
  <c r="AG94" i="4" s="1"/>
  <c r="AG200" i="4" a="1"/>
  <c r="AG200" i="4" s="1"/>
  <c r="AG190" i="4" a="1"/>
  <c r="AG190" i="4" s="1"/>
  <c r="AG171" i="4" a="1"/>
  <c r="AG171" i="4" s="1"/>
  <c r="AG160" i="4" a="1"/>
  <c r="AG160" i="4" s="1"/>
  <c r="AG141" i="4" a="1"/>
  <c r="AG141" i="4" s="1"/>
  <c r="AG132" i="4" a="1"/>
  <c r="AG132" i="4" s="1"/>
  <c r="AG103" i="4" a="1"/>
  <c r="AG103" i="4" s="1"/>
  <c r="AG44" i="4" a="1"/>
  <c r="AG44" i="4" s="1"/>
  <c r="AG180" i="4" a="1"/>
  <c r="AG180" i="4" s="1"/>
  <c r="AG150" i="4" a="1"/>
  <c r="AG150" i="4" s="1"/>
  <c r="AG121" i="4" a="1"/>
  <c r="AG121" i="4" s="1"/>
  <c r="AG93" i="4" a="1"/>
  <c r="AG93" i="4" s="1"/>
  <c r="AG58" i="4" a="1"/>
  <c r="AG58" i="4" s="1"/>
  <c r="AG29" i="4" a="1"/>
  <c r="AG29" i="4" s="1"/>
  <c r="AG14" i="4" a="1"/>
  <c r="AG14" i="4" s="1"/>
  <c r="AG6" i="4" a="1"/>
  <c r="AG6" i="4" s="1"/>
  <c r="AG28" i="4" a="1"/>
  <c r="AG28" i="4" s="1"/>
  <c r="AG167" i="4" a="1"/>
  <c r="AG167" i="4" s="1"/>
  <c r="AG148" i="4" a="1"/>
  <c r="AG148" i="4" s="1"/>
  <c r="AG27" i="4" a="1"/>
  <c r="AG27" i="4" s="1"/>
  <c r="AG187" i="4" a="1"/>
  <c r="AG187" i="4" s="1"/>
  <c r="AG137" i="4" a="1"/>
  <c r="AG137" i="4" s="1"/>
  <c r="AG100" i="4" a="1"/>
  <c r="AG100" i="4" s="1"/>
  <c r="AG64" i="4" a="1"/>
  <c r="AG64" i="4" s="1"/>
  <c r="AG127" i="4" a="1"/>
  <c r="AG127" i="4" s="1"/>
  <c r="AG72" i="4" a="1"/>
  <c r="AG72" i="4" s="1"/>
  <c r="AG26" i="4" a="1"/>
  <c r="AG26" i="4" s="1"/>
  <c r="AG63" i="4" a="1"/>
  <c r="AG63" i="4" s="1"/>
  <c r="AG199" i="4" a="1"/>
  <c r="AG199" i="4" s="1"/>
  <c r="AG189" i="4" a="1"/>
  <c r="AG189" i="4" s="1"/>
  <c r="AG159" i="4" a="1"/>
  <c r="AG159" i="4" s="1"/>
  <c r="AG131" i="4" a="1"/>
  <c r="AG131" i="4" s="1"/>
  <c r="AG111" i="4" a="1"/>
  <c r="AG111" i="4" s="1"/>
  <c r="AG102" i="4" a="1"/>
  <c r="AG102" i="4" s="1"/>
  <c r="AG83" i="4" a="1"/>
  <c r="AG83" i="4" s="1"/>
  <c r="AG74" i="4" a="1"/>
  <c r="AG74" i="4" s="1"/>
  <c r="AG66" i="4" a="1"/>
  <c r="AG66" i="4" s="1"/>
  <c r="AG51" i="4" a="1"/>
  <c r="AG51" i="4" s="1"/>
  <c r="AG43" i="4" a="1"/>
  <c r="AG43" i="4" s="1"/>
  <c r="AG21" i="4" a="1"/>
  <c r="AG21" i="4" s="1"/>
  <c r="AG119" i="4" a="1"/>
  <c r="AG119" i="4" s="1"/>
  <c r="AG35" i="4" a="1"/>
  <c r="AG35" i="4" s="1"/>
  <c r="AG81" i="4" a="1"/>
  <c r="AG81" i="4" s="1"/>
  <c r="AG41" i="4" a="1"/>
  <c r="AG41" i="4" s="1"/>
  <c r="AG118" i="4" a="1"/>
  <c r="AG118" i="4" s="1"/>
  <c r="AG179" i="4" a="1"/>
  <c r="AG179" i="4" s="1"/>
  <c r="AG168" i="4" a="1"/>
  <c r="AG168" i="4" s="1"/>
  <c r="AG149" i="4" a="1"/>
  <c r="AG149" i="4" s="1"/>
  <c r="AG140" i="4" a="1"/>
  <c r="AG140" i="4" s="1"/>
  <c r="AG129" i="4" a="1"/>
  <c r="AG129" i="4" s="1"/>
  <c r="AG120" i="4" a="1"/>
  <c r="AG120" i="4" s="1"/>
  <c r="AG92" i="4" a="1"/>
  <c r="AG92" i="4" s="1"/>
  <c r="AG57" i="4" a="1"/>
  <c r="AG57" i="4" s="1"/>
  <c r="AG36" i="4" a="1"/>
  <c r="AG36" i="4" s="1"/>
  <c r="AG13" i="4" a="1"/>
  <c r="AG13" i="4" s="1"/>
  <c r="AG139" i="4" a="1"/>
  <c r="AG139" i="4" s="1"/>
  <c r="AG176" i="4" a="1"/>
  <c r="AG176" i="4" s="1"/>
  <c r="AG89" i="4" a="1"/>
  <c r="AG89" i="4" s="1"/>
  <c r="AG108" i="4" a="1"/>
  <c r="AG108" i="4" s="1"/>
  <c r="AG198" i="4" a="1"/>
  <c r="AG198" i="4" s="1"/>
  <c r="AG188" i="4" a="1"/>
  <c r="AG188" i="4" s="1"/>
  <c r="AG158" i="4" a="1"/>
  <c r="AG158" i="4" s="1"/>
  <c r="AG110" i="4" a="1"/>
  <c r="AG110" i="4" s="1"/>
  <c r="AG101" i="4" a="1"/>
  <c r="AG101" i="4" s="1"/>
  <c r="AG90" i="4" a="1"/>
  <c r="AG90" i="4" s="1"/>
  <c r="AG82" i="4" a="1"/>
  <c r="AG82" i="4" s="1"/>
  <c r="AG73" i="4" a="1"/>
  <c r="AG73" i="4" s="1"/>
  <c r="AG65" i="4" a="1"/>
  <c r="AG65" i="4" s="1"/>
  <c r="AG50" i="4" a="1"/>
  <c r="AG50" i="4" s="1"/>
  <c r="AG42" i="4" a="1"/>
  <c r="AG42" i="4" s="1"/>
  <c r="AG5" i="4" a="1"/>
  <c r="AG5" i="4" s="1"/>
  <c r="AG12" i="4" a="1"/>
  <c r="AG12" i="4" s="1"/>
  <c r="AG157" i="4" a="1"/>
  <c r="AG157" i="4" s="1"/>
  <c r="AG109" i="4" a="1"/>
  <c r="AG109" i="4" s="1"/>
  <c r="AG49" i="4" a="1"/>
  <c r="AG49" i="4" s="1"/>
  <c r="AG19" i="4" a="1"/>
  <c r="AG19" i="4" s="1"/>
  <c r="AG80" i="4" a="1"/>
  <c r="AG80" i="4" s="1"/>
  <c r="AG128" i="4" a="1"/>
  <c r="AG128" i="4" s="1"/>
  <c r="AG20" i="4" a="1"/>
  <c r="AG20" i="4" s="1"/>
  <c r="AG11" i="4" a="1"/>
  <c r="AG11" i="4" s="1"/>
  <c r="AG48" i="4" a="1"/>
  <c r="AG48" i="4" s="1"/>
  <c r="AG197" i="4" a="1"/>
  <c r="AG197" i="4" s="1"/>
  <c r="AG56" i="4" a="1"/>
  <c r="AG56" i="4" s="1"/>
  <c r="AG4" i="4" a="1"/>
  <c r="AG4" i="4" s="1"/>
  <c r="AG196" i="4" a="1"/>
  <c r="AG196" i="4" s="1"/>
  <c r="AG166" i="4" a="1"/>
  <c r="AG166" i="4" s="1"/>
  <c r="AG147" i="4" a="1"/>
  <c r="AG147" i="4" s="1"/>
  <c r="AG98" i="4" a="1"/>
  <c r="AG98" i="4" s="1"/>
  <c r="AG34" i="4" a="1"/>
  <c r="AG34" i="4" s="1"/>
  <c r="AG206" i="4" a="1"/>
  <c r="AG206" i="4" s="1"/>
  <c r="AG175" i="4" a="1"/>
  <c r="AG175" i="4" s="1"/>
  <c r="AG156" i="4" a="1"/>
  <c r="AG156" i="4" s="1"/>
  <c r="AG136" i="4" a="1"/>
  <c r="AG136" i="4" s="1"/>
  <c r="AG195" i="4" a="1"/>
  <c r="AG195" i="4" s="1"/>
  <c r="AG184" i="4" a="1"/>
  <c r="AG184" i="4" s="1"/>
  <c r="AG165" i="4" a="1"/>
  <c r="AG165" i="4" s="1"/>
  <c r="AG126" i="4" a="1"/>
  <c r="AG126" i="4" s="1"/>
  <c r="AG117" i="4" a="1"/>
  <c r="AG117" i="4" s="1"/>
  <c r="AG97" i="4" a="1"/>
  <c r="AG97" i="4" s="1"/>
  <c r="AG88" i="4" a="1"/>
  <c r="AG88" i="4" s="1"/>
  <c r="AG62" i="4" a="1"/>
  <c r="AG62" i="4" s="1"/>
  <c r="AG55" i="4" a="1"/>
  <c r="AG55" i="4" s="1"/>
  <c r="AG40" i="4" a="1"/>
  <c r="AG40" i="4" s="1"/>
  <c r="AG33" i="4" a="1"/>
  <c r="AG33" i="4" s="1"/>
  <c r="AG25" i="4" a="1"/>
  <c r="AG25" i="4" s="1"/>
  <c r="AG18" i="4" a="1"/>
  <c r="AG18" i="4" s="1"/>
  <c r="AG10" i="4" a="1"/>
  <c r="AG10" i="4" s="1"/>
  <c r="AG24" i="4" a="1"/>
  <c r="AG24" i="4" s="1"/>
  <c r="AG9" i="4" a="1"/>
  <c r="AG9" i="4" s="1"/>
  <c r="AG203" i="4" a="1"/>
  <c r="AG203" i="4" s="1"/>
  <c r="AG53" i="4" a="1"/>
  <c r="AG53" i="4" s="1"/>
  <c r="AG16" i="4" a="1"/>
  <c r="AG16" i="4" s="1"/>
  <c r="AG113" i="4" a="1"/>
  <c r="AG113" i="4" s="1"/>
  <c r="AG86" i="4" a="1"/>
  <c r="AG86" i="4" s="1"/>
  <c r="AG45" i="4" a="1"/>
  <c r="AG45" i="4" s="1"/>
  <c r="AG30" i="4" a="1"/>
  <c r="AG30" i="4" s="1"/>
  <c r="AG112" i="4" a="1"/>
  <c r="AG112" i="4" s="1"/>
  <c r="AG7" i="4" a="1"/>
  <c r="AG7" i="4" s="1"/>
  <c r="AJ5" i="24" a="1"/>
  <c r="AJ5" i="24" s="1"/>
  <c r="AJ40" i="24" a="1"/>
  <c r="AJ40" i="24" s="1"/>
  <c r="AJ54" i="24" a="1"/>
  <c r="AJ54" i="24" s="1"/>
  <c r="AJ61" i="24" a="1"/>
  <c r="AJ61" i="24" s="1"/>
  <c r="AJ68" i="24" a="1"/>
  <c r="AJ68" i="24" s="1"/>
  <c r="AJ81" i="24" a="1"/>
  <c r="AJ81" i="24" s="1"/>
  <c r="AJ103" i="24" a="1"/>
  <c r="AJ103" i="24" s="1"/>
  <c r="AJ111" i="24" a="1"/>
  <c r="AJ111" i="24" s="1"/>
  <c r="AJ134" i="24" a="1"/>
  <c r="AJ134" i="24" s="1"/>
  <c r="AJ141" i="24" a="1"/>
  <c r="AJ141" i="24" s="1"/>
  <c r="AJ183" i="24" a="1"/>
  <c r="AJ183" i="24" s="1"/>
  <c r="AJ6" i="24" a="1"/>
  <c r="AJ6" i="24" s="1"/>
  <c r="AJ47" i="24" a="1"/>
  <c r="AJ47" i="24" s="1"/>
  <c r="AJ62" i="24" a="1"/>
  <c r="AJ62" i="24" s="1"/>
  <c r="AJ82" i="24" a="1"/>
  <c r="AJ82" i="24" s="1"/>
  <c r="AJ104" i="24" a="1"/>
  <c r="AJ104" i="24" s="1"/>
  <c r="AJ112" i="24" a="1"/>
  <c r="AJ112" i="24" s="1"/>
  <c r="AJ142" i="24" a="1"/>
  <c r="AJ142" i="24" s="1"/>
  <c r="AJ149" i="24" a="1"/>
  <c r="AJ149" i="24" s="1"/>
  <c r="AJ184" i="24" a="1"/>
  <c r="AJ184" i="24" s="1"/>
  <c r="AJ191" i="24" a="1"/>
  <c r="AJ191" i="24" s="1"/>
  <c r="AJ14" i="24" a="1"/>
  <c r="AJ14" i="24" s="1"/>
  <c r="AJ27" i="24" a="1"/>
  <c r="AJ27" i="24" s="1"/>
  <c r="AJ35" i="24" a="1"/>
  <c r="AJ35" i="24" s="1"/>
  <c r="AJ41" i="24" a="1"/>
  <c r="AJ41" i="24" s="1"/>
  <c r="AJ55" i="24" a="1"/>
  <c r="AJ55" i="24" s="1"/>
  <c r="AJ69" i="24" a="1"/>
  <c r="AJ69" i="24" s="1"/>
  <c r="AJ76" i="24" a="1"/>
  <c r="AJ76" i="24" s="1"/>
  <c r="AJ90" i="24" a="1"/>
  <c r="AJ90" i="24" s="1"/>
  <c r="AJ97" i="24" a="1"/>
  <c r="AJ97" i="24" s="1"/>
  <c r="AJ120" i="24" a="1"/>
  <c r="AJ120" i="24" s="1"/>
  <c r="AJ128" i="24" a="1"/>
  <c r="AJ128" i="24" s="1"/>
  <c r="AJ135" i="24" a="1"/>
  <c r="AJ135" i="24" s="1"/>
  <c r="AJ164" i="24" a="1"/>
  <c r="AJ164" i="24" s="1"/>
  <c r="AJ171" i="24" a="1"/>
  <c r="AJ171" i="24" s="1"/>
  <c r="AJ206" i="24" a="1"/>
  <c r="AJ206" i="24" s="1"/>
  <c r="AJ21" i="24" a="1"/>
  <c r="AJ21" i="24" s="1"/>
  <c r="AJ48" i="24" a="1"/>
  <c r="AJ48" i="24" s="1"/>
  <c r="AJ63" i="24" a="1"/>
  <c r="AJ63" i="24" s="1"/>
  <c r="AJ83" i="24" a="1"/>
  <c r="AJ83" i="24" s="1"/>
  <c r="AJ105" i="24" a="1"/>
  <c r="AJ105" i="24" s="1"/>
  <c r="AJ113" i="24" a="1"/>
  <c r="AJ113" i="24" s="1"/>
  <c r="AJ150" i="24" a="1"/>
  <c r="AJ150" i="24" s="1"/>
  <c r="AJ157" i="24" a="1"/>
  <c r="AJ157" i="24" s="1"/>
  <c r="AJ178" i="24" a="1"/>
  <c r="AJ178" i="24" s="1"/>
  <c r="AJ185" i="24" a="1"/>
  <c r="AJ185" i="24" s="1"/>
  <c r="AJ192" i="24" a="1"/>
  <c r="AJ192" i="24" s="1"/>
  <c r="AJ199" i="24" a="1"/>
  <c r="AJ199" i="24" s="1"/>
  <c r="AJ7" i="24" a="1"/>
  <c r="AJ7" i="24" s="1"/>
  <c r="AJ15" i="24" a="1"/>
  <c r="AJ15" i="24" s="1"/>
  <c r="AJ28" i="24" a="1"/>
  <c r="AJ28" i="24" s="1"/>
  <c r="AJ36" i="24" a="1"/>
  <c r="AJ36" i="24" s="1"/>
  <c r="AJ56" i="24" a="1"/>
  <c r="AJ56" i="24" s="1"/>
  <c r="AJ70" i="24" a="1"/>
  <c r="AJ70" i="24" s="1"/>
  <c r="AJ91" i="24" a="1"/>
  <c r="AJ91" i="24" s="1"/>
  <c r="AJ98" i="24" a="1"/>
  <c r="AJ98" i="24" s="1"/>
  <c r="AJ121" i="24" a="1"/>
  <c r="AJ121" i="24" s="1"/>
  <c r="AJ129" i="24" a="1"/>
  <c r="AJ129" i="24" s="1"/>
  <c r="AJ136" i="24" a="1"/>
  <c r="AJ136" i="24" s="1"/>
  <c r="AJ143" i="24" a="1"/>
  <c r="AJ143" i="24" s="1"/>
  <c r="AJ172" i="24" a="1"/>
  <c r="AJ172" i="24" s="1"/>
  <c r="AJ22" i="24" a="1"/>
  <c r="AJ22" i="24" s="1"/>
  <c r="AJ42" i="24" a="1"/>
  <c r="AJ42" i="24" s="1"/>
  <c r="AJ49" i="24" a="1"/>
  <c r="AJ49" i="24" s="1"/>
  <c r="AJ64" i="24" a="1"/>
  <c r="AJ64" i="24" s="1"/>
  <c r="AJ77" i="24" a="1"/>
  <c r="AJ77" i="24" s="1"/>
  <c r="AJ84" i="24" a="1"/>
  <c r="AJ84" i="24" s="1"/>
  <c r="AJ106" i="24" a="1"/>
  <c r="AJ106" i="24" s="1"/>
  <c r="AJ158" i="24" a="1"/>
  <c r="AJ158" i="24" s="1"/>
  <c r="AJ165" i="24" a="1"/>
  <c r="AJ165" i="24" s="1"/>
  <c r="AJ179" i="24" a="1"/>
  <c r="AJ179" i="24" s="1"/>
  <c r="AJ186" i="24" a="1"/>
  <c r="AJ186" i="24" s="1"/>
  <c r="AJ193" i="24" a="1"/>
  <c r="AJ193" i="24" s="1"/>
  <c r="AJ200" i="24" a="1"/>
  <c r="AJ200" i="24" s="1"/>
  <c r="AJ8" i="24" a="1"/>
  <c r="AJ8" i="24" s="1"/>
  <c r="AJ16" i="24" a="1"/>
  <c r="AJ16" i="24" s="1"/>
  <c r="AJ29" i="24" a="1"/>
  <c r="AJ29" i="24" s="1"/>
  <c r="AJ57" i="24" a="1"/>
  <c r="AJ57" i="24" s="1"/>
  <c r="AJ92" i="24" a="1"/>
  <c r="AJ92" i="24" s="1"/>
  <c r="AJ99" i="24" a="1"/>
  <c r="AJ99" i="24" s="1"/>
  <c r="AJ114" i="24" a="1"/>
  <c r="AJ114" i="24" s="1"/>
  <c r="AJ122" i="24" a="1"/>
  <c r="AJ122" i="24" s="1"/>
  <c r="AJ130" i="24" a="1"/>
  <c r="AJ130" i="24" s="1"/>
  <c r="AJ137" i="24" a="1"/>
  <c r="AJ137" i="24" s="1"/>
  <c r="AJ144" i="24" a="1"/>
  <c r="AJ144" i="24" s="1"/>
  <c r="AJ151" i="24" a="1"/>
  <c r="AJ151" i="24" s="1"/>
  <c r="AJ37" i="24" a="1"/>
  <c r="AJ37" i="24" s="1"/>
  <c r="AJ43" i="24" a="1"/>
  <c r="AJ43" i="24" s="1"/>
  <c r="AJ50" i="24" a="1"/>
  <c r="AJ50" i="24" s="1"/>
  <c r="AJ65" i="24" a="1"/>
  <c r="AJ65" i="24" s="1"/>
  <c r="AJ71" i="24" a="1"/>
  <c r="AJ71" i="24" s="1"/>
  <c r="AJ107" i="24" a="1"/>
  <c r="AJ107" i="24" s="1"/>
  <c r="AJ166" i="24" a="1"/>
  <c r="AJ166" i="24" s="1"/>
  <c r="AJ173" i="24" a="1"/>
  <c r="AJ173" i="24" s="1"/>
  <c r="AJ180" i="24" a="1"/>
  <c r="AJ180" i="24" s="1"/>
  <c r="AJ187" i="24" a="1"/>
  <c r="AJ187" i="24" s="1"/>
  <c r="AJ194" i="24" a="1"/>
  <c r="AJ194" i="24" s="1"/>
  <c r="AJ201" i="24" a="1"/>
  <c r="AJ201" i="24" s="1"/>
  <c r="AJ9" i="24" a="1"/>
  <c r="AJ9" i="24" s="1"/>
  <c r="AJ17" i="24" a="1"/>
  <c r="AJ17" i="24" s="1"/>
  <c r="AJ30" i="24" a="1"/>
  <c r="AJ30" i="24" s="1"/>
  <c r="AJ58" i="24" a="1"/>
  <c r="AJ58" i="24" s="1"/>
  <c r="AJ78" i="24" a="1"/>
  <c r="AJ78" i="24" s="1"/>
  <c r="AJ85" i="24" a="1"/>
  <c r="AJ85" i="24" s="1"/>
  <c r="AJ100" i="24" a="1"/>
  <c r="AJ100" i="24" s="1"/>
  <c r="AJ115" i="24" a="1"/>
  <c r="AJ115" i="24" s="1"/>
  <c r="AJ123" i="24" a="1"/>
  <c r="AJ123" i="24" s="1"/>
  <c r="AJ131" i="24" a="1"/>
  <c r="AJ131" i="24" s="1"/>
  <c r="AJ138" i="24" a="1"/>
  <c r="AJ138" i="24" s="1"/>
  <c r="AJ145" i="24" a="1"/>
  <c r="AJ145" i="24" s="1"/>
  <c r="AJ152" i="24" a="1"/>
  <c r="AJ152" i="24" s="1"/>
  <c r="AJ159" i="24" a="1"/>
  <c r="AJ159" i="24" s="1"/>
  <c r="AJ23" i="24" a="1"/>
  <c r="AJ23" i="24" s="1"/>
  <c r="AJ44" i="24" a="1"/>
  <c r="AJ44" i="24" s="1"/>
  <c r="AJ51" i="24" a="1"/>
  <c r="AJ51" i="24" s="1"/>
  <c r="AJ66" i="24" a="1"/>
  <c r="AJ66" i="24" s="1"/>
  <c r="AJ72" i="24" a="1"/>
  <c r="AJ72" i="24" s="1"/>
  <c r="AJ93" i="24" a="1"/>
  <c r="AJ93" i="24" s="1"/>
  <c r="AJ108" i="24" a="1"/>
  <c r="AJ108" i="24" s="1"/>
  <c r="AJ174" i="24" a="1"/>
  <c r="AJ174" i="24" s="1"/>
  <c r="AJ188" i="24" a="1"/>
  <c r="AJ188" i="24" s="1"/>
  <c r="AJ195" i="24" a="1"/>
  <c r="AJ195" i="24" s="1"/>
  <c r="AJ202" i="24" a="1"/>
  <c r="AJ202" i="24" s="1"/>
  <c r="AJ3" i="24" a="1"/>
  <c r="AJ3" i="24" s="1"/>
  <c r="AJ10" i="24" a="1"/>
  <c r="AJ10" i="24" s="1"/>
  <c r="AJ18" i="24" a="1"/>
  <c r="AJ18" i="24" s="1"/>
  <c r="AJ31" i="24" a="1"/>
  <c r="AJ31" i="24" s="1"/>
  <c r="AJ38" i="24" a="1"/>
  <c r="AJ38" i="24" s="1"/>
  <c r="AJ59" i="24" a="1"/>
  <c r="AJ59" i="24" s="1"/>
  <c r="AJ79" i="24" a="1"/>
  <c r="AJ79" i="24" s="1"/>
  <c r="AJ86" i="24" a="1"/>
  <c r="AJ86" i="24" s="1"/>
  <c r="AJ116" i="24" a="1"/>
  <c r="AJ116" i="24" s="1"/>
  <c r="AJ124" i="24" a="1"/>
  <c r="AJ124" i="24" s="1"/>
  <c r="AJ132" i="24" a="1"/>
  <c r="AJ132" i="24" s="1"/>
  <c r="AJ139" i="24" a="1"/>
  <c r="AJ139" i="24" s="1"/>
  <c r="AJ146" i="24" a="1"/>
  <c r="AJ146" i="24" s="1"/>
  <c r="AJ153" i="24" a="1"/>
  <c r="AJ153" i="24" s="1"/>
  <c r="AJ160" i="24" a="1"/>
  <c r="AJ160" i="24" s="1"/>
  <c r="AJ167" i="24" a="1"/>
  <c r="AJ167" i="24" s="1"/>
  <c r="AJ181" i="24" a="1"/>
  <c r="AJ181" i="24" s="1"/>
  <c r="AJ24" i="24" a="1"/>
  <c r="AJ24" i="24" s="1"/>
  <c r="AJ52" i="24" a="1"/>
  <c r="AJ52" i="24" s="1"/>
  <c r="AJ94" i="24" a="1"/>
  <c r="AJ94" i="24" s="1"/>
  <c r="AJ101" i="24" a="1"/>
  <c r="AJ101" i="24" s="1"/>
  <c r="AJ109" i="24" a="1"/>
  <c r="AJ109" i="24" s="1"/>
  <c r="AJ196" i="24" a="1"/>
  <c r="AJ196" i="24" s="1"/>
  <c r="AJ203" i="24" a="1"/>
  <c r="AJ203" i="24" s="1"/>
  <c r="AJ11" i="24" a="1"/>
  <c r="AJ11" i="24" s="1"/>
  <c r="AJ32" i="24" a="1"/>
  <c r="AJ32" i="24" s="1"/>
  <c r="AJ45" i="24" a="1"/>
  <c r="AJ45" i="24" s="1"/>
  <c r="AJ60" i="24" a="1"/>
  <c r="AJ60" i="24" s="1"/>
  <c r="AJ67" i="24" a="1"/>
  <c r="AJ67" i="24" s="1"/>
  <c r="AJ73" i="24" a="1"/>
  <c r="AJ73" i="24" s="1"/>
  <c r="AJ80" i="24" a="1"/>
  <c r="AJ80" i="24" s="1"/>
  <c r="AJ87" i="24" a="1"/>
  <c r="AJ87" i="24" s="1"/>
  <c r="AJ117" i="24" a="1"/>
  <c r="AJ117" i="24" s="1"/>
  <c r="AJ125" i="24" a="1"/>
  <c r="AJ125" i="24" s="1"/>
  <c r="AJ140" i="24" a="1"/>
  <c r="AJ140" i="24" s="1"/>
  <c r="AJ147" i="24" a="1"/>
  <c r="AJ147" i="24" s="1"/>
  <c r="AJ154" i="24" a="1"/>
  <c r="AJ154" i="24" s="1"/>
  <c r="AJ161" i="24" a="1"/>
  <c r="AJ161" i="24" s="1"/>
  <c r="AJ168" i="24" a="1"/>
  <c r="AJ168" i="24" s="1"/>
  <c r="AJ175" i="24" a="1"/>
  <c r="AJ175" i="24" s="1"/>
  <c r="AJ182" i="24" a="1"/>
  <c r="AJ182" i="24" s="1"/>
  <c r="AJ189" i="24" a="1"/>
  <c r="AJ189" i="24" s="1"/>
  <c r="AJ4" i="24" a="1"/>
  <c r="AJ4" i="24" s="1"/>
  <c r="AJ19" i="24" a="1"/>
  <c r="AJ19" i="24" s="1"/>
  <c r="AJ25" i="24" a="1"/>
  <c r="AJ25" i="24" s="1"/>
  <c r="AJ39" i="24" a="1"/>
  <c r="AJ39" i="24" s="1"/>
  <c r="AJ53" i="24" a="1"/>
  <c r="AJ53" i="24" s="1"/>
  <c r="AJ102" i="24" a="1"/>
  <c r="AJ102" i="24" s="1"/>
  <c r="AJ110" i="24" a="1"/>
  <c r="AJ110" i="24" s="1"/>
  <c r="AJ133" i="24" a="1"/>
  <c r="AJ133" i="24" s="1"/>
  <c r="AJ204" i="24" a="1"/>
  <c r="AJ204" i="24" s="1"/>
  <c r="AJ12" i="24" a="1"/>
  <c r="AJ12" i="24" s="1"/>
  <c r="AJ33" i="24" a="1"/>
  <c r="AJ33" i="24" s="1"/>
  <c r="AJ46" i="24" a="1"/>
  <c r="AJ46" i="24" s="1"/>
  <c r="AJ74" i="24" a="1"/>
  <c r="AJ74" i="24" s="1"/>
  <c r="AJ88" i="24" a="1"/>
  <c r="AJ88" i="24" s="1"/>
  <c r="AJ95" i="24" a="1"/>
  <c r="AJ95" i="24" s="1"/>
  <c r="AJ118" i="24" a="1"/>
  <c r="AJ118" i="24" s="1"/>
  <c r="AJ126" i="24" a="1"/>
  <c r="AJ126" i="24" s="1"/>
  <c r="AJ148" i="24" a="1"/>
  <c r="AJ148" i="24" s="1"/>
  <c r="AJ155" i="24" a="1"/>
  <c r="AJ155" i="24" s="1"/>
  <c r="AJ162" i="24" a="1"/>
  <c r="AJ162" i="24" s="1"/>
  <c r="AJ169" i="24" a="1"/>
  <c r="AJ169" i="24" s="1"/>
  <c r="AJ176" i="24" a="1"/>
  <c r="AJ176" i="24" s="1"/>
  <c r="AJ190" i="24" a="1"/>
  <c r="AJ190" i="24" s="1"/>
  <c r="B2" i="19" l="1"/>
  <c r="C55" i="21"/>
  <c r="C56" i="21"/>
  <c r="C301" i="5"/>
  <c r="C301" i="9"/>
  <c r="C301" i="2"/>
  <c r="C301" i="6"/>
  <c r="C301" i="7"/>
  <c r="C301" i="8"/>
  <c r="J2" i="19" l="1"/>
  <c r="F2" i="19"/>
  <c r="B301" i="9"/>
  <c r="B301" i="6"/>
  <c r="B301" i="7"/>
  <c r="B301" i="5"/>
  <c r="B301" i="8"/>
  <c r="C14" i="21"/>
  <c r="C12" i="21"/>
  <c r="C10" i="21"/>
  <c r="C4" i="21" a="1"/>
  <c r="C4" i="21" l="1"/>
  <c r="W203" i="24" l="1" a="1"/>
  <c r="W203" i="24" s="1"/>
  <c r="V203" i="25" s="1"/>
  <c r="W204" i="24" a="1"/>
  <c r="W204" i="24" s="1"/>
  <c r="V204" i="25" s="1"/>
  <c r="W205" i="24" a="1"/>
  <c r="W205" i="24" s="1"/>
  <c r="V205" i="25" s="1"/>
  <c r="W206" i="24" a="1"/>
  <c r="W206" i="24" s="1"/>
  <c r="V206" i="25" s="1"/>
  <c r="W178" i="24" a="1"/>
  <c r="W178" i="24" s="1"/>
  <c r="V178" i="25" s="1"/>
  <c r="W179" i="24" a="1"/>
  <c r="W179" i="24" s="1"/>
  <c r="V179" i="25" s="1"/>
  <c r="W180" i="24" a="1"/>
  <c r="W180" i="24" s="1"/>
  <c r="V180" i="25" s="1"/>
  <c r="W181" i="24" a="1"/>
  <c r="W181" i="24" s="1"/>
  <c r="V181" i="25" s="1"/>
  <c r="W182" i="24" a="1"/>
  <c r="W182" i="24" s="1"/>
  <c r="V182" i="25" s="1"/>
  <c r="W183" i="24" a="1"/>
  <c r="W183" i="24" s="1"/>
  <c r="V183" i="25" s="1"/>
  <c r="W184" i="24" a="1"/>
  <c r="W184" i="24" s="1"/>
  <c r="V184" i="25" s="1"/>
  <c r="W185" i="24" a="1"/>
  <c r="W185" i="24" s="1"/>
  <c r="V185" i="25" s="1"/>
  <c r="W186" i="24" a="1"/>
  <c r="W186" i="24" s="1"/>
  <c r="V186" i="25" s="1"/>
  <c r="W187" i="24" a="1"/>
  <c r="W187" i="24" s="1"/>
  <c r="V187" i="25" s="1"/>
  <c r="W188" i="24" a="1"/>
  <c r="W188" i="24" s="1"/>
  <c r="V188" i="25" s="1"/>
  <c r="W189" i="24" a="1"/>
  <c r="W189" i="24" s="1"/>
  <c r="V189" i="25" s="1"/>
  <c r="W190" i="24" a="1"/>
  <c r="W190" i="24" s="1"/>
  <c r="V190" i="25" s="1"/>
  <c r="W191" i="24" a="1"/>
  <c r="W191" i="24" s="1"/>
  <c r="V191" i="25" s="1"/>
  <c r="W192" i="24" a="1"/>
  <c r="W192" i="24" s="1"/>
  <c r="V192" i="25" s="1"/>
  <c r="W193" i="24" a="1"/>
  <c r="W193" i="24" s="1"/>
  <c r="V193" i="25" s="1"/>
  <c r="W194" i="24" a="1"/>
  <c r="W194" i="24" s="1"/>
  <c r="V194" i="25" s="1"/>
  <c r="W195" i="24" a="1"/>
  <c r="W195" i="24" s="1"/>
  <c r="V195" i="25" s="1"/>
  <c r="W196" i="24" a="1"/>
  <c r="W196" i="24" s="1"/>
  <c r="V196" i="25" s="1"/>
  <c r="W197" i="24" a="1"/>
  <c r="W197" i="24" s="1"/>
  <c r="V197" i="25" s="1"/>
  <c r="W198" i="24" a="1"/>
  <c r="W198" i="24" s="1"/>
  <c r="V198" i="25" s="1"/>
  <c r="W199" i="24" a="1"/>
  <c r="W199" i="24" s="1"/>
  <c r="V199" i="25" s="1"/>
  <c r="W200" i="24" a="1"/>
  <c r="W200" i="24" s="1"/>
  <c r="V200" i="25" s="1"/>
  <c r="W201" i="24" a="1"/>
  <c r="W201" i="24" s="1"/>
  <c r="V201" i="25" s="1"/>
  <c r="W202" i="24" a="1"/>
  <c r="W202" i="24" s="1"/>
  <c r="V202" i="25" s="1"/>
  <c r="W153" i="24" a="1"/>
  <c r="W153" i="24" s="1"/>
  <c r="V153" i="25" s="1"/>
  <c r="W154" i="24" a="1"/>
  <c r="W154" i="24" s="1"/>
  <c r="V154" i="25" s="1"/>
  <c r="W155" i="24" a="1"/>
  <c r="W155" i="24" s="1"/>
  <c r="V155" i="25" s="1"/>
  <c r="W156" i="24" a="1"/>
  <c r="W156" i="24" s="1"/>
  <c r="V156" i="25" s="1"/>
  <c r="W157" i="24" a="1"/>
  <c r="W157" i="24" s="1"/>
  <c r="V157" i="25" s="1"/>
  <c r="W158" i="24" a="1"/>
  <c r="W158" i="24" s="1"/>
  <c r="V158" i="25" s="1"/>
  <c r="W159" i="24" a="1"/>
  <c r="W159" i="24" s="1"/>
  <c r="V159" i="25" s="1"/>
  <c r="W160" i="24" a="1"/>
  <c r="W160" i="24" s="1"/>
  <c r="V160" i="25" s="1"/>
  <c r="W161" i="24" a="1"/>
  <c r="W161" i="24" s="1"/>
  <c r="V161" i="25" s="1"/>
  <c r="W162" i="24" a="1"/>
  <c r="W162" i="24" s="1"/>
  <c r="V162" i="25" s="1"/>
  <c r="W163" i="24" a="1"/>
  <c r="W163" i="24" s="1"/>
  <c r="V163" i="25" s="1"/>
  <c r="W164" i="24" a="1"/>
  <c r="W164" i="24" s="1"/>
  <c r="V164" i="25" s="1"/>
  <c r="W165" i="24" a="1"/>
  <c r="W165" i="24" s="1"/>
  <c r="V165" i="25" s="1"/>
  <c r="W166" i="24" a="1"/>
  <c r="W166" i="24" s="1"/>
  <c r="V166" i="25" s="1"/>
  <c r="W167" i="24" a="1"/>
  <c r="W167" i="24" s="1"/>
  <c r="V167" i="25" s="1"/>
  <c r="W168" i="24" a="1"/>
  <c r="W168" i="24" s="1"/>
  <c r="V168" i="25" s="1"/>
  <c r="W169" i="24" a="1"/>
  <c r="W169" i="24" s="1"/>
  <c r="V169" i="25" s="1"/>
  <c r="W170" i="24" a="1"/>
  <c r="W170" i="24" s="1"/>
  <c r="V170" i="25" s="1"/>
  <c r="W171" i="24" a="1"/>
  <c r="W171" i="24" s="1"/>
  <c r="V171" i="25" s="1"/>
  <c r="W172" i="24" a="1"/>
  <c r="W172" i="24" s="1"/>
  <c r="V172" i="25" s="1"/>
  <c r="W173" i="24" a="1"/>
  <c r="W173" i="24" s="1"/>
  <c r="V173" i="25" s="1"/>
  <c r="W174" i="24" a="1"/>
  <c r="W174" i="24" s="1"/>
  <c r="V174" i="25" s="1"/>
  <c r="W175" i="24" a="1"/>
  <c r="W175" i="24" s="1"/>
  <c r="V175" i="25" s="1"/>
  <c r="W176" i="24" a="1"/>
  <c r="W176" i="24" s="1"/>
  <c r="V176" i="25" s="1"/>
  <c r="W177" i="24" a="1"/>
  <c r="W177" i="24" s="1"/>
  <c r="V177" i="25" s="1"/>
  <c r="W128" i="24" a="1"/>
  <c r="W128" i="24" s="1"/>
  <c r="V128" i="25" s="1"/>
  <c r="W129" i="24" a="1"/>
  <c r="W129" i="24" s="1"/>
  <c r="V129" i="25" s="1"/>
  <c r="W130" i="24" a="1"/>
  <c r="W130" i="24" s="1"/>
  <c r="V130" i="25" s="1"/>
  <c r="W131" i="24" a="1"/>
  <c r="W131" i="24" s="1"/>
  <c r="V131" i="25" s="1"/>
  <c r="W132" i="24" a="1"/>
  <c r="W132" i="24" s="1"/>
  <c r="V132" i="25" s="1"/>
  <c r="W133" i="24" a="1"/>
  <c r="W133" i="24" s="1"/>
  <c r="V133" i="25" s="1"/>
  <c r="W134" i="24" a="1"/>
  <c r="W134" i="24" s="1"/>
  <c r="V134" i="25" s="1"/>
  <c r="W135" i="24" a="1"/>
  <c r="W135" i="24" s="1"/>
  <c r="V135" i="25" s="1"/>
  <c r="W136" i="24" a="1"/>
  <c r="W136" i="24" s="1"/>
  <c r="V136" i="25" s="1"/>
  <c r="W137" i="24" a="1"/>
  <c r="W137" i="24" s="1"/>
  <c r="V137" i="25" s="1"/>
  <c r="W138" i="24" a="1"/>
  <c r="W138" i="24" s="1"/>
  <c r="V138" i="25" s="1"/>
  <c r="W139" i="24" a="1"/>
  <c r="W139" i="24" s="1"/>
  <c r="V139" i="25" s="1"/>
  <c r="W140" i="24" a="1"/>
  <c r="W140" i="24" s="1"/>
  <c r="V140" i="25" s="1"/>
  <c r="W141" i="24" a="1"/>
  <c r="W141" i="24" s="1"/>
  <c r="V141" i="25" s="1"/>
  <c r="W142" i="24" a="1"/>
  <c r="W142" i="24" s="1"/>
  <c r="V142" i="25" s="1"/>
  <c r="W143" i="24" a="1"/>
  <c r="W143" i="24" s="1"/>
  <c r="V143" i="25" s="1"/>
  <c r="W144" i="24" a="1"/>
  <c r="W144" i="24" s="1"/>
  <c r="V144" i="25" s="1"/>
  <c r="W145" i="24" a="1"/>
  <c r="W145" i="24" s="1"/>
  <c r="V145" i="25" s="1"/>
  <c r="W146" i="24" a="1"/>
  <c r="W146" i="24" s="1"/>
  <c r="V146" i="25" s="1"/>
  <c r="W147" i="24" a="1"/>
  <c r="W147" i="24" s="1"/>
  <c r="V147" i="25" s="1"/>
  <c r="W148" i="24" a="1"/>
  <c r="W148" i="24" s="1"/>
  <c r="V148" i="25" s="1"/>
  <c r="W149" i="24" a="1"/>
  <c r="W149" i="24" s="1"/>
  <c r="V149" i="25" s="1"/>
  <c r="W150" i="24" a="1"/>
  <c r="W150" i="24" s="1"/>
  <c r="V150" i="25" s="1"/>
  <c r="W151" i="24" a="1"/>
  <c r="W151" i="24" s="1"/>
  <c r="V151" i="25" s="1"/>
  <c r="W152" i="24" a="1"/>
  <c r="W152" i="24" s="1"/>
  <c r="V152" i="25" s="1"/>
  <c r="W103" i="24" a="1"/>
  <c r="W103" i="24" s="1"/>
  <c r="V103" i="25" s="1"/>
  <c r="W104" i="24" a="1"/>
  <c r="W104" i="24" s="1"/>
  <c r="V104" i="25" s="1"/>
  <c r="W105" i="24" a="1"/>
  <c r="W105" i="24" s="1"/>
  <c r="V105" i="25" s="1"/>
  <c r="W106" i="24" a="1"/>
  <c r="W106" i="24" s="1"/>
  <c r="V106" i="25" s="1"/>
  <c r="W107" i="24" a="1"/>
  <c r="W107" i="24" s="1"/>
  <c r="V107" i="25" s="1"/>
  <c r="W108" i="24" a="1"/>
  <c r="W108" i="24" s="1"/>
  <c r="V108" i="25" s="1"/>
  <c r="W109" i="24" a="1"/>
  <c r="W109" i="24" s="1"/>
  <c r="V109" i="25" s="1"/>
  <c r="W110" i="24" a="1"/>
  <c r="W110" i="24" s="1"/>
  <c r="V110" i="25" s="1"/>
  <c r="W111" i="24" a="1"/>
  <c r="W111" i="24" s="1"/>
  <c r="V111" i="25" s="1"/>
  <c r="W112" i="24" a="1"/>
  <c r="W112" i="24" s="1"/>
  <c r="V112" i="25" s="1"/>
  <c r="W113" i="24" a="1"/>
  <c r="W113" i="24" s="1"/>
  <c r="V113" i="25" s="1"/>
  <c r="W114" i="24" a="1"/>
  <c r="W114" i="24" s="1"/>
  <c r="V114" i="25" s="1"/>
  <c r="W115" i="24" a="1"/>
  <c r="W115" i="24" s="1"/>
  <c r="V115" i="25" s="1"/>
  <c r="W116" i="24" a="1"/>
  <c r="W116" i="24" s="1"/>
  <c r="V116" i="25" s="1"/>
  <c r="W117" i="24" a="1"/>
  <c r="W117" i="24" s="1"/>
  <c r="V117" i="25" s="1"/>
  <c r="W118" i="24" a="1"/>
  <c r="W118" i="24" s="1"/>
  <c r="V118" i="25" s="1"/>
  <c r="W119" i="24" a="1"/>
  <c r="W119" i="24" s="1"/>
  <c r="V119" i="25" s="1"/>
  <c r="W120" i="24" a="1"/>
  <c r="W120" i="24" s="1"/>
  <c r="V120" i="25" s="1"/>
  <c r="W121" i="24" a="1"/>
  <c r="W121" i="24" s="1"/>
  <c r="V121" i="25" s="1"/>
  <c r="W122" i="24" a="1"/>
  <c r="W122" i="24" s="1"/>
  <c r="V122" i="25" s="1"/>
  <c r="W123" i="24" a="1"/>
  <c r="W123" i="24" s="1"/>
  <c r="V123" i="25" s="1"/>
  <c r="W124" i="24" a="1"/>
  <c r="W124" i="24" s="1"/>
  <c r="V124" i="25" s="1"/>
  <c r="W125" i="24" a="1"/>
  <c r="W125" i="24" s="1"/>
  <c r="V125" i="25" s="1"/>
  <c r="W126" i="24" a="1"/>
  <c r="W126" i="24" s="1"/>
  <c r="V126" i="25" s="1"/>
  <c r="W127" i="24" a="1"/>
  <c r="W127" i="24" s="1"/>
  <c r="V127" i="25" s="1"/>
  <c r="W78" i="24" a="1"/>
  <c r="W78" i="24" s="1"/>
  <c r="V78" i="25" s="1"/>
  <c r="W79" i="24" a="1"/>
  <c r="W79" i="24" s="1"/>
  <c r="V79" i="25" s="1"/>
  <c r="W80" i="24" a="1"/>
  <c r="W80" i="24" s="1"/>
  <c r="V80" i="25" s="1"/>
  <c r="W81" i="24" a="1"/>
  <c r="W81" i="24" s="1"/>
  <c r="V81" i="25" s="1"/>
  <c r="W82" i="24" a="1"/>
  <c r="W82" i="24" s="1"/>
  <c r="V82" i="25" s="1"/>
  <c r="W83" i="24" a="1"/>
  <c r="W83" i="24" s="1"/>
  <c r="V83" i="25" s="1"/>
  <c r="W84" i="24" a="1"/>
  <c r="W84" i="24" s="1"/>
  <c r="V84" i="25" s="1"/>
  <c r="W85" i="24" a="1"/>
  <c r="W85" i="24" s="1"/>
  <c r="V85" i="25" s="1"/>
  <c r="W86" i="24" a="1"/>
  <c r="W86" i="24" s="1"/>
  <c r="V86" i="25" s="1"/>
  <c r="W87" i="24" a="1"/>
  <c r="W87" i="24" s="1"/>
  <c r="V87" i="25" s="1"/>
  <c r="W88" i="24" a="1"/>
  <c r="W88" i="24" s="1"/>
  <c r="V88" i="25" s="1"/>
  <c r="W89" i="24" a="1"/>
  <c r="W89" i="24" s="1"/>
  <c r="V89" i="25" s="1"/>
  <c r="W90" i="24" a="1"/>
  <c r="W90" i="24" s="1"/>
  <c r="V90" i="25" s="1"/>
  <c r="W91" i="24" a="1"/>
  <c r="W91" i="24" s="1"/>
  <c r="V91" i="25" s="1"/>
  <c r="W92" i="24" a="1"/>
  <c r="W92" i="24" s="1"/>
  <c r="V92" i="25" s="1"/>
  <c r="W93" i="24" a="1"/>
  <c r="W93" i="24" s="1"/>
  <c r="V93" i="25" s="1"/>
  <c r="W94" i="24" a="1"/>
  <c r="W94" i="24" s="1"/>
  <c r="V94" i="25" s="1"/>
  <c r="W95" i="24" a="1"/>
  <c r="W95" i="24" s="1"/>
  <c r="V95" i="25" s="1"/>
  <c r="W96" i="24" a="1"/>
  <c r="W96" i="24" s="1"/>
  <c r="V96" i="25" s="1"/>
  <c r="W97" i="24" a="1"/>
  <c r="W97" i="24" s="1"/>
  <c r="V97" i="25" s="1"/>
  <c r="W98" i="24" a="1"/>
  <c r="W98" i="24" s="1"/>
  <c r="V98" i="25" s="1"/>
  <c r="W99" i="24" a="1"/>
  <c r="W99" i="24" s="1"/>
  <c r="V99" i="25" s="1"/>
  <c r="W100" i="24" a="1"/>
  <c r="W100" i="24" s="1"/>
  <c r="V100" i="25" s="1"/>
  <c r="W101" i="24" a="1"/>
  <c r="W101" i="24" s="1"/>
  <c r="V101" i="25" s="1"/>
  <c r="W102" i="24" a="1"/>
  <c r="W102" i="24" s="1"/>
  <c r="V102" i="25" s="1"/>
  <c r="W53" i="24" a="1"/>
  <c r="W53" i="24" s="1"/>
  <c r="V53" i="25" s="1"/>
  <c r="W54" i="24" a="1"/>
  <c r="W54" i="24" s="1"/>
  <c r="V54" i="25" s="1"/>
  <c r="W55" i="24" a="1"/>
  <c r="W55" i="24" s="1"/>
  <c r="V55" i="25" s="1"/>
  <c r="W56" i="24" a="1"/>
  <c r="W56" i="24" s="1"/>
  <c r="V56" i="25" s="1"/>
  <c r="W57" i="24" a="1"/>
  <c r="W57" i="24" s="1"/>
  <c r="V57" i="25" s="1"/>
  <c r="W58" i="24" a="1"/>
  <c r="W58" i="24" s="1"/>
  <c r="V58" i="25" s="1"/>
  <c r="W59" i="24" a="1"/>
  <c r="W59" i="24" s="1"/>
  <c r="V59" i="25" s="1"/>
  <c r="W60" i="24" a="1"/>
  <c r="W60" i="24" s="1"/>
  <c r="V60" i="25" s="1"/>
  <c r="W61" i="24" a="1"/>
  <c r="W61" i="24" s="1"/>
  <c r="V61" i="25" s="1"/>
  <c r="W62" i="24" a="1"/>
  <c r="W62" i="24" s="1"/>
  <c r="V62" i="25" s="1"/>
  <c r="W63" i="24" a="1"/>
  <c r="W63" i="24" s="1"/>
  <c r="V63" i="25" s="1"/>
  <c r="W64" i="24" a="1"/>
  <c r="W64" i="24" s="1"/>
  <c r="V64" i="25" s="1"/>
  <c r="W65" i="24" a="1"/>
  <c r="W65" i="24" s="1"/>
  <c r="V65" i="25" s="1"/>
  <c r="W66" i="24" a="1"/>
  <c r="W66" i="24" s="1"/>
  <c r="V66" i="25" s="1"/>
  <c r="W67" i="24" a="1"/>
  <c r="W67" i="24" s="1"/>
  <c r="V67" i="25" s="1"/>
  <c r="W68" i="24" a="1"/>
  <c r="W68" i="24" s="1"/>
  <c r="V68" i="25" s="1"/>
  <c r="W69" i="24" a="1"/>
  <c r="W69" i="24" s="1"/>
  <c r="V69" i="25" s="1"/>
  <c r="W70" i="24" a="1"/>
  <c r="W70" i="24" s="1"/>
  <c r="V70" i="25" s="1"/>
  <c r="W71" i="24" a="1"/>
  <c r="W71" i="24" s="1"/>
  <c r="V71" i="25" s="1"/>
  <c r="W72" i="24" a="1"/>
  <c r="W72" i="24" s="1"/>
  <c r="V72" i="25" s="1"/>
  <c r="W73" i="24" a="1"/>
  <c r="W73" i="24" s="1"/>
  <c r="V73" i="25" s="1"/>
  <c r="W74" i="24" a="1"/>
  <c r="W74" i="24" s="1"/>
  <c r="V74" i="25" s="1"/>
  <c r="W75" i="24" a="1"/>
  <c r="W75" i="24" s="1"/>
  <c r="V75" i="25" s="1"/>
  <c r="W76" i="24" a="1"/>
  <c r="W76" i="24" s="1"/>
  <c r="V76" i="25" s="1"/>
  <c r="W77" i="24" a="1"/>
  <c r="W77" i="24" s="1"/>
  <c r="V77" i="25" s="1"/>
  <c r="W28" i="24" a="1"/>
  <c r="W28" i="24" s="1"/>
  <c r="V28" i="25" s="1"/>
  <c r="W29" i="24" a="1"/>
  <c r="W29" i="24" s="1"/>
  <c r="V29" i="25" s="1"/>
  <c r="W30" i="24" a="1"/>
  <c r="W30" i="24" s="1"/>
  <c r="V30" i="25" s="1"/>
  <c r="W31" i="24" a="1"/>
  <c r="W31" i="24" s="1"/>
  <c r="V31" i="25" s="1"/>
  <c r="W32" i="24" a="1"/>
  <c r="W32" i="24" s="1"/>
  <c r="V32" i="25" s="1"/>
  <c r="W33" i="24" a="1"/>
  <c r="W33" i="24" s="1"/>
  <c r="V33" i="25" s="1"/>
  <c r="W34" i="24" a="1"/>
  <c r="W34" i="24" s="1"/>
  <c r="V34" i="25" s="1"/>
  <c r="W35" i="24" a="1"/>
  <c r="W35" i="24" s="1"/>
  <c r="V35" i="25" s="1"/>
  <c r="W36" i="24" a="1"/>
  <c r="W36" i="24" s="1"/>
  <c r="V36" i="25" s="1"/>
  <c r="W37" i="24" a="1"/>
  <c r="W37" i="24" s="1"/>
  <c r="V37" i="25" s="1"/>
  <c r="W38" i="24" a="1"/>
  <c r="W38" i="24" s="1"/>
  <c r="V38" i="25" s="1"/>
  <c r="W39" i="24" a="1"/>
  <c r="W39" i="24" s="1"/>
  <c r="V39" i="25" s="1"/>
  <c r="W40" i="24" a="1"/>
  <c r="W40" i="24" s="1"/>
  <c r="V40" i="25" s="1"/>
  <c r="W41" i="24" a="1"/>
  <c r="W41" i="24" s="1"/>
  <c r="V41" i="25" s="1"/>
  <c r="W42" i="24" a="1"/>
  <c r="W42" i="24" s="1"/>
  <c r="V42" i="25" s="1"/>
  <c r="W43" i="24" a="1"/>
  <c r="W43" i="24" s="1"/>
  <c r="V43" i="25" s="1"/>
  <c r="W44" i="24" a="1"/>
  <c r="W44" i="24" s="1"/>
  <c r="V44" i="25" s="1"/>
  <c r="W45" i="24" a="1"/>
  <c r="W45" i="24" s="1"/>
  <c r="V45" i="25" s="1"/>
  <c r="W46" i="24" a="1"/>
  <c r="W46" i="24" s="1"/>
  <c r="V46" i="25" s="1"/>
  <c r="W47" i="24" a="1"/>
  <c r="W47" i="24" s="1"/>
  <c r="V47" i="25" s="1"/>
  <c r="W48" i="24" a="1"/>
  <c r="W48" i="24" s="1"/>
  <c r="V48" i="25" s="1"/>
  <c r="W49" i="24" a="1"/>
  <c r="W49" i="24" s="1"/>
  <c r="V49" i="25" s="1"/>
  <c r="W50" i="24" a="1"/>
  <c r="W50" i="24" s="1"/>
  <c r="V50" i="25" s="1"/>
  <c r="W51" i="24" a="1"/>
  <c r="W51" i="24" s="1"/>
  <c r="V51" i="25" s="1"/>
  <c r="W52" i="24" a="1"/>
  <c r="W52" i="24" s="1"/>
  <c r="V52" i="25" s="1"/>
  <c r="W3" i="24" a="1"/>
  <c r="W3" i="24" s="1"/>
  <c r="V3" i="25" s="1"/>
  <c r="W4" i="24" a="1"/>
  <c r="W4" i="24" s="1"/>
  <c r="V4" i="25" s="1"/>
  <c r="W5" i="24" a="1"/>
  <c r="W5" i="24" s="1"/>
  <c r="V5" i="25" s="1"/>
  <c r="W6" i="24" a="1"/>
  <c r="W6" i="24" s="1"/>
  <c r="V6" i="25" s="1"/>
  <c r="W7" i="24" a="1"/>
  <c r="W7" i="24" s="1"/>
  <c r="V7" i="25" s="1"/>
  <c r="W8" i="24" a="1"/>
  <c r="W8" i="24" s="1"/>
  <c r="V8" i="25" s="1"/>
  <c r="W9" i="24" a="1"/>
  <c r="W9" i="24" s="1"/>
  <c r="V9" i="25" s="1"/>
  <c r="W10" i="24" a="1"/>
  <c r="W10" i="24" s="1"/>
  <c r="V10" i="25" s="1"/>
  <c r="W11" i="24" a="1"/>
  <c r="W11" i="24" s="1"/>
  <c r="V11" i="25" s="1"/>
  <c r="W12" i="24" a="1"/>
  <c r="W12" i="24" s="1"/>
  <c r="V12" i="25" s="1"/>
  <c r="W13" i="24" a="1"/>
  <c r="W13" i="24" s="1"/>
  <c r="V13" i="25" s="1"/>
  <c r="W14" i="24" a="1"/>
  <c r="W14" i="24" s="1"/>
  <c r="V14" i="25" s="1"/>
  <c r="W15" i="24" a="1"/>
  <c r="W15" i="24" s="1"/>
  <c r="V15" i="25" s="1"/>
  <c r="W16" i="24" a="1"/>
  <c r="W16" i="24" s="1"/>
  <c r="V16" i="25" s="1"/>
  <c r="W17" i="24" a="1"/>
  <c r="W17" i="24" s="1"/>
  <c r="V17" i="25" s="1"/>
  <c r="W18" i="24" a="1"/>
  <c r="W18" i="24" s="1"/>
  <c r="V18" i="25" s="1"/>
  <c r="W19" i="24" a="1"/>
  <c r="W19" i="24" s="1"/>
  <c r="V19" i="25" s="1"/>
  <c r="W20" i="24" a="1"/>
  <c r="W20" i="24" s="1"/>
  <c r="V20" i="25" s="1"/>
  <c r="W21" i="24" a="1"/>
  <c r="W21" i="24" s="1"/>
  <c r="V21" i="25" s="1"/>
  <c r="W22" i="24" a="1"/>
  <c r="W22" i="24" s="1"/>
  <c r="V22" i="25" s="1"/>
  <c r="W23" i="24" a="1"/>
  <c r="W23" i="24" s="1"/>
  <c r="V23" i="25" s="1"/>
  <c r="W24" i="24" a="1"/>
  <c r="W24" i="24" s="1"/>
  <c r="V24" i="25" s="1"/>
  <c r="W25" i="24" a="1"/>
  <c r="W25" i="24" s="1"/>
  <c r="V25" i="25" s="1"/>
  <c r="W26" i="24" a="1"/>
  <c r="W26" i="24" s="1"/>
  <c r="V26" i="25" s="1"/>
  <c r="W27" i="24" a="1"/>
  <c r="W27" i="24" s="1"/>
  <c r="V27" i="25" s="1"/>
  <c r="C206" i="24"/>
  <c r="A206" i="24"/>
  <c r="C205" i="24"/>
  <c r="A205" i="24"/>
  <c r="C204" i="24"/>
  <c r="A204" i="24"/>
  <c r="C203" i="24"/>
  <c r="A203" i="24"/>
  <c r="C202" i="24"/>
  <c r="A202" i="24"/>
  <c r="C201" i="24"/>
  <c r="A201" i="24"/>
  <c r="C200" i="24"/>
  <c r="A200" i="24"/>
  <c r="C199" i="24"/>
  <c r="A199" i="24"/>
  <c r="C198" i="24"/>
  <c r="A198" i="24"/>
  <c r="C197" i="24"/>
  <c r="A197" i="24"/>
  <c r="C196" i="24"/>
  <c r="A196" i="24"/>
  <c r="C195" i="24"/>
  <c r="A195" i="24"/>
  <c r="C194" i="24"/>
  <c r="A194" i="24"/>
  <c r="C193" i="24"/>
  <c r="A193" i="24"/>
  <c r="C192" i="24"/>
  <c r="A192" i="24"/>
  <c r="C191" i="24"/>
  <c r="A191" i="24"/>
  <c r="C190" i="24"/>
  <c r="A190" i="24"/>
  <c r="C189" i="24"/>
  <c r="A189" i="24"/>
  <c r="C188" i="24"/>
  <c r="A188" i="24"/>
  <c r="C187" i="24"/>
  <c r="A187" i="24"/>
  <c r="C186" i="24"/>
  <c r="A186" i="24"/>
  <c r="C185" i="24"/>
  <c r="A185" i="24"/>
  <c r="C184" i="24"/>
  <c r="A184" i="24"/>
  <c r="C183" i="24"/>
  <c r="A183" i="24"/>
  <c r="C182" i="24"/>
  <c r="A182" i="24"/>
  <c r="C181" i="24"/>
  <c r="A181" i="24"/>
  <c r="C180" i="24"/>
  <c r="A180" i="24"/>
  <c r="C179" i="24"/>
  <c r="A179" i="24"/>
  <c r="C178" i="24"/>
  <c r="A178" i="24"/>
  <c r="C177" i="24"/>
  <c r="A177" i="24"/>
  <c r="C176" i="24"/>
  <c r="A176" i="24"/>
  <c r="C175" i="24"/>
  <c r="A175" i="24"/>
  <c r="C174" i="24"/>
  <c r="A174" i="24"/>
  <c r="C173" i="24"/>
  <c r="A173" i="24"/>
  <c r="C172" i="24"/>
  <c r="A172" i="24"/>
  <c r="C171" i="24"/>
  <c r="A171" i="24"/>
  <c r="C170" i="24"/>
  <c r="A170" i="24"/>
  <c r="C169" i="24"/>
  <c r="A169" i="24"/>
  <c r="C168" i="24"/>
  <c r="A168" i="24"/>
  <c r="C167" i="24"/>
  <c r="A167" i="24"/>
  <c r="C166" i="24"/>
  <c r="A166" i="24"/>
  <c r="C165" i="24"/>
  <c r="A165" i="24"/>
  <c r="C164" i="24"/>
  <c r="A164" i="24"/>
  <c r="C163" i="24"/>
  <c r="A163" i="24"/>
  <c r="C162" i="24"/>
  <c r="A162" i="24"/>
  <c r="C161" i="24"/>
  <c r="A161" i="24"/>
  <c r="C160" i="24"/>
  <c r="A160" i="24"/>
  <c r="C159" i="24"/>
  <c r="A159" i="24"/>
  <c r="C158" i="24"/>
  <c r="A158" i="24"/>
  <c r="C157" i="24"/>
  <c r="A157" i="24"/>
  <c r="C156" i="24"/>
  <c r="A156" i="24"/>
  <c r="C155" i="24"/>
  <c r="A155" i="24"/>
  <c r="C154" i="24"/>
  <c r="A154" i="24"/>
  <c r="C153" i="24"/>
  <c r="A153" i="24"/>
  <c r="C152" i="24"/>
  <c r="A152" i="24"/>
  <c r="C151" i="24"/>
  <c r="A151" i="24"/>
  <c r="C150" i="24"/>
  <c r="A150" i="24"/>
  <c r="C149" i="24"/>
  <c r="A149" i="24"/>
  <c r="C148" i="24"/>
  <c r="A148" i="24"/>
  <c r="C147" i="24"/>
  <c r="A147" i="24"/>
  <c r="C146" i="24"/>
  <c r="A146" i="24"/>
  <c r="C145" i="24"/>
  <c r="A145" i="24"/>
  <c r="C144" i="24"/>
  <c r="A144" i="24"/>
  <c r="C143" i="24"/>
  <c r="A143" i="24"/>
  <c r="C142" i="24"/>
  <c r="A142" i="24"/>
  <c r="C141" i="24"/>
  <c r="A141" i="24"/>
  <c r="C140" i="24"/>
  <c r="A140" i="24"/>
  <c r="C139" i="24"/>
  <c r="A139" i="24"/>
  <c r="C138" i="24"/>
  <c r="A138" i="24"/>
  <c r="C137" i="24"/>
  <c r="A137" i="24"/>
  <c r="C136" i="24"/>
  <c r="A136" i="24"/>
  <c r="C135" i="24"/>
  <c r="A135" i="24"/>
  <c r="C134" i="24"/>
  <c r="A134" i="24"/>
  <c r="C133" i="24"/>
  <c r="A133" i="24"/>
  <c r="C132" i="24"/>
  <c r="A132" i="24"/>
  <c r="C131" i="24"/>
  <c r="A131" i="24"/>
  <c r="C130" i="24"/>
  <c r="A130" i="24"/>
  <c r="C129" i="24"/>
  <c r="A129" i="24"/>
  <c r="C128" i="24"/>
  <c r="A128" i="24"/>
  <c r="C127" i="24"/>
  <c r="A127" i="24"/>
  <c r="C126" i="24"/>
  <c r="A126" i="24"/>
  <c r="C125" i="24"/>
  <c r="A125" i="24"/>
  <c r="C124" i="24"/>
  <c r="A124" i="24"/>
  <c r="C123" i="24"/>
  <c r="A123" i="24"/>
  <c r="C122" i="24"/>
  <c r="A122" i="24"/>
  <c r="C121" i="24"/>
  <c r="A121" i="24"/>
  <c r="C120" i="24"/>
  <c r="A120" i="24"/>
  <c r="C119" i="24"/>
  <c r="A119" i="24"/>
  <c r="C118" i="24"/>
  <c r="A118" i="24"/>
  <c r="C117" i="24"/>
  <c r="A117" i="24"/>
  <c r="C116" i="24"/>
  <c r="A116" i="24"/>
  <c r="C115" i="24"/>
  <c r="A115" i="24"/>
  <c r="C114" i="24"/>
  <c r="A114" i="24"/>
  <c r="C113" i="24"/>
  <c r="A113" i="24"/>
  <c r="C112" i="24"/>
  <c r="A112" i="24"/>
  <c r="C111" i="24"/>
  <c r="A111" i="24"/>
  <c r="C110" i="24"/>
  <c r="A110" i="24"/>
  <c r="C109" i="24"/>
  <c r="A109" i="24"/>
  <c r="C108" i="24"/>
  <c r="A108" i="24"/>
  <c r="C107" i="24"/>
  <c r="A107" i="24"/>
  <c r="C106" i="24"/>
  <c r="A106" i="24"/>
  <c r="C105" i="24"/>
  <c r="A105" i="24"/>
  <c r="C104" i="24"/>
  <c r="A104" i="24"/>
  <c r="C103" i="24"/>
  <c r="A103" i="24"/>
  <c r="C102" i="24"/>
  <c r="A102" i="24"/>
  <c r="C101" i="24"/>
  <c r="A101" i="24"/>
  <c r="C100" i="24"/>
  <c r="A100" i="24"/>
  <c r="C99" i="24"/>
  <c r="A99" i="24"/>
  <c r="C98" i="24"/>
  <c r="A98" i="24"/>
  <c r="C97" i="24"/>
  <c r="A97" i="24"/>
  <c r="C96" i="24"/>
  <c r="A96" i="24"/>
  <c r="C95" i="24"/>
  <c r="A95" i="24"/>
  <c r="C94" i="24"/>
  <c r="A94" i="24"/>
  <c r="C93" i="24"/>
  <c r="A93" i="24"/>
  <c r="C92" i="24"/>
  <c r="A92" i="24"/>
  <c r="C91" i="24"/>
  <c r="A91" i="24"/>
  <c r="C90" i="24"/>
  <c r="A90" i="24"/>
  <c r="C89" i="24"/>
  <c r="A89" i="24"/>
  <c r="C88" i="24"/>
  <c r="A88" i="24"/>
  <c r="C87" i="24"/>
  <c r="A87" i="24"/>
  <c r="C86" i="24"/>
  <c r="A86" i="24"/>
  <c r="C85" i="24"/>
  <c r="A85" i="24"/>
  <c r="C84" i="24"/>
  <c r="A84" i="24"/>
  <c r="C83" i="24"/>
  <c r="A83" i="24"/>
  <c r="C82" i="24"/>
  <c r="A82" i="24"/>
  <c r="C81" i="24"/>
  <c r="A81" i="24"/>
  <c r="C80" i="24"/>
  <c r="A80" i="24"/>
  <c r="C79" i="24"/>
  <c r="A79" i="24"/>
  <c r="C78" i="24"/>
  <c r="A78" i="24"/>
  <c r="C77" i="24"/>
  <c r="A77" i="24"/>
  <c r="C76" i="24"/>
  <c r="A76" i="24"/>
  <c r="C75" i="24"/>
  <c r="A75" i="24"/>
  <c r="C74" i="24"/>
  <c r="A74" i="24"/>
  <c r="C73" i="24"/>
  <c r="A73" i="24"/>
  <c r="C72" i="24"/>
  <c r="A72" i="24"/>
  <c r="C71" i="24"/>
  <c r="A71" i="24"/>
  <c r="C70" i="24"/>
  <c r="A70" i="24"/>
  <c r="C69" i="24"/>
  <c r="A69" i="24"/>
  <c r="C68" i="24"/>
  <c r="A68" i="24"/>
  <c r="C67" i="24"/>
  <c r="A67" i="24"/>
  <c r="C66" i="24"/>
  <c r="A66" i="24"/>
  <c r="C65" i="24"/>
  <c r="A65" i="24"/>
  <c r="C64" i="24"/>
  <c r="A64" i="24"/>
  <c r="C63" i="24"/>
  <c r="A63" i="24"/>
  <c r="C62" i="24"/>
  <c r="A62" i="24"/>
  <c r="C61" i="24"/>
  <c r="A61" i="24"/>
  <c r="C60" i="24"/>
  <c r="A60" i="24"/>
  <c r="C59" i="24"/>
  <c r="A59" i="24"/>
  <c r="C58" i="24"/>
  <c r="A58" i="24"/>
  <c r="C57" i="24"/>
  <c r="A57" i="24"/>
  <c r="C56" i="24"/>
  <c r="A56" i="24"/>
  <c r="C55" i="24"/>
  <c r="A55" i="24"/>
  <c r="C54" i="24"/>
  <c r="A54" i="24"/>
  <c r="C53" i="24"/>
  <c r="A53" i="24"/>
  <c r="C52" i="24"/>
  <c r="A52" i="24"/>
  <c r="C51" i="24"/>
  <c r="A51" i="24"/>
  <c r="C50" i="24"/>
  <c r="A50" i="24"/>
  <c r="C49" i="24"/>
  <c r="A49" i="24"/>
  <c r="C48" i="24"/>
  <c r="A48" i="24"/>
  <c r="C47" i="24"/>
  <c r="A47" i="24"/>
  <c r="C46" i="24"/>
  <c r="A46" i="24"/>
  <c r="C45" i="24"/>
  <c r="A45" i="24"/>
  <c r="C44" i="24"/>
  <c r="A44" i="24"/>
  <c r="C43" i="24"/>
  <c r="A43" i="24"/>
  <c r="C42" i="24"/>
  <c r="A42" i="24"/>
  <c r="C41" i="24"/>
  <c r="A41" i="24"/>
  <c r="C40" i="24"/>
  <c r="A40" i="24"/>
  <c r="C39" i="24"/>
  <c r="A39" i="24"/>
  <c r="C38" i="24"/>
  <c r="A38" i="24"/>
  <c r="C37" i="24"/>
  <c r="A37" i="24"/>
  <c r="C36" i="24"/>
  <c r="A36" i="24"/>
  <c r="C35" i="24"/>
  <c r="A35" i="24"/>
  <c r="C34" i="24"/>
  <c r="A34" i="24"/>
  <c r="C33" i="24"/>
  <c r="A33" i="24"/>
  <c r="C32" i="24"/>
  <c r="A32" i="24"/>
  <c r="C31" i="24"/>
  <c r="A31" i="24"/>
  <c r="C30" i="24"/>
  <c r="A30" i="24"/>
  <c r="C29" i="24"/>
  <c r="A29" i="24"/>
  <c r="C28" i="24"/>
  <c r="A28" i="24"/>
  <c r="C27" i="24"/>
  <c r="A27" i="24"/>
  <c r="C26" i="24"/>
  <c r="A26" i="24"/>
  <c r="C25" i="24"/>
  <c r="A25" i="24"/>
  <c r="C24" i="24"/>
  <c r="A24" i="24"/>
  <c r="C23" i="24"/>
  <c r="A23" i="24"/>
  <c r="C22" i="24"/>
  <c r="A22" i="24"/>
  <c r="C21" i="24"/>
  <c r="A21" i="24"/>
  <c r="C20" i="24"/>
  <c r="A20" i="24"/>
  <c r="C19" i="24"/>
  <c r="A19" i="24"/>
  <c r="C18" i="24"/>
  <c r="A18" i="24"/>
  <c r="C17" i="24"/>
  <c r="A17" i="24"/>
  <c r="C16" i="24"/>
  <c r="A16" i="24"/>
  <c r="C15" i="24"/>
  <c r="A15" i="24"/>
  <c r="C14" i="24"/>
  <c r="A14" i="24"/>
  <c r="C13" i="24"/>
  <c r="A13" i="24"/>
  <c r="C12" i="24"/>
  <c r="A12" i="24"/>
  <c r="C11" i="24"/>
  <c r="A11" i="24"/>
  <c r="C10" i="24"/>
  <c r="A10" i="24"/>
  <c r="C9" i="24"/>
  <c r="A9" i="24"/>
  <c r="C8" i="24"/>
  <c r="A8" i="24"/>
  <c r="C7" i="24"/>
  <c r="A7" i="24"/>
  <c r="C6" i="24"/>
  <c r="A6" i="24"/>
  <c r="C5" i="24"/>
  <c r="A5" i="24"/>
  <c r="C4" i="24"/>
  <c r="A4" i="24"/>
  <c r="C3" i="24"/>
  <c r="A3" i="24"/>
  <c r="E105" i="24"/>
  <c r="I65" i="24"/>
  <c r="I161" i="24"/>
  <c r="J75" i="24"/>
  <c r="J137" i="24"/>
  <c r="E153" i="24"/>
  <c r="H75" i="24"/>
  <c r="H163" i="24"/>
  <c r="F30" i="24"/>
  <c r="F190" i="24"/>
  <c r="H159" i="24"/>
  <c r="K21" i="24"/>
  <c r="F63" i="24"/>
  <c r="I118" i="24"/>
  <c r="E66" i="24"/>
  <c r="H122" i="24"/>
  <c r="H193" i="24"/>
  <c r="H137" i="24"/>
  <c r="E41" i="24"/>
  <c r="I60" i="24"/>
  <c r="K188" i="24"/>
  <c r="K49" i="24"/>
  <c r="J45" i="24"/>
  <c r="I133" i="24"/>
  <c r="F129" i="24"/>
  <c r="I105" i="24"/>
  <c r="H53" i="24"/>
  <c r="K123" i="24"/>
  <c r="F159" i="24"/>
  <c r="F40" i="24"/>
  <c r="I61" i="24"/>
  <c r="E24" i="24"/>
  <c r="F38" i="24"/>
  <c r="H98" i="24"/>
  <c r="H84" i="24"/>
  <c r="F35" i="24"/>
  <c r="J35" i="24"/>
  <c r="F60" i="24"/>
  <c r="H19" i="24"/>
  <c r="I137" i="24"/>
  <c r="K6" i="24"/>
  <c r="H62" i="24"/>
  <c r="E167" i="24"/>
  <c r="K183" i="24"/>
  <c r="J175" i="24"/>
  <c r="K10" i="24"/>
  <c r="H65" i="24"/>
  <c r="I57" i="24"/>
  <c r="F153" i="24"/>
  <c r="H120" i="24"/>
  <c r="F116" i="24"/>
  <c r="I33" i="24"/>
  <c r="K109" i="24"/>
  <c r="H182" i="24"/>
  <c r="H61" i="24"/>
  <c r="H197" i="24"/>
  <c r="J161" i="24"/>
  <c r="H116" i="24"/>
  <c r="J30" i="24"/>
  <c r="I44" i="24"/>
  <c r="J182" i="24"/>
  <c r="F75" i="24"/>
  <c r="I140" i="24"/>
  <c r="I4" i="24"/>
  <c r="F53" i="24"/>
  <c r="F62" i="24"/>
  <c r="I119" i="24"/>
  <c r="E197" i="24"/>
  <c r="F47" i="24"/>
  <c r="J134" i="24"/>
  <c r="E136" i="24"/>
  <c r="K33" i="24"/>
  <c r="I6" i="24"/>
  <c r="K182" i="24"/>
  <c r="F194" i="24"/>
  <c r="H150" i="24"/>
  <c r="E150" i="24"/>
  <c r="F147" i="24"/>
  <c r="H86" i="24"/>
  <c r="H93" i="24"/>
  <c r="J41" i="24"/>
  <c r="H45" i="24"/>
  <c r="F81" i="24"/>
  <c r="J116" i="24"/>
  <c r="I188" i="24"/>
  <c r="F206" i="24"/>
  <c r="F26" i="24"/>
  <c r="H129" i="24"/>
  <c r="K198" i="24"/>
  <c r="J106" i="24"/>
  <c r="K206" i="24"/>
  <c r="K73" i="24"/>
  <c r="H192" i="24"/>
  <c r="H34" i="24"/>
  <c r="J204" i="24"/>
  <c r="I204" i="24"/>
  <c r="I157" i="24"/>
  <c r="J93" i="24"/>
  <c r="I165" i="24"/>
  <c r="K161" i="24"/>
  <c r="J108" i="24"/>
  <c r="I158" i="24"/>
  <c r="J163" i="24"/>
  <c r="E101" i="24"/>
  <c r="H133" i="24"/>
  <c r="E100" i="24"/>
  <c r="E149" i="24"/>
  <c r="K34" i="24"/>
  <c r="J203" i="24"/>
  <c r="H44" i="24"/>
  <c r="J85" i="24"/>
  <c r="J61" i="24"/>
  <c r="H111" i="24"/>
  <c r="K157" i="24"/>
  <c r="K178" i="24"/>
  <c r="K61" i="24"/>
  <c r="I172" i="24"/>
  <c r="K19" i="24"/>
  <c r="H20" i="24"/>
  <c r="J158" i="24"/>
  <c r="J37" i="24"/>
  <c r="I101" i="24"/>
  <c r="F157" i="24"/>
  <c r="H38" i="24"/>
  <c r="K166" i="24"/>
  <c r="I17" i="24"/>
  <c r="K41" i="24"/>
  <c r="K191" i="24"/>
  <c r="J100" i="24"/>
  <c r="E110" i="24"/>
  <c r="E34" i="24"/>
  <c r="E63" i="24"/>
  <c r="K108" i="24"/>
  <c r="H14" i="24"/>
  <c r="I88" i="24"/>
  <c r="J122" i="24"/>
  <c r="F3" i="24"/>
  <c r="F118" i="24"/>
  <c r="E76" i="24"/>
  <c r="I77" i="24"/>
  <c r="H194" i="24"/>
  <c r="E20" i="24"/>
  <c r="H126" i="24"/>
  <c r="H139" i="24"/>
  <c r="E106" i="24"/>
  <c r="K133" i="24"/>
  <c r="E134" i="24"/>
  <c r="F141" i="24"/>
  <c r="F133" i="24"/>
  <c r="E127" i="24"/>
  <c r="E23" i="24"/>
  <c r="J188" i="24"/>
  <c r="H140" i="24"/>
  <c r="H41" i="24"/>
  <c r="E70" i="24"/>
  <c r="I73" i="24"/>
  <c r="I150" i="24"/>
  <c r="I134" i="24"/>
  <c r="F164" i="24"/>
  <c r="I200" i="24"/>
  <c r="E33" i="24"/>
  <c r="F181" i="24"/>
  <c r="J206" i="24"/>
  <c r="E38" i="24"/>
  <c r="K137" i="24"/>
  <c r="F79" i="24"/>
  <c r="F76" i="24"/>
  <c r="J187" i="24"/>
  <c r="F106" i="24"/>
  <c r="K3" i="24"/>
  <c r="E93" i="24"/>
  <c r="H164" i="24"/>
  <c r="K98" i="24"/>
  <c r="I149" i="24"/>
  <c r="H60" i="24"/>
  <c r="F51" i="24"/>
  <c r="I164" i="24"/>
  <c r="K95" i="24"/>
  <c r="K35" i="24"/>
  <c r="I177" i="24"/>
  <c r="F187" i="24"/>
  <c r="K14" i="24"/>
  <c r="K45" i="24"/>
  <c r="J44" i="24"/>
  <c r="H16" i="24"/>
  <c r="K93" i="24"/>
  <c r="E5" i="24"/>
  <c r="H179" i="24"/>
  <c r="I193" i="24"/>
  <c r="I159" i="24"/>
  <c r="F93" i="24"/>
  <c r="F134" i="24"/>
  <c r="E58" i="24"/>
  <c r="H181" i="24"/>
  <c r="H89" i="24"/>
  <c r="I170" i="24"/>
  <c r="E204" i="24"/>
  <c r="F43" i="24"/>
  <c r="F173" i="24"/>
  <c r="K65" i="24"/>
  <c r="I34" i="24"/>
  <c r="I181" i="24"/>
  <c r="J42" i="24"/>
  <c r="K185" i="24"/>
  <c r="I58" i="24"/>
  <c r="H33" i="24"/>
  <c r="K153" i="24"/>
  <c r="H147" i="24"/>
  <c r="F18" i="24"/>
  <c r="F82" i="24"/>
  <c r="J192" i="24"/>
  <c r="E48" i="24"/>
  <c r="K17" i="24"/>
  <c r="J101" i="24"/>
  <c r="J27" i="24"/>
  <c r="I111" i="24"/>
  <c r="K160" i="24"/>
  <c r="J89" i="24"/>
  <c r="I115" i="24"/>
  <c r="H141" i="24"/>
  <c r="H78" i="24"/>
  <c r="K112" i="24"/>
  <c r="F137" i="24"/>
  <c r="J80" i="24"/>
  <c r="I179" i="24"/>
  <c r="E141" i="24"/>
  <c r="K62" i="24"/>
  <c r="I153" i="24"/>
  <c r="I85" i="24"/>
  <c r="J19" i="24"/>
  <c r="H128" i="24"/>
  <c r="E203" i="24"/>
  <c r="I82" i="24"/>
  <c r="I112" i="24"/>
  <c r="F185" i="24"/>
  <c r="J4" i="24"/>
  <c r="K115" i="24"/>
  <c r="F200" i="24"/>
  <c r="E181" i="24"/>
  <c r="I53" i="24"/>
  <c r="H157" i="24"/>
  <c r="J167" i="24"/>
  <c r="E112" i="24"/>
  <c r="F165" i="24"/>
  <c r="J121" i="24"/>
  <c r="H69" i="24"/>
  <c r="J140" i="24"/>
  <c r="J3" i="24"/>
  <c r="K122" i="24"/>
  <c r="F167" i="24"/>
  <c r="J145" i="24"/>
  <c r="I163" i="24"/>
  <c r="K111" i="24"/>
  <c r="E156" i="24"/>
  <c r="J202" i="24"/>
  <c r="I45" i="24"/>
  <c r="F84" i="24"/>
  <c r="K86" i="24"/>
  <c r="E77" i="24"/>
  <c r="H171" i="24"/>
  <c r="I3" i="24"/>
  <c r="I80" i="24"/>
  <c r="I8" i="24"/>
  <c r="E17" i="24"/>
  <c r="K119" i="24"/>
  <c r="K204" i="24"/>
  <c r="E43" i="24"/>
  <c r="J198" i="24"/>
  <c r="F69" i="24"/>
  <c r="E45" i="24"/>
  <c r="F178" i="24"/>
  <c r="J190" i="24"/>
  <c r="F19" i="24"/>
  <c r="E44" i="24"/>
  <c r="K84" i="24"/>
  <c r="J34" i="24"/>
  <c r="K192" i="24"/>
  <c r="E96" i="24"/>
  <c r="J6" i="24"/>
  <c r="I84" i="24"/>
  <c r="H100" i="24"/>
  <c r="K78" i="24"/>
  <c r="F108" i="24"/>
  <c r="F202" i="24"/>
  <c r="F97" i="24"/>
  <c r="E84" i="24"/>
  <c r="E133" i="24"/>
  <c r="J105" i="24"/>
  <c r="F13" i="24"/>
  <c r="F149" i="24"/>
  <c r="K197" i="24"/>
  <c r="E116" i="24"/>
  <c r="K55" i="24"/>
  <c r="J69" i="24"/>
  <c r="H134" i="24"/>
  <c r="J77" i="24"/>
  <c r="K201" i="24"/>
  <c r="H166" i="24"/>
  <c r="E98" i="24"/>
  <c r="H202" i="24"/>
  <c r="H200" i="24"/>
  <c r="H106" i="24"/>
  <c r="K89" i="24"/>
  <c r="I40" i="24"/>
  <c r="E79" i="24"/>
  <c r="H104" i="24"/>
  <c r="F126" i="24"/>
  <c r="H177" i="24"/>
  <c r="I9" i="24"/>
  <c r="I30" i="24"/>
  <c r="E188" i="24"/>
  <c r="E104" i="24"/>
  <c r="E164" i="24"/>
  <c r="F145" i="24"/>
  <c r="J73" i="24"/>
  <c r="I72" i="24"/>
  <c r="J38" i="24"/>
  <c r="E111" i="24"/>
  <c r="I187" i="24"/>
  <c r="E165" i="24"/>
  <c r="H204" i="24"/>
  <c r="I185" i="24"/>
  <c r="K106" i="24"/>
  <c r="J20" i="24"/>
  <c r="F122" i="24"/>
  <c r="K77" i="24"/>
  <c r="E89" i="24"/>
  <c r="H58" i="24"/>
  <c r="F121" i="24"/>
  <c r="H79" i="24"/>
  <c r="I20" i="24"/>
  <c r="K44" i="24"/>
  <c r="K100" i="24"/>
  <c r="H77" i="24"/>
  <c r="F45" i="24"/>
  <c r="H187" i="24"/>
  <c r="H70" i="24"/>
  <c r="I25" i="24"/>
  <c r="E46" i="24"/>
  <c r="E65" i="24"/>
  <c r="F111" i="24"/>
  <c r="E201" i="24"/>
  <c r="E60" i="24"/>
  <c r="H101" i="24"/>
  <c r="E120" i="24"/>
  <c r="E78" i="24"/>
  <c r="E178" i="24"/>
  <c r="H196" i="24"/>
  <c r="I145" i="24"/>
  <c r="E64" i="24"/>
  <c r="H121" i="24"/>
  <c r="K203" i="24"/>
  <c r="K171" i="24"/>
  <c r="J118" i="24"/>
  <c r="J53" i="24"/>
  <c r="I197" i="24"/>
  <c r="H188" i="24"/>
  <c r="I78" i="24"/>
  <c r="I192" i="24"/>
  <c r="J197" i="24"/>
  <c r="I106" i="24"/>
  <c r="I123" i="24"/>
  <c r="E118" i="24"/>
  <c r="H85" i="24"/>
  <c r="H82" i="24"/>
  <c r="I37" i="24"/>
  <c r="E97" i="24"/>
  <c r="I128" i="24"/>
  <c r="H47" i="24"/>
  <c r="K70" i="24"/>
  <c r="F55" i="24"/>
  <c r="K20" i="24"/>
  <c r="K164" i="24"/>
  <c r="I171" i="24"/>
  <c r="E194" i="24"/>
  <c r="K134" i="24"/>
  <c r="H165" i="24"/>
  <c r="I100" i="24"/>
  <c r="E131" i="24"/>
  <c r="H161" i="24"/>
  <c r="F160" i="24"/>
  <c r="I38" i="24"/>
  <c r="I27" i="24"/>
  <c r="J160" i="24"/>
  <c r="H153" i="24"/>
  <c r="H29" i="24"/>
  <c r="I93" i="24"/>
  <c r="E146" i="24"/>
  <c r="K138" i="24"/>
  <c r="E16" i="24"/>
  <c r="J193" i="24"/>
  <c r="I175" i="24"/>
  <c r="E190" i="24"/>
  <c r="F100" i="24"/>
  <c r="K149" i="24"/>
  <c r="H76" i="24"/>
  <c r="E157" i="24"/>
  <c r="I129" i="24"/>
  <c r="J171" i="24"/>
  <c r="K4" i="24"/>
  <c r="J143" i="24"/>
  <c r="J33" i="24"/>
  <c r="F49" i="24"/>
  <c r="F65" i="24"/>
  <c r="H73" i="24"/>
  <c r="K147" i="24"/>
  <c r="H145" i="24"/>
  <c r="H203" i="24"/>
  <c r="F168" i="24"/>
  <c r="J183" i="24"/>
  <c r="J179" i="24"/>
  <c r="E61" i="24"/>
  <c r="E191" i="24"/>
  <c r="F101" i="24"/>
  <c r="E187" i="24"/>
  <c r="J70" i="24"/>
  <c r="I116" i="24"/>
  <c r="E28" i="24"/>
  <c r="E162" i="24"/>
  <c r="F58" i="24"/>
  <c r="F34" i="24"/>
  <c r="J95" i="24"/>
  <c r="F142" i="24"/>
  <c r="E121" i="24"/>
  <c r="E126" i="24"/>
  <c r="H6" i="24"/>
  <c r="K181" i="24"/>
  <c r="K165" i="24"/>
  <c r="J55" i="24"/>
  <c r="J65" i="24"/>
  <c r="F172" i="24"/>
  <c r="K129" i="24"/>
  <c r="K187" i="24"/>
  <c r="K140" i="24"/>
  <c r="K51" i="24"/>
  <c r="I68" i="24"/>
  <c r="I147" i="24"/>
  <c r="E85" i="24"/>
  <c r="K172" i="24"/>
  <c r="J115" i="24"/>
  <c r="J14" i="24"/>
  <c r="F161" i="24"/>
  <c r="F66" i="24"/>
  <c r="H115" i="24"/>
  <c r="J181" i="24"/>
  <c r="H113" i="24"/>
  <c r="J62" i="24"/>
  <c r="E53" i="24"/>
  <c r="J111" i="24"/>
  <c r="K167" i="24"/>
  <c r="H198" i="24"/>
  <c r="H190" i="24"/>
  <c r="E3" i="24"/>
  <c r="I203" i="24"/>
  <c r="J165" i="24"/>
  <c r="I69" i="24"/>
  <c r="J153" i="24"/>
  <c r="I182" i="24"/>
  <c r="E21" i="24"/>
  <c r="E137" i="24"/>
  <c r="K105" i="24"/>
  <c r="I98" i="24"/>
  <c r="K163" i="24"/>
  <c r="K30" i="24"/>
  <c r="F203" i="24"/>
  <c r="J159" i="24"/>
  <c r="J166" i="24"/>
  <c r="J177" i="24"/>
  <c r="J129" i="24"/>
  <c r="J78" i="24"/>
  <c r="I89" i="24"/>
  <c r="J149" i="24"/>
  <c r="I75" i="24"/>
  <c r="I70" i="24"/>
  <c r="I19" i="24"/>
  <c r="F150" i="24"/>
  <c r="E119" i="24"/>
  <c r="E19" i="24"/>
  <c r="E202" i="24"/>
  <c r="K26" i="24"/>
  <c r="F183" i="24"/>
  <c r="E113" i="24"/>
  <c r="H30" i="24"/>
  <c r="H118" i="24"/>
  <c r="F61" i="24"/>
  <c r="J84" i="24"/>
  <c r="F138" i="24"/>
  <c r="H21" i="24"/>
  <c r="I126" i="24"/>
  <c r="E31" i="24"/>
  <c r="F77" i="24"/>
  <c r="K118" i="24"/>
  <c r="H108" i="24"/>
  <c r="E13" i="24"/>
  <c r="K176" i="24"/>
  <c r="I62" i="24"/>
  <c r="F33" i="24"/>
  <c r="J79" i="24"/>
  <c r="I198" i="24"/>
  <c r="K177" i="24"/>
  <c r="J60" i="24"/>
  <c r="E147" i="24"/>
  <c r="K150" i="24"/>
  <c r="E195" i="24"/>
  <c r="J26" i="24"/>
  <c r="J172" i="24"/>
  <c r="K143" i="24"/>
  <c r="E62" i="24"/>
  <c r="H168" i="24"/>
  <c r="F98" i="24"/>
  <c r="E18" i="24"/>
  <c r="H31" i="24"/>
  <c r="E82" i="24"/>
  <c r="I121" i="24"/>
  <c r="K194" i="24"/>
  <c r="I166" i="24"/>
  <c r="J133" i="24"/>
  <c r="F85" i="24"/>
  <c r="F41" i="24"/>
  <c r="I122" i="24"/>
  <c r="I24" i="24"/>
  <c r="F197" i="24"/>
  <c r="E172" i="24"/>
  <c r="K8" i="24"/>
  <c r="E158" i="24"/>
  <c r="E122" i="24"/>
  <c r="I14" i="24"/>
  <c r="F105" i="24"/>
  <c r="J164" i="24"/>
  <c r="J170" i="24"/>
  <c r="E69" i="24"/>
  <c r="F89" i="24"/>
  <c r="H4" i="24"/>
  <c r="AS26" i="24" l="1"/>
  <c r="AR26" i="24"/>
  <c r="AQ26" i="24"/>
  <c r="AS58" i="24"/>
  <c r="AO58" i="24"/>
  <c r="AP58" i="24" s="1"/>
  <c r="AQ58" i="24"/>
  <c r="AR58" i="24"/>
  <c r="AS90" i="24"/>
  <c r="AQ90" i="24"/>
  <c r="AR90" i="24"/>
  <c r="AS146" i="24"/>
  <c r="AQ146" i="24"/>
  <c r="AR146" i="24"/>
  <c r="AS11" i="24"/>
  <c r="AR11" i="24"/>
  <c r="AQ11" i="24"/>
  <c r="AS51" i="24"/>
  <c r="AQ51" i="24"/>
  <c r="AR51" i="24"/>
  <c r="AR67" i="24"/>
  <c r="AS67" i="24"/>
  <c r="AQ67" i="24"/>
  <c r="AS115" i="24"/>
  <c r="AR115" i="24"/>
  <c r="AQ115" i="24"/>
  <c r="AR34" i="24"/>
  <c r="AS34" i="24"/>
  <c r="AO34" i="24"/>
  <c r="AP34" i="24" s="1"/>
  <c r="AQ34" i="24"/>
  <c r="AR82" i="24"/>
  <c r="AQ82" i="24"/>
  <c r="AS82" i="24"/>
  <c r="AO82" i="24"/>
  <c r="AP82" i="24" s="1"/>
  <c r="AS43" i="24"/>
  <c r="AR43" i="24"/>
  <c r="AQ43" i="24"/>
  <c r="AS5" i="24"/>
  <c r="AR5" i="24"/>
  <c r="AQ5" i="24"/>
  <c r="AR13" i="24"/>
  <c r="AQ13" i="24"/>
  <c r="AS13" i="24"/>
  <c r="AS21" i="24"/>
  <c r="AQ21" i="24"/>
  <c r="AR21" i="24"/>
  <c r="AR29" i="24"/>
  <c r="AQ29" i="24"/>
  <c r="AS29" i="24"/>
  <c r="AS37" i="24"/>
  <c r="AR37" i="24"/>
  <c r="AQ37" i="24"/>
  <c r="AR45" i="24"/>
  <c r="AQ45" i="24"/>
  <c r="AS45" i="24"/>
  <c r="AO45" i="24"/>
  <c r="AP45" i="24" s="1"/>
  <c r="AQ53" i="24"/>
  <c r="AR53" i="24"/>
  <c r="AO53" i="24"/>
  <c r="AP53" i="24" s="1"/>
  <c r="AS53" i="24"/>
  <c r="AS61" i="24"/>
  <c r="AR61" i="24"/>
  <c r="AO61" i="24"/>
  <c r="AP61" i="24" s="1"/>
  <c r="AQ61" i="24"/>
  <c r="AS69" i="24"/>
  <c r="AQ69" i="24"/>
  <c r="AR69" i="24"/>
  <c r="AO69" i="24"/>
  <c r="AP69" i="24" s="1"/>
  <c r="AS77" i="24"/>
  <c r="AR77" i="24"/>
  <c r="AO77" i="24"/>
  <c r="AP77" i="24" s="1"/>
  <c r="AQ77" i="24"/>
  <c r="AQ85" i="24"/>
  <c r="AO85" i="24"/>
  <c r="AP85" i="24" s="1"/>
  <c r="AR85" i="24"/>
  <c r="AS85" i="24"/>
  <c r="AS93" i="24"/>
  <c r="AR93" i="24"/>
  <c r="AQ93" i="24"/>
  <c r="AO93" i="24"/>
  <c r="AP93" i="24" s="1"/>
  <c r="AS101" i="24"/>
  <c r="AQ101" i="24"/>
  <c r="AO101" i="24"/>
  <c r="AP101" i="24" s="1"/>
  <c r="AR101" i="24"/>
  <c r="AS109" i="24"/>
  <c r="AR109" i="24"/>
  <c r="AQ109" i="24"/>
  <c r="AR117" i="24"/>
  <c r="AQ117" i="24"/>
  <c r="AS117" i="24"/>
  <c r="AS125" i="24"/>
  <c r="AQ125" i="24"/>
  <c r="AR125" i="24"/>
  <c r="AR133" i="24"/>
  <c r="AQ133" i="24"/>
  <c r="AS133" i="24"/>
  <c r="AO133" i="24"/>
  <c r="AP133" i="24" s="1"/>
  <c r="AS141" i="24"/>
  <c r="AR141" i="24"/>
  <c r="AQ141" i="24"/>
  <c r="AR149" i="24"/>
  <c r="AQ149" i="24"/>
  <c r="AS149" i="24"/>
  <c r="AQ157" i="24"/>
  <c r="AO157" i="24"/>
  <c r="AP157" i="24" s="1"/>
  <c r="AS157" i="24"/>
  <c r="AR157" i="24"/>
  <c r="AS165" i="24"/>
  <c r="AR165" i="24"/>
  <c r="AO165" i="24"/>
  <c r="AP165" i="24" s="1"/>
  <c r="AQ165" i="24"/>
  <c r="AQ173" i="24"/>
  <c r="AR173" i="24"/>
  <c r="AS173" i="24"/>
  <c r="AS181" i="24"/>
  <c r="AR181" i="24"/>
  <c r="AO181" i="24"/>
  <c r="AP181" i="24" s="1"/>
  <c r="AQ181" i="24"/>
  <c r="AQ189" i="24"/>
  <c r="AS189" i="24"/>
  <c r="AR189" i="24"/>
  <c r="AS197" i="24"/>
  <c r="AR197" i="24"/>
  <c r="AO197" i="24"/>
  <c r="AP197" i="24" s="1"/>
  <c r="AQ197" i="24"/>
  <c r="AS205" i="24"/>
  <c r="AR205" i="24"/>
  <c r="AQ205" i="24"/>
  <c r="AS22" i="24"/>
  <c r="AQ22" i="24"/>
  <c r="AR22" i="24"/>
  <c r="AR46" i="24"/>
  <c r="AQ46" i="24"/>
  <c r="AS46" i="24"/>
  <c r="AQ54" i="24"/>
  <c r="AR54" i="24"/>
  <c r="AS54" i="24"/>
  <c r="AS62" i="24"/>
  <c r="AO62" i="24"/>
  <c r="AP62" i="24" s="1"/>
  <c r="AR62" i="24"/>
  <c r="AQ62" i="24"/>
  <c r="AR70" i="24"/>
  <c r="AS70" i="24"/>
  <c r="AQ70" i="24"/>
  <c r="AS78" i="24"/>
  <c r="AR78" i="24"/>
  <c r="AQ78" i="24"/>
  <c r="AQ86" i="24"/>
  <c r="AR86" i="24"/>
  <c r="AS86" i="24"/>
  <c r="AS94" i="24"/>
  <c r="AR94" i="24"/>
  <c r="AQ94" i="24"/>
  <c r="AR102" i="24"/>
  <c r="AS102" i="24"/>
  <c r="AQ102" i="24"/>
  <c r="AS110" i="24"/>
  <c r="AR110" i="24"/>
  <c r="AQ110" i="24"/>
  <c r="AR118" i="24"/>
  <c r="AQ118" i="24"/>
  <c r="AO118" i="24"/>
  <c r="AP118" i="24" s="1"/>
  <c r="AS118" i="24"/>
  <c r="AS126" i="24"/>
  <c r="AO126" i="24"/>
  <c r="AP126" i="24" s="1"/>
  <c r="AQ126" i="24"/>
  <c r="AR126" i="24"/>
  <c r="AR134" i="24"/>
  <c r="AS134" i="24"/>
  <c r="AO134" i="24"/>
  <c r="AP134" i="24" s="1"/>
  <c r="AQ134" i="24"/>
  <c r="AS142" i="24"/>
  <c r="AR142" i="24"/>
  <c r="AQ142" i="24"/>
  <c r="AR150" i="24"/>
  <c r="AQ150" i="24"/>
  <c r="AS150" i="24"/>
  <c r="AO150" i="24"/>
  <c r="AP150" i="24" s="1"/>
  <c r="AQ158" i="24"/>
  <c r="AS158" i="24"/>
  <c r="AR158" i="24"/>
  <c r="AS166" i="24"/>
  <c r="AR166" i="24"/>
  <c r="AQ166" i="24"/>
  <c r="AQ174" i="24"/>
  <c r="AS174" i="24"/>
  <c r="AR174" i="24"/>
  <c r="AS182" i="24"/>
  <c r="AR182" i="24"/>
  <c r="AQ182" i="24"/>
  <c r="AQ190" i="24"/>
  <c r="AS190" i="24"/>
  <c r="AR190" i="24"/>
  <c r="AS198" i="24"/>
  <c r="AR198" i="24"/>
  <c r="AQ198" i="24"/>
  <c r="AR206" i="24"/>
  <c r="AQ206" i="24"/>
  <c r="AS206" i="24"/>
  <c r="AQ18" i="24"/>
  <c r="AR18" i="24"/>
  <c r="AS18" i="24"/>
  <c r="AR31" i="24"/>
  <c r="AQ31" i="24"/>
  <c r="AS31" i="24"/>
  <c r="AR119" i="24"/>
  <c r="AQ119" i="24"/>
  <c r="AS119" i="24"/>
  <c r="AR127" i="24"/>
  <c r="AS127" i="24"/>
  <c r="AQ127" i="24"/>
  <c r="AR135" i="24"/>
  <c r="AQ135" i="24"/>
  <c r="AS135" i="24"/>
  <c r="AR143" i="24"/>
  <c r="AS143" i="24"/>
  <c r="AQ143" i="24"/>
  <c r="AR151" i="24"/>
  <c r="AQ151" i="24"/>
  <c r="AS151" i="24"/>
  <c r="AQ159" i="24"/>
  <c r="AS159" i="24"/>
  <c r="AR159" i="24"/>
  <c r="AS167" i="24"/>
  <c r="AR167" i="24"/>
  <c r="AQ167" i="24"/>
  <c r="AQ175" i="24"/>
  <c r="AS175" i="24"/>
  <c r="AR175" i="24"/>
  <c r="AS183" i="24"/>
  <c r="AR183" i="24"/>
  <c r="AQ183" i="24"/>
  <c r="AQ191" i="24"/>
  <c r="AS191" i="24"/>
  <c r="AR191" i="24"/>
  <c r="AS199" i="24"/>
  <c r="AR199" i="24"/>
  <c r="AQ199" i="24"/>
  <c r="AS55" i="24"/>
  <c r="AQ55" i="24"/>
  <c r="AR55" i="24"/>
  <c r="AR7" i="24"/>
  <c r="AS7" i="24"/>
  <c r="AQ7" i="24"/>
  <c r="AR47" i="24"/>
  <c r="AQ47" i="24"/>
  <c r="AS47" i="24"/>
  <c r="AS95" i="24"/>
  <c r="AR95" i="24"/>
  <c r="AQ95" i="24"/>
  <c r="AS88" i="24"/>
  <c r="AQ88" i="24"/>
  <c r="AR88" i="24"/>
  <c r="AS6" i="24"/>
  <c r="AR6" i="24"/>
  <c r="AQ6" i="24"/>
  <c r="AR30" i="24"/>
  <c r="AQ30" i="24"/>
  <c r="AS30" i="24"/>
  <c r="AR23" i="24"/>
  <c r="AS23" i="24"/>
  <c r="AQ23" i="24"/>
  <c r="AS63" i="24"/>
  <c r="AR63" i="24"/>
  <c r="AQ63" i="24"/>
  <c r="AS79" i="24"/>
  <c r="AR79" i="24"/>
  <c r="AQ79" i="24"/>
  <c r="AR111" i="24"/>
  <c r="AS111" i="24"/>
  <c r="AO111" i="24"/>
  <c r="AP111" i="24" s="1"/>
  <c r="AQ111" i="24"/>
  <c r="AS8" i="24"/>
  <c r="AR8" i="24"/>
  <c r="AQ8" i="24"/>
  <c r="AQ32" i="24"/>
  <c r="AR32" i="24"/>
  <c r="AS32" i="24"/>
  <c r="AQ48" i="24"/>
  <c r="AS48" i="24"/>
  <c r="AR48" i="24"/>
  <c r="AR64" i="24"/>
  <c r="AQ64" i="24"/>
  <c r="AS64" i="24"/>
  <c r="AR80" i="24"/>
  <c r="AQ80" i="24"/>
  <c r="AS80" i="24"/>
  <c r="AQ104" i="24"/>
  <c r="AS104" i="24"/>
  <c r="AR104" i="24"/>
  <c r="AQ120" i="24"/>
  <c r="AS120" i="24"/>
  <c r="AR120" i="24"/>
  <c r="AQ136" i="24"/>
  <c r="AS136" i="24"/>
  <c r="AR136" i="24"/>
  <c r="AQ152" i="24"/>
  <c r="AR152" i="24"/>
  <c r="AS152" i="24"/>
  <c r="AR168" i="24"/>
  <c r="AQ168" i="24"/>
  <c r="AS168" i="24"/>
  <c r="AS192" i="24"/>
  <c r="AQ192" i="24"/>
  <c r="AR192" i="24"/>
  <c r="AR14" i="24"/>
  <c r="AQ14" i="24"/>
  <c r="AS14" i="24"/>
  <c r="AS38" i="24"/>
  <c r="AR38" i="24"/>
  <c r="AQ38" i="24"/>
  <c r="AO38" i="24"/>
  <c r="AP38" i="24" s="1"/>
  <c r="AR15" i="24"/>
  <c r="AQ15" i="24"/>
  <c r="AS15" i="24"/>
  <c r="AR39" i="24"/>
  <c r="AS39" i="24"/>
  <c r="AQ39" i="24"/>
  <c r="AS71" i="24"/>
  <c r="AR71" i="24"/>
  <c r="AQ71" i="24"/>
  <c r="AS87" i="24"/>
  <c r="AQ87" i="24"/>
  <c r="AR87" i="24"/>
  <c r="AR103" i="24"/>
  <c r="AQ103" i="24"/>
  <c r="AS103" i="24"/>
  <c r="AQ16" i="24"/>
  <c r="AR16" i="24"/>
  <c r="AS16" i="24"/>
  <c r="AS24" i="24"/>
  <c r="AR24" i="24"/>
  <c r="AQ24" i="24"/>
  <c r="AS40" i="24"/>
  <c r="AR40" i="24"/>
  <c r="AQ40" i="24"/>
  <c r="AS56" i="24"/>
  <c r="AQ56" i="24"/>
  <c r="AR56" i="24"/>
  <c r="AS72" i="24"/>
  <c r="AR72" i="24"/>
  <c r="AQ72" i="24"/>
  <c r="AR96" i="24"/>
  <c r="AQ96" i="24"/>
  <c r="AS96" i="24"/>
  <c r="AS112" i="24"/>
  <c r="AR112" i="24"/>
  <c r="AQ112" i="24"/>
  <c r="AS128" i="24"/>
  <c r="AR128" i="24"/>
  <c r="AQ128" i="24"/>
  <c r="AS144" i="24"/>
  <c r="AR144" i="24"/>
  <c r="AQ144" i="24"/>
  <c r="AS160" i="24"/>
  <c r="AR160" i="24"/>
  <c r="AQ160" i="24"/>
  <c r="AS176" i="24"/>
  <c r="AR176" i="24"/>
  <c r="AQ176" i="24"/>
  <c r="AR184" i="24"/>
  <c r="AQ184" i="24"/>
  <c r="AS184" i="24"/>
  <c r="AR200" i="24"/>
  <c r="AQ200" i="24"/>
  <c r="AS200" i="24"/>
  <c r="AS9" i="24"/>
  <c r="AR9" i="24"/>
  <c r="AQ9" i="24"/>
  <c r="AQ17" i="24"/>
  <c r="AR17" i="24"/>
  <c r="AS17" i="24"/>
  <c r="AS25" i="24"/>
  <c r="AR25" i="24"/>
  <c r="AQ25" i="24"/>
  <c r="AS33" i="24"/>
  <c r="AQ33" i="24"/>
  <c r="AO33" i="24"/>
  <c r="AP33" i="24" s="1"/>
  <c r="AR33" i="24"/>
  <c r="AS41" i="24"/>
  <c r="AR41" i="24"/>
  <c r="AQ41" i="24"/>
  <c r="AQ49" i="24"/>
  <c r="AS49" i="24"/>
  <c r="AR49" i="24"/>
  <c r="AS57" i="24"/>
  <c r="AQ57" i="24"/>
  <c r="AR57" i="24"/>
  <c r="AR65" i="24"/>
  <c r="AS65" i="24"/>
  <c r="AQ65" i="24"/>
  <c r="AO65" i="24"/>
  <c r="AP65" i="24" s="1"/>
  <c r="AS73" i="24"/>
  <c r="AR73" i="24"/>
  <c r="AQ73" i="24"/>
  <c r="AR81" i="24"/>
  <c r="AQ81" i="24"/>
  <c r="AS81" i="24"/>
  <c r="AS89" i="24"/>
  <c r="AQ89" i="24"/>
  <c r="AR89" i="24"/>
  <c r="AO89" i="24"/>
  <c r="AP89" i="24" s="1"/>
  <c r="AR97" i="24"/>
  <c r="AQ97" i="24"/>
  <c r="AS97" i="24"/>
  <c r="AQ105" i="24"/>
  <c r="AS105" i="24"/>
  <c r="AR105" i="24"/>
  <c r="AS113" i="24"/>
  <c r="AR113" i="24"/>
  <c r="AQ113" i="24"/>
  <c r="AQ121" i="24"/>
  <c r="AR121" i="24"/>
  <c r="AO121" i="24"/>
  <c r="AP121" i="24" s="1"/>
  <c r="AS121" i="24"/>
  <c r="AS129" i="24"/>
  <c r="AR129" i="24"/>
  <c r="AQ129" i="24"/>
  <c r="AQ137" i="24"/>
  <c r="AO137" i="24"/>
  <c r="AP137" i="24" s="1"/>
  <c r="AS137" i="24"/>
  <c r="AR137" i="24"/>
  <c r="AS145" i="24"/>
  <c r="AR145" i="24"/>
  <c r="AQ145" i="24"/>
  <c r="AR153" i="24"/>
  <c r="AQ153" i="24"/>
  <c r="AS153" i="24"/>
  <c r="AO153" i="24"/>
  <c r="AP153" i="24" s="1"/>
  <c r="AS161" i="24"/>
  <c r="AQ161" i="24"/>
  <c r="AR161" i="24"/>
  <c r="AR169" i="24"/>
  <c r="AQ169" i="24"/>
  <c r="AS169" i="24"/>
  <c r="AS177" i="24"/>
  <c r="AR177" i="24"/>
  <c r="AQ177" i="24"/>
  <c r="AR185" i="24"/>
  <c r="AQ185" i="24"/>
  <c r="AS185" i="24"/>
  <c r="AS193" i="24"/>
  <c r="AQ193" i="24"/>
  <c r="AR193" i="24"/>
  <c r="AR201" i="24"/>
  <c r="AQ201" i="24"/>
  <c r="AS201" i="24"/>
  <c r="AR66" i="24"/>
  <c r="AS66" i="24"/>
  <c r="AQ66" i="24"/>
  <c r="AS114" i="24"/>
  <c r="AQ114" i="24"/>
  <c r="AR114" i="24"/>
  <c r="AQ138" i="24"/>
  <c r="AR138" i="24"/>
  <c r="AS138" i="24"/>
  <c r="AS162" i="24"/>
  <c r="AQ162" i="24"/>
  <c r="AR162" i="24"/>
  <c r="AR170" i="24"/>
  <c r="AQ170" i="24"/>
  <c r="AS170" i="24"/>
  <c r="AS178" i="24"/>
  <c r="AR178" i="24"/>
  <c r="AQ178" i="24"/>
  <c r="AR186" i="24"/>
  <c r="AQ186" i="24"/>
  <c r="AS186" i="24"/>
  <c r="AS194" i="24"/>
  <c r="AQ194" i="24"/>
  <c r="AR194" i="24"/>
  <c r="AR202" i="24"/>
  <c r="AS202" i="24"/>
  <c r="AQ202" i="24"/>
  <c r="AQ106" i="24"/>
  <c r="AR106" i="24"/>
  <c r="AO106" i="24"/>
  <c r="AP106" i="24" s="1"/>
  <c r="AS106" i="24"/>
  <c r="AS42" i="24"/>
  <c r="AR42" i="24"/>
  <c r="AQ42" i="24"/>
  <c r="AQ122" i="24"/>
  <c r="AS122" i="24"/>
  <c r="AO122" i="24"/>
  <c r="AP122" i="24" s="1"/>
  <c r="AR122" i="24"/>
  <c r="AS27" i="24"/>
  <c r="AR27" i="24"/>
  <c r="AQ27" i="24"/>
  <c r="AR83" i="24"/>
  <c r="AQ83" i="24"/>
  <c r="AS83" i="24"/>
  <c r="AR99" i="24"/>
  <c r="AS99" i="24"/>
  <c r="AQ99" i="24"/>
  <c r="AQ123" i="24"/>
  <c r="AS123" i="24"/>
  <c r="AR123" i="24"/>
  <c r="AQ139" i="24"/>
  <c r="AS139" i="24"/>
  <c r="AR139" i="24"/>
  <c r="AS147" i="24"/>
  <c r="AR147" i="24"/>
  <c r="AQ147" i="24"/>
  <c r="AO147" i="24"/>
  <c r="AP147" i="24" s="1"/>
  <c r="AR155" i="24"/>
  <c r="AQ155" i="24"/>
  <c r="AS155" i="24"/>
  <c r="AR163" i="24"/>
  <c r="AS163" i="24"/>
  <c r="AQ163" i="24"/>
  <c r="AR171" i="24"/>
  <c r="AQ171" i="24"/>
  <c r="AS171" i="24"/>
  <c r="AR179" i="24"/>
  <c r="AS179" i="24"/>
  <c r="AQ179" i="24"/>
  <c r="AR187" i="24"/>
  <c r="AQ187" i="24"/>
  <c r="AS187" i="24"/>
  <c r="AO187" i="24"/>
  <c r="AP187" i="24" s="1"/>
  <c r="AR195" i="24"/>
  <c r="AS195" i="24"/>
  <c r="AQ195" i="24"/>
  <c r="AS203" i="24"/>
  <c r="AR203" i="24"/>
  <c r="AQ203" i="24"/>
  <c r="AO203" i="24"/>
  <c r="AP203" i="24" s="1"/>
  <c r="AS10" i="24"/>
  <c r="AR10" i="24"/>
  <c r="AQ10" i="24"/>
  <c r="AS74" i="24"/>
  <c r="AR74" i="24"/>
  <c r="AQ74" i="24"/>
  <c r="AS130" i="24"/>
  <c r="AQ130" i="24"/>
  <c r="AR130" i="24"/>
  <c r="AS19" i="24"/>
  <c r="AQ19" i="24"/>
  <c r="AR19" i="24"/>
  <c r="AO19" i="24"/>
  <c r="AP19" i="24" s="1"/>
  <c r="AQ107" i="24"/>
  <c r="AS107" i="24"/>
  <c r="AR107" i="24"/>
  <c r="AQ50" i="24"/>
  <c r="AS50" i="24"/>
  <c r="AR50" i="24"/>
  <c r="AR98" i="24"/>
  <c r="AO98" i="24"/>
  <c r="AP98" i="24" s="1"/>
  <c r="AQ98" i="24"/>
  <c r="AS98" i="24"/>
  <c r="AR154" i="24"/>
  <c r="AS154" i="24"/>
  <c r="AQ154" i="24"/>
  <c r="AS3" i="24"/>
  <c r="AR3" i="24"/>
  <c r="AQ3" i="24"/>
  <c r="AS35" i="24"/>
  <c r="AR35" i="24"/>
  <c r="AQ35" i="24"/>
  <c r="AR59" i="24"/>
  <c r="AS59" i="24"/>
  <c r="AQ59" i="24"/>
  <c r="AR75" i="24"/>
  <c r="AS75" i="24"/>
  <c r="AQ75" i="24"/>
  <c r="AR91" i="24"/>
  <c r="AS91" i="24"/>
  <c r="AQ91" i="24"/>
  <c r="AS131" i="24"/>
  <c r="AR131" i="24"/>
  <c r="AQ131" i="24"/>
  <c r="AS4" i="24"/>
  <c r="AR4" i="24"/>
  <c r="AQ4" i="24"/>
  <c r="AR12" i="24"/>
  <c r="AQ12" i="24"/>
  <c r="AS12" i="24"/>
  <c r="AS20" i="24"/>
  <c r="AQ20" i="24"/>
  <c r="AR20" i="24"/>
  <c r="AR28" i="24"/>
  <c r="AQ28" i="24"/>
  <c r="AS28" i="24"/>
  <c r="AS36" i="24"/>
  <c r="AR36" i="24"/>
  <c r="AQ36" i="24"/>
  <c r="AR44" i="24"/>
  <c r="AQ44" i="24"/>
  <c r="AS44" i="24"/>
  <c r="AS52" i="24"/>
  <c r="AQ52" i="24"/>
  <c r="AR52" i="24"/>
  <c r="AS60" i="24"/>
  <c r="AR60" i="24"/>
  <c r="AO60" i="24"/>
  <c r="AP60" i="24" s="1"/>
  <c r="AQ60" i="24"/>
  <c r="AS68" i="24"/>
  <c r="AQ68" i="24"/>
  <c r="AR68" i="24"/>
  <c r="AS76" i="24"/>
  <c r="AR76" i="24"/>
  <c r="AQ76" i="24"/>
  <c r="AQ84" i="24"/>
  <c r="AR84" i="24"/>
  <c r="AO84" i="24"/>
  <c r="AP84" i="24" s="1"/>
  <c r="AS84" i="24"/>
  <c r="AS92" i="24"/>
  <c r="AR92" i="24"/>
  <c r="AQ92" i="24"/>
  <c r="AS100" i="24"/>
  <c r="AQ100" i="24"/>
  <c r="AR100" i="24"/>
  <c r="AO100" i="24"/>
  <c r="AP100" i="24" s="1"/>
  <c r="AS108" i="24"/>
  <c r="AR108" i="24"/>
  <c r="AQ108" i="24"/>
  <c r="AR116" i="24"/>
  <c r="AQ116" i="24"/>
  <c r="AO116" i="24"/>
  <c r="AP116" i="24" s="1"/>
  <c r="AS116" i="24"/>
  <c r="AS124" i="24"/>
  <c r="AQ124" i="24"/>
  <c r="AR124" i="24"/>
  <c r="AR132" i="24"/>
  <c r="AQ132" i="24"/>
  <c r="AS132" i="24"/>
  <c r="AS140" i="24"/>
  <c r="AR140" i="24"/>
  <c r="AQ140" i="24"/>
  <c r="AR148" i="24"/>
  <c r="AQ148" i="24"/>
  <c r="AS148" i="24"/>
  <c r="AQ156" i="24"/>
  <c r="AS156" i="24"/>
  <c r="AR156" i="24"/>
  <c r="AS164" i="24"/>
  <c r="AR164" i="24"/>
  <c r="AQ164" i="24"/>
  <c r="AO164" i="24"/>
  <c r="AP164" i="24" s="1"/>
  <c r="AQ172" i="24"/>
  <c r="AR172" i="24"/>
  <c r="AS172" i="24"/>
  <c r="AS180" i="24"/>
  <c r="AR180" i="24"/>
  <c r="AQ180" i="24"/>
  <c r="AQ188" i="24"/>
  <c r="AS188" i="24"/>
  <c r="AR188" i="24"/>
  <c r="AS196" i="24"/>
  <c r="AR196" i="24"/>
  <c r="AQ196" i="24"/>
  <c r="AS204" i="24"/>
  <c r="AR204" i="24"/>
  <c r="AQ204" i="24"/>
  <c r="AC93" i="24"/>
  <c r="K93" i="25" s="1"/>
  <c r="M37" i="24"/>
  <c r="G6" i="24"/>
  <c r="G14" i="24"/>
  <c r="AB22" i="24"/>
  <c r="J22" i="25" s="1"/>
  <c r="AB30" i="24"/>
  <c r="J30" i="25" s="1"/>
  <c r="M38" i="24"/>
  <c r="O38" i="24" s="1"/>
  <c r="N38" i="25" s="1"/>
  <c r="AB62" i="24"/>
  <c r="J62" i="25" s="1"/>
  <c r="G70" i="24"/>
  <c r="AC78" i="24"/>
  <c r="K78" i="25" s="1"/>
  <c r="G126" i="24"/>
  <c r="M134" i="24"/>
  <c r="AB142" i="24"/>
  <c r="J142" i="25" s="1"/>
  <c r="X150" i="24"/>
  <c r="O150" i="25" s="1"/>
  <c r="AC166" i="24"/>
  <c r="K166" i="25" s="1"/>
  <c r="X182" i="24"/>
  <c r="O182" i="25" s="1"/>
  <c r="M23" i="24"/>
  <c r="N31" i="24"/>
  <c r="AC55" i="24"/>
  <c r="K55" i="25" s="1"/>
  <c r="N71" i="24"/>
  <c r="G79" i="24"/>
  <c r="AA79" i="24" s="1"/>
  <c r="S79" i="25" s="1"/>
  <c r="N95" i="24"/>
  <c r="AB111" i="24"/>
  <c r="J111" i="25" s="1"/>
  <c r="X119" i="24"/>
  <c r="O119" i="25" s="1"/>
  <c r="X127" i="24"/>
  <c r="O127" i="25" s="1"/>
  <c r="AB151" i="24"/>
  <c r="J151" i="25" s="1"/>
  <c r="AB159" i="24"/>
  <c r="J159" i="25" s="1"/>
  <c r="AC175" i="24"/>
  <c r="K175" i="25" s="1"/>
  <c r="M191" i="24"/>
  <c r="AC8" i="24"/>
  <c r="K8" i="25" s="1"/>
  <c r="N16" i="24"/>
  <c r="M40" i="24"/>
  <c r="X48" i="24"/>
  <c r="O48" i="25" s="1"/>
  <c r="X56" i="24"/>
  <c r="O56" i="25" s="1"/>
  <c r="AC64" i="24"/>
  <c r="K64" i="25" s="1"/>
  <c r="AC72" i="24"/>
  <c r="K72" i="25" s="1"/>
  <c r="M80" i="24"/>
  <c r="O80" i="24" s="1"/>
  <c r="N88" i="24"/>
  <c r="AC96" i="24"/>
  <c r="K96" i="25" s="1"/>
  <c r="AC104" i="24"/>
  <c r="K104" i="25" s="1"/>
  <c r="AC112" i="24"/>
  <c r="K112" i="25" s="1"/>
  <c r="AC120" i="24"/>
  <c r="K120" i="25" s="1"/>
  <c r="A128" i="25"/>
  <c r="M152" i="24"/>
  <c r="G168" i="24"/>
  <c r="N192" i="24"/>
  <c r="M200" i="24"/>
  <c r="G53" i="24"/>
  <c r="G165" i="24"/>
  <c r="Z165" i="24" s="1"/>
  <c r="T165" i="25" s="1"/>
  <c r="AC21" i="24"/>
  <c r="K21" i="25" s="1"/>
  <c r="G85" i="24"/>
  <c r="AA85" i="24" s="1"/>
  <c r="S85" i="25" s="1"/>
  <c r="N109" i="24"/>
  <c r="N157" i="24"/>
  <c r="B9" i="25"/>
  <c r="AC25" i="24"/>
  <c r="K25" i="25" s="1"/>
  <c r="X33" i="24"/>
  <c r="O33" i="25" s="1"/>
  <c r="AC41" i="24"/>
  <c r="K41" i="25" s="1"/>
  <c r="G49" i="24"/>
  <c r="N65" i="24"/>
  <c r="M73" i="24"/>
  <c r="AC81" i="24"/>
  <c r="K81" i="25" s="1"/>
  <c r="N89" i="24"/>
  <c r="N97" i="24"/>
  <c r="M121" i="24"/>
  <c r="AB129" i="24"/>
  <c r="J129" i="25" s="1"/>
  <c r="AC137" i="24"/>
  <c r="K137" i="25" s="1"/>
  <c r="AB145" i="24"/>
  <c r="J145" i="25" s="1"/>
  <c r="AC153" i="24"/>
  <c r="K153" i="25" s="1"/>
  <c r="AC161" i="24"/>
  <c r="K161" i="25" s="1"/>
  <c r="AC177" i="24"/>
  <c r="K177" i="25" s="1"/>
  <c r="N18" i="24"/>
  <c r="M26" i="24"/>
  <c r="AB34" i="24"/>
  <c r="J34" i="25" s="1"/>
  <c r="X50" i="24"/>
  <c r="O50" i="25" s="1"/>
  <c r="AC58" i="24"/>
  <c r="K58" i="25" s="1"/>
  <c r="X66" i="24"/>
  <c r="O66" i="25" s="1"/>
  <c r="G82" i="24"/>
  <c r="Z82" i="24" s="1"/>
  <c r="T82" i="25" s="1"/>
  <c r="AC106" i="24"/>
  <c r="K106" i="25" s="1"/>
  <c r="AC122" i="24"/>
  <c r="K122" i="25" s="1"/>
  <c r="N138" i="24"/>
  <c r="AC194" i="24"/>
  <c r="K194" i="25" s="1"/>
  <c r="B13" i="25"/>
  <c r="C77" i="25"/>
  <c r="AB133" i="24"/>
  <c r="J133" i="25" s="1"/>
  <c r="M189" i="24"/>
  <c r="G5" i="24"/>
  <c r="Z5" i="24" s="1"/>
  <c r="T5" i="25" s="1"/>
  <c r="AB69" i="24"/>
  <c r="J69" i="25" s="1"/>
  <c r="N173" i="24"/>
  <c r="AB3" i="24"/>
  <c r="J3" i="25" s="1"/>
  <c r="C11" i="25"/>
  <c r="AC19" i="24"/>
  <c r="K19" i="25" s="1"/>
  <c r="N27" i="24"/>
  <c r="AC35" i="24"/>
  <c r="K35" i="25" s="1"/>
  <c r="C51" i="25"/>
  <c r="AB67" i="24"/>
  <c r="J67" i="25" s="1"/>
  <c r="AC75" i="24"/>
  <c r="K75" i="25" s="1"/>
  <c r="AB83" i="24"/>
  <c r="J83" i="25" s="1"/>
  <c r="AC115" i="24"/>
  <c r="K115" i="25" s="1"/>
  <c r="X131" i="24"/>
  <c r="O131" i="25" s="1"/>
  <c r="AB139" i="24"/>
  <c r="J139" i="25" s="1"/>
  <c r="X155" i="24"/>
  <c r="O155" i="25" s="1"/>
  <c r="AC163" i="24"/>
  <c r="K163" i="25" s="1"/>
  <c r="X179" i="24"/>
  <c r="O179" i="25" s="1"/>
  <c r="AC61" i="24"/>
  <c r="K61" i="25" s="1"/>
  <c r="M125" i="24"/>
  <c r="M197" i="24"/>
  <c r="AB45" i="24"/>
  <c r="J45" i="25" s="1"/>
  <c r="AB101" i="24"/>
  <c r="J101" i="25" s="1"/>
  <c r="AC149" i="24"/>
  <c r="K149" i="25" s="1"/>
  <c r="C4" i="25"/>
  <c r="AB20" i="24"/>
  <c r="J20" i="25" s="1"/>
  <c r="AB44" i="24"/>
  <c r="J44" i="25" s="1"/>
  <c r="AB60" i="24"/>
  <c r="J60" i="25" s="1"/>
  <c r="X76" i="24"/>
  <c r="O76" i="25" s="1"/>
  <c r="AC84" i="24"/>
  <c r="K84" i="25" s="1"/>
  <c r="N100" i="24"/>
  <c r="AC116" i="24"/>
  <c r="K116" i="25" s="1"/>
  <c r="G140" i="24"/>
  <c r="AC164" i="24"/>
  <c r="K164" i="25" s="1"/>
  <c r="N172" i="24"/>
  <c r="AC188" i="24"/>
  <c r="K188" i="25" s="1"/>
  <c r="M204" i="24"/>
  <c r="AB51" i="24"/>
  <c r="J51" i="25" s="1"/>
  <c r="AB137" i="24"/>
  <c r="J137" i="25" s="1"/>
  <c r="AC197" i="24"/>
  <c r="K197" i="25" s="1"/>
  <c r="G51" i="24"/>
  <c r="N51" i="24"/>
  <c r="G75" i="24"/>
  <c r="AC157" i="24"/>
  <c r="K157" i="25" s="1"/>
  <c r="N182" i="24"/>
  <c r="N168" i="24"/>
  <c r="AC182" i="24"/>
  <c r="K182" i="25" s="1"/>
  <c r="AB197" i="24"/>
  <c r="J197" i="25" s="1"/>
  <c r="G192" i="24"/>
  <c r="N6" i="24"/>
  <c r="AC45" i="24"/>
  <c r="K45" i="25" s="1"/>
  <c r="N128" i="24"/>
  <c r="AC6" i="24"/>
  <c r="K6" i="25" s="1"/>
  <c r="X128" i="24"/>
  <c r="O128" i="25" s="1"/>
  <c r="X164" i="24"/>
  <c r="O164" i="25" s="1"/>
  <c r="AB128" i="24"/>
  <c r="J128" i="25" s="1"/>
  <c r="N122" i="24"/>
  <c r="AC128" i="24"/>
  <c r="K128" i="25" s="1"/>
  <c r="N69" i="24"/>
  <c r="X137" i="24"/>
  <c r="O137" i="25" s="1"/>
  <c r="AB85" i="24"/>
  <c r="J85" i="25" s="1"/>
  <c r="G182" i="24"/>
  <c r="AC133" i="24"/>
  <c r="K133" i="25" s="1"/>
  <c r="G61" i="24"/>
  <c r="AA61" i="24" s="1"/>
  <c r="S61" i="25" s="1"/>
  <c r="M79" i="24"/>
  <c r="O79" i="24" s="1"/>
  <c r="M16" i="24"/>
  <c r="AB37" i="24"/>
  <c r="J37" i="25" s="1"/>
  <c r="N49" i="24"/>
  <c r="M61" i="24"/>
  <c r="N79" i="24"/>
  <c r="M84" i="24"/>
  <c r="G112" i="24"/>
  <c r="Z112" i="24" s="1"/>
  <c r="T112" i="25" s="1"/>
  <c r="AB166" i="24"/>
  <c r="J166" i="25" s="1"/>
  <c r="G161" i="24"/>
  <c r="AT161" i="24" s="1"/>
  <c r="AU161" i="24" s="1"/>
  <c r="AC9" i="24"/>
  <c r="K9" i="25" s="1"/>
  <c r="AC4" i="24"/>
  <c r="K4" i="25" s="1"/>
  <c r="X16" i="24"/>
  <c r="O16" i="25" s="1"/>
  <c r="AC30" i="24"/>
  <c r="K30" i="25" s="1"/>
  <c r="AC37" i="24"/>
  <c r="K37" i="25" s="1"/>
  <c r="G55" i="24"/>
  <c r="X61" i="24"/>
  <c r="O61" i="25" s="1"/>
  <c r="X79" i="24"/>
  <c r="O79" i="25" s="1"/>
  <c r="N84" i="24"/>
  <c r="M112" i="24"/>
  <c r="AC73" i="24"/>
  <c r="K73" i="25" s="1"/>
  <c r="G84" i="24"/>
  <c r="Z84" i="24" s="1"/>
  <c r="T84" i="25" s="1"/>
  <c r="N104" i="24"/>
  <c r="AB16" i="24"/>
  <c r="J16" i="25" s="1"/>
  <c r="AB61" i="24"/>
  <c r="J61" i="25" s="1"/>
  <c r="AB79" i="24"/>
  <c r="J79" i="25" s="1"/>
  <c r="X84" i="24"/>
  <c r="O84" i="25" s="1"/>
  <c r="N112" i="24"/>
  <c r="G9" i="24"/>
  <c r="N4" i="24"/>
  <c r="M45" i="24"/>
  <c r="AC79" i="24"/>
  <c r="K79" i="25" s="1"/>
  <c r="AB84" i="24"/>
  <c r="J84" i="25" s="1"/>
  <c r="X112" i="24"/>
  <c r="O112" i="25" s="1"/>
  <c r="N125" i="24"/>
  <c r="G194" i="24"/>
  <c r="N45" i="24"/>
  <c r="AB112" i="24"/>
  <c r="J112" i="25" s="1"/>
  <c r="N200" i="24"/>
  <c r="X45" i="24"/>
  <c r="O45" i="25" s="1"/>
  <c r="M51" i="24"/>
  <c r="AB100" i="24"/>
  <c r="J100" i="25" s="1"/>
  <c r="G164" i="24"/>
  <c r="AA164" i="24" s="1"/>
  <c r="S164" i="25" s="1"/>
  <c r="X168" i="24"/>
  <c r="O168" i="25" s="1"/>
  <c r="M182" i="24"/>
  <c r="O182" i="24" s="1"/>
  <c r="G120" i="24"/>
  <c r="AA120" i="24" s="1"/>
  <c r="S120" i="25" s="1"/>
  <c r="G137" i="24"/>
  <c r="AA137" i="24" s="1"/>
  <c r="S137" i="25" s="1"/>
  <c r="M164" i="24"/>
  <c r="O164" i="24" s="1"/>
  <c r="AB168" i="24"/>
  <c r="J168" i="25" s="1"/>
  <c r="N164" i="24"/>
  <c r="N41" i="24"/>
  <c r="AC82" i="24"/>
  <c r="K82" i="25" s="1"/>
  <c r="G133" i="24"/>
  <c r="AC159" i="24"/>
  <c r="K159" i="25" s="1"/>
  <c r="AB164" i="24"/>
  <c r="J164" i="25" s="1"/>
  <c r="G197" i="24"/>
  <c r="AA197" i="24" s="1"/>
  <c r="S197" i="25" s="1"/>
  <c r="N14" i="24"/>
  <c r="M128" i="24"/>
  <c r="X133" i="24"/>
  <c r="O133" i="25" s="1"/>
  <c r="X197" i="24"/>
  <c r="O197" i="25" s="1"/>
  <c r="G78" i="24"/>
  <c r="Z78" i="24" s="1"/>
  <c r="T78" i="25" s="1"/>
  <c r="G115" i="24"/>
  <c r="AC13" i="24"/>
  <c r="K13" i="25" s="1"/>
  <c r="AC34" i="24"/>
  <c r="K34" i="25" s="1"/>
  <c r="M4" i="24"/>
  <c r="O4" i="24" s="1"/>
  <c r="M49" i="24"/>
  <c r="AC62" i="24"/>
  <c r="K62" i="25" s="1"/>
  <c r="X82" i="24"/>
  <c r="O82" i="25" s="1"/>
  <c r="X85" i="24"/>
  <c r="O85" i="25" s="1"/>
  <c r="X100" i="24"/>
  <c r="O100" i="25" s="1"/>
  <c r="G128" i="24"/>
  <c r="N137" i="24"/>
  <c r="X157" i="24"/>
  <c r="O157" i="25" s="1"/>
  <c r="X165" i="24"/>
  <c r="O165" i="25" s="1"/>
  <c r="N197" i="24"/>
  <c r="A88" i="25"/>
  <c r="N35" i="24"/>
  <c r="G40" i="24"/>
  <c r="M72" i="24"/>
  <c r="AB96" i="24"/>
  <c r="J96" i="25" s="1"/>
  <c r="G106" i="24"/>
  <c r="Z106" i="24" s="1"/>
  <c r="T106" i="25" s="1"/>
  <c r="M149" i="24"/>
  <c r="O149" i="24" s="1"/>
  <c r="M153" i="24"/>
  <c r="O153" i="24" s="1"/>
  <c r="M177" i="24"/>
  <c r="M106" i="24"/>
  <c r="N149" i="24"/>
  <c r="N177" i="24"/>
  <c r="G26" i="24"/>
  <c r="X55" i="24"/>
  <c r="O55" i="25" s="1"/>
  <c r="G77" i="24"/>
  <c r="Z77" i="24" s="1"/>
  <c r="T77" i="25" s="1"/>
  <c r="G93" i="24"/>
  <c r="AA93" i="24" s="1"/>
  <c r="S93" i="25" s="1"/>
  <c r="M101" i="24"/>
  <c r="O101" i="24" s="1"/>
  <c r="N106" i="24"/>
  <c r="M115" i="24"/>
  <c r="O115" i="24" s="1"/>
  <c r="X120" i="24"/>
  <c r="O120" i="25" s="1"/>
  <c r="AB149" i="24"/>
  <c r="J149" i="25" s="1"/>
  <c r="AB177" i="24"/>
  <c r="J177" i="25" s="1"/>
  <c r="M194" i="24"/>
  <c r="A77" i="25"/>
  <c r="AB55" i="24"/>
  <c r="J55" i="25" s="1"/>
  <c r="M77" i="24"/>
  <c r="M93" i="24"/>
  <c r="O93" i="24" s="1"/>
  <c r="X106" i="24"/>
  <c r="O106" i="25" s="1"/>
  <c r="AB115" i="24"/>
  <c r="J115" i="25" s="1"/>
  <c r="N194" i="24"/>
  <c r="G16" i="24"/>
  <c r="AA16" i="24" s="1"/>
  <c r="S16" i="25" s="1"/>
  <c r="M41" i="24"/>
  <c r="O41" i="24" s="1"/>
  <c r="M69" i="24"/>
  <c r="O69" i="24" s="1"/>
  <c r="N77" i="24"/>
  <c r="N93" i="24"/>
  <c r="AB106" i="24"/>
  <c r="J106" i="25" s="1"/>
  <c r="X194" i="24"/>
  <c r="O194" i="25" s="1"/>
  <c r="X77" i="24"/>
  <c r="O77" i="25" s="1"/>
  <c r="X93" i="24"/>
  <c r="O93" i="25" s="1"/>
  <c r="M27" i="24"/>
  <c r="O27" i="24" s="1"/>
  <c r="G37" i="24"/>
  <c r="X69" i="24"/>
  <c r="O69" i="25" s="1"/>
  <c r="AB77" i="24"/>
  <c r="J77" i="25" s="1"/>
  <c r="M88" i="24"/>
  <c r="AB93" i="24"/>
  <c r="J93" i="25" s="1"/>
  <c r="X139" i="24"/>
  <c r="O139" i="25" s="1"/>
  <c r="N145" i="24"/>
  <c r="G150" i="24"/>
  <c r="AA150" i="24" s="1"/>
  <c r="S150" i="25" s="1"/>
  <c r="AC77" i="24"/>
  <c r="K77" i="25" s="1"/>
  <c r="G34" i="24"/>
  <c r="Z34" i="24" s="1"/>
  <c r="T34" i="25" s="1"/>
  <c r="G66" i="24"/>
  <c r="Z66" i="24" s="1"/>
  <c r="T66" i="25" s="1"/>
  <c r="N81" i="24"/>
  <c r="M122" i="24"/>
  <c r="O122" i="24" s="1"/>
  <c r="M13" i="24"/>
  <c r="M66" i="24"/>
  <c r="X13" i="24"/>
  <c r="O13" i="25" s="1"/>
  <c r="N66" i="24"/>
  <c r="X75" i="24"/>
  <c r="O75" i="25" s="1"/>
  <c r="G100" i="24"/>
  <c r="Z100" i="24" s="1"/>
  <c r="T100" i="25" s="1"/>
  <c r="X122" i="24"/>
  <c r="O122" i="25" s="1"/>
  <c r="G157" i="24"/>
  <c r="AA157" i="24" s="1"/>
  <c r="S157" i="25" s="1"/>
  <c r="M161" i="24"/>
  <c r="O161" i="24" s="1"/>
  <c r="M192" i="24"/>
  <c r="O192" i="24" s="1"/>
  <c r="N34" i="24"/>
  <c r="M58" i="24"/>
  <c r="G62" i="24"/>
  <c r="AA62" i="24" s="1"/>
  <c r="S62" i="25" s="1"/>
  <c r="M95" i="24"/>
  <c r="O95" i="24" s="1"/>
  <c r="M100" i="24"/>
  <c r="O100" i="24" s="1"/>
  <c r="M109" i="24"/>
  <c r="AB122" i="24"/>
  <c r="J122" i="25" s="1"/>
  <c r="M157" i="24"/>
  <c r="AB161" i="24"/>
  <c r="J161" i="25" s="1"/>
  <c r="X34" i="24"/>
  <c r="O34" i="25" s="1"/>
  <c r="M137" i="24"/>
  <c r="G29" i="25"/>
  <c r="L10" i="25"/>
  <c r="E17" i="25"/>
  <c r="H37" i="25"/>
  <c r="E48" i="25"/>
  <c r="L55" i="25"/>
  <c r="E66" i="25"/>
  <c r="H17" i="25"/>
  <c r="G30" i="25"/>
  <c r="E46" i="25"/>
  <c r="I53" i="25"/>
  <c r="I60" i="25"/>
  <c r="G14" i="25"/>
  <c r="H30" i="25"/>
  <c r="F58" i="25"/>
  <c r="H60" i="25"/>
  <c r="E24" i="25"/>
  <c r="I30" i="25"/>
  <c r="L62" i="25"/>
  <c r="F18" i="25"/>
  <c r="I6" i="25"/>
  <c r="G19" i="25"/>
  <c r="L30" i="25"/>
  <c r="E3" i="25"/>
  <c r="H19" i="25"/>
  <c r="I42" i="25"/>
  <c r="I45" i="25"/>
  <c r="H14" i="25"/>
  <c r="L6" i="25"/>
  <c r="I19" i="25"/>
  <c r="E23" i="25"/>
  <c r="F26" i="25"/>
  <c r="E28" i="25"/>
  <c r="E33" i="25"/>
  <c r="F40" i="25"/>
  <c r="E41" i="25"/>
  <c r="H44" i="25"/>
  <c r="E20" i="25"/>
  <c r="G20" i="25"/>
  <c r="H24" i="25"/>
  <c r="F33" i="25"/>
  <c r="E34" i="25"/>
  <c r="I41" i="25"/>
  <c r="I44" i="25"/>
  <c r="L17" i="25"/>
  <c r="I35" i="25"/>
  <c r="L41" i="25"/>
  <c r="L44" i="25"/>
  <c r="L86" i="25"/>
  <c r="H4" i="25"/>
  <c r="E18" i="25"/>
  <c r="H6" i="25"/>
  <c r="H9" i="25"/>
  <c r="H25" i="25"/>
  <c r="I20" i="25"/>
  <c r="L26" i="25"/>
  <c r="G33" i="25"/>
  <c r="H34" i="25"/>
  <c r="F66" i="25"/>
  <c r="E19" i="25"/>
  <c r="H20" i="25"/>
  <c r="F13" i="25"/>
  <c r="L20" i="25"/>
  <c r="I33" i="25"/>
  <c r="I34" i="25"/>
  <c r="G82" i="25"/>
  <c r="H8" i="25"/>
  <c r="F19" i="25"/>
  <c r="H27" i="25"/>
  <c r="I3" i="25"/>
  <c r="L3" i="25"/>
  <c r="G16" i="25"/>
  <c r="G21" i="25"/>
  <c r="L34" i="25"/>
  <c r="L21" i="25"/>
  <c r="G38" i="25"/>
  <c r="E63" i="25"/>
  <c r="G6" i="25"/>
  <c r="I14" i="25"/>
  <c r="L14" i="25"/>
  <c r="F3" i="25"/>
  <c r="E43" i="25"/>
  <c r="I70" i="25"/>
  <c r="G4" i="25"/>
  <c r="F30" i="25"/>
  <c r="I37" i="25"/>
  <c r="I4" i="25"/>
  <c r="L4" i="25"/>
  <c r="E5" i="25"/>
  <c r="I26" i="25"/>
  <c r="H3" i="25"/>
  <c r="E13" i="25"/>
  <c r="F43" i="25"/>
  <c r="L70" i="25"/>
  <c r="G44" i="25"/>
  <c r="L49" i="25"/>
  <c r="L51" i="25"/>
  <c r="H53" i="25"/>
  <c r="I55" i="25"/>
  <c r="E58" i="25"/>
  <c r="G60" i="25"/>
  <c r="I62" i="25"/>
  <c r="L65" i="25"/>
  <c r="H70" i="25"/>
  <c r="H72" i="25"/>
  <c r="L73" i="25"/>
  <c r="F82" i="25"/>
  <c r="G58" i="25"/>
  <c r="F63" i="25"/>
  <c r="G93" i="25"/>
  <c r="H33" i="25"/>
  <c r="H40" i="25"/>
  <c r="H58" i="25"/>
  <c r="E61" i="25"/>
  <c r="H93" i="25"/>
  <c r="I95" i="25"/>
  <c r="F61" i="25"/>
  <c r="E84" i="25"/>
  <c r="E89" i="25"/>
  <c r="L95" i="25"/>
  <c r="E64" i="25"/>
  <c r="H68" i="25"/>
  <c r="F84" i="25"/>
  <c r="L19" i="25"/>
  <c r="L33" i="25"/>
  <c r="F35" i="25"/>
  <c r="L8" i="25"/>
  <c r="H61" i="25"/>
  <c r="E45" i="25"/>
  <c r="I61" i="25"/>
  <c r="F69" i="25"/>
  <c r="E77" i="25"/>
  <c r="H84" i="25"/>
  <c r="L109" i="25"/>
  <c r="E16" i="25"/>
  <c r="E38" i="25"/>
  <c r="L61" i="25"/>
  <c r="F77" i="25"/>
  <c r="E21" i="25"/>
  <c r="E31" i="25"/>
  <c r="F38" i="25"/>
  <c r="G41" i="25"/>
  <c r="G45" i="25"/>
  <c r="G69" i="25"/>
  <c r="F98" i="25"/>
  <c r="H45" i="25"/>
  <c r="E65" i="25"/>
  <c r="H69" i="25"/>
  <c r="F75" i="25"/>
  <c r="E76" i="25"/>
  <c r="G77" i="25"/>
  <c r="F47" i="25"/>
  <c r="F49" i="25"/>
  <c r="F51" i="25"/>
  <c r="E53" i="25"/>
  <c r="F55" i="25"/>
  <c r="H57" i="25"/>
  <c r="E62" i="25"/>
  <c r="F65" i="25"/>
  <c r="I69" i="25"/>
  <c r="G78" i="25"/>
  <c r="H80" i="25"/>
  <c r="E96" i="25"/>
  <c r="F34" i="25"/>
  <c r="E44" i="25"/>
  <c r="L45" i="25"/>
  <c r="G47" i="25"/>
  <c r="F53" i="25"/>
  <c r="E60" i="25"/>
  <c r="G65" i="25"/>
  <c r="E70" i="25"/>
  <c r="G73" i="25"/>
  <c r="G75" i="25"/>
  <c r="H78" i="25"/>
  <c r="H88" i="25"/>
  <c r="G31" i="25"/>
  <c r="L35" i="25"/>
  <c r="H38" i="25"/>
  <c r="I38" i="25"/>
  <c r="F60" i="25"/>
  <c r="G62" i="25"/>
  <c r="H65" i="25"/>
  <c r="H73" i="25"/>
  <c r="H75" i="25"/>
  <c r="I78" i="25"/>
  <c r="I27" i="25"/>
  <c r="F41" i="25"/>
  <c r="G34" i="25"/>
  <c r="G53" i="25"/>
  <c r="H62" i="25"/>
  <c r="I65" i="25"/>
  <c r="G70" i="25"/>
  <c r="I73" i="25"/>
  <c r="I75" i="25"/>
  <c r="L78" i="25"/>
  <c r="E82" i="25"/>
  <c r="F108" i="25"/>
  <c r="E98" i="25"/>
  <c r="L100" i="25"/>
  <c r="L118" i="25"/>
  <c r="E120" i="25"/>
  <c r="E122" i="25"/>
  <c r="F126" i="25"/>
  <c r="I93" i="25"/>
  <c r="E101" i="25"/>
  <c r="G86" i="25"/>
  <c r="G98" i="25"/>
  <c r="G108" i="25"/>
  <c r="G115" i="25"/>
  <c r="H98" i="25"/>
  <c r="H101" i="25"/>
  <c r="I108" i="25"/>
  <c r="H115" i="25"/>
  <c r="G145" i="25"/>
  <c r="I80" i="25"/>
  <c r="H82" i="25"/>
  <c r="I84" i="25"/>
  <c r="F89" i="25"/>
  <c r="L98" i="25"/>
  <c r="E104" i="25"/>
  <c r="L108" i="25"/>
  <c r="E111" i="25"/>
  <c r="L115" i="25"/>
  <c r="G61" i="25"/>
  <c r="E69" i="25"/>
  <c r="L84" i="25"/>
  <c r="G89" i="25"/>
  <c r="F111" i="25"/>
  <c r="H112" i="25"/>
  <c r="H134" i="25"/>
  <c r="H89" i="25"/>
  <c r="G76" i="25"/>
  <c r="H77" i="25"/>
  <c r="E79" i="25"/>
  <c r="I89" i="25"/>
  <c r="G104" i="25"/>
  <c r="G111" i="25"/>
  <c r="L112" i="25"/>
  <c r="H129" i="25"/>
  <c r="I77" i="25"/>
  <c r="F79" i="25"/>
  <c r="E85" i="25"/>
  <c r="L89" i="25"/>
  <c r="H105" i="25"/>
  <c r="H111" i="25"/>
  <c r="F81" i="25"/>
  <c r="E97" i="25"/>
  <c r="G100" i="25"/>
  <c r="I105" i="25"/>
  <c r="F76" i="25"/>
  <c r="G79" i="25"/>
  <c r="G85" i="25"/>
  <c r="F97" i="25"/>
  <c r="L105" i="25"/>
  <c r="I79" i="25"/>
  <c r="H85" i="25"/>
  <c r="F100" i="25"/>
  <c r="E110" i="25"/>
  <c r="F62" i="25"/>
  <c r="I85" i="25"/>
  <c r="E93" i="25"/>
  <c r="L138" i="25"/>
  <c r="F45" i="25"/>
  <c r="F93" i="25"/>
  <c r="H100" i="25"/>
  <c r="G118" i="25"/>
  <c r="E78" i="25"/>
  <c r="G84" i="25"/>
  <c r="I100" i="25"/>
  <c r="H118" i="25"/>
  <c r="E126" i="25"/>
  <c r="F118" i="25"/>
  <c r="L123" i="25"/>
  <c r="G134" i="25"/>
  <c r="F137" i="25"/>
  <c r="G139" i="25"/>
  <c r="L140" i="25"/>
  <c r="E146" i="25"/>
  <c r="I129" i="25"/>
  <c r="I134" i="25"/>
  <c r="E136" i="25"/>
  <c r="G137" i="25"/>
  <c r="H145" i="25"/>
  <c r="F173" i="25"/>
  <c r="I115" i="25"/>
  <c r="I118" i="25"/>
  <c r="F122" i="25"/>
  <c r="L129" i="25"/>
  <c r="L134" i="25"/>
  <c r="H137" i="25"/>
  <c r="I145" i="25"/>
  <c r="E149" i="25"/>
  <c r="G126" i="25"/>
  <c r="L137" i="25"/>
  <c r="F149" i="25"/>
  <c r="G120" i="25"/>
  <c r="G122" i="25"/>
  <c r="H126" i="25"/>
  <c r="E127" i="25"/>
  <c r="E131" i="25"/>
  <c r="H149" i="25"/>
  <c r="E158" i="25"/>
  <c r="I111" i="25"/>
  <c r="G113" i="25"/>
  <c r="H122" i="25"/>
  <c r="L77" i="25"/>
  <c r="L93" i="25"/>
  <c r="L111" i="25"/>
  <c r="I122" i="25"/>
  <c r="I143" i="25"/>
  <c r="E106" i="25"/>
  <c r="E113" i="25"/>
  <c r="L122" i="25"/>
  <c r="L143" i="25"/>
  <c r="F106" i="25"/>
  <c r="E116" i="25"/>
  <c r="E119" i="25"/>
  <c r="E121" i="25"/>
  <c r="F142" i="25"/>
  <c r="F85" i="25"/>
  <c r="F101" i="25"/>
  <c r="F116" i="25"/>
  <c r="F121" i="25"/>
  <c r="E133" i="25"/>
  <c r="G106" i="25"/>
  <c r="E112" i="25"/>
  <c r="F133" i="25"/>
  <c r="E147" i="25"/>
  <c r="E100" i="25"/>
  <c r="G101" i="25"/>
  <c r="E105" i="25"/>
  <c r="H106" i="25"/>
  <c r="G116" i="25"/>
  <c r="H119" i="25"/>
  <c r="G121" i="25"/>
  <c r="F147" i="25"/>
  <c r="E153" i="25"/>
  <c r="G157" i="25"/>
  <c r="F159" i="25"/>
  <c r="F167" i="25"/>
  <c r="F105" i="25"/>
  <c r="I106" i="25"/>
  <c r="H116" i="25"/>
  <c r="L119" i="25"/>
  <c r="H121" i="25"/>
  <c r="G128" i="25"/>
  <c r="G133" i="25"/>
  <c r="G140" i="25"/>
  <c r="E141" i="25"/>
  <c r="F153" i="25"/>
  <c r="H157" i="25"/>
  <c r="I101" i="25"/>
  <c r="L106" i="25"/>
  <c r="I116" i="25"/>
  <c r="I121" i="25"/>
  <c r="H123" i="25"/>
  <c r="H128" i="25"/>
  <c r="H133" i="25"/>
  <c r="H140" i="25"/>
  <c r="G147" i="25"/>
  <c r="E118" i="25"/>
  <c r="G129" i="25"/>
  <c r="I133" i="25"/>
  <c r="E137" i="25"/>
  <c r="I140" i="25"/>
  <c r="F145" i="25"/>
  <c r="H147" i="25"/>
  <c r="E167" i="25"/>
  <c r="I175" i="25"/>
  <c r="G198" i="25"/>
  <c r="H158" i="25"/>
  <c r="H170" i="25"/>
  <c r="I158" i="25"/>
  <c r="G159" i="25"/>
  <c r="F160" i="25"/>
  <c r="I170" i="25"/>
  <c r="G177" i="25"/>
  <c r="I149" i="25"/>
  <c r="H159" i="25"/>
  <c r="G166" i="25"/>
  <c r="L147" i="25"/>
  <c r="L149" i="25"/>
  <c r="G153" i="25"/>
  <c r="I159" i="25"/>
  <c r="I160" i="25"/>
  <c r="E164" i="25"/>
  <c r="H165" i="25"/>
  <c r="I166" i="25"/>
  <c r="L133" i="25"/>
  <c r="I137" i="25"/>
  <c r="G141" i="25"/>
  <c r="H153" i="25"/>
  <c r="L160" i="25"/>
  <c r="F164" i="25"/>
  <c r="I165" i="25"/>
  <c r="L166" i="25"/>
  <c r="E172" i="25"/>
  <c r="H179" i="25"/>
  <c r="I153" i="25"/>
  <c r="G161" i="25"/>
  <c r="G163" i="25"/>
  <c r="L153" i="25"/>
  <c r="E156" i="25"/>
  <c r="I161" i="25"/>
  <c r="E162" i="25"/>
  <c r="H163" i="25"/>
  <c r="F138" i="25"/>
  <c r="F141" i="25"/>
  <c r="E150" i="25"/>
  <c r="L161" i="25"/>
  <c r="I163" i="25"/>
  <c r="F150" i="25"/>
  <c r="L163" i="25"/>
  <c r="I188" i="25"/>
  <c r="G150" i="25"/>
  <c r="I171" i="25"/>
  <c r="E178" i="25"/>
  <c r="F129" i="25"/>
  <c r="E134" i="25"/>
  <c r="H150" i="25"/>
  <c r="E157" i="25"/>
  <c r="F134" i="25"/>
  <c r="F157" i="25"/>
  <c r="F168" i="25"/>
  <c r="I203" i="25"/>
  <c r="E201" i="25"/>
  <c r="H175" i="25"/>
  <c r="G179" i="25"/>
  <c r="L181" i="25"/>
  <c r="F185" i="25"/>
  <c r="H188" i="25"/>
  <c r="L191" i="25"/>
  <c r="L194" i="25"/>
  <c r="F202" i="25"/>
  <c r="G203" i="25"/>
  <c r="H161" i="25"/>
  <c r="L165" i="25"/>
  <c r="F172" i="25"/>
  <c r="H177" i="25"/>
  <c r="I179" i="25"/>
  <c r="G182" i="25"/>
  <c r="H185" i="25"/>
  <c r="L188" i="25"/>
  <c r="E195" i="25"/>
  <c r="H198" i="25"/>
  <c r="G202" i="25"/>
  <c r="L203" i="25"/>
  <c r="G164" i="25"/>
  <c r="I167" i="25"/>
  <c r="H172" i="25"/>
  <c r="I177" i="25"/>
  <c r="H182" i="25"/>
  <c r="L185" i="25"/>
  <c r="I198" i="25"/>
  <c r="G200" i="25"/>
  <c r="L201" i="25"/>
  <c r="I202" i="25"/>
  <c r="H164" i="25"/>
  <c r="L167" i="25"/>
  <c r="I172" i="25"/>
  <c r="L177" i="25"/>
  <c r="I182" i="25"/>
  <c r="G192" i="25"/>
  <c r="L198" i="25"/>
  <c r="H200" i="25"/>
  <c r="I164" i="25"/>
  <c r="L172" i="25"/>
  <c r="L182" i="25"/>
  <c r="H192" i="25"/>
  <c r="L157" i="25"/>
  <c r="L164" i="25"/>
  <c r="I192" i="25"/>
  <c r="E187" i="25"/>
  <c r="L192" i="25"/>
  <c r="F183" i="25"/>
  <c r="E190" i="25"/>
  <c r="G196" i="25"/>
  <c r="H166" i="25"/>
  <c r="G171" i="25"/>
  <c r="F178" i="25"/>
  <c r="I183" i="25"/>
  <c r="F187" i="25"/>
  <c r="F190" i="25"/>
  <c r="G193" i="25"/>
  <c r="H171" i="25"/>
  <c r="E181" i="25"/>
  <c r="L183" i="25"/>
  <c r="G190" i="25"/>
  <c r="H193" i="25"/>
  <c r="E197" i="25"/>
  <c r="L178" i="25"/>
  <c r="F181" i="25"/>
  <c r="G187" i="25"/>
  <c r="I190" i="25"/>
  <c r="E191" i="25"/>
  <c r="I193" i="25"/>
  <c r="F197" i="25"/>
  <c r="E165" i="25"/>
  <c r="G168" i="25"/>
  <c r="L171" i="25"/>
  <c r="H187" i="25"/>
  <c r="G204" i="25"/>
  <c r="F161" i="25"/>
  <c r="F165" i="25"/>
  <c r="L176" i="25"/>
  <c r="G181" i="25"/>
  <c r="I187" i="25"/>
  <c r="G188" i="25"/>
  <c r="G197" i="25"/>
  <c r="E203" i="25"/>
  <c r="H181" i="25"/>
  <c r="L187" i="25"/>
  <c r="F194" i="25"/>
  <c r="H197" i="25"/>
  <c r="E204" i="25"/>
  <c r="L150" i="25"/>
  <c r="G165" i="25"/>
  <c r="I181" i="25"/>
  <c r="E188" i="25"/>
  <c r="L197" i="25"/>
  <c r="E202" i="25"/>
  <c r="L204" i="25"/>
  <c r="L206" i="25"/>
  <c r="F203" i="25"/>
  <c r="H204" i="25"/>
  <c r="I204" i="25"/>
  <c r="H203" i="25"/>
  <c r="I197" i="25"/>
  <c r="F206" i="25"/>
  <c r="F200" i="25"/>
  <c r="E194" i="25"/>
  <c r="I206" i="25"/>
  <c r="G194" i="25"/>
  <c r="AC7" i="24"/>
  <c r="K7" i="25" s="1"/>
  <c r="C7" i="25"/>
  <c r="B7" i="25"/>
  <c r="A7" i="25"/>
  <c r="C26" i="25"/>
  <c r="B26" i="25"/>
  <c r="A26" i="25"/>
  <c r="C32" i="25"/>
  <c r="B32" i="25"/>
  <c r="A32" i="25"/>
  <c r="C40" i="25"/>
  <c r="B40" i="25"/>
  <c r="A40" i="25"/>
  <c r="C42" i="25"/>
  <c r="B42" i="25"/>
  <c r="A42" i="25"/>
  <c r="A49" i="25"/>
  <c r="B49" i="25"/>
  <c r="C49" i="25"/>
  <c r="C52" i="25"/>
  <c r="B52" i="25"/>
  <c r="A52" i="25"/>
  <c r="C82" i="25"/>
  <c r="B82" i="25"/>
  <c r="A82" i="25"/>
  <c r="C96" i="25"/>
  <c r="B96" i="25"/>
  <c r="A96" i="25"/>
  <c r="C111" i="25"/>
  <c r="B111" i="25"/>
  <c r="A111" i="25"/>
  <c r="AC111" i="24"/>
  <c r="K111" i="25" s="1"/>
  <c r="X111" i="24"/>
  <c r="O111" i="25" s="1"/>
  <c r="N111" i="24"/>
  <c r="M111" i="24"/>
  <c r="O111" i="24" s="1"/>
  <c r="G111" i="24"/>
  <c r="Z111" i="24" s="1"/>
  <c r="T111" i="25" s="1"/>
  <c r="C148" i="25"/>
  <c r="B148" i="25"/>
  <c r="A148" i="25"/>
  <c r="N148" i="24"/>
  <c r="C152" i="25"/>
  <c r="B152" i="25"/>
  <c r="A152" i="25"/>
  <c r="X152" i="24"/>
  <c r="O152" i="25" s="1"/>
  <c r="N152" i="24"/>
  <c r="C9" i="25"/>
  <c r="C24" i="25"/>
  <c r="B24" i="25"/>
  <c r="C43" i="25"/>
  <c r="B43" i="25"/>
  <c r="A43" i="25"/>
  <c r="A59" i="25"/>
  <c r="C59" i="25"/>
  <c r="B59" i="25"/>
  <c r="X89" i="24"/>
  <c r="O89" i="25" s="1"/>
  <c r="C89" i="25"/>
  <c r="B89" i="25"/>
  <c r="A89" i="25"/>
  <c r="M89" i="24"/>
  <c r="O89" i="24" s="1"/>
  <c r="AB178" i="24"/>
  <c r="J178" i="25" s="1"/>
  <c r="B178" i="25"/>
  <c r="A178" i="25"/>
  <c r="C178" i="25"/>
  <c r="AC178" i="24"/>
  <c r="K178" i="25" s="1"/>
  <c r="X178" i="24"/>
  <c r="O178" i="25" s="1"/>
  <c r="N178" i="24"/>
  <c r="M178" i="24"/>
  <c r="G178" i="24"/>
  <c r="Z178" i="24" s="1"/>
  <c r="T178" i="25" s="1"/>
  <c r="C10" i="25"/>
  <c r="B10" i="25"/>
  <c r="A10" i="25"/>
  <c r="A203" i="25"/>
  <c r="C203" i="25"/>
  <c r="B203" i="25"/>
  <c r="AC203" i="24"/>
  <c r="K203" i="25" s="1"/>
  <c r="AB203" i="24"/>
  <c r="J203" i="25" s="1"/>
  <c r="X203" i="24"/>
  <c r="O203" i="25" s="1"/>
  <c r="AB89" i="24"/>
  <c r="J89" i="25" s="1"/>
  <c r="C105" i="25"/>
  <c r="B105" i="25"/>
  <c r="A105" i="25"/>
  <c r="AC105" i="24"/>
  <c r="K105" i="25" s="1"/>
  <c r="AB105" i="24"/>
  <c r="J105" i="25" s="1"/>
  <c r="B183" i="25"/>
  <c r="C183" i="25"/>
  <c r="A183" i="25"/>
  <c r="AB183" i="24"/>
  <c r="J183" i="25" s="1"/>
  <c r="G203" i="24"/>
  <c r="AA203" i="24" s="1"/>
  <c r="S203" i="25" s="1"/>
  <c r="M10" i="24"/>
  <c r="X43" i="24"/>
  <c r="O43" i="25" s="1"/>
  <c r="C5" i="25"/>
  <c r="B5" i="25"/>
  <c r="A5" i="25"/>
  <c r="G8" i="24"/>
  <c r="N10" i="24"/>
  <c r="AB14" i="24"/>
  <c r="J14" i="25" s="1"/>
  <c r="C14" i="25"/>
  <c r="B14" i="25"/>
  <c r="N19" i="24"/>
  <c r="N21" i="24"/>
  <c r="N24" i="24"/>
  <c r="X26" i="24"/>
  <c r="O26" i="25" s="1"/>
  <c r="C30" i="25"/>
  <c r="B30" i="25"/>
  <c r="G33" i="24"/>
  <c r="Z33" i="24" s="1"/>
  <c r="T33" i="25" s="1"/>
  <c r="C35" i="25"/>
  <c r="B35" i="25"/>
  <c r="A35" i="25"/>
  <c r="X40" i="24"/>
  <c r="O40" i="25" s="1"/>
  <c r="AC49" i="24"/>
  <c r="K49" i="25" s="1"/>
  <c r="C60" i="25"/>
  <c r="A60" i="25"/>
  <c r="B60" i="25"/>
  <c r="N60" i="24"/>
  <c r="M60" i="24"/>
  <c r="O60" i="24" s="1"/>
  <c r="C70" i="25"/>
  <c r="B70" i="25"/>
  <c r="A70" i="25"/>
  <c r="AC70" i="24"/>
  <c r="K70" i="25" s="1"/>
  <c r="AB70" i="24"/>
  <c r="J70" i="25" s="1"/>
  <c r="X70" i="24"/>
  <c r="O70" i="25" s="1"/>
  <c r="M70" i="24"/>
  <c r="O70" i="24" s="1"/>
  <c r="AC89" i="24"/>
  <c r="K89" i="25" s="1"/>
  <c r="C97" i="25"/>
  <c r="B97" i="25"/>
  <c r="A97" i="25"/>
  <c r="C116" i="25"/>
  <c r="B116" i="25"/>
  <c r="A116" i="25"/>
  <c r="AB116" i="24"/>
  <c r="J116" i="25" s="1"/>
  <c r="X116" i="24"/>
  <c r="O116" i="25" s="1"/>
  <c r="N116" i="24"/>
  <c r="M116" i="24"/>
  <c r="O116" i="24" s="1"/>
  <c r="A123" i="25"/>
  <c r="C123" i="25"/>
  <c r="B123" i="25"/>
  <c r="AB123" i="24"/>
  <c r="J123" i="25" s="1"/>
  <c r="X123" i="24"/>
  <c r="O123" i="25" s="1"/>
  <c r="N123" i="24"/>
  <c r="M123" i="24"/>
  <c r="M203" i="24"/>
  <c r="O203" i="24" s="1"/>
  <c r="G19" i="24"/>
  <c r="AA19" i="24" s="1"/>
  <c r="S19" i="25" s="1"/>
  <c r="C53" i="25"/>
  <c r="B53" i="25"/>
  <c r="A53" i="25"/>
  <c r="AB53" i="24"/>
  <c r="J53" i="25" s="1"/>
  <c r="M53" i="24"/>
  <c r="O53" i="24" s="1"/>
  <c r="N26" i="24"/>
  <c r="G105" i="24"/>
  <c r="AA105" i="24" s="1"/>
  <c r="S105" i="25" s="1"/>
  <c r="N108" i="24"/>
  <c r="C108" i="25"/>
  <c r="B108" i="25"/>
  <c r="A108" i="25"/>
  <c r="AB108" i="24"/>
  <c r="J108" i="25" s="1"/>
  <c r="X108" i="24"/>
  <c r="O108" i="25" s="1"/>
  <c r="M108" i="24"/>
  <c r="G108" i="24"/>
  <c r="C140" i="25"/>
  <c r="A140" i="25"/>
  <c r="B140" i="25"/>
  <c r="AC140" i="24"/>
  <c r="K140" i="25" s="1"/>
  <c r="AB140" i="24"/>
  <c r="J140" i="25" s="1"/>
  <c r="N140" i="24"/>
  <c r="M140" i="24"/>
  <c r="O140" i="24" s="1"/>
  <c r="C169" i="25"/>
  <c r="A169" i="25"/>
  <c r="B169" i="25"/>
  <c r="X19" i="24"/>
  <c r="O19" i="25" s="1"/>
  <c r="G38" i="24"/>
  <c r="Z38" i="24" s="1"/>
  <c r="T38" i="25" s="1"/>
  <c r="AB40" i="24"/>
  <c r="J40" i="25" s="1"/>
  <c r="N53" i="24"/>
  <c r="N8" i="24"/>
  <c r="AB10" i="24"/>
  <c r="J10" i="25" s="1"/>
  <c r="A17" i="25"/>
  <c r="C17" i="25"/>
  <c r="B17" i="25"/>
  <c r="AB19" i="24"/>
  <c r="J19" i="25" s="1"/>
  <c r="AB24" i="24"/>
  <c r="J24" i="25" s="1"/>
  <c r="AC26" i="24"/>
  <c r="K26" i="25" s="1"/>
  <c r="N33" i="24"/>
  <c r="AC40" i="24"/>
  <c r="K40" i="25" s="1"/>
  <c r="C47" i="25"/>
  <c r="B47" i="25"/>
  <c r="A47" i="25"/>
  <c r="M47" i="24"/>
  <c r="C50" i="25"/>
  <c r="B50" i="25"/>
  <c r="A50" i="25"/>
  <c r="X53" i="24"/>
  <c r="O53" i="25" s="1"/>
  <c r="X86" i="24"/>
  <c r="O86" i="25" s="1"/>
  <c r="C86" i="25"/>
  <c r="B86" i="25"/>
  <c r="A86" i="25"/>
  <c r="X90" i="24"/>
  <c r="O90" i="25" s="1"/>
  <c r="C90" i="25"/>
  <c r="B90" i="25"/>
  <c r="A90" i="25"/>
  <c r="M105" i="24"/>
  <c r="O105" i="24" s="1"/>
  <c r="AC108" i="24"/>
  <c r="K108" i="25" s="1"/>
  <c r="G123" i="24"/>
  <c r="M19" i="24"/>
  <c r="O19" i="24" s="1"/>
  <c r="C38" i="25"/>
  <c r="B38" i="25"/>
  <c r="A38" i="25"/>
  <c r="C154" i="25"/>
  <c r="B154" i="25"/>
  <c r="A154" i="25"/>
  <c r="X10" i="24"/>
  <c r="O10" i="25" s="1"/>
  <c r="N105" i="24"/>
  <c r="C162" i="25"/>
  <c r="B162" i="25"/>
  <c r="A162" i="25"/>
  <c r="X162" i="24"/>
  <c r="O162" i="25" s="1"/>
  <c r="M3" i="24"/>
  <c r="O3" i="24" s="1"/>
  <c r="N3" i="25" s="1"/>
  <c r="X6" i="24"/>
  <c r="O6" i="25" s="1"/>
  <c r="C6" i="25"/>
  <c r="AB8" i="24"/>
  <c r="J8" i="25" s="1"/>
  <c r="X14" i="24"/>
  <c r="O14" i="25" s="1"/>
  <c r="AC17" i="24"/>
  <c r="K17" i="25" s="1"/>
  <c r="N22" i="24"/>
  <c r="C22" i="25"/>
  <c r="B22" i="25"/>
  <c r="A22" i="25"/>
  <c r="C27" i="25"/>
  <c r="B27" i="25"/>
  <c r="A27" i="25"/>
  <c r="AB33" i="24"/>
  <c r="J33" i="25" s="1"/>
  <c r="X38" i="24"/>
  <c r="O38" i="25" s="1"/>
  <c r="A41" i="25"/>
  <c r="B41" i="25"/>
  <c r="C41" i="25"/>
  <c r="N44" i="24"/>
  <c r="N47" i="24"/>
  <c r="C54" i="25"/>
  <c r="B54" i="25"/>
  <c r="A54" i="25"/>
  <c r="C61" i="25"/>
  <c r="B61" i="25"/>
  <c r="A61" i="25"/>
  <c r="A67" i="25"/>
  <c r="C67" i="25"/>
  <c r="B67" i="25"/>
  <c r="C71" i="25"/>
  <c r="B71" i="25"/>
  <c r="A71" i="25"/>
  <c r="M71" i="24"/>
  <c r="A75" i="25"/>
  <c r="B75" i="25"/>
  <c r="C75" i="25"/>
  <c r="G86" i="24"/>
  <c r="M90" i="24"/>
  <c r="A102" i="25"/>
  <c r="C102" i="25"/>
  <c r="B102" i="25"/>
  <c r="X105" i="24"/>
  <c r="O105" i="25" s="1"/>
  <c r="C121" i="25"/>
  <c r="B121" i="25"/>
  <c r="A121" i="25"/>
  <c r="AC121" i="24"/>
  <c r="K121" i="25" s="1"/>
  <c r="X121" i="24"/>
  <c r="O121" i="25" s="1"/>
  <c r="N121" i="24"/>
  <c r="C124" i="25"/>
  <c r="B124" i="25"/>
  <c r="A124" i="25"/>
  <c r="G24" i="24"/>
  <c r="AA24" i="24" s="1"/>
  <c r="S24" i="25" s="1"/>
  <c r="M8" i="24"/>
  <c r="X24" i="24"/>
  <c r="O24" i="25" s="1"/>
  <c r="C63" i="25"/>
  <c r="B63" i="25"/>
  <c r="A63" i="25"/>
  <c r="N3" i="24"/>
  <c r="X20" i="24"/>
  <c r="O20" i="25" s="1"/>
  <c r="C20" i="25"/>
  <c r="B20" i="25"/>
  <c r="A20" i="25"/>
  <c r="A25" i="25"/>
  <c r="C25" i="25"/>
  <c r="B25" i="25"/>
  <c r="C31" i="25"/>
  <c r="B31" i="25"/>
  <c r="A31" i="25"/>
  <c r="AC33" i="24"/>
  <c r="K33" i="25" s="1"/>
  <c r="G36" i="24"/>
  <c r="C36" i="25"/>
  <c r="B36" i="25"/>
  <c r="A36" i="25"/>
  <c r="AB38" i="24"/>
  <c r="J38" i="25" s="1"/>
  <c r="X44" i="24"/>
  <c r="O44" i="25" s="1"/>
  <c r="AC47" i="24"/>
  <c r="K47" i="25" s="1"/>
  <c r="AC86" i="24"/>
  <c r="K86" i="25" s="1"/>
  <c r="N90" i="24"/>
  <c r="X118" i="24"/>
  <c r="O118" i="25" s="1"/>
  <c r="A118" i="25"/>
  <c r="B118" i="25"/>
  <c r="C118" i="25"/>
  <c r="M154" i="24"/>
  <c r="C176" i="25"/>
  <c r="B176" i="25"/>
  <c r="A176" i="25"/>
  <c r="AC176" i="24"/>
  <c r="K176" i="25" s="1"/>
  <c r="AB176" i="24"/>
  <c r="J176" i="25" s="1"/>
  <c r="X176" i="24"/>
  <c r="O176" i="25" s="1"/>
  <c r="N176" i="24"/>
  <c r="M176" i="24"/>
  <c r="G176" i="24"/>
  <c r="B181" i="25"/>
  <c r="A181" i="25"/>
  <c r="C181" i="25"/>
  <c r="AC181" i="24"/>
  <c r="K181" i="25" s="1"/>
  <c r="AB181" i="24"/>
  <c r="J181" i="25" s="1"/>
  <c r="X181" i="24"/>
  <c r="O181" i="25" s="1"/>
  <c r="N181" i="24"/>
  <c r="M181" i="24"/>
  <c r="O181" i="24" s="1"/>
  <c r="G181" i="24"/>
  <c r="Z181" i="24" s="1"/>
  <c r="T181" i="25" s="1"/>
  <c r="A14" i="25"/>
  <c r="M24" i="24"/>
  <c r="N40" i="24"/>
  <c r="M33" i="24"/>
  <c r="O33" i="24" s="1"/>
  <c r="N38" i="24"/>
  <c r="M44" i="24"/>
  <c r="O44" i="24" s="1"/>
  <c r="C18" i="25"/>
  <c r="A18" i="25"/>
  <c r="B18" i="25"/>
  <c r="AC38" i="24"/>
  <c r="K38" i="25" s="1"/>
  <c r="C58" i="25"/>
  <c r="B58" i="25"/>
  <c r="A58" i="25"/>
  <c r="C64" i="25"/>
  <c r="B64" i="25"/>
  <c r="A64" i="25"/>
  <c r="C146" i="25"/>
  <c r="B146" i="25"/>
  <c r="A146" i="25"/>
  <c r="N154" i="24"/>
  <c r="A195" i="25"/>
  <c r="C195" i="25"/>
  <c r="B195" i="25"/>
  <c r="A11" i="25"/>
  <c r="AB21" i="24"/>
  <c r="J21" i="25" s="1"/>
  <c r="C21" i="25"/>
  <c r="B21" i="25"/>
  <c r="A21" i="25"/>
  <c r="C8" i="25"/>
  <c r="B8" i="25"/>
  <c r="A8" i="25"/>
  <c r="M21" i="24"/>
  <c r="C46" i="25"/>
  <c r="B46" i="25"/>
  <c r="A46" i="25"/>
  <c r="AB26" i="24"/>
  <c r="J26" i="25" s="1"/>
  <c r="C44" i="25"/>
  <c r="B44" i="25"/>
  <c r="A44" i="25"/>
  <c r="AC44" i="24"/>
  <c r="K44" i="25" s="1"/>
  <c r="X8" i="24"/>
  <c r="O8" i="25" s="1"/>
  <c r="X3" i="24"/>
  <c r="O3" i="25" s="1"/>
  <c r="M15" i="24"/>
  <c r="C15" i="25"/>
  <c r="B15" i="25"/>
  <c r="A15" i="25"/>
  <c r="C12" i="25"/>
  <c r="B12" i="25"/>
  <c r="A12" i="25"/>
  <c r="M20" i="24"/>
  <c r="O20" i="24" s="1"/>
  <c r="G25" i="24"/>
  <c r="G31" i="24"/>
  <c r="AA31" i="24" s="1"/>
  <c r="S31" i="25" s="1"/>
  <c r="C34" i="25"/>
  <c r="B34" i="25"/>
  <c r="A34" i="25"/>
  <c r="C55" i="25"/>
  <c r="B55" i="25"/>
  <c r="A55" i="25"/>
  <c r="C72" i="25"/>
  <c r="B72" i="25"/>
  <c r="A72" i="25"/>
  <c r="C87" i="25"/>
  <c r="B87" i="25"/>
  <c r="A87" i="25"/>
  <c r="C103" i="25"/>
  <c r="B103" i="25"/>
  <c r="A103" i="25"/>
  <c r="M118" i="24"/>
  <c r="O118" i="24" s="1"/>
  <c r="C172" i="25"/>
  <c r="B172" i="25"/>
  <c r="A172" i="25"/>
  <c r="AC172" i="24"/>
  <c r="K172" i="25" s="1"/>
  <c r="AB172" i="24"/>
  <c r="J172" i="25" s="1"/>
  <c r="A187" i="25"/>
  <c r="C187" i="25"/>
  <c r="B187" i="25"/>
  <c r="AC187" i="24"/>
  <c r="K187" i="25" s="1"/>
  <c r="AB187" i="24"/>
  <c r="J187" i="25" s="1"/>
  <c r="X187" i="24"/>
  <c r="O187" i="25" s="1"/>
  <c r="M187" i="24"/>
  <c r="O187" i="24" s="1"/>
  <c r="B11" i="25"/>
  <c r="G21" i="24"/>
  <c r="Z21" i="24" s="1"/>
  <c r="T21" i="25" s="1"/>
  <c r="A131" i="25"/>
  <c r="C131" i="25"/>
  <c r="B131" i="25"/>
  <c r="C3" i="25"/>
  <c r="B3" i="25"/>
  <c r="A3" i="25"/>
  <c r="X21" i="24"/>
  <c r="O21" i="25" s="1"/>
  <c r="G3" i="24"/>
  <c r="AA3" i="24" s="1"/>
  <c r="S3" i="25" s="1"/>
  <c r="AC24" i="24"/>
  <c r="K24" i="25" s="1"/>
  <c r="AC3" i="24"/>
  <c r="K3" i="25" s="1"/>
  <c r="AB6" i="24"/>
  <c r="J6" i="25" s="1"/>
  <c r="AB15" i="24"/>
  <c r="J15" i="25" s="1"/>
  <c r="G18" i="24"/>
  <c r="AA18" i="24" s="1"/>
  <c r="S18" i="25" s="1"/>
  <c r="N20" i="24"/>
  <c r="C23" i="25"/>
  <c r="B23" i="25"/>
  <c r="A23" i="25"/>
  <c r="AB25" i="24"/>
  <c r="J25" i="25" s="1"/>
  <c r="AB27" i="24"/>
  <c r="J27" i="25" s="1"/>
  <c r="M31" i="24"/>
  <c r="C37" i="25"/>
  <c r="A37" i="25"/>
  <c r="B37" i="25"/>
  <c r="C39" i="25"/>
  <c r="B39" i="25"/>
  <c r="A39" i="25"/>
  <c r="X41" i="24"/>
  <c r="O41" i="25" s="1"/>
  <c r="C45" i="25"/>
  <c r="A45" i="25"/>
  <c r="G45" i="24"/>
  <c r="AA45" i="24" s="1"/>
  <c r="S45" i="25" s="1"/>
  <c r="B45" i="25"/>
  <c r="G58" i="24"/>
  <c r="AA58" i="24" s="1"/>
  <c r="S58" i="25" s="1"/>
  <c r="N61" i="24"/>
  <c r="X64" i="24"/>
  <c r="O64" i="25" s="1"/>
  <c r="AB75" i="24"/>
  <c r="J75" i="25" s="1"/>
  <c r="C100" i="25"/>
  <c r="B100" i="25"/>
  <c r="A100" i="25"/>
  <c r="AC100" i="24"/>
  <c r="K100" i="25" s="1"/>
  <c r="N110" i="24"/>
  <c r="A110" i="25"/>
  <c r="C110" i="25"/>
  <c r="B110" i="25"/>
  <c r="C114" i="25"/>
  <c r="B114" i="25"/>
  <c r="A114" i="25"/>
  <c r="N118" i="24"/>
  <c r="N206" i="24"/>
  <c r="C206" i="25"/>
  <c r="B206" i="25"/>
  <c r="A206" i="25"/>
  <c r="X103" i="24"/>
  <c r="O103" i="25" s="1"/>
  <c r="AB118" i="24"/>
  <c r="J118" i="25" s="1"/>
  <c r="C147" i="25"/>
  <c r="B147" i="25"/>
  <c r="A147" i="25"/>
  <c r="AC147" i="24"/>
  <c r="K147" i="25" s="1"/>
  <c r="N147" i="24"/>
  <c r="M147" i="24"/>
  <c r="G147" i="24"/>
  <c r="AA147" i="24" s="1"/>
  <c r="S147" i="25" s="1"/>
  <c r="C167" i="25"/>
  <c r="B167" i="25"/>
  <c r="A167" i="25"/>
  <c r="AC167" i="24"/>
  <c r="K167" i="25" s="1"/>
  <c r="AB167" i="24"/>
  <c r="J167" i="25" s="1"/>
  <c r="X167" i="24"/>
  <c r="O167" i="25" s="1"/>
  <c r="N167" i="24"/>
  <c r="M167" i="24"/>
  <c r="O167" i="24" s="1"/>
  <c r="G167" i="24"/>
  <c r="Z167" i="24" s="1"/>
  <c r="T167" i="25" s="1"/>
  <c r="M172" i="24"/>
  <c r="O172" i="24" s="1"/>
  <c r="G187" i="24"/>
  <c r="AA187" i="24" s="1"/>
  <c r="S187" i="25" s="1"/>
  <c r="A6" i="25"/>
  <c r="C19" i="25"/>
  <c r="B19" i="25"/>
  <c r="A19" i="25"/>
  <c r="A143" i="25"/>
  <c r="C143" i="25"/>
  <c r="B143" i="25"/>
  <c r="M143" i="24"/>
  <c r="C29" i="25"/>
  <c r="A29" i="25"/>
  <c r="B29" i="25"/>
  <c r="A33" i="25"/>
  <c r="B33" i="25"/>
  <c r="C33" i="25"/>
  <c r="C107" i="25"/>
  <c r="B107" i="25"/>
  <c r="A107" i="25"/>
  <c r="X189" i="24"/>
  <c r="O189" i="25" s="1"/>
  <c r="B189" i="25"/>
  <c r="A189" i="25"/>
  <c r="C189" i="25"/>
  <c r="A4" i="25"/>
  <c r="B4" i="25"/>
  <c r="X9" i="24"/>
  <c r="O9" i="25" s="1"/>
  <c r="C13" i="25"/>
  <c r="A13" i="25"/>
  <c r="AC16" i="24"/>
  <c r="K16" i="25" s="1"/>
  <c r="C16" i="25"/>
  <c r="B16" i="25"/>
  <c r="A16" i="25"/>
  <c r="X18" i="24"/>
  <c r="O18" i="25" s="1"/>
  <c r="AC20" i="24"/>
  <c r="K20" i="25" s="1"/>
  <c r="C28" i="25"/>
  <c r="B28" i="25"/>
  <c r="A28" i="25"/>
  <c r="M34" i="24"/>
  <c r="O34" i="24" s="1"/>
  <c r="N55" i="24"/>
  <c r="N58" i="24"/>
  <c r="AC69" i="24"/>
  <c r="K69" i="25" s="1"/>
  <c r="C69" i="25"/>
  <c r="B69" i="25"/>
  <c r="A69" i="25"/>
  <c r="G69" i="24"/>
  <c r="Z69" i="24" s="1"/>
  <c r="T69" i="25" s="1"/>
  <c r="X72" i="24"/>
  <c r="O72" i="25" s="1"/>
  <c r="AC118" i="24"/>
  <c r="K118" i="25" s="1"/>
  <c r="C126" i="25"/>
  <c r="B126" i="25"/>
  <c r="A126" i="25"/>
  <c r="X126" i="24"/>
  <c r="O126" i="25" s="1"/>
  <c r="M126" i="24"/>
  <c r="X134" i="24"/>
  <c r="O134" i="25" s="1"/>
  <c r="C134" i="25"/>
  <c r="B134" i="25"/>
  <c r="A134" i="25"/>
  <c r="AC134" i="24"/>
  <c r="K134" i="25" s="1"/>
  <c r="AB134" i="24"/>
  <c r="J134" i="25" s="1"/>
  <c r="N134" i="24"/>
  <c r="C160" i="25"/>
  <c r="B160" i="25"/>
  <c r="A160" i="25"/>
  <c r="AC160" i="24"/>
  <c r="K160" i="25" s="1"/>
  <c r="AB160" i="24"/>
  <c r="J160" i="25" s="1"/>
  <c r="X160" i="24"/>
  <c r="O160" i="25" s="1"/>
  <c r="N160" i="24"/>
  <c r="M160" i="24"/>
  <c r="O160" i="24" s="1"/>
  <c r="G160" i="24"/>
  <c r="B201" i="25"/>
  <c r="A201" i="25"/>
  <c r="C201" i="25"/>
  <c r="AC201" i="24"/>
  <c r="K201" i="25" s="1"/>
  <c r="X201" i="24"/>
  <c r="O201" i="25" s="1"/>
  <c r="G201" i="24"/>
  <c r="Z201" i="24" s="1"/>
  <c r="T201" i="25" s="1"/>
  <c r="B6" i="25"/>
  <c r="A9" i="25"/>
  <c r="A24" i="25"/>
  <c r="A30" i="25"/>
  <c r="AB175" i="24"/>
  <c r="J175" i="25" s="1"/>
  <c r="C175" i="25"/>
  <c r="B175" i="25"/>
  <c r="A175" i="25"/>
  <c r="B180" i="25"/>
  <c r="A180" i="25"/>
  <c r="C180" i="25"/>
  <c r="C192" i="25"/>
  <c r="B192" i="25"/>
  <c r="A192" i="25"/>
  <c r="B205" i="25"/>
  <c r="A205" i="25"/>
  <c r="C205" i="25"/>
  <c r="B132" i="25"/>
  <c r="A132" i="25"/>
  <c r="C132" i="25"/>
  <c r="B158" i="25"/>
  <c r="A158" i="25"/>
  <c r="C158" i="25"/>
  <c r="C190" i="25"/>
  <c r="B190" i="25"/>
  <c r="A190" i="25"/>
  <c r="X192" i="24"/>
  <c r="O192" i="25" s="1"/>
  <c r="C198" i="25"/>
  <c r="B198" i="25"/>
  <c r="A198" i="25"/>
  <c r="B77" i="25"/>
  <c r="B88" i="25"/>
  <c r="C56" i="25"/>
  <c r="B56" i="25"/>
  <c r="A56" i="25"/>
  <c r="M62" i="24"/>
  <c r="O62" i="24" s="1"/>
  <c r="C62" i="25"/>
  <c r="B62" i="25"/>
  <c r="A62" i="25"/>
  <c r="M65" i="24"/>
  <c r="O65" i="24" s="1"/>
  <c r="C65" i="25"/>
  <c r="B65" i="25"/>
  <c r="A65" i="25"/>
  <c r="C73" i="25"/>
  <c r="B73" i="25"/>
  <c r="A73" i="25"/>
  <c r="C78" i="25"/>
  <c r="B78" i="25"/>
  <c r="A78" i="25"/>
  <c r="N80" i="24"/>
  <c r="C80" i="25"/>
  <c r="B80" i="25"/>
  <c r="A80" i="25"/>
  <c r="AC85" i="24"/>
  <c r="K85" i="25" s="1"/>
  <c r="C85" i="25"/>
  <c r="B85" i="25"/>
  <c r="A85" i="25"/>
  <c r="A94" i="25"/>
  <c r="C94" i="25"/>
  <c r="B94" i="25"/>
  <c r="AB150" i="24"/>
  <c r="J150" i="25" s="1"/>
  <c r="C150" i="25"/>
  <c r="B150" i="25"/>
  <c r="A150" i="25"/>
  <c r="C155" i="25"/>
  <c r="B155" i="25"/>
  <c r="A155" i="25"/>
  <c r="C165" i="25"/>
  <c r="B165" i="25"/>
  <c r="A165" i="25"/>
  <c r="AB192" i="24"/>
  <c r="J192" i="25" s="1"/>
  <c r="A51" i="25"/>
  <c r="C88" i="25"/>
  <c r="C68" i="25"/>
  <c r="A68" i="25"/>
  <c r="B68" i="25"/>
  <c r="C76" i="25"/>
  <c r="A76" i="25"/>
  <c r="B76" i="25"/>
  <c r="A83" i="25"/>
  <c r="B83" i="25"/>
  <c r="C83" i="25"/>
  <c r="A91" i="25"/>
  <c r="B91" i="25"/>
  <c r="C91" i="25"/>
  <c r="C98" i="25"/>
  <c r="B98" i="25"/>
  <c r="A98" i="25"/>
  <c r="B104" i="25"/>
  <c r="A104" i="25"/>
  <c r="C104" i="25"/>
  <c r="C113" i="25"/>
  <c r="B113" i="25"/>
  <c r="A113" i="25"/>
  <c r="C119" i="25"/>
  <c r="B119" i="25"/>
  <c r="A119" i="25"/>
  <c r="C129" i="25"/>
  <c r="B129" i="25"/>
  <c r="A129" i="25"/>
  <c r="X132" i="24"/>
  <c r="O132" i="25" s="1"/>
  <c r="C144" i="25"/>
  <c r="B144" i="25"/>
  <c r="A144" i="25"/>
  <c r="N158" i="24"/>
  <c r="C163" i="25"/>
  <c r="B163" i="25"/>
  <c r="A163" i="25"/>
  <c r="AB170" i="24"/>
  <c r="J170" i="25" s="1"/>
  <c r="A170" i="25"/>
  <c r="C170" i="25"/>
  <c r="B170" i="25"/>
  <c r="AC190" i="24"/>
  <c r="K190" i="25" s="1"/>
  <c r="AC192" i="24"/>
  <c r="K192" i="25" s="1"/>
  <c r="B196" i="25"/>
  <c r="A196" i="25"/>
  <c r="C196" i="25"/>
  <c r="G198" i="24"/>
  <c r="B51" i="25"/>
  <c r="AC101" i="24"/>
  <c r="K101" i="25" s="1"/>
  <c r="C101" i="25"/>
  <c r="B101" i="25"/>
  <c r="A101" i="25"/>
  <c r="C138" i="25"/>
  <c r="B138" i="25"/>
  <c r="A138" i="25"/>
  <c r="A153" i="25"/>
  <c r="C153" i="25"/>
  <c r="B153" i="25"/>
  <c r="AB158" i="24"/>
  <c r="J158" i="25" s="1"/>
  <c r="C173" i="25"/>
  <c r="A173" i="25"/>
  <c r="B173" i="25"/>
  <c r="C184" i="25"/>
  <c r="B184" i="25"/>
  <c r="A184" i="25"/>
  <c r="N198" i="24"/>
  <c r="N62" i="24"/>
  <c r="AB65" i="24"/>
  <c r="J65" i="25" s="1"/>
  <c r="AC68" i="24"/>
  <c r="K68" i="25" s="1"/>
  <c r="N73" i="24"/>
  <c r="M76" i="24"/>
  <c r="M78" i="24"/>
  <c r="O78" i="24" s="1"/>
  <c r="AB80" i="24"/>
  <c r="J80" i="25" s="1"/>
  <c r="G83" i="24"/>
  <c r="M85" i="24"/>
  <c r="O85" i="24" s="1"/>
  <c r="X95" i="24"/>
  <c r="O95" i="25" s="1"/>
  <c r="C95" i="25"/>
  <c r="A95" i="25"/>
  <c r="B95" i="25"/>
  <c r="G98" i="24"/>
  <c r="Z98" i="24" s="1"/>
  <c r="T98" i="25" s="1"/>
  <c r="G104" i="24"/>
  <c r="AA104" i="24" s="1"/>
  <c r="S104" i="25" s="1"/>
  <c r="C106" i="25"/>
  <c r="B106" i="25"/>
  <c r="A106" i="25"/>
  <c r="N113" i="24"/>
  <c r="G119" i="24"/>
  <c r="AA119" i="24" s="1"/>
  <c r="S119" i="25" s="1"/>
  <c r="C127" i="25"/>
  <c r="B127" i="25"/>
  <c r="A127" i="25"/>
  <c r="M129" i="24"/>
  <c r="O129" i="24" s="1"/>
  <c r="C133" i="25"/>
  <c r="B133" i="25"/>
  <c r="A133" i="25"/>
  <c r="B135" i="25"/>
  <c r="A135" i="25"/>
  <c r="C135" i="25"/>
  <c r="M150" i="24"/>
  <c r="AC158" i="24"/>
  <c r="K158" i="25" s="1"/>
  <c r="M163" i="24"/>
  <c r="O163" i="24" s="1"/>
  <c r="M165" i="24"/>
  <c r="O165" i="24" s="1"/>
  <c r="AC170" i="24"/>
  <c r="K170" i="25" s="1"/>
  <c r="A191" i="25"/>
  <c r="B191" i="25"/>
  <c r="C191" i="25"/>
  <c r="AB193" i="24"/>
  <c r="J193" i="25" s="1"/>
  <c r="C193" i="25"/>
  <c r="A193" i="25"/>
  <c r="B193" i="25"/>
  <c r="X196" i="24"/>
  <c r="O196" i="25" s="1"/>
  <c r="AB198" i="24"/>
  <c r="J198" i="25" s="1"/>
  <c r="C204" i="25"/>
  <c r="B204" i="25"/>
  <c r="A204" i="25"/>
  <c r="C48" i="25"/>
  <c r="B48" i="25"/>
  <c r="C57" i="25"/>
  <c r="B57" i="25"/>
  <c r="A57" i="25"/>
  <c r="X62" i="24"/>
  <c r="O62" i="25" s="1"/>
  <c r="AC65" i="24"/>
  <c r="K65" i="25" s="1"/>
  <c r="AB73" i="24"/>
  <c r="J73" i="25" s="1"/>
  <c r="N76" i="24"/>
  <c r="AB78" i="24"/>
  <c r="J78" i="25" s="1"/>
  <c r="AC80" i="24"/>
  <c r="K80" i="25" s="1"/>
  <c r="N83" i="24"/>
  <c r="N85" i="24"/>
  <c r="C92" i="25"/>
  <c r="B92" i="25"/>
  <c r="A92" i="25"/>
  <c r="AC98" i="24"/>
  <c r="K98" i="25" s="1"/>
  <c r="G101" i="24"/>
  <c r="AA101" i="24" s="1"/>
  <c r="S101" i="25" s="1"/>
  <c r="M104" i="24"/>
  <c r="N119" i="24"/>
  <c r="C122" i="25"/>
  <c r="B122" i="25"/>
  <c r="A122" i="25"/>
  <c r="N129" i="24"/>
  <c r="M138" i="24"/>
  <c r="A141" i="25"/>
  <c r="B141" i="25"/>
  <c r="C141" i="25"/>
  <c r="A145" i="25"/>
  <c r="C145" i="25"/>
  <c r="B145" i="25"/>
  <c r="N150" i="24"/>
  <c r="G153" i="24"/>
  <c r="AA153" i="24" s="1"/>
  <c r="S153" i="25" s="1"/>
  <c r="C156" i="25"/>
  <c r="B156" i="25"/>
  <c r="A156" i="25"/>
  <c r="AB163" i="24"/>
  <c r="J163" i="25" s="1"/>
  <c r="N165" i="24"/>
  <c r="M173" i="24"/>
  <c r="C188" i="25"/>
  <c r="B188" i="25"/>
  <c r="A188" i="25"/>
  <c r="AB196" i="24"/>
  <c r="J196" i="25" s="1"/>
  <c r="AC198" i="24"/>
  <c r="K198" i="25" s="1"/>
  <c r="B202" i="25"/>
  <c r="A202" i="25"/>
  <c r="C202" i="25"/>
  <c r="M159" i="24"/>
  <c r="O159" i="24" s="1"/>
  <c r="C159" i="25"/>
  <c r="B159" i="25"/>
  <c r="A159" i="25"/>
  <c r="A171" i="25"/>
  <c r="C171" i="25"/>
  <c r="B171" i="25"/>
  <c r="X185" i="24"/>
  <c r="O185" i="25" s="1"/>
  <c r="C185" i="25"/>
  <c r="B185" i="25"/>
  <c r="A185" i="25"/>
  <c r="C66" i="25"/>
  <c r="A66" i="25"/>
  <c r="B66" i="25"/>
  <c r="C81" i="25"/>
  <c r="B81" i="25"/>
  <c r="A81" i="25"/>
  <c r="X99" i="24"/>
  <c r="O99" i="25" s="1"/>
  <c r="A99" i="25"/>
  <c r="B99" i="25"/>
  <c r="C99" i="25"/>
  <c r="N101" i="24"/>
  <c r="X104" i="24"/>
  <c r="O104" i="25" s="1"/>
  <c r="G122" i="24"/>
  <c r="AA122" i="24" s="1"/>
  <c r="S122" i="25" s="1"/>
  <c r="AB127" i="24"/>
  <c r="J127" i="25" s="1"/>
  <c r="AC129" i="24"/>
  <c r="K129" i="25" s="1"/>
  <c r="M133" i="24"/>
  <c r="O133" i="24" s="1"/>
  <c r="B136" i="25"/>
  <c r="A136" i="25"/>
  <c r="C136" i="25"/>
  <c r="N141" i="24"/>
  <c r="G145" i="24"/>
  <c r="AT145" i="24" s="1"/>
  <c r="AU145" i="24" s="1"/>
  <c r="AC150" i="24"/>
  <c r="K150" i="25" s="1"/>
  <c r="N153" i="24"/>
  <c r="N161" i="24"/>
  <c r="C161" i="25"/>
  <c r="A161" i="25"/>
  <c r="B161" i="25"/>
  <c r="AB165" i="24"/>
  <c r="J165" i="25" s="1"/>
  <c r="A179" i="25"/>
  <c r="B179" i="25"/>
  <c r="C179" i="25"/>
  <c r="C182" i="25"/>
  <c r="B182" i="25"/>
  <c r="A182" i="25"/>
  <c r="M188" i="24"/>
  <c r="O188" i="24" s="1"/>
  <c r="N191" i="24"/>
  <c r="AB194" i="24"/>
  <c r="J194" i="25" s="1"/>
  <c r="C194" i="25"/>
  <c r="A194" i="25"/>
  <c r="B194" i="25"/>
  <c r="B197" i="25"/>
  <c r="A197" i="25"/>
  <c r="C197" i="25"/>
  <c r="C199" i="25"/>
  <c r="B199" i="25"/>
  <c r="A199" i="25"/>
  <c r="G202" i="24"/>
  <c r="Z202" i="24" s="1"/>
  <c r="T202" i="25" s="1"/>
  <c r="N204" i="24"/>
  <c r="AC74" i="24"/>
  <c r="K74" i="25" s="1"/>
  <c r="C74" i="25"/>
  <c r="B74" i="25"/>
  <c r="A74" i="25"/>
  <c r="C79" i="25"/>
  <c r="B79" i="25"/>
  <c r="A79" i="25"/>
  <c r="C84" i="25"/>
  <c r="A84" i="25"/>
  <c r="B84" i="25"/>
  <c r="C93" i="25"/>
  <c r="B93" i="25"/>
  <c r="A93" i="25"/>
  <c r="X101" i="24"/>
  <c r="O101" i="25" s="1"/>
  <c r="AB104" i="24"/>
  <c r="J104" i="25" s="1"/>
  <c r="C109" i="25"/>
  <c r="B109" i="25"/>
  <c r="A109" i="25"/>
  <c r="C117" i="25"/>
  <c r="B117" i="25"/>
  <c r="A117" i="25"/>
  <c r="C120" i="25"/>
  <c r="A120" i="25"/>
  <c r="N133" i="24"/>
  <c r="AC139" i="24"/>
  <c r="K139" i="25" s="1"/>
  <c r="C139" i="25"/>
  <c r="A139" i="25"/>
  <c r="B139" i="25"/>
  <c r="X141" i="24"/>
  <c r="O141" i="25" s="1"/>
  <c r="M145" i="24"/>
  <c r="O145" i="24" s="1"/>
  <c r="X153" i="24"/>
  <c r="O153" i="25" s="1"/>
  <c r="C157" i="25"/>
  <c r="B157" i="25"/>
  <c r="A157" i="25"/>
  <c r="G159" i="24"/>
  <c r="C164" i="25"/>
  <c r="A164" i="25"/>
  <c r="B164" i="25"/>
  <c r="AC165" i="24"/>
  <c r="K165" i="25" s="1"/>
  <c r="C168" i="25"/>
  <c r="B168" i="25"/>
  <c r="A168" i="25"/>
  <c r="G171" i="24"/>
  <c r="B174" i="25"/>
  <c r="A174" i="25"/>
  <c r="C174" i="25"/>
  <c r="C177" i="25"/>
  <c r="B177" i="25"/>
  <c r="A177" i="25"/>
  <c r="G185" i="24"/>
  <c r="AT185" i="24" s="1"/>
  <c r="AU185" i="24" s="1"/>
  <c r="N188" i="24"/>
  <c r="X191" i="24"/>
  <c r="O191" i="25" s="1"/>
  <c r="N202" i="24"/>
  <c r="AB204" i="24"/>
  <c r="J204" i="25" s="1"/>
  <c r="B120" i="25"/>
  <c r="C112" i="25"/>
  <c r="B112" i="25"/>
  <c r="A112" i="25"/>
  <c r="N115" i="24"/>
  <c r="C115" i="25"/>
  <c r="B115" i="25"/>
  <c r="A115" i="25"/>
  <c r="C125" i="25"/>
  <c r="B125" i="25"/>
  <c r="A125" i="25"/>
  <c r="C128" i="25"/>
  <c r="B128" i="25"/>
  <c r="A130" i="25"/>
  <c r="B130" i="25"/>
  <c r="C130" i="25"/>
  <c r="B151" i="25"/>
  <c r="A151" i="25"/>
  <c r="C151" i="25"/>
  <c r="AB153" i="24"/>
  <c r="J153" i="25" s="1"/>
  <c r="N159" i="24"/>
  <c r="AB171" i="24"/>
  <c r="J171" i="25" s="1"/>
  <c r="AB188" i="24"/>
  <c r="J188" i="25" s="1"/>
  <c r="AC191" i="24"/>
  <c r="K191" i="25" s="1"/>
  <c r="X202" i="24"/>
  <c r="O202" i="25" s="1"/>
  <c r="AC204" i="24"/>
  <c r="K204" i="25" s="1"/>
  <c r="A48" i="25"/>
  <c r="B137" i="25"/>
  <c r="A137" i="25"/>
  <c r="C137" i="25"/>
  <c r="C142" i="25"/>
  <c r="B142" i="25"/>
  <c r="A142" i="25"/>
  <c r="C149" i="25"/>
  <c r="B149" i="25"/>
  <c r="A149" i="25"/>
  <c r="X159" i="24"/>
  <c r="O159" i="25" s="1"/>
  <c r="B166" i="25"/>
  <c r="A166" i="25"/>
  <c r="C166" i="25"/>
  <c r="AC171" i="24"/>
  <c r="K171" i="25" s="1"/>
  <c r="C186" i="25"/>
  <c r="B186" i="25"/>
  <c r="A186" i="25"/>
  <c r="C200" i="25"/>
  <c r="B200" i="25"/>
  <c r="A200" i="25"/>
  <c r="AB202" i="24"/>
  <c r="J202" i="25" s="1"/>
  <c r="L17" i="24"/>
  <c r="P17" i="25" s="1"/>
  <c r="S17" i="24"/>
  <c r="Q17" i="25" s="1"/>
  <c r="R17" i="24"/>
  <c r="R17" i="25" s="1"/>
  <c r="S48" i="24"/>
  <c r="Q48" i="25" s="1"/>
  <c r="R48" i="24"/>
  <c r="R48" i="25" s="1"/>
  <c r="R66" i="24"/>
  <c r="R66" i="25" s="1"/>
  <c r="S66" i="24"/>
  <c r="Q66" i="25" s="1"/>
  <c r="V17" i="24"/>
  <c r="U17" i="25" s="1"/>
  <c r="S46" i="24"/>
  <c r="Q46" i="25" s="1"/>
  <c r="R46" i="24"/>
  <c r="R46" i="25" s="1"/>
  <c r="V30" i="24"/>
  <c r="U30" i="25" s="1"/>
  <c r="S24" i="24"/>
  <c r="Q24" i="25" s="1"/>
  <c r="R24" i="24"/>
  <c r="R24" i="25" s="1"/>
  <c r="S3" i="24"/>
  <c r="Q3" i="25" s="1"/>
  <c r="L3" i="24"/>
  <c r="P3" i="25" s="1"/>
  <c r="R3" i="24"/>
  <c r="R3" i="25" s="1"/>
  <c r="V19" i="24"/>
  <c r="U19" i="25" s="1"/>
  <c r="O45" i="24"/>
  <c r="N45" i="25" s="1"/>
  <c r="V14" i="24"/>
  <c r="U14" i="25" s="1"/>
  <c r="S23" i="24"/>
  <c r="Q23" i="25" s="1"/>
  <c r="R23" i="24"/>
  <c r="R23" i="25" s="1"/>
  <c r="S28" i="24"/>
  <c r="Q28" i="25" s="1"/>
  <c r="R28" i="24"/>
  <c r="R28" i="25" s="1"/>
  <c r="S33" i="24"/>
  <c r="Q33" i="25" s="1"/>
  <c r="L33" i="24"/>
  <c r="P33" i="25" s="1"/>
  <c r="R33" i="24"/>
  <c r="R33" i="25" s="1"/>
  <c r="S41" i="24"/>
  <c r="Q41" i="25" s="1"/>
  <c r="R41" i="24"/>
  <c r="R41" i="25" s="1"/>
  <c r="L41" i="24"/>
  <c r="P41" i="25" s="1"/>
  <c r="V44" i="24"/>
  <c r="U44" i="25" s="1"/>
  <c r="S20" i="24"/>
  <c r="Q20" i="25" s="1"/>
  <c r="R20" i="24"/>
  <c r="R20" i="25" s="1"/>
  <c r="L20" i="24"/>
  <c r="P20" i="25" s="1"/>
  <c r="S34" i="24"/>
  <c r="Q34" i="25" s="1"/>
  <c r="AA34" i="24"/>
  <c r="S34" i="25" s="1"/>
  <c r="R34" i="24"/>
  <c r="R34" i="25" s="1"/>
  <c r="L34" i="24"/>
  <c r="P34" i="25" s="1"/>
  <c r="V4" i="24"/>
  <c r="U4" i="25" s="1"/>
  <c r="S18" i="24"/>
  <c r="Q18" i="25" s="1"/>
  <c r="R18" i="24"/>
  <c r="R18" i="25" s="1"/>
  <c r="V6" i="24"/>
  <c r="U6" i="25" s="1"/>
  <c r="V34" i="24"/>
  <c r="U34" i="25" s="1"/>
  <c r="S19" i="24"/>
  <c r="Q19" i="25" s="1"/>
  <c r="L19" i="24"/>
  <c r="P19" i="25" s="1"/>
  <c r="R19" i="24"/>
  <c r="R19" i="25" s="1"/>
  <c r="V20" i="24"/>
  <c r="U20" i="25" s="1"/>
  <c r="V8" i="24"/>
  <c r="U8" i="25" s="1"/>
  <c r="R63" i="24"/>
  <c r="R63" i="25" s="1"/>
  <c r="S63" i="24"/>
  <c r="Q63" i="25" s="1"/>
  <c r="S43" i="24"/>
  <c r="Q43" i="25" s="1"/>
  <c r="R43" i="24"/>
  <c r="R43" i="25" s="1"/>
  <c r="O37" i="24"/>
  <c r="R5" i="24"/>
  <c r="R5" i="25" s="1"/>
  <c r="S5" i="24"/>
  <c r="Q5" i="25" s="1"/>
  <c r="O26" i="24"/>
  <c r="V3" i="24"/>
  <c r="U3" i="25" s="1"/>
  <c r="R13" i="24"/>
  <c r="R13" i="25" s="1"/>
  <c r="S13" i="24"/>
  <c r="Q13" i="25" s="1"/>
  <c r="S58" i="24"/>
  <c r="Q58" i="25" s="1"/>
  <c r="R58" i="24"/>
  <c r="R58" i="25" s="1"/>
  <c r="V70" i="24"/>
  <c r="U70" i="25" s="1"/>
  <c r="V33" i="24"/>
  <c r="U33" i="25" s="1"/>
  <c r="S61" i="24"/>
  <c r="Q61" i="25" s="1"/>
  <c r="R61" i="24"/>
  <c r="R61" i="25" s="1"/>
  <c r="L61" i="24"/>
  <c r="P61" i="25" s="1"/>
  <c r="V93" i="24"/>
  <c r="U93" i="25" s="1"/>
  <c r="S84" i="24"/>
  <c r="Q84" i="25" s="1"/>
  <c r="R84" i="24"/>
  <c r="R84" i="25" s="1"/>
  <c r="L84" i="24"/>
  <c r="P84" i="25" s="1"/>
  <c r="S89" i="24"/>
  <c r="Q89" i="25" s="1"/>
  <c r="R89" i="24"/>
  <c r="R89" i="25" s="1"/>
  <c r="L89" i="24"/>
  <c r="P89" i="25" s="1"/>
  <c r="S64" i="24"/>
  <c r="Q64" i="25" s="1"/>
  <c r="R64" i="24"/>
  <c r="R64" i="25" s="1"/>
  <c r="V61" i="24"/>
  <c r="U61" i="25" s="1"/>
  <c r="S45" i="24"/>
  <c r="Q45" i="25" s="1"/>
  <c r="L45" i="24"/>
  <c r="P45" i="25" s="1"/>
  <c r="R45" i="24"/>
  <c r="R45" i="25" s="1"/>
  <c r="O61" i="24"/>
  <c r="S77" i="24"/>
  <c r="Q77" i="25" s="1"/>
  <c r="R77" i="24"/>
  <c r="R77" i="25" s="1"/>
  <c r="L77" i="24"/>
  <c r="P77" i="25" s="1"/>
  <c r="V84" i="24"/>
  <c r="U84" i="25" s="1"/>
  <c r="S16" i="24"/>
  <c r="Q16" i="25" s="1"/>
  <c r="R16" i="24"/>
  <c r="R16" i="25" s="1"/>
  <c r="S38" i="24"/>
  <c r="Q38" i="25" s="1"/>
  <c r="R38" i="24"/>
  <c r="R38" i="25" s="1"/>
  <c r="S21" i="24"/>
  <c r="Q21" i="25" s="1"/>
  <c r="R21" i="24"/>
  <c r="R21" i="25" s="1"/>
  <c r="L21" i="24"/>
  <c r="P21" i="25" s="1"/>
  <c r="S31" i="24"/>
  <c r="Q31" i="25" s="1"/>
  <c r="R31" i="24"/>
  <c r="R31" i="25" s="1"/>
  <c r="V45" i="24"/>
  <c r="U45" i="25" s="1"/>
  <c r="S65" i="24"/>
  <c r="Q65" i="25" s="1"/>
  <c r="R65" i="24"/>
  <c r="R65" i="25" s="1"/>
  <c r="L65" i="24"/>
  <c r="P65" i="25" s="1"/>
  <c r="S76" i="24"/>
  <c r="Q76" i="25" s="1"/>
  <c r="R76" i="24"/>
  <c r="R76" i="25" s="1"/>
  <c r="AA53" i="24"/>
  <c r="S53" i="25" s="1"/>
  <c r="Z53" i="24"/>
  <c r="T53" i="25" s="1"/>
  <c r="S53" i="24"/>
  <c r="Q53" i="25" s="1"/>
  <c r="R53" i="24"/>
  <c r="R53" i="25" s="1"/>
  <c r="S62" i="24"/>
  <c r="Q62" i="25" s="1"/>
  <c r="R62" i="24"/>
  <c r="R62" i="25" s="1"/>
  <c r="L62" i="24"/>
  <c r="P62" i="25" s="1"/>
  <c r="S96" i="24"/>
  <c r="Q96" i="25" s="1"/>
  <c r="R96" i="24"/>
  <c r="R96" i="25" s="1"/>
  <c r="S44" i="24"/>
  <c r="Q44" i="25" s="1"/>
  <c r="R44" i="24"/>
  <c r="R44" i="25" s="1"/>
  <c r="L44" i="24"/>
  <c r="P44" i="25" s="1"/>
  <c r="S60" i="24"/>
  <c r="Q60" i="25" s="1"/>
  <c r="R60" i="24"/>
  <c r="R60" i="25" s="1"/>
  <c r="S70" i="24"/>
  <c r="Q70" i="25" s="1"/>
  <c r="R70" i="24"/>
  <c r="R70" i="25" s="1"/>
  <c r="L70" i="24"/>
  <c r="P70" i="25" s="1"/>
  <c r="AA70" i="24"/>
  <c r="S70" i="25" s="1"/>
  <c r="Z70" i="24"/>
  <c r="T70" i="25" s="1"/>
  <c r="V78" i="24"/>
  <c r="U78" i="25" s="1"/>
  <c r="V65" i="24"/>
  <c r="U65" i="25" s="1"/>
  <c r="V73" i="24"/>
  <c r="U73" i="25" s="1"/>
  <c r="V62" i="24"/>
  <c r="U62" i="25" s="1"/>
  <c r="O73" i="24"/>
  <c r="R82" i="24"/>
  <c r="R82" i="25" s="1"/>
  <c r="S82" i="24"/>
  <c r="Q82" i="25" s="1"/>
  <c r="AA82" i="24"/>
  <c r="S82" i="25" s="1"/>
  <c r="R98" i="24"/>
  <c r="R98" i="25" s="1"/>
  <c r="S98" i="24"/>
  <c r="Q98" i="25" s="1"/>
  <c r="L98" i="24"/>
  <c r="P98" i="25" s="1"/>
  <c r="S120" i="24"/>
  <c r="Q120" i="25" s="1"/>
  <c r="R120" i="24"/>
  <c r="R120" i="25" s="1"/>
  <c r="S122" i="24"/>
  <c r="Q122" i="25" s="1"/>
  <c r="R122" i="24"/>
  <c r="R122" i="25" s="1"/>
  <c r="L122" i="24"/>
  <c r="P122" i="25" s="1"/>
  <c r="S101" i="24"/>
  <c r="Q101" i="25" s="1"/>
  <c r="R101" i="24"/>
  <c r="R101" i="25" s="1"/>
  <c r="V98" i="24"/>
  <c r="U98" i="25" s="1"/>
  <c r="O108" i="24"/>
  <c r="V115" i="24"/>
  <c r="U115" i="25" s="1"/>
  <c r="O84" i="24"/>
  <c r="S104" i="24"/>
  <c r="Q104" i="25" s="1"/>
  <c r="R104" i="24"/>
  <c r="R104" i="25" s="1"/>
  <c r="R111" i="24"/>
  <c r="R111" i="25" s="1"/>
  <c r="S111" i="24"/>
  <c r="Q111" i="25" s="1"/>
  <c r="L111" i="24"/>
  <c r="P111" i="25" s="1"/>
  <c r="S69" i="24"/>
  <c r="Q69" i="25" s="1"/>
  <c r="R69" i="24"/>
  <c r="R69" i="25" s="1"/>
  <c r="V112" i="24"/>
  <c r="U112" i="25" s="1"/>
  <c r="V134" i="24"/>
  <c r="U134" i="25" s="1"/>
  <c r="V89" i="24"/>
  <c r="U89" i="25" s="1"/>
  <c r="V77" i="24"/>
  <c r="U77" i="25" s="1"/>
  <c r="R79" i="24"/>
  <c r="R79" i="25" s="1"/>
  <c r="S79" i="24"/>
  <c r="Q79" i="25" s="1"/>
  <c r="V129" i="24"/>
  <c r="U129" i="25" s="1"/>
  <c r="O77" i="24"/>
  <c r="S85" i="24"/>
  <c r="Q85" i="25" s="1"/>
  <c r="R85" i="24"/>
  <c r="R85" i="25" s="1"/>
  <c r="V105" i="24"/>
  <c r="U105" i="25" s="1"/>
  <c r="V111" i="24"/>
  <c r="U111" i="25" s="1"/>
  <c r="R97" i="24"/>
  <c r="R97" i="25" s="1"/>
  <c r="S97" i="24"/>
  <c r="Q97" i="25" s="1"/>
  <c r="S110" i="24"/>
  <c r="Q110" i="25" s="1"/>
  <c r="R110" i="24"/>
  <c r="R110" i="25" s="1"/>
  <c r="S93" i="24"/>
  <c r="Q93" i="25" s="1"/>
  <c r="R93" i="24"/>
  <c r="R93" i="25" s="1"/>
  <c r="L93" i="24"/>
  <c r="P93" i="25" s="1"/>
  <c r="V100" i="24"/>
  <c r="U100" i="25" s="1"/>
  <c r="S78" i="24"/>
  <c r="Q78" i="25" s="1"/>
  <c r="L78" i="24"/>
  <c r="P78" i="25" s="1"/>
  <c r="R78" i="24"/>
  <c r="R78" i="25" s="1"/>
  <c r="V118" i="24"/>
  <c r="U118" i="25" s="1"/>
  <c r="Z126" i="24"/>
  <c r="T126" i="25" s="1"/>
  <c r="S126" i="24"/>
  <c r="Q126" i="25" s="1"/>
  <c r="R126" i="24"/>
  <c r="R126" i="25" s="1"/>
  <c r="AA126" i="24"/>
  <c r="S126" i="25" s="1"/>
  <c r="S146" i="24"/>
  <c r="Q146" i="25" s="1"/>
  <c r="R146" i="24"/>
  <c r="R146" i="25" s="1"/>
  <c r="O134" i="24"/>
  <c r="S136" i="24"/>
  <c r="Q136" i="25" s="1"/>
  <c r="R136" i="24"/>
  <c r="R136" i="25" s="1"/>
  <c r="V137" i="24"/>
  <c r="U137" i="25" s="1"/>
  <c r="S149" i="24"/>
  <c r="Q149" i="25" s="1"/>
  <c r="R149" i="24"/>
  <c r="R149" i="25" s="1"/>
  <c r="L149" i="24"/>
  <c r="P149" i="25" s="1"/>
  <c r="R127" i="24"/>
  <c r="R127" i="25" s="1"/>
  <c r="S127" i="24"/>
  <c r="Q127" i="25" s="1"/>
  <c r="S131" i="24"/>
  <c r="Q131" i="25" s="1"/>
  <c r="R131" i="24"/>
  <c r="R131" i="25" s="1"/>
  <c r="V149" i="24"/>
  <c r="U149" i="25" s="1"/>
  <c r="S158" i="24"/>
  <c r="Q158" i="25" s="1"/>
  <c r="R158" i="24"/>
  <c r="R158" i="25" s="1"/>
  <c r="V122" i="24"/>
  <c r="U122" i="25" s="1"/>
  <c r="O143" i="24"/>
  <c r="S106" i="24"/>
  <c r="Q106" i="25" s="1"/>
  <c r="L106" i="24"/>
  <c r="P106" i="25" s="1"/>
  <c r="AA106" i="24"/>
  <c r="S106" i="25" s="1"/>
  <c r="R106" i="24"/>
  <c r="R106" i="25" s="1"/>
  <c r="S113" i="24"/>
  <c r="Q113" i="25" s="1"/>
  <c r="R113" i="24"/>
  <c r="R113" i="25" s="1"/>
  <c r="S116" i="24"/>
  <c r="Q116" i="25" s="1"/>
  <c r="R116" i="24"/>
  <c r="R116" i="25" s="1"/>
  <c r="L119" i="24"/>
  <c r="P119" i="25" s="1"/>
  <c r="S119" i="24"/>
  <c r="Q119" i="25" s="1"/>
  <c r="R119" i="24"/>
  <c r="R119" i="25" s="1"/>
  <c r="S121" i="24"/>
  <c r="Q121" i="25" s="1"/>
  <c r="R121" i="24"/>
  <c r="R121" i="25" s="1"/>
  <c r="S133" i="24"/>
  <c r="Q133" i="25" s="1"/>
  <c r="R133" i="24"/>
  <c r="R133" i="25" s="1"/>
  <c r="AA133" i="24"/>
  <c r="S133" i="25" s="1"/>
  <c r="Z133" i="24"/>
  <c r="T133" i="25" s="1"/>
  <c r="L133" i="24"/>
  <c r="S112" i="24"/>
  <c r="Q112" i="25" s="1"/>
  <c r="R112" i="24"/>
  <c r="R112" i="25" s="1"/>
  <c r="L112" i="24"/>
  <c r="P112" i="25" s="1"/>
  <c r="R147" i="24"/>
  <c r="R147" i="25" s="1"/>
  <c r="S147" i="24"/>
  <c r="Q147" i="25" s="1"/>
  <c r="L147" i="24"/>
  <c r="P147" i="25" s="1"/>
  <c r="S100" i="24"/>
  <c r="Q100" i="25" s="1"/>
  <c r="R100" i="24"/>
  <c r="R100" i="25" s="1"/>
  <c r="L100" i="24"/>
  <c r="P100" i="25" s="1"/>
  <c r="S105" i="24"/>
  <c r="Q105" i="25" s="1"/>
  <c r="R105" i="24"/>
  <c r="R105" i="25" s="1"/>
  <c r="L105" i="24"/>
  <c r="P105" i="25" s="1"/>
  <c r="V106" i="24"/>
  <c r="U106" i="25" s="1"/>
  <c r="V119" i="24"/>
  <c r="U119" i="25" s="1"/>
  <c r="S153" i="24"/>
  <c r="Q153" i="25" s="1"/>
  <c r="L153" i="24"/>
  <c r="P153" i="25" s="1"/>
  <c r="R153" i="24"/>
  <c r="R153" i="25" s="1"/>
  <c r="O106" i="24"/>
  <c r="S141" i="24"/>
  <c r="Q141" i="25" s="1"/>
  <c r="R141" i="24"/>
  <c r="R141" i="25" s="1"/>
  <c r="V157" i="24"/>
  <c r="U157" i="25" s="1"/>
  <c r="O121" i="24"/>
  <c r="V123" i="24"/>
  <c r="U123" i="25" s="1"/>
  <c r="V133" i="24"/>
  <c r="U133" i="25" s="1"/>
  <c r="V140" i="24"/>
  <c r="U140" i="25" s="1"/>
  <c r="S118" i="24"/>
  <c r="Q118" i="25" s="1"/>
  <c r="R118" i="24"/>
  <c r="R118" i="25" s="1"/>
  <c r="L118" i="24"/>
  <c r="P118" i="25" s="1"/>
  <c r="S137" i="24"/>
  <c r="Q137" i="25" s="1"/>
  <c r="L137" i="24"/>
  <c r="P137" i="25" s="1"/>
  <c r="R137" i="24"/>
  <c r="R137" i="25" s="1"/>
  <c r="V147" i="24"/>
  <c r="U147" i="25" s="1"/>
  <c r="S167" i="24"/>
  <c r="Q167" i="25" s="1"/>
  <c r="L167" i="24"/>
  <c r="P167" i="25" s="1"/>
  <c r="R167" i="24"/>
  <c r="R167" i="25" s="1"/>
  <c r="S164" i="24"/>
  <c r="Q164" i="25" s="1"/>
  <c r="R164" i="24"/>
  <c r="R164" i="25" s="1"/>
  <c r="L164" i="24"/>
  <c r="P164" i="25" s="1"/>
  <c r="V165" i="24"/>
  <c r="U165" i="25" s="1"/>
  <c r="O137" i="24"/>
  <c r="V153" i="24"/>
  <c r="U153" i="25" s="1"/>
  <c r="S172" i="24"/>
  <c r="Q172" i="25" s="1"/>
  <c r="R172" i="24"/>
  <c r="R172" i="25" s="1"/>
  <c r="L172" i="24"/>
  <c r="P172" i="25" s="1"/>
  <c r="S156" i="24"/>
  <c r="Q156" i="25" s="1"/>
  <c r="R156" i="24"/>
  <c r="R156" i="25" s="1"/>
  <c r="S162" i="24"/>
  <c r="Q162" i="25" s="1"/>
  <c r="R162" i="24"/>
  <c r="R162" i="25" s="1"/>
  <c r="V163" i="24"/>
  <c r="U163" i="25" s="1"/>
  <c r="S150" i="24"/>
  <c r="Q150" i="25" s="1"/>
  <c r="L150" i="24"/>
  <c r="P150" i="25" s="1"/>
  <c r="R150" i="24"/>
  <c r="R150" i="25" s="1"/>
  <c r="S178" i="24"/>
  <c r="Q178" i="25" s="1"/>
  <c r="L178" i="24"/>
  <c r="P178" i="25" s="1"/>
  <c r="AD178" i="24"/>
  <c r="W178" i="25" s="1"/>
  <c r="R178" i="24"/>
  <c r="R178" i="25" s="1"/>
  <c r="S134" i="24"/>
  <c r="Q134" i="25" s="1"/>
  <c r="R134" i="24"/>
  <c r="R134" i="25" s="1"/>
  <c r="L134" i="24"/>
  <c r="P134" i="25" s="1"/>
  <c r="V150" i="24"/>
  <c r="U150" i="25" s="1"/>
  <c r="S157" i="24"/>
  <c r="Q157" i="25" s="1"/>
  <c r="R157" i="24"/>
  <c r="R157" i="25" s="1"/>
  <c r="L157" i="24"/>
  <c r="P157" i="25" s="1"/>
  <c r="S201" i="24"/>
  <c r="Q201" i="25" s="1"/>
  <c r="R201" i="24"/>
  <c r="R201" i="25" s="1"/>
  <c r="L201" i="24"/>
  <c r="P201" i="25" s="1"/>
  <c r="V188" i="24"/>
  <c r="U188" i="25" s="1"/>
  <c r="V161" i="24"/>
  <c r="U161" i="25" s="1"/>
  <c r="V177" i="24"/>
  <c r="U177" i="25" s="1"/>
  <c r="V185" i="24"/>
  <c r="U185" i="25" s="1"/>
  <c r="S195" i="24"/>
  <c r="Q195" i="25" s="1"/>
  <c r="R195" i="24"/>
  <c r="R195" i="25" s="1"/>
  <c r="V198" i="24"/>
  <c r="U198" i="25" s="1"/>
  <c r="V172" i="24"/>
  <c r="U172" i="25" s="1"/>
  <c r="O177" i="24"/>
  <c r="V182" i="24"/>
  <c r="U182" i="25" s="1"/>
  <c r="V164" i="24"/>
  <c r="U164" i="25" s="1"/>
  <c r="V192" i="24"/>
  <c r="U192" i="25" s="1"/>
  <c r="S187" i="24"/>
  <c r="Q187" i="25" s="1"/>
  <c r="L187" i="24"/>
  <c r="P187" i="25" s="1"/>
  <c r="R187" i="24"/>
  <c r="R187" i="25" s="1"/>
  <c r="R190" i="24"/>
  <c r="R190" i="25" s="1"/>
  <c r="S190" i="24"/>
  <c r="Q190" i="25" s="1"/>
  <c r="V166" i="24"/>
  <c r="U166" i="25" s="1"/>
  <c r="V171" i="24"/>
  <c r="U171" i="25" s="1"/>
  <c r="S181" i="24"/>
  <c r="Q181" i="25" s="1"/>
  <c r="R181" i="24"/>
  <c r="R181" i="25" s="1"/>
  <c r="L181" i="24"/>
  <c r="P181" i="25" s="1"/>
  <c r="S197" i="24"/>
  <c r="Q197" i="25" s="1"/>
  <c r="R197" i="24"/>
  <c r="R197" i="25" s="1"/>
  <c r="L197" i="24"/>
  <c r="P197" i="25" s="1"/>
  <c r="L191" i="24"/>
  <c r="P191" i="25" s="1"/>
  <c r="S191" i="24"/>
  <c r="Q191" i="25" s="1"/>
  <c r="R191" i="24"/>
  <c r="R191" i="25" s="1"/>
  <c r="S165" i="24"/>
  <c r="Q165" i="25" s="1"/>
  <c r="R165" i="24"/>
  <c r="R165" i="25" s="1"/>
  <c r="AA165" i="24"/>
  <c r="S165" i="25" s="1"/>
  <c r="L165" i="24"/>
  <c r="P165" i="25" s="1"/>
  <c r="V187" i="24"/>
  <c r="U187" i="25" s="1"/>
  <c r="S203" i="24"/>
  <c r="Q203" i="25" s="1"/>
  <c r="L203" i="24"/>
  <c r="P203" i="25" s="1"/>
  <c r="AE203" i="24"/>
  <c r="X203" i="25" s="1"/>
  <c r="Z203" i="24"/>
  <c r="T203" i="25" s="1"/>
  <c r="R203" i="24"/>
  <c r="R203" i="25" s="1"/>
  <c r="V181" i="24"/>
  <c r="U181" i="25" s="1"/>
  <c r="V197" i="24"/>
  <c r="U197" i="25" s="1"/>
  <c r="S204" i="24"/>
  <c r="Q204" i="25" s="1"/>
  <c r="R204" i="24"/>
  <c r="R204" i="25" s="1"/>
  <c r="L204" i="24"/>
  <c r="P204" i="25" s="1"/>
  <c r="S188" i="24"/>
  <c r="Q188" i="25" s="1"/>
  <c r="R188" i="24"/>
  <c r="R188" i="25" s="1"/>
  <c r="L188" i="24"/>
  <c r="P188" i="25" s="1"/>
  <c r="R202" i="24"/>
  <c r="R202" i="25" s="1"/>
  <c r="S202" i="24"/>
  <c r="Q202" i="25" s="1"/>
  <c r="V204" i="24"/>
  <c r="U204" i="25" s="1"/>
  <c r="O204" i="24"/>
  <c r="V203" i="24"/>
  <c r="U203" i="25" s="1"/>
  <c r="O197" i="24"/>
  <c r="Z194" i="24"/>
  <c r="T194" i="25" s="1"/>
  <c r="S194" i="24"/>
  <c r="Q194" i="25" s="1"/>
  <c r="R194" i="24"/>
  <c r="R194" i="25" s="1"/>
  <c r="L194" i="24"/>
  <c r="P194" i="25" s="1"/>
  <c r="AE3" i="24"/>
  <c r="X3" i="25" s="1"/>
  <c r="AC11" i="24"/>
  <c r="K11" i="25" s="1"/>
  <c r="AB11" i="24"/>
  <c r="J11" i="25" s="1"/>
  <c r="N46" i="24"/>
  <c r="M46" i="24"/>
  <c r="AC46" i="24"/>
  <c r="K46" i="25" s="1"/>
  <c r="AB46" i="24"/>
  <c r="G46" i="24"/>
  <c r="AA46" i="24" s="1"/>
  <c r="S46" i="25" s="1"/>
  <c r="X46" i="24"/>
  <c r="O46" i="25" s="1"/>
  <c r="N23" i="24"/>
  <c r="AC23" i="24"/>
  <c r="K23" i="25" s="1"/>
  <c r="AB23" i="24"/>
  <c r="J23" i="25" s="1"/>
  <c r="X23" i="24"/>
  <c r="O23" i="25" s="1"/>
  <c r="G23" i="24"/>
  <c r="Z23" i="24" s="1"/>
  <c r="T23" i="25" s="1"/>
  <c r="N25" i="24"/>
  <c r="M25" i="24"/>
  <c r="N28" i="24"/>
  <c r="M28" i="24"/>
  <c r="AC28" i="24"/>
  <c r="AB28" i="24"/>
  <c r="J28" i="25" s="1"/>
  <c r="X28" i="24"/>
  <c r="O28" i="25" s="1"/>
  <c r="G28" i="24"/>
  <c r="Z28" i="24" s="1"/>
  <c r="T28" i="25" s="1"/>
  <c r="G29" i="24"/>
  <c r="N36" i="24"/>
  <c r="M36" i="24"/>
  <c r="AC36" i="24"/>
  <c r="K36" i="25" s="1"/>
  <c r="AB36" i="24"/>
  <c r="X36" i="24"/>
  <c r="O36" i="25" s="1"/>
  <c r="N12" i="24"/>
  <c r="AC12" i="24"/>
  <c r="K12" i="25" s="1"/>
  <c r="X12" i="24"/>
  <c r="O12" i="25" s="1"/>
  <c r="G12" i="24"/>
  <c r="AB12" i="24"/>
  <c r="J12" i="25" s="1"/>
  <c r="AB5" i="24"/>
  <c r="X7" i="24"/>
  <c r="O7" i="25" s="1"/>
  <c r="N9" i="24"/>
  <c r="X5" i="24"/>
  <c r="O5" i="25" s="1"/>
  <c r="AB9" i="24"/>
  <c r="J9" i="25" s="1"/>
  <c r="M11" i="24"/>
  <c r="AB56" i="24"/>
  <c r="J56" i="25" s="1"/>
  <c r="N56" i="24"/>
  <c r="M56" i="24"/>
  <c r="G56" i="24"/>
  <c r="AC56" i="24"/>
  <c r="K56" i="25" s="1"/>
  <c r="M67" i="24"/>
  <c r="AC67" i="24"/>
  <c r="K67" i="25" s="1"/>
  <c r="X67" i="24"/>
  <c r="O67" i="25" s="1"/>
  <c r="N67" i="24"/>
  <c r="G67" i="24"/>
  <c r="AC15" i="24"/>
  <c r="K15" i="25" s="1"/>
  <c r="AD3" i="24"/>
  <c r="W3" i="25" s="1"/>
  <c r="AC5" i="24"/>
  <c r="K5" i="25" s="1"/>
  <c r="G7" i="24"/>
  <c r="N13" i="24"/>
  <c r="AB13" i="24"/>
  <c r="N54" i="24"/>
  <c r="M54" i="24"/>
  <c r="AC54" i="24"/>
  <c r="K54" i="25" s="1"/>
  <c r="G54" i="24"/>
  <c r="AB54" i="24"/>
  <c r="J54" i="25" s="1"/>
  <c r="X54" i="24"/>
  <c r="O54" i="25" s="1"/>
  <c r="AE62" i="24"/>
  <c r="X62" i="25" s="1"/>
  <c r="N29" i="24"/>
  <c r="M29" i="24"/>
  <c r="AC29" i="24"/>
  <c r="K29" i="25" s="1"/>
  <c r="AB29" i="24"/>
  <c r="J29" i="25" s="1"/>
  <c r="G11" i="24"/>
  <c r="N11" i="24"/>
  <c r="M32" i="24"/>
  <c r="N32" i="24"/>
  <c r="AC32" i="24"/>
  <c r="K32" i="25" s="1"/>
  <c r="AB32" i="24"/>
  <c r="J32" i="25" s="1"/>
  <c r="G32" i="24"/>
  <c r="X32" i="24"/>
  <c r="O32" i="25" s="1"/>
  <c r="N39" i="24"/>
  <c r="M39" i="24"/>
  <c r="AC39" i="24"/>
  <c r="K39" i="25" s="1"/>
  <c r="AB39" i="24"/>
  <c r="J39" i="25" s="1"/>
  <c r="G39" i="24"/>
  <c r="X39" i="24"/>
  <c r="O39" i="25" s="1"/>
  <c r="X52" i="24"/>
  <c r="O52" i="25" s="1"/>
  <c r="N52" i="24"/>
  <c r="M52" i="24"/>
  <c r="AC52" i="24"/>
  <c r="K52" i="25" s="1"/>
  <c r="G52" i="24"/>
  <c r="AB52" i="24"/>
  <c r="J52" i="25" s="1"/>
  <c r="G13" i="24"/>
  <c r="Z13" i="24" s="1"/>
  <c r="T13" i="25" s="1"/>
  <c r="X29" i="24"/>
  <c r="O29" i="25" s="1"/>
  <c r="X37" i="24"/>
  <c r="O37" i="25" s="1"/>
  <c r="N37" i="24"/>
  <c r="X15" i="24"/>
  <c r="O15" i="25" s="1"/>
  <c r="G15" i="24"/>
  <c r="AB7" i="24"/>
  <c r="J7" i="25" s="1"/>
  <c r="M12" i="24"/>
  <c r="AE45" i="24"/>
  <c r="X45" i="25" s="1"/>
  <c r="M50" i="24"/>
  <c r="N50" i="24"/>
  <c r="AC50" i="24"/>
  <c r="K50" i="25" s="1"/>
  <c r="AB50" i="24"/>
  <c r="J50" i="25" s="1"/>
  <c r="G50" i="24"/>
  <c r="M9" i="24"/>
  <c r="N5" i="24"/>
  <c r="N17" i="24"/>
  <c r="M17" i="24"/>
  <c r="AB17" i="24"/>
  <c r="X17" i="24"/>
  <c r="O17" i="25" s="1"/>
  <c r="G17" i="24"/>
  <c r="Z17" i="24" s="1"/>
  <c r="T17" i="25" s="1"/>
  <c r="X25" i="24"/>
  <c r="O25" i="25" s="1"/>
  <c r="AD45" i="24"/>
  <c r="W45" i="25" s="1"/>
  <c r="M48" i="24"/>
  <c r="N48" i="24"/>
  <c r="AC48" i="24"/>
  <c r="K48" i="25" s="1"/>
  <c r="AB48" i="24"/>
  <c r="G48" i="24"/>
  <c r="AA48" i="24" s="1"/>
  <c r="S48" i="25" s="1"/>
  <c r="AE61" i="24"/>
  <c r="X61" i="25" s="1"/>
  <c r="M22" i="24"/>
  <c r="AC22" i="24"/>
  <c r="K22" i="25" s="1"/>
  <c r="X22" i="24"/>
  <c r="O22" i="25" s="1"/>
  <c r="G22" i="24"/>
  <c r="AC10" i="24"/>
  <c r="K10" i="25" s="1"/>
  <c r="N15" i="24"/>
  <c r="X4" i="24"/>
  <c r="O4" i="25" s="1"/>
  <c r="G4" i="24"/>
  <c r="M5" i="24"/>
  <c r="M6" i="24"/>
  <c r="O6" i="24" s="1"/>
  <c r="M7" i="24"/>
  <c r="M14" i="24"/>
  <c r="O14" i="24" s="1"/>
  <c r="N7" i="24"/>
  <c r="G10" i="24"/>
  <c r="X11" i="24"/>
  <c r="O11" i="25" s="1"/>
  <c r="AB4" i="24"/>
  <c r="J4" i="25" s="1"/>
  <c r="AC14" i="24"/>
  <c r="K14" i="25" s="1"/>
  <c r="M18" i="24"/>
  <c r="AC18" i="24"/>
  <c r="K18" i="25" s="1"/>
  <c r="AB18" i="24"/>
  <c r="AD61" i="24"/>
  <c r="W61" i="25" s="1"/>
  <c r="N43" i="24"/>
  <c r="AC63" i="24"/>
  <c r="K63" i="25" s="1"/>
  <c r="AB63" i="24"/>
  <c r="G63" i="24"/>
  <c r="AA63" i="24" s="1"/>
  <c r="S63" i="25" s="1"/>
  <c r="G43" i="24"/>
  <c r="Z43" i="24" s="1"/>
  <c r="T43" i="25" s="1"/>
  <c r="N64" i="24"/>
  <c r="M64" i="24"/>
  <c r="AB64" i="24"/>
  <c r="AB68" i="24"/>
  <c r="J68" i="25" s="1"/>
  <c r="G68" i="24"/>
  <c r="X68" i="24"/>
  <c r="O68" i="25" s="1"/>
  <c r="M91" i="24"/>
  <c r="X91" i="24"/>
  <c r="O91" i="25" s="1"/>
  <c r="N91" i="24"/>
  <c r="G91" i="24"/>
  <c r="AT91" i="24" s="1"/>
  <c r="AU91" i="24" s="1"/>
  <c r="AC42" i="24"/>
  <c r="K42" i="25" s="1"/>
  <c r="M59" i="24"/>
  <c r="G59" i="24"/>
  <c r="X59" i="24"/>
  <c r="O59" i="25" s="1"/>
  <c r="AD77" i="24"/>
  <c r="W77" i="25" s="1"/>
  <c r="M87" i="24"/>
  <c r="N87" i="24"/>
  <c r="G87" i="24"/>
  <c r="AT87" i="24" s="1"/>
  <c r="AU87" i="24" s="1"/>
  <c r="AC87" i="24"/>
  <c r="K87" i="25" s="1"/>
  <c r="AB87" i="24"/>
  <c r="J87" i="25" s="1"/>
  <c r="AB43" i="24"/>
  <c r="J43" i="25" s="1"/>
  <c r="AB59" i="24"/>
  <c r="J59" i="25" s="1"/>
  <c r="M63" i="24"/>
  <c r="X74" i="24"/>
  <c r="O74" i="25" s="1"/>
  <c r="M30" i="24"/>
  <c r="O30" i="24" s="1"/>
  <c r="N30" i="24"/>
  <c r="AC43" i="24"/>
  <c r="K43" i="25" s="1"/>
  <c r="AC59" i="24"/>
  <c r="K59" i="25" s="1"/>
  <c r="N63" i="24"/>
  <c r="G64" i="24"/>
  <c r="Z64" i="24" s="1"/>
  <c r="T64" i="25" s="1"/>
  <c r="AB91" i="24"/>
  <c r="J91" i="25" s="1"/>
  <c r="AB31" i="24"/>
  <c r="J31" i="25" s="1"/>
  <c r="X35" i="24"/>
  <c r="O35" i="25" s="1"/>
  <c r="X42" i="24"/>
  <c r="O42" i="25" s="1"/>
  <c r="X57" i="24"/>
  <c r="O57" i="25" s="1"/>
  <c r="G57" i="24"/>
  <c r="N57" i="24"/>
  <c r="M57" i="24"/>
  <c r="AC91" i="24"/>
  <c r="K91" i="25" s="1"/>
  <c r="G35" i="24"/>
  <c r="G42" i="24"/>
  <c r="G47" i="24"/>
  <c r="AT47" i="24" s="1"/>
  <c r="AU47" i="24" s="1"/>
  <c r="AB49" i="24"/>
  <c r="J49" i="25" s="1"/>
  <c r="AB57" i="24"/>
  <c r="J57" i="25" s="1"/>
  <c r="X87" i="24"/>
  <c r="O87" i="25" s="1"/>
  <c r="G27" i="24"/>
  <c r="X27" i="24"/>
  <c r="O27" i="25" s="1"/>
  <c r="M43" i="24"/>
  <c r="X47" i="24"/>
  <c r="O47" i="25" s="1"/>
  <c r="X49" i="24"/>
  <c r="O49" i="25" s="1"/>
  <c r="AC51" i="24"/>
  <c r="K51" i="25" s="1"/>
  <c r="X51" i="24"/>
  <c r="O51" i="25" s="1"/>
  <c r="M55" i="24"/>
  <c r="O55" i="24" s="1"/>
  <c r="AC57" i="24"/>
  <c r="K57" i="25" s="1"/>
  <c r="M68" i="24"/>
  <c r="X31" i="24"/>
  <c r="O31" i="25" s="1"/>
  <c r="AB35" i="24"/>
  <c r="J35" i="25" s="1"/>
  <c r="AB42" i="24"/>
  <c r="J42" i="25" s="1"/>
  <c r="AB47" i="24"/>
  <c r="J47" i="25" s="1"/>
  <c r="X60" i="24"/>
  <c r="O60" i="25" s="1"/>
  <c r="N68" i="24"/>
  <c r="N72" i="24"/>
  <c r="AB72" i="24"/>
  <c r="AB74" i="24"/>
  <c r="J74" i="25" s="1"/>
  <c r="N74" i="24"/>
  <c r="M74" i="24"/>
  <c r="G74" i="24"/>
  <c r="N94" i="24"/>
  <c r="M94" i="24"/>
  <c r="AC94" i="24"/>
  <c r="K94" i="25" s="1"/>
  <c r="G94" i="24"/>
  <c r="AB94" i="24"/>
  <c r="J94" i="25" s="1"/>
  <c r="X94" i="24"/>
  <c r="O94" i="25" s="1"/>
  <c r="N59" i="24"/>
  <c r="AD62" i="24"/>
  <c r="W62" i="25" s="1"/>
  <c r="AC71" i="24"/>
  <c r="K71" i="25" s="1"/>
  <c r="AB71" i="24"/>
  <c r="J71" i="25" s="1"/>
  <c r="G71" i="24"/>
  <c r="X71" i="24"/>
  <c r="O71" i="25" s="1"/>
  <c r="AC31" i="24"/>
  <c r="G41" i="24"/>
  <c r="M42" i="24"/>
  <c r="O42" i="24" s="1"/>
  <c r="AB58" i="24"/>
  <c r="X58" i="24"/>
  <c r="O58" i="25" s="1"/>
  <c r="X30" i="24"/>
  <c r="O30" i="25" s="1"/>
  <c r="G30" i="24"/>
  <c r="AA21" i="24"/>
  <c r="S21" i="25" s="1"/>
  <c r="AC27" i="24"/>
  <c r="K27" i="25" s="1"/>
  <c r="G20" i="24"/>
  <c r="M35" i="24"/>
  <c r="O35" i="24" s="1"/>
  <c r="AB41" i="24"/>
  <c r="J41" i="25" s="1"/>
  <c r="N42" i="24"/>
  <c r="G44" i="24"/>
  <c r="Z44" i="24" s="1"/>
  <c r="T44" i="25" s="1"/>
  <c r="G60" i="24"/>
  <c r="AA60" i="24" s="1"/>
  <c r="S60" i="25" s="1"/>
  <c r="AC60" i="24"/>
  <c r="K60" i="25" s="1"/>
  <c r="X63" i="24"/>
  <c r="O63" i="25" s="1"/>
  <c r="AB66" i="24"/>
  <c r="AC66" i="24"/>
  <c r="K66" i="25" s="1"/>
  <c r="G72" i="24"/>
  <c r="X96" i="24"/>
  <c r="O96" i="25" s="1"/>
  <c r="G96" i="24"/>
  <c r="Z96" i="24" s="1"/>
  <c r="T96" i="25" s="1"/>
  <c r="N124" i="24"/>
  <c r="M124" i="24"/>
  <c r="G124" i="24"/>
  <c r="AC124" i="24"/>
  <c r="K124" i="25" s="1"/>
  <c r="AB124" i="24"/>
  <c r="J124" i="25" s="1"/>
  <c r="N103" i="24"/>
  <c r="M103" i="24"/>
  <c r="AC103" i="24"/>
  <c r="K103" i="25" s="1"/>
  <c r="AB103" i="24"/>
  <c r="J103" i="25" s="1"/>
  <c r="AD104" i="24"/>
  <c r="W104" i="25" s="1"/>
  <c r="M99" i="24"/>
  <c r="N102" i="24"/>
  <c r="M102" i="24"/>
  <c r="AC102" i="24"/>
  <c r="K102" i="25" s="1"/>
  <c r="AB102" i="24"/>
  <c r="J102" i="25" s="1"/>
  <c r="X102" i="24"/>
  <c r="O102" i="25" s="1"/>
  <c r="G102" i="24"/>
  <c r="AT102" i="24" s="1"/>
  <c r="AU102" i="24" s="1"/>
  <c r="N107" i="24"/>
  <c r="M107" i="24"/>
  <c r="AC107" i="24"/>
  <c r="K107" i="25" s="1"/>
  <c r="AB107" i="24"/>
  <c r="J107" i="25" s="1"/>
  <c r="AC92" i="24"/>
  <c r="K92" i="25" s="1"/>
  <c r="X92" i="24"/>
  <c r="O92" i="25" s="1"/>
  <c r="AB99" i="24"/>
  <c r="J99" i="25" s="1"/>
  <c r="N117" i="24"/>
  <c r="M117" i="24"/>
  <c r="AC117" i="24"/>
  <c r="K117" i="25" s="1"/>
  <c r="AB117" i="24"/>
  <c r="J117" i="25" s="1"/>
  <c r="G117" i="24"/>
  <c r="AT117" i="24" s="1"/>
  <c r="AU117" i="24" s="1"/>
  <c r="X124" i="24"/>
  <c r="O124" i="25" s="1"/>
  <c r="AC53" i="24"/>
  <c r="M86" i="24"/>
  <c r="AC99" i="24"/>
  <c r="K99" i="25" s="1"/>
  <c r="AB81" i="24"/>
  <c r="J81" i="25" s="1"/>
  <c r="X81" i="24"/>
  <c r="O81" i="25" s="1"/>
  <c r="G81" i="24"/>
  <c r="M83" i="24"/>
  <c r="X83" i="24"/>
  <c r="O83" i="25" s="1"/>
  <c r="AB92" i="24"/>
  <c r="J92" i="25" s="1"/>
  <c r="G99" i="24"/>
  <c r="G103" i="24"/>
  <c r="G107" i="24"/>
  <c r="N75" i="24"/>
  <c r="N82" i="24"/>
  <c r="AC97" i="24"/>
  <c r="K97" i="25" s="1"/>
  <c r="AB97" i="24"/>
  <c r="J97" i="25" s="1"/>
  <c r="X97" i="24"/>
  <c r="O97" i="25" s="1"/>
  <c r="G97" i="24"/>
  <c r="Z97" i="24" s="1"/>
  <c r="T97" i="25" s="1"/>
  <c r="G92" i="24"/>
  <c r="M96" i="24"/>
  <c r="AC114" i="24"/>
  <c r="K114" i="25" s="1"/>
  <c r="N114" i="24"/>
  <c r="M114" i="24"/>
  <c r="AB114" i="24"/>
  <c r="J114" i="25" s="1"/>
  <c r="G114" i="24"/>
  <c r="X88" i="24"/>
  <c r="O88" i="25" s="1"/>
  <c r="AB90" i="24"/>
  <c r="J90" i="25" s="1"/>
  <c r="N96" i="24"/>
  <c r="X117" i="24"/>
  <c r="O117" i="25" s="1"/>
  <c r="X73" i="24"/>
  <c r="O73" i="25" s="1"/>
  <c r="G73" i="24"/>
  <c r="AC83" i="24"/>
  <c r="K83" i="25" s="1"/>
  <c r="AC90" i="24"/>
  <c r="K90" i="25" s="1"/>
  <c r="G76" i="24"/>
  <c r="Z76" i="24" s="1"/>
  <c r="T76" i="25" s="1"/>
  <c r="AB76" i="24"/>
  <c r="G90" i="24"/>
  <c r="M92" i="24"/>
  <c r="AB95" i="24"/>
  <c r="J95" i="25" s="1"/>
  <c r="X107" i="24"/>
  <c r="O107" i="25" s="1"/>
  <c r="AE112" i="24"/>
  <c r="X112" i="25" s="1"/>
  <c r="AB135" i="24"/>
  <c r="J135" i="25" s="1"/>
  <c r="X135" i="24"/>
  <c r="O135" i="25" s="1"/>
  <c r="G135" i="24"/>
  <c r="AC135" i="24"/>
  <c r="K135" i="25" s="1"/>
  <c r="N135" i="24"/>
  <c r="M135" i="24"/>
  <c r="X65" i="24"/>
  <c r="O65" i="25" s="1"/>
  <c r="G65" i="24"/>
  <c r="AC76" i="24"/>
  <c r="K76" i="25" s="1"/>
  <c r="N78" i="24"/>
  <c r="AB88" i="24"/>
  <c r="J88" i="25" s="1"/>
  <c r="N92" i="24"/>
  <c r="AC95" i="24"/>
  <c r="K95" i="25" s="1"/>
  <c r="N99" i="24"/>
  <c r="N70" i="24"/>
  <c r="X78" i="24"/>
  <c r="O78" i="25" s="1"/>
  <c r="G88" i="24"/>
  <c r="AC88" i="24"/>
  <c r="K88" i="25" s="1"/>
  <c r="G95" i="24"/>
  <c r="AT95" i="24" s="1"/>
  <c r="AU95" i="24" s="1"/>
  <c r="N98" i="24"/>
  <c r="M98" i="24"/>
  <c r="AB98" i="24"/>
  <c r="X98" i="24"/>
  <c r="O98" i="25" s="1"/>
  <c r="AD112" i="24"/>
  <c r="W112" i="25" s="1"/>
  <c r="X114" i="24"/>
  <c r="O114" i="25" s="1"/>
  <c r="N144" i="24"/>
  <c r="M144" i="24"/>
  <c r="AB144" i="24"/>
  <c r="J144" i="25" s="1"/>
  <c r="G144" i="24"/>
  <c r="AC144" i="24"/>
  <c r="K144" i="25" s="1"/>
  <c r="X144" i="24"/>
  <c r="O144" i="25" s="1"/>
  <c r="M75" i="24"/>
  <c r="O75" i="24" s="1"/>
  <c r="X80" i="24"/>
  <c r="O80" i="25" s="1"/>
  <c r="G80" i="24"/>
  <c r="M81" i="24"/>
  <c r="M82" i="24"/>
  <c r="AB82" i="24"/>
  <c r="N86" i="24"/>
  <c r="AB86" i="24"/>
  <c r="J86" i="25" s="1"/>
  <c r="M97" i="24"/>
  <c r="M120" i="24"/>
  <c r="N136" i="24"/>
  <c r="M136" i="24"/>
  <c r="AC136" i="24"/>
  <c r="K136" i="25" s="1"/>
  <c r="AB136" i="24"/>
  <c r="G136" i="24"/>
  <c r="AT136" i="24" s="1"/>
  <c r="AU136" i="24" s="1"/>
  <c r="AC130" i="24"/>
  <c r="K130" i="25" s="1"/>
  <c r="AB130" i="24"/>
  <c r="J130" i="25" s="1"/>
  <c r="X130" i="24"/>
  <c r="O130" i="25" s="1"/>
  <c r="G130" i="24"/>
  <c r="AB120" i="24"/>
  <c r="AD120" i="24" s="1"/>
  <c r="W120" i="25" s="1"/>
  <c r="N127" i="24"/>
  <c r="M127" i="24"/>
  <c r="N131" i="24"/>
  <c r="M131" i="24"/>
  <c r="AC131" i="24"/>
  <c r="K131" i="25" s="1"/>
  <c r="AB131" i="24"/>
  <c r="J131" i="25" s="1"/>
  <c r="N132" i="24"/>
  <c r="M132" i="24"/>
  <c r="AB132" i="24"/>
  <c r="J132" i="25" s="1"/>
  <c r="X110" i="24"/>
  <c r="O110" i="25" s="1"/>
  <c r="AC127" i="24"/>
  <c r="M130" i="24"/>
  <c r="AC132" i="24"/>
  <c r="K132" i="25" s="1"/>
  <c r="AC142" i="24"/>
  <c r="K142" i="25" s="1"/>
  <c r="N142" i="24"/>
  <c r="M142" i="24"/>
  <c r="G110" i="24"/>
  <c r="Z110" i="24" s="1"/>
  <c r="T110" i="25" s="1"/>
  <c r="AB119" i="24"/>
  <c r="J119" i="25" s="1"/>
  <c r="G127" i="24"/>
  <c r="N130" i="24"/>
  <c r="G131" i="24"/>
  <c r="AA131" i="24" s="1"/>
  <c r="S131" i="25" s="1"/>
  <c r="N120" i="24"/>
  <c r="G132" i="24"/>
  <c r="N151" i="24"/>
  <c r="M151" i="24"/>
  <c r="AC151" i="24"/>
  <c r="K151" i="25" s="1"/>
  <c r="AB110" i="24"/>
  <c r="X113" i="24"/>
  <c r="O113" i="25" s="1"/>
  <c r="AC125" i="24"/>
  <c r="K125" i="25" s="1"/>
  <c r="X125" i="24"/>
  <c r="O125" i="25" s="1"/>
  <c r="AC110" i="24"/>
  <c r="K110" i="25" s="1"/>
  <c r="G113" i="24"/>
  <c r="Z113" i="24" s="1"/>
  <c r="T113" i="25" s="1"/>
  <c r="X136" i="24"/>
  <c r="O136" i="25" s="1"/>
  <c r="G142" i="24"/>
  <c r="X109" i="24"/>
  <c r="O109" i="25" s="1"/>
  <c r="AB113" i="24"/>
  <c r="J113" i="25" s="1"/>
  <c r="G116" i="24"/>
  <c r="AC119" i="24"/>
  <c r="K119" i="25" s="1"/>
  <c r="G121" i="24"/>
  <c r="AB121" i="24"/>
  <c r="AD121" i="24" s="1"/>
  <c r="W121" i="25" s="1"/>
  <c r="AB125" i="24"/>
  <c r="J125" i="25" s="1"/>
  <c r="AE137" i="24"/>
  <c r="X137" i="25" s="1"/>
  <c r="G151" i="24"/>
  <c r="G109" i="24"/>
  <c r="AT109" i="24" s="1"/>
  <c r="AU109" i="24" s="1"/>
  <c r="AC113" i="24"/>
  <c r="N139" i="24"/>
  <c r="M139" i="24"/>
  <c r="M110" i="24"/>
  <c r="AC123" i="24"/>
  <c r="K123" i="25" s="1"/>
  <c r="G125" i="24"/>
  <c r="X151" i="24"/>
  <c r="O151" i="25" s="1"/>
  <c r="AE104" i="24"/>
  <c r="AD106" i="24"/>
  <c r="W106" i="25" s="1"/>
  <c r="AB109" i="24"/>
  <c r="J109" i="25" s="1"/>
  <c r="G89" i="24"/>
  <c r="AC109" i="24"/>
  <c r="K109" i="25" s="1"/>
  <c r="M113" i="24"/>
  <c r="X115" i="24"/>
  <c r="O115" i="25" s="1"/>
  <c r="M119" i="24"/>
  <c r="N126" i="24"/>
  <c r="AC126" i="24"/>
  <c r="K126" i="25" s="1"/>
  <c r="AB126" i="24"/>
  <c r="G139" i="24"/>
  <c r="X142" i="24"/>
  <c r="O142" i="25" s="1"/>
  <c r="AC155" i="24"/>
  <c r="K155" i="25" s="1"/>
  <c r="AB155" i="24"/>
  <c r="J155" i="25" s="1"/>
  <c r="N155" i="24"/>
  <c r="M155" i="24"/>
  <c r="G155" i="24"/>
  <c r="AT155" i="24" s="1"/>
  <c r="AU155" i="24" s="1"/>
  <c r="X199" i="24"/>
  <c r="O199" i="25" s="1"/>
  <c r="G199" i="24"/>
  <c r="AC199" i="24"/>
  <c r="K199" i="25" s="1"/>
  <c r="AB199" i="24"/>
  <c r="J199" i="25" s="1"/>
  <c r="N199" i="24"/>
  <c r="M199" i="24"/>
  <c r="N146" i="24"/>
  <c r="X146" i="24"/>
  <c r="O146" i="25" s="1"/>
  <c r="G146" i="24"/>
  <c r="Z146" i="24" s="1"/>
  <c r="T146" i="25" s="1"/>
  <c r="X156" i="24"/>
  <c r="O156" i="25" s="1"/>
  <c r="G156" i="24"/>
  <c r="Z156" i="24" s="1"/>
  <c r="T156" i="25" s="1"/>
  <c r="N156" i="24"/>
  <c r="M156" i="24"/>
  <c r="AB156" i="24"/>
  <c r="J156" i="25" s="1"/>
  <c r="AC162" i="24"/>
  <c r="K162" i="25" s="1"/>
  <c r="AB162" i="24"/>
  <c r="J162" i="25" s="1"/>
  <c r="N162" i="24"/>
  <c r="M148" i="24"/>
  <c r="X148" i="24"/>
  <c r="O148" i="25" s="1"/>
  <c r="AC156" i="24"/>
  <c r="K156" i="25" s="1"/>
  <c r="N174" i="24"/>
  <c r="M174" i="24"/>
  <c r="AC174" i="24"/>
  <c r="K174" i="25" s="1"/>
  <c r="AB174" i="24"/>
  <c r="J174" i="25" s="1"/>
  <c r="G174" i="24"/>
  <c r="X174" i="24"/>
  <c r="O174" i="25" s="1"/>
  <c r="N169" i="24"/>
  <c r="M169" i="24"/>
  <c r="AC169" i="24"/>
  <c r="K169" i="25" s="1"/>
  <c r="AB169" i="24"/>
  <c r="J169" i="25" s="1"/>
  <c r="G169" i="24"/>
  <c r="X169" i="24"/>
  <c r="O169" i="25" s="1"/>
  <c r="AB146" i="24"/>
  <c r="X154" i="24"/>
  <c r="O154" i="25" s="1"/>
  <c r="G154" i="24"/>
  <c r="N180" i="24"/>
  <c r="M180" i="24"/>
  <c r="G180" i="24"/>
  <c r="AC180" i="24"/>
  <c r="K180" i="25" s="1"/>
  <c r="AB180" i="24"/>
  <c r="J180" i="25" s="1"/>
  <c r="X138" i="24"/>
  <c r="O138" i="25" s="1"/>
  <c r="G141" i="24"/>
  <c r="AB141" i="24"/>
  <c r="J141" i="25" s="1"/>
  <c r="N143" i="24"/>
  <c r="AC146" i="24"/>
  <c r="G148" i="24"/>
  <c r="AT148" i="24" s="1"/>
  <c r="AU148" i="24" s="1"/>
  <c r="AB148" i="24"/>
  <c r="J148" i="25" s="1"/>
  <c r="AB152" i="24"/>
  <c r="J152" i="25" s="1"/>
  <c r="G162" i="24"/>
  <c r="AC141" i="24"/>
  <c r="K141" i="25" s="1"/>
  <c r="X143" i="24"/>
  <c r="O143" i="25" s="1"/>
  <c r="AC148" i="24"/>
  <c r="K148" i="25" s="1"/>
  <c r="G152" i="24"/>
  <c r="AC152" i="24"/>
  <c r="K152" i="25" s="1"/>
  <c r="AB154" i="24"/>
  <c r="J154" i="25" s="1"/>
  <c r="X180" i="24"/>
  <c r="O180" i="25" s="1"/>
  <c r="G138" i="24"/>
  <c r="AC154" i="24"/>
  <c r="K154" i="25" s="1"/>
  <c r="M162" i="24"/>
  <c r="M186" i="24"/>
  <c r="AC186" i="24"/>
  <c r="K186" i="25" s="1"/>
  <c r="N186" i="24"/>
  <c r="G186" i="24"/>
  <c r="AB186" i="24"/>
  <c r="J186" i="25" s="1"/>
  <c r="X186" i="24"/>
  <c r="O186" i="25" s="1"/>
  <c r="AB138" i="24"/>
  <c r="J138" i="25" s="1"/>
  <c r="G143" i="24"/>
  <c r="AC145" i="24"/>
  <c r="K145" i="25" s="1"/>
  <c r="G129" i="24"/>
  <c r="X129" i="24"/>
  <c r="O129" i="25" s="1"/>
  <c r="AC138" i="24"/>
  <c r="K138" i="25" s="1"/>
  <c r="X140" i="24"/>
  <c r="O140" i="25" s="1"/>
  <c r="AB143" i="24"/>
  <c r="J143" i="25" s="1"/>
  <c r="AB147" i="24"/>
  <c r="J147" i="25" s="1"/>
  <c r="G118" i="24"/>
  <c r="AA118" i="24" s="1"/>
  <c r="S118" i="25" s="1"/>
  <c r="G134" i="24"/>
  <c r="AA134" i="24" s="1"/>
  <c r="S134" i="25" s="1"/>
  <c r="AD137" i="24"/>
  <c r="W137" i="25" s="1"/>
  <c r="M141" i="24"/>
  <c r="AC143" i="24"/>
  <c r="K143" i="25" s="1"/>
  <c r="X145" i="24"/>
  <c r="O145" i="25" s="1"/>
  <c r="M146" i="24"/>
  <c r="X147" i="24"/>
  <c r="O147" i="25" s="1"/>
  <c r="X149" i="24"/>
  <c r="O149" i="25" s="1"/>
  <c r="G149" i="24"/>
  <c r="Z149" i="24" s="1"/>
  <c r="T149" i="25" s="1"/>
  <c r="M158" i="24"/>
  <c r="O158" i="24" s="1"/>
  <c r="G158" i="24"/>
  <c r="AT158" i="24" s="1"/>
  <c r="AU158" i="24" s="1"/>
  <c r="X158" i="24"/>
  <c r="O158" i="25" s="1"/>
  <c r="AC173" i="24"/>
  <c r="K173" i="25" s="1"/>
  <c r="AB173" i="24"/>
  <c r="J173" i="25" s="1"/>
  <c r="G173" i="24"/>
  <c r="X173" i="24"/>
  <c r="O173" i="25" s="1"/>
  <c r="N184" i="24"/>
  <c r="M195" i="24"/>
  <c r="AC195" i="24"/>
  <c r="K195" i="25" s="1"/>
  <c r="AB195" i="24"/>
  <c r="AC189" i="24"/>
  <c r="K189" i="25" s="1"/>
  <c r="AB189" i="24"/>
  <c r="J189" i="25" s="1"/>
  <c r="N179" i="24"/>
  <c r="G195" i="24"/>
  <c r="N196" i="24"/>
  <c r="AC196" i="24"/>
  <c r="K196" i="25" s="1"/>
  <c r="M170" i="24"/>
  <c r="O170" i="24" s="1"/>
  <c r="M175" i="24"/>
  <c r="O175" i="24" s="1"/>
  <c r="X166" i="24"/>
  <c r="O166" i="25" s="1"/>
  <c r="N170" i="24"/>
  <c r="N175" i="24"/>
  <c r="X183" i="24"/>
  <c r="O183" i="25" s="1"/>
  <c r="G183" i="24"/>
  <c r="AC183" i="24"/>
  <c r="K183" i="25" s="1"/>
  <c r="G189" i="24"/>
  <c r="AT189" i="24" s="1"/>
  <c r="AU189" i="24" s="1"/>
  <c r="X163" i="24"/>
  <c r="O163" i="25" s="1"/>
  <c r="X171" i="24"/>
  <c r="O171" i="25" s="1"/>
  <c r="N190" i="24"/>
  <c r="M190" i="24"/>
  <c r="O190" i="24" s="1"/>
  <c r="X190" i="24"/>
  <c r="O190" i="25" s="1"/>
  <c r="G190" i="24"/>
  <c r="AA190" i="24" s="1"/>
  <c r="S190" i="25" s="1"/>
  <c r="AB190" i="24"/>
  <c r="AD190" i="24" s="1"/>
  <c r="W190" i="25" s="1"/>
  <c r="N195" i="24"/>
  <c r="G163" i="24"/>
  <c r="G166" i="24"/>
  <c r="AC168" i="24"/>
  <c r="X193" i="24"/>
  <c r="O193" i="25" s="1"/>
  <c r="G193" i="24"/>
  <c r="AC193" i="24"/>
  <c r="K193" i="25" s="1"/>
  <c r="G196" i="24"/>
  <c r="AC205" i="24"/>
  <c r="K205" i="25" s="1"/>
  <c r="AB205" i="24"/>
  <c r="J205" i="25" s="1"/>
  <c r="X205" i="24"/>
  <c r="O205" i="25" s="1"/>
  <c r="G205" i="24"/>
  <c r="N205" i="24"/>
  <c r="M205" i="24"/>
  <c r="AD203" i="24"/>
  <c r="N189" i="24"/>
  <c r="AB191" i="24"/>
  <c r="AC184" i="24"/>
  <c r="K184" i="25" s="1"/>
  <c r="AB184" i="24"/>
  <c r="J184" i="25" s="1"/>
  <c r="X184" i="24"/>
  <c r="O184" i="25" s="1"/>
  <c r="G184" i="24"/>
  <c r="M196" i="24"/>
  <c r="X170" i="24"/>
  <c r="O170" i="25" s="1"/>
  <c r="X175" i="24"/>
  <c r="O175" i="25" s="1"/>
  <c r="M179" i="24"/>
  <c r="O179" i="24" s="1"/>
  <c r="AC179" i="24"/>
  <c r="K179" i="25" s="1"/>
  <c r="M183" i="24"/>
  <c r="O183" i="24" s="1"/>
  <c r="N163" i="24"/>
  <c r="M166" i="24"/>
  <c r="O166" i="24" s="1"/>
  <c r="N183" i="24"/>
  <c r="N185" i="24"/>
  <c r="M185" i="24"/>
  <c r="AB185" i="24"/>
  <c r="J185" i="25" s="1"/>
  <c r="G191" i="24"/>
  <c r="AT191" i="24" s="1"/>
  <c r="AU191" i="24" s="1"/>
  <c r="N166" i="24"/>
  <c r="G170" i="24"/>
  <c r="M171" i="24"/>
  <c r="O171" i="24" s="1"/>
  <c r="G175" i="24"/>
  <c r="AT175" i="24" s="1"/>
  <c r="AU175" i="24" s="1"/>
  <c r="AB179" i="24"/>
  <c r="J179" i="25" s="1"/>
  <c r="AC185" i="24"/>
  <c r="K185" i="25" s="1"/>
  <c r="M193" i="24"/>
  <c r="O193" i="24" s="1"/>
  <c r="X195" i="24"/>
  <c r="O195" i="25" s="1"/>
  <c r="M198" i="24"/>
  <c r="O198" i="24" s="1"/>
  <c r="X198" i="24"/>
  <c r="O198" i="25" s="1"/>
  <c r="AB157" i="24"/>
  <c r="X161" i="24"/>
  <c r="O161" i="25" s="1"/>
  <c r="M168" i="24"/>
  <c r="N171" i="24"/>
  <c r="X172" i="24"/>
  <c r="O172" i="25" s="1"/>
  <c r="G172" i="24"/>
  <c r="Z172" i="24" s="1"/>
  <c r="T172" i="25" s="1"/>
  <c r="X177" i="24"/>
  <c r="O177" i="25" s="1"/>
  <c r="G177" i="24"/>
  <c r="G179" i="24"/>
  <c r="AB182" i="24"/>
  <c r="J182" i="25" s="1"/>
  <c r="M184" i="24"/>
  <c r="N193" i="24"/>
  <c r="N201" i="24"/>
  <c r="M201" i="24"/>
  <c r="AB201" i="24"/>
  <c r="J201" i="25" s="1"/>
  <c r="AA201" i="24"/>
  <c r="S201" i="25" s="1"/>
  <c r="AA202" i="24"/>
  <c r="S202" i="25" s="1"/>
  <c r="N187" i="24"/>
  <c r="AC202" i="24"/>
  <c r="N203" i="24"/>
  <c r="G206" i="24"/>
  <c r="X206" i="24"/>
  <c r="O206" i="25" s="1"/>
  <c r="G200" i="24"/>
  <c r="X200" i="24"/>
  <c r="O200" i="25" s="1"/>
  <c r="M202" i="24"/>
  <c r="O202" i="24" s="1"/>
  <c r="N202" i="25" s="1"/>
  <c r="AB206" i="24"/>
  <c r="J206" i="25" s="1"/>
  <c r="AC206" i="24"/>
  <c r="K206" i="25" s="1"/>
  <c r="AB200" i="24"/>
  <c r="J200" i="25" s="1"/>
  <c r="G188" i="24"/>
  <c r="Z188" i="24" s="1"/>
  <c r="T188" i="25" s="1"/>
  <c r="X188" i="24"/>
  <c r="O188" i="25" s="1"/>
  <c r="AA194" i="24"/>
  <c r="S194" i="25" s="1"/>
  <c r="AC200" i="24"/>
  <c r="K200" i="25" s="1"/>
  <c r="G204" i="24"/>
  <c r="Z204" i="24" s="1"/>
  <c r="T204" i="25" s="1"/>
  <c r="X204" i="24"/>
  <c r="O204" i="25" s="1"/>
  <c r="M206" i="24"/>
  <c r="O206" i="24" s="1"/>
  <c r="AE178" i="24" l="1"/>
  <c r="X178" i="25" s="1"/>
  <c r="Z85" i="24"/>
  <c r="T85" i="25" s="1"/>
  <c r="AT52" i="24"/>
  <c r="AU52" i="24" s="1"/>
  <c r="AD93" i="24"/>
  <c r="W93" i="25" s="1"/>
  <c r="AE93" i="24"/>
  <c r="X93" i="25" s="1"/>
  <c r="Q165" i="24"/>
  <c r="AT56" i="24"/>
  <c r="AU56" i="24" s="1"/>
  <c r="AE21" i="24"/>
  <c r="X21" i="25" s="1"/>
  <c r="AD21" i="24"/>
  <c r="W21" i="25" s="1"/>
  <c r="AE106" i="24"/>
  <c r="X106" i="25" s="1"/>
  <c r="AE188" i="24"/>
  <c r="X188" i="25" s="1"/>
  <c r="AD133" i="24"/>
  <c r="W133" i="25" s="1"/>
  <c r="Z137" i="24"/>
  <c r="T137" i="25" s="1"/>
  <c r="AE134" i="24"/>
  <c r="X134" i="25" s="1"/>
  <c r="AD134" i="24"/>
  <c r="W134" i="25" s="1"/>
  <c r="AE133" i="24"/>
  <c r="X133" i="25" s="1"/>
  <c r="Z120" i="24"/>
  <c r="T120" i="25" s="1"/>
  <c r="AT57" i="24"/>
  <c r="AU57" i="24" s="1"/>
  <c r="AE111" i="24"/>
  <c r="X111" i="25" s="1"/>
  <c r="AE153" i="24"/>
  <c r="X153" i="25" s="1"/>
  <c r="AT74" i="24"/>
  <c r="AU74" i="24" s="1"/>
  <c r="Z79" i="24"/>
  <c r="T79" i="25" s="1"/>
  <c r="AT114" i="24"/>
  <c r="AU114" i="24" s="1"/>
  <c r="AE34" i="24"/>
  <c r="X34" i="25" s="1"/>
  <c r="AD167" i="24"/>
  <c r="W167" i="25" s="1"/>
  <c r="AD153" i="24"/>
  <c r="W153" i="25" s="1"/>
  <c r="Z61" i="24"/>
  <c r="T61" i="25" s="1"/>
  <c r="AD34" i="24"/>
  <c r="W34" i="25" s="1"/>
  <c r="AD79" i="24"/>
  <c r="W79" i="25" s="1"/>
  <c r="AT133" i="24"/>
  <c r="AU133" i="24" s="1"/>
  <c r="AD70" i="24"/>
  <c r="W70" i="25" s="1"/>
  <c r="Q79" i="24"/>
  <c r="AE181" i="24"/>
  <c r="X181" i="25" s="1"/>
  <c r="AT152" i="24"/>
  <c r="AU152" i="24" s="1"/>
  <c r="Z101" i="24"/>
  <c r="T101" i="25" s="1"/>
  <c r="AA66" i="24"/>
  <c r="S66" i="25" s="1"/>
  <c r="AT199" i="24"/>
  <c r="AU199" i="24" s="1"/>
  <c r="AD64" i="24"/>
  <c r="W64" i="25" s="1"/>
  <c r="AT12" i="24"/>
  <c r="AU12" i="24" s="1"/>
  <c r="AT169" i="24"/>
  <c r="AU169" i="24" s="1"/>
  <c r="AD181" i="24"/>
  <c r="W181" i="25" s="1"/>
  <c r="Z105" i="24"/>
  <c r="T105" i="25" s="1"/>
  <c r="AT179" i="24"/>
  <c r="AU179" i="24" s="1"/>
  <c r="Q101" i="24"/>
  <c r="Q85" i="24"/>
  <c r="Q105" i="24"/>
  <c r="AD84" i="24"/>
  <c r="W84" i="25" s="1"/>
  <c r="AT6" i="24"/>
  <c r="AU6" i="24" s="1"/>
  <c r="AT168" i="24"/>
  <c r="AU168" i="24" s="1"/>
  <c r="AT68" i="24"/>
  <c r="AU68" i="24" s="1"/>
  <c r="AT137" i="24"/>
  <c r="AU137" i="24" s="1"/>
  <c r="AT182" i="24"/>
  <c r="AU182" i="24" s="1"/>
  <c r="AE96" i="24"/>
  <c r="X96" i="25" s="1"/>
  <c r="AT159" i="24"/>
  <c r="AU159" i="24" s="1"/>
  <c r="AT21" i="24"/>
  <c r="AU21" i="24" s="1"/>
  <c r="AT123" i="24"/>
  <c r="AU123" i="24" s="1"/>
  <c r="AT85" i="24"/>
  <c r="AU85" i="24" s="1"/>
  <c r="AD96" i="24"/>
  <c r="W96" i="25" s="1"/>
  <c r="AT22" i="24"/>
  <c r="AU22" i="24" s="1"/>
  <c r="AD111" i="24"/>
  <c r="W111" i="25" s="1"/>
  <c r="AT29" i="24"/>
  <c r="AU29" i="24" s="1"/>
  <c r="AT196" i="24"/>
  <c r="AU196" i="24" s="1"/>
  <c r="AT76" i="24"/>
  <c r="AU76" i="24" s="1"/>
  <c r="AT36" i="24"/>
  <c r="AU36" i="24" s="1"/>
  <c r="AT170" i="24"/>
  <c r="AU170" i="24" s="1"/>
  <c r="AT144" i="24"/>
  <c r="AU144" i="24" s="1"/>
  <c r="AT64" i="24"/>
  <c r="AU64" i="24" s="1"/>
  <c r="AT110" i="24"/>
  <c r="AU110" i="24" s="1"/>
  <c r="AT165" i="24"/>
  <c r="AU165" i="24" s="1"/>
  <c r="AT93" i="24"/>
  <c r="AU93" i="24" s="1"/>
  <c r="AT11" i="24"/>
  <c r="AU11" i="24" s="1"/>
  <c r="AT126" i="24"/>
  <c r="AU126" i="24" s="1"/>
  <c r="AT156" i="24"/>
  <c r="AU156" i="24" s="1"/>
  <c r="AT116" i="24"/>
  <c r="AU116" i="24" s="1"/>
  <c r="AT19" i="24"/>
  <c r="AU19" i="24" s="1"/>
  <c r="AT195" i="24"/>
  <c r="AU195" i="24" s="1"/>
  <c r="AT106" i="24"/>
  <c r="AU106" i="24" s="1"/>
  <c r="AT193" i="24"/>
  <c r="AU193" i="24" s="1"/>
  <c r="AT41" i="24"/>
  <c r="AU41" i="24" s="1"/>
  <c r="AT88" i="24"/>
  <c r="AU88" i="24" s="1"/>
  <c r="AT142" i="24"/>
  <c r="AU142" i="24" s="1"/>
  <c r="AT82" i="24"/>
  <c r="AU82" i="24" s="1"/>
  <c r="AT188" i="24"/>
  <c r="AU188" i="24" s="1"/>
  <c r="AT108" i="24"/>
  <c r="AU108" i="24" s="1"/>
  <c r="AT154" i="24"/>
  <c r="AU154" i="24" s="1"/>
  <c r="AT200" i="24"/>
  <c r="AU200" i="24" s="1"/>
  <c r="AT128" i="24"/>
  <c r="AU128" i="24" s="1"/>
  <c r="AT14" i="24"/>
  <c r="AU14" i="24" s="1"/>
  <c r="AT48" i="24"/>
  <c r="AU48" i="24" s="1"/>
  <c r="AT31" i="24"/>
  <c r="AU31" i="24" s="1"/>
  <c r="AT62" i="24"/>
  <c r="AU62" i="24" s="1"/>
  <c r="AT61" i="24"/>
  <c r="AU61" i="24" s="1"/>
  <c r="AT83" i="24"/>
  <c r="AU83" i="24" s="1"/>
  <c r="AT202" i="24"/>
  <c r="AU202" i="24" s="1"/>
  <c r="AT162" i="24"/>
  <c r="AU162" i="24" s="1"/>
  <c r="AT121" i="24"/>
  <c r="AU121" i="24" s="1"/>
  <c r="AT81" i="24"/>
  <c r="AU81" i="24" s="1"/>
  <c r="AT40" i="24"/>
  <c r="AU40" i="24" s="1"/>
  <c r="AT151" i="24"/>
  <c r="AU151" i="24" s="1"/>
  <c r="AT125" i="24"/>
  <c r="AU125" i="24" s="1"/>
  <c r="AT34" i="24"/>
  <c r="AU34" i="24" s="1"/>
  <c r="AT28" i="24"/>
  <c r="AU28" i="24" s="1"/>
  <c r="AT73" i="24"/>
  <c r="AU73" i="24" s="1"/>
  <c r="AT174" i="24"/>
  <c r="AU174" i="24" s="1"/>
  <c r="AT134" i="24"/>
  <c r="AU134" i="24" s="1"/>
  <c r="AT157" i="24"/>
  <c r="AU157" i="24" s="1"/>
  <c r="AT140" i="24"/>
  <c r="AU140" i="24" s="1"/>
  <c r="AT75" i="24"/>
  <c r="AU75" i="24" s="1"/>
  <c r="AT130" i="24"/>
  <c r="AU130" i="24" s="1"/>
  <c r="AT147" i="24"/>
  <c r="AU147" i="24" s="1"/>
  <c r="AT27" i="24"/>
  <c r="AU27" i="24" s="1"/>
  <c r="AT71" i="24"/>
  <c r="AU71" i="24" s="1"/>
  <c r="AT183" i="24"/>
  <c r="AU183" i="24" s="1"/>
  <c r="AT60" i="24"/>
  <c r="AU60" i="24" s="1"/>
  <c r="AT187" i="24"/>
  <c r="AU187" i="24" s="1"/>
  <c r="AT184" i="24"/>
  <c r="AU184" i="24" s="1"/>
  <c r="AT120" i="24"/>
  <c r="AU120" i="24" s="1"/>
  <c r="AT143" i="24"/>
  <c r="AU143" i="24" s="1"/>
  <c r="AT18" i="24"/>
  <c r="AU18" i="24" s="1"/>
  <c r="AT94" i="24"/>
  <c r="AU94" i="24" s="1"/>
  <c r="AT79" i="24"/>
  <c r="AU79" i="24" s="1"/>
  <c r="AT180" i="24"/>
  <c r="AU180" i="24" s="1"/>
  <c r="AT100" i="24"/>
  <c r="AU100" i="24" s="1"/>
  <c r="AT20" i="24"/>
  <c r="AU20" i="24" s="1"/>
  <c r="AT194" i="24"/>
  <c r="AU194" i="24" s="1"/>
  <c r="AT138" i="24"/>
  <c r="AU138" i="24" s="1"/>
  <c r="AT177" i="24"/>
  <c r="AU177" i="24" s="1"/>
  <c r="AT105" i="24"/>
  <c r="AU105" i="24" s="1"/>
  <c r="AT176" i="24"/>
  <c r="AU176" i="24" s="1"/>
  <c r="AT39" i="24"/>
  <c r="AU39" i="24" s="1"/>
  <c r="AT32" i="24"/>
  <c r="AU32" i="24" s="1"/>
  <c r="AT23" i="24"/>
  <c r="AU23" i="24" s="1"/>
  <c r="AT53" i="24"/>
  <c r="AU53" i="24" s="1"/>
  <c r="AT115" i="24"/>
  <c r="AU115" i="24" s="1"/>
  <c r="AT90" i="24"/>
  <c r="AU90" i="24" s="1"/>
  <c r="AT59" i="24"/>
  <c r="AU59" i="24" s="1"/>
  <c r="AT98" i="24"/>
  <c r="AU98" i="24" s="1"/>
  <c r="AT65" i="24"/>
  <c r="AU65" i="24" s="1"/>
  <c r="AT25" i="24"/>
  <c r="AU25" i="24" s="1"/>
  <c r="AT192" i="24"/>
  <c r="AU192" i="24" s="1"/>
  <c r="AT206" i="24"/>
  <c r="AU206" i="24" s="1"/>
  <c r="AT54" i="24"/>
  <c r="AU54" i="24" s="1"/>
  <c r="AT77" i="24"/>
  <c r="AU77" i="24" s="1"/>
  <c r="AT132" i="24"/>
  <c r="AU132" i="24" s="1"/>
  <c r="AT92" i="24"/>
  <c r="AU92" i="24" s="1"/>
  <c r="AT7" i="24"/>
  <c r="AU7" i="24" s="1"/>
  <c r="AT135" i="24"/>
  <c r="AU135" i="24" s="1"/>
  <c r="AT166" i="24"/>
  <c r="AU166" i="24" s="1"/>
  <c r="AT46" i="24"/>
  <c r="AU46" i="24" s="1"/>
  <c r="AT181" i="24"/>
  <c r="AU181" i="24" s="1"/>
  <c r="AT149" i="24"/>
  <c r="AU149" i="24" s="1"/>
  <c r="AT5" i="24"/>
  <c r="AU5" i="24" s="1"/>
  <c r="AT172" i="24"/>
  <c r="AU172" i="24" s="1"/>
  <c r="AT50" i="24"/>
  <c r="AU50" i="24" s="1"/>
  <c r="AT10" i="24"/>
  <c r="AU10" i="24" s="1"/>
  <c r="AT139" i="24"/>
  <c r="AU139" i="24" s="1"/>
  <c r="AT186" i="24"/>
  <c r="AU186" i="24" s="1"/>
  <c r="AT96" i="24"/>
  <c r="AU96" i="24" s="1"/>
  <c r="AT16" i="24"/>
  <c r="AU16" i="24" s="1"/>
  <c r="AT15" i="24"/>
  <c r="AU15" i="24" s="1"/>
  <c r="AT104" i="24"/>
  <c r="AU104" i="24" s="1"/>
  <c r="AT30" i="24"/>
  <c r="AU30" i="24" s="1"/>
  <c r="AT198" i="24"/>
  <c r="AU198" i="24" s="1"/>
  <c r="AT86" i="24"/>
  <c r="AU86" i="24" s="1"/>
  <c r="AT45" i="24"/>
  <c r="AU45" i="24" s="1"/>
  <c r="AT67" i="24"/>
  <c r="AU67" i="24" s="1"/>
  <c r="AT58" i="24"/>
  <c r="AU58" i="24" s="1"/>
  <c r="AT66" i="24"/>
  <c r="AU66" i="24" s="1"/>
  <c r="AT97" i="24"/>
  <c r="AU97" i="24" s="1"/>
  <c r="AT160" i="24"/>
  <c r="AU160" i="24" s="1"/>
  <c r="AT127" i="24"/>
  <c r="AU127" i="24" s="1"/>
  <c r="AT141" i="24"/>
  <c r="AU141" i="24" s="1"/>
  <c r="AT164" i="24"/>
  <c r="AU164" i="24" s="1"/>
  <c r="AT124" i="24"/>
  <c r="AU124" i="24" s="1"/>
  <c r="AT4" i="24"/>
  <c r="AU4" i="24" s="1"/>
  <c r="AT171" i="24"/>
  <c r="AU171" i="24" s="1"/>
  <c r="AT42" i="24"/>
  <c r="AU42" i="24" s="1"/>
  <c r="AT72" i="24"/>
  <c r="AU72" i="24" s="1"/>
  <c r="AT55" i="24"/>
  <c r="AU55" i="24" s="1"/>
  <c r="AT37" i="24"/>
  <c r="AU37" i="24" s="1"/>
  <c r="AT43" i="24"/>
  <c r="AU43" i="24" s="1"/>
  <c r="AT44" i="24"/>
  <c r="AU44" i="24" s="1"/>
  <c r="AT35" i="24"/>
  <c r="AU35" i="24" s="1"/>
  <c r="AT129" i="24"/>
  <c r="AU129" i="24" s="1"/>
  <c r="AT17" i="24"/>
  <c r="AU17" i="24" s="1"/>
  <c r="AT78" i="24"/>
  <c r="AU78" i="24" s="1"/>
  <c r="AT101" i="24"/>
  <c r="AU101" i="24" s="1"/>
  <c r="AT26" i="24"/>
  <c r="AU26" i="24" s="1"/>
  <c r="AT84" i="24"/>
  <c r="AU84" i="24" s="1"/>
  <c r="AT3" i="24"/>
  <c r="AU3" i="24" s="1"/>
  <c r="AT163" i="24"/>
  <c r="AU163" i="24" s="1"/>
  <c r="AT49" i="24"/>
  <c r="AU49" i="24" s="1"/>
  <c r="AT9" i="24"/>
  <c r="AU9" i="24" s="1"/>
  <c r="AT38" i="24"/>
  <c r="AU38" i="24" s="1"/>
  <c r="AT80" i="24"/>
  <c r="AU80" i="24" s="1"/>
  <c r="AT118" i="24"/>
  <c r="AU118" i="24" s="1"/>
  <c r="AT69" i="24"/>
  <c r="AU69" i="24" s="1"/>
  <c r="AT131" i="24"/>
  <c r="AU131" i="24" s="1"/>
  <c r="AT107" i="24"/>
  <c r="AU107" i="24" s="1"/>
  <c r="AT99" i="24"/>
  <c r="AU99" i="24" s="1"/>
  <c r="AT201" i="24"/>
  <c r="AU201" i="24" s="1"/>
  <c r="AT89" i="24"/>
  <c r="AU89" i="24" s="1"/>
  <c r="AT103" i="24"/>
  <c r="AU103" i="24" s="1"/>
  <c r="AT111" i="24"/>
  <c r="AU111" i="24" s="1"/>
  <c r="AT190" i="24"/>
  <c r="AU190" i="24" s="1"/>
  <c r="AT150" i="24"/>
  <c r="AU150" i="24" s="1"/>
  <c r="AT70" i="24"/>
  <c r="AU70" i="24" s="1"/>
  <c r="AT205" i="24"/>
  <c r="AU205" i="24" s="1"/>
  <c r="AT173" i="24"/>
  <c r="AU173" i="24" s="1"/>
  <c r="AT51" i="24"/>
  <c r="AU51" i="24" s="1"/>
  <c r="AT113" i="24"/>
  <c r="AU113" i="24" s="1"/>
  <c r="AT33" i="24"/>
  <c r="AU33" i="24" s="1"/>
  <c r="AT153" i="24"/>
  <c r="AU153" i="24" s="1"/>
  <c r="AT13" i="24"/>
  <c r="AU13" i="24" s="1"/>
  <c r="AT112" i="24"/>
  <c r="AU112" i="24" s="1"/>
  <c r="AT24" i="24"/>
  <c r="AU24" i="24" s="1"/>
  <c r="AT8" i="24"/>
  <c r="AU8" i="24" s="1"/>
  <c r="AT146" i="24"/>
  <c r="AU146" i="24" s="1"/>
  <c r="AT167" i="24"/>
  <c r="AU167" i="24" s="1"/>
  <c r="AT197" i="24"/>
  <c r="AU197" i="24" s="1"/>
  <c r="AT204" i="24"/>
  <c r="AU204" i="24" s="1"/>
  <c r="AT203" i="24"/>
  <c r="AU203" i="24" s="1"/>
  <c r="AT122" i="24"/>
  <c r="AU122" i="24" s="1"/>
  <c r="AT63" i="24"/>
  <c r="AU63" i="24" s="1"/>
  <c r="AT178" i="24"/>
  <c r="AU178" i="24" s="1"/>
  <c r="AT119" i="24"/>
  <c r="AU119" i="24" s="1"/>
  <c r="Z119" i="24"/>
  <c r="T119" i="25" s="1"/>
  <c r="Q203" i="24"/>
  <c r="AE84" i="24"/>
  <c r="X84" i="25" s="1"/>
  <c r="AE70" i="24"/>
  <c r="X70" i="25" s="1"/>
  <c r="Z147" i="24"/>
  <c r="T147" i="25" s="1"/>
  <c r="AE187" i="24"/>
  <c r="X187" i="25" s="1"/>
  <c r="AD187" i="24"/>
  <c r="W187" i="25" s="1"/>
  <c r="AA5" i="24"/>
  <c r="S5" i="25" s="1"/>
  <c r="AD164" i="24"/>
  <c r="W164" i="25" s="1"/>
  <c r="AA167" i="24"/>
  <c r="S167" i="25" s="1"/>
  <c r="AD197" i="24"/>
  <c r="W197" i="25" s="1"/>
  <c r="AA112" i="24"/>
  <c r="S112" i="25" s="1"/>
  <c r="AD149" i="24"/>
  <c r="W149" i="25" s="1"/>
  <c r="AE19" i="24"/>
  <c r="X19" i="25" s="1"/>
  <c r="AE149" i="24"/>
  <c r="X149" i="25" s="1"/>
  <c r="AE164" i="24"/>
  <c r="X164" i="25" s="1"/>
  <c r="AA69" i="24"/>
  <c r="S69" i="25" s="1"/>
  <c r="Z157" i="24"/>
  <c r="T157" i="25" s="1"/>
  <c r="AD122" i="24"/>
  <c r="W122" i="25" s="1"/>
  <c r="AE197" i="24"/>
  <c r="X197" i="25" s="1"/>
  <c r="AD100" i="24"/>
  <c r="W100" i="25" s="1"/>
  <c r="AD89" i="24"/>
  <c r="W89" i="25" s="1"/>
  <c r="AD118" i="24"/>
  <c r="W118" i="25" s="1"/>
  <c r="AE89" i="24"/>
  <c r="X89" i="25" s="1"/>
  <c r="Z197" i="24"/>
  <c r="T197" i="25" s="1"/>
  <c r="AE79" i="24"/>
  <c r="X79" i="25" s="1"/>
  <c r="AE122" i="24"/>
  <c r="X122" i="25" s="1"/>
  <c r="AD33" i="24"/>
  <c r="W33" i="25" s="1"/>
  <c r="AD69" i="24"/>
  <c r="W69" i="25" s="1"/>
  <c r="AD188" i="24"/>
  <c r="W188" i="25" s="1"/>
  <c r="AA181" i="24"/>
  <c r="S181" i="25" s="1"/>
  <c r="AE33" i="24"/>
  <c r="X33" i="25" s="1"/>
  <c r="Z93" i="24"/>
  <c r="T93" i="25" s="1"/>
  <c r="AA38" i="24"/>
  <c r="S38" i="25" s="1"/>
  <c r="AA33" i="24"/>
  <c r="S33" i="25" s="1"/>
  <c r="Z24" i="24"/>
  <c r="T24" i="25" s="1"/>
  <c r="Z18" i="24"/>
  <c r="T18" i="25" s="1"/>
  <c r="Z45" i="24"/>
  <c r="T45" i="25" s="1"/>
  <c r="Z58" i="24"/>
  <c r="T58" i="25" s="1"/>
  <c r="Q133" i="24"/>
  <c r="AA100" i="24"/>
  <c r="S100" i="25" s="1"/>
  <c r="Q84" i="24"/>
  <c r="Q100" i="24"/>
  <c r="AD78" i="24"/>
  <c r="W78" i="25" s="1"/>
  <c r="AE77" i="24"/>
  <c r="X77" i="25" s="1"/>
  <c r="AE167" i="24"/>
  <c r="X167" i="25" s="1"/>
  <c r="AA84" i="24"/>
  <c r="S84" i="25" s="1"/>
  <c r="AE78" i="24"/>
  <c r="X78" i="25" s="1"/>
  <c r="Q89" i="24"/>
  <c r="AD65" i="24"/>
  <c r="W65" i="25" s="1"/>
  <c r="AE16" i="24"/>
  <c r="X16" i="25" s="1"/>
  <c r="Q20" i="24"/>
  <c r="AD63" i="24"/>
  <c r="W63" i="25" s="1"/>
  <c r="AE65" i="24"/>
  <c r="X65" i="25" s="1"/>
  <c r="Z122" i="24"/>
  <c r="T122" i="25" s="1"/>
  <c r="AD16" i="24"/>
  <c r="Q69" i="24"/>
  <c r="Z31" i="24"/>
  <c r="T31" i="25" s="1"/>
  <c r="AE69" i="24"/>
  <c r="X69" i="25" s="1"/>
  <c r="Z19" i="24"/>
  <c r="T19" i="25" s="1"/>
  <c r="AD204" i="24"/>
  <c r="W204" i="25" s="1"/>
  <c r="AE85" i="24"/>
  <c r="X85" i="25" s="1"/>
  <c r="AD19" i="24"/>
  <c r="AD44" i="24"/>
  <c r="W44" i="25" s="1"/>
  <c r="AA77" i="24"/>
  <c r="S77" i="25" s="1"/>
  <c r="AE150" i="24"/>
  <c r="X150" i="25" s="1"/>
  <c r="Z104" i="24"/>
  <c r="T104" i="25" s="1"/>
  <c r="AE44" i="24"/>
  <c r="X44" i="25" s="1"/>
  <c r="AE194" i="24"/>
  <c r="X194" i="25" s="1"/>
  <c r="AE53" i="24"/>
  <c r="X53" i="25" s="1"/>
  <c r="AD194" i="24"/>
  <c r="AD116" i="24"/>
  <c r="W116" i="25" s="1"/>
  <c r="Z187" i="24"/>
  <c r="T187" i="25" s="1"/>
  <c r="Z16" i="24"/>
  <c r="T16" i="25" s="1"/>
  <c r="AE60" i="24"/>
  <c r="X60" i="25" s="1"/>
  <c r="AE116" i="24"/>
  <c r="X116" i="25" s="1"/>
  <c r="AE118" i="24"/>
  <c r="X118" i="25" s="1"/>
  <c r="AE24" i="24"/>
  <c r="X24" i="25" s="1"/>
  <c r="Z150" i="24"/>
  <c r="T150" i="25" s="1"/>
  <c r="AE172" i="24"/>
  <c r="X172" i="25" s="1"/>
  <c r="AE105" i="24"/>
  <c r="X105" i="25" s="1"/>
  <c r="AE100" i="24"/>
  <c r="X100" i="25" s="1"/>
  <c r="AD24" i="24"/>
  <c r="W24" i="25" s="1"/>
  <c r="AD20" i="24"/>
  <c r="AD172" i="24"/>
  <c r="W172" i="25" s="1"/>
  <c r="AD150" i="24"/>
  <c r="Q65" i="24"/>
  <c r="AD105" i="24"/>
  <c r="W105" i="25" s="1"/>
  <c r="Z164" i="24"/>
  <c r="T164" i="25" s="1"/>
  <c r="AA98" i="24"/>
  <c r="S98" i="25" s="1"/>
  <c r="AD85" i="24"/>
  <c r="W85" i="25" s="1"/>
  <c r="AD101" i="24"/>
  <c r="W101" i="25" s="1"/>
  <c r="AE204" i="24"/>
  <c r="X204" i="25" s="1"/>
  <c r="AE20" i="24"/>
  <c r="X20" i="25" s="1"/>
  <c r="AE101" i="24"/>
  <c r="X101" i="25" s="1"/>
  <c r="AA178" i="24"/>
  <c r="S178" i="25" s="1"/>
  <c r="AA78" i="24"/>
  <c r="S78" i="25" s="1"/>
  <c r="AE165" i="24"/>
  <c r="X165" i="25" s="1"/>
  <c r="AD158" i="24"/>
  <c r="W158" i="25" s="1"/>
  <c r="AD43" i="24"/>
  <c r="AD38" i="24"/>
  <c r="W38" i="25" s="1"/>
  <c r="AE38" i="24"/>
  <c r="X38" i="25" s="1"/>
  <c r="AE158" i="24"/>
  <c r="X158" i="25" s="1"/>
  <c r="Z62" i="24"/>
  <c r="T62" i="25" s="1"/>
  <c r="Z3" i="24"/>
  <c r="T3" i="25" s="1"/>
  <c r="AD165" i="24"/>
  <c r="AA111" i="24"/>
  <c r="S111" i="25" s="1"/>
  <c r="Z153" i="24"/>
  <c r="T153" i="25" s="1"/>
  <c r="Q78" i="24"/>
  <c r="AA96" i="24"/>
  <c r="S96" i="25" s="1"/>
  <c r="AD60" i="24"/>
  <c r="W60" i="25" s="1"/>
  <c r="AE43" i="24"/>
  <c r="X43" i="25" s="1"/>
  <c r="AE131" i="24"/>
  <c r="X131" i="25" s="1"/>
  <c r="AD131" i="24"/>
  <c r="Q121" i="24"/>
  <c r="AE113" i="24"/>
  <c r="X113" i="25" s="1"/>
  <c r="P179" i="24"/>
  <c r="M179" i="25" s="1"/>
  <c r="N179" i="25"/>
  <c r="AD53" i="24"/>
  <c r="W53" i="25" s="1"/>
  <c r="K53" i="25"/>
  <c r="Q41" i="24"/>
  <c r="P159" i="24"/>
  <c r="M159" i="25" s="1"/>
  <c r="N159" i="25"/>
  <c r="P171" i="24"/>
  <c r="M171" i="25" s="1"/>
  <c r="N171" i="25"/>
  <c r="AD31" i="24"/>
  <c r="W31" i="25" s="1"/>
  <c r="K31" i="25"/>
  <c r="P167" i="24"/>
  <c r="M167" i="25" s="1"/>
  <c r="N167" i="25"/>
  <c r="P137" i="24"/>
  <c r="M137" i="25" s="1"/>
  <c r="N137" i="25"/>
  <c r="P4" i="24"/>
  <c r="M4" i="25" s="1"/>
  <c r="N4" i="25"/>
  <c r="P175" i="24"/>
  <c r="M175" i="25" s="1"/>
  <c r="N175" i="25"/>
  <c r="AD76" i="24"/>
  <c r="W76" i="25" s="1"/>
  <c r="P190" i="24"/>
  <c r="M190" i="25" s="1"/>
  <c r="N190" i="25"/>
  <c r="X104" i="25"/>
  <c r="AE121" i="24"/>
  <c r="X121" i="25" s="1"/>
  <c r="J121" i="25"/>
  <c r="P106" i="24"/>
  <c r="M106" i="25" s="1"/>
  <c r="N106" i="25"/>
  <c r="P84" i="24"/>
  <c r="N84" i="25"/>
  <c r="P37" i="24"/>
  <c r="M37" i="25" s="1"/>
  <c r="N37" i="25"/>
  <c r="P34" i="24"/>
  <c r="M34" i="25" s="1"/>
  <c r="N34" i="25"/>
  <c r="P44" i="24"/>
  <c r="M44" i="25" s="1"/>
  <c r="N44" i="25"/>
  <c r="AD157" i="24"/>
  <c r="J157" i="25"/>
  <c r="AD110" i="24"/>
  <c r="W110" i="25" s="1"/>
  <c r="J110" i="25"/>
  <c r="AE36" i="24"/>
  <c r="X36" i="25" s="1"/>
  <c r="J36" i="25"/>
  <c r="AE46" i="24"/>
  <c r="X46" i="25" s="1"/>
  <c r="J46" i="25"/>
  <c r="P197" i="24"/>
  <c r="M197" i="25" s="1"/>
  <c r="N197" i="25"/>
  <c r="P133" i="24"/>
  <c r="M133" i="25" s="1"/>
  <c r="N133" i="25"/>
  <c r="P80" i="24"/>
  <c r="M80" i="25" s="1"/>
  <c r="N80" i="25"/>
  <c r="P75" i="24"/>
  <c r="M75" i="25" s="1"/>
  <c r="N75" i="25"/>
  <c r="P70" i="24"/>
  <c r="M70" i="25" s="1"/>
  <c r="N70" i="25"/>
  <c r="P33" i="24"/>
  <c r="M33" i="25" s="1"/>
  <c r="N33" i="25"/>
  <c r="P41" i="24"/>
  <c r="M41" i="25" s="1"/>
  <c r="N41" i="25"/>
  <c r="AE126" i="24"/>
  <c r="X126" i="25" s="1"/>
  <c r="J126" i="25"/>
  <c r="J72" i="25"/>
  <c r="P55" i="24"/>
  <c r="M55" i="25" s="1"/>
  <c r="N55" i="25"/>
  <c r="AE13" i="24"/>
  <c r="X13" i="25" s="1"/>
  <c r="J13" i="25"/>
  <c r="P73" i="24"/>
  <c r="M73" i="25" s="1"/>
  <c r="N73" i="25"/>
  <c r="P62" i="24"/>
  <c r="M62" i="25" s="1"/>
  <c r="N62" i="25"/>
  <c r="AD126" i="24"/>
  <c r="W126" i="25" s="1"/>
  <c r="AE63" i="24"/>
  <c r="X63" i="25" s="1"/>
  <c r="J63" i="25"/>
  <c r="P14" i="24"/>
  <c r="M14" i="25" s="1"/>
  <c r="N14" i="25"/>
  <c r="AA23" i="24"/>
  <c r="S23" i="25" s="1"/>
  <c r="P204" i="24"/>
  <c r="M204" i="25" s="1"/>
  <c r="N204" i="25"/>
  <c r="Q134" i="24"/>
  <c r="P108" i="24"/>
  <c r="M108" i="25" s="1"/>
  <c r="N108" i="25"/>
  <c r="P65" i="24"/>
  <c r="M65" i="25" s="1"/>
  <c r="N65" i="25"/>
  <c r="Q33" i="24"/>
  <c r="AE202" i="24"/>
  <c r="X202" i="25" s="1"/>
  <c r="K202" i="25"/>
  <c r="P35" i="24"/>
  <c r="M35" i="25" s="1"/>
  <c r="N35" i="25"/>
  <c r="P30" i="24"/>
  <c r="M30" i="25" s="1"/>
  <c r="N30" i="25"/>
  <c r="AE48" i="24"/>
  <c r="X48" i="25" s="1"/>
  <c r="J48" i="25"/>
  <c r="P85" i="24"/>
  <c r="M85" i="25" s="1"/>
  <c r="N85" i="25"/>
  <c r="P77" i="24"/>
  <c r="M77" i="25" s="1"/>
  <c r="N77" i="25"/>
  <c r="P61" i="24"/>
  <c r="M61" i="25" s="1"/>
  <c r="N61" i="25"/>
  <c r="P206" i="24"/>
  <c r="M206" i="25" s="1"/>
  <c r="N206" i="25"/>
  <c r="AD146" i="24"/>
  <c r="W146" i="25" s="1"/>
  <c r="J146" i="25"/>
  <c r="AE120" i="24"/>
  <c r="X120" i="25" s="1"/>
  <c r="J120" i="25"/>
  <c r="P6" i="24"/>
  <c r="M6" i="25" s="1"/>
  <c r="N6" i="25"/>
  <c r="AD46" i="24"/>
  <c r="W46" i="25" s="1"/>
  <c r="P192" i="24"/>
  <c r="M192" i="25" s="1"/>
  <c r="N192" i="25"/>
  <c r="P100" i="24"/>
  <c r="M100" i="25" s="1"/>
  <c r="N100" i="25"/>
  <c r="P69" i="24"/>
  <c r="M69" i="25" s="1"/>
  <c r="N69" i="25"/>
  <c r="P170" i="24"/>
  <c r="M170" i="25" s="1"/>
  <c r="N170" i="25"/>
  <c r="K168" i="25"/>
  <c r="P158" i="24"/>
  <c r="M158" i="25" s="1"/>
  <c r="N158" i="25"/>
  <c r="AE76" i="24"/>
  <c r="X76" i="25" s="1"/>
  <c r="J76" i="25"/>
  <c r="AD23" i="24"/>
  <c r="W23" i="25" s="1"/>
  <c r="P161" i="24"/>
  <c r="M161" i="25" s="1"/>
  <c r="N161" i="25"/>
  <c r="P160" i="24"/>
  <c r="N160" i="25"/>
  <c r="P145" i="24"/>
  <c r="M145" i="25" s="1"/>
  <c r="N145" i="25"/>
  <c r="P89" i="24"/>
  <c r="M89" i="25" s="1"/>
  <c r="N89" i="25"/>
  <c r="Q70" i="24"/>
  <c r="AE146" i="24"/>
  <c r="X146" i="25" s="1"/>
  <c r="K146" i="25"/>
  <c r="P164" i="24"/>
  <c r="M164" i="25" s="1"/>
  <c r="N164" i="25"/>
  <c r="AD113" i="24"/>
  <c r="W113" i="25" s="1"/>
  <c r="K113" i="25"/>
  <c r="AA110" i="24"/>
  <c r="S110" i="25" s="1"/>
  <c r="AD82" i="24"/>
  <c r="J82" i="25"/>
  <c r="AD98" i="24"/>
  <c r="W98" i="25" s="1"/>
  <c r="J98" i="25"/>
  <c r="AD48" i="24"/>
  <c r="P187" i="24"/>
  <c r="M187" i="25" s="1"/>
  <c r="N187" i="25"/>
  <c r="P182" i="24"/>
  <c r="M182" i="25" s="1"/>
  <c r="N182" i="25"/>
  <c r="P143" i="24"/>
  <c r="M143" i="25" s="1"/>
  <c r="N143" i="25"/>
  <c r="P118" i="24"/>
  <c r="M118" i="25" s="1"/>
  <c r="N118" i="25"/>
  <c r="P105" i="24"/>
  <c r="M105" i="25" s="1"/>
  <c r="N105" i="25"/>
  <c r="P95" i="24"/>
  <c r="M95" i="25" s="1"/>
  <c r="N95" i="25"/>
  <c r="AA13" i="24"/>
  <c r="S13" i="25" s="1"/>
  <c r="AE127" i="24"/>
  <c r="X127" i="25" s="1"/>
  <c r="K127" i="25"/>
  <c r="AD141" i="24"/>
  <c r="W141" i="25" s="1"/>
  <c r="AD162" i="24"/>
  <c r="W162" i="25" s="1"/>
  <c r="AE110" i="24"/>
  <c r="X110" i="25" s="1"/>
  <c r="AA113" i="24"/>
  <c r="S113" i="25" s="1"/>
  <c r="AA28" i="24"/>
  <c r="S28" i="25" s="1"/>
  <c r="P172" i="24"/>
  <c r="M172" i="25" s="1"/>
  <c r="N172" i="25"/>
  <c r="P153" i="24"/>
  <c r="M153" i="25" s="1"/>
  <c r="N153" i="25"/>
  <c r="AA121" i="24"/>
  <c r="S121" i="25" s="1"/>
  <c r="P122" i="24"/>
  <c r="M122" i="25" s="1"/>
  <c r="N122" i="25"/>
  <c r="P115" i="24"/>
  <c r="M115" i="25" s="1"/>
  <c r="N115" i="25"/>
  <c r="P19" i="24"/>
  <c r="M19" i="25" s="1"/>
  <c r="N19" i="25"/>
  <c r="P60" i="24"/>
  <c r="M60" i="25" s="1"/>
  <c r="N60" i="25"/>
  <c r="P166" i="24"/>
  <c r="M166" i="25" s="1"/>
  <c r="N166" i="25"/>
  <c r="AE191" i="24"/>
  <c r="X191" i="25" s="1"/>
  <c r="J191" i="25"/>
  <c r="AE195" i="24"/>
  <c r="X195" i="25" s="1"/>
  <c r="J195" i="25"/>
  <c r="AE5" i="24"/>
  <c r="X5" i="25" s="1"/>
  <c r="J5" i="25"/>
  <c r="P121" i="24"/>
  <c r="M121" i="25" s="1"/>
  <c r="N121" i="25"/>
  <c r="P20" i="24"/>
  <c r="M20" i="25" s="1"/>
  <c r="N20" i="25"/>
  <c r="P53" i="24"/>
  <c r="M53" i="25" s="1"/>
  <c r="N53" i="25"/>
  <c r="AD18" i="24"/>
  <c r="W18" i="25" s="1"/>
  <c r="J18" i="25"/>
  <c r="AE190" i="24"/>
  <c r="X190" i="25" s="1"/>
  <c r="J190" i="25"/>
  <c r="AD28" i="24"/>
  <c r="W28" i="25" s="1"/>
  <c r="K28" i="25"/>
  <c r="P181" i="24"/>
  <c r="M181" i="25" s="1"/>
  <c r="N181" i="25"/>
  <c r="P203" i="24"/>
  <c r="M203" i="25" s="1"/>
  <c r="N203" i="25"/>
  <c r="P140" i="24"/>
  <c r="M140" i="25" s="1"/>
  <c r="N140" i="25"/>
  <c r="P116" i="24"/>
  <c r="M116" i="25" s="1"/>
  <c r="N116" i="25"/>
  <c r="P111" i="24"/>
  <c r="M111" i="25" s="1"/>
  <c r="N111" i="25"/>
  <c r="P93" i="24"/>
  <c r="M93" i="25" s="1"/>
  <c r="N93" i="25"/>
  <c r="P27" i="24"/>
  <c r="M27" i="25" s="1"/>
  <c r="N27" i="25"/>
  <c r="Q53" i="24"/>
  <c r="P26" i="24"/>
  <c r="M26" i="25" s="1"/>
  <c r="N26" i="25"/>
  <c r="P193" i="24"/>
  <c r="M193" i="25" s="1"/>
  <c r="N193" i="25"/>
  <c r="W203" i="25"/>
  <c r="AD136" i="24"/>
  <c r="W136" i="25" s="1"/>
  <c r="J136" i="25"/>
  <c r="P183" i="24"/>
  <c r="M183" i="25" s="1"/>
  <c r="N183" i="25"/>
  <c r="AD127" i="24"/>
  <c r="AE66" i="24"/>
  <c r="X66" i="25" s="1"/>
  <c r="J66" i="25"/>
  <c r="AE58" i="24"/>
  <c r="X58" i="25" s="1"/>
  <c r="J58" i="25"/>
  <c r="AE64" i="24"/>
  <c r="X64" i="25" s="1"/>
  <c r="J64" i="25"/>
  <c r="P188" i="24"/>
  <c r="M188" i="25" s="1"/>
  <c r="N188" i="25"/>
  <c r="P101" i="24"/>
  <c r="M101" i="25" s="1"/>
  <c r="N101" i="25"/>
  <c r="P133" i="25"/>
  <c r="P134" i="24"/>
  <c r="M134" i="25" s="1"/>
  <c r="N134" i="25"/>
  <c r="P79" i="24"/>
  <c r="M79" i="25" s="1"/>
  <c r="N79" i="25"/>
  <c r="P198" i="24"/>
  <c r="M198" i="25" s="1"/>
  <c r="N198" i="25"/>
  <c r="AE141" i="24"/>
  <c r="X141" i="25" s="1"/>
  <c r="AE136" i="24"/>
  <c r="X136" i="25" s="1"/>
  <c r="P42" i="24"/>
  <c r="M42" i="25" s="1"/>
  <c r="N42" i="25"/>
  <c r="AE18" i="24"/>
  <c r="X18" i="25" s="1"/>
  <c r="AD17" i="24"/>
  <c r="W17" i="25" s="1"/>
  <c r="J17" i="25"/>
  <c r="AE28" i="24"/>
  <c r="X28" i="25" s="1"/>
  <c r="P177" i="24"/>
  <c r="M177" i="25" s="1"/>
  <c r="N177" i="25"/>
  <c r="P163" i="24"/>
  <c r="M163" i="25" s="1"/>
  <c r="N163" i="25"/>
  <c r="P165" i="24"/>
  <c r="M165" i="25" s="1"/>
  <c r="N165" i="25"/>
  <c r="P149" i="24"/>
  <c r="M149" i="25" s="1"/>
  <c r="N149" i="25"/>
  <c r="P129" i="24"/>
  <c r="M129" i="25" s="1"/>
  <c r="N129" i="25"/>
  <c r="P78" i="24"/>
  <c r="M78" i="25" s="1"/>
  <c r="N78" i="25"/>
  <c r="Z158" i="24"/>
  <c r="T158" i="25" s="1"/>
  <c r="AA158" i="24"/>
  <c r="S158" i="25" s="1"/>
  <c r="Q158" i="24"/>
  <c r="P45" i="24"/>
  <c r="M45" i="25" s="1"/>
  <c r="Q45" i="24"/>
  <c r="AA141" i="24"/>
  <c r="S141" i="25" s="1"/>
  <c r="Z141" i="24"/>
  <c r="T141" i="25" s="1"/>
  <c r="P3" i="24"/>
  <c r="M3" i="25" s="1"/>
  <c r="Q3" i="24"/>
  <c r="P38" i="24"/>
  <c r="M38" i="25" s="1"/>
  <c r="Q38" i="24"/>
  <c r="AD201" i="24"/>
  <c r="W201" i="25" s="1"/>
  <c r="AE201" i="24"/>
  <c r="X201" i="25" s="1"/>
  <c r="AA191" i="24"/>
  <c r="S191" i="25" s="1"/>
  <c r="Z191" i="24"/>
  <c r="T191" i="25" s="1"/>
  <c r="AA116" i="24"/>
  <c r="S116" i="25" s="1"/>
  <c r="Z116" i="24"/>
  <c r="T116" i="25" s="1"/>
  <c r="Q116" i="24"/>
  <c r="P202" i="24"/>
  <c r="M202" i="25" s="1"/>
  <c r="Q202" i="24"/>
  <c r="Z195" i="24"/>
  <c r="T195" i="25" s="1"/>
  <c r="AA195" i="24"/>
  <c r="S195" i="25" s="1"/>
  <c r="Q190" i="24"/>
  <c r="AD156" i="24"/>
  <c r="W156" i="25" s="1"/>
  <c r="AE156" i="24"/>
  <c r="X156" i="25" s="1"/>
  <c r="AA204" i="24"/>
  <c r="S204" i="25" s="1"/>
  <c r="Q118" i="24"/>
  <c r="Z136" i="24"/>
  <c r="T136" i="25" s="1"/>
  <c r="Z65" i="24"/>
  <c r="T65" i="25" s="1"/>
  <c r="Z41" i="24"/>
  <c r="T41" i="25" s="1"/>
  <c r="AA156" i="24"/>
  <c r="S156" i="25" s="1"/>
  <c r="AA65" i="24"/>
  <c r="S65" i="25" s="1"/>
  <c r="Z63" i="24"/>
  <c r="T63" i="25" s="1"/>
  <c r="AA162" i="24"/>
  <c r="S162" i="25" s="1"/>
  <c r="AA136" i="24"/>
  <c r="S136" i="25" s="1"/>
  <c r="AA97" i="24"/>
  <c r="S97" i="25" s="1"/>
  <c r="AE23" i="24"/>
  <c r="X23" i="25" s="1"/>
  <c r="Q204" i="24"/>
  <c r="Q164" i="24"/>
  <c r="Z118" i="24"/>
  <c r="T118" i="25" s="1"/>
  <c r="Z121" i="24"/>
  <c r="AA149" i="24"/>
  <c r="S149" i="25" s="1"/>
  <c r="Z134" i="24"/>
  <c r="Q149" i="24"/>
  <c r="Q60" i="24"/>
  <c r="Z48" i="24"/>
  <c r="T48" i="25" s="1"/>
  <c r="AE157" i="24"/>
  <c r="X157" i="25" s="1"/>
  <c r="AA44" i="24"/>
  <c r="S44" i="25" s="1"/>
  <c r="AA64" i="24"/>
  <c r="S64" i="25" s="1"/>
  <c r="AA20" i="24"/>
  <c r="S20" i="25" s="1"/>
  <c r="Q197" i="24"/>
  <c r="Q106" i="24"/>
  <c r="Z131" i="24"/>
  <c r="T131" i="25" s="1"/>
  <c r="AD202" i="24"/>
  <c r="W202" i="25" s="1"/>
  <c r="AD191" i="24"/>
  <c r="AD66" i="24"/>
  <c r="W66" i="25" s="1"/>
  <c r="Q172" i="24"/>
  <c r="Q153" i="24"/>
  <c r="AA146" i="24"/>
  <c r="S146" i="25" s="1"/>
  <c r="Z60" i="24"/>
  <c r="T60" i="25" s="1"/>
  <c r="Z20" i="24"/>
  <c r="AE41" i="24"/>
  <c r="X41" i="25" s="1"/>
  <c r="AD41" i="24"/>
  <c r="AE17" i="24"/>
  <c r="X17" i="25" s="1"/>
  <c r="AA172" i="24"/>
  <c r="S172" i="25" s="1"/>
  <c r="Q137" i="24"/>
  <c r="AD195" i="24"/>
  <c r="AE82" i="24"/>
  <c r="X82" i="25" s="1"/>
  <c r="Z162" i="24"/>
  <c r="T162" i="25" s="1"/>
  <c r="Q62" i="24"/>
  <c r="AA76" i="24"/>
  <c r="S76" i="25" s="1"/>
  <c r="Z46" i="24"/>
  <c r="AE119" i="24"/>
  <c r="X119" i="25" s="1"/>
  <c r="AD119" i="24"/>
  <c r="AE98" i="24"/>
  <c r="X98" i="25" s="1"/>
  <c r="AD13" i="24"/>
  <c r="W13" i="25" s="1"/>
  <c r="Q122" i="24"/>
  <c r="Q77" i="24"/>
  <c r="AD5" i="24"/>
  <c r="W5" i="25" s="1"/>
  <c r="AA188" i="24"/>
  <c r="S188" i="25" s="1"/>
  <c r="Z190" i="24"/>
  <c r="Z127" i="24"/>
  <c r="T127" i="25" s="1"/>
  <c r="Q19" i="24"/>
  <c r="AE162" i="24"/>
  <c r="X162" i="25" s="1"/>
  <c r="AD36" i="24"/>
  <c r="Q188" i="24"/>
  <c r="AA127" i="24"/>
  <c r="S127" i="25" s="1"/>
  <c r="Q93" i="24"/>
  <c r="Z89" i="24"/>
  <c r="AA41" i="24"/>
  <c r="S41" i="25" s="1"/>
  <c r="Q181" i="24"/>
  <c r="Q44" i="24"/>
  <c r="AA89" i="24"/>
  <c r="S89" i="25" s="1"/>
  <c r="Q61" i="24"/>
  <c r="Q187" i="24"/>
  <c r="AA17" i="24"/>
  <c r="S17" i="25" s="1"/>
  <c r="AE147" i="24"/>
  <c r="X147" i="25" s="1"/>
  <c r="AD147" i="24"/>
  <c r="W147" i="25" s="1"/>
  <c r="AE97" i="24"/>
  <c r="X97" i="25" s="1"/>
  <c r="AD97" i="24"/>
  <c r="W97" i="25" s="1"/>
  <c r="AD58" i="24"/>
  <c r="W58" i="25" s="1"/>
  <c r="AE31" i="24"/>
  <c r="X31" i="25" s="1"/>
  <c r="AA43" i="24"/>
  <c r="S43" i="25" s="1"/>
  <c r="Q167" i="24"/>
  <c r="Q111" i="24"/>
  <c r="Q34" i="24"/>
  <c r="F94" i="24"/>
  <c r="E176" i="24"/>
  <c r="F39" i="24"/>
  <c r="J76" i="24"/>
  <c r="I114" i="24"/>
  <c r="J124" i="24"/>
  <c r="I174" i="24"/>
  <c r="I199" i="24"/>
  <c r="I26" i="24"/>
  <c r="H23" i="24"/>
  <c r="I36" i="24"/>
  <c r="K66" i="24"/>
  <c r="J119" i="24"/>
  <c r="H26" i="24"/>
  <c r="H117" i="24"/>
  <c r="E192" i="24"/>
  <c r="K200" i="24"/>
  <c r="J57" i="24"/>
  <c r="H67" i="24"/>
  <c r="K76" i="24"/>
  <c r="J23" i="24"/>
  <c r="I99" i="24"/>
  <c r="I142" i="24"/>
  <c r="H46" i="24"/>
  <c r="J18" i="24"/>
  <c r="K23" i="24"/>
  <c r="K152" i="24"/>
  <c r="E109" i="24"/>
  <c r="I131" i="24"/>
  <c r="H96" i="24"/>
  <c r="F191" i="24"/>
  <c r="H80" i="24"/>
  <c r="J81" i="24"/>
  <c r="K5" i="24"/>
  <c r="J205" i="24"/>
  <c r="E186" i="24"/>
  <c r="E135" i="24"/>
  <c r="J96" i="24"/>
  <c r="E9" i="24"/>
  <c r="J144" i="24"/>
  <c r="K114" i="24"/>
  <c r="J82" i="24"/>
  <c r="J10" i="24"/>
  <c r="E81" i="24"/>
  <c r="F169" i="24"/>
  <c r="E180" i="24"/>
  <c r="F48" i="24"/>
  <c r="J31" i="24"/>
  <c r="E26" i="24"/>
  <c r="H59" i="24"/>
  <c r="K127" i="24"/>
  <c r="K56" i="24"/>
  <c r="E72" i="24"/>
  <c r="H109" i="24"/>
  <c r="E59" i="24"/>
  <c r="I196" i="24"/>
  <c r="I195" i="24"/>
  <c r="E189" i="24"/>
  <c r="H3" i="24"/>
  <c r="K102" i="24"/>
  <c r="I91" i="24"/>
  <c r="F163" i="24"/>
  <c r="F154" i="24"/>
  <c r="J174" i="24"/>
  <c r="J59" i="24"/>
  <c r="F125" i="24"/>
  <c r="H132" i="24"/>
  <c r="I71" i="24"/>
  <c r="H17" i="24"/>
  <c r="J131" i="24"/>
  <c r="F196" i="24"/>
  <c r="J169" i="24"/>
  <c r="E128" i="24"/>
  <c r="F120" i="24"/>
  <c r="J189" i="24"/>
  <c r="J5" i="24"/>
  <c r="H185" i="24"/>
  <c r="H201" i="24"/>
  <c r="K15" i="24"/>
  <c r="E87" i="24"/>
  <c r="I138" i="24"/>
  <c r="F179" i="24"/>
  <c r="I49" i="24"/>
  <c r="K87" i="24"/>
  <c r="E154" i="24"/>
  <c r="J52" i="24"/>
  <c r="I104" i="24"/>
  <c r="H8" i="24"/>
  <c r="H68" i="24"/>
  <c r="F152" i="24"/>
  <c r="F96" i="24"/>
  <c r="J40" i="24"/>
  <c r="I184" i="24"/>
  <c r="K107" i="24"/>
  <c r="E182" i="24"/>
  <c r="K193" i="24"/>
  <c r="J83" i="24"/>
  <c r="E49" i="24"/>
  <c r="K121" i="24"/>
  <c r="H119" i="24"/>
  <c r="E83" i="24"/>
  <c r="J74" i="24"/>
  <c r="H50" i="24"/>
  <c r="I21" i="24"/>
  <c r="H199" i="24"/>
  <c r="J16" i="24"/>
  <c r="F198" i="24"/>
  <c r="E92" i="24"/>
  <c r="E108" i="24"/>
  <c r="J156" i="24"/>
  <c r="I132" i="24"/>
  <c r="K68" i="24"/>
  <c r="F124" i="24"/>
  <c r="I127" i="24"/>
  <c r="I50" i="24"/>
  <c r="I183" i="24"/>
  <c r="F189" i="24"/>
  <c r="J29" i="24"/>
  <c r="I35" i="24"/>
  <c r="F156" i="24"/>
  <c r="K13" i="24"/>
  <c r="I67" i="24"/>
  <c r="F177" i="24"/>
  <c r="K173" i="24"/>
  <c r="E185" i="24"/>
  <c r="E139" i="24"/>
  <c r="E205" i="24"/>
  <c r="I59" i="24"/>
  <c r="K24" i="24"/>
  <c r="H169" i="24"/>
  <c r="J132" i="24"/>
  <c r="K124" i="24"/>
  <c r="K141" i="24"/>
  <c r="E51" i="24"/>
  <c r="F186" i="24"/>
  <c r="H136" i="24"/>
  <c r="E8" i="24"/>
  <c r="I110" i="24"/>
  <c r="I56" i="24"/>
  <c r="J152" i="24"/>
  <c r="J113" i="24"/>
  <c r="J54" i="24"/>
  <c r="H52" i="24"/>
  <c r="H10" i="24"/>
  <c r="J135" i="24"/>
  <c r="J72" i="24"/>
  <c r="F22" i="24"/>
  <c r="J196" i="24"/>
  <c r="I154" i="24"/>
  <c r="E144" i="24"/>
  <c r="F46" i="24"/>
  <c r="I144" i="24"/>
  <c r="H36" i="24"/>
  <c r="J194" i="24"/>
  <c r="H72" i="24"/>
  <c r="I87" i="24"/>
  <c r="H155" i="24"/>
  <c r="E130" i="24"/>
  <c r="K36" i="24"/>
  <c r="E206" i="24"/>
  <c r="I151" i="24"/>
  <c r="H184" i="24"/>
  <c r="I141" i="24"/>
  <c r="J139" i="24"/>
  <c r="E12" i="24"/>
  <c r="H170" i="24"/>
  <c r="I42" i="24"/>
  <c r="J125" i="24"/>
  <c r="K64" i="24"/>
  <c r="F184" i="24"/>
  <c r="J200" i="24"/>
  <c r="I173" i="24"/>
  <c r="E40" i="24"/>
  <c r="F139" i="24"/>
  <c r="J114" i="24"/>
  <c r="H40" i="24"/>
  <c r="K31" i="24"/>
  <c r="F136" i="24"/>
  <c r="K135" i="24"/>
  <c r="H138" i="24"/>
  <c r="K32" i="24"/>
  <c r="E142" i="24"/>
  <c r="E102" i="24"/>
  <c r="E22" i="24"/>
  <c r="I113" i="24"/>
  <c r="E55" i="24"/>
  <c r="J102" i="24"/>
  <c r="H51" i="24"/>
  <c r="K43" i="24"/>
  <c r="I63" i="24"/>
  <c r="H71" i="24"/>
  <c r="J168" i="24"/>
  <c r="H149" i="24"/>
  <c r="I46" i="24"/>
  <c r="I7" i="24"/>
  <c r="F7" i="24"/>
  <c r="J39" i="24"/>
  <c r="I167" i="24"/>
  <c r="J7" i="24"/>
  <c r="I95" i="24"/>
  <c r="K22" i="24"/>
  <c r="F95" i="24"/>
  <c r="F135" i="24"/>
  <c r="K94" i="24"/>
  <c r="H162" i="24"/>
  <c r="I169" i="24"/>
  <c r="H94" i="24"/>
  <c r="F151" i="24"/>
  <c r="H99" i="24"/>
  <c r="F174" i="24"/>
  <c r="F12" i="24"/>
  <c r="H12" i="24"/>
  <c r="F78" i="24"/>
  <c r="J13" i="24"/>
  <c r="F119" i="24"/>
  <c r="I180" i="24"/>
  <c r="I55" i="24"/>
  <c r="E138" i="24"/>
  <c r="K63" i="24"/>
  <c r="E6" i="24"/>
  <c r="J92" i="24"/>
  <c r="I12" i="24"/>
  <c r="E68" i="24"/>
  <c r="K159" i="24"/>
  <c r="F16" i="24"/>
  <c r="K80" i="24"/>
  <c r="I83" i="24"/>
  <c r="I74" i="24"/>
  <c r="K126" i="24"/>
  <c r="J141" i="24"/>
  <c r="I97" i="24"/>
  <c r="H148" i="24"/>
  <c r="J154" i="24"/>
  <c r="E7" i="24"/>
  <c r="H112" i="24"/>
  <c r="E91" i="24"/>
  <c r="J49" i="24"/>
  <c r="J11" i="24"/>
  <c r="E177" i="24"/>
  <c r="E107" i="24"/>
  <c r="K99" i="24"/>
  <c r="E114" i="24"/>
  <c r="K148" i="24"/>
  <c r="E175" i="24"/>
  <c r="H18" i="24"/>
  <c r="J199" i="24"/>
  <c r="F201" i="24"/>
  <c r="I18" i="24"/>
  <c r="F128" i="24"/>
  <c r="H160" i="24"/>
  <c r="H57" i="24"/>
  <c r="F25" i="24"/>
  <c r="E152" i="24"/>
  <c r="F143" i="24"/>
  <c r="F71" i="24"/>
  <c r="J50" i="24"/>
  <c r="I107" i="24"/>
  <c r="I66" i="24"/>
  <c r="K92" i="24"/>
  <c r="F10" i="24"/>
  <c r="F27" i="24"/>
  <c r="E184" i="24"/>
  <c r="E179" i="24"/>
  <c r="E155" i="24"/>
  <c r="J32" i="24"/>
  <c r="K82" i="24"/>
  <c r="K117" i="24"/>
  <c r="H63" i="24"/>
  <c r="H180" i="24"/>
  <c r="E132" i="24"/>
  <c r="J128" i="24"/>
  <c r="J63" i="24"/>
  <c r="I41" i="24"/>
  <c r="E140" i="24"/>
  <c r="E148" i="24"/>
  <c r="E183" i="24"/>
  <c r="E199" i="24"/>
  <c r="J25" i="24"/>
  <c r="J21" i="24"/>
  <c r="F17" i="24"/>
  <c r="K205" i="24"/>
  <c r="I191" i="24"/>
  <c r="H178" i="24"/>
  <c r="H48" i="24"/>
  <c r="E115" i="24"/>
  <c r="K90" i="24"/>
  <c r="F107" i="24"/>
  <c r="J112" i="24"/>
  <c r="I92" i="24"/>
  <c r="I43" i="24"/>
  <c r="H25" i="24"/>
  <c r="K58" i="24"/>
  <c r="E42" i="24"/>
  <c r="F146" i="24"/>
  <c r="E160" i="24"/>
  <c r="F5" i="24"/>
  <c r="K101" i="24"/>
  <c r="E99" i="24"/>
  <c r="E4" i="24"/>
  <c r="J12" i="24"/>
  <c r="I16" i="24"/>
  <c r="E75" i="24"/>
  <c r="H97" i="24"/>
  <c r="J130" i="24"/>
  <c r="H110" i="24"/>
  <c r="H107" i="24"/>
  <c r="K97" i="24"/>
  <c r="H123" i="24"/>
  <c r="K170" i="24"/>
  <c r="H91" i="24"/>
  <c r="F99" i="24"/>
  <c r="F123" i="24"/>
  <c r="K180" i="24"/>
  <c r="F103" i="24"/>
  <c r="J147" i="24"/>
  <c r="J107" i="24"/>
  <c r="K125" i="24"/>
  <c r="F86" i="24"/>
  <c r="H125" i="24"/>
  <c r="H144" i="24"/>
  <c r="K179" i="24"/>
  <c r="E88" i="24"/>
  <c r="J56" i="24"/>
  <c r="I86" i="24"/>
  <c r="K85" i="24"/>
  <c r="F42" i="24"/>
  <c r="H9" i="24"/>
  <c r="H175" i="24"/>
  <c r="F59" i="24"/>
  <c r="F130" i="24"/>
  <c r="H174" i="24"/>
  <c r="K48" i="24"/>
  <c r="K154" i="24"/>
  <c r="H43" i="24"/>
  <c r="J186" i="24"/>
  <c r="K50" i="24"/>
  <c r="H35" i="24"/>
  <c r="K42" i="24"/>
  <c r="F170" i="24"/>
  <c r="E196" i="24"/>
  <c r="I102" i="24"/>
  <c r="I189" i="24"/>
  <c r="F54" i="24"/>
  <c r="H127" i="24"/>
  <c r="K104" i="24"/>
  <c r="E25" i="24"/>
  <c r="J97" i="24"/>
  <c r="E37" i="24"/>
  <c r="H32" i="24"/>
  <c r="E159" i="24"/>
  <c r="I23" i="24"/>
  <c r="F8" i="24"/>
  <c r="F88" i="24"/>
  <c r="I156" i="24"/>
  <c r="J138" i="24"/>
  <c r="I54" i="24"/>
  <c r="K79" i="24"/>
  <c r="I39" i="24"/>
  <c r="E86" i="24"/>
  <c r="J195" i="24"/>
  <c r="F32" i="24"/>
  <c r="I5" i="24"/>
  <c r="F205" i="24"/>
  <c r="H13" i="24"/>
  <c r="F117" i="24"/>
  <c r="F91" i="24"/>
  <c r="E56" i="24"/>
  <c r="E30" i="24"/>
  <c r="F23" i="24"/>
  <c r="K12" i="24"/>
  <c r="E74" i="24"/>
  <c r="J48" i="24"/>
  <c r="J180" i="24"/>
  <c r="J103" i="24"/>
  <c r="J67" i="24"/>
  <c r="F21" i="24"/>
  <c r="H143" i="24"/>
  <c r="J94" i="24"/>
  <c r="E143" i="24"/>
  <c r="F199" i="24"/>
  <c r="F155" i="24"/>
  <c r="H37" i="24"/>
  <c r="F20" i="24"/>
  <c r="F14" i="24"/>
  <c r="F182" i="24"/>
  <c r="I117" i="24"/>
  <c r="F9" i="24"/>
  <c r="J184" i="24"/>
  <c r="K28" i="24"/>
  <c r="I206" i="24"/>
  <c r="I124" i="24"/>
  <c r="K40" i="24"/>
  <c r="I160" i="24"/>
  <c r="K96" i="24"/>
  <c r="J126" i="24"/>
  <c r="K75" i="24"/>
  <c r="I11" i="24"/>
  <c r="E35" i="24"/>
  <c r="I64" i="24"/>
  <c r="K47" i="24"/>
  <c r="J68" i="24"/>
  <c r="E123" i="24"/>
  <c r="F4" i="24"/>
  <c r="K128" i="24"/>
  <c r="H42" i="24"/>
  <c r="K9" i="24"/>
  <c r="I48" i="24"/>
  <c r="K25" i="24"/>
  <c r="K16" i="24"/>
  <c r="F57" i="24"/>
  <c r="J24" i="24"/>
  <c r="K71" i="24"/>
  <c r="E50" i="24"/>
  <c r="H186" i="24"/>
  <c r="J99" i="24"/>
  <c r="I202" i="24"/>
  <c r="I120" i="24"/>
  <c r="H105" i="24"/>
  <c r="I162" i="24"/>
  <c r="H205" i="24"/>
  <c r="K7" i="24"/>
  <c r="F68" i="24"/>
  <c r="K155" i="24"/>
  <c r="F102" i="24"/>
  <c r="F83" i="24"/>
  <c r="H146" i="24"/>
  <c r="I190" i="24"/>
  <c r="J66" i="24"/>
  <c r="E145" i="24"/>
  <c r="F192" i="24"/>
  <c r="J162" i="24"/>
  <c r="F104" i="24"/>
  <c r="K189" i="24"/>
  <c r="I148" i="24"/>
  <c r="H114" i="24"/>
  <c r="H102" i="24"/>
  <c r="I194" i="24"/>
  <c r="E32" i="24"/>
  <c r="F73" i="24"/>
  <c r="H90" i="24"/>
  <c r="H88" i="24"/>
  <c r="J51" i="24"/>
  <c r="J201" i="24"/>
  <c r="H74" i="24"/>
  <c r="H195" i="24"/>
  <c r="F50" i="24"/>
  <c r="H206" i="24"/>
  <c r="K116" i="24"/>
  <c r="K136" i="24"/>
  <c r="J104" i="24"/>
  <c r="J127" i="24"/>
  <c r="K151" i="24"/>
  <c r="I155" i="24"/>
  <c r="H55" i="24"/>
  <c r="J185" i="24"/>
  <c r="E103" i="24"/>
  <c r="F64" i="24"/>
  <c r="I28" i="24"/>
  <c r="K196" i="24"/>
  <c r="J142" i="24"/>
  <c r="J43" i="24"/>
  <c r="I205" i="24"/>
  <c r="J90" i="24"/>
  <c r="K113" i="24"/>
  <c r="E117" i="24"/>
  <c r="E39" i="24"/>
  <c r="F115" i="24"/>
  <c r="K38" i="24"/>
  <c r="E54" i="24"/>
  <c r="J47" i="24"/>
  <c r="H151" i="24"/>
  <c r="F56" i="24"/>
  <c r="F74" i="24"/>
  <c r="K67" i="24"/>
  <c r="J36" i="24"/>
  <c r="F114" i="24"/>
  <c r="H173" i="24"/>
  <c r="F127" i="24"/>
  <c r="K27" i="24"/>
  <c r="K190" i="24"/>
  <c r="H24" i="24"/>
  <c r="K18" i="24"/>
  <c r="H64" i="24"/>
  <c r="I31" i="24"/>
  <c r="H56" i="24"/>
  <c r="K120" i="24"/>
  <c r="J22" i="24"/>
  <c r="E200" i="24"/>
  <c r="K88" i="24"/>
  <c r="J176" i="24"/>
  <c r="J191" i="24"/>
  <c r="F193" i="24"/>
  <c r="H83" i="24"/>
  <c r="I79" i="24"/>
  <c r="K81" i="24"/>
  <c r="I22" i="24"/>
  <c r="I136" i="24"/>
  <c r="E71" i="24"/>
  <c r="K52" i="24"/>
  <c r="E80" i="24"/>
  <c r="H11" i="24"/>
  <c r="E163" i="24"/>
  <c r="F36" i="24"/>
  <c r="J8" i="24"/>
  <c r="I10" i="24"/>
  <c r="J120" i="24"/>
  <c r="F144" i="24"/>
  <c r="K83" i="24"/>
  <c r="I81" i="24"/>
  <c r="J58" i="24"/>
  <c r="E168" i="24"/>
  <c r="F131" i="24"/>
  <c r="J136" i="24"/>
  <c r="I176" i="24"/>
  <c r="I109" i="24"/>
  <c r="I168" i="24"/>
  <c r="J88" i="24"/>
  <c r="H191" i="24"/>
  <c r="H152" i="24"/>
  <c r="H131" i="24"/>
  <c r="I152" i="24"/>
  <c r="F166" i="24"/>
  <c r="I90" i="24"/>
  <c r="E173" i="24"/>
  <c r="F204" i="24"/>
  <c r="K110" i="24"/>
  <c r="J46" i="24"/>
  <c r="H130" i="24"/>
  <c r="I32" i="24"/>
  <c r="H22" i="24"/>
  <c r="E27" i="24"/>
  <c r="K174" i="24"/>
  <c r="H154" i="24"/>
  <c r="H66" i="24"/>
  <c r="J148" i="24"/>
  <c r="F171" i="24"/>
  <c r="K69" i="24"/>
  <c r="F132" i="24"/>
  <c r="I29" i="24"/>
  <c r="H156" i="24"/>
  <c r="F31" i="24"/>
  <c r="H124" i="24"/>
  <c r="K54" i="24"/>
  <c r="K144" i="24"/>
  <c r="H54" i="24"/>
  <c r="K202" i="24"/>
  <c r="E171" i="24"/>
  <c r="I139" i="24"/>
  <c r="H189" i="24"/>
  <c r="F188" i="24"/>
  <c r="I130" i="24"/>
  <c r="I108" i="24"/>
  <c r="F87" i="24"/>
  <c r="E94" i="24"/>
  <c r="E198" i="24"/>
  <c r="H28" i="24"/>
  <c r="F28" i="24"/>
  <c r="J157" i="24"/>
  <c r="K130" i="24"/>
  <c r="J150" i="24"/>
  <c r="J98" i="24"/>
  <c r="K146" i="24"/>
  <c r="I146" i="24"/>
  <c r="J17" i="24"/>
  <c r="I15" i="24"/>
  <c r="F90" i="24"/>
  <c r="E124" i="24"/>
  <c r="F24" i="24"/>
  <c r="J91" i="24"/>
  <c r="F92" i="24"/>
  <c r="I103" i="24"/>
  <c r="E67" i="24"/>
  <c r="F112" i="24"/>
  <c r="I52" i="24"/>
  <c r="J64" i="24"/>
  <c r="K131" i="24"/>
  <c r="K156" i="24"/>
  <c r="K59" i="24"/>
  <c r="E166" i="24"/>
  <c r="H176" i="24"/>
  <c r="E10" i="24"/>
  <c r="J86" i="24"/>
  <c r="K11" i="24"/>
  <c r="E73" i="24"/>
  <c r="E95" i="24"/>
  <c r="F195" i="24"/>
  <c r="J173" i="24"/>
  <c r="I186" i="24"/>
  <c r="F148" i="24"/>
  <c r="K72" i="24"/>
  <c r="J151" i="24"/>
  <c r="F37" i="24"/>
  <c r="I51" i="24"/>
  <c r="I125" i="24"/>
  <c r="F44" i="24"/>
  <c r="J28" i="24"/>
  <c r="F175" i="24"/>
  <c r="H103" i="24"/>
  <c r="F80" i="24"/>
  <c r="F180" i="24"/>
  <c r="F29" i="24"/>
  <c r="F70" i="24"/>
  <c r="K162" i="24"/>
  <c r="K168" i="24"/>
  <c r="I135" i="24"/>
  <c r="K29" i="24"/>
  <c r="J71" i="24"/>
  <c r="J123" i="24"/>
  <c r="H172" i="24"/>
  <c r="H49" i="24"/>
  <c r="F176" i="24"/>
  <c r="K199" i="24"/>
  <c r="E170" i="24"/>
  <c r="H27" i="24"/>
  <c r="K158" i="24"/>
  <c r="K169" i="24"/>
  <c r="F113" i="24"/>
  <c r="E129" i="24"/>
  <c r="E47" i="24"/>
  <c r="F6" i="24"/>
  <c r="H39" i="24"/>
  <c r="E151" i="24"/>
  <c r="K139" i="24"/>
  <c r="E52" i="24"/>
  <c r="F140" i="24"/>
  <c r="J87" i="24"/>
  <c r="H15" i="24"/>
  <c r="F110" i="24"/>
  <c r="I178" i="24"/>
  <c r="K53" i="24"/>
  <c r="E14" i="24"/>
  <c r="J109" i="24"/>
  <c r="K132" i="24"/>
  <c r="E29" i="24"/>
  <c r="K186" i="24"/>
  <c r="E90" i="24"/>
  <c r="J9" i="24"/>
  <c r="F67" i="24"/>
  <c r="F162" i="24"/>
  <c r="K91" i="24"/>
  <c r="E15" i="24"/>
  <c r="H81" i="24"/>
  <c r="I143" i="24"/>
  <c r="H167" i="24"/>
  <c r="E174" i="24"/>
  <c r="F15" i="24"/>
  <c r="I13" i="24"/>
  <c r="K142" i="24"/>
  <c r="H92" i="24"/>
  <c r="F158" i="24"/>
  <c r="K195" i="24"/>
  <c r="F52" i="24"/>
  <c r="H7" i="24"/>
  <c r="E193" i="24"/>
  <c r="I96" i="24"/>
  <c r="I201" i="24"/>
  <c r="H142" i="24"/>
  <c r="K57" i="24"/>
  <c r="H95" i="24"/>
  <c r="I94" i="24"/>
  <c r="F109" i="24"/>
  <c r="J178" i="24"/>
  <c r="H5" i="24"/>
  <c r="H183" i="24"/>
  <c r="I47" i="24"/>
  <c r="K184" i="24"/>
  <c r="J155" i="24"/>
  <c r="K37" i="24"/>
  <c r="H87" i="24"/>
  <c r="J110" i="24"/>
  <c r="K39" i="24"/>
  <c r="K60" i="24"/>
  <c r="E36" i="24"/>
  <c r="E161" i="24"/>
  <c r="J117" i="24"/>
  <c r="H135" i="24"/>
  <c r="E125" i="24"/>
  <c r="K74" i="24"/>
  <c r="K145" i="24"/>
  <c r="J15" i="24"/>
  <c r="K103" i="24"/>
  <c r="E11" i="24"/>
  <c r="E169" i="24"/>
  <c r="H158" i="24"/>
  <c r="F72" i="24"/>
  <c r="F11" i="24"/>
  <c r="E57" i="24"/>
  <c r="J146" i="24"/>
  <c r="K46" i="24"/>
  <c r="K175" i="24"/>
  <c r="I76" i="24"/>
  <c r="L5" i="24" l="1"/>
  <c r="P5" i="25" s="1"/>
  <c r="L5" i="25"/>
  <c r="I59" i="25"/>
  <c r="O59" i="24"/>
  <c r="P59" i="24" s="1"/>
  <c r="M59" i="25" s="1"/>
  <c r="H32" i="25"/>
  <c r="V32" i="24"/>
  <c r="U32" i="25" s="1"/>
  <c r="H5" i="25"/>
  <c r="V5" i="24"/>
  <c r="U5" i="25" s="1"/>
  <c r="AO185" i="24"/>
  <c r="AP185" i="24" s="1"/>
  <c r="E185" i="25"/>
  <c r="AA185" i="24"/>
  <c r="S185" i="25" s="1"/>
  <c r="AD185" i="24"/>
  <c r="W185" i="25" s="1"/>
  <c r="AE185" i="24"/>
  <c r="X185" i="25" s="1"/>
  <c r="Z185" i="24"/>
  <c r="T185" i="25" s="1"/>
  <c r="S185" i="24"/>
  <c r="Q185" i="25" s="1"/>
  <c r="R185" i="24"/>
  <c r="R185" i="25" s="1"/>
  <c r="L185" i="24"/>
  <c r="P185" i="25" s="1"/>
  <c r="I147" i="25"/>
  <c r="O147" i="24"/>
  <c r="N147" i="25" s="1"/>
  <c r="F91" i="25"/>
  <c r="L83" i="25"/>
  <c r="L39" i="25"/>
  <c r="G71" i="25"/>
  <c r="AO200" i="24"/>
  <c r="AP200" i="24" s="1"/>
  <c r="E200" i="25"/>
  <c r="AD200" i="24"/>
  <c r="W200" i="25" s="1"/>
  <c r="L200" i="24"/>
  <c r="P200" i="25" s="1"/>
  <c r="S200" i="24"/>
  <c r="Q200" i="25" s="1"/>
  <c r="AA200" i="24"/>
  <c r="S200" i="25" s="1"/>
  <c r="Z200" i="24"/>
  <c r="T200" i="25" s="1"/>
  <c r="R200" i="24"/>
  <c r="R200" i="25" s="1"/>
  <c r="AE200" i="24"/>
  <c r="X200" i="25" s="1"/>
  <c r="AO73" i="24"/>
  <c r="AP73" i="24" s="1"/>
  <c r="E73" i="25"/>
  <c r="Z73" i="24"/>
  <c r="T73" i="25" s="1"/>
  <c r="S73" i="24"/>
  <c r="Q73" i="25" s="1"/>
  <c r="R73" i="24"/>
  <c r="R73" i="25" s="1"/>
  <c r="AE73" i="24"/>
  <c r="X73" i="25" s="1"/>
  <c r="Q73" i="24"/>
  <c r="L73" i="24"/>
  <c r="P73" i="25" s="1"/>
  <c r="AD73" i="24"/>
  <c r="W73" i="25" s="1"/>
  <c r="AA73" i="24"/>
  <c r="S73" i="25" s="1"/>
  <c r="G51" i="25"/>
  <c r="E27" i="25"/>
  <c r="AO27" i="24"/>
  <c r="AP27" i="24" s="1"/>
  <c r="R27" i="24"/>
  <c r="R27" i="25" s="1"/>
  <c r="L27" i="24"/>
  <c r="P27" i="25" s="1"/>
  <c r="Z27" i="24"/>
  <c r="T27" i="25" s="1"/>
  <c r="S27" i="24"/>
  <c r="Q27" i="25" s="1"/>
  <c r="AD27" i="24"/>
  <c r="W27" i="25" s="1"/>
  <c r="AE27" i="24"/>
  <c r="X27" i="25" s="1"/>
  <c r="AA27" i="24"/>
  <c r="S27" i="25" s="1"/>
  <c r="Q27" i="24"/>
  <c r="I13" i="25"/>
  <c r="O13" i="24"/>
  <c r="N13" i="25" s="1"/>
  <c r="I74" i="25"/>
  <c r="O74" i="24"/>
  <c r="Q74" i="24" s="1"/>
  <c r="AO190" i="24"/>
  <c r="AP190" i="24" s="1"/>
  <c r="H190" i="25"/>
  <c r="V190" i="24"/>
  <c r="U190" i="25" s="1"/>
  <c r="I117" i="25"/>
  <c r="O117" i="24"/>
  <c r="Q117" i="24" s="1"/>
  <c r="G24" i="25"/>
  <c r="G59" i="25"/>
  <c r="H151" i="25"/>
  <c r="V151" i="24"/>
  <c r="U151" i="25" s="1"/>
  <c r="L31" i="25"/>
  <c r="L31" i="24"/>
  <c r="P31" i="25" s="1"/>
  <c r="AO70" i="24"/>
  <c r="AP70" i="24" s="1"/>
  <c r="F70" i="25"/>
  <c r="G102" i="25"/>
  <c r="F8" i="25"/>
  <c r="F25" i="25"/>
  <c r="I205" i="25"/>
  <c r="O205" i="24"/>
  <c r="N205" i="25" s="1"/>
  <c r="E10" i="25"/>
  <c r="AO10" i="24"/>
  <c r="AP10" i="24" s="1"/>
  <c r="R10" i="24"/>
  <c r="R10" i="25" s="1"/>
  <c r="AD10" i="24"/>
  <c r="W10" i="25" s="1"/>
  <c r="AA10" i="24"/>
  <c r="S10" i="25" s="1"/>
  <c r="AE10" i="24"/>
  <c r="X10" i="25" s="1"/>
  <c r="Z10" i="24"/>
  <c r="T10" i="25" s="1"/>
  <c r="S10" i="24"/>
  <c r="Q10" i="25" s="1"/>
  <c r="L10" i="24"/>
  <c r="P10" i="25" s="1"/>
  <c r="F86" i="25"/>
  <c r="F205" i="25"/>
  <c r="F57" i="25"/>
  <c r="L127" i="25"/>
  <c r="L127" i="24"/>
  <c r="P127" i="25" s="1"/>
  <c r="G151" i="25"/>
  <c r="O29" i="24"/>
  <c r="P29" i="24" s="1"/>
  <c r="M29" i="25" s="1"/>
  <c r="I29" i="25"/>
  <c r="H46" i="25"/>
  <c r="V46" i="24"/>
  <c r="U46" i="25" s="1"/>
  <c r="V104" i="24"/>
  <c r="U104" i="25" s="1"/>
  <c r="H104" i="25"/>
  <c r="L117" i="25"/>
  <c r="H148" i="25"/>
  <c r="V148" i="24"/>
  <c r="U148" i="25" s="1"/>
  <c r="G180" i="25"/>
  <c r="AO41" i="24"/>
  <c r="AP41" i="24" s="1"/>
  <c r="H41" i="25"/>
  <c r="V41" i="24"/>
  <c r="U41" i="25" s="1"/>
  <c r="AO131" i="24"/>
  <c r="AP131" i="24" s="1"/>
  <c r="F131" i="25"/>
  <c r="AO55" i="24"/>
  <c r="AP55" i="24" s="1"/>
  <c r="E55" i="25"/>
  <c r="Z55" i="24"/>
  <c r="T55" i="25" s="1"/>
  <c r="S55" i="24"/>
  <c r="Q55" i="25" s="1"/>
  <c r="R55" i="24"/>
  <c r="R55" i="25" s="1"/>
  <c r="L55" i="24"/>
  <c r="P55" i="25" s="1"/>
  <c r="AD55" i="24"/>
  <c r="W55" i="25" s="1"/>
  <c r="AE55" i="24"/>
  <c r="X55" i="25" s="1"/>
  <c r="AA55" i="24"/>
  <c r="S55" i="25" s="1"/>
  <c r="Q55" i="24"/>
  <c r="I194" i="25"/>
  <c r="O194" i="24"/>
  <c r="N194" i="25" s="1"/>
  <c r="AO23" i="24"/>
  <c r="AP23" i="24" s="1"/>
  <c r="F23" i="25"/>
  <c r="O155" i="24"/>
  <c r="Q155" i="24" s="1"/>
  <c r="I155" i="25"/>
  <c r="F16" i="25"/>
  <c r="AO16" i="24"/>
  <c r="AP16" i="24" s="1"/>
  <c r="AO25" i="24"/>
  <c r="AP25" i="24" s="1"/>
  <c r="E25" i="25"/>
  <c r="S25" i="24"/>
  <c r="Q25" i="25" s="1"/>
  <c r="L25" i="24"/>
  <c r="P25" i="25" s="1"/>
  <c r="AA25" i="24"/>
  <c r="S25" i="25" s="1"/>
  <c r="AE25" i="24"/>
  <c r="X25" i="25" s="1"/>
  <c r="AD25" i="24"/>
  <c r="W25" i="25" s="1"/>
  <c r="R25" i="24"/>
  <c r="R25" i="25" s="1"/>
  <c r="Z25" i="24"/>
  <c r="T25" i="25" s="1"/>
  <c r="I173" i="25"/>
  <c r="O173" i="24"/>
  <c r="Q173" i="24" s="1"/>
  <c r="F103" i="25"/>
  <c r="AO169" i="24"/>
  <c r="AP169" i="24" s="1"/>
  <c r="Z169" i="24"/>
  <c r="T169" i="25" s="1"/>
  <c r="AD169" i="24"/>
  <c r="W169" i="25" s="1"/>
  <c r="E169" i="25"/>
  <c r="S169" i="24"/>
  <c r="Q169" i="25" s="1"/>
  <c r="R169" i="24"/>
  <c r="R169" i="25" s="1"/>
  <c r="L169" i="24"/>
  <c r="P169" i="25" s="1"/>
  <c r="AE169" i="24"/>
  <c r="X169" i="25" s="1"/>
  <c r="AA169" i="24"/>
  <c r="S169" i="25" s="1"/>
  <c r="G195" i="25"/>
  <c r="L151" i="25"/>
  <c r="E170" i="25"/>
  <c r="L170" i="24"/>
  <c r="P170" i="25" s="1"/>
  <c r="AO170" i="24"/>
  <c r="AP170" i="24" s="1"/>
  <c r="S170" i="24"/>
  <c r="Q170" i="25" s="1"/>
  <c r="AA170" i="24"/>
  <c r="S170" i="25" s="1"/>
  <c r="AD170" i="24"/>
  <c r="W170" i="25" s="1"/>
  <c r="AE170" i="24"/>
  <c r="X170" i="25" s="1"/>
  <c r="Z170" i="24"/>
  <c r="T170" i="25" s="1"/>
  <c r="R170" i="24"/>
  <c r="R170" i="25" s="1"/>
  <c r="Q170" i="24"/>
  <c r="G199" i="25"/>
  <c r="AO92" i="24"/>
  <c r="AP92" i="24" s="1"/>
  <c r="E92" i="25"/>
  <c r="AA92" i="24"/>
  <c r="S92" i="25" s="1"/>
  <c r="Z92" i="24"/>
  <c r="T92" i="25" s="1"/>
  <c r="S92" i="24"/>
  <c r="Q92" i="25" s="1"/>
  <c r="R92" i="24"/>
  <c r="R92" i="25" s="1"/>
  <c r="AE92" i="24"/>
  <c r="X92" i="25" s="1"/>
  <c r="AD92" i="24"/>
  <c r="W92" i="25" s="1"/>
  <c r="L92" i="24"/>
  <c r="P92" i="25" s="1"/>
  <c r="AO151" i="24"/>
  <c r="AP151" i="24" s="1"/>
  <c r="R151" i="24"/>
  <c r="R151" i="25" s="1"/>
  <c r="E151" i="25"/>
  <c r="Z151" i="24"/>
  <c r="T151" i="25" s="1"/>
  <c r="L151" i="24"/>
  <c r="P151" i="25" s="1"/>
  <c r="AD151" i="24"/>
  <c r="W151" i="25" s="1"/>
  <c r="AA151" i="24"/>
  <c r="S151" i="25" s="1"/>
  <c r="AE151" i="24"/>
  <c r="X151" i="25" s="1"/>
  <c r="S151" i="24"/>
  <c r="Q151" i="25" s="1"/>
  <c r="G125" i="25"/>
  <c r="AO97" i="24"/>
  <c r="AP97" i="24" s="1"/>
  <c r="G97" i="25"/>
  <c r="F114" i="25"/>
  <c r="L126" i="25"/>
  <c r="L126" i="24"/>
  <c r="P126" i="25" s="1"/>
  <c r="V126" i="24"/>
  <c r="U126" i="25" s="1"/>
  <c r="L162" i="25"/>
  <c r="L162" i="24"/>
  <c r="P162" i="25" s="1"/>
  <c r="I66" i="25"/>
  <c r="O66" i="24"/>
  <c r="N66" i="25" s="1"/>
  <c r="O128" i="24"/>
  <c r="N128" i="25" s="1"/>
  <c r="I128" i="25"/>
  <c r="I186" i="25"/>
  <c r="O186" i="24"/>
  <c r="Q186" i="24" s="1"/>
  <c r="AO155" i="24"/>
  <c r="AP155" i="24" s="1"/>
  <c r="E155" i="25"/>
  <c r="AE155" i="24"/>
  <c r="X155" i="25" s="1"/>
  <c r="R155" i="24"/>
  <c r="R155" i="25" s="1"/>
  <c r="S155" i="24"/>
  <c r="Q155" i="25" s="1"/>
  <c r="L155" i="24"/>
  <c r="P155" i="25" s="1"/>
  <c r="Z155" i="24"/>
  <c r="T155" i="25" s="1"/>
  <c r="AA155" i="24"/>
  <c r="S155" i="25" s="1"/>
  <c r="AD155" i="24"/>
  <c r="W155" i="25" s="1"/>
  <c r="G26" i="25"/>
  <c r="H143" i="25"/>
  <c r="V143" i="24"/>
  <c r="U143" i="25" s="1"/>
  <c r="L205" i="25"/>
  <c r="L144" i="25"/>
  <c r="AO59" i="24"/>
  <c r="AP59" i="24" s="1"/>
  <c r="L59" i="24"/>
  <c r="P59" i="25" s="1"/>
  <c r="E59" i="25"/>
  <c r="Z59" i="24"/>
  <c r="T59" i="25" s="1"/>
  <c r="R59" i="24"/>
  <c r="R59" i="25" s="1"/>
  <c r="S59" i="24"/>
  <c r="Q59" i="25" s="1"/>
  <c r="AE59" i="24"/>
  <c r="X59" i="25" s="1"/>
  <c r="AA59" i="24"/>
  <c r="S59" i="25" s="1"/>
  <c r="AD59" i="24"/>
  <c r="W59" i="25" s="1"/>
  <c r="F78" i="25"/>
  <c r="AO78" i="24"/>
  <c r="AP78" i="24" s="1"/>
  <c r="H36" i="25"/>
  <c r="V36" i="24"/>
  <c r="U36" i="25" s="1"/>
  <c r="G174" i="25"/>
  <c r="I47" i="25"/>
  <c r="O47" i="24"/>
  <c r="P47" i="24" s="1"/>
  <c r="M47" i="25" s="1"/>
  <c r="AO113" i="24"/>
  <c r="AP113" i="24" s="1"/>
  <c r="F113" i="25"/>
  <c r="L107" i="25"/>
  <c r="I131" i="25"/>
  <c r="O131" i="24"/>
  <c r="Q131" i="24" s="1"/>
  <c r="AO24" i="24"/>
  <c r="AP24" i="24" s="1"/>
  <c r="F24" i="25"/>
  <c r="AO115" i="24"/>
  <c r="AP115" i="24" s="1"/>
  <c r="E115" i="25"/>
  <c r="Z115" i="24"/>
  <c r="T115" i="25" s="1"/>
  <c r="AA115" i="24"/>
  <c r="S115" i="25" s="1"/>
  <c r="AE115" i="24"/>
  <c r="X115" i="25" s="1"/>
  <c r="AD115" i="24"/>
  <c r="W115" i="25" s="1"/>
  <c r="S115" i="24"/>
  <c r="Q115" i="25" s="1"/>
  <c r="R115" i="24"/>
  <c r="R115" i="25" s="1"/>
  <c r="Q115" i="24"/>
  <c r="L115" i="24"/>
  <c r="P115" i="25" s="1"/>
  <c r="I125" i="25"/>
  <c r="O125" i="24"/>
  <c r="Q125" i="24" s="1"/>
  <c r="I103" i="25"/>
  <c r="O103" i="24"/>
  <c r="Q103" i="24" s="1"/>
  <c r="G206" i="25"/>
  <c r="L104" i="24"/>
  <c r="P104" i="25" s="1"/>
  <c r="L104" i="25"/>
  <c r="F163" i="25"/>
  <c r="E87" i="25"/>
  <c r="AO87" i="24"/>
  <c r="AP87" i="24" s="1"/>
  <c r="Z87" i="24"/>
  <c r="T87" i="25" s="1"/>
  <c r="S87" i="24"/>
  <c r="Q87" i="25" s="1"/>
  <c r="AE87" i="24"/>
  <c r="X87" i="25" s="1"/>
  <c r="AD87" i="24"/>
  <c r="W87" i="25" s="1"/>
  <c r="AA87" i="24"/>
  <c r="S87" i="25" s="1"/>
  <c r="L87" i="24"/>
  <c r="P87" i="25" s="1"/>
  <c r="R87" i="24"/>
  <c r="R87" i="25" s="1"/>
  <c r="H92" i="25"/>
  <c r="V92" i="24"/>
  <c r="U92" i="25" s="1"/>
  <c r="G57" i="25"/>
  <c r="H51" i="25"/>
  <c r="V51" i="24"/>
  <c r="U51" i="25" s="1"/>
  <c r="AO159" i="24"/>
  <c r="AP159" i="24" s="1"/>
  <c r="E159" i="25"/>
  <c r="AD159" i="24"/>
  <c r="W159" i="25" s="1"/>
  <c r="L159" i="24"/>
  <c r="P159" i="25" s="1"/>
  <c r="AA159" i="24"/>
  <c r="S159" i="25" s="1"/>
  <c r="Z159" i="24"/>
  <c r="T159" i="25" s="1"/>
  <c r="R159" i="24"/>
  <c r="R159" i="25" s="1"/>
  <c r="AE159" i="24"/>
  <c r="X159" i="25" s="1"/>
  <c r="Q159" i="24"/>
  <c r="S159" i="24"/>
  <c r="Q159" i="25" s="1"/>
  <c r="L71" i="25"/>
  <c r="AO188" i="24"/>
  <c r="AP188" i="24" s="1"/>
  <c r="F188" i="25"/>
  <c r="L67" i="25"/>
  <c r="I120" i="25"/>
  <c r="O120" i="24"/>
  <c r="N120" i="25" s="1"/>
  <c r="L195" i="25"/>
  <c r="L195" i="24"/>
  <c r="P195" i="25" s="1"/>
  <c r="Z86" i="24"/>
  <c r="T86" i="25" s="1"/>
  <c r="AO86" i="24"/>
  <c r="AP86" i="24" s="1"/>
  <c r="E86" i="25"/>
  <c r="AA86" i="24"/>
  <c r="S86" i="25" s="1"/>
  <c r="S86" i="24"/>
  <c r="Q86" i="25" s="1"/>
  <c r="R86" i="24"/>
  <c r="R86" i="25" s="1"/>
  <c r="L86" i="24"/>
  <c r="P86" i="25" s="1"/>
  <c r="AD86" i="24"/>
  <c r="W86" i="25" s="1"/>
  <c r="AE86" i="24"/>
  <c r="X86" i="25" s="1"/>
  <c r="AO95" i="24"/>
  <c r="AP95" i="24" s="1"/>
  <c r="E95" i="25"/>
  <c r="AA95" i="24"/>
  <c r="S95" i="25" s="1"/>
  <c r="AE95" i="24"/>
  <c r="X95" i="25" s="1"/>
  <c r="Q95" i="24"/>
  <c r="Z95" i="24"/>
  <c r="T95" i="25" s="1"/>
  <c r="S95" i="24"/>
  <c r="Q95" i="25" s="1"/>
  <c r="AD95" i="24"/>
  <c r="W95" i="25" s="1"/>
  <c r="R95" i="24"/>
  <c r="R95" i="25" s="1"/>
  <c r="L95" i="24"/>
  <c r="P95" i="25" s="1"/>
  <c r="G156" i="25"/>
  <c r="O12" i="24"/>
  <c r="Q12" i="24" s="1"/>
  <c r="I12" i="25"/>
  <c r="H180" i="25"/>
  <c r="V180" i="24"/>
  <c r="U180" i="25" s="1"/>
  <c r="I142" i="25"/>
  <c r="O142" i="24"/>
  <c r="P142" i="24" s="1"/>
  <c r="M142" i="25" s="1"/>
  <c r="L169" i="25"/>
  <c r="AO13" i="24"/>
  <c r="AP13" i="24" s="1"/>
  <c r="G13" i="25"/>
  <c r="AO125" i="24"/>
  <c r="AP125" i="24" s="1"/>
  <c r="E125" i="25"/>
  <c r="AE125" i="24"/>
  <c r="X125" i="25" s="1"/>
  <c r="Z125" i="24"/>
  <c r="T125" i="25" s="1"/>
  <c r="S125" i="24"/>
  <c r="Q125" i="25" s="1"/>
  <c r="AD125" i="24"/>
  <c r="W125" i="25" s="1"/>
  <c r="L125" i="24"/>
  <c r="P125" i="25" s="1"/>
  <c r="R125" i="24"/>
  <c r="R125" i="25" s="1"/>
  <c r="AA125" i="24"/>
  <c r="S125" i="25" s="1"/>
  <c r="AO180" i="24"/>
  <c r="AP180" i="24" s="1"/>
  <c r="E180" i="25"/>
  <c r="AA180" i="24"/>
  <c r="S180" i="25" s="1"/>
  <c r="L180" i="24"/>
  <c r="P180" i="25" s="1"/>
  <c r="Z180" i="24"/>
  <c r="T180" i="25" s="1"/>
  <c r="S180" i="24"/>
  <c r="Q180" i="25" s="1"/>
  <c r="AE180" i="24"/>
  <c r="X180" i="25" s="1"/>
  <c r="R180" i="24"/>
  <c r="R180" i="25" s="1"/>
  <c r="AD180" i="24"/>
  <c r="W180" i="25" s="1"/>
  <c r="L68" i="25"/>
  <c r="V68" i="24"/>
  <c r="U68" i="25" s="1"/>
  <c r="G64" i="25"/>
  <c r="AO9" i="24"/>
  <c r="AP9" i="24" s="1"/>
  <c r="L9" i="24"/>
  <c r="P9" i="25" s="1"/>
  <c r="E9" i="25"/>
  <c r="R9" i="24"/>
  <c r="R9" i="25" s="1"/>
  <c r="Z9" i="24"/>
  <c r="T9" i="25" s="1"/>
  <c r="S9" i="24"/>
  <c r="Q9" i="25" s="1"/>
  <c r="AA9" i="24"/>
  <c r="S9" i="25" s="1"/>
  <c r="AE9" i="24"/>
  <c r="X9" i="25" s="1"/>
  <c r="AD9" i="24"/>
  <c r="W9" i="25" s="1"/>
  <c r="L12" i="25"/>
  <c r="G27" i="25"/>
  <c r="G169" i="25"/>
  <c r="I113" i="25"/>
  <c r="O113" i="24"/>
  <c r="N113" i="25" s="1"/>
  <c r="F59" i="25"/>
  <c r="G15" i="25"/>
  <c r="F46" i="25"/>
  <c r="AO46" i="24"/>
  <c r="AP46" i="24" s="1"/>
  <c r="AO202" i="24"/>
  <c r="AP202" i="24" s="1"/>
  <c r="H202" i="25"/>
  <c r="V202" i="24"/>
  <c r="U202" i="25" s="1"/>
  <c r="F88" i="25"/>
  <c r="L52" i="25"/>
  <c r="F11" i="25"/>
  <c r="H71" i="25"/>
  <c r="V71" i="24"/>
  <c r="U71" i="25" s="1"/>
  <c r="L190" i="25"/>
  <c r="L190" i="24"/>
  <c r="P190" i="25" s="1"/>
  <c r="AO171" i="24"/>
  <c r="AP171" i="24" s="1"/>
  <c r="E171" i="25"/>
  <c r="Q171" i="24"/>
  <c r="AA171" i="24"/>
  <c r="S171" i="25" s="1"/>
  <c r="AD171" i="24"/>
  <c r="W171" i="25" s="1"/>
  <c r="L171" i="24"/>
  <c r="P171" i="25" s="1"/>
  <c r="Z171" i="24"/>
  <c r="T171" i="25" s="1"/>
  <c r="S171" i="24"/>
  <c r="Q171" i="25" s="1"/>
  <c r="R171" i="24"/>
  <c r="R171" i="25" s="1"/>
  <c r="AE171" i="24"/>
  <c r="X171" i="25" s="1"/>
  <c r="G22" i="25"/>
  <c r="L40" i="25"/>
  <c r="V40" i="24"/>
  <c r="U40" i="25" s="1"/>
  <c r="H31" i="25"/>
  <c r="V31" i="24"/>
  <c r="U31" i="25" s="1"/>
  <c r="AO31" i="24"/>
  <c r="AP31" i="24" s="1"/>
  <c r="F31" i="25"/>
  <c r="I127" i="25"/>
  <c r="O127" i="24"/>
  <c r="Q127" i="24" s="1"/>
  <c r="F143" i="25"/>
  <c r="H124" i="25"/>
  <c r="V124" i="24"/>
  <c r="U124" i="25" s="1"/>
  <c r="H102" i="25"/>
  <c r="V102" i="24"/>
  <c r="U102" i="25" s="1"/>
  <c r="I91" i="25"/>
  <c r="O91" i="24"/>
  <c r="Q91" i="24" s="1"/>
  <c r="I174" i="25"/>
  <c r="O174" i="24"/>
  <c r="Q174" i="24" s="1"/>
  <c r="AO162" i="24"/>
  <c r="AP162" i="24" s="1"/>
  <c r="F162" i="25"/>
  <c r="G52" i="25"/>
  <c r="H63" i="25"/>
  <c r="V63" i="24"/>
  <c r="U63" i="25" s="1"/>
  <c r="G7" i="25"/>
  <c r="E160" i="25"/>
  <c r="R160" i="24"/>
  <c r="R160" i="25" s="1"/>
  <c r="L160" i="24"/>
  <c r="P160" i="25" s="1"/>
  <c r="AD160" i="24"/>
  <c r="W160" i="25" s="1"/>
  <c r="AO160" i="24"/>
  <c r="AP160" i="24" s="1"/>
  <c r="Z160" i="24"/>
  <c r="T160" i="25" s="1"/>
  <c r="AA160" i="24"/>
  <c r="S160" i="25" s="1"/>
  <c r="Q160" i="24"/>
  <c r="AE160" i="24"/>
  <c r="X160" i="25" s="1"/>
  <c r="S160" i="24"/>
  <c r="Q160" i="25" s="1"/>
  <c r="E138" i="25"/>
  <c r="AO138" i="24"/>
  <c r="AP138" i="24" s="1"/>
  <c r="L138" i="24"/>
  <c r="P138" i="25" s="1"/>
  <c r="Z138" i="24"/>
  <c r="T138" i="25" s="1"/>
  <c r="R138" i="24"/>
  <c r="R138" i="25" s="1"/>
  <c r="S138" i="24"/>
  <c r="Q138" i="25" s="1"/>
  <c r="AA138" i="24"/>
  <c r="S138" i="25" s="1"/>
  <c r="AD138" i="24"/>
  <c r="W138" i="25" s="1"/>
  <c r="AE138" i="24"/>
  <c r="X138" i="25" s="1"/>
  <c r="I92" i="25"/>
  <c r="O92" i="24"/>
  <c r="P92" i="24" s="1"/>
  <c r="M92" i="25" s="1"/>
  <c r="L59" i="25"/>
  <c r="H48" i="25"/>
  <c r="V48" i="24"/>
  <c r="U48" i="25" s="1"/>
  <c r="E40" i="25"/>
  <c r="R40" i="24"/>
  <c r="R40" i="25" s="1"/>
  <c r="AO40" i="24"/>
  <c r="AP40" i="24" s="1"/>
  <c r="AE40" i="24"/>
  <c r="X40" i="25" s="1"/>
  <c r="S40" i="24"/>
  <c r="Q40" i="25" s="1"/>
  <c r="AA40" i="24"/>
  <c r="S40" i="25" s="1"/>
  <c r="AD40" i="24"/>
  <c r="W40" i="25" s="1"/>
  <c r="L40" i="24"/>
  <c r="P40" i="25" s="1"/>
  <c r="Z40" i="24"/>
  <c r="T40" i="25" s="1"/>
  <c r="G39" i="25"/>
  <c r="F83" i="25"/>
  <c r="F87" i="25"/>
  <c r="F115" i="25"/>
  <c r="L101" i="25"/>
  <c r="V101" i="24"/>
  <c r="U101" i="25" s="1"/>
  <c r="L101" i="24"/>
  <c r="P101" i="25" s="1"/>
  <c r="H167" i="25"/>
  <c r="V167" i="24"/>
  <c r="U167" i="25" s="1"/>
  <c r="AO124" i="24"/>
  <c r="AP124" i="24" s="1"/>
  <c r="E124" i="25"/>
  <c r="AA124" i="24"/>
  <c r="S124" i="25" s="1"/>
  <c r="Z124" i="24"/>
  <c r="T124" i="25" s="1"/>
  <c r="S124" i="24"/>
  <c r="Q124" i="25" s="1"/>
  <c r="R124" i="24"/>
  <c r="R124" i="25" s="1"/>
  <c r="L124" i="24"/>
  <c r="P124" i="25" s="1"/>
  <c r="AE124" i="24"/>
  <c r="X124" i="25" s="1"/>
  <c r="AD124" i="24"/>
  <c r="W124" i="25" s="1"/>
  <c r="L132" i="25"/>
  <c r="L154" i="25"/>
  <c r="AO194" i="24"/>
  <c r="AP194" i="24" s="1"/>
  <c r="H194" i="25"/>
  <c r="V194" i="24"/>
  <c r="U194" i="25" s="1"/>
  <c r="H67" i="25"/>
  <c r="V67" i="24"/>
  <c r="U67" i="25" s="1"/>
  <c r="I110" i="25"/>
  <c r="O110" i="24"/>
  <c r="Q110" i="24" s="1"/>
  <c r="H54" i="25"/>
  <c r="V54" i="24"/>
  <c r="U54" i="25" s="1"/>
  <c r="AO148" i="24"/>
  <c r="AP148" i="24" s="1"/>
  <c r="R148" i="24"/>
  <c r="R148" i="25" s="1"/>
  <c r="E148" i="25"/>
  <c r="Z148" i="24"/>
  <c r="T148" i="25" s="1"/>
  <c r="AA148" i="24"/>
  <c r="S148" i="25" s="1"/>
  <c r="AD148" i="24"/>
  <c r="W148" i="25" s="1"/>
  <c r="AE148" i="24"/>
  <c r="X148" i="25" s="1"/>
  <c r="L148" i="24"/>
  <c r="P148" i="25" s="1"/>
  <c r="S148" i="24"/>
  <c r="Q148" i="25" s="1"/>
  <c r="F128" i="25"/>
  <c r="AO174" i="24"/>
  <c r="AP174" i="24" s="1"/>
  <c r="AA174" i="24"/>
  <c r="S174" i="25" s="1"/>
  <c r="E174" i="25"/>
  <c r="AE174" i="24"/>
  <c r="X174" i="25" s="1"/>
  <c r="S174" i="24"/>
  <c r="Q174" i="25" s="1"/>
  <c r="R174" i="24"/>
  <c r="R174" i="25" s="1"/>
  <c r="L174" i="24"/>
  <c r="P174" i="25" s="1"/>
  <c r="Z174" i="24"/>
  <c r="T174" i="25" s="1"/>
  <c r="AD174" i="24"/>
  <c r="W174" i="25" s="1"/>
  <c r="F15" i="25"/>
  <c r="H127" i="25"/>
  <c r="V127" i="24"/>
  <c r="U127" i="25" s="1"/>
  <c r="I96" i="25"/>
  <c r="O96" i="24"/>
  <c r="P96" i="24" s="1"/>
  <c r="M96" i="25" s="1"/>
  <c r="I64" i="25"/>
  <c r="O64" i="24"/>
  <c r="Q64" i="24" s="1"/>
  <c r="F36" i="25"/>
  <c r="AO15" i="24"/>
  <c r="AP15" i="24" s="1"/>
  <c r="E15" i="25"/>
  <c r="R15" i="24"/>
  <c r="R15" i="25" s="1"/>
  <c r="Z15" i="24"/>
  <c r="T15" i="25" s="1"/>
  <c r="AA15" i="24"/>
  <c r="S15" i="25" s="1"/>
  <c r="AD15" i="24"/>
  <c r="W15" i="25" s="1"/>
  <c r="S15" i="24"/>
  <c r="Q15" i="25" s="1"/>
  <c r="AE15" i="24"/>
  <c r="X15" i="25" s="1"/>
  <c r="L15" i="24"/>
  <c r="P15" i="25" s="1"/>
  <c r="E29" i="25"/>
  <c r="Z29" i="24"/>
  <c r="T29" i="25" s="1"/>
  <c r="AO29" i="24"/>
  <c r="AP29" i="24" s="1"/>
  <c r="L29" i="24"/>
  <c r="P29" i="25" s="1"/>
  <c r="S29" i="24"/>
  <c r="Q29" i="25" s="1"/>
  <c r="AA29" i="24"/>
  <c r="S29" i="25" s="1"/>
  <c r="AD29" i="24"/>
  <c r="W29" i="25" s="1"/>
  <c r="R29" i="24"/>
  <c r="R29" i="25" s="1"/>
  <c r="AE29" i="24"/>
  <c r="X29" i="25" s="1"/>
  <c r="G3" i="25"/>
  <c r="AO3" i="24"/>
  <c r="AP3" i="24" s="1"/>
  <c r="I114" i="25"/>
  <c r="O114" i="24"/>
  <c r="N114" i="25" s="1"/>
  <c r="L155" i="25"/>
  <c r="AO51" i="24"/>
  <c r="AP51" i="24" s="1"/>
  <c r="L51" i="24"/>
  <c r="P51" i="25" s="1"/>
  <c r="E51" i="25"/>
  <c r="R51" i="24"/>
  <c r="R51" i="25" s="1"/>
  <c r="AA51" i="24"/>
  <c r="S51" i="25" s="1"/>
  <c r="Z51" i="24"/>
  <c r="T51" i="25" s="1"/>
  <c r="S51" i="24"/>
  <c r="Q51" i="25" s="1"/>
  <c r="AD51" i="24"/>
  <c r="W51" i="25" s="1"/>
  <c r="AE51" i="24"/>
  <c r="X51" i="25" s="1"/>
  <c r="G154" i="25"/>
  <c r="G83" i="25"/>
  <c r="E57" i="25"/>
  <c r="AO57" i="24"/>
  <c r="AP57" i="24" s="1"/>
  <c r="R57" i="24"/>
  <c r="R57" i="25" s="1"/>
  <c r="L57" i="24"/>
  <c r="P57" i="25" s="1"/>
  <c r="Z57" i="24"/>
  <c r="T57" i="25" s="1"/>
  <c r="S57" i="24"/>
  <c r="Q57" i="25" s="1"/>
  <c r="AA57" i="24"/>
  <c r="S57" i="25" s="1"/>
  <c r="AD57" i="24"/>
  <c r="W57" i="25" s="1"/>
  <c r="AE57" i="24"/>
  <c r="X57" i="25" s="1"/>
  <c r="I119" i="25"/>
  <c r="O119" i="24"/>
  <c r="N119" i="25" s="1"/>
  <c r="F80" i="25"/>
  <c r="AO144" i="24"/>
  <c r="AP144" i="24" s="1"/>
  <c r="E144" i="25"/>
  <c r="R144" i="24"/>
  <c r="R144" i="25" s="1"/>
  <c r="Z144" i="24"/>
  <c r="T144" i="25" s="1"/>
  <c r="L144" i="24"/>
  <c r="P144" i="25" s="1"/>
  <c r="S144" i="24"/>
  <c r="Q144" i="25" s="1"/>
  <c r="AA144" i="24"/>
  <c r="S144" i="25" s="1"/>
  <c r="AE144" i="24"/>
  <c r="X144" i="25" s="1"/>
  <c r="AD144" i="24"/>
  <c r="W144" i="25" s="1"/>
  <c r="I22" i="25"/>
  <c r="O22" i="24"/>
  <c r="N22" i="25" s="1"/>
  <c r="I76" i="25"/>
  <c r="O76" i="24"/>
  <c r="Q76" i="24" s="1"/>
  <c r="F37" i="25"/>
  <c r="G54" i="25"/>
  <c r="I56" i="25"/>
  <c r="O56" i="24"/>
  <c r="N56" i="25" s="1"/>
  <c r="AO140" i="24"/>
  <c r="AP140" i="24" s="1"/>
  <c r="AD140" i="24"/>
  <c r="W140" i="25" s="1"/>
  <c r="L140" i="24"/>
  <c r="P140" i="25" s="1"/>
  <c r="S140" i="24"/>
  <c r="Q140" i="25" s="1"/>
  <c r="R140" i="24"/>
  <c r="R140" i="25" s="1"/>
  <c r="Z140" i="24"/>
  <c r="T140" i="25" s="1"/>
  <c r="Q140" i="24"/>
  <c r="AA140" i="24"/>
  <c r="S140" i="25" s="1"/>
  <c r="AE140" i="24"/>
  <c r="X140" i="25" s="1"/>
  <c r="E140" i="25"/>
  <c r="H138" i="25"/>
  <c r="V138" i="24"/>
  <c r="U138" i="25" s="1"/>
  <c r="L186" i="25"/>
  <c r="F67" i="25"/>
  <c r="I157" i="25"/>
  <c r="O157" i="24"/>
  <c r="N157" i="25" s="1"/>
  <c r="H94" i="25"/>
  <c r="V94" i="24"/>
  <c r="U94" i="25" s="1"/>
  <c r="I154" i="25"/>
  <c r="O154" i="24"/>
  <c r="P154" i="24" s="1"/>
  <c r="M154" i="25" s="1"/>
  <c r="I72" i="25"/>
  <c r="O72" i="24"/>
  <c r="Q72" i="24" s="1"/>
  <c r="I195" i="25"/>
  <c r="O195" i="24"/>
  <c r="Q195" i="24" s="1"/>
  <c r="AO35" i="24"/>
  <c r="AP35" i="24" s="1"/>
  <c r="E35" i="25"/>
  <c r="AA35" i="24"/>
  <c r="S35" i="25" s="1"/>
  <c r="L35" i="24"/>
  <c r="P35" i="25" s="1"/>
  <c r="Z35" i="24"/>
  <c r="T35" i="25" s="1"/>
  <c r="R35" i="24"/>
  <c r="R35" i="25" s="1"/>
  <c r="S35" i="24"/>
  <c r="Q35" i="25" s="1"/>
  <c r="AE35" i="24"/>
  <c r="X35" i="25" s="1"/>
  <c r="Q35" i="24"/>
  <c r="AD35" i="24"/>
  <c r="W35" i="25" s="1"/>
  <c r="H152" i="25"/>
  <c r="V152" i="24"/>
  <c r="U152" i="25" s="1"/>
  <c r="AO12" i="24"/>
  <c r="AP12" i="24" s="1"/>
  <c r="E12" i="25"/>
  <c r="L12" i="24"/>
  <c r="P12" i="25" s="1"/>
  <c r="Z12" i="24"/>
  <c r="T12" i="25" s="1"/>
  <c r="AE12" i="24"/>
  <c r="X12" i="25" s="1"/>
  <c r="AA12" i="24"/>
  <c r="S12" i="25" s="1"/>
  <c r="S12" i="24"/>
  <c r="Q12" i="25" s="1"/>
  <c r="R12" i="24"/>
  <c r="R12" i="25" s="1"/>
  <c r="AD12" i="24"/>
  <c r="W12" i="25" s="1"/>
  <c r="I201" i="25"/>
  <c r="O201" i="24"/>
  <c r="N201" i="25" s="1"/>
  <c r="G81" i="25"/>
  <c r="F90" i="25"/>
  <c r="AO102" i="24"/>
  <c r="AP102" i="24" s="1"/>
  <c r="E102" i="25"/>
  <c r="S102" i="24"/>
  <c r="Q102" i="25" s="1"/>
  <c r="AA102" i="24"/>
  <c r="S102" i="25" s="1"/>
  <c r="R102" i="24"/>
  <c r="R102" i="25" s="1"/>
  <c r="L102" i="24"/>
  <c r="P102" i="25" s="1"/>
  <c r="Z102" i="24"/>
  <c r="T102" i="25" s="1"/>
  <c r="AD102" i="24"/>
  <c r="W102" i="25" s="1"/>
  <c r="AE102" i="24"/>
  <c r="X102" i="25" s="1"/>
  <c r="F130" i="25"/>
  <c r="I196" i="25"/>
  <c r="O196" i="24"/>
  <c r="P196" i="24" s="1"/>
  <c r="M196" i="25" s="1"/>
  <c r="H96" i="25"/>
  <c r="V96" i="24"/>
  <c r="U96" i="25" s="1"/>
  <c r="E189" i="25"/>
  <c r="AO189" i="24"/>
  <c r="AP189" i="24" s="1"/>
  <c r="S189" i="24"/>
  <c r="Q189" i="25" s="1"/>
  <c r="AE189" i="24"/>
  <c r="X189" i="25" s="1"/>
  <c r="R189" i="24"/>
  <c r="R189" i="25" s="1"/>
  <c r="L189" i="24"/>
  <c r="P189" i="25" s="1"/>
  <c r="Z189" i="24"/>
  <c r="T189" i="25" s="1"/>
  <c r="AA189" i="24"/>
  <c r="S189" i="25" s="1"/>
  <c r="AD189" i="24"/>
  <c r="W189" i="25" s="1"/>
  <c r="L146" i="25"/>
  <c r="L146" i="24"/>
  <c r="P146" i="25" s="1"/>
  <c r="I24" i="25"/>
  <c r="O24" i="24"/>
  <c r="P24" i="24" s="1"/>
  <c r="M24" i="25" s="1"/>
  <c r="L57" i="25"/>
  <c r="V57" i="24"/>
  <c r="U57" i="25" s="1"/>
  <c r="G91" i="25"/>
  <c r="F12" i="25"/>
  <c r="F7" i="25"/>
  <c r="H117" i="25"/>
  <c r="V117" i="24"/>
  <c r="U117" i="25" s="1"/>
  <c r="F48" i="25"/>
  <c r="AO48" i="24"/>
  <c r="AP48" i="24" s="1"/>
  <c r="L142" i="25"/>
  <c r="H201" i="25"/>
  <c r="V201" i="24"/>
  <c r="U201" i="25" s="1"/>
  <c r="AO205" i="24"/>
  <c r="AP205" i="24" s="1"/>
  <c r="E205" i="25"/>
  <c r="S205" i="24"/>
  <c r="Q205" i="25" s="1"/>
  <c r="AE205" i="24"/>
  <c r="X205" i="25" s="1"/>
  <c r="AA205" i="24"/>
  <c r="S205" i="25" s="1"/>
  <c r="Z205" i="24"/>
  <c r="T205" i="25" s="1"/>
  <c r="AD205" i="24"/>
  <c r="W205" i="25" s="1"/>
  <c r="R205" i="24"/>
  <c r="R205" i="25" s="1"/>
  <c r="L205" i="24"/>
  <c r="P205" i="25" s="1"/>
  <c r="AO120" i="24"/>
  <c r="AP120" i="24" s="1"/>
  <c r="F120" i="25"/>
  <c r="L72" i="25"/>
  <c r="V72" i="24"/>
  <c r="U72" i="25" s="1"/>
  <c r="G114" i="25"/>
  <c r="I83" i="25"/>
  <c r="O83" i="24"/>
  <c r="P83" i="24" s="1"/>
  <c r="M83" i="25" s="1"/>
  <c r="I90" i="25"/>
  <c r="O90" i="24"/>
  <c r="P90" i="24" s="1"/>
  <c r="M90" i="25" s="1"/>
  <c r="AO104" i="24"/>
  <c r="AP104" i="24" s="1"/>
  <c r="F104" i="25"/>
  <c r="G124" i="25"/>
  <c r="AO26" i="24"/>
  <c r="AP26" i="24" s="1"/>
  <c r="AA26" i="24"/>
  <c r="S26" i="25" s="1"/>
  <c r="E26" i="25"/>
  <c r="Z26" i="24"/>
  <c r="T26" i="25" s="1"/>
  <c r="S26" i="24"/>
  <c r="Q26" i="25" s="1"/>
  <c r="R26" i="24"/>
  <c r="R26" i="25" s="1"/>
  <c r="Q26" i="24"/>
  <c r="L26" i="24"/>
  <c r="P26" i="25" s="1"/>
  <c r="AE26" i="24"/>
  <c r="X26" i="25" s="1"/>
  <c r="AD26" i="24"/>
  <c r="W26" i="25" s="1"/>
  <c r="I168" i="25"/>
  <c r="O168" i="24"/>
  <c r="N168" i="25" s="1"/>
  <c r="E109" i="25"/>
  <c r="AO109" i="24"/>
  <c r="AP109" i="24" s="1"/>
  <c r="S109" i="24"/>
  <c r="Q109" i="25" s="1"/>
  <c r="L109" i="24"/>
  <c r="P109" i="25" s="1"/>
  <c r="Z109" i="24"/>
  <c r="T109" i="25" s="1"/>
  <c r="R109" i="24"/>
  <c r="R109" i="25" s="1"/>
  <c r="AA109" i="24"/>
  <c r="S109" i="25" s="1"/>
  <c r="AE109" i="24"/>
  <c r="X109" i="25" s="1"/>
  <c r="AD109" i="24"/>
  <c r="W109" i="25" s="1"/>
  <c r="I130" i="25"/>
  <c r="O130" i="24"/>
  <c r="Q130" i="24" s="1"/>
  <c r="I10" i="25"/>
  <c r="O10" i="24"/>
  <c r="Q10" i="24" s="1"/>
  <c r="AO7" i="24"/>
  <c r="AP7" i="24" s="1"/>
  <c r="E7" i="25"/>
  <c r="R7" i="24"/>
  <c r="R7" i="25" s="1"/>
  <c r="AA7" i="24"/>
  <c r="S7" i="25" s="1"/>
  <c r="AE7" i="24"/>
  <c r="X7" i="25" s="1"/>
  <c r="AD7" i="24"/>
  <c r="W7" i="25" s="1"/>
  <c r="Z7" i="24"/>
  <c r="T7" i="25" s="1"/>
  <c r="L7" i="24"/>
  <c r="P7" i="25" s="1"/>
  <c r="S7" i="24"/>
  <c r="Q7" i="25" s="1"/>
  <c r="G88" i="25"/>
  <c r="H86" i="25"/>
  <c r="V86" i="24"/>
  <c r="U86" i="25" s="1"/>
  <c r="L27" i="25"/>
  <c r="V27" i="24"/>
  <c r="U27" i="25" s="1"/>
  <c r="F54" i="25"/>
  <c r="L64" i="24"/>
  <c r="P64" i="25" s="1"/>
  <c r="L64" i="25"/>
  <c r="AO186" i="24"/>
  <c r="AP186" i="24" s="1"/>
  <c r="E186" i="25"/>
  <c r="R186" i="24"/>
  <c r="R186" i="25" s="1"/>
  <c r="S186" i="24"/>
  <c r="Q186" i="25" s="1"/>
  <c r="L186" i="24"/>
  <c r="P186" i="25" s="1"/>
  <c r="AA186" i="24"/>
  <c r="S186" i="25" s="1"/>
  <c r="AD186" i="24"/>
  <c r="W186" i="25" s="1"/>
  <c r="Z186" i="24"/>
  <c r="T186" i="25" s="1"/>
  <c r="AE186" i="24"/>
  <c r="X186" i="25" s="1"/>
  <c r="H95" i="25"/>
  <c r="V95" i="24"/>
  <c r="U95" i="25" s="1"/>
  <c r="F176" i="25"/>
  <c r="AO44" i="24"/>
  <c r="AP44" i="24" s="1"/>
  <c r="F44" i="25"/>
  <c r="I151" i="25"/>
  <c r="O151" i="24"/>
  <c r="P151" i="24" s="1"/>
  <c r="M151" i="25" s="1"/>
  <c r="I81" i="25"/>
  <c r="O81" i="24"/>
  <c r="Q81" i="24" s="1"/>
  <c r="F154" i="25"/>
  <c r="L18" i="24"/>
  <c r="P18" i="25" s="1"/>
  <c r="L18" i="25"/>
  <c r="L56" i="25"/>
  <c r="AO143" i="24"/>
  <c r="AP143" i="24" s="1"/>
  <c r="E143" i="25"/>
  <c r="R143" i="24"/>
  <c r="R143" i="25" s="1"/>
  <c r="Q143" i="24"/>
  <c r="S143" i="24"/>
  <c r="Q143" i="25" s="1"/>
  <c r="L143" i="24"/>
  <c r="P143" i="25" s="1"/>
  <c r="AE143" i="24"/>
  <c r="X143" i="25" s="1"/>
  <c r="AD143" i="24"/>
  <c r="W143" i="25" s="1"/>
  <c r="Z143" i="24"/>
  <c r="T143" i="25" s="1"/>
  <c r="AA143" i="24"/>
  <c r="S143" i="25" s="1"/>
  <c r="L23" i="25"/>
  <c r="L23" i="24"/>
  <c r="P23" i="25" s="1"/>
  <c r="O87" i="24"/>
  <c r="N87" i="25" s="1"/>
  <c r="I87" i="25"/>
  <c r="G119" i="25"/>
  <c r="G142" i="25"/>
  <c r="AO72" i="24"/>
  <c r="AP72" i="24" s="1"/>
  <c r="S72" i="24"/>
  <c r="Q72" i="25" s="1"/>
  <c r="E72" i="25"/>
  <c r="R72" i="24"/>
  <c r="R72" i="25" s="1"/>
  <c r="L72" i="24"/>
  <c r="P72" i="25" s="1"/>
  <c r="AA72" i="24"/>
  <c r="S72" i="25" s="1"/>
  <c r="AD72" i="24"/>
  <c r="W72" i="25" s="1"/>
  <c r="Z72" i="24"/>
  <c r="T72" i="25" s="1"/>
  <c r="AE72" i="24"/>
  <c r="X72" i="25" s="1"/>
  <c r="G50" i="25"/>
  <c r="AO163" i="24"/>
  <c r="AP163" i="24" s="1"/>
  <c r="E163" i="25"/>
  <c r="AE163" i="24"/>
  <c r="X163" i="25" s="1"/>
  <c r="S163" i="24"/>
  <c r="Q163" i="25" s="1"/>
  <c r="AA163" i="24"/>
  <c r="S163" i="25" s="1"/>
  <c r="L163" i="24"/>
  <c r="P163" i="25" s="1"/>
  <c r="Z163" i="24"/>
  <c r="T163" i="25" s="1"/>
  <c r="R163" i="24"/>
  <c r="R163" i="25" s="1"/>
  <c r="Q163" i="24"/>
  <c r="AD163" i="24"/>
  <c r="W163" i="25" s="1"/>
  <c r="F29" i="25"/>
  <c r="AO5" i="24"/>
  <c r="AP5" i="24" s="1"/>
  <c r="F5" i="25"/>
  <c r="AO204" i="24"/>
  <c r="AP204" i="24" s="1"/>
  <c r="F204" i="25"/>
  <c r="AO43" i="24"/>
  <c r="AP43" i="24" s="1"/>
  <c r="G43" i="25"/>
  <c r="F107" i="25"/>
  <c r="AO145" i="24"/>
  <c r="AP145" i="24" s="1"/>
  <c r="E145" i="25"/>
  <c r="R145" i="24"/>
  <c r="R145" i="25" s="1"/>
  <c r="Q145" i="24"/>
  <c r="AD145" i="24"/>
  <c r="W145" i="25" s="1"/>
  <c r="AE145" i="24"/>
  <c r="X145" i="25" s="1"/>
  <c r="S145" i="24"/>
  <c r="Q145" i="25" s="1"/>
  <c r="AA145" i="24"/>
  <c r="S145" i="25" s="1"/>
  <c r="Z145" i="24"/>
  <c r="T145" i="25" s="1"/>
  <c r="L145" i="24"/>
  <c r="P145" i="25" s="1"/>
  <c r="F196" i="25"/>
  <c r="I46" i="25"/>
  <c r="O46" i="24"/>
  <c r="Q46" i="24" s="1"/>
  <c r="G103" i="25"/>
  <c r="L60" i="25"/>
  <c r="L60" i="24"/>
  <c r="P60" i="25" s="1"/>
  <c r="V60" i="24"/>
  <c r="U60" i="25" s="1"/>
  <c r="L193" i="25"/>
  <c r="V193" i="24"/>
  <c r="U193" i="25" s="1"/>
  <c r="AO198" i="24"/>
  <c r="AP198" i="24" s="1"/>
  <c r="E198" i="25"/>
  <c r="R198" i="24"/>
  <c r="R198" i="25" s="1"/>
  <c r="L198" i="24"/>
  <c r="P198" i="25" s="1"/>
  <c r="AE198" i="24"/>
  <c r="X198" i="25" s="1"/>
  <c r="AD198" i="24"/>
  <c r="W198" i="25" s="1"/>
  <c r="Q198" i="24"/>
  <c r="AA198" i="24"/>
  <c r="S198" i="25" s="1"/>
  <c r="Z198" i="24"/>
  <c r="T198" i="25" s="1"/>
  <c r="S198" i="24"/>
  <c r="Q198" i="25" s="1"/>
  <c r="H108" i="25"/>
  <c r="V108" i="24"/>
  <c r="U108" i="25" s="1"/>
  <c r="L66" i="25"/>
  <c r="L66" i="24"/>
  <c r="P66" i="25" s="1"/>
  <c r="H103" i="25"/>
  <c r="V103" i="24"/>
  <c r="U103" i="25" s="1"/>
  <c r="H162" i="25"/>
  <c r="V162" i="24"/>
  <c r="U162" i="25" s="1"/>
  <c r="L141" i="25"/>
  <c r="L141" i="24"/>
  <c r="P141" i="25" s="1"/>
  <c r="L48" i="25"/>
  <c r="L48" i="24"/>
  <c r="P48" i="25" s="1"/>
  <c r="G162" i="25"/>
  <c r="H178" i="25"/>
  <c r="V178" i="24"/>
  <c r="U178" i="25" s="1"/>
  <c r="L92" i="25"/>
  <c r="G40" i="25"/>
  <c r="I15" i="25"/>
  <c r="O15" i="24"/>
  <c r="P15" i="24" s="1"/>
  <c r="M15" i="25" s="1"/>
  <c r="F112" i="25"/>
  <c r="AO112" i="24"/>
  <c r="AP112" i="24" s="1"/>
  <c r="H12" i="25"/>
  <c r="V12" i="24"/>
  <c r="U12" i="25" s="1"/>
  <c r="L121" i="25"/>
  <c r="L121" i="24"/>
  <c r="P121" i="25" s="1"/>
  <c r="V121" i="24"/>
  <c r="U121" i="25" s="1"/>
  <c r="L43" i="25"/>
  <c r="L43" i="24"/>
  <c r="P43" i="25" s="1"/>
  <c r="G144" i="25"/>
  <c r="I180" i="25"/>
  <c r="O180" i="24"/>
  <c r="N180" i="25" s="1"/>
  <c r="V146" i="24"/>
  <c r="U146" i="25" s="1"/>
  <c r="H146" i="25"/>
  <c r="F132" i="25"/>
  <c r="AO130" i="24"/>
  <c r="AP130" i="24" s="1"/>
  <c r="E130" i="25"/>
  <c r="AD130" i="24"/>
  <c r="W130" i="25" s="1"/>
  <c r="S130" i="24"/>
  <c r="Q130" i="25" s="1"/>
  <c r="R130" i="24"/>
  <c r="R130" i="25" s="1"/>
  <c r="Z130" i="24"/>
  <c r="T130" i="25" s="1"/>
  <c r="AE130" i="24"/>
  <c r="X130" i="25" s="1"/>
  <c r="L130" i="24"/>
  <c r="P130" i="25" s="1"/>
  <c r="AA130" i="24"/>
  <c r="S130" i="25" s="1"/>
  <c r="H156" i="25"/>
  <c r="V156" i="24"/>
  <c r="U156" i="25" s="1"/>
  <c r="AO127" i="24"/>
  <c r="AP127" i="24" s="1"/>
  <c r="F127" i="25"/>
  <c r="I169" i="25"/>
  <c r="O169" i="24"/>
  <c r="N169" i="25" s="1"/>
  <c r="L152" i="25"/>
  <c r="I16" i="25"/>
  <c r="O16" i="24"/>
  <c r="P16" i="24" s="1"/>
  <c r="M16" i="25" s="1"/>
  <c r="L196" i="25"/>
  <c r="AO152" i="24"/>
  <c r="AP152" i="24" s="1"/>
  <c r="E152" i="25"/>
  <c r="L152" i="24"/>
  <c r="P152" i="25" s="1"/>
  <c r="Z152" i="24"/>
  <c r="T152" i="25" s="1"/>
  <c r="S152" i="24"/>
  <c r="Q152" i="25" s="1"/>
  <c r="AE152" i="24"/>
  <c r="X152" i="25" s="1"/>
  <c r="AD152" i="24"/>
  <c r="W152" i="25" s="1"/>
  <c r="R152" i="24"/>
  <c r="R152" i="25" s="1"/>
  <c r="AA152" i="24"/>
  <c r="S152" i="25" s="1"/>
  <c r="I176" i="25"/>
  <c r="O176" i="24"/>
  <c r="Q176" i="24" s="1"/>
  <c r="H55" i="25"/>
  <c r="V55" i="24"/>
  <c r="U55" i="25" s="1"/>
  <c r="H155" i="25"/>
  <c r="V155" i="24"/>
  <c r="U155" i="25" s="1"/>
  <c r="I9" i="25"/>
  <c r="O9" i="24"/>
  <c r="Q9" i="24" s="1"/>
  <c r="O40" i="24"/>
  <c r="Q40" i="24" s="1"/>
  <c r="I40" i="25"/>
  <c r="F52" i="25"/>
  <c r="AO54" i="24"/>
  <c r="AP54" i="24" s="1"/>
  <c r="E54" i="25"/>
  <c r="AA54" i="24"/>
  <c r="S54" i="25" s="1"/>
  <c r="S54" i="24"/>
  <c r="Q54" i="25" s="1"/>
  <c r="Z54" i="24"/>
  <c r="T54" i="25" s="1"/>
  <c r="R54" i="24"/>
  <c r="R54" i="25" s="1"/>
  <c r="AE54" i="24"/>
  <c r="X54" i="25" s="1"/>
  <c r="L54" i="24"/>
  <c r="P54" i="25" s="1"/>
  <c r="AD54" i="24"/>
  <c r="W54" i="25" s="1"/>
  <c r="G123" i="25"/>
  <c r="H18" i="25"/>
  <c r="V18" i="24"/>
  <c r="U18" i="25" s="1"/>
  <c r="L116" i="25"/>
  <c r="L116" i="24"/>
  <c r="P116" i="25" s="1"/>
  <c r="V116" i="24"/>
  <c r="U116" i="25" s="1"/>
  <c r="AO94" i="24"/>
  <c r="AP94" i="24" s="1"/>
  <c r="E94" i="25"/>
  <c r="R94" i="24"/>
  <c r="R94" i="25" s="1"/>
  <c r="L94" i="24"/>
  <c r="P94" i="25" s="1"/>
  <c r="S94" i="24"/>
  <c r="Q94" i="25" s="1"/>
  <c r="Z94" i="24"/>
  <c r="T94" i="25" s="1"/>
  <c r="AA94" i="24"/>
  <c r="S94" i="25" s="1"/>
  <c r="AD94" i="24"/>
  <c r="W94" i="25" s="1"/>
  <c r="AE94" i="24"/>
  <c r="X94" i="25" s="1"/>
  <c r="L32" i="25"/>
  <c r="I71" i="25"/>
  <c r="O71" i="24"/>
  <c r="P71" i="24" s="1"/>
  <c r="M71" i="25" s="1"/>
  <c r="F56" i="25"/>
  <c r="F175" i="25"/>
  <c r="AO114" i="24"/>
  <c r="AP114" i="24" s="1"/>
  <c r="E114" i="25"/>
  <c r="Z114" i="24"/>
  <c r="T114" i="25" s="1"/>
  <c r="AE114" i="24"/>
  <c r="X114" i="25" s="1"/>
  <c r="R114" i="24"/>
  <c r="R114" i="25" s="1"/>
  <c r="L114" i="24"/>
  <c r="P114" i="25" s="1"/>
  <c r="S114" i="24"/>
  <c r="Q114" i="25" s="1"/>
  <c r="AD114" i="24"/>
  <c r="W114" i="25" s="1"/>
  <c r="AA114" i="24"/>
  <c r="S114" i="25" s="1"/>
  <c r="G189" i="25"/>
  <c r="F192" i="25"/>
  <c r="L54" i="25"/>
  <c r="G9" i="25"/>
  <c r="G185" i="25"/>
  <c r="AO107" i="24"/>
  <c r="AP107" i="24" s="1"/>
  <c r="E107" i="25"/>
  <c r="L107" i="24"/>
  <c r="P107" i="25" s="1"/>
  <c r="Z107" i="24"/>
  <c r="T107" i="25" s="1"/>
  <c r="AD107" i="24"/>
  <c r="W107" i="25" s="1"/>
  <c r="AA107" i="24"/>
  <c r="S107" i="25" s="1"/>
  <c r="S107" i="24"/>
  <c r="Q107" i="25" s="1"/>
  <c r="AE107" i="24"/>
  <c r="X107" i="25" s="1"/>
  <c r="R107" i="24"/>
  <c r="R107" i="25" s="1"/>
  <c r="AO56" i="24"/>
  <c r="AP56" i="24" s="1"/>
  <c r="E56" i="25"/>
  <c r="Z56" i="24"/>
  <c r="T56" i="25" s="1"/>
  <c r="AA56" i="24"/>
  <c r="S56" i="25" s="1"/>
  <c r="AE56" i="24"/>
  <c r="X56" i="25" s="1"/>
  <c r="S56" i="24"/>
  <c r="Q56" i="25" s="1"/>
  <c r="R56" i="24"/>
  <c r="R56" i="25" s="1"/>
  <c r="L56" i="24"/>
  <c r="P56" i="25" s="1"/>
  <c r="AD56" i="24"/>
  <c r="W56" i="25" s="1"/>
  <c r="F32" i="25"/>
  <c r="AO91" i="24"/>
  <c r="AP91" i="24" s="1"/>
  <c r="E91" i="25"/>
  <c r="Z91" i="24"/>
  <c r="T91" i="25" s="1"/>
  <c r="S91" i="24"/>
  <c r="Q91" i="25" s="1"/>
  <c r="R91" i="24"/>
  <c r="R91" i="25" s="1"/>
  <c r="L91" i="24"/>
  <c r="P91" i="25" s="1"/>
  <c r="AA91" i="24"/>
  <c r="S91" i="25" s="1"/>
  <c r="AE91" i="24"/>
  <c r="X91" i="25" s="1"/>
  <c r="AD91" i="24"/>
  <c r="W91" i="25" s="1"/>
  <c r="E37" i="25"/>
  <c r="AO37" i="24"/>
  <c r="AP37" i="24" s="1"/>
  <c r="AD37" i="24"/>
  <c r="W37" i="25" s="1"/>
  <c r="S37" i="24"/>
  <c r="Q37" i="25" s="1"/>
  <c r="L37" i="24"/>
  <c r="P37" i="25" s="1"/>
  <c r="R37" i="24"/>
  <c r="R37" i="25" s="1"/>
  <c r="Q37" i="24"/>
  <c r="AA37" i="24"/>
  <c r="S37" i="25" s="1"/>
  <c r="Z37" i="24"/>
  <c r="T37" i="25" s="1"/>
  <c r="AE37" i="24"/>
  <c r="X37" i="25" s="1"/>
  <c r="E175" i="25"/>
  <c r="AO175" i="24"/>
  <c r="AP175" i="24" s="1"/>
  <c r="S175" i="24"/>
  <c r="Q175" i="25" s="1"/>
  <c r="AA175" i="24"/>
  <c r="S175" i="25" s="1"/>
  <c r="Q175" i="24"/>
  <c r="Z175" i="24"/>
  <c r="T175" i="25" s="1"/>
  <c r="R175" i="24"/>
  <c r="R175" i="25" s="1"/>
  <c r="AE175" i="24"/>
  <c r="X175" i="25" s="1"/>
  <c r="AD175" i="24"/>
  <c r="W175" i="25" s="1"/>
  <c r="L175" i="24"/>
  <c r="P175" i="25" s="1"/>
  <c r="G160" i="25"/>
  <c r="F96" i="25"/>
  <c r="AO96" i="24"/>
  <c r="AP96" i="24" s="1"/>
  <c r="AO76" i="24"/>
  <c r="AP76" i="24" s="1"/>
  <c r="H76" i="25"/>
  <c r="V76" i="24"/>
  <c r="U76" i="25" s="1"/>
  <c r="AO20" i="24"/>
  <c r="AP20" i="24" s="1"/>
  <c r="F20" i="25"/>
  <c r="L99" i="25"/>
  <c r="F92" i="25"/>
  <c r="G10" i="25"/>
  <c r="AO17" i="24"/>
  <c r="AP17" i="24" s="1"/>
  <c r="F17" i="25"/>
  <c r="AO83" i="24"/>
  <c r="AP83" i="24" s="1"/>
  <c r="E83" i="25"/>
  <c r="S83" i="24"/>
  <c r="Q83" i="25" s="1"/>
  <c r="AE83" i="24"/>
  <c r="X83" i="25" s="1"/>
  <c r="AA83" i="24"/>
  <c r="S83" i="25" s="1"/>
  <c r="L83" i="24"/>
  <c r="P83" i="25" s="1"/>
  <c r="Z83" i="24"/>
  <c r="T83" i="25" s="1"/>
  <c r="R83" i="24"/>
  <c r="R83" i="25" s="1"/>
  <c r="AD83" i="24"/>
  <c r="W83" i="25" s="1"/>
  <c r="F64" i="25"/>
  <c r="AO64" i="24"/>
  <c r="AP64" i="24" s="1"/>
  <c r="AO47" i="24"/>
  <c r="AP47" i="24" s="1"/>
  <c r="E47" i="25"/>
  <c r="Z47" i="24"/>
  <c r="T47" i="25" s="1"/>
  <c r="S47" i="24"/>
  <c r="Q47" i="25" s="1"/>
  <c r="R47" i="24"/>
  <c r="R47" i="25" s="1"/>
  <c r="L47" i="24"/>
  <c r="P47" i="25" s="1"/>
  <c r="AE47" i="24"/>
  <c r="X47" i="25" s="1"/>
  <c r="AD47" i="24"/>
  <c r="W47" i="25" s="1"/>
  <c r="AA47" i="24"/>
  <c r="S47" i="25" s="1"/>
  <c r="L38" i="25"/>
  <c r="V38" i="24"/>
  <c r="U38" i="25" s="1"/>
  <c r="L38" i="24"/>
  <c r="P38" i="25" s="1"/>
  <c r="I139" i="25"/>
  <c r="O139" i="24"/>
  <c r="Q139" i="24" s="1"/>
  <c r="H114" i="25"/>
  <c r="V114" i="24"/>
  <c r="U114" i="25" s="1"/>
  <c r="H66" i="25"/>
  <c r="V66" i="24"/>
  <c r="U66" i="25" s="1"/>
  <c r="F177" i="25"/>
  <c r="F155" i="25"/>
  <c r="E193" i="25"/>
  <c r="AO193" i="24"/>
  <c r="AP193" i="24" s="1"/>
  <c r="R193" i="24"/>
  <c r="R193" i="25" s="1"/>
  <c r="AE193" i="24"/>
  <c r="X193" i="25" s="1"/>
  <c r="L193" i="24"/>
  <c r="P193" i="25" s="1"/>
  <c r="Z193" i="24"/>
  <c r="T193" i="25" s="1"/>
  <c r="AA193" i="24"/>
  <c r="S193" i="25" s="1"/>
  <c r="AD193" i="24"/>
  <c r="W193" i="25" s="1"/>
  <c r="S193" i="24"/>
  <c r="Q193" i="25" s="1"/>
  <c r="Q193" i="24"/>
  <c r="F99" i="25"/>
  <c r="F4" i="25"/>
  <c r="H120" i="25"/>
  <c r="V120" i="24"/>
  <c r="U120" i="25" s="1"/>
  <c r="F6" i="25"/>
  <c r="H174" i="25"/>
  <c r="V174" i="24"/>
  <c r="U174" i="25" s="1"/>
  <c r="G37" i="25"/>
  <c r="H10" i="25"/>
  <c r="V10" i="24"/>
  <c r="U10" i="25" s="1"/>
  <c r="I50" i="25"/>
  <c r="O50" i="24"/>
  <c r="Q50" i="24" s="1"/>
  <c r="L158" i="25"/>
  <c r="V158" i="24"/>
  <c r="U158" i="25" s="1"/>
  <c r="L158" i="24"/>
  <c r="P158" i="25" s="1"/>
  <c r="F50" i="25"/>
  <c r="G155" i="25"/>
  <c r="G130" i="25"/>
  <c r="AO80" i="24"/>
  <c r="AP80" i="24" s="1"/>
  <c r="AE80" i="24"/>
  <c r="X80" i="25" s="1"/>
  <c r="AD80" i="24"/>
  <c r="W80" i="25" s="1"/>
  <c r="Q80" i="24"/>
  <c r="E80" i="25"/>
  <c r="S80" i="24"/>
  <c r="Q80" i="25" s="1"/>
  <c r="R80" i="24"/>
  <c r="R80" i="25" s="1"/>
  <c r="L80" i="24"/>
  <c r="P80" i="25" s="1"/>
  <c r="Z80" i="24"/>
  <c r="T80" i="25" s="1"/>
  <c r="AA80" i="24"/>
  <c r="S80" i="25" s="1"/>
  <c r="AO71" i="24"/>
  <c r="AP71" i="24" s="1"/>
  <c r="E71" i="25"/>
  <c r="AA71" i="24"/>
  <c r="S71" i="25" s="1"/>
  <c r="Z71" i="24"/>
  <c r="T71" i="25" s="1"/>
  <c r="S71" i="24"/>
  <c r="Q71" i="25" s="1"/>
  <c r="AD71" i="24"/>
  <c r="W71" i="25" s="1"/>
  <c r="R71" i="24"/>
  <c r="R71" i="25" s="1"/>
  <c r="L71" i="24"/>
  <c r="P71" i="25" s="1"/>
  <c r="AE71" i="24"/>
  <c r="X71" i="25" s="1"/>
  <c r="G94" i="25"/>
  <c r="O102" i="24"/>
  <c r="Q102" i="24" s="1"/>
  <c r="I102" i="25"/>
  <c r="G146" i="25"/>
  <c r="F22" i="25"/>
  <c r="AO52" i="24"/>
  <c r="AP52" i="24" s="1"/>
  <c r="E52" i="25"/>
  <c r="S52" i="24"/>
  <c r="Q52" i="25" s="1"/>
  <c r="R52" i="24"/>
  <c r="R52" i="25" s="1"/>
  <c r="L52" i="24"/>
  <c r="P52" i="25" s="1"/>
  <c r="AA52" i="24"/>
  <c r="S52" i="25" s="1"/>
  <c r="AD52" i="24"/>
  <c r="W52" i="25" s="1"/>
  <c r="Z52" i="24"/>
  <c r="T52" i="25" s="1"/>
  <c r="AE52" i="24"/>
  <c r="X52" i="25" s="1"/>
  <c r="H195" i="25"/>
  <c r="V195" i="24"/>
  <c r="U195" i="25" s="1"/>
  <c r="I97" i="25"/>
  <c r="O97" i="24"/>
  <c r="Q97" i="24" s="1"/>
  <c r="I86" i="25"/>
  <c r="O86" i="24"/>
  <c r="N86" i="25" s="1"/>
  <c r="L85" i="25"/>
  <c r="L85" i="24"/>
  <c r="P85" i="25" s="1"/>
  <c r="V85" i="24"/>
  <c r="U85" i="25" s="1"/>
  <c r="F9" i="25"/>
  <c r="H42" i="25"/>
  <c r="V42" i="24"/>
  <c r="U42" i="25" s="1"/>
  <c r="L75" i="25"/>
  <c r="V75" i="24"/>
  <c r="U75" i="25" s="1"/>
  <c r="O18" i="24"/>
  <c r="N18" i="25" s="1"/>
  <c r="I18" i="25"/>
  <c r="L96" i="25"/>
  <c r="L96" i="24"/>
  <c r="P96" i="25" s="1"/>
  <c r="L148" i="25"/>
  <c r="I191" i="25"/>
  <c r="O191" i="24"/>
  <c r="Q191" i="24" s="1"/>
  <c r="H22" i="25"/>
  <c r="V22" i="24"/>
  <c r="U22" i="25" s="1"/>
  <c r="AO108" i="24"/>
  <c r="AP108" i="24" s="1"/>
  <c r="Q108" i="24"/>
  <c r="AE108" i="24"/>
  <c r="X108" i="25" s="1"/>
  <c r="E108" i="25"/>
  <c r="AA108" i="24"/>
  <c r="S108" i="25" s="1"/>
  <c r="AD108" i="24"/>
  <c r="W108" i="25" s="1"/>
  <c r="S108" i="24"/>
  <c r="Q108" i="25" s="1"/>
  <c r="L108" i="24"/>
  <c r="P108" i="25" s="1"/>
  <c r="Z108" i="24"/>
  <c r="T108" i="25" s="1"/>
  <c r="R108" i="24"/>
  <c r="R108" i="25" s="1"/>
  <c r="AO142" i="24"/>
  <c r="AP142" i="24" s="1"/>
  <c r="L142" i="24"/>
  <c r="P142" i="25" s="1"/>
  <c r="E142" i="25"/>
  <c r="AE142" i="24"/>
  <c r="X142" i="25" s="1"/>
  <c r="R142" i="24"/>
  <c r="R142" i="25" s="1"/>
  <c r="S142" i="24"/>
  <c r="Q142" i="25" s="1"/>
  <c r="Z142" i="24"/>
  <c r="T142" i="25" s="1"/>
  <c r="AA142" i="24"/>
  <c r="S142" i="25" s="1"/>
  <c r="AD142" i="24"/>
  <c r="W142" i="25" s="1"/>
  <c r="F151" i="25"/>
  <c r="H109" i="25"/>
  <c r="V109" i="24"/>
  <c r="U109" i="25" s="1"/>
  <c r="G68" i="25"/>
  <c r="I184" i="25"/>
  <c r="O184" i="24"/>
  <c r="P184" i="24" s="1"/>
  <c r="M184" i="25" s="1"/>
  <c r="L173" i="25"/>
  <c r="H205" i="25"/>
  <c r="V205" i="24"/>
  <c r="U205" i="25" s="1"/>
  <c r="H29" i="25"/>
  <c r="V29" i="24"/>
  <c r="U29" i="25" s="1"/>
  <c r="AO32" i="24"/>
  <c r="AP32" i="24" s="1"/>
  <c r="E32" i="25"/>
  <c r="R32" i="24"/>
  <c r="R32" i="25" s="1"/>
  <c r="Z32" i="24"/>
  <c r="T32" i="25" s="1"/>
  <c r="L32" i="24"/>
  <c r="P32" i="25" s="1"/>
  <c r="S32" i="24"/>
  <c r="Q32" i="25" s="1"/>
  <c r="AA32" i="24"/>
  <c r="S32" i="25" s="1"/>
  <c r="AE32" i="24"/>
  <c r="X32" i="25" s="1"/>
  <c r="AD32" i="24"/>
  <c r="W32" i="25" s="1"/>
  <c r="AO135" i="24"/>
  <c r="AP135" i="24" s="1"/>
  <c r="E135" i="25"/>
  <c r="AA135" i="24"/>
  <c r="S135" i="25" s="1"/>
  <c r="AD135" i="24"/>
  <c r="W135" i="25" s="1"/>
  <c r="Z135" i="24"/>
  <c r="T135" i="25" s="1"/>
  <c r="S135" i="24"/>
  <c r="Q135" i="25" s="1"/>
  <c r="R135" i="24"/>
  <c r="R135" i="25" s="1"/>
  <c r="L135" i="24"/>
  <c r="P135" i="25" s="1"/>
  <c r="AE135" i="24"/>
  <c r="X135" i="25" s="1"/>
  <c r="Z8" i="24"/>
  <c r="T8" i="25" s="1"/>
  <c r="AO8" i="24"/>
  <c r="AP8" i="24" s="1"/>
  <c r="AD8" i="24"/>
  <c r="W8" i="25" s="1"/>
  <c r="S8" i="24"/>
  <c r="Q8" i="25" s="1"/>
  <c r="AE8" i="24"/>
  <c r="X8" i="25" s="1"/>
  <c r="R8" i="24"/>
  <c r="R8" i="25" s="1"/>
  <c r="AA8" i="24"/>
  <c r="S8" i="25" s="1"/>
  <c r="L8" i="24"/>
  <c r="P8" i="25" s="1"/>
  <c r="E8" i="25"/>
  <c r="G12" i="25"/>
  <c r="AA49" i="24"/>
  <c r="S49" i="25" s="1"/>
  <c r="AO49" i="24"/>
  <c r="AP49" i="24" s="1"/>
  <c r="E49" i="25"/>
  <c r="AD49" i="24"/>
  <c r="W49" i="25" s="1"/>
  <c r="AE49" i="24"/>
  <c r="X49" i="25" s="1"/>
  <c r="R49" i="24"/>
  <c r="R49" i="25" s="1"/>
  <c r="Z49" i="24"/>
  <c r="T49" i="25" s="1"/>
  <c r="S49" i="24"/>
  <c r="Q49" i="25" s="1"/>
  <c r="L49" i="24"/>
  <c r="P49" i="25" s="1"/>
  <c r="G170" i="25"/>
  <c r="I54" i="25"/>
  <c r="O54" i="24"/>
  <c r="P54" i="24" s="1"/>
  <c r="M54" i="25" s="1"/>
  <c r="F171" i="25"/>
  <c r="I51" i="25"/>
  <c r="O51" i="24"/>
  <c r="P51" i="24" s="1"/>
  <c r="M51" i="25" s="1"/>
  <c r="F73" i="25"/>
  <c r="G42" i="25"/>
  <c r="H99" i="25"/>
  <c r="V99" i="24"/>
  <c r="U99" i="25" s="1"/>
  <c r="L15" i="25"/>
  <c r="H110" i="25"/>
  <c r="V110" i="24"/>
  <c r="U110" i="25" s="1"/>
  <c r="G99" i="25"/>
  <c r="G92" i="25"/>
  <c r="I99" i="25"/>
  <c r="O99" i="24"/>
  <c r="P99" i="24" s="1"/>
  <c r="M99" i="25" s="1"/>
  <c r="AO132" i="24"/>
  <c r="AP132" i="24" s="1"/>
  <c r="E132" i="25"/>
  <c r="L132" i="24"/>
  <c r="P132" i="25" s="1"/>
  <c r="S132" i="24"/>
  <c r="Q132" i="25" s="1"/>
  <c r="R132" i="24"/>
  <c r="R132" i="25" s="1"/>
  <c r="Z132" i="24"/>
  <c r="T132" i="25" s="1"/>
  <c r="AD132" i="24"/>
  <c r="W132" i="25" s="1"/>
  <c r="AA132" i="24"/>
  <c r="S132" i="25" s="1"/>
  <c r="AE132" i="24"/>
  <c r="X132" i="25" s="1"/>
  <c r="AO79" i="24"/>
  <c r="AP79" i="24" s="1"/>
  <c r="H79" i="25"/>
  <c r="V79" i="24"/>
  <c r="U79" i="25" s="1"/>
  <c r="F182" i="25"/>
  <c r="AO110" i="24"/>
  <c r="AP110" i="24" s="1"/>
  <c r="F110" i="25"/>
  <c r="H169" i="25"/>
  <c r="V169" i="24"/>
  <c r="U169" i="25" s="1"/>
  <c r="I5" i="25"/>
  <c r="O5" i="24"/>
  <c r="N5" i="25" s="1"/>
  <c r="AO173" i="24"/>
  <c r="AP173" i="24" s="1"/>
  <c r="E173" i="25"/>
  <c r="R173" i="24"/>
  <c r="R173" i="25" s="1"/>
  <c r="Z173" i="24"/>
  <c r="T173" i="25" s="1"/>
  <c r="L173" i="24"/>
  <c r="P173" i="25" s="1"/>
  <c r="S173" i="24"/>
  <c r="Q173" i="25" s="1"/>
  <c r="AD173" i="24"/>
  <c r="W173" i="25" s="1"/>
  <c r="AE173" i="24"/>
  <c r="X173" i="25" s="1"/>
  <c r="AA173" i="24"/>
  <c r="S173" i="25" s="1"/>
  <c r="L114" i="25"/>
  <c r="L156" i="25"/>
  <c r="L156" i="24"/>
  <c r="P156" i="25" s="1"/>
  <c r="F152" i="25"/>
  <c r="H199" i="25"/>
  <c r="V199" i="24"/>
  <c r="U199" i="25" s="1"/>
  <c r="L94" i="25"/>
  <c r="L168" i="25"/>
  <c r="AO177" i="24"/>
  <c r="AP177" i="24" s="1"/>
  <c r="E177" i="25"/>
  <c r="R177" i="24"/>
  <c r="R177" i="25" s="1"/>
  <c r="Z177" i="24"/>
  <c r="T177" i="25" s="1"/>
  <c r="S177" i="24"/>
  <c r="Q177" i="25" s="1"/>
  <c r="Q177" i="24"/>
  <c r="L177" i="24"/>
  <c r="P177" i="25" s="1"/>
  <c r="AD177" i="24"/>
  <c r="W177" i="25" s="1"/>
  <c r="AA177" i="24"/>
  <c r="S177" i="25" s="1"/>
  <c r="AE177" i="24"/>
  <c r="X177" i="25" s="1"/>
  <c r="AE166" i="24"/>
  <c r="X166" i="25" s="1"/>
  <c r="E166" i="25"/>
  <c r="L166" i="24"/>
  <c r="P166" i="25" s="1"/>
  <c r="AD166" i="24"/>
  <c r="W166" i="25" s="1"/>
  <c r="AO166" i="24"/>
  <c r="AP166" i="24" s="1"/>
  <c r="Z166" i="24"/>
  <c r="T166" i="25" s="1"/>
  <c r="S166" i="24"/>
  <c r="Q166" i="25" s="1"/>
  <c r="R166" i="24"/>
  <c r="R166" i="25" s="1"/>
  <c r="Q166" i="24"/>
  <c r="AA166" i="24"/>
  <c r="S166" i="25" s="1"/>
  <c r="AO66" i="24"/>
  <c r="AP66" i="24" s="1"/>
  <c r="G66" i="25"/>
  <c r="F135" i="25"/>
  <c r="L46" i="25"/>
  <c r="L46" i="24"/>
  <c r="P46" i="25" s="1"/>
  <c r="H11" i="25"/>
  <c r="V11" i="24"/>
  <c r="U11" i="25" s="1"/>
  <c r="F68" i="25"/>
  <c r="L87" i="25"/>
  <c r="L180" i="25"/>
  <c r="AO99" i="24"/>
  <c r="AP99" i="24" s="1"/>
  <c r="L99" i="24"/>
  <c r="P99" i="25" s="1"/>
  <c r="E99" i="25"/>
  <c r="R99" i="24"/>
  <c r="R99" i="25" s="1"/>
  <c r="S99" i="24"/>
  <c r="Q99" i="25" s="1"/>
  <c r="AA99" i="24"/>
  <c r="S99" i="25" s="1"/>
  <c r="AE99" i="24"/>
  <c r="X99" i="25" s="1"/>
  <c r="Z99" i="24"/>
  <c r="T99" i="25" s="1"/>
  <c r="AD99" i="24"/>
  <c r="W99" i="25" s="1"/>
  <c r="G138" i="25"/>
  <c r="AO22" i="24"/>
  <c r="AP22" i="24" s="1"/>
  <c r="E22" i="25"/>
  <c r="AE22" i="24"/>
  <c r="X22" i="25" s="1"/>
  <c r="L22" i="24"/>
  <c r="P22" i="25" s="1"/>
  <c r="Z22" i="24"/>
  <c r="T22" i="25" s="1"/>
  <c r="S22" i="24"/>
  <c r="Q22" i="25" s="1"/>
  <c r="AD22" i="24"/>
  <c r="W22" i="25" s="1"/>
  <c r="R22" i="24"/>
  <c r="R22" i="25" s="1"/>
  <c r="AA22" i="24"/>
  <c r="S22" i="25" s="1"/>
  <c r="I63" i="25"/>
  <c r="O63" i="24"/>
  <c r="Q63" i="24" s="1"/>
  <c r="I48" i="25"/>
  <c r="O48" i="24"/>
  <c r="N48" i="25" s="1"/>
  <c r="H135" i="25"/>
  <c r="V135" i="24"/>
  <c r="U135" i="25" s="1"/>
  <c r="G28" i="25"/>
  <c r="G96" i="25"/>
  <c r="I23" i="25"/>
  <c r="O23" i="24"/>
  <c r="Q23" i="24" s="1"/>
  <c r="L135" i="25"/>
  <c r="F189" i="25"/>
  <c r="G8" i="25"/>
  <c r="L189" i="25"/>
  <c r="G72" i="25"/>
  <c r="H49" i="25"/>
  <c r="V49" i="24"/>
  <c r="U49" i="25" s="1"/>
  <c r="AO30" i="24"/>
  <c r="AP30" i="24" s="1"/>
  <c r="E30" i="25"/>
  <c r="R30" i="24"/>
  <c r="R30" i="25" s="1"/>
  <c r="Q30" i="24"/>
  <c r="L30" i="24"/>
  <c r="P30" i="25" s="1"/>
  <c r="AD30" i="24"/>
  <c r="W30" i="25" s="1"/>
  <c r="S30" i="24"/>
  <c r="Q30" i="25" s="1"/>
  <c r="AE30" i="24"/>
  <c r="X30" i="25" s="1"/>
  <c r="AA30" i="24"/>
  <c r="S30" i="25" s="1"/>
  <c r="Z30" i="24"/>
  <c r="T30" i="25" s="1"/>
  <c r="H56" i="25"/>
  <c r="V56" i="24"/>
  <c r="U56" i="25" s="1"/>
  <c r="L81" i="25"/>
  <c r="L174" i="25"/>
  <c r="O8" i="24"/>
  <c r="N8" i="25" s="1"/>
  <c r="I8" i="25"/>
  <c r="L82" i="25"/>
  <c r="V82" i="24"/>
  <c r="U82" i="25" s="1"/>
  <c r="L82" i="24"/>
  <c r="P82" i="25" s="1"/>
  <c r="E161" i="25"/>
  <c r="AO161" i="24"/>
  <c r="AP161" i="24" s="1"/>
  <c r="AA161" i="24"/>
  <c r="S161" i="25" s="1"/>
  <c r="Z161" i="24"/>
  <c r="T161" i="25" s="1"/>
  <c r="L161" i="24"/>
  <c r="P161" i="25" s="1"/>
  <c r="AD161" i="24"/>
  <c r="W161" i="25" s="1"/>
  <c r="AE161" i="24"/>
  <c r="X161" i="25" s="1"/>
  <c r="S161" i="24"/>
  <c r="Q161" i="25" s="1"/>
  <c r="R161" i="24"/>
  <c r="R161" i="25" s="1"/>
  <c r="Q161" i="24"/>
  <c r="G173" i="25"/>
  <c r="F170" i="25"/>
  <c r="I112" i="25"/>
  <c r="O112" i="24"/>
  <c r="P112" i="24" s="1"/>
  <c r="M112" i="25" s="1"/>
  <c r="L11" i="25"/>
  <c r="F123" i="25"/>
  <c r="H173" i="25"/>
  <c r="V173" i="24"/>
  <c r="U173" i="25" s="1"/>
  <c r="I109" i="25"/>
  <c r="O109" i="24"/>
  <c r="P109" i="24" s="1"/>
  <c r="M109" i="25" s="1"/>
  <c r="I200" i="25"/>
  <c r="O200" i="24"/>
  <c r="Q200" i="24" s="1"/>
  <c r="H43" i="25"/>
  <c r="V43" i="24"/>
  <c r="U43" i="25" s="1"/>
  <c r="G35" i="25"/>
  <c r="G5" i="25"/>
  <c r="H35" i="25"/>
  <c r="V35" i="24"/>
  <c r="U35" i="25" s="1"/>
  <c r="G95" i="25"/>
  <c r="AO158" i="24"/>
  <c r="AP158" i="24" s="1"/>
  <c r="F158" i="25"/>
  <c r="AO141" i="24"/>
  <c r="AP141" i="24" s="1"/>
  <c r="H141" i="25"/>
  <c r="V141" i="24"/>
  <c r="U141" i="25" s="1"/>
  <c r="L131" i="25"/>
  <c r="L131" i="24"/>
  <c r="P131" i="25" s="1"/>
  <c r="H125" i="25"/>
  <c r="V125" i="24"/>
  <c r="U125" i="25" s="1"/>
  <c r="AO136" i="24"/>
  <c r="AP136" i="24" s="1"/>
  <c r="F136" i="25"/>
  <c r="L7" i="25"/>
  <c r="I146" i="25"/>
  <c r="O146" i="24"/>
  <c r="Q146" i="24" s="1"/>
  <c r="H59" i="25"/>
  <c r="V59" i="24"/>
  <c r="U59" i="25" s="1"/>
  <c r="I57" i="25"/>
  <c r="O57" i="24"/>
  <c r="P57" i="24" s="1"/>
  <c r="M57" i="25" s="1"/>
  <c r="AO28" i="24"/>
  <c r="AP28" i="24" s="1"/>
  <c r="F28" i="25"/>
  <c r="I25" i="25"/>
  <c r="O25" i="24"/>
  <c r="Q25" i="24" s="1"/>
  <c r="F199" i="25"/>
  <c r="I49" i="25"/>
  <c r="O49" i="24"/>
  <c r="P49" i="24" s="1"/>
  <c r="M49" i="25" s="1"/>
  <c r="AO199" i="24"/>
  <c r="AP199" i="24" s="1"/>
  <c r="E199" i="25"/>
  <c r="L199" i="24"/>
  <c r="P199" i="25" s="1"/>
  <c r="AA199" i="24"/>
  <c r="S199" i="25" s="1"/>
  <c r="AD199" i="24"/>
  <c r="W199" i="25" s="1"/>
  <c r="Z199" i="24"/>
  <c r="T199" i="25" s="1"/>
  <c r="AE199" i="24"/>
  <c r="X199" i="25" s="1"/>
  <c r="R199" i="24"/>
  <c r="R199" i="25" s="1"/>
  <c r="S199" i="24"/>
  <c r="Q199" i="25" s="1"/>
  <c r="L29" i="25"/>
  <c r="H16" i="25"/>
  <c r="V16" i="24"/>
  <c r="U16" i="25" s="1"/>
  <c r="E68" i="25"/>
  <c r="AO68" i="24"/>
  <c r="AP68" i="24" s="1"/>
  <c r="S68" i="24"/>
  <c r="Q68" i="25" s="1"/>
  <c r="Z68" i="24"/>
  <c r="T68" i="25" s="1"/>
  <c r="R68" i="24"/>
  <c r="R68" i="25" s="1"/>
  <c r="L68" i="24"/>
  <c r="P68" i="25" s="1"/>
  <c r="AA68" i="24"/>
  <c r="S68" i="25" s="1"/>
  <c r="AD68" i="24"/>
  <c r="W68" i="25" s="1"/>
  <c r="AE68" i="24"/>
  <c r="X68" i="25" s="1"/>
  <c r="H47" i="25"/>
  <c r="V47" i="24"/>
  <c r="U47" i="25" s="1"/>
  <c r="G205" i="25"/>
  <c r="L76" i="24"/>
  <c r="P76" i="25" s="1"/>
  <c r="L76" i="25"/>
  <c r="H64" i="25"/>
  <c r="V64" i="24"/>
  <c r="U64" i="25" s="1"/>
  <c r="AA192" i="24"/>
  <c r="S192" i="25" s="1"/>
  <c r="AO192" i="24"/>
  <c r="AP192" i="24" s="1"/>
  <c r="E192" i="25"/>
  <c r="Z192" i="24"/>
  <c r="T192" i="25" s="1"/>
  <c r="AD192" i="24"/>
  <c r="W192" i="25" s="1"/>
  <c r="L192" i="24"/>
  <c r="P192" i="25" s="1"/>
  <c r="S192" i="24"/>
  <c r="Q192" i="25" s="1"/>
  <c r="R192" i="24"/>
  <c r="R192" i="25" s="1"/>
  <c r="AE192" i="24"/>
  <c r="X192" i="25" s="1"/>
  <c r="Q192" i="24"/>
  <c r="V176" i="24"/>
  <c r="U176" i="25" s="1"/>
  <c r="H176" i="25"/>
  <c r="I123" i="25"/>
  <c r="O123" i="24"/>
  <c r="P123" i="24" s="1"/>
  <c r="M123" i="25" s="1"/>
  <c r="I58" i="25"/>
  <c r="O58" i="24"/>
  <c r="N58" i="25" s="1"/>
  <c r="E183" i="25"/>
  <c r="AO183" i="24"/>
  <c r="AP183" i="24" s="1"/>
  <c r="Q183" i="24"/>
  <c r="Z183" i="24"/>
  <c r="T183" i="25" s="1"/>
  <c r="R183" i="24"/>
  <c r="R183" i="25" s="1"/>
  <c r="L183" i="24"/>
  <c r="P183" i="25" s="1"/>
  <c r="S183" i="24"/>
  <c r="Q183" i="25" s="1"/>
  <c r="AA183" i="24"/>
  <c r="S183" i="25" s="1"/>
  <c r="AD183" i="24"/>
  <c r="W183" i="25" s="1"/>
  <c r="AE183" i="24"/>
  <c r="X183" i="25" s="1"/>
  <c r="AO90" i="24"/>
  <c r="AP90" i="24" s="1"/>
  <c r="E90" i="25"/>
  <c r="S90" i="24"/>
  <c r="Q90" i="25" s="1"/>
  <c r="L90" i="24"/>
  <c r="P90" i="25" s="1"/>
  <c r="AA90" i="24"/>
  <c r="S90" i="25" s="1"/>
  <c r="AE90" i="24"/>
  <c r="X90" i="25" s="1"/>
  <c r="R90" i="24"/>
  <c r="R90" i="25" s="1"/>
  <c r="Z90" i="24"/>
  <c r="T90" i="25" s="1"/>
  <c r="AD90" i="24"/>
  <c r="W90" i="25" s="1"/>
  <c r="V136" i="24"/>
  <c r="U136" i="25" s="1"/>
  <c r="H136" i="25"/>
  <c r="H142" i="25"/>
  <c r="V142" i="24"/>
  <c r="U142" i="25" s="1"/>
  <c r="F140" i="25"/>
  <c r="I141" i="25"/>
  <c r="O141" i="24"/>
  <c r="Q141" i="24" s="1"/>
  <c r="L50" i="25"/>
  <c r="L200" i="25"/>
  <c r="V200" i="24"/>
  <c r="U200" i="25" s="1"/>
  <c r="H83" i="25"/>
  <c r="V83" i="24"/>
  <c r="U83" i="25" s="1"/>
  <c r="R176" i="24"/>
  <c r="R176" i="25" s="1"/>
  <c r="L176" i="24"/>
  <c r="P176" i="25" s="1"/>
  <c r="AE176" i="24"/>
  <c r="X176" i="25" s="1"/>
  <c r="AD176" i="24"/>
  <c r="W176" i="25" s="1"/>
  <c r="Z176" i="24"/>
  <c r="T176" i="25" s="1"/>
  <c r="E176" i="25"/>
  <c r="AA176" i="24"/>
  <c r="S176" i="25" s="1"/>
  <c r="S176" i="24"/>
  <c r="Q176" i="25" s="1"/>
  <c r="AO176" i="24"/>
  <c r="AP176" i="24" s="1"/>
  <c r="L69" i="25"/>
  <c r="V69" i="24"/>
  <c r="U69" i="25" s="1"/>
  <c r="L69" i="24"/>
  <c r="P69" i="25" s="1"/>
  <c r="E67" i="25"/>
  <c r="AO67" i="24"/>
  <c r="AP67" i="24" s="1"/>
  <c r="S67" i="24"/>
  <c r="Q67" i="25" s="1"/>
  <c r="R67" i="24"/>
  <c r="R67" i="25" s="1"/>
  <c r="Z67" i="24"/>
  <c r="T67" i="25" s="1"/>
  <c r="AE67" i="24"/>
  <c r="X67" i="25" s="1"/>
  <c r="L67" i="24"/>
  <c r="P67" i="25" s="1"/>
  <c r="AD67" i="24"/>
  <c r="W67" i="25" s="1"/>
  <c r="AA67" i="24"/>
  <c r="S67" i="25" s="1"/>
  <c r="V88" i="24"/>
  <c r="U88" i="25" s="1"/>
  <c r="L88" i="25"/>
  <c r="G143" i="25"/>
  <c r="L110" i="24"/>
  <c r="P110" i="25" s="1"/>
  <c r="L110" i="25"/>
  <c r="AO178" i="24"/>
  <c r="AP178" i="24" s="1"/>
  <c r="G178" i="25"/>
  <c r="G117" i="25"/>
  <c r="L74" i="25"/>
  <c r="I152" i="25"/>
  <c r="O152" i="24"/>
  <c r="Q152" i="24" s="1"/>
  <c r="H23" i="25"/>
  <c r="V23" i="24"/>
  <c r="U23" i="25" s="1"/>
  <c r="H184" i="25"/>
  <c r="V184" i="24"/>
  <c r="U184" i="25" s="1"/>
  <c r="AO18" i="24"/>
  <c r="AP18" i="24" s="1"/>
  <c r="G18" i="25"/>
  <c r="H52" i="25"/>
  <c r="V52" i="24"/>
  <c r="U52" i="25" s="1"/>
  <c r="H87" i="25"/>
  <c r="V87" i="24"/>
  <c r="U87" i="25" s="1"/>
  <c r="I126" i="25"/>
  <c r="O126" i="24"/>
  <c r="N126" i="25" s="1"/>
  <c r="F95" i="25"/>
  <c r="L179" i="25"/>
  <c r="V179" i="24"/>
  <c r="U179" i="25" s="1"/>
  <c r="H26" i="25"/>
  <c r="V26" i="24"/>
  <c r="U26" i="25" s="1"/>
  <c r="I67" i="25"/>
  <c r="O67" i="24"/>
  <c r="P67" i="24" s="1"/>
  <c r="M67" i="25" s="1"/>
  <c r="G80" i="25"/>
  <c r="G107" i="25"/>
  <c r="AO75" i="24"/>
  <c r="AP75" i="24" s="1"/>
  <c r="E75" i="25"/>
  <c r="AE75" i="24"/>
  <c r="X75" i="25" s="1"/>
  <c r="R75" i="24"/>
  <c r="R75" i="25" s="1"/>
  <c r="Q75" i="24"/>
  <c r="AD75" i="24"/>
  <c r="W75" i="25" s="1"/>
  <c r="L75" i="24"/>
  <c r="P75" i="25" s="1"/>
  <c r="Z75" i="24"/>
  <c r="T75" i="25" s="1"/>
  <c r="S75" i="24"/>
  <c r="Q75" i="25" s="1"/>
  <c r="AA75" i="24"/>
  <c r="S75" i="25" s="1"/>
  <c r="F180" i="25"/>
  <c r="L145" i="25"/>
  <c r="V145" i="24"/>
  <c r="U145" i="25" s="1"/>
  <c r="AO179" i="24"/>
  <c r="AP179" i="24" s="1"/>
  <c r="Z179" i="24"/>
  <c r="T179" i="25" s="1"/>
  <c r="E179" i="25"/>
  <c r="L179" i="24"/>
  <c r="P179" i="25" s="1"/>
  <c r="S179" i="24"/>
  <c r="Q179" i="25" s="1"/>
  <c r="R179" i="24"/>
  <c r="R179" i="25" s="1"/>
  <c r="Q179" i="24"/>
  <c r="AA179" i="24"/>
  <c r="S179" i="25" s="1"/>
  <c r="AE179" i="24"/>
  <c r="X179" i="25" s="1"/>
  <c r="AD179" i="24"/>
  <c r="W179" i="25" s="1"/>
  <c r="L36" i="25"/>
  <c r="H50" i="25"/>
  <c r="V50" i="24"/>
  <c r="U50" i="25" s="1"/>
  <c r="V113" i="24"/>
  <c r="U113" i="25" s="1"/>
  <c r="H113" i="25"/>
  <c r="AO184" i="24"/>
  <c r="AP184" i="24" s="1"/>
  <c r="E184" i="25"/>
  <c r="AE184" i="24"/>
  <c r="X184" i="25" s="1"/>
  <c r="Z184" i="24"/>
  <c r="T184" i="25" s="1"/>
  <c r="S184" i="24"/>
  <c r="Q184" i="25" s="1"/>
  <c r="R184" i="24"/>
  <c r="R184" i="25" s="1"/>
  <c r="AA184" i="24"/>
  <c r="S184" i="25" s="1"/>
  <c r="L184" i="24"/>
  <c r="P184" i="25" s="1"/>
  <c r="AD184" i="24"/>
  <c r="W184" i="25" s="1"/>
  <c r="G186" i="25"/>
  <c r="G127" i="25"/>
  <c r="AO63" i="24"/>
  <c r="AP63" i="24" s="1"/>
  <c r="G63" i="25"/>
  <c r="G11" i="25"/>
  <c r="H28" i="25"/>
  <c r="V28" i="24"/>
  <c r="U28" i="25" s="1"/>
  <c r="AO50" i="24"/>
  <c r="AP50" i="24" s="1"/>
  <c r="E50" i="25"/>
  <c r="AA50" i="24"/>
  <c r="S50" i="25" s="1"/>
  <c r="AD50" i="24"/>
  <c r="W50" i="25" s="1"/>
  <c r="R50" i="24"/>
  <c r="R50" i="25" s="1"/>
  <c r="S50" i="24"/>
  <c r="Q50" i="25" s="1"/>
  <c r="AE50" i="24"/>
  <c r="X50" i="25" s="1"/>
  <c r="L50" i="24"/>
  <c r="P50" i="25" s="1"/>
  <c r="Z50" i="24"/>
  <c r="T50" i="25" s="1"/>
  <c r="H74" i="25"/>
  <c r="V74" i="24"/>
  <c r="U74" i="25" s="1"/>
  <c r="H191" i="25"/>
  <c r="V191" i="24"/>
  <c r="U191" i="25" s="1"/>
  <c r="AO81" i="24"/>
  <c r="AP81" i="24" s="1"/>
  <c r="E81" i="25"/>
  <c r="R81" i="24"/>
  <c r="R81" i="25" s="1"/>
  <c r="S81" i="24"/>
  <c r="Q81" i="25" s="1"/>
  <c r="AD81" i="24"/>
  <c r="W81" i="25" s="1"/>
  <c r="AE81" i="24"/>
  <c r="X81" i="25" s="1"/>
  <c r="AA81" i="24"/>
  <c r="S81" i="25" s="1"/>
  <c r="L81" i="24"/>
  <c r="P81" i="25" s="1"/>
  <c r="Z81" i="24"/>
  <c r="T81" i="25" s="1"/>
  <c r="G136" i="25"/>
  <c r="G25" i="25"/>
  <c r="G109" i="25"/>
  <c r="AO11" i="24"/>
  <c r="AP11" i="24" s="1"/>
  <c r="S11" i="24"/>
  <c r="Q11" i="25" s="1"/>
  <c r="E11" i="25"/>
  <c r="AD11" i="24"/>
  <c r="W11" i="25" s="1"/>
  <c r="L11" i="24"/>
  <c r="P11" i="25" s="1"/>
  <c r="Z11" i="24"/>
  <c r="T11" i="25" s="1"/>
  <c r="R11" i="24"/>
  <c r="R11" i="25" s="1"/>
  <c r="AA11" i="24"/>
  <c r="S11" i="25" s="1"/>
  <c r="AE11" i="24"/>
  <c r="X11" i="25" s="1"/>
  <c r="L170" i="25"/>
  <c r="V170" i="24"/>
  <c r="U170" i="25" s="1"/>
  <c r="F174" i="25"/>
  <c r="AO201" i="24"/>
  <c r="AP201" i="24" s="1"/>
  <c r="F201" i="25"/>
  <c r="G176" i="25"/>
  <c r="H206" i="25"/>
  <c r="V206" i="24"/>
  <c r="U206" i="25" s="1"/>
  <c r="F14" i="25"/>
  <c r="G46" i="25"/>
  <c r="L80" i="25"/>
  <c r="V80" i="24"/>
  <c r="U80" i="25" s="1"/>
  <c r="I136" i="25"/>
  <c r="O136" i="24"/>
  <c r="Q136" i="24" s="1"/>
  <c r="H39" i="25"/>
  <c r="V39" i="24"/>
  <c r="U39" i="25" s="1"/>
  <c r="L25" i="25"/>
  <c r="V25" i="24"/>
  <c r="U25" i="25" s="1"/>
  <c r="G74" i="25"/>
  <c r="L103" i="25"/>
  <c r="L90" i="25"/>
  <c r="H107" i="25"/>
  <c r="V107" i="24"/>
  <c r="U107" i="25" s="1"/>
  <c r="H90" i="25"/>
  <c r="V90" i="24"/>
  <c r="U90" i="25" s="1"/>
  <c r="AO117" i="24"/>
  <c r="AP117" i="24" s="1"/>
  <c r="L117" i="24"/>
  <c r="P117" i="25" s="1"/>
  <c r="Z117" i="24"/>
  <c r="T117" i="25" s="1"/>
  <c r="R117" i="24"/>
  <c r="R117" i="25" s="1"/>
  <c r="S117" i="24"/>
  <c r="Q117" i="25" s="1"/>
  <c r="AA117" i="24"/>
  <c r="S117" i="25" s="1"/>
  <c r="E117" i="25"/>
  <c r="AE117" i="24"/>
  <c r="X117" i="25" s="1"/>
  <c r="AD117" i="24"/>
  <c r="W117" i="25" s="1"/>
  <c r="L128" i="25"/>
  <c r="V128" i="24"/>
  <c r="U128" i="25" s="1"/>
  <c r="I32" i="25"/>
  <c r="O32" i="24"/>
  <c r="N32" i="25" s="1"/>
  <c r="I124" i="25"/>
  <c r="O124" i="24"/>
  <c r="Q124" i="24" s="1"/>
  <c r="F27" i="25"/>
  <c r="L91" i="25"/>
  <c r="I68" i="25"/>
  <c r="O68" i="24"/>
  <c r="P68" i="24" s="1"/>
  <c r="M68" i="25" s="1"/>
  <c r="AO191" i="24"/>
  <c r="AP191" i="24" s="1"/>
  <c r="F191" i="25"/>
  <c r="O88" i="24"/>
  <c r="P88" i="24" s="1"/>
  <c r="M88" i="25" s="1"/>
  <c r="I88" i="25"/>
  <c r="I43" i="25"/>
  <c r="O43" i="24"/>
  <c r="Q43" i="24" s="1"/>
  <c r="H15" i="25"/>
  <c r="V15" i="24"/>
  <c r="U15" i="25" s="1"/>
  <c r="I82" i="25"/>
  <c r="O82" i="24"/>
  <c r="N82" i="25" s="1"/>
  <c r="G67" i="25"/>
  <c r="AO195" i="24"/>
  <c r="AP195" i="24" s="1"/>
  <c r="F195" i="25"/>
  <c r="AA128" i="24"/>
  <c r="S128" i="25" s="1"/>
  <c r="Z128" i="24"/>
  <c r="T128" i="25" s="1"/>
  <c r="AO128" i="24"/>
  <c r="AP128" i="24" s="1"/>
  <c r="S128" i="24"/>
  <c r="Q128" i="25" s="1"/>
  <c r="R128" i="24"/>
  <c r="R128" i="25" s="1"/>
  <c r="L128" i="24"/>
  <c r="P128" i="25" s="1"/>
  <c r="E128" i="25"/>
  <c r="AE128" i="24"/>
  <c r="X128" i="25" s="1"/>
  <c r="AD128" i="24"/>
  <c r="W128" i="25" s="1"/>
  <c r="H144" i="25"/>
  <c r="V144" i="24"/>
  <c r="U144" i="25" s="1"/>
  <c r="F39" i="25"/>
  <c r="F10" i="25"/>
  <c r="F71" i="25"/>
  <c r="G49" i="25"/>
  <c r="F109" i="25"/>
  <c r="F198" i="25"/>
  <c r="H130" i="25"/>
  <c r="V130" i="24"/>
  <c r="U130" i="25" s="1"/>
  <c r="L124" i="25"/>
  <c r="I199" i="25"/>
  <c r="O199" i="24"/>
  <c r="Q199" i="24" s="1"/>
  <c r="I21" i="25"/>
  <c r="O21" i="24"/>
  <c r="N21" i="25" s="1"/>
  <c r="G110" i="25"/>
  <c r="F148" i="25"/>
  <c r="F72" i="25"/>
  <c r="AO36" i="24"/>
  <c r="AP36" i="24" s="1"/>
  <c r="Q36" i="24"/>
  <c r="E36" i="25"/>
  <c r="R36" i="24"/>
  <c r="R36" i="25" s="1"/>
  <c r="L36" i="24"/>
  <c r="P36" i="25" s="1"/>
  <c r="Z36" i="24"/>
  <c r="T36" i="25" s="1"/>
  <c r="S36" i="24"/>
  <c r="Q36" i="25" s="1"/>
  <c r="AA36" i="24"/>
  <c r="S36" i="25" s="1"/>
  <c r="F169" i="25"/>
  <c r="I31" i="25"/>
  <c r="O31" i="24"/>
  <c r="N31" i="25" s="1"/>
  <c r="AO88" i="24"/>
  <c r="AP88" i="24" s="1"/>
  <c r="E88" i="25"/>
  <c r="AA88" i="24"/>
  <c r="S88" i="25" s="1"/>
  <c r="AD88" i="24"/>
  <c r="W88" i="25" s="1"/>
  <c r="L88" i="24"/>
  <c r="P88" i="25" s="1"/>
  <c r="Z88" i="24"/>
  <c r="T88" i="25" s="1"/>
  <c r="S88" i="24"/>
  <c r="Q88" i="25" s="1"/>
  <c r="R88" i="24"/>
  <c r="R88" i="25" s="1"/>
  <c r="AE88" i="24"/>
  <c r="X88" i="25" s="1"/>
  <c r="F179" i="25"/>
  <c r="I132" i="25"/>
  <c r="O132" i="24"/>
  <c r="P132" i="24" s="1"/>
  <c r="M132" i="25" s="1"/>
  <c r="V24" i="24"/>
  <c r="U24" i="25" s="1"/>
  <c r="L24" i="24"/>
  <c r="P24" i="25" s="1"/>
  <c r="L24" i="25"/>
  <c r="I52" i="25"/>
  <c r="O52" i="24"/>
  <c r="Q52" i="24" s="1"/>
  <c r="L130" i="25"/>
  <c r="I150" i="25"/>
  <c r="O150" i="24"/>
  <c r="N150" i="25" s="1"/>
  <c r="F102" i="25"/>
  <c r="AO139" i="24"/>
  <c r="AP139" i="24" s="1"/>
  <c r="E139" i="25"/>
  <c r="S139" i="24"/>
  <c r="Q139" i="25" s="1"/>
  <c r="R139" i="24"/>
  <c r="R139" i="25" s="1"/>
  <c r="L139" i="24"/>
  <c r="P139" i="25" s="1"/>
  <c r="Z139" i="24"/>
  <c r="T139" i="25" s="1"/>
  <c r="AA139" i="24"/>
  <c r="S139" i="25" s="1"/>
  <c r="AE139" i="24"/>
  <c r="X139" i="25" s="1"/>
  <c r="AD139" i="24"/>
  <c r="W139" i="25" s="1"/>
  <c r="L53" i="25"/>
  <c r="V53" i="24"/>
  <c r="U53" i="25" s="1"/>
  <c r="L53" i="24"/>
  <c r="P53" i="25" s="1"/>
  <c r="I189" i="25"/>
  <c r="O189" i="24"/>
  <c r="P189" i="24" s="1"/>
  <c r="M189" i="25" s="1"/>
  <c r="I39" i="25"/>
  <c r="O39" i="24"/>
  <c r="Q39" i="24" s="1"/>
  <c r="L63" i="25"/>
  <c r="L63" i="24"/>
  <c r="P63" i="25" s="1"/>
  <c r="F186" i="25"/>
  <c r="G135" i="25"/>
  <c r="I162" i="25"/>
  <c r="O162" i="24"/>
  <c r="Q162" i="24" s="1"/>
  <c r="H81" i="25"/>
  <c r="V81" i="24"/>
  <c r="U81" i="25" s="1"/>
  <c r="H97" i="25"/>
  <c r="V97" i="24"/>
  <c r="U97" i="25" s="1"/>
  <c r="L13" i="25"/>
  <c r="L13" i="24"/>
  <c r="P13" i="25" s="1"/>
  <c r="H7" i="25"/>
  <c r="V7" i="24"/>
  <c r="U7" i="25" s="1"/>
  <c r="H189" i="25"/>
  <c r="V189" i="24"/>
  <c r="U189" i="25" s="1"/>
  <c r="I94" i="25"/>
  <c r="O94" i="24"/>
  <c r="Q94" i="24" s="1"/>
  <c r="G112" i="25"/>
  <c r="AO103" i="24"/>
  <c r="AP103" i="24" s="1"/>
  <c r="E103" i="25"/>
  <c r="L103" i="24"/>
  <c r="P103" i="25" s="1"/>
  <c r="S103" i="24"/>
  <c r="Q103" i="25" s="1"/>
  <c r="AE103" i="24"/>
  <c r="X103" i="25" s="1"/>
  <c r="R103" i="24"/>
  <c r="R103" i="25" s="1"/>
  <c r="Z103" i="24"/>
  <c r="T103" i="25" s="1"/>
  <c r="AA103" i="24"/>
  <c r="S103" i="25" s="1"/>
  <c r="AD103" i="24"/>
  <c r="W103" i="25" s="1"/>
  <c r="G184" i="25"/>
  <c r="H168" i="25"/>
  <c r="V168" i="24"/>
  <c r="U168" i="25" s="1"/>
  <c r="L159" i="25"/>
  <c r="V159" i="24"/>
  <c r="U159" i="25" s="1"/>
  <c r="G183" i="25"/>
  <c r="H21" i="25"/>
  <c r="V21" i="24"/>
  <c r="U21" i="25" s="1"/>
  <c r="AO182" i="24"/>
  <c r="AP182" i="24" s="1"/>
  <c r="R182" i="24"/>
  <c r="R182" i="25" s="1"/>
  <c r="E182" i="25"/>
  <c r="Q182" i="24"/>
  <c r="Z182" i="24"/>
  <c r="T182" i="25" s="1"/>
  <c r="S182" i="24"/>
  <c r="Q182" i="25" s="1"/>
  <c r="L182" i="24"/>
  <c r="P182" i="25" s="1"/>
  <c r="AA182" i="24"/>
  <c r="S182" i="25" s="1"/>
  <c r="AE182" i="24"/>
  <c r="X182" i="25" s="1"/>
  <c r="AD182" i="24"/>
  <c r="W182" i="25" s="1"/>
  <c r="F144" i="25"/>
  <c r="H91" i="25"/>
  <c r="V91" i="24"/>
  <c r="U91" i="25" s="1"/>
  <c r="L47" i="25"/>
  <c r="G32" i="25"/>
  <c r="L42" i="25"/>
  <c r="G131" i="25"/>
  <c r="AO167" i="24"/>
  <c r="AP167" i="24" s="1"/>
  <c r="G167" i="25"/>
  <c r="G36" i="25"/>
  <c r="F124" i="25"/>
  <c r="G132" i="25"/>
  <c r="L37" i="25"/>
  <c r="V37" i="24"/>
  <c r="U37" i="25" s="1"/>
  <c r="I17" i="25"/>
  <c r="O17" i="24"/>
  <c r="Q17" i="24" s="1"/>
  <c r="G148" i="25"/>
  <c r="AO154" i="24"/>
  <c r="AP154" i="24" s="1"/>
  <c r="R154" i="24"/>
  <c r="R154" i="25" s="1"/>
  <c r="E154" i="25"/>
  <c r="Z154" i="24"/>
  <c r="T154" i="25" s="1"/>
  <c r="S154" i="24"/>
  <c r="Q154" i="25" s="1"/>
  <c r="L154" i="24"/>
  <c r="P154" i="25" s="1"/>
  <c r="AA154" i="24"/>
  <c r="S154" i="25" s="1"/>
  <c r="AD154" i="24"/>
  <c r="W154" i="25" s="1"/>
  <c r="AE154" i="24"/>
  <c r="X154" i="25" s="1"/>
  <c r="E123" i="25"/>
  <c r="AO123" i="24"/>
  <c r="AP123" i="24" s="1"/>
  <c r="AA123" i="24"/>
  <c r="S123" i="25" s="1"/>
  <c r="AE123" i="24"/>
  <c r="X123" i="25" s="1"/>
  <c r="AD123" i="24"/>
  <c r="W123" i="25" s="1"/>
  <c r="R123" i="24"/>
  <c r="R123" i="25" s="1"/>
  <c r="Z123" i="24"/>
  <c r="T123" i="25" s="1"/>
  <c r="S123" i="24"/>
  <c r="Q123" i="25" s="1"/>
  <c r="L123" i="24"/>
  <c r="P123" i="25" s="1"/>
  <c r="H154" i="25"/>
  <c r="V154" i="24"/>
  <c r="U154" i="25" s="1"/>
  <c r="I178" i="25"/>
  <c r="O178" i="24"/>
  <c r="N178" i="25" s="1"/>
  <c r="F193" i="25"/>
  <c r="F21" i="25"/>
  <c r="AO21" i="24"/>
  <c r="AP21" i="24" s="1"/>
  <c r="F139" i="25"/>
  <c r="I107" i="25"/>
  <c r="O107" i="24"/>
  <c r="Q107" i="24" s="1"/>
  <c r="F166" i="25"/>
  <c r="H160" i="25"/>
  <c r="V160" i="24"/>
  <c r="U160" i="25" s="1"/>
  <c r="L139" i="25"/>
  <c r="F74" i="25"/>
  <c r="F184" i="25"/>
  <c r="H132" i="25"/>
  <c r="V132" i="24"/>
  <c r="U132" i="25" s="1"/>
  <c r="L28" i="25"/>
  <c r="L28" i="24"/>
  <c r="P28" i="25" s="1"/>
  <c r="I135" i="25"/>
  <c r="O135" i="24"/>
  <c r="P135" i="24" s="1"/>
  <c r="M135" i="25" s="1"/>
  <c r="L136" i="25"/>
  <c r="L136" i="24"/>
  <c r="P136" i="25" s="1"/>
  <c r="L16" i="25"/>
  <c r="L16" i="24"/>
  <c r="P16" i="25" s="1"/>
  <c r="G175" i="25"/>
  <c r="L120" i="24"/>
  <c r="P120" i="25" s="1"/>
  <c r="L120" i="25"/>
  <c r="L22" i="25"/>
  <c r="L125" i="25"/>
  <c r="O138" i="24"/>
  <c r="P138" i="24" s="1"/>
  <c r="M138" i="25" s="1"/>
  <c r="I138" i="25"/>
  <c r="H186" i="25"/>
  <c r="V186" i="24"/>
  <c r="U186" i="25" s="1"/>
  <c r="L184" i="25"/>
  <c r="G17" i="25"/>
  <c r="L199" i="25"/>
  <c r="AO6" i="24"/>
  <c r="AP6" i="24" s="1"/>
  <c r="E6" i="25"/>
  <c r="L6" i="24"/>
  <c r="P6" i="25" s="1"/>
  <c r="Z6" i="24"/>
  <c r="T6" i="25" s="1"/>
  <c r="AE6" i="24"/>
  <c r="X6" i="25" s="1"/>
  <c r="AA6" i="24"/>
  <c r="S6" i="25" s="1"/>
  <c r="S6" i="24"/>
  <c r="Q6" i="25" s="1"/>
  <c r="R6" i="24"/>
  <c r="R6" i="25" s="1"/>
  <c r="Q6" i="24"/>
  <c r="AD6" i="24"/>
  <c r="W6" i="25" s="1"/>
  <c r="AO42" i="24"/>
  <c r="AP42" i="24" s="1"/>
  <c r="E42" i="25"/>
  <c r="R42" i="24"/>
  <c r="R42" i="25" s="1"/>
  <c r="Q42" i="24"/>
  <c r="AA42" i="24"/>
  <c r="S42" i="25" s="1"/>
  <c r="AE42" i="24"/>
  <c r="X42" i="25" s="1"/>
  <c r="Z42" i="24"/>
  <c r="T42" i="25" s="1"/>
  <c r="S42" i="24"/>
  <c r="Q42" i="25" s="1"/>
  <c r="AD42" i="24"/>
  <c r="W42" i="25" s="1"/>
  <c r="L42" i="24"/>
  <c r="P42" i="25" s="1"/>
  <c r="L113" i="25"/>
  <c r="L113" i="24"/>
  <c r="P113" i="25" s="1"/>
  <c r="O156" i="24"/>
  <c r="N156" i="25" s="1"/>
  <c r="I156" i="25"/>
  <c r="G55" i="25"/>
  <c r="H13" i="25"/>
  <c r="V13" i="24"/>
  <c r="U13" i="25" s="1"/>
  <c r="I28" i="25"/>
  <c r="O28" i="24"/>
  <c r="Q28" i="24" s="1"/>
  <c r="G191" i="25"/>
  <c r="G158" i="25"/>
  <c r="I148" i="25"/>
  <c r="O148" i="24"/>
  <c r="N148" i="25" s="1"/>
  <c r="I7" i="25"/>
  <c r="O7" i="24"/>
  <c r="N7" i="25" s="1"/>
  <c r="AO149" i="24"/>
  <c r="AP149" i="24" s="1"/>
  <c r="G149" i="25"/>
  <c r="L175" i="25"/>
  <c r="V175" i="24"/>
  <c r="U175" i="25" s="1"/>
  <c r="I185" i="25"/>
  <c r="O185" i="24"/>
  <c r="Q185" i="24" s="1"/>
  <c r="L102" i="25"/>
  <c r="G152" i="25"/>
  <c r="H131" i="25"/>
  <c r="V131" i="24"/>
  <c r="U131" i="25" s="1"/>
  <c r="AO74" i="24"/>
  <c r="AP74" i="24" s="1"/>
  <c r="E74" i="25"/>
  <c r="AA74" i="24"/>
  <c r="S74" i="25" s="1"/>
  <c r="R74" i="24"/>
  <c r="R74" i="25" s="1"/>
  <c r="L74" i="24"/>
  <c r="P74" i="25" s="1"/>
  <c r="AD74" i="24"/>
  <c r="W74" i="25" s="1"/>
  <c r="Z74" i="24"/>
  <c r="T74" i="25" s="1"/>
  <c r="S74" i="24"/>
  <c r="Q74" i="25" s="1"/>
  <c r="AE74" i="24"/>
  <c r="X74" i="25" s="1"/>
  <c r="H139" i="25"/>
  <c r="V139" i="24"/>
  <c r="U139" i="25" s="1"/>
  <c r="I98" i="25"/>
  <c r="O98" i="24"/>
  <c r="N98" i="25" s="1"/>
  <c r="L97" i="25"/>
  <c r="L97" i="24"/>
  <c r="P97" i="25" s="1"/>
  <c r="H196" i="25"/>
  <c r="V196" i="24"/>
  <c r="U196" i="25" s="1"/>
  <c r="G172" i="25"/>
  <c r="AO172" i="24"/>
  <c r="AP172" i="24" s="1"/>
  <c r="L202" i="25"/>
  <c r="L202" i="24"/>
  <c r="P202" i="25" s="1"/>
  <c r="F125" i="25"/>
  <c r="G90" i="25"/>
  <c r="R4" i="24"/>
  <c r="R4" i="25" s="1"/>
  <c r="E4" i="25"/>
  <c r="AO4" i="24"/>
  <c r="AP4" i="24" s="1"/>
  <c r="Q4" i="24"/>
  <c r="L4" i="24"/>
  <c r="P4" i="25" s="1"/>
  <c r="AA4" i="24"/>
  <c r="S4" i="25" s="1"/>
  <c r="AE4" i="24"/>
  <c r="X4" i="25" s="1"/>
  <c r="AD4" i="24"/>
  <c r="W4" i="25" s="1"/>
  <c r="S4" i="24"/>
  <c r="Q4" i="25" s="1"/>
  <c r="Z4" i="24"/>
  <c r="T4" i="25" s="1"/>
  <c r="AO156" i="24"/>
  <c r="AP156" i="24" s="1"/>
  <c r="F156" i="25"/>
  <c r="H183" i="25"/>
  <c r="V183" i="24"/>
  <c r="U183" i="25" s="1"/>
  <c r="AO146" i="24"/>
  <c r="AP146" i="24" s="1"/>
  <c r="F146" i="25"/>
  <c r="AO206" i="24"/>
  <c r="AP206" i="24" s="1"/>
  <c r="E206" i="25"/>
  <c r="L206" i="24"/>
  <c r="P206" i="25" s="1"/>
  <c r="Z206" i="24"/>
  <c r="T206" i="25" s="1"/>
  <c r="S206" i="24"/>
  <c r="Q206" i="25" s="1"/>
  <c r="R206" i="24"/>
  <c r="R206" i="25" s="1"/>
  <c r="Q206" i="24"/>
  <c r="AA206" i="24"/>
  <c r="S206" i="25" s="1"/>
  <c r="AE206" i="24"/>
  <c r="X206" i="25" s="1"/>
  <c r="AD206" i="24"/>
  <c r="W206" i="25" s="1"/>
  <c r="G23" i="25"/>
  <c r="F117" i="25"/>
  <c r="L58" i="25"/>
  <c r="V58" i="24"/>
  <c r="U58" i="25" s="1"/>
  <c r="L58" i="24"/>
  <c r="P58" i="25" s="1"/>
  <c r="S168" i="24"/>
  <c r="Q168" i="25" s="1"/>
  <c r="Z168" i="24"/>
  <c r="T168" i="25" s="1"/>
  <c r="R168" i="24"/>
  <c r="R168" i="25" s="1"/>
  <c r="E168" i="25"/>
  <c r="AO168" i="24"/>
  <c r="AP168" i="24" s="1"/>
  <c r="AD168" i="24"/>
  <c r="W168" i="25" s="1"/>
  <c r="AA168" i="24"/>
  <c r="S168" i="25" s="1"/>
  <c r="AE168" i="24"/>
  <c r="X168" i="25" s="1"/>
  <c r="L168" i="24"/>
  <c r="P168" i="25" s="1"/>
  <c r="AO119" i="24"/>
  <c r="AP119" i="24" s="1"/>
  <c r="F119" i="25"/>
  <c r="AO105" i="24"/>
  <c r="AP105" i="24" s="1"/>
  <c r="G105" i="25"/>
  <c r="I104" i="25"/>
  <c r="O104" i="24"/>
  <c r="Q104" i="24" s="1"/>
  <c r="AO39" i="24"/>
  <c r="AP39" i="24" s="1"/>
  <c r="E39" i="25"/>
  <c r="R39" i="24"/>
  <c r="R39" i="25" s="1"/>
  <c r="Z39" i="24"/>
  <c r="T39" i="25" s="1"/>
  <c r="L39" i="24"/>
  <c r="P39" i="25" s="1"/>
  <c r="AD39" i="24"/>
  <c r="W39" i="25" s="1"/>
  <c r="S39" i="24"/>
  <c r="Q39" i="25" s="1"/>
  <c r="AA39" i="24"/>
  <c r="S39" i="25" s="1"/>
  <c r="AE39" i="24"/>
  <c r="X39" i="25" s="1"/>
  <c r="AO129" i="24"/>
  <c r="AP129" i="24" s="1"/>
  <c r="E129" i="25"/>
  <c r="AE129" i="24"/>
  <c r="X129" i="25" s="1"/>
  <c r="S129" i="24"/>
  <c r="Q129" i="25" s="1"/>
  <c r="AA129" i="24"/>
  <c r="S129" i="25" s="1"/>
  <c r="Z129" i="24"/>
  <c r="T129" i="25" s="1"/>
  <c r="R129" i="24"/>
  <c r="R129" i="25" s="1"/>
  <c r="Q129" i="24"/>
  <c r="L129" i="24"/>
  <c r="P129" i="25" s="1"/>
  <c r="AD129" i="24"/>
  <c r="W129" i="25" s="1"/>
  <c r="L9" i="25"/>
  <c r="V9" i="24"/>
  <c r="U9" i="25" s="1"/>
  <c r="G201" i="25"/>
  <c r="I36" i="25"/>
  <c r="O36" i="24"/>
  <c r="P36" i="24" s="1"/>
  <c r="M36" i="25" s="1"/>
  <c r="F94" i="25"/>
  <c r="G56" i="25"/>
  <c r="E196" i="25"/>
  <c r="AO196" i="24"/>
  <c r="AP196" i="24" s="1"/>
  <c r="L196" i="24"/>
  <c r="P196" i="25" s="1"/>
  <c r="S196" i="24"/>
  <c r="Q196" i="25" s="1"/>
  <c r="R196" i="24"/>
  <c r="R196" i="25" s="1"/>
  <c r="Z196" i="24"/>
  <c r="T196" i="25" s="1"/>
  <c r="AA196" i="24"/>
  <c r="S196" i="25" s="1"/>
  <c r="AE196" i="24"/>
  <c r="X196" i="25" s="1"/>
  <c r="AD196" i="24"/>
  <c r="W196" i="25" s="1"/>
  <c r="I144" i="25"/>
  <c r="O144" i="24"/>
  <c r="P144" i="24" s="1"/>
  <c r="M144" i="25" s="1"/>
  <c r="L79" i="25"/>
  <c r="L79" i="24"/>
  <c r="P79" i="25" s="1"/>
  <c r="G87" i="25"/>
  <c r="F42" i="25"/>
  <c r="E14" i="25"/>
  <c r="AO14" i="24"/>
  <c r="AP14" i="24" s="1"/>
  <c r="AD14" i="24"/>
  <c r="W14" i="25" s="1"/>
  <c r="Q14" i="24"/>
  <c r="AE14" i="24"/>
  <c r="X14" i="25" s="1"/>
  <c r="Z14" i="24"/>
  <c r="T14" i="25" s="1"/>
  <c r="S14" i="24"/>
  <c r="Q14" i="25" s="1"/>
  <c r="AA14" i="24"/>
  <c r="S14" i="25" s="1"/>
  <c r="R14" i="24"/>
  <c r="R14" i="25" s="1"/>
  <c r="L14" i="24"/>
  <c r="P14" i="25" s="1"/>
  <c r="G48" i="25"/>
  <c r="I11" i="25"/>
  <c r="O11" i="24"/>
  <c r="N11" i="25" s="1"/>
  <c r="W43" i="25"/>
  <c r="W16" i="25"/>
  <c r="W194" i="25"/>
  <c r="W20" i="25"/>
  <c r="W19" i="25"/>
  <c r="W119" i="25"/>
  <c r="W157" i="25"/>
  <c r="W82" i="25"/>
  <c r="W165" i="25"/>
  <c r="W127" i="25"/>
  <c r="W150" i="25"/>
  <c r="W131" i="25"/>
  <c r="W41" i="25"/>
  <c r="W48" i="25"/>
  <c r="T46" i="25"/>
  <c r="M160" i="25"/>
  <c r="W36" i="25"/>
  <c r="T20" i="25"/>
  <c r="W191" i="25"/>
  <c r="T121" i="25"/>
  <c r="W195" i="25"/>
  <c r="M84" i="25"/>
  <c r="T190" i="25"/>
  <c r="T89" i="25"/>
  <c r="T134" i="25"/>
  <c r="Q194" i="24"/>
  <c r="P180" i="24" l="1"/>
  <c r="M180" i="25" s="1"/>
  <c r="Q147" i="24"/>
  <c r="P147" i="24"/>
  <c r="M147" i="25" s="1"/>
  <c r="P114" i="24"/>
  <c r="M114" i="25" s="1"/>
  <c r="Q180" i="24"/>
  <c r="N130" i="25"/>
  <c r="Q13" i="24"/>
  <c r="P13" i="24"/>
  <c r="M13" i="25" s="1"/>
  <c r="N15" i="25"/>
  <c r="Q15" i="24"/>
  <c r="P130" i="24"/>
  <c r="M130" i="25" s="1"/>
  <c r="Q114" i="24"/>
  <c r="Q128" i="24"/>
  <c r="Q96" i="24"/>
  <c r="Q196" i="24"/>
  <c r="N195" i="25"/>
  <c r="P195" i="24"/>
  <c r="M195" i="25" s="1"/>
  <c r="P127" i="24"/>
  <c r="M127" i="25" s="1"/>
  <c r="N127" i="25"/>
  <c r="N173" i="25"/>
  <c r="P173" i="24"/>
  <c r="M173" i="25" s="1"/>
  <c r="Q22" i="24"/>
  <c r="P22" i="24"/>
  <c r="M22" i="25" s="1"/>
  <c r="Q154" i="24"/>
  <c r="Q59" i="24"/>
  <c r="N59" i="25"/>
  <c r="Q29" i="24"/>
  <c r="N40" i="25"/>
  <c r="Q168" i="24"/>
  <c r="P168" i="24"/>
  <c r="M168" i="25" s="1"/>
  <c r="Q132" i="24"/>
  <c r="Q205" i="24"/>
  <c r="P205" i="24"/>
  <c r="M205" i="25" s="1"/>
  <c r="Q157" i="24"/>
  <c r="Q169" i="24"/>
  <c r="N81" i="25"/>
  <c r="P81" i="24"/>
  <c r="M81" i="25" s="1"/>
  <c r="Q113" i="24"/>
  <c r="Q87" i="24"/>
  <c r="Q92" i="24"/>
  <c r="N92" i="25"/>
  <c r="Q119" i="24"/>
  <c r="Q48" i="24"/>
  <c r="N103" i="25"/>
  <c r="P103" i="24"/>
  <c r="M103" i="25" s="1"/>
  <c r="P113" i="24"/>
  <c r="M113" i="25" s="1"/>
  <c r="Q88" i="24"/>
  <c r="Q54" i="24"/>
  <c r="Q47" i="24"/>
  <c r="Q24" i="24"/>
  <c r="P64" i="24"/>
  <c r="M64" i="25" s="1"/>
  <c r="P86" i="24"/>
  <c r="M86" i="25" s="1"/>
  <c r="Q49" i="24"/>
  <c r="Q142" i="24"/>
  <c r="Q18" i="24"/>
  <c r="Q66" i="24"/>
  <c r="Q68" i="24"/>
  <c r="N142" i="25"/>
  <c r="Q31" i="24"/>
  <c r="P56" i="24"/>
  <c r="M56" i="25" s="1"/>
  <c r="Q58" i="24"/>
  <c r="Q8" i="24"/>
  <c r="Q201" i="24"/>
  <c r="Q56" i="24"/>
  <c r="Q109" i="24"/>
  <c r="N117" i="25"/>
  <c r="P117" i="24"/>
  <c r="M117" i="25" s="1"/>
  <c r="N63" i="25"/>
  <c r="P63" i="24"/>
  <c r="M63" i="25" s="1"/>
  <c r="Q126" i="24"/>
  <c r="N47" i="25"/>
  <c r="N29" i="25"/>
  <c r="P40" i="24"/>
  <c r="M40" i="25" s="1"/>
  <c r="N96" i="25"/>
  <c r="P66" i="24"/>
  <c r="M66" i="25" s="1"/>
  <c r="N196" i="25"/>
  <c r="P119" i="24"/>
  <c r="M119" i="25" s="1"/>
  <c r="P10" i="24"/>
  <c r="M10" i="25" s="1"/>
  <c r="Q144" i="24"/>
  <c r="Q11" i="24"/>
  <c r="N146" i="25"/>
  <c r="P32" i="24"/>
  <c r="M32" i="25" s="1"/>
  <c r="N25" i="25"/>
  <c r="P8" i="24"/>
  <c r="M8" i="25" s="1"/>
  <c r="P11" i="24"/>
  <c r="M11" i="25" s="1"/>
  <c r="N104" i="25"/>
  <c r="P9" i="24"/>
  <c r="M9" i="25" s="1"/>
  <c r="N36" i="25"/>
  <c r="N9" i="25"/>
  <c r="N88" i="25"/>
  <c r="P31" i="24"/>
  <c r="M31" i="25" s="1"/>
  <c r="P169" i="24"/>
  <c r="M169" i="25" s="1"/>
  <c r="P128" i="24"/>
  <c r="M128" i="25" s="1"/>
  <c r="P87" i="24"/>
  <c r="M87" i="25" s="1"/>
  <c r="N64" i="25"/>
  <c r="P126" i="24"/>
  <c r="M126" i="25" s="1"/>
  <c r="Q135" i="24"/>
  <c r="Q7" i="24"/>
  <c r="Q156" i="24"/>
  <c r="Q112" i="24"/>
  <c r="Q5" i="24"/>
  <c r="P199" i="24"/>
  <c r="M199" i="25" s="1"/>
  <c r="N138" i="25"/>
  <c r="Q150" i="24"/>
  <c r="N132" i="25"/>
  <c r="N152" i="25"/>
  <c r="P152" i="24"/>
  <c r="M152" i="25" s="1"/>
  <c r="P97" i="24"/>
  <c r="M97" i="25" s="1"/>
  <c r="N24" i="25"/>
  <c r="Q82" i="24"/>
  <c r="Q21" i="24"/>
  <c r="N135" i="25"/>
  <c r="Q138" i="24"/>
  <c r="P94" i="24"/>
  <c r="M94" i="25" s="1"/>
  <c r="N139" i="25"/>
  <c r="P139" i="24"/>
  <c r="M139" i="25" s="1"/>
  <c r="Q148" i="24"/>
  <c r="N107" i="25"/>
  <c r="Q98" i="24"/>
  <c r="P150" i="24"/>
  <c r="M150" i="25" s="1"/>
  <c r="P21" i="24"/>
  <c r="M21" i="25" s="1"/>
  <c r="P7" i="24"/>
  <c r="M7" i="25" s="1"/>
  <c r="N144" i="25"/>
  <c r="P162" i="24"/>
  <c r="M162" i="25" s="1"/>
  <c r="N94" i="25"/>
  <c r="P82" i="24"/>
  <c r="M82" i="25" s="1"/>
  <c r="P58" i="24"/>
  <c r="M58" i="25" s="1"/>
  <c r="N50" i="25"/>
  <c r="N199" i="25"/>
  <c r="N10" i="25"/>
  <c r="P25" i="24"/>
  <c r="M25" i="25" s="1"/>
  <c r="P39" i="24"/>
  <c r="M39" i="25" s="1"/>
  <c r="N112" i="25"/>
  <c r="N46" i="25"/>
  <c r="P107" i="24"/>
  <c r="M107" i="25" s="1"/>
  <c r="P141" i="24"/>
  <c r="M141" i="25" s="1"/>
  <c r="P157" i="24"/>
  <c r="M157" i="25" s="1"/>
  <c r="N162" i="25"/>
  <c r="N97" i="25"/>
  <c r="P48" i="24"/>
  <c r="M48" i="25" s="1"/>
  <c r="P46" i="24"/>
  <c r="M46" i="25" s="1"/>
  <c r="P146" i="24"/>
  <c r="M146" i="25" s="1"/>
  <c r="P98" i="24"/>
  <c r="M98" i="25" s="1"/>
  <c r="N68" i="25"/>
  <c r="N109" i="25"/>
  <c r="P18" i="24"/>
  <c r="M18" i="25" s="1"/>
  <c r="Q71" i="24"/>
  <c r="P194" i="24"/>
  <c r="M194" i="25" s="1"/>
  <c r="N110" i="25"/>
  <c r="P110" i="24"/>
  <c r="M110" i="25" s="1"/>
  <c r="Q86" i="24"/>
  <c r="Q120" i="24"/>
  <c r="Q90" i="24"/>
  <c r="N154" i="25"/>
  <c r="Q151" i="24"/>
  <c r="Q189" i="24"/>
  <c r="Q32" i="24"/>
  <c r="Q57" i="24"/>
  <c r="Q178" i="24"/>
  <c r="P155" i="24"/>
  <c r="M155" i="25" s="1"/>
  <c r="P43" i="24"/>
  <c r="M43" i="25" s="1"/>
  <c r="Q16" i="24"/>
  <c r="Q99" i="24"/>
  <c r="P186" i="24"/>
  <c r="M186" i="25" s="1"/>
  <c r="N39" i="25"/>
  <c r="N83" i="25"/>
  <c r="Q67" i="24"/>
  <c r="Q83" i="24"/>
  <c r="Q184" i="24"/>
  <c r="Q123" i="24"/>
  <c r="Q51" i="24"/>
  <c r="N74" i="25"/>
  <c r="P50" i="24"/>
  <c r="M50" i="25" s="1"/>
  <c r="N17" i="25"/>
  <c r="N191" i="25"/>
  <c r="P17" i="24"/>
  <c r="M17" i="25" s="1"/>
  <c r="P191" i="24"/>
  <c r="M191" i="25" s="1"/>
  <c r="P102" i="24"/>
  <c r="M102" i="25" s="1"/>
  <c r="P5" i="24"/>
  <c r="M5" i="25" s="1"/>
  <c r="N49" i="25"/>
  <c r="N189" i="25"/>
  <c r="P74" i="24"/>
  <c r="M74" i="25" s="1"/>
  <c r="N23" i="25"/>
  <c r="N54" i="25"/>
  <c r="P23" i="24"/>
  <c r="M23" i="25" s="1"/>
  <c r="P104" i="24"/>
  <c r="M104" i="25" s="1"/>
  <c r="N76" i="25"/>
  <c r="N12" i="25"/>
  <c r="N136" i="25"/>
  <c r="P156" i="24"/>
  <c r="M156" i="25" s="1"/>
  <c r="P76" i="24"/>
  <c r="M76" i="25" s="1"/>
  <c r="N91" i="25"/>
  <c r="P12" i="24"/>
  <c r="M12" i="25" s="1"/>
  <c r="N131" i="25"/>
  <c r="P136" i="24"/>
  <c r="M136" i="25" s="1"/>
  <c r="N200" i="25"/>
  <c r="P178" i="24"/>
  <c r="M178" i="25" s="1"/>
  <c r="N186" i="25"/>
  <c r="P91" i="24"/>
  <c r="M91" i="25" s="1"/>
  <c r="N43" i="25"/>
  <c r="P131" i="24"/>
  <c r="M131" i="25" s="1"/>
  <c r="P148" i="24"/>
  <c r="M148" i="25" s="1"/>
  <c r="P200" i="24"/>
  <c r="M200" i="25" s="1"/>
  <c r="N124" i="25"/>
  <c r="P201" i="24"/>
  <c r="M201" i="25" s="1"/>
  <c r="P124" i="24"/>
  <c r="M124" i="25" s="1"/>
  <c r="N125" i="25"/>
  <c r="P176" i="24"/>
  <c r="M176" i="25" s="1"/>
  <c r="N176" i="25"/>
  <c r="N28" i="25"/>
  <c r="N71" i="25"/>
  <c r="N67" i="25"/>
  <c r="P28" i="24"/>
  <c r="M28" i="25" s="1"/>
  <c r="N123" i="25"/>
  <c r="N99" i="25"/>
  <c r="N151" i="25"/>
  <c r="P125" i="24"/>
  <c r="M125" i="25" s="1"/>
  <c r="N51" i="25"/>
  <c r="N174" i="25"/>
  <c r="N184" i="25"/>
  <c r="N57" i="25"/>
  <c r="N72" i="25"/>
  <c r="N141" i="25"/>
  <c r="N185" i="25"/>
  <c r="P185" i="24"/>
  <c r="M185" i="25" s="1"/>
  <c r="P174" i="24"/>
  <c r="M174" i="25" s="1"/>
  <c r="N90" i="25"/>
  <c r="N52" i="25"/>
  <c r="P72" i="24"/>
  <c r="M72" i="25" s="1"/>
  <c r="N16" i="25"/>
  <c r="P120" i="24"/>
  <c r="M120" i="25" s="1"/>
  <c r="N155" i="25"/>
  <c r="N102" i="25"/>
  <c r="P52" i="24"/>
  <c r="M52" i="25" s="1"/>
  <c r="C300" i="8"/>
  <c r="C300" i="2"/>
  <c r="C5" i="7" a="1"/>
  <c r="C299" i="7"/>
  <c r="C300" i="9"/>
  <c r="C299" i="5"/>
  <c r="C300" i="6"/>
  <c r="C299" i="6"/>
  <c r="C299" i="9"/>
  <c r="C299" i="8"/>
  <c r="C300" i="5"/>
  <c r="C300" i="7"/>
  <c r="D299" i="9" l="1"/>
  <c r="B300" i="9"/>
  <c r="B300" i="5"/>
  <c r="B300" i="7"/>
  <c r="B300" i="6"/>
  <c r="B300" i="8"/>
  <c r="C5" i="7"/>
  <c r="C5" i="6" a="1"/>
  <c r="C298" i="5"/>
  <c r="C298" i="9"/>
  <c r="C298" i="2"/>
  <c r="C298" i="7"/>
  <c r="C1" i="10" a="1"/>
  <c r="C298" i="6"/>
  <c r="C298" i="8"/>
  <c r="C299" i="2"/>
  <c r="B299" i="9" l="1"/>
  <c r="B299" i="6"/>
  <c r="B299" i="5"/>
  <c r="B299" i="8"/>
  <c r="B299" i="7"/>
  <c r="C1" i="10"/>
  <c r="D298" i="9"/>
  <c r="C5" i="6"/>
  <c r="B298" i="9"/>
  <c r="B298" i="7"/>
  <c r="B298" i="6"/>
  <c r="B298" i="5"/>
  <c r="B298" i="8"/>
  <c r="E64" i="21" l="1"/>
  <c r="C26" i="21" a="1"/>
  <c r="C26" i="21" l="1"/>
  <c r="C28" i="21" l="1"/>
  <c r="C52" i="21"/>
  <c r="C43" i="21"/>
  <c r="C39" i="21"/>
  <c r="C40" i="21"/>
  <c r="C5" i="21" a="1"/>
  <c r="C33" i="21" a="1"/>
  <c r="C31" i="21" a="1"/>
  <c r="C5" i="21" l="1"/>
  <c r="C13" i="21" s="1"/>
  <c r="C48" i="21" s="1"/>
  <c r="C31" i="21"/>
  <c r="C33" i="21"/>
  <c r="C36" i="21"/>
  <c r="C37" i="21"/>
  <c r="C38" i="21"/>
  <c r="C32" i="21" a="1"/>
  <c r="C32" i="21" l="1"/>
  <c r="C49" i="21" a="1"/>
  <c r="C49" i="21" l="1"/>
  <c r="C34" i="21"/>
  <c r="D300" i="9" l="1"/>
  <c r="D301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7" i="2"/>
  <c r="C261" i="7"/>
  <c r="C286" i="2"/>
  <c r="C262" i="7"/>
  <c r="C294" i="2"/>
  <c r="C284" i="2"/>
  <c r="C246" i="5"/>
  <c r="C293" i="7"/>
  <c r="C291" i="7"/>
  <c r="C282" i="9"/>
  <c r="C281" i="7"/>
  <c r="C286" i="7"/>
  <c r="C277" i="2"/>
  <c r="C255" i="9"/>
  <c r="C266" i="8"/>
  <c r="C258" i="9"/>
  <c r="C247" i="7"/>
  <c r="C261" i="2"/>
  <c r="C249" i="8"/>
  <c r="C250" i="5"/>
  <c r="C248" i="6"/>
  <c r="C270" i="8"/>
  <c r="C247" i="9"/>
  <c r="C258" i="5"/>
  <c r="C269" i="5"/>
  <c r="C297" i="2"/>
  <c r="C261" i="9"/>
  <c r="C286" i="8"/>
  <c r="C249" i="7"/>
  <c r="C288" i="6"/>
  <c r="C297" i="8"/>
  <c r="C259" i="8"/>
  <c r="C285" i="5"/>
  <c r="C254" i="7"/>
  <c r="C280" i="8"/>
  <c r="C291" i="5"/>
  <c r="C252" i="7"/>
  <c r="C265" i="7"/>
  <c r="C268" i="5"/>
  <c r="C279" i="2"/>
  <c r="C287" i="2"/>
  <c r="C274" i="9"/>
  <c r="C293" i="9"/>
  <c r="C259" i="7"/>
  <c r="C256" i="9"/>
  <c r="C267" i="5"/>
  <c r="C282" i="6"/>
  <c r="C256" i="2"/>
  <c r="C263" i="5"/>
  <c r="C280" i="6"/>
  <c r="C279" i="5"/>
  <c r="C264" i="9"/>
  <c r="C255" i="5"/>
  <c r="C262" i="2"/>
  <c r="C287" i="9"/>
  <c r="C263" i="7"/>
  <c r="C288" i="2"/>
  <c r="C286" i="5"/>
  <c r="C266" i="9"/>
  <c r="C263" i="8"/>
  <c r="C268" i="9"/>
  <c r="C276" i="8"/>
  <c r="C248" i="2"/>
  <c r="C269" i="9"/>
  <c r="C278" i="5"/>
  <c r="C259" i="2"/>
  <c r="C246" i="6"/>
  <c r="C293" i="5"/>
  <c r="C280" i="7"/>
  <c r="C276" i="6"/>
  <c r="C275" i="7"/>
  <c r="C294" i="5"/>
  <c r="C268" i="7"/>
  <c r="C284" i="9"/>
  <c r="C296" i="8"/>
  <c r="C250" i="2"/>
  <c r="C293" i="2"/>
  <c r="C277" i="6"/>
  <c r="C261" i="8"/>
  <c r="C283" i="5"/>
  <c r="C224" i="2"/>
  <c r="C275" i="9"/>
  <c r="C273" i="2"/>
  <c r="C255" i="2"/>
  <c r="C289" i="7"/>
  <c r="C273" i="5"/>
  <c r="C246" i="7"/>
  <c r="C264" i="5"/>
  <c r="C272" i="7"/>
  <c r="C284" i="7"/>
  <c r="C251" i="8"/>
  <c r="C293" i="8"/>
  <c r="C255" i="7"/>
  <c r="C260" i="2"/>
  <c r="C291" i="8"/>
  <c r="C295" i="8"/>
  <c r="C252" i="6"/>
  <c r="C270" i="6"/>
  <c r="C248" i="5"/>
  <c r="C281" i="2"/>
  <c r="C250" i="9"/>
  <c r="C296" i="9"/>
  <c r="C254" i="9"/>
  <c r="C269" i="2"/>
  <c r="C267" i="6"/>
  <c r="C275" i="8"/>
  <c r="C275" i="2"/>
  <c r="C278" i="9"/>
  <c r="C261" i="6"/>
  <c r="C276" i="2"/>
  <c r="C283" i="8"/>
  <c r="C294" i="6"/>
  <c r="C253" i="9"/>
  <c r="C265" i="2"/>
  <c r="C292" i="5"/>
  <c r="C259" i="9"/>
  <c r="C247" i="6"/>
  <c r="C291" i="6"/>
  <c r="C271" i="7"/>
  <c r="C267" i="2"/>
  <c r="C280" i="5"/>
  <c r="C262" i="5"/>
  <c r="C289" i="5"/>
  <c r="C263" i="2"/>
  <c r="C250" i="6"/>
  <c r="C281" i="9"/>
  <c r="C253" i="6"/>
  <c r="C266" i="5"/>
  <c r="C254" i="5"/>
  <c r="C275" i="5"/>
  <c r="C278" i="7"/>
  <c r="C251" i="7"/>
  <c r="C262" i="9"/>
  <c r="C292" i="8"/>
  <c r="C281" i="6"/>
  <c r="C281" i="5"/>
  <c r="C294" i="9"/>
  <c r="C295" i="5"/>
  <c r="C253" i="7"/>
  <c r="C224" i="5"/>
  <c r="C295" i="7"/>
  <c r="C246" i="9"/>
  <c r="C224" i="8"/>
  <c r="C283" i="7"/>
  <c r="C246" i="8"/>
  <c r="C295" i="2"/>
  <c r="C224" i="6"/>
  <c r="C266" i="6"/>
  <c r="C265" i="8"/>
  <c r="C247" i="2"/>
  <c r="C287" i="5"/>
  <c r="C259" i="5"/>
  <c r="C277" i="8"/>
  <c r="C282" i="5"/>
  <c r="C264" i="2"/>
  <c r="C271" i="2"/>
  <c r="C290" i="7"/>
  <c r="C264" i="7"/>
  <c r="C277" i="9"/>
  <c r="C290" i="2"/>
  <c r="C285" i="9"/>
  <c r="C254" i="8"/>
  <c r="C291" i="2"/>
  <c r="C272" i="8"/>
  <c r="C267" i="8"/>
  <c r="C288" i="5"/>
  <c r="C265" i="5"/>
  <c r="C290" i="9"/>
  <c r="C268" i="2"/>
  <c r="C285" i="6"/>
  <c r="C297" i="6"/>
  <c r="C260" i="5"/>
  <c r="C279" i="7"/>
  <c r="C260" i="6"/>
  <c r="C271" i="8"/>
  <c r="C285" i="7"/>
  <c r="C287" i="6"/>
  <c r="C274" i="6"/>
  <c r="C286" i="6"/>
  <c r="C252" i="2"/>
  <c r="C256" i="7"/>
  <c r="C268" i="8"/>
  <c r="C249" i="2"/>
  <c r="C257" i="9"/>
  <c r="C257" i="6"/>
  <c r="C270" i="7"/>
  <c r="C283" i="6"/>
  <c r="C224" i="9"/>
  <c r="C283" i="2"/>
  <c r="C260" i="7"/>
  <c r="C293" i="6"/>
  <c r="C268" i="6"/>
  <c r="C262" i="6"/>
  <c r="C289" i="6"/>
  <c r="C248" i="9"/>
  <c r="C263" i="6"/>
  <c r="C277" i="7"/>
  <c r="C258" i="6"/>
  <c r="C253" i="5"/>
  <c r="C288" i="8"/>
  <c r="C294" i="8"/>
  <c r="C271" i="5"/>
  <c r="C280" i="9"/>
  <c r="C297" i="9"/>
  <c r="C255" i="6"/>
  <c r="C257" i="2"/>
  <c r="C290" i="5"/>
  <c r="C287" i="8"/>
  <c r="C292" i="6"/>
  <c r="C269" i="8"/>
  <c r="C258" i="8"/>
  <c r="C251" i="6"/>
  <c r="C276" i="9"/>
  <c r="C270" i="5"/>
  <c r="C285" i="8"/>
  <c r="C279" i="9"/>
  <c r="C286" i="9"/>
  <c r="C251" i="2"/>
  <c r="C297" i="7"/>
  <c r="C274" i="8"/>
  <c r="C279" i="6"/>
  <c r="C262" i="8"/>
  <c r="C270" i="9"/>
  <c r="C260" i="8"/>
  <c r="C248" i="7"/>
  <c r="C247" i="8"/>
  <c r="C267" i="7"/>
  <c r="C253" i="2"/>
  <c r="C272" i="9"/>
  <c r="C289" i="9"/>
  <c r="C296" i="2"/>
  <c r="C292" i="2"/>
  <c r="C276" i="7"/>
  <c r="C272" i="6"/>
  <c r="C253" i="8"/>
  <c r="C265" i="9"/>
  <c r="C267" i="9"/>
  <c r="C258" i="2"/>
  <c r="C264" i="8"/>
  <c r="C285" i="2"/>
  <c r="C292" i="9"/>
  <c r="C263" i="9"/>
  <c r="C250" i="8"/>
  <c r="C278" i="6"/>
  <c r="C272" i="2"/>
  <c r="C273" i="7"/>
  <c r="C265" i="6"/>
  <c r="C274" i="2"/>
  <c r="C272" i="5"/>
  <c r="C250" i="7"/>
  <c r="C296" i="7"/>
  <c r="C276" i="5"/>
  <c r="C271" i="6"/>
  <c r="C295" i="6"/>
  <c r="C278" i="2"/>
  <c r="C278" i="8"/>
  <c r="C260" i="9"/>
  <c r="C256" i="8"/>
  <c r="C224" i="7"/>
  <c r="C289" i="8"/>
  <c r="C282" i="7"/>
  <c r="C259" i="6"/>
  <c r="C256" i="5"/>
  <c r="C252" i="5"/>
  <c r="C255" i="8"/>
  <c r="C277" i="5"/>
  <c r="C280" i="2"/>
  <c r="C287" i="7"/>
  <c r="C252" i="8"/>
  <c r="C274" i="5"/>
  <c r="C284" i="6"/>
  <c r="C249" i="5"/>
  <c r="C294" i="7"/>
  <c r="C264" i="6"/>
  <c r="C257" i="7"/>
  <c r="C284" i="5"/>
  <c r="C246" i="2"/>
  <c r="C254" i="2"/>
  <c r="C257" i="8"/>
  <c r="C282" i="8"/>
  <c r="C247" i="5"/>
  <c r="C254" i="6"/>
  <c r="C292" i="7"/>
  <c r="C281" i="8"/>
  <c r="C258" i="7"/>
  <c r="C295" i="9"/>
  <c r="C274" i="7"/>
  <c r="C279" i="8"/>
  <c r="C288" i="7"/>
  <c r="C270" i="2"/>
  <c r="C297" i="5"/>
  <c r="C289" i="2"/>
  <c r="C283" i="9"/>
  <c r="C269" i="7"/>
  <c r="C269" i="6"/>
  <c r="C273" i="9"/>
  <c r="C248" i="8"/>
  <c r="C249" i="6"/>
  <c r="C266" i="2"/>
  <c r="C251" i="9"/>
  <c r="C273" i="6"/>
  <c r="C252" i="9"/>
  <c r="C288" i="9"/>
  <c r="C266" i="7"/>
  <c r="C291" i="9"/>
  <c r="C273" i="8"/>
  <c r="C290" i="6"/>
  <c r="C257" i="5"/>
  <c r="C275" i="6"/>
  <c r="C282" i="2"/>
  <c r="C296" i="6"/>
  <c r="C256" i="6"/>
  <c r="C284" i="8"/>
  <c r="C261" i="5"/>
  <c r="C296" i="5"/>
  <c r="C251" i="5"/>
  <c r="C271" i="9"/>
  <c r="C290" i="8"/>
  <c r="C249" i="9"/>
  <c r="D224" i="9" l="1"/>
  <c r="D279" i="9"/>
  <c r="B297" i="9"/>
  <c r="B297" i="6"/>
  <c r="B297" i="7"/>
  <c r="B297" i="5"/>
  <c r="B297" i="8"/>
  <c r="D297" i="9"/>
  <c r="B296" i="9"/>
  <c r="B296" i="5"/>
  <c r="B296" i="8"/>
  <c r="B296" i="7"/>
  <c r="B296" i="6"/>
  <c r="D296" i="9"/>
  <c r="B295" i="9"/>
  <c r="B295" i="7"/>
  <c r="B295" i="6"/>
  <c r="B295" i="5"/>
  <c r="B295" i="8"/>
  <c r="D295" i="9"/>
  <c r="B294" i="9"/>
  <c r="B294" i="7"/>
  <c r="B294" i="6"/>
  <c r="B294" i="5"/>
  <c r="B294" i="8"/>
  <c r="D294" i="9"/>
  <c r="B293" i="9"/>
  <c r="B293" i="7"/>
  <c r="B293" i="6"/>
  <c r="B293" i="5"/>
  <c r="B293" i="8"/>
  <c r="D293" i="9"/>
  <c r="B292" i="9"/>
  <c r="B292" i="7"/>
  <c r="B292" i="6"/>
  <c r="B292" i="5"/>
  <c r="B292" i="8"/>
  <c r="D292" i="9"/>
  <c r="B291" i="9"/>
  <c r="B291" i="7"/>
  <c r="B291" i="6"/>
  <c r="B291" i="5"/>
  <c r="B291" i="8"/>
  <c r="D291" i="9"/>
  <c r="B290" i="9"/>
  <c r="B290" i="5"/>
  <c r="B290" i="7"/>
  <c r="B290" i="6"/>
  <c r="B290" i="8"/>
  <c r="D290" i="9"/>
  <c r="B289" i="9"/>
  <c r="B289" i="7"/>
  <c r="B289" i="6"/>
  <c r="B289" i="5"/>
  <c r="B289" i="8"/>
  <c r="D289" i="9"/>
  <c r="B288" i="9"/>
  <c r="B288" i="7"/>
  <c r="B288" i="6"/>
  <c r="B288" i="5"/>
  <c r="B288" i="8"/>
  <c r="D288" i="9"/>
  <c r="B287" i="9"/>
  <c r="B287" i="8"/>
  <c r="B287" i="7"/>
  <c r="B287" i="6"/>
  <c r="B287" i="5"/>
  <c r="D287" i="9"/>
  <c r="B286" i="9"/>
  <c r="B286" i="5"/>
  <c r="B286" i="7"/>
  <c r="B286" i="6"/>
  <c r="B286" i="8"/>
  <c r="D286" i="9"/>
  <c r="B285" i="9"/>
  <c r="B285" i="7"/>
  <c r="B285" i="6"/>
  <c r="B285" i="5"/>
  <c r="B285" i="8"/>
  <c r="D285" i="9"/>
  <c r="B284" i="9"/>
  <c r="B284" i="7"/>
  <c r="B284" i="6"/>
  <c r="B284" i="5"/>
  <c r="B284" i="8"/>
  <c r="D284" i="9"/>
  <c r="B283" i="9"/>
  <c r="B283" i="7"/>
  <c r="B283" i="6"/>
  <c r="B283" i="5"/>
  <c r="B283" i="8"/>
  <c r="D283" i="9"/>
  <c r="B279" i="9"/>
  <c r="B279" i="7"/>
  <c r="B279" i="6"/>
  <c r="B279" i="5"/>
  <c r="B279" i="8"/>
  <c r="B282" i="9"/>
  <c r="B282" i="7"/>
  <c r="B282" i="6"/>
  <c r="B282" i="5"/>
  <c r="B282" i="8"/>
  <c r="D282" i="9"/>
  <c r="B281" i="9"/>
  <c r="B281" i="7"/>
  <c r="B281" i="6"/>
  <c r="B281" i="5"/>
  <c r="B281" i="8"/>
  <c r="D281" i="9"/>
  <c r="B280" i="9"/>
  <c r="B280" i="7"/>
  <c r="B280" i="6"/>
  <c r="B280" i="5"/>
  <c r="B280" i="8"/>
  <c r="D280" i="9"/>
  <c r="B278" i="9"/>
  <c r="B278" i="7"/>
  <c r="B278" i="5"/>
  <c r="B278" i="6"/>
  <c r="B278" i="8"/>
  <c r="D278" i="9"/>
  <c r="B277" i="9"/>
  <c r="B277" i="5"/>
  <c r="B277" i="7"/>
  <c r="B277" i="6"/>
  <c r="B277" i="8"/>
  <c r="D277" i="9"/>
  <c r="B276" i="9"/>
  <c r="B276" i="7"/>
  <c r="B276" i="6"/>
  <c r="B276" i="5"/>
  <c r="B276" i="8"/>
  <c r="D276" i="9"/>
  <c r="B275" i="9"/>
  <c r="B275" i="7"/>
  <c r="B275" i="6"/>
  <c r="B275" i="5"/>
  <c r="B275" i="8"/>
  <c r="D275" i="9"/>
  <c r="B274" i="9"/>
  <c r="B274" i="7"/>
  <c r="B274" i="6"/>
  <c r="B274" i="5"/>
  <c r="B274" i="8"/>
  <c r="D274" i="9"/>
  <c r="B273" i="9"/>
  <c r="B273" i="7"/>
  <c r="B273" i="6"/>
  <c r="B273" i="5"/>
  <c r="B273" i="8"/>
  <c r="D273" i="9"/>
  <c r="B272" i="9"/>
  <c r="B272" i="7"/>
  <c r="B272" i="6"/>
  <c r="B272" i="5"/>
  <c r="B272" i="8"/>
  <c r="D272" i="9"/>
  <c r="B271" i="9"/>
  <c r="B271" i="5"/>
  <c r="B271" i="7"/>
  <c r="B271" i="6"/>
  <c r="B271" i="8"/>
  <c r="D271" i="9"/>
  <c r="B270" i="9"/>
  <c r="B270" i="7"/>
  <c r="B270" i="6"/>
  <c r="B270" i="5"/>
  <c r="B270" i="8"/>
  <c r="D270" i="9"/>
  <c r="B269" i="9"/>
  <c r="B269" i="6"/>
  <c r="B269" i="7"/>
  <c r="B269" i="5"/>
  <c r="B269" i="8"/>
  <c r="D269" i="9"/>
  <c r="B268" i="9"/>
  <c r="B268" i="7"/>
  <c r="B268" i="6"/>
  <c r="B268" i="5"/>
  <c r="B268" i="8"/>
  <c r="D268" i="9"/>
  <c r="B267" i="9"/>
  <c r="B267" i="7"/>
  <c r="B267" i="6"/>
  <c r="B267" i="5"/>
  <c r="B267" i="8"/>
  <c r="D267" i="9"/>
  <c r="B266" i="9"/>
  <c r="B266" i="7"/>
  <c r="B266" i="6"/>
  <c r="B266" i="5"/>
  <c r="B266" i="8"/>
  <c r="D266" i="9"/>
  <c r="B265" i="9"/>
  <c r="B265" i="7"/>
  <c r="B265" i="6"/>
  <c r="B265" i="5"/>
  <c r="B265" i="8"/>
  <c r="D265" i="9"/>
  <c r="B264" i="9"/>
  <c r="B264" i="7"/>
  <c r="B264" i="6"/>
  <c r="B264" i="5"/>
  <c r="B264" i="8"/>
  <c r="D264" i="9"/>
  <c r="B263" i="9"/>
  <c r="B263" i="7"/>
  <c r="B263" i="6"/>
  <c r="B263" i="5"/>
  <c r="B263" i="8"/>
  <c r="D263" i="9"/>
  <c r="B262" i="9"/>
  <c r="B262" i="7"/>
  <c r="B262" i="6"/>
  <c r="B262" i="5"/>
  <c r="B262" i="8"/>
  <c r="D262" i="9"/>
  <c r="B261" i="9"/>
  <c r="B261" i="7"/>
  <c r="B261" i="6"/>
  <c r="B261" i="5"/>
  <c r="B261" i="8"/>
  <c r="D261" i="9"/>
  <c r="B260" i="9"/>
  <c r="B260" i="7"/>
  <c r="B260" i="6"/>
  <c r="B260" i="5"/>
  <c r="B260" i="8"/>
  <c r="D260" i="9"/>
  <c r="B259" i="9"/>
  <c r="B259" i="7"/>
  <c r="B259" i="6"/>
  <c r="B259" i="5"/>
  <c r="B259" i="8"/>
  <c r="D259" i="9"/>
  <c r="B258" i="9"/>
  <c r="B258" i="7"/>
  <c r="B258" i="6"/>
  <c r="B258" i="5"/>
  <c r="B258" i="8"/>
  <c r="D258" i="9"/>
  <c r="B257" i="9"/>
  <c r="B257" i="7"/>
  <c r="B257" i="6"/>
  <c r="B257" i="5"/>
  <c r="B257" i="8"/>
  <c r="D257" i="9"/>
  <c r="B256" i="9"/>
  <c r="B256" i="7"/>
  <c r="B256" i="6"/>
  <c r="B256" i="5"/>
  <c r="B256" i="8"/>
  <c r="D256" i="9"/>
  <c r="B255" i="9"/>
  <c r="B255" i="7"/>
  <c r="B255" i="6"/>
  <c r="B255" i="5"/>
  <c r="B255" i="8"/>
  <c r="D255" i="9"/>
  <c r="B254" i="9"/>
  <c r="B254" i="7"/>
  <c r="B254" i="6"/>
  <c r="B254" i="5"/>
  <c r="B254" i="8"/>
  <c r="D254" i="9"/>
  <c r="B253" i="9"/>
  <c r="B253" i="7"/>
  <c r="B253" i="6"/>
  <c r="B253" i="5"/>
  <c r="B253" i="8"/>
  <c r="D253" i="9"/>
  <c r="B252" i="9"/>
  <c r="B252" i="7"/>
  <c r="B252" i="6"/>
  <c r="B252" i="5"/>
  <c r="B252" i="8"/>
  <c r="D252" i="9"/>
  <c r="B251" i="9"/>
  <c r="B251" i="7"/>
  <c r="B251" i="6"/>
  <c r="B251" i="5"/>
  <c r="B251" i="8"/>
  <c r="D251" i="9"/>
  <c r="B250" i="9"/>
  <c r="B250" i="7"/>
  <c r="B250" i="6"/>
  <c r="B250" i="5"/>
  <c r="B250" i="8"/>
  <c r="D250" i="9"/>
  <c r="B249" i="9"/>
  <c r="B249" i="7"/>
  <c r="B249" i="6"/>
  <c r="B249" i="5"/>
  <c r="B249" i="8"/>
  <c r="D249" i="9"/>
  <c r="B248" i="9"/>
  <c r="B248" i="7"/>
  <c r="B248" i="6"/>
  <c r="B248" i="5"/>
  <c r="B248" i="8"/>
  <c r="D248" i="9"/>
  <c r="B247" i="9"/>
  <c r="B247" i="7"/>
  <c r="B247" i="5"/>
  <c r="B247" i="6"/>
  <c r="B247" i="8"/>
  <c r="D247" i="9"/>
  <c r="B246" i="9"/>
  <c r="B246" i="7"/>
  <c r="B246" i="6"/>
  <c r="B246" i="5"/>
  <c r="B246" i="8"/>
  <c r="D246" i="9"/>
  <c r="B224" i="9"/>
  <c r="B224" i="7"/>
  <c r="B224" i="6"/>
  <c r="B224" i="5"/>
  <c r="B224" i="8"/>
  <c r="A179" i="12" l="1"/>
  <c r="Z502" i="12"/>
  <c r="Y502" i="12"/>
  <c r="X502" i="12"/>
  <c r="W502" i="12"/>
  <c r="V502" i="12"/>
  <c r="U502" i="12"/>
  <c r="T502" i="12"/>
  <c r="S502" i="12"/>
  <c r="R502" i="12"/>
  <c r="Q502" i="12"/>
  <c r="P502" i="12"/>
  <c r="O502" i="12"/>
  <c r="N502" i="12"/>
  <c r="M502" i="12"/>
  <c r="L502" i="12"/>
  <c r="K502" i="12"/>
  <c r="J502" i="12"/>
  <c r="I502" i="12"/>
  <c r="H502" i="12"/>
  <c r="G502" i="12"/>
  <c r="F502" i="12"/>
  <c r="E502" i="12"/>
  <c r="D502" i="12"/>
  <c r="C502" i="12"/>
  <c r="B502" i="12"/>
  <c r="A502" i="12"/>
  <c r="Z501" i="12"/>
  <c r="Y501" i="12"/>
  <c r="X501" i="12"/>
  <c r="W501" i="12"/>
  <c r="V501" i="12"/>
  <c r="U501" i="12"/>
  <c r="T501" i="12"/>
  <c r="S501" i="12"/>
  <c r="R501" i="12"/>
  <c r="Q501" i="12"/>
  <c r="P501" i="12"/>
  <c r="O501" i="12"/>
  <c r="N501" i="12"/>
  <c r="M501" i="12"/>
  <c r="L501" i="12"/>
  <c r="K501" i="12"/>
  <c r="J501" i="12"/>
  <c r="I501" i="12"/>
  <c r="H501" i="12"/>
  <c r="G501" i="12"/>
  <c r="F501" i="12"/>
  <c r="E501" i="12"/>
  <c r="D501" i="12"/>
  <c r="C501" i="12"/>
  <c r="B501" i="12"/>
  <c r="A501" i="12"/>
  <c r="Z500" i="12"/>
  <c r="Y500" i="12"/>
  <c r="X500" i="12"/>
  <c r="W500" i="12"/>
  <c r="V500" i="12"/>
  <c r="U500" i="12"/>
  <c r="T500" i="12"/>
  <c r="S500" i="12"/>
  <c r="R500" i="12"/>
  <c r="Q500" i="12"/>
  <c r="P500" i="12"/>
  <c r="O500" i="12"/>
  <c r="N500" i="12"/>
  <c r="M500" i="12"/>
  <c r="L500" i="12"/>
  <c r="K500" i="12"/>
  <c r="J500" i="12"/>
  <c r="I500" i="12"/>
  <c r="H500" i="12"/>
  <c r="G500" i="12"/>
  <c r="F500" i="12"/>
  <c r="E500" i="12"/>
  <c r="D500" i="12"/>
  <c r="C500" i="12"/>
  <c r="B500" i="12"/>
  <c r="A500" i="12"/>
  <c r="Z499" i="12"/>
  <c r="Y499" i="12"/>
  <c r="X499" i="12"/>
  <c r="W499" i="12"/>
  <c r="V499" i="12"/>
  <c r="U499" i="12"/>
  <c r="T499" i="12"/>
  <c r="S499" i="12"/>
  <c r="R499" i="12"/>
  <c r="Q499" i="12"/>
  <c r="P499" i="12"/>
  <c r="O499" i="12"/>
  <c r="N499" i="12"/>
  <c r="M499" i="12"/>
  <c r="L499" i="12"/>
  <c r="K499" i="12"/>
  <c r="J499" i="12"/>
  <c r="I499" i="12"/>
  <c r="H499" i="12"/>
  <c r="G499" i="12"/>
  <c r="F499" i="12"/>
  <c r="E499" i="12"/>
  <c r="D499" i="12"/>
  <c r="C499" i="12"/>
  <c r="B499" i="12"/>
  <c r="A499" i="12"/>
  <c r="Z498" i="12"/>
  <c r="Y498" i="12"/>
  <c r="X498" i="12"/>
  <c r="W498" i="12"/>
  <c r="V498" i="12"/>
  <c r="U498" i="12"/>
  <c r="T498" i="12"/>
  <c r="S498" i="12"/>
  <c r="R498" i="12"/>
  <c r="Q498" i="12"/>
  <c r="P498" i="12"/>
  <c r="O498" i="12"/>
  <c r="N498" i="12"/>
  <c r="M498" i="12"/>
  <c r="L498" i="12"/>
  <c r="K498" i="12"/>
  <c r="J498" i="12"/>
  <c r="I498" i="12"/>
  <c r="H498" i="12"/>
  <c r="G498" i="12"/>
  <c r="F498" i="12"/>
  <c r="E498" i="12"/>
  <c r="D498" i="12"/>
  <c r="C498" i="12"/>
  <c r="B498" i="12"/>
  <c r="A498" i="12"/>
  <c r="Z497" i="12"/>
  <c r="Y497" i="12"/>
  <c r="X497" i="12"/>
  <c r="W497" i="12"/>
  <c r="V497" i="12"/>
  <c r="U497" i="12"/>
  <c r="T497" i="12"/>
  <c r="S497" i="12"/>
  <c r="R497" i="12"/>
  <c r="Q497" i="12"/>
  <c r="P497" i="12"/>
  <c r="O497" i="12"/>
  <c r="N497" i="12"/>
  <c r="M497" i="12"/>
  <c r="L497" i="12"/>
  <c r="K497" i="12"/>
  <c r="J497" i="12"/>
  <c r="I497" i="12"/>
  <c r="H497" i="12"/>
  <c r="G497" i="12"/>
  <c r="F497" i="12"/>
  <c r="E497" i="12"/>
  <c r="D497" i="12"/>
  <c r="C497" i="12"/>
  <c r="B497" i="12"/>
  <c r="A497" i="12"/>
  <c r="Z496" i="12"/>
  <c r="Y496" i="12"/>
  <c r="X496" i="12"/>
  <c r="W496" i="12"/>
  <c r="V496" i="12"/>
  <c r="U496" i="12"/>
  <c r="T496" i="12"/>
  <c r="S496" i="12"/>
  <c r="R496" i="12"/>
  <c r="Q496" i="12"/>
  <c r="P496" i="12"/>
  <c r="O496" i="12"/>
  <c r="N496" i="12"/>
  <c r="M496" i="12"/>
  <c r="L496" i="12"/>
  <c r="K496" i="12"/>
  <c r="J496" i="12"/>
  <c r="I496" i="12"/>
  <c r="H496" i="12"/>
  <c r="G496" i="12"/>
  <c r="F496" i="12"/>
  <c r="E496" i="12"/>
  <c r="D496" i="12"/>
  <c r="C496" i="12"/>
  <c r="B496" i="12"/>
  <c r="A496" i="12"/>
  <c r="Z495" i="12"/>
  <c r="Y495" i="12"/>
  <c r="X495" i="12"/>
  <c r="W495" i="12"/>
  <c r="V495" i="12"/>
  <c r="U495" i="12"/>
  <c r="T495" i="12"/>
  <c r="S495" i="12"/>
  <c r="R495" i="12"/>
  <c r="Q495" i="12"/>
  <c r="P495" i="12"/>
  <c r="O495" i="12"/>
  <c r="N495" i="12"/>
  <c r="M495" i="12"/>
  <c r="L495" i="12"/>
  <c r="K495" i="12"/>
  <c r="J495" i="12"/>
  <c r="I495" i="12"/>
  <c r="H495" i="12"/>
  <c r="G495" i="12"/>
  <c r="F495" i="12"/>
  <c r="E495" i="12"/>
  <c r="D495" i="12"/>
  <c r="C495" i="12"/>
  <c r="B495" i="12"/>
  <c r="A495" i="12"/>
  <c r="Z494" i="12"/>
  <c r="Y494" i="12"/>
  <c r="X494" i="12"/>
  <c r="W494" i="12"/>
  <c r="V494" i="12"/>
  <c r="U494" i="12"/>
  <c r="T494" i="12"/>
  <c r="S494" i="12"/>
  <c r="R494" i="12"/>
  <c r="Q494" i="12"/>
  <c r="P494" i="12"/>
  <c r="O494" i="12"/>
  <c r="N494" i="12"/>
  <c r="M494" i="12"/>
  <c r="L494" i="12"/>
  <c r="K494" i="12"/>
  <c r="J494" i="12"/>
  <c r="I494" i="12"/>
  <c r="H494" i="12"/>
  <c r="G494" i="12"/>
  <c r="F494" i="12"/>
  <c r="E494" i="12"/>
  <c r="D494" i="12"/>
  <c r="C494" i="12"/>
  <c r="B494" i="12"/>
  <c r="A494" i="12"/>
  <c r="Z493" i="12"/>
  <c r="Y493" i="12"/>
  <c r="X493" i="12"/>
  <c r="W493" i="12"/>
  <c r="V493" i="12"/>
  <c r="U493" i="12"/>
  <c r="T493" i="12"/>
  <c r="S493" i="12"/>
  <c r="R493" i="12"/>
  <c r="Q493" i="12"/>
  <c r="P493" i="12"/>
  <c r="O493" i="12"/>
  <c r="N493" i="12"/>
  <c r="M493" i="12"/>
  <c r="L493" i="12"/>
  <c r="K493" i="12"/>
  <c r="J493" i="12"/>
  <c r="I493" i="12"/>
  <c r="H493" i="12"/>
  <c r="G493" i="12"/>
  <c r="F493" i="12"/>
  <c r="E493" i="12"/>
  <c r="D493" i="12"/>
  <c r="C493" i="12"/>
  <c r="B493" i="12"/>
  <c r="A493" i="12"/>
  <c r="Z492" i="12"/>
  <c r="Y492" i="12"/>
  <c r="X492" i="12"/>
  <c r="W492" i="12"/>
  <c r="V492" i="12"/>
  <c r="U492" i="12"/>
  <c r="T492" i="12"/>
  <c r="S492" i="12"/>
  <c r="R492" i="12"/>
  <c r="Q492" i="12"/>
  <c r="P492" i="12"/>
  <c r="O492" i="12"/>
  <c r="N492" i="12"/>
  <c r="M492" i="12"/>
  <c r="L492" i="12"/>
  <c r="K492" i="12"/>
  <c r="J492" i="12"/>
  <c r="I492" i="12"/>
  <c r="H492" i="12"/>
  <c r="G492" i="12"/>
  <c r="F492" i="12"/>
  <c r="E492" i="12"/>
  <c r="D492" i="12"/>
  <c r="C492" i="12"/>
  <c r="B492" i="12"/>
  <c r="A492" i="12"/>
  <c r="Z491" i="12"/>
  <c r="Y491" i="12"/>
  <c r="X491" i="12"/>
  <c r="W491" i="12"/>
  <c r="V491" i="12"/>
  <c r="U491" i="12"/>
  <c r="T491" i="12"/>
  <c r="S491" i="12"/>
  <c r="R491" i="12"/>
  <c r="Q491" i="12"/>
  <c r="P491" i="12"/>
  <c r="O491" i="12"/>
  <c r="N491" i="12"/>
  <c r="M491" i="12"/>
  <c r="L491" i="12"/>
  <c r="K491" i="12"/>
  <c r="J491" i="12"/>
  <c r="I491" i="12"/>
  <c r="H491" i="12"/>
  <c r="G491" i="12"/>
  <c r="F491" i="12"/>
  <c r="E491" i="12"/>
  <c r="D491" i="12"/>
  <c r="C491" i="12"/>
  <c r="B491" i="12"/>
  <c r="A491" i="12"/>
  <c r="Z490" i="12"/>
  <c r="Y490" i="12"/>
  <c r="X490" i="12"/>
  <c r="W490" i="12"/>
  <c r="V490" i="12"/>
  <c r="U490" i="12"/>
  <c r="T490" i="12"/>
  <c r="S490" i="12"/>
  <c r="R490" i="12"/>
  <c r="Q490" i="12"/>
  <c r="P490" i="12"/>
  <c r="O490" i="12"/>
  <c r="N490" i="12"/>
  <c r="M490" i="12"/>
  <c r="L490" i="12"/>
  <c r="K490" i="12"/>
  <c r="J490" i="12"/>
  <c r="I490" i="12"/>
  <c r="H490" i="12"/>
  <c r="G490" i="12"/>
  <c r="F490" i="12"/>
  <c r="E490" i="12"/>
  <c r="D490" i="12"/>
  <c r="C490" i="12"/>
  <c r="B490" i="12"/>
  <c r="A490" i="12"/>
  <c r="Z489" i="12"/>
  <c r="Y489" i="12"/>
  <c r="X489" i="12"/>
  <c r="W489" i="12"/>
  <c r="V489" i="12"/>
  <c r="U489" i="12"/>
  <c r="T489" i="12"/>
  <c r="S489" i="12"/>
  <c r="R489" i="12"/>
  <c r="Q489" i="12"/>
  <c r="P489" i="12"/>
  <c r="O489" i="12"/>
  <c r="N489" i="12"/>
  <c r="M489" i="12"/>
  <c r="L489" i="12"/>
  <c r="K489" i="12"/>
  <c r="J489" i="12"/>
  <c r="I489" i="12"/>
  <c r="H489" i="12"/>
  <c r="G489" i="12"/>
  <c r="F489" i="12"/>
  <c r="E489" i="12"/>
  <c r="D489" i="12"/>
  <c r="C489" i="12"/>
  <c r="B489" i="12"/>
  <c r="A489" i="12"/>
  <c r="Z488" i="12"/>
  <c r="Y488" i="12"/>
  <c r="X488" i="12"/>
  <c r="W488" i="12"/>
  <c r="V488" i="12"/>
  <c r="U488" i="12"/>
  <c r="T488" i="12"/>
  <c r="S488" i="12"/>
  <c r="R488" i="12"/>
  <c r="Q488" i="12"/>
  <c r="P488" i="12"/>
  <c r="O488" i="12"/>
  <c r="N488" i="12"/>
  <c r="M488" i="12"/>
  <c r="L488" i="12"/>
  <c r="K488" i="12"/>
  <c r="J488" i="12"/>
  <c r="I488" i="12"/>
  <c r="H488" i="12"/>
  <c r="G488" i="12"/>
  <c r="F488" i="12"/>
  <c r="E488" i="12"/>
  <c r="D488" i="12"/>
  <c r="C488" i="12"/>
  <c r="B488" i="12"/>
  <c r="A488" i="12"/>
  <c r="Z487" i="12"/>
  <c r="Y487" i="12"/>
  <c r="X487" i="12"/>
  <c r="W487" i="12"/>
  <c r="V487" i="12"/>
  <c r="U487" i="12"/>
  <c r="T487" i="12"/>
  <c r="S487" i="12"/>
  <c r="R487" i="12"/>
  <c r="Q487" i="12"/>
  <c r="P487" i="12"/>
  <c r="O487" i="12"/>
  <c r="N487" i="12"/>
  <c r="M487" i="12"/>
  <c r="L487" i="12"/>
  <c r="K487" i="12"/>
  <c r="J487" i="12"/>
  <c r="I487" i="12"/>
  <c r="H487" i="12"/>
  <c r="G487" i="12"/>
  <c r="F487" i="12"/>
  <c r="E487" i="12"/>
  <c r="D487" i="12"/>
  <c r="C487" i="12"/>
  <c r="B487" i="12"/>
  <c r="A487" i="12"/>
  <c r="Z486" i="12"/>
  <c r="Y486" i="12"/>
  <c r="X486" i="12"/>
  <c r="W486" i="12"/>
  <c r="V486" i="12"/>
  <c r="U486" i="12"/>
  <c r="T486" i="12"/>
  <c r="S486" i="12"/>
  <c r="R486" i="12"/>
  <c r="Q486" i="12"/>
  <c r="P486" i="12"/>
  <c r="O486" i="12"/>
  <c r="N486" i="12"/>
  <c r="M486" i="12"/>
  <c r="L486" i="12"/>
  <c r="K486" i="12"/>
  <c r="J486" i="12"/>
  <c r="I486" i="12"/>
  <c r="H486" i="12"/>
  <c r="G486" i="12"/>
  <c r="F486" i="12"/>
  <c r="E486" i="12"/>
  <c r="D486" i="12"/>
  <c r="C486" i="12"/>
  <c r="B486" i="12"/>
  <c r="A486" i="12"/>
  <c r="Z485" i="12"/>
  <c r="Y485" i="12"/>
  <c r="X485" i="12"/>
  <c r="W485" i="12"/>
  <c r="V485" i="12"/>
  <c r="U485" i="12"/>
  <c r="T485" i="12"/>
  <c r="S485" i="12"/>
  <c r="R485" i="12"/>
  <c r="Q485" i="12"/>
  <c r="P485" i="12"/>
  <c r="O485" i="12"/>
  <c r="N485" i="12"/>
  <c r="M485" i="12"/>
  <c r="L485" i="12"/>
  <c r="K485" i="12"/>
  <c r="J485" i="12"/>
  <c r="I485" i="12"/>
  <c r="H485" i="12"/>
  <c r="G485" i="12"/>
  <c r="F485" i="12"/>
  <c r="E485" i="12"/>
  <c r="D485" i="12"/>
  <c r="C485" i="12"/>
  <c r="B485" i="12"/>
  <c r="A485" i="12"/>
  <c r="Z484" i="12"/>
  <c r="Y484" i="12"/>
  <c r="X484" i="12"/>
  <c r="W484" i="12"/>
  <c r="V484" i="12"/>
  <c r="U484" i="12"/>
  <c r="T484" i="12"/>
  <c r="S484" i="12"/>
  <c r="R484" i="12"/>
  <c r="Q484" i="12"/>
  <c r="P484" i="12"/>
  <c r="O484" i="12"/>
  <c r="N484" i="12"/>
  <c r="M484" i="12"/>
  <c r="L484" i="12"/>
  <c r="K484" i="12"/>
  <c r="J484" i="12"/>
  <c r="I484" i="12"/>
  <c r="H484" i="12"/>
  <c r="G484" i="12"/>
  <c r="F484" i="12"/>
  <c r="E484" i="12"/>
  <c r="D484" i="12"/>
  <c r="C484" i="12"/>
  <c r="B484" i="12"/>
  <c r="A484" i="12"/>
  <c r="Z483" i="12"/>
  <c r="Y483" i="12"/>
  <c r="X483" i="12"/>
  <c r="W483" i="12"/>
  <c r="V483" i="12"/>
  <c r="U483" i="12"/>
  <c r="T483" i="12"/>
  <c r="S483" i="12"/>
  <c r="R483" i="12"/>
  <c r="Q483" i="12"/>
  <c r="P483" i="12"/>
  <c r="O483" i="12"/>
  <c r="N483" i="12"/>
  <c r="M483" i="12"/>
  <c r="L483" i="12"/>
  <c r="K483" i="12"/>
  <c r="J483" i="12"/>
  <c r="I483" i="12"/>
  <c r="H483" i="12"/>
  <c r="G483" i="12"/>
  <c r="F483" i="12"/>
  <c r="E483" i="12"/>
  <c r="D483" i="12"/>
  <c r="C483" i="12"/>
  <c r="B483" i="12"/>
  <c r="A483" i="12"/>
  <c r="Z482" i="12"/>
  <c r="Y482" i="12"/>
  <c r="X482" i="12"/>
  <c r="W482" i="12"/>
  <c r="V482" i="12"/>
  <c r="U482" i="12"/>
  <c r="T482" i="12"/>
  <c r="S482" i="12"/>
  <c r="R482" i="12"/>
  <c r="Q482" i="12"/>
  <c r="P482" i="12"/>
  <c r="O482" i="12"/>
  <c r="N482" i="12"/>
  <c r="M482" i="12"/>
  <c r="L482" i="12"/>
  <c r="K482" i="12"/>
  <c r="J482" i="12"/>
  <c r="I482" i="12"/>
  <c r="H482" i="12"/>
  <c r="G482" i="12"/>
  <c r="F482" i="12"/>
  <c r="E482" i="12"/>
  <c r="D482" i="12"/>
  <c r="C482" i="12"/>
  <c r="B482" i="12"/>
  <c r="A482" i="12"/>
  <c r="Z481" i="12"/>
  <c r="Y481" i="12"/>
  <c r="X481" i="12"/>
  <c r="W481" i="12"/>
  <c r="V481" i="12"/>
  <c r="U481" i="12"/>
  <c r="T481" i="12"/>
  <c r="S481" i="12"/>
  <c r="R481" i="12"/>
  <c r="Q481" i="12"/>
  <c r="P481" i="12"/>
  <c r="O481" i="12"/>
  <c r="N481" i="12"/>
  <c r="M481" i="12"/>
  <c r="L481" i="12"/>
  <c r="K481" i="12"/>
  <c r="J481" i="12"/>
  <c r="I481" i="12"/>
  <c r="H481" i="12"/>
  <c r="G481" i="12"/>
  <c r="F481" i="12"/>
  <c r="E481" i="12"/>
  <c r="D481" i="12"/>
  <c r="C481" i="12"/>
  <c r="B481" i="12"/>
  <c r="A481" i="12"/>
  <c r="Z480" i="12"/>
  <c r="Y480" i="12"/>
  <c r="X480" i="12"/>
  <c r="W480" i="12"/>
  <c r="V480" i="12"/>
  <c r="U480" i="12"/>
  <c r="T480" i="12"/>
  <c r="S480" i="12"/>
  <c r="R480" i="12"/>
  <c r="Q480" i="12"/>
  <c r="P480" i="12"/>
  <c r="O480" i="12"/>
  <c r="N480" i="12"/>
  <c r="M480" i="12"/>
  <c r="L480" i="12"/>
  <c r="K480" i="12"/>
  <c r="J480" i="12"/>
  <c r="I480" i="12"/>
  <c r="H480" i="12"/>
  <c r="G480" i="12"/>
  <c r="F480" i="12"/>
  <c r="E480" i="12"/>
  <c r="D480" i="12"/>
  <c r="C480" i="12"/>
  <c r="B480" i="12"/>
  <c r="A480" i="12"/>
  <c r="Z479" i="12"/>
  <c r="Y479" i="12"/>
  <c r="X479" i="12"/>
  <c r="W479" i="12"/>
  <c r="V479" i="12"/>
  <c r="U479" i="12"/>
  <c r="T479" i="12"/>
  <c r="S479" i="12"/>
  <c r="R479" i="12"/>
  <c r="Q479" i="12"/>
  <c r="P479" i="12"/>
  <c r="O479" i="12"/>
  <c r="N479" i="12"/>
  <c r="M479" i="12"/>
  <c r="L479" i="12"/>
  <c r="K479" i="12"/>
  <c r="J479" i="12"/>
  <c r="I479" i="12"/>
  <c r="H479" i="12"/>
  <c r="G479" i="12"/>
  <c r="F479" i="12"/>
  <c r="E479" i="12"/>
  <c r="D479" i="12"/>
  <c r="C479" i="12"/>
  <c r="B479" i="12"/>
  <c r="A479" i="12"/>
  <c r="Z478" i="12"/>
  <c r="Y478" i="12"/>
  <c r="X478" i="12"/>
  <c r="W478" i="12"/>
  <c r="V478" i="12"/>
  <c r="U478" i="12"/>
  <c r="T478" i="12"/>
  <c r="S478" i="12"/>
  <c r="R478" i="12"/>
  <c r="Q478" i="12"/>
  <c r="P478" i="12"/>
  <c r="O478" i="12"/>
  <c r="N478" i="12"/>
  <c r="M478" i="12"/>
  <c r="L478" i="12"/>
  <c r="K478" i="12"/>
  <c r="J478" i="12"/>
  <c r="I478" i="12"/>
  <c r="H478" i="12"/>
  <c r="G478" i="12"/>
  <c r="F478" i="12"/>
  <c r="E478" i="12"/>
  <c r="D478" i="12"/>
  <c r="C478" i="12"/>
  <c r="B478" i="12"/>
  <c r="A478" i="12"/>
  <c r="Z477" i="12"/>
  <c r="Y477" i="12"/>
  <c r="X477" i="12"/>
  <c r="W477" i="12"/>
  <c r="V477" i="12"/>
  <c r="U477" i="12"/>
  <c r="T477" i="12"/>
  <c r="S477" i="12"/>
  <c r="R477" i="12"/>
  <c r="Q477" i="12"/>
  <c r="P477" i="12"/>
  <c r="O477" i="12"/>
  <c r="N477" i="12"/>
  <c r="M477" i="12"/>
  <c r="L477" i="12"/>
  <c r="K477" i="12"/>
  <c r="J477" i="12"/>
  <c r="I477" i="12"/>
  <c r="H477" i="12"/>
  <c r="G477" i="12"/>
  <c r="F477" i="12"/>
  <c r="E477" i="12"/>
  <c r="D477" i="12"/>
  <c r="C477" i="12"/>
  <c r="B477" i="12"/>
  <c r="A477" i="12"/>
  <c r="Z476" i="12"/>
  <c r="Y476" i="12"/>
  <c r="X476" i="12"/>
  <c r="W476" i="12"/>
  <c r="V476" i="12"/>
  <c r="U476" i="12"/>
  <c r="T476" i="12"/>
  <c r="S476" i="12"/>
  <c r="R476" i="12"/>
  <c r="Q476" i="12"/>
  <c r="P476" i="12"/>
  <c r="O476" i="12"/>
  <c r="N476" i="12"/>
  <c r="M476" i="12"/>
  <c r="L476" i="12"/>
  <c r="K476" i="12"/>
  <c r="J476" i="12"/>
  <c r="I476" i="12"/>
  <c r="H476" i="12"/>
  <c r="G476" i="12"/>
  <c r="F476" i="12"/>
  <c r="E476" i="12"/>
  <c r="D476" i="12"/>
  <c r="C476" i="12"/>
  <c r="B476" i="12"/>
  <c r="A476" i="12"/>
  <c r="Z475" i="12"/>
  <c r="Y475" i="12"/>
  <c r="X475" i="12"/>
  <c r="W475" i="12"/>
  <c r="V475" i="12"/>
  <c r="U475" i="12"/>
  <c r="T475" i="12"/>
  <c r="S475" i="12"/>
  <c r="R475" i="12"/>
  <c r="Q475" i="12"/>
  <c r="P475" i="12"/>
  <c r="O475" i="12"/>
  <c r="N475" i="12"/>
  <c r="M475" i="12"/>
  <c r="L475" i="12"/>
  <c r="K475" i="12"/>
  <c r="J475" i="12"/>
  <c r="I475" i="12"/>
  <c r="H475" i="12"/>
  <c r="G475" i="12"/>
  <c r="F475" i="12"/>
  <c r="E475" i="12"/>
  <c r="D475" i="12"/>
  <c r="C475" i="12"/>
  <c r="B475" i="12"/>
  <c r="A475" i="12"/>
  <c r="Z474" i="12"/>
  <c r="Y474" i="12"/>
  <c r="X474" i="12"/>
  <c r="W474" i="12"/>
  <c r="V474" i="12"/>
  <c r="U474" i="12"/>
  <c r="T474" i="12"/>
  <c r="S474" i="12"/>
  <c r="R474" i="12"/>
  <c r="Q474" i="12"/>
  <c r="P474" i="12"/>
  <c r="O474" i="12"/>
  <c r="N474" i="12"/>
  <c r="M474" i="12"/>
  <c r="L474" i="12"/>
  <c r="K474" i="12"/>
  <c r="J474" i="12"/>
  <c r="I474" i="12"/>
  <c r="H474" i="12"/>
  <c r="G474" i="12"/>
  <c r="F474" i="12"/>
  <c r="E474" i="12"/>
  <c r="D474" i="12"/>
  <c r="C474" i="12"/>
  <c r="B474" i="12"/>
  <c r="A474" i="12"/>
  <c r="Z473" i="12"/>
  <c r="Y473" i="12"/>
  <c r="X473" i="12"/>
  <c r="W473" i="12"/>
  <c r="V473" i="12"/>
  <c r="U473" i="12"/>
  <c r="T473" i="12"/>
  <c r="S473" i="12"/>
  <c r="R473" i="12"/>
  <c r="Q473" i="12"/>
  <c r="P473" i="12"/>
  <c r="O473" i="12"/>
  <c r="N473" i="12"/>
  <c r="M473" i="12"/>
  <c r="L473" i="12"/>
  <c r="K473" i="12"/>
  <c r="J473" i="12"/>
  <c r="I473" i="12"/>
  <c r="H473" i="12"/>
  <c r="G473" i="12"/>
  <c r="F473" i="12"/>
  <c r="E473" i="12"/>
  <c r="D473" i="12"/>
  <c r="C473" i="12"/>
  <c r="B473" i="12"/>
  <c r="A473" i="12"/>
  <c r="Z472" i="12"/>
  <c r="Y472" i="12"/>
  <c r="X472" i="12"/>
  <c r="W472" i="12"/>
  <c r="V472" i="12"/>
  <c r="U472" i="12"/>
  <c r="T472" i="12"/>
  <c r="S472" i="12"/>
  <c r="R472" i="12"/>
  <c r="Q472" i="12"/>
  <c r="P472" i="12"/>
  <c r="O472" i="12"/>
  <c r="N472" i="12"/>
  <c r="M472" i="12"/>
  <c r="L472" i="12"/>
  <c r="K472" i="12"/>
  <c r="J472" i="12"/>
  <c r="I472" i="12"/>
  <c r="H472" i="12"/>
  <c r="G472" i="12"/>
  <c r="F472" i="12"/>
  <c r="E472" i="12"/>
  <c r="D472" i="12"/>
  <c r="C472" i="12"/>
  <c r="B472" i="12"/>
  <c r="A472" i="12"/>
  <c r="Z471" i="12"/>
  <c r="Y471" i="12"/>
  <c r="X471" i="12"/>
  <c r="W471" i="12"/>
  <c r="V471" i="12"/>
  <c r="U471" i="12"/>
  <c r="T471" i="12"/>
  <c r="S471" i="12"/>
  <c r="R471" i="12"/>
  <c r="Q471" i="12"/>
  <c r="P471" i="12"/>
  <c r="O471" i="12"/>
  <c r="N471" i="12"/>
  <c r="M471" i="12"/>
  <c r="L471" i="12"/>
  <c r="K471" i="12"/>
  <c r="J471" i="12"/>
  <c r="I471" i="12"/>
  <c r="H471" i="12"/>
  <c r="G471" i="12"/>
  <c r="F471" i="12"/>
  <c r="E471" i="12"/>
  <c r="D471" i="12"/>
  <c r="C471" i="12"/>
  <c r="B471" i="12"/>
  <c r="A471" i="12"/>
  <c r="Z470" i="12"/>
  <c r="Y470" i="12"/>
  <c r="X470" i="12"/>
  <c r="W470" i="12"/>
  <c r="V470" i="12"/>
  <c r="U470" i="12"/>
  <c r="T470" i="12"/>
  <c r="S470" i="12"/>
  <c r="R470" i="12"/>
  <c r="Q470" i="12"/>
  <c r="P470" i="12"/>
  <c r="O470" i="12"/>
  <c r="N470" i="12"/>
  <c r="M470" i="12"/>
  <c r="L470" i="12"/>
  <c r="K470" i="12"/>
  <c r="J470" i="12"/>
  <c r="I470" i="12"/>
  <c r="H470" i="12"/>
  <c r="G470" i="12"/>
  <c r="F470" i="12"/>
  <c r="E470" i="12"/>
  <c r="D470" i="12"/>
  <c r="C470" i="12"/>
  <c r="B470" i="12"/>
  <c r="A470" i="12"/>
  <c r="Z469" i="12"/>
  <c r="Y469" i="12"/>
  <c r="X469" i="12"/>
  <c r="W469" i="12"/>
  <c r="V469" i="12"/>
  <c r="U469" i="12"/>
  <c r="T469" i="12"/>
  <c r="S469" i="12"/>
  <c r="R469" i="12"/>
  <c r="Q469" i="12"/>
  <c r="P469" i="12"/>
  <c r="O469" i="12"/>
  <c r="N469" i="12"/>
  <c r="M469" i="12"/>
  <c r="L469" i="12"/>
  <c r="K469" i="12"/>
  <c r="J469" i="12"/>
  <c r="I469" i="12"/>
  <c r="H469" i="12"/>
  <c r="G469" i="12"/>
  <c r="F469" i="12"/>
  <c r="E469" i="12"/>
  <c r="D469" i="12"/>
  <c r="C469" i="12"/>
  <c r="B469" i="12"/>
  <c r="A469" i="12"/>
  <c r="Z468" i="12"/>
  <c r="Y468" i="12"/>
  <c r="X468" i="12"/>
  <c r="W468" i="12"/>
  <c r="V468" i="12"/>
  <c r="U468" i="12"/>
  <c r="T468" i="12"/>
  <c r="S468" i="12"/>
  <c r="R468" i="12"/>
  <c r="Q468" i="12"/>
  <c r="P468" i="12"/>
  <c r="O468" i="12"/>
  <c r="N468" i="12"/>
  <c r="M468" i="12"/>
  <c r="L468" i="12"/>
  <c r="K468" i="12"/>
  <c r="J468" i="12"/>
  <c r="I468" i="12"/>
  <c r="H468" i="12"/>
  <c r="G468" i="12"/>
  <c r="F468" i="12"/>
  <c r="E468" i="12"/>
  <c r="D468" i="12"/>
  <c r="C468" i="12"/>
  <c r="B468" i="12"/>
  <c r="A468" i="12"/>
  <c r="Z467" i="12"/>
  <c r="Y467" i="12"/>
  <c r="X467" i="12"/>
  <c r="W467" i="12"/>
  <c r="V467" i="12"/>
  <c r="U467" i="12"/>
  <c r="T467" i="12"/>
  <c r="S467" i="12"/>
  <c r="R467" i="12"/>
  <c r="Q467" i="12"/>
  <c r="P467" i="12"/>
  <c r="O467" i="12"/>
  <c r="N467" i="12"/>
  <c r="M467" i="12"/>
  <c r="L467" i="12"/>
  <c r="K467" i="12"/>
  <c r="J467" i="12"/>
  <c r="I467" i="12"/>
  <c r="H467" i="12"/>
  <c r="G467" i="12"/>
  <c r="F467" i="12"/>
  <c r="E467" i="12"/>
  <c r="D467" i="12"/>
  <c r="C467" i="12"/>
  <c r="B467" i="12"/>
  <c r="A467" i="12"/>
  <c r="Z466" i="12"/>
  <c r="Y466" i="12"/>
  <c r="X466" i="12"/>
  <c r="W466" i="12"/>
  <c r="V466" i="12"/>
  <c r="U466" i="12"/>
  <c r="T466" i="12"/>
  <c r="S466" i="12"/>
  <c r="R466" i="12"/>
  <c r="Q466" i="12"/>
  <c r="P466" i="12"/>
  <c r="O466" i="12"/>
  <c r="N466" i="12"/>
  <c r="M466" i="12"/>
  <c r="L466" i="12"/>
  <c r="K466" i="12"/>
  <c r="J466" i="12"/>
  <c r="I466" i="12"/>
  <c r="H466" i="12"/>
  <c r="G466" i="12"/>
  <c r="F466" i="12"/>
  <c r="E466" i="12"/>
  <c r="D466" i="12"/>
  <c r="C466" i="12"/>
  <c r="B466" i="12"/>
  <c r="A466" i="12"/>
  <c r="Z465" i="12"/>
  <c r="Y465" i="12"/>
  <c r="X465" i="12"/>
  <c r="W465" i="12"/>
  <c r="V465" i="12"/>
  <c r="U465" i="12"/>
  <c r="T465" i="12"/>
  <c r="S465" i="12"/>
  <c r="R465" i="12"/>
  <c r="Q465" i="12"/>
  <c r="P465" i="12"/>
  <c r="O465" i="12"/>
  <c r="N465" i="12"/>
  <c r="M465" i="12"/>
  <c r="L465" i="12"/>
  <c r="K465" i="12"/>
  <c r="J465" i="12"/>
  <c r="I465" i="12"/>
  <c r="H465" i="12"/>
  <c r="G465" i="12"/>
  <c r="F465" i="12"/>
  <c r="E465" i="12"/>
  <c r="D465" i="12"/>
  <c r="C465" i="12"/>
  <c r="B465" i="12"/>
  <c r="A465" i="12"/>
  <c r="Z464" i="12"/>
  <c r="Y464" i="12"/>
  <c r="X464" i="12"/>
  <c r="W464" i="12"/>
  <c r="V464" i="12"/>
  <c r="U464" i="12"/>
  <c r="T464" i="12"/>
  <c r="S464" i="12"/>
  <c r="R464" i="12"/>
  <c r="Q464" i="12"/>
  <c r="P464" i="12"/>
  <c r="O464" i="12"/>
  <c r="N464" i="12"/>
  <c r="M464" i="12"/>
  <c r="L464" i="12"/>
  <c r="K464" i="12"/>
  <c r="J464" i="12"/>
  <c r="I464" i="12"/>
  <c r="H464" i="12"/>
  <c r="G464" i="12"/>
  <c r="F464" i="12"/>
  <c r="E464" i="12"/>
  <c r="D464" i="12"/>
  <c r="C464" i="12"/>
  <c r="B464" i="12"/>
  <c r="A464" i="12"/>
  <c r="Z463" i="12"/>
  <c r="Y463" i="12"/>
  <c r="X463" i="12"/>
  <c r="W463" i="12"/>
  <c r="V463" i="12"/>
  <c r="U463" i="12"/>
  <c r="T463" i="12"/>
  <c r="S463" i="12"/>
  <c r="R463" i="12"/>
  <c r="Q463" i="12"/>
  <c r="P463" i="12"/>
  <c r="O463" i="12"/>
  <c r="N463" i="12"/>
  <c r="M463" i="12"/>
  <c r="L463" i="12"/>
  <c r="K463" i="12"/>
  <c r="J463" i="12"/>
  <c r="I463" i="12"/>
  <c r="H463" i="12"/>
  <c r="G463" i="12"/>
  <c r="F463" i="12"/>
  <c r="E463" i="12"/>
  <c r="D463" i="12"/>
  <c r="C463" i="12"/>
  <c r="B463" i="12"/>
  <c r="A463" i="12"/>
  <c r="Z462" i="12"/>
  <c r="Y462" i="12"/>
  <c r="X462" i="12"/>
  <c r="W462" i="12"/>
  <c r="V462" i="12"/>
  <c r="U462" i="12"/>
  <c r="T462" i="12"/>
  <c r="S462" i="12"/>
  <c r="R462" i="12"/>
  <c r="Q462" i="12"/>
  <c r="P462" i="12"/>
  <c r="O462" i="12"/>
  <c r="N462" i="12"/>
  <c r="M462" i="12"/>
  <c r="L462" i="12"/>
  <c r="K462" i="12"/>
  <c r="J462" i="12"/>
  <c r="I462" i="12"/>
  <c r="H462" i="12"/>
  <c r="G462" i="12"/>
  <c r="F462" i="12"/>
  <c r="E462" i="12"/>
  <c r="D462" i="12"/>
  <c r="C462" i="12"/>
  <c r="B462" i="12"/>
  <c r="A462" i="12"/>
  <c r="Z461" i="12"/>
  <c r="Y461" i="12"/>
  <c r="X461" i="12"/>
  <c r="W461" i="12"/>
  <c r="V461" i="12"/>
  <c r="U461" i="12"/>
  <c r="T461" i="12"/>
  <c r="S461" i="12"/>
  <c r="R461" i="12"/>
  <c r="Q461" i="12"/>
  <c r="P461" i="12"/>
  <c r="O461" i="12"/>
  <c r="N461" i="12"/>
  <c r="M461" i="12"/>
  <c r="L461" i="12"/>
  <c r="K461" i="12"/>
  <c r="J461" i="12"/>
  <c r="I461" i="12"/>
  <c r="H461" i="12"/>
  <c r="G461" i="12"/>
  <c r="F461" i="12"/>
  <c r="E461" i="12"/>
  <c r="D461" i="12"/>
  <c r="C461" i="12"/>
  <c r="B461" i="12"/>
  <c r="A461" i="12"/>
  <c r="Z460" i="12"/>
  <c r="Y460" i="12"/>
  <c r="X460" i="12"/>
  <c r="W460" i="12"/>
  <c r="V460" i="12"/>
  <c r="U460" i="12"/>
  <c r="T460" i="12"/>
  <c r="S460" i="12"/>
  <c r="R460" i="12"/>
  <c r="Q460" i="12"/>
  <c r="P460" i="12"/>
  <c r="O460" i="12"/>
  <c r="N460" i="12"/>
  <c r="M460" i="12"/>
  <c r="L460" i="12"/>
  <c r="K460" i="12"/>
  <c r="J460" i="12"/>
  <c r="I460" i="12"/>
  <c r="H460" i="12"/>
  <c r="G460" i="12"/>
  <c r="F460" i="12"/>
  <c r="E460" i="12"/>
  <c r="D460" i="12"/>
  <c r="C460" i="12"/>
  <c r="B460" i="12"/>
  <c r="A460" i="12"/>
  <c r="Z459" i="12"/>
  <c r="Y459" i="12"/>
  <c r="X459" i="12"/>
  <c r="W459" i="12"/>
  <c r="V459" i="12"/>
  <c r="U459" i="12"/>
  <c r="T459" i="12"/>
  <c r="S459" i="12"/>
  <c r="R459" i="12"/>
  <c r="Q459" i="12"/>
  <c r="P459" i="12"/>
  <c r="O459" i="12"/>
  <c r="N459" i="12"/>
  <c r="M459" i="12"/>
  <c r="L459" i="12"/>
  <c r="K459" i="12"/>
  <c r="J459" i="12"/>
  <c r="I459" i="12"/>
  <c r="H459" i="12"/>
  <c r="G459" i="12"/>
  <c r="F459" i="12"/>
  <c r="E459" i="12"/>
  <c r="D459" i="12"/>
  <c r="C459" i="12"/>
  <c r="B459" i="12"/>
  <c r="A459" i="12"/>
  <c r="Z458" i="12"/>
  <c r="Y458" i="12"/>
  <c r="X458" i="12"/>
  <c r="W458" i="12"/>
  <c r="V458" i="12"/>
  <c r="U458" i="12"/>
  <c r="T458" i="12"/>
  <c r="S458" i="12"/>
  <c r="R458" i="12"/>
  <c r="Q458" i="12"/>
  <c r="P458" i="12"/>
  <c r="O458" i="12"/>
  <c r="N458" i="12"/>
  <c r="M458" i="12"/>
  <c r="L458" i="12"/>
  <c r="K458" i="12"/>
  <c r="J458" i="12"/>
  <c r="I458" i="12"/>
  <c r="H458" i="12"/>
  <c r="G458" i="12"/>
  <c r="F458" i="12"/>
  <c r="E458" i="12"/>
  <c r="D458" i="12"/>
  <c r="C458" i="12"/>
  <c r="B458" i="12"/>
  <c r="A458" i="12"/>
  <c r="Z457" i="12"/>
  <c r="Y457" i="12"/>
  <c r="X457" i="12"/>
  <c r="W457" i="12"/>
  <c r="V457" i="12"/>
  <c r="U457" i="12"/>
  <c r="T457" i="12"/>
  <c r="S457" i="12"/>
  <c r="R457" i="12"/>
  <c r="Q457" i="12"/>
  <c r="P457" i="12"/>
  <c r="O457" i="12"/>
  <c r="N457" i="12"/>
  <c r="M457" i="12"/>
  <c r="L457" i="12"/>
  <c r="K457" i="12"/>
  <c r="J457" i="12"/>
  <c r="I457" i="12"/>
  <c r="H457" i="12"/>
  <c r="G457" i="12"/>
  <c r="F457" i="12"/>
  <c r="E457" i="12"/>
  <c r="D457" i="12"/>
  <c r="C457" i="12"/>
  <c r="B457" i="12"/>
  <c r="A457" i="12"/>
  <c r="Z456" i="12"/>
  <c r="Y456" i="12"/>
  <c r="X456" i="12"/>
  <c r="W456" i="12"/>
  <c r="V456" i="12"/>
  <c r="U456" i="12"/>
  <c r="T456" i="12"/>
  <c r="S456" i="12"/>
  <c r="R456" i="12"/>
  <c r="Q456" i="12"/>
  <c r="P456" i="12"/>
  <c r="O456" i="12"/>
  <c r="N456" i="12"/>
  <c r="M456" i="12"/>
  <c r="L456" i="12"/>
  <c r="K456" i="12"/>
  <c r="J456" i="12"/>
  <c r="I456" i="12"/>
  <c r="H456" i="12"/>
  <c r="G456" i="12"/>
  <c r="F456" i="12"/>
  <c r="E456" i="12"/>
  <c r="D456" i="12"/>
  <c r="C456" i="12"/>
  <c r="B456" i="12"/>
  <c r="A456" i="12"/>
  <c r="Z455" i="12"/>
  <c r="Y455" i="12"/>
  <c r="X455" i="12"/>
  <c r="W455" i="12"/>
  <c r="V455" i="12"/>
  <c r="U455" i="12"/>
  <c r="T455" i="12"/>
  <c r="S455" i="12"/>
  <c r="R455" i="12"/>
  <c r="Q455" i="12"/>
  <c r="P455" i="12"/>
  <c r="O455" i="12"/>
  <c r="N455" i="12"/>
  <c r="M455" i="12"/>
  <c r="L455" i="12"/>
  <c r="K455" i="12"/>
  <c r="J455" i="12"/>
  <c r="I455" i="12"/>
  <c r="H455" i="12"/>
  <c r="G455" i="12"/>
  <c r="F455" i="12"/>
  <c r="E455" i="12"/>
  <c r="D455" i="12"/>
  <c r="C455" i="12"/>
  <c r="B455" i="12"/>
  <c r="A455" i="12"/>
  <c r="Z454" i="12"/>
  <c r="Y454" i="12"/>
  <c r="X454" i="12"/>
  <c r="W454" i="12"/>
  <c r="V454" i="12"/>
  <c r="U454" i="12"/>
  <c r="T454" i="12"/>
  <c r="S454" i="12"/>
  <c r="R454" i="12"/>
  <c r="Q454" i="12"/>
  <c r="P454" i="12"/>
  <c r="O454" i="12"/>
  <c r="N454" i="12"/>
  <c r="M454" i="12"/>
  <c r="L454" i="12"/>
  <c r="K454" i="12"/>
  <c r="J454" i="12"/>
  <c r="I454" i="12"/>
  <c r="H454" i="12"/>
  <c r="G454" i="12"/>
  <c r="F454" i="12"/>
  <c r="E454" i="12"/>
  <c r="D454" i="12"/>
  <c r="C454" i="12"/>
  <c r="B454" i="12"/>
  <c r="A454" i="12"/>
  <c r="Z453" i="12"/>
  <c r="Y453" i="12"/>
  <c r="X453" i="12"/>
  <c r="W453" i="12"/>
  <c r="V453" i="12"/>
  <c r="U453" i="12"/>
  <c r="T453" i="12"/>
  <c r="S453" i="12"/>
  <c r="R453" i="12"/>
  <c r="Q453" i="12"/>
  <c r="P453" i="12"/>
  <c r="O453" i="12"/>
  <c r="N453" i="12"/>
  <c r="M453" i="12"/>
  <c r="L453" i="12"/>
  <c r="K453" i="12"/>
  <c r="J453" i="12"/>
  <c r="I453" i="12"/>
  <c r="H453" i="12"/>
  <c r="G453" i="12"/>
  <c r="F453" i="12"/>
  <c r="E453" i="12"/>
  <c r="D453" i="12"/>
  <c r="C453" i="12"/>
  <c r="B453" i="12"/>
  <c r="A453" i="12"/>
  <c r="Z452" i="12"/>
  <c r="Y452" i="12"/>
  <c r="X452" i="12"/>
  <c r="W452" i="12"/>
  <c r="V452" i="12"/>
  <c r="U452" i="12"/>
  <c r="T452" i="12"/>
  <c r="S452" i="12"/>
  <c r="R452" i="12"/>
  <c r="Q452" i="12"/>
  <c r="P452" i="12"/>
  <c r="O452" i="12"/>
  <c r="N452" i="12"/>
  <c r="M452" i="12"/>
  <c r="L452" i="12"/>
  <c r="K452" i="12"/>
  <c r="J452" i="12"/>
  <c r="I452" i="12"/>
  <c r="H452" i="12"/>
  <c r="G452" i="12"/>
  <c r="F452" i="12"/>
  <c r="E452" i="12"/>
  <c r="D452" i="12"/>
  <c r="C452" i="12"/>
  <c r="B452" i="12"/>
  <c r="A452" i="12"/>
  <c r="Z451" i="12"/>
  <c r="Y451" i="12"/>
  <c r="X451" i="12"/>
  <c r="W451" i="12"/>
  <c r="V451" i="12"/>
  <c r="U451" i="12"/>
  <c r="T451" i="12"/>
  <c r="S451" i="12"/>
  <c r="R451" i="12"/>
  <c r="Q451" i="12"/>
  <c r="P451" i="12"/>
  <c r="O451" i="12"/>
  <c r="N451" i="12"/>
  <c r="M451" i="12"/>
  <c r="L451" i="12"/>
  <c r="K451" i="12"/>
  <c r="J451" i="12"/>
  <c r="I451" i="12"/>
  <c r="H451" i="12"/>
  <c r="G451" i="12"/>
  <c r="F451" i="12"/>
  <c r="E451" i="12"/>
  <c r="D451" i="12"/>
  <c r="C451" i="12"/>
  <c r="B451" i="12"/>
  <c r="A451" i="12"/>
  <c r="Z450" i="12"/>
  <c r="Y450" i="12"/>
  <c r="X450" i="12"/>
  <c r="W450" i="12"/>
  <c r="V450" i="12"/>
  <c r="U450" i="12"/>
  <c r="T450" i="12"/>
  <c r="S450" i="12"/>
  <c r="R450" i="12"/>
  <c r="Q450" i="12"/>
  <c r="P450" i="12"/>
  <c r="O450" i="12"/>
  <c r="N450" i="12"/>
  <c r="M450" i="12"/>
  <c r="L450" i="12"/>
  <c r="K450" i="12"/>
  <c r="J450" i="12"/>
  <c r="I450" i="12"/>
  <c r="H450" i="12"/>
  <c r="G450" i="12"/>
  <c r="F450" i="12"/>
  <c r="E450" i="12"/>
  <c r="D450" i="12"/>
  <c r="C450" i="12"/>
  <c r="B450" i="12"/>
  <c r="A450" i="12"/>
  <c r="Z449" i="12"/>
  <c r="Y449" i="12"/>
  <c r="X449" i="12"/>
  <c r="W449" i="12"/>
  <c r="V449" i="12"/>
  <c r="U449" i="12"/>
  <c r="T449" i="12"/>
  <c r="S449" i="12"/>
  <c r="R449" i="12"/>
  <c r="Q449" i="12"/>
  <c r="P449" i="12"/>
  <c r="O449" i="12"/>
  <c r="N449" i="12"/>
  <c r="M449" i="12"/>
  <c r="L449" i="12"/>
  <c r="K449" i="12"/>
  <c r="J449" i="12"/>
  <c r="I449" i="12"/>
  <c r="H449" i="12"/>
  <c r="G449" i="12"/>
  <c r="F449" i="12"/>
  <c r="E449" i="12"/>
  <c r="D449" i="12"/>
  <c r="C449" i="12"/>
  <c r="B449" i="12"/>
  <c r="A449" i="12"/>
  <c r="Z448" i="12"/>
  <c r="Y448" i="12"/>
  <c r="X448" i="12"/>
  <c r="W448" i="12"/>
  <c r="V448" i="12"/>
  <c r="U448" i="12"/>
  <c r="T448" i="12"/>
  <c r="S448" i="12"/>
  <c r="R448" i="12"/>
  <c r="Q448" i="12"/>
  <c r="P448" i="12"/>
  <c r="O448" i="12"/>
  <c r="N448" i="12"/>
  <c r="M448" i="12"/>
  <c r="L448" i="12"/>
  <c r="K448" i="12"/>
  <c r="J448" i="12"/>
  <c r="I448" i="12"/>
  <c r="H448" i="12"/>
  <c r="G448" i="12"/>
  <c r="F448" i="12"/>
  <c r="E448" i="12"/>
  <c r="D448" i="12"/>
  <c r="C448" i="12"/>
  <c r="B448" i="12"/>
  <c r="A448" i="12"/>
  <c r="Z447" i="12"/>
  <c r="Y447" i="12"/>
  <c r="X447" i="12"/>
  <c r="W447" i="12"/>
  <c r="V447" i="12"/>
  <c r="U447" i="12"/>
  <c r="T447" i="12"/>
  <c r="S447" i="12"/>
  <c r="R447" i="12"/>
  <c r="Q447" i="12"/>
  <c r="P447" i="12"/>
  <c r="O447" i="12"/>
  <c r="N447" i="12"/>
  <c r="M447" i="12"/>
  <c r="L447" i="12"/>
  <c r="K447" i="12"/>
  <c r="J447" i="12"/>
  <c r="I447" i="12"/>
  <c r="H447" i="12"/>
  <c r="G447" i="12"/>
  <c r="F447" i="12"/>
  <c r="E447" i="12"/>
  <c r="D447" i="12"/>
  <c r="C447" i="12"/>
  <c r="B447" i="12"/>
  <c r="A447" i="12"/>
  <c r="Z446" i="12"/>
  <c r="Y446" i="12"/>
  <c r="X446" i="12"/>
  <c r="W446" i="12"/>
  <c r="V446" i="12"/>
  <c r="U446" i="12"/>
  <c r="T446" i="12"/>
  <c r="S446" i="12"/>
  <c r="R446" i="12"/>
  <c r="Q446" i="12"/>
  <c r="P446" i="12"/>
  <c r="O446" i="12"/>
  <c r="N446" i="12"/>
  <c r="M446" i="12"/>
  <c r="L446" i="12"/>
  <c r="K446" i="12"/>
  <c r="J446" i="12"/>
  <c r="I446" i="12"/>
  <c r="H446" i="12"/>
  <c r="G446" i="12"/>
  <c r="F446" i="12"/>
  <c r="E446" i="12"/>
  <c r="D446" i="12"/>
  <c r="C446" i="12"/>
  <c r="B446" i="12"/>
  <c r="A446" i="12"/>
  <c r="Z445" i="12"/>
  <c r="Y445" i="12"/>
  <c r="X445" i="12"/>
  <c r="W445" i="12"/>
  <c r="V445" i="12"/>
  <c r="U445" i="12"/>
  <c r="T445" i="12"/>
  <c r="S445" i="12"/>
  <c r="R445" i="12"/>
  <c r="Q445" i="12"/>
  <c r="P445" i="12"/>
  <c r="O445" i="12"/>
  <c r="N445" i="12"/>
  <c r="M445" i="12"/>
  <c r="L445" i="12"/>
  <c r="K445" i="12"/>
  <c r="J445" i="12"/>
  <c r="I445" i="12"/>
  <c r="H445" i="12"/>
  <c r="G445" i="12"/>
  <c r="F445" i="12"/>
  <c r="E445" i="12"/>
  <c r="D445" i="12"/>
  <c r="C445" i="12"/>
  <c r="B445" i="12"/>
  <c r="A445" i="12"/>
  <c r="Z444" i="12"/>
  <c r="Y444" i="12"/>
  <c r="X444" i="12"/>
  <c r="W444" i="12"/>
  <c r="V444" i="12"/>
  <c r="U444" i="12"/>
  <c r="T444" i="12"/>
  <c r="S444" i="12"/>
  <c r="R444" i="12"/>
  <c r="Q444" i="12"/>
  <c r="P444" i="12"/>
  <c r="O444" i="12"/>
  <c r="N444" i="12"/>
  <c r="M444" i="12"/>
  <c r="L444" i="12"/>
  <c r="K444" i="12"/>
  <c r="J444" i="12"/>
  <c r="I444" i="12"/>
  <c r="H444" i="12"/>
  <c r="G444" i="12"/>
  <c r="F444" i="12"/>
  <c r="E444" i="12"/>
  <c r="D444" i="12"/>
  <c r="C444" i="12"/>
  <c r="B444" i="12"/>
  <c r="A444" i="12"/>
  <c r="Z443" i="12"/>
  <c r="Y443" i="12"/>
  <c r="X443" i="12"/>
  <c r="W443" i="12"/>
  <c r="V443" i="12"/>
  <c r="U443" i="12"/>
  <c r="T443" i="12"/>
  <c r="S443" i="12"/>
  <c r="R443" i="12"/>
  <c r="Q443" i="12"/>
  <c r="P443" i="12"/>
  <c r="O443" i="12"/>
  <c r="N443" i="12"/>
  <c r="M443" i="12"/>
  <c r="L443" i="12"/>
  <c r="K443" i="12"/>
  <c r="J443" i="12"/>
  <c r="I443" i="12"/>
  <c r="H443" i="12"/>
  <c r="G443" i="12"/>
  <c r="F443" i="12"/>
  <c r="E443" i="12"/>
  <c r="D443" i="12"/>
  <c r="C443" i="12"/>
  <c r="B443" i="12"/>
  <c r="A443" i="12"/>
  <c r="Z442" i="12"/>
  <c r="Y442" i="12"/>
  <c r="X442" i="12"/>
  <c r="W442" i="12"/>
  <c r="V442" i="12"/>
  <c r="U442" i="12"/>
  <c r="T442" i="12"/>
  <c r="S442" i="12"/>
  <c r="R442" i="12"/>
  <c r="Q442" i="12"/>
  <c r="P442" i="12"/>
  <c r="O442" i="12"/>
  <c r="N442" i="12"/>
  <c r="M442" i="12"/>
  <c r="L442" i="12"/>
  <c r="K442" i="12"/>
  <c r="J442" i="12"/>
  <c r="I442" i="12"/>
  <c r="H442" i="12"/>
  <c r="G442" i="12"/>
  <c r="F442" i="12"/>
  <c r="E442" i="12"/>
  <c r="D442" i="12"/>
  <c r="C442" i="12"/>
  <c r="B442" i="12"/>
  <c r="A442" i="12"/>
  <c r="Z441" i="12"/>
  <c r="Y441" i="12"/>
  <c r="X441" i="12"/>
  <c r="W441" i="12"/>
  <c r="V441" i="12"/>
  <c r="U441" i="12"/>
  <c r="T441" i="12"/>
  <c r="S441" i="12"/>
  <c r="R441" i="12"/>
  <c r="Q441" i="12"/>
  <c r="P441" i="12"/>
  <c r="O441" i="12"/>
  <c r="N441" i="12"/>
  <c r="M441" i="12"/>
  <c r="L441" i="12"/>
  <c r="K441" i="12"/>
  <c r="J441" i="12"/>
  <c r="I441" i="12"/>
  <c r="H441" i="12"/>
  <c r="G441" i="12"/>
  <c r="F441" i="12"/>
  <c r="E441" i="12"/>
  <c r="D441" i="12"/>
  <c r="C441" i="12"/>
  <c r="B441" i="12"/>
  <c r="A441" i="12"/>
  <c r="Z440" i="12"/>
  <c r="Y440" i="12"/>
  <c r="X440" i="12"/>
  <c r="W440" i="12"/>
  <c r="V440" i="12"/>
  <c r="U440" i="12"/>
  <c r="T440" i="12"/>
  <c r="S440" i="12"/>
  <c r="R440" i="12"/>
  <c r="Q440" i="12"/>
  <c r="P440" i="12"/>
  <c r="O440" i="12"/>
  <c r="N440" i="12"/>
  <c r="M440" i="12"/>
  <c r="L440" i="12"/>
  <c r="K440" i="12"/>
  <c r="J440" i="12"/>
  <c r="I440" i="12"/>
  <c r="H440" i="12"/>
  <c r="G440" i="12"/>
  <c r="F440" i="12"/>
  <c r="E440" i="12"/>
  <c r="D440" i="12"/>
  <c r="C440" i="12"/>
  <c r="B440" i="12"/>
  <c r="A440" i="12"/>
  <c r="Z439" i="12"/>
  <c r="Y439" i="12"/>
  <c r="X439" i="12"/>
  <c r="W439" i="12"/>
  <c r="V439" i="12"/>
  <c r="U439" i="12"/>
  <c r="T439" i="12"/>
  <c r="S439" i="12"/>
  <c r="R439" i="12"/>
  <c r="Q439" i="12"/>
  <c r="P439" i="12"/>
  <c r="O439" i="12"/>
  <c r="N439" i="12"/>
  <c r="M439" i="12"/>
  <c r="L439" i="12"/>
  <c r="K439" i="12"/>
  <c r="J439" i="12"/>
  <c r="I439" i="12"/>
  <c r="H439" i="12"/>
  <c r="G439" i="12"/>
  <c r="F439" i="12"/>
  <c r="E439" i="12"/>
  <c r="D439" i="12"/>
  <c r="C439" i="12"/>
  <c r="B439" i="12"/>
  <c r="A439" i="12"/>
  <c r="Z438" i="12"/>
  <c r="Y438" i="12"/>
  <c r="X438" i="12"/>
  <c r="W438" i="12"/>
  <c r="V438" i="12"/>
  <c r="U438" i="12"/>
  <c r="T438" i="12"/>
  <c r="S438" i="12"/>
  <c r="R438" i="12"/>
  <c r="Q438" i="12"/>
  <c r="P438" i="12"/>
  <c r="O438" i="12"/>
  <c r="N438" i="12"/>
  <c r="M438" i="12"/>
  <c r="L438" i="12"/>
  <c r="K438" i="12"/>
  <c r="J438" i="12"/>
  <c r="I438" i="12"/>
  <c r="H438" i="12"/>
  <c r="G438" i="12"/>
  <c r="F438" i="12"/>
  <c r="E438" i="12"/>
  <c r="D438" i="12"/>
  <c r="C438" i="12"/>
  <c r="B438" i="12"/>
  <c r="A438" i="12"/>
  <c r="Z437" i="12"/>
  <c r="Y437" i="12"/>
  <c r="X437" i="12"/>
  <c r="W437" i="12"/>
  <c r="V437" i="12"/>
  <c r="U437" i="12"/>
  <c r="T437" i="12"/>
  <c r="S437" i="12"/>
  <c r="R437" i="12"/>
  <c r="Q437" i="12"/>
  <c r="P437" i="12"/>
  <c r="O437" i="12"/>
  <c r="N437" i="12"/>
  <c r="M437" i="12"/>
  <c r="L437" i="12"/>
  <c r="K437" i="12"/>
  <c r="J437" i="12"/>
  <c r="I437" i="12"/>
  <c r="H437" i="12"/>
  <c r="G437" i="12"/>
  <c r="F437" i="12"/>
  <c r="E437" i="12"/>
  <c r="D437" i="12"/>
  <c r="C437" i="12"/>
  <c r="B437" i="12"/>
  <c r="A437" i="12"/>
  <c r="Z436" i="12"/>
  <c r="Y436" i="12"/>
  <c r="X436" i="12"/>
  <c r="W436" i="12"/>
  <c r="V436" i="12"/>
  <c r="U436" i="12"/>
  <c r="T436" i="12"/>
  <c r="S436" i="12"/>
  <c r="R436" i="12"/>
  <c r="Q436" i="12"/>
  <c r="P436" i="12"/>
  <c r="O436" i="12"/>
  <c r="N436" i="12"/>
  <c r="M436" i="12"/>
  <c r="L436" i="12"/>
  <c r="K436" i="12"/>
  <c r="J436" i="12"/>
  <c r="I436" i="12"/>
  <c r="H436" i="12"/>
  <c r="G436" i="12"/>
  <c r="F436" i="12"/>
  <c r="E436" i="12"/>
  <c r="D436" i="12"/>
  <c r="C436" i="12"/>
  <c r="B436" i="12"/>
  <c r="A436" i="12"/>
  <c r="Z435" i="12"/>
  <c r="Y435" i="12"/>
  <c r="X435" i="12"/>
  <c r="W435" i="12"/>
  <c r="V435" i="12"/>
  <c r="U435" i="12"/>
  <c r="T435" i="12"/>
  <c r="S435" i="12"/>
  <c r="R435" i="12"/>
  <c r="Q435" i="12"/>
  <c r="P435" i="12"/>
  <c r="O435" i="12"/>
  <c r="N435" i="12"/>
  <c r="M435" i="12"/>
  <c r="L435" i="12"/>
  <c r="K435" i="12"/>
  <c r="J435" i="12"/>
  <c r="I435" i="12"/>
  <c r="H435" i="12"/>
  <c r="G435" i="12"/>
  <c r="F435" i="12"/>
  <c r="E435" i="12"/>
  <c r="D435" i="12"/>
  <c r="C435" i="12"/>
  <c r="B435" i="12"/>
  <c r="A435" i="12"/>
  <c r="Z434" i="12"/>
  <c r="Y434" i="12"/>
  <c r="X434" i="12"/>
  <c r="W434" i="12"/>
  <c r="V434" i="12"/>
  <c r="U434" i="12"/>
  <c r="T434" i="12"/>
  <c r="S434" i="12"/>
  <c r="R434" i="12"/>
  <c r="Q434" i="12"/>
  <c r="P434" i="12"/>
  <c r="O434" i="12"/>
  <c r="N434" i="12"/>
  <c r="M434" i="12"/>
  <c r="L434" i="12"/>
  <c r="K434" i="12"/>
  <c r="J434" i="12"/>
  <c r="I434" i="12"/>
  <c r="H434" i="12"/>
  <c r="G434" i="12"/>
  <c r="F434" i="12"/>
  <c r="E434" i="12"/>
  <c r="D434" i="12"/>
  <c r="C434" i="12"/>
  <c r="B434" i="12"/>
  <c r="A434" i="12"/>
  <c r="Z433" i="12"/>
  <c r="Y433" i="12"/>
  <c r="X433" i="12"/>
  <c r="W433" i="12"/>
  <c r="V433" i="12"/>
  <c r="U433" i="12"/>
  <c r="T433" i="12"/>
  <c r="S433" i="12"/>
  <c r="R433" i="12"/>
  <c r="Q433" i="12"/>
  <c r="P433" i="12"/>
  <c r="O433" i="12"/>
  <c r="N433" i="12"/>
  <c r="M433" i="12"/>
  <c r="L433" i="12"/>
  <c r="K433" i="12"/>
  <c r="J433" i="12"/>
  <c r="I433" i="12"/>
  <c r="H433" i="12"/>
  <c r="G433" i="12"/>
  <c r="F433" i="12"/>
  <c r="E433" i="12"/>
  <c r="D433" i="12"/>
  <c r="C433" i="12"/>
  <c r="B433" i="12"/>
  <c r="A433" i="12"/>
  <c r="Z432" i="12"/>
  <c r="Y432" i="12"/>
  <c r="X432" i="12"/>
  <c r="W432" i="12"/>
  <c r="V432" i="12"/>
  <c r="U432" i="12"/>
  <c r="T432" i="12"/>
  <c r="S432" i="12"/>
  <c r="R432" i="12"/>
  <c r="Q432" i="12"/>
  <c r="P432" i="12"/>
  <c r="O432" i="12"/>
  <c r="N432" i="12"/>
  <c r="M432" i="12"/>
  <c r="L432" i="12"/>
  <c r="K432" i="12"/>
  <c r="J432" i="12"/>
  <c r="I432" i="12"/>
  <c r="H432" i="12"/>
  <c r="G432" i="12"/>
  <c r="F432" i="12"/>
  <c r="E432" i="12"/>
  <c r="D432" i="12"/>
  <c r="C432" i="12"/>
  <c r="B432" i="12"/>
  <c r="A432" i="12"/>
  <c r="Z431" i="12"/>
  <c r="Y431" i="12"/>
  <c r="X431" i="12"/>
  <c r="W431" i="12"/>
  <c r="V431" i="12"/>
  <c r="U431" i="12"/>
  <c r="T431" i="12"/>
  <c r="S431" i="12"/>
  <c r="R431" i="12"/>
  <c r="Q431" i="12"/>
  <c r="P431" i="12"/>
  <c r="O431" i="12"/>
  <c r="N431" i="12"/>
  <c r="M431" i="12"/>
  <c r="L431" i="12"/>
  <c r="K431" i="12"/>
  <c r="J431" i="12"/>
  <c r="I431" i="12"/>
  <c r="H431" i="12"/>
  <c r="G431" i="12"/>
  <c r="F431" i="12"/>
  <c r="E431" i="12"/>
  <c r="D431" i="12"/>
  <c r="C431" i="12"/>
  <c r="B431" i="12"/>
  <c r="A431" i="12"/>
  <c r="Z430" i="12"/>
  <c r="Y430" i="12"/>
  <c r="X430" i="12"/>
  <c r="W430" i="12"/>
  <c r="V430" i="12"/>
  <c r="U430" i="12"/>
  <c r="T430" i="12"/>
  <c r="S430" i="12"/>
  <c r="R430" i="12"/>
  <c r="Q430" i="12"/>
  <c r="P430" i="12"/>
  <c r="O430" i="12"/>
  <c r="N430" i="12"/>
  <c r="M430" i="12"/>
  <c r="L430" i="12"/>
  <c r="K430" i="12"/>
  <c r="J430" i="12"/>
  <c r="I430" i="12"/>
  <c r="H430" i="12"/>
  <c r="G430" i="12"/>
  <c r="F430" i="12"/>
  <c r="E430" i="12"/>
  <c r="D430" i="12"/>
  <c r="C430" i="12"/>
  <c r="B430" i="12"/>
  <c r="A430" i="12"/>
  <c r="Z429" i="12"/>
  <c r="Y429" i="12"/>
  <c r="X429" i="12"/>
  <c r="W429" i="12"/>
  <c r="V429" i="12"/>
  <c r="U429" i="12"/>
  <c r="T429" i="12"/>
  <c r="S429" i="12"/>
  <c r="R429" i="12"/>
  <c r="Q429" i="12"/>
  <c r="P429" i="12"/>
  <c r="O429" i="12"/>
  <c r="N429" i="12"/>
  <c r="M429" i="12"/>
  <c r="L429" i="12"/>
  <c r="K429" i="12"/>
  <c r="J429" i="12"/>
  <c r="I429" i="12"/>
  <c r="H429" i="12"/>
  <c r="G429" i="12"/>
  <c r="F429" i="12"/>
  <c r="E429" i="12"/>
  <c r="D429" i="12"/>
  <c r="C429" i="12"/>
  <c r="B429" i="12"/>
  <c r="A429" i="12"/>
  <c r="Z428" i="12"/>
  <c r="Y428" i="12"/>
  <c r="X428" i="12"/>
  <c r="W428" i="12"/>
  <c r="V428" i="12"/>
  <c r="U428" i="12"/>
  <c r="T428" i="12"/>
  <c r="S428" i="12"/>
  <c r="R428" i="12"/>
  <c r="Q428" i="12"/>
  <c r="P428" i="12"/>
  <c r="O428" i="12"/>
  <c r="N428" i="12"/>
  <c r="M428" i="12"/>
  <c r="L428" i="12"/>
  <c r="K428" i="12"/>
  <c r="J428" i="12"/>
  <c r="I428" i="12"/>
  <c r="H428" i="12"/>
  <c r="G428" i="12"/>
  <c r="F428" i="12"/>
  <c r="E428" i="12"/>
  <c r="D428" i="12"/>
  <c r="C428" i="12"/>
  <c r="B428" i="12"/>
  <c r="A428" i="12"/>
  <c r="Z427" i="12"/>
  <c r="Y427" i="12"/>
  <c r="X427" i="12"/>
  <c r="W427" i="12"/>
  <c r="V427" i="12"/>
  <c r="U427" i="12"/>
  <c r="T427" i="12"/>
  <c r="S427" i="12"/>
  <c r="R427" i="12"/>
  <c r="Q427" i="12"/>
  <c r="P427" i="12"/>
  <c r="O427" i="12"/>
  <c r="N427" i="12"/>
  <c r="M427" i="12"/>
  <c r="L427" i="12"/>
  <c r="K427" i="12"/>
  <c r="J427" i="12"/>
  <c r="I427" i="12"/>
  <c r="H427" i="12"/>
  <c r="G427" i="12"/>
  <c r="F427" i="12"/>
  <c r="E427" i="12"/>
  <c r="D427" i="12"/>
  <c r="C427" i="12"/>
  <c r="B427" i="12"/>
  <c r="A427" i="12"/>
  <c r="Z426" i="12"/>
  <c r="Y426" i="12"/>
  <c r="X426" i="12"/>
  <c r="W426" i="12"/>
  <c r="V426" i="12"/>
  <c r="U426" i="12"/>
  <c r="T426" i="12"/>
  <c r="S426" i="12"/>
  <c r="R426" i="12"/>
  <c r="Q426" i="12"/>
  <c r="P426" i="12"/>
  <c r="O426" i="12"/>
  <c r="N426" i="12"/>
  <c r="M426" i="12"/>
  <c r="L426" i="12"/>
  <c r="K426" i="12"/>
  <c r="J426" i="12"/>
  <c r="I426" i="12"/>
  <c r="H426" i="12"/>
  <c r="G426" i="12"/>
  <c r="F426" i="12"/>
  <c r="E426" i="12"/>
  <c r="D426" i="12"/>
  <c r="C426" i="12"/>
  <c r="B426" i="12"/>
  <c r="A426" i="12"/>
  <c r="Z425" i="12"/>
  <c r="Y425" i="12"/>
  <c r="X425" i="12"/>
  <c r="W425" i="12"/>
  <c r="V425" i="12"/>
  <c r="U425" i="12"/>
  <c r="T425" i="12"/>
  <c r="S425" i="12"/>
  <c r="R425" i="12"/>
  <c r="Q425" i="12"/>
  <c r="P425" i="12"/>
  <c r="O425" i="12"/>
  <c r="N425" i="12"/>
  <c r="M425" i="12"/>
  <c r="L425" i="12"/>
  <c r="K425" i="12"/>
  <c r="J425" i="12"/>
  <c r="I425" i="12"/>
  <c r="H425" i="12"/>
  <c r="G425" i="12"/>
  <c r="F425" i="12"/>
  <c r="E425" i="12"/>
  <c r="D425" i="12"/>
  <c r="C425" i="12"/>
  <c r="B425" i="12"/>
  <c r="A425" i="12"/>
  <c r="Z424" i="12"/>
  <c r="Y424" i="12"/>
  <c r="X424" i="12"/>
  <c r="W424" i="12"/>
  <c r="V424" i="12"/>
  <c r="U424" i="12"/>
  <c r="T424" i="12"/>
  <c r="S424" i="12"/>
  <c r="R424" i="12"/>
  <c r="Q424" i="12"/>
  <c r="P424" i="12"/>
  <c r="O424" i="12"/>
  <c r="N424" i="12"/>
  <c r="M424" i="12"/>
  <c r="L424" i="12"/>
  <c r="K424" i="12"/>
  <c r="J424" i="12"/>
  <c r="I424" i="12"/>
  <c r="H424" i="12"/>
  <c r="G424" i="12"/>
  <c r="F424" i="12"/>
  <c r="E424" i="12"/>
  <c r="D424" i="12"/>
  <c r="C424" i="12"/>
  <c r="B424" i="12"/>
  <c r="A424" i="12"/>
  <c r="Z423" i="12"/>
  <c r="Y423" i="12"/>
  <c r="X423" i="12"/>
  <c r="W423" i="12"/>
  <c r="V423" i="12"/>
  <c r="U423" i="12"/>
  <c r="T423" i="12"/>
  <c r="S423" i="12"/>
  <c r="R423" i="12"/>
  <c r="Q423" i="12"/>
  <c r="P423" i="12"/>
  <c r="O423" i="12"/>
  <c r="N423" i="12"/>
  <c r="M423" i="12"/>
  <c r="L423" i="12"/>
  <c r="K423" i="12"/>
  <c r="J423" i="12"/>
  <c r="I423" i="12"/>
  <c r="H423" i="12"/>
  <c r="G423" i="12"/>
  <c r="F423" i="12"/>
  <c r="E423" i="12"/>
  <c r="D423" i="12"/>
  <c r="C423" i="12"/>
  <c r="B423" i="12"/>
  <c r="A423" i="12"/>
  <c r="Z422" i="12"/>
  <c r="Y422" i="12"/>
  <c r="X422" i="12"/>
  <c r="W422" i="12"/>
  <c r="V422" i="12"/>
  <c r="U422" i="12"/>
  <c r="T422" i="12"/>
  <c r="S422" i="12"/>
  <c r="R422" i="12"/>
  <c r="Q422" i="12"/>
  <c r="P422" i="12"/>
  <c r="O422" i="12"/>
  <c r="N422" i="12"/>
  <c r="M422" i="12"/>
  <c r="L422" i="12"/>
  <c r="K422" i="12"/>
  <c r="J422" i="12"/>
  <c r="I422" i="12"/>
  <c r="H422" i="12"/>
  <c r="G422" i="12"/>
  <c r="F422" i="12"/>
  <c r="E422" i="12"/>
  <c r="D422" i="12"/>
  <c r="C422" i="12"/>
  <c r="B422" i="12"/>
  <c r="A422" i="12"/>
  <c r="Z421" i="12"/>
  <c r="Y421" i="12"/>
  <c r="X421" i="12"/>
  <c r="W421" i="12"/>
  <c r="V421" i="12"/>
  <c r="U421" i="12"/>
  <c r="T421" i="12"/>
  <c r="S421" i="12"/>
  <c r="R421" i="12"/>
  <c r="Q421" i="12"/>
  <c r="P421" i="12"/>
  <c r="O421" i="12"/>
  <c r="N421" i="12"/>
  <c r="M421" i="12"/>
  <c r="L421" i="12"/>
  <c r="K421" i="12"/>
  <c r="J421" i="12"/>
  <c r="I421" i="12"/>
  <c r="H421" i="12"/>
  <c r="G421" i="12"/>
  <c r="F421" i="12"/>
  <c r="E421" i="12"/>
  <c r="D421" i="12"/>
  <c r="C421" i="12"/>
  <c r="B421" i="12"/>
  <c r="A421" i="12"/>
  <c r="Z420" i="12"/>
  <c r="Y420" i="12"/>
  <c r="X420" i="12"/>
  <c r="W420" i="12"/>
  <c r="V420" i="12"/>
  <c r="U420" i="12"/>
  <c r="T420" i="12"/>
  <c r="S420" i="12"/>
  <c r="R420" i="12"/>
  <c r="Q420" i="12"/>
  <c r="P420" i="12"/>
  <c r="O420" i="12"/>
  <c r="N420" i="12"/>
  <c r="M420" i="12"/>
  <c r="L420" i="12"/>
  <c r="K420" i="12"/>
  <c r="J420" i="12"/>
  <c r="I420" i="12"/>
  <c r="H420" i="12"/>
  <c r="G420" i="12"/>
  <c r="F420" i="12"/>
  <c r="E420" i="12"/>
  <c r="D420" i="12"/>
  <c r="C420" i="12"/>
  <c r="B420" i="12"/>
  <c r="A420" i="12"/>
  <c r="Z419" i="12"/>
  <c r="Y419" i="12"/>
  <c r="X419" i="12"/>
  <c r="W419" i="12"/>
  <c r="V419" i="12"/>
  <c r="U419" i="12"/>
  <c r="T419" i="12"/>
  <c r="S419" i="12"/>
  <c r="R419" i="12"/>
  <c r="Q419" i="12"/>
  <c r="P419" i="12"/>
  <c r="O419" i="12"/>
  <c r="N419" i="12"/>
  <c r="M419" i="12"/>
  <c r="L419" i="12"/>
  <c r="K419" i="12"/>
  <c r="J419" i="12"/>
  <c r="I419" i="12"/>
  <c r="H419" i="12"/>
  <c r="G419" i="12"/>
  <c r="F419" i="12"/>
  <c r="E419" i="12"/>
  <c r="D419" i="12"/>
  <c r="C419" i="12"/>
  <c r="B419" i="12"/>
  <c r="A419" i="12"/>
  <c r="Z418" i="12"/>
  <c r="Y418" i="12"/>
  <c r="X418" i="12"/>
  <c r="W418" i="12"/>
  <c r="V418" i="12"/>
  <c r="U418" i="12"/>
  <c r="T418" i="12"/>
  <c r="S418" i="12"/>
  <c r="R418" i="12"/>
  <c r="Q418" i="12"/>
  <c r="P418" i="12"/>
  <c r="O418" i="12"/>
  <c r="N418" i="12"/>
  <c r="M418" i="12"/>
  <c r="L418" i="12"/>
  <c r="K418" i="12"/>
  <c r="J418" i="12"/>
  <c r="I418" i="12"/>
  <c r="H418" i="12"/>
  <c r="G418" i="12"/>
  <c r="F418" i="12"/>
  <c r="E418" i="12"/>
  <c r="D418" i="12"/>
  <c r="C418" i="12"/>
  <c r="B418" i="12"/>
  <c r="A418" i="12"/>
  <c r="Z417" i="12"/>
  <c r="Y417" i="12"/>
  <c r="X417" i="12"/>
  <c r="W417" i="12"/>
  <c r="V417" i="12"/>
  <c r="U417" i="12"/>
  <c r="T417" i="12"/>
  <c r="S417" i="12"/>
  <c r="R417" i="12"/>
  <c r="Q417" i="12"/>
  <c r="P417" i="12"/>
  <c r="O417" i="12"/>
  <c r="N417" i="12"/>
  <c r="M417" i="12"/>
  <c r="L417" i="12"/>
  <c r="K417" i="12"/>
  <c r="J417" i="12"/>
  <c r="I417" i="12"/>
  <c r="H417" i="12"/>
  <c r="G417" i="12"/>
  <c r="F417" i="12"/>
  <c r="E417" i="12"/>
  <c r="D417" i="12"/>
  <c r="C417" i="12"/>
  <c r="B417" i="12"/>
  <c r="A417" i="12"/>
  <c r="Z416" i="12"/>
  <c r="Y416" i="12"/>
  <c r="X416" i="12"/>
  <c r="W416" i="12"/>
  <c r="V416" i="12"/>
  <c r="U416" i="12"/>
  <c r="T416" i="12"/>
  <c r="S416" i="12"/>
  <c r="R416" i="12"/>
  <c r="Q416" i="12"/>
  <c r="P416" i="12"/>
  <c r="O416" i="12"/>
  <c r="N416" i="12"/>
  <c r="M416" i="12"/>
  <c r="L416" i="12"/>
  <c r="K416" i="12"/>
  <c r="J416" i="12"/>
  <c r="I416" i="12"/>
  <c r="H416" i="12"/>
  <c r="G416" i="12"/>
  <c r="F416" i="12"/>
  <c r="E416" i="12"/>
  <c r="D416" i="12"/>
  <c r="C416" i="12"/>
  <c r="B416" i="12"/>
  <c r="A416" i="12"/>
  <c r="Z415" i="12"/>
  <c r="Y415" i="12"/>
  <c r="X415" i="12"/>
  <c r="W415" i="12"/>
  <c r="V415" i="12"/>
  <c r="U415" i="12"/>
  <c r="T415" i="12"/>
  <c r="S415" i="12"/>
  <c r="R415" i="12"/>
  <c r="Q415" i="12"/>
  <c r="P415" i="12"/>
  <c r="O415" i="12"/>
  <c r="N415" i="12"/>
  <c r="M415" i="12"/>
  <c r="L415" i="12"/>
  <c r="K415" i="12"/>
  <c r="J415" i="12"/>
  <c r="I415" i="12"/>
  <c r="H415" i="12"/>
  <c r="G415" i="12"/>
  <c r="F415" i="12"/>
  <c r="E415" i="12"/>
  <c r="D415" i="12"/>
  <c r="C415" i="12"/>
  <c r="B415" i="12"/>
  <c r="A415" i="12"/>
  <c r="Z414" i="12"/>
  <c r="Y414" i="12"/>
  <c r="X414" i="12"/>
  <c r="W414" i="12"/>
  <c r="V414" i="12"/>
  <c r="U414" i="12"/>
  <c r="T414" i="12"/>
  <c r="S414" i="12"/>
  <c r="R414" i="12"/>
  <c r="Q414" i="12"/>
  <c r="P414" i="12"/>
  <c r="O414" i="12"/>
  <c r="N414" i="12"/>
  <c r="M414" i="12"/>
  <c r="L414" i="12"/>
  <c r="K414" i="12"/>
  <c r="J414" i="12"/>
  <c r="I414" i="12"/>
  <c r="H414" i="12"/>
  <c r="G414" i="12"/>
  <c r="F414" i="12"/>
  <c r="E414" i="12"/>
  <c r="D414" i="12"/>
  <c r="C414" i="12"/>
  <c r="B414" i="12"/>
  <c r="A414" i="12"/>
  <c r="Z413" i="12"/>
  <c r="Y413" i="12"/>
  <c r="X413" i="12"/>
  <c r="W413" i="12"/>
  <c r="V413" i="12"/>
  <c r="U413" i="12"/>
  <c r="T413" i="12"/>
  <c r="S413" i="12"/>
  <c r="R413" i="12"/>
  <c r="Q413" i="12"/>
  <c r="P413" i="12"/>
  <c r="O413" i="12"/>
  <c r="N413" i="12"/>
  <c r="M413" i="12"/>
  <c r="L413" i="12"/>
  <c r="K413" i="12"/>
  <c r="J413" i="12"/>
  <c r="I413" i="12"/>
  <c r="H413" i="12"/>
  <c r="G413" i="12"/>
  <c r="F413" i="12"/>
  <c r="E413" i="12"/>
  <c r="D413" i="12"/>
  <c r="C413" i="12"/>
  <c r="B413" i="12"/>
  <c r="A413" i="12"/>
  <c r="Z412" i="12"/>
  <c r="Y412" i="12"/>
  <c r="X412" i="12"/>
  <c r="W412" i="12"/>
  <c r="V412" i="12"/>
  <c r="U412" i="12"/>
  <c r="T412" i="12"/>
  <c r="S412" i="12"/>
  <c r="R412" i="12"/>
  <c r="Q412" i="12"/>
  <c r="P412" i="12"/>
  <c r="O412" i="12"/>
  <c r="N412" i="12"/>
  <c r="M412" i="12"/>
  <c r="L412" i="12"/>
  <c r="K412" i="12"/>
  <c r="J412" i="12"/>
  <c r="I412" i="12"/>
  <c r="H412" i="12"/>
  <c r="G412" i="12"/>
  <c r="F412" i="12"/>
  <c r="E412" i="12"/>
  <c r="D412" i="12"/>
  <c r="C412" i="12"/>
  <c r="B412" i="12"/>
  <c r="A412" i="12"/>
  <c r="Z411" i="12"/>
  <c r="Y411" i="12"/>
  <c r="X411" i="12"/>
  <c r="W411" i="12"/>
  <c r="V411" i="12"/>
  <c r="U411" i="12"/>
  <c r="T411" i="12"/>
  <c r="S411" i="12"/>
  <c r="R411" i="12"/>
  <c r="Q411" i="12"/>
  <c r="P411" i="12"/>
  <c r="O411" i="12"/>
  <c r="N411" i="12"/>
  <c r="M411" i="12"/>
  <c r="L411" i="12"/>
  <c r="K411" i="12"/>
  <c r="J411" i="12"/>
  <c r="I411" i="12"/>
  <c r="H411" i="12"/>
  <c r="G411" i="12"/>
  <c r="F411" i="12"/>
  <c r="E411" i="12"/>
  <c r="D411" i="12"/>
  <c r="C411" i="12"/>
  <c r="B411" i="12"/>
  <c r="A411" i="12"/>
  <c r="Z410" i="12"/>
  <c r="Y410" i="12"/>
  <c r="X410" i="12"/>
  <c r="W410" i="12"/>
  <c r="V410" i="12"/>
  <c r="U410" i="12"/>
  <c r="T410" i="12"/>
  <c r="S410" i="12"/>
  <c r="R410" i="12"/>
  <c r="Q410" i="12"/>
  <c r="P410" i="12"/>
  <c r="O410" i="12"/>
  <c r="N410" i="12"/>
  <c r="M410" i="12"/>
  <c r="L410" i="12"/>
  <c r="K410" i="12"/>
  <c r="J410" i="12"/>
  <c r="I410" i="12"/>
  <c r="H410" i="12"/>
  <c r="G410" i="12"/>
  <c r="F410" i="12"/>
  <c r="E410" i="12"/>
  <c r="D410" i="12"/>
  <c r="C410" i="12"/>
  <c r="B410" i="12"/>
  <c r="A410" i="12"/>
  <c r="Z409" i="12"/>
  <c r="Y409" i="12"/>
  <c r="X409" i="12"/>
  <c r="W409" i="12"/>
  <c r="V409" i="12"/>
  <c r="U409" i="12"/>
  <c r="T409" i="12"/>
  <c r="S409" i="12"/>
  <c r="R409" i="12"/>
  <c r="Q409" i="12"/>
  <c r="P409" i="12"/>
  <c r="O409" i="12"/>
  <c r="N409" i="12"/>
  <c r="M409" i="12"/>
  <c r="L409" i="12"/>
  <c r="K409" i="12"/>
  <c r="J409" i="12"/>
  <c r="I409" i="12"/>
  <c r="H409" i="12"/>
  <c r="G409" i="12"/>
  <c r="F409" i="12"/>
  <c r="E409" i="12"/>
  <c r="D409" i="12"/>
  <c r="C409" i="12"/>
  <c r="B409" i="12"/>
  <c r="A409" i="12"/>
  <c r="Z408" i="12"/>
  <c r="Y408" i="12"/>
  <c r="X408" i="12"/>
  <c r="W408" i="12"/>
  <c r="V408" i="12"/>
  <c r="U408" i="12"/>
  <c r="T408" i="12"/>
  <c r="S408" i="12"/>
  <c r="R408" i="12"/>
  <c r="Q408" i="12"/>
  <c r="P408" i="12"/>
  <c r="O408" i="12"/>
  <c r="N408" i="12"/>
  <c r="M408" i="12"/>
  <c r="L408" i="12"/>
  <c r="K408" i="12"/>
  <c r="J408" i="12"/>
  <c r="I408" i="12"/>
  <c r="H408" i="12"/>
  <c r="G408" i="12"/>
  <c r="F408" i="12"/>
  <c r="E408" i="12"/>
  <c r="D408" i="12"/>
  <c r="C408" i="12"/>
  <c r="B408" i="12"/>
  <c r="A408" i="12"/>
  <c r="Z407" i="12"/>
  <c r="Y407" i="12"/>
  <c r="X407" i="12"/>
  <c r="W407" i="12"/>
  <c r="V407" i="12"/>
  <c r="U407" i="12"/>
  <c r="T407" i="12"/>
  <c r="S407" i="12"/>
  <c r="R407" i="12"/>
  <c r="Q407" i="12"/>
  <c r="P407" i="12"/>
  <c r="O407" i="12"/>
  <c r="N407" i="12"/>
  <c r="M407" i="12"/>
  <c r="L407" i="12"/>
  <c r="K407" i="12"/>
  <c r="J407" i="12"/>
  <c r="I407" i="12"/>
  <c r="H407" i="12"/>
  <c r="G407" i="12"/>
  <c r="F407" i="12"/>
  <c r="E407" i="12"/>
  <c r="D407" i="12"/>
  <c r="C407" i="12"/>
  <c r="B407" i="12"/>
  <c r="A407" i="12"/>
  <c r="Z406" i="12"/>
  <c r="Y406" i="12"/>
  <c r="X406" i="12"/>
  <c r="W406" i="12"/>
  <c r="V406" i="12"/>
  <c r="U406" i="12"/>
  <c r="T406" i="12"/>
  <c r="S406" i="12"/>
  <c r="R406" i="12"/>
  <c r="Q406" i="12"/>
  <c r="P406" i="12"/>
  <c r="O406" i="12"/>
  <c r="N406" i="12"/>
  <c r="M406" i="12"/>
  <c r="L406" i="12"/>
  <c r="K406" i="12"/>
  <c r="J406" i="12"/>
  <c r="I406" i="12"/>
  <c r="H406" i="12"/>
  <c r="G406" i="12"/>
  <c r="F406" i="12"/>
  <c r="E406" i="12"/>
  <c r="D406" i="12"/>
  <c r="C406" i="12"/>
  <c r="B406" i="12"/>
  <c r="A406" i="12"/>
  <c r="Z405" i="12"/>
  <c r="Y405" i="12"/>
  <c r="X405" i="12"/>
  <c r="W405" i="12"/>
  <c r="V405" i="12"/>
  <c r="U405" i="12"/>
  <c r="T405" i="12"/>
  <c r="S405" i="12"/>
  <c r="R405" i="12"/>
  <c r="Q405" i="12"/>
  <c r="P405" i="12"/>
  <c r="O405" i="12"/>
  <c r="N405" i="12"/>
  <c r="M405" i="12"/>
  <c r="L405" i="12"/>
  <c r="K405" i="12"/>
  <c r="J405" i="12"/>
  <c r="I405" i="12"/>
  <c r="H405" i="12"/>
  <c r="G405" i="12"/>
  <c r="F405" i="12"/>
  <c r="E405" i="12"/>
  <c r="D405" i="12"/>
  <c r="C405" i="12"/>
  <c r="B405" i="12"/>
  <c r="A405" i="12"/>
  <c r="Z404" i="12"/>
  <c r="Y404" i="12"/>
  <c r="X404" i="12"/>
  <c r="W404" i="12"/>
  <c r="V404" i="12"/>
  <c r="U404" i="12"/>
  <c r="T404" i="12"/>
  <c r="S404" i="12"/>
  <c r="R404" i="12"/>
  <c r="Q404" i="12"/>
  <c r="P404" i="12"/>
  <c r="O404" i="12"/>
  <c r="N404" i="12"/>
  <c r="M404" i="12"/>
  <c r="L404" i="12"/>
  <c r="K404" i="12"/>
  <c r="J404" i="12"/>
  <c r="I404" i="12"/>
  <c r="H404" i="12"/>
  <c r="G404" i="12"/>
  <c r="F404" i="12"/>
  <c r="E404" i="12"/>
  <c r="D404" i="12"/>
  <c r="C404" i="12"/>
  <c r="B404" i="12"/>
  <c r="A404" i="12"/>
  <c r="Z403" i="12"/>
  <c r="Y403" i="12"/>
  <c r="X403" i="12"/>
  <c r="W403" i="12"/>
  <c r="V403" i="12"/>
  <c r="U403" i="12"/>
  <c r="T403" i="12"/>
  <c r="S403" i="12"/>
  <c r="R403" i="12"/>
  <c r="Q403" i="12"/>
  <c r="P403" i="12"/>
  <c r="O403" i="12"/>
  <c r="N403" i="12"/>
  <c r="M403" i="12"/>
  <c r="L403" i="12"/>
  <c r="K403" i="12"/>
  <c r="J403" i="12"/>
  <c r="I403" i="12"/>
  <c r="H403" i="12"/>
  <c r="G403" i="12"/>
  <c r="F403" i="12"/>
  <c r="E403" i="12"/>
  <c r="D403" i="12"/>
  <c r="C403" i="12"/>
  <c r="B403" i="12"/>
  <c r="A403" i="12"/>
  <c r="Z402" i="12"/>
  <c r="Y402" i="12"/>
  <c r="X402" i="12"/>
  <c r="W402" i="12"/>
  <c r="V402" i="12"/>
  <c r="U402" i="12"/>
  <c r="T402" i="12"/>
  <c r="S402" i="12"/>
  <c r="R402" i="12"/>
  <c r="Q402" i="12"/>
  <c r="P402" i="12"/>
  <c r="O402" i="12"/>
  <c r="N402" i="12"/>
  <c r="M402" i="12"/>
  <c r="L402" i="12"/>
  <c r="K402" i="12"/>
  <c r="J402" i="12"/>
  <c r="I402" i="12"/>
  <c r="H402" i="12"/>
  <c r="G402" i="12"/>
  <c r="F402" i="12"/>
  <c r="E402" i="12"/>
  <c r="D402" i="12"/>
  <c r="C402" i="12"/>
  <c r="B402" i="12"/>
  <c r="A402" i="12"/>
  <c r="Z401" i="12"/>
  <c r="Y401" i="12"/>
  <c r="X401" i="12"/>
  <c r="W401" i="12"/>
  <c r="V401" i="12"/>
  <c r="U401" i="12"/>
  <c r="T401" i="12"/>
  <c r="S401" i="12"/>
  <c r="R401" i="12"/>
  <c r="Q401" i="12"/>
  <c r="P401" i="12"/>
  <c r="O401" i="12"/>
  <c r="N401" i="12"/>
  <c r="M401" i="12"/>
  <c r="L401" i="12"/>
  <c r="K401" i="12"/>
  <c r="J401" i="12"/>
  <c r="I401" i="12"/>
  <c r="H401" i="12"/>
  <c r="G401" i="12"/>
  <c r="F401" i="12"/>
  <c r="E401" i="12"/>
  <c r="D401" i="12"/>
  <c r="C401" i="12"/>
  <c r="B401" i="12"/>
  <c r="A401" i="12"/>
  <c r="Z400" i="12"/>
  <c r="Y400" i="12"/>
  <c r="X400" i="12"/>
  <c r="W400" i="12"/>
  <c r="V400" i="12"/>
  <c r="U400" i="12"/>
  <c r="T400" i="12"/>
  <c r="S400" i="12"/>
  <c r="R400" i="12"/>
  <c r="Q400" i="12"/>
  <c r="P400" i="12"/>
  <c r="O400" i="12"/>
  <c r="N400" i="12"/>
  <c r="M400" i="12"/>
  <c r="L400" i="12"/>
  <c r="K400" i="12"/>
  <c r="J400" i="12"/>
  <c r="I400" i="12"/>
  <c r="H400" i="12"/>
  <c r="G400" i="12"/>
  <c r="F400" i="12"/>
  <c r="E400" i="12"/>
  <c r="D400" i="12"/>
  <c r="C400" i="12"/>
  <c r="B400" i="12"/>
  <c r="A400" i="12"/>
  <c r="Z399" i="12"/>
  <c r="Y399" i="12"/>
  <c r="X399" i="12"/>
  <c r="W399" i="12"/>
  <c r="V399" i="12"/>
  <c r="U399" i="12"/>
  <c r="T399" i="12"/>
  <c r="S399" i="12"/>
  <c r="R399" i="12"/>
  <c r="Q399" i="12"/>
  <c r="P399" i="12"/>
  <c r="O399" i="12"/>
  <c r="N399" i="12"/>
  <c r="M399" i="12"/>
  <c r="L399" i="12"/>
  <c r="K399" i="12"/>
  <c r="J399" i="12"/>
  <c r="I399" i="12"/>
  <c r="H399" i="12"/>
  <c r="G399" i="12"/>
  <c r="F399" i="12"/>
  <c r="E399" i="12"/>
  <c r="D399" i="12"/>
  <c r="C399" i="12"/>
  <c r="B399" i="12"/>
  <c r="A399" i="12"/>
  <c r="Z398" i="12"/>
  <c r="Y398" i="12"/>
  <c r="X398" i="12"/>
  <c r="W398" i="12"/>
  <c r="V398" i="12"/>
  <c r="U398" i="12"/>
  <c r="T398" i="12"/>
  <c r="S398" i="12"/>
  <c r="R398" i="12"/>
  <c r="Q398" i="12"/>
  <c r="P398" i="12"/>
  <c r="O398" i="12"/>
  <c r="N398" i="12"/>
  <c r="M398" i="12"/>
  <c r="L398" i="12"/>
  <c r="K398" i="12"/>
  <c r="J398" i="12"/>
  <c r="I398" i="12"/>
  <c r="H398" i="12"/>
  <c r="G398" i="12"/>
  <c r="F398" i="12"/>
  <c r="E398" i="12"/>
  <c r="D398" i="12"/>
  <c r="C398" i="12"/>
  <c r="B398" i="12"/>
  <c r="A398" i="12"/>
  <c r="Z397" i="12"/>
  <c r="Y397" i="12"/>
  <c r="X397" i="12"/>
  <c r="W397" i="12"/>
  <c r="V397" i="12"/>
  <c r="U397" i="12"/>
  <c r="T397" i="12"/>
  <c r="S397" i="12"/>
  <c r="R397" i="12"/>
  <c r="Q397" i="12"/>
  <c r="P397" i="12"/>
  <c r="O397" i="12"/>
  <c r="N397" i="12"/>
  <c r="M397" i="12"/>
  <c r="L397" i="12"/>
  <c r="K397" i="12"/>
  <c r="J397" i="12"/>
  <c r="I397" i="12"/>
  <c r="H397" i="12"/>
  <c r="G397" i="12"/>
  <c r="F397" i="12"/>
  <c r="E397" i="12"/>
  <c r="D397" i="12"/>
  <c r="C397" i="12"/>
  <c r="B397" i="12"/>
  <c r="A397" i="12"/>
  <c r="Z396" i="12"/>
  <c r="Y396" i="12"/>
  <c r="X396" i="12"/>
  <c r="W396" i="12"/>
  <c r="V396" i="12"/>
  <c r="U396" i="12"/>
  <c r="T396" i="12"/>
  <c r="S396" i="12"/>
  <c r="R396" i="12"/>
  <c r="Q396" i="12"/>
  <c r="P396" i="12"/>
  <c r="O396" i="12"/>
  <c r="N396" i="12"/>
  <c r="M396" i="12"/>
  <c r="L396" i="12"/>
  <c r="K396" i="12"/>
  <c r="J396" i="12"/>
  <c r="I396" i="12"/>
  <c r="H396" i="12"/>
  <c r="G396" i="12"/>
  <c r="F396" i="12"/>
  <c r="E396" i="12"/>
  <c r="D396" i="12"/>
  <c r="C396" i="12"/>
  <c r="B396" i="12"/>
  <c r="A396" i="12"/>
  <c r="Z395" i="12"/>
  <c r="Y395" i="12"/>
  <c r="X395" i="12"/>
  <c r="W395" i="12"/>
  <c r="V395" i="12"/>
  <c r="U395" i="12"/>
  <c r="T395" i="12"/>
  <c r="S395" i="12"/>
  <c r="R395" i="12"/>
  <c r="Q395" i="12"/>
  <c r="P395" i="12"/>
  <c r="O395" i="12"/>
  <c r="N395" i="12"/>
  <c r="M395" i="12"/>
  <c r="L395" i="12"/>
  <c r="K395" i="12"/>
  <c r="J395" i="12"/>
  <c r="I395" i="12"/>
  <c r="H395" i="12"/>
  <c r="G395" i="12"/>
  <c r="F395" i="12"/>
  <c r="E395" i="12"/>
  <c r="D395" i="12"/>
  <c r="C395" i="12"/>
  <c r="B395" i="12"/>
  <c r="A395" i="12"/>
  <c r="Z394" i="12"/>
  <c r="Y394" i="12"/>
  <c r="X394" i="12"/>
  <c r="W394" i="12"/>
  <c r="V394" i="12"/>
  <c r="U394" i="12"/>
  <c r="T394" i="12"/>
  <c r="S394" i="12"/>
  <c r="R394" i="12"/>
  <c r="Q394" i="12"/>
  <c r="P394" i="12"/>
  <c r="O394" i="12"/>
  <c r="N394" i="12"/>
  <c r="M394" i="12"/>
  <c r="L394" i="12"/>
  <c r="K394" i="12"/>
  <c r="J394" i="12"/>
  <c r="I394" i="12"/>
  <c r="H394" i="12"/>
  <c r="G394" i="12"/>
  <c r="F394" i="12"/>
  <c r="E394" i="12"/>
  <c r="D394" i="12"/>
  <c r="C394" i="12"/>
  <c r="B394" i="12"/>
  <c r="A394" i="12"/>
  <c r="Z393" i="12"/>
  <c r="Y393" i="12"/>
  <c r="X393" i="12"/>
  <c r="W393" i="12"/>
  <c r="V393" i="12"/>
  <c r="U393" i="12"/>
  <c r="T393" i="12"/>
  <c r="S393" i="12"/>
  <c r="R393" i="12"/>
  <c r="Q393" i="12"/>
  <c r="P393" i="12"/>
  <c r="O393" i="12"/>
  <c r="N393" i="12"/>
  <c r="M393" i="12"/>
  <c r="L393" i="12"/>
  <c r="K393" i="12"/>
  <c r="J393" i="12"/>
  <c r="I393" i="12"/>
  <c r="H393" i="12"/>
  <c r="G393" i="12"/>
  <c r="F393" i="12"/>
  <c r="E393" i="12"/>
  <c r="D393" i="12"/>
  <c r="C393" i="12"/>
  <c r="B393" i="12"/>
  <c r="A393" i="12"/>
  <c r="Z392" i="12"/>
  <c r="Y392" i="12"/>
  <c r="X392" i="12"/>
  <c r="W392" i="12"/>
  <c r="V392" i="12"/>
  <c r="U392" i="12"/>
  <c r="T392" i="12"/>
  <c r="S392" i="12"/>
  <c r="R392" i="12"/>
  <c r="Q392" i="12"/>
  <c r="P392" i="12"/>
  <c r="O392" i="12"/>
  <c r="N392" i="12"/>
  <c r="M392" i="12"/>
  <c r="L392" i="12"/>
  <c r="K392" i="12"/>
  <c r="J392" i="12"/>
  <c r="I392" i="12"/>
  <c r="H392" i="12"/>
  <c r="G392" i="12"/>
  <c r="F392" i="12"/>
  <c r="E392" i="12"/>
  <c r="D392" i="12"/>
  <c r="C392" i="12"/>
  <c r="B392" i="12"/>
  <c r="A392" i="12"/>
  <c r="Z391" i="12"/>
  <c r="Y391" i="12"/>
  <c r="X391" i="12"/>
  <c r="W391" i="12"/>
  <c r="V391" i="12"/>
  <c r="U391" i="12"/>
  <c r="T391" i="12"/>
  <c r="S391" i="12"/>
  <c r="R391" i="12"/>
  <c r="Q391" i="12"/>
  <c r="P391" i="12"/>
  <c r="O391" i="12"/>
  <c r="N391" i="12"/>
  <c r="M391" i="12"/>
  <c r="L391" i="12"/>
  <c r="K391" i="12"/>
  <c r="J391" i="12"/>
  <c r="I391" i="12"/>
  <c r="H391" i="12"/>
  <c r="G391" i="12"/>
  <c r="F391" i="12"/>
  <c r="E391" i="12"/>
  <c r="D391" i="12"/>
  <c r="C391" i="12"/>
  <c r="B391" i="12"/>
  <c r="A391" i="12"/>
  <c r="Z390" i="12"/>
  <c r="Y390" i="12"/>
  <c r="X390" i="12"/>
  <c r="W390" i="12"/>
  <c r="V390" i="12"/>
  <c r="U390" i="12"/>
  <c r="T390" i="12"/>
  <c r="S390" i="12"/>
  <c r="R390" i="12"/>
  <c r="Q390" i="12"/>
  <c r="P390" i="12"/>
  <c r="O390" i="12"/>
  <c r="N390" i="12"/>
  <c r="M390" i="12"/>
  <c r="L390" i="12"/>
  <c r="K390" i="12"/>
  <c r="J390" i="12"/>
  <c r="I390" i="12"/>
  <c r="H390" i="12"/>
  <c r="G390" i="12"/>
  <c r="F390" i="12"/>
  <c r="E390" i="12"/>
  <c r="D390" i="12"/>
  <c r="C390" i="12"/>
  <c r="B390" i="12"/>
  <c r="A390" i="12"/>
  <c r="Z389" i="12"/>
  <c r="Y389" i="12"/>
  <c r="X389" i="12"/>
  <c r="W389" i="12"/>
  <c r="V389" i="12"/>
  <c r="U389" i="12"/>
  <c r="T389" i="12"/>
  <c r="S389" i="12"/>
  <c r="R389" i="12"/>
  <c r="Q389" i="12"/>
  <c r="P389" i="12"/>
  <c r="O389" i="12"/>
  <c r="N389" i="12"/>
  <c r="M389" i="12"/>
  <c r="L389" i="12"/>
  <c r="K389" i="12"/>
  <c r="J389" i="12"/>
  <c r="I389" i="12"/>
  <c r="H389" i="12"/>
  <c r="G389" i="12"/>
  <c r="F389" i="12"/>
  <c r="E389" i="12"/>
  <c r="D389" i="12"/>
  <c r="C389" i="12"/>
  <c r="B389" i="12"/>
  <c r="A389" i="12"/>
  <c r="Z388" i="12"/>
  <c r="Y388" i="12"/>
  <c r="X388" i="12"/>
  <c r="W388" i="12"/>
  <c r="V388" i="12"/>
  <c r="U388" i="12"/>
  <c r="T388" i="12"/>
  <c r="S388" i="12"/>
  <c r="R388" i="12"/>
  <c r="Q388" i="12"/>
  <c r="P388" i="12"/>
  <c r="O388" i="12"/>
  <c r="N388" i="12"/>
  <c r="M388" i="12"/>
  <c r="L388" i="12"/>
  <c r="K388" i="12"/>
  <c r="J388" i="12"/>
  <c r="I388" i="12"/>
  <c r="H388" i="12"/>
  <c r="G388" i="12"/>
  <c r="F388" i="12"/>
  <c r="E388" i="12"/>
  <c r="D388" i="12"/>
  <c r="C388" i="12"/>
  <c r="B388" i="12"/>
  <c r="A388" i="12"/>
  <c r="Z387" i="12"/>
  <c r="Y387" i="12"/>
  <c r="X387" i="12"/>
  <c r="W387" i="12"/>
  <c r="V387" i="12"/>
  <c r="U387" i="12"/>
  <c r="T387" i="12"/>
  <c r="S387" i="12"/>
  <c r="R387" i="12"/>
  <c r="Q387" i="12"/>
  <c r="P387" i="12"/>
  <c r="O387" i="12"/>
  <c r="N387" i="12"/>
  <c r="M387" i="12"/>
  <c r="L387" i="12"/>
  <c r="K387" i="12"/>
  <c r="J387" i="12"/>
  <c r="I387" i="12"/>
  <c r="H387" i="12"/>
  <c r="G387" i="12"/>
  <c r="F387" i="12"/>
  <c r="E387" i="12"/>
  <c r="D387" i="12"/>
  <c r="C387" i="12"/>
  <c r="B387" i="12"/>
  <c r="A387" i="12"/>
  <c r="Z386" i="12"/>
  <c r="Y386" i="12"/>
  <c r="X386" i="12"/>
  <c r="W386" i="12"/>
  <c r="V386" i="12"/>
  <c r="U386" i="12"/>
  <c r="T386" i="12"/>
  <c r="S386" i="12"/>
  <c r="R386" i="12"/>
  <c r="Q386" i="12"/>
  <c r="P386" i="12"/>
  <c r="O386" i="12"/>
  <c r="N386" i="12"/>
  <c r="M386" i="12"/>
  <c r="L386" i="12"/>
  <c r="K386" i="12"/>
  <c r="J386" i="12"/>
  <c r="I386" i="12"/>
  <c r="H386" i="12"/>
  <c r="G386" i="12"/>
  <c r="F386" i="12"/>
  <c r="E386" i="12"/>
  <c r="D386" i="12"/>
  <c r="C386" i="12"/>
  <c r="B386" i="12"/>
  <c r="A386" i="12"/>
  <c r="Z385" i="12"/>
  <c r="Y385" i="12"/>
  <c r="X385" i="12"/>
  <c r="W385" i="12"/>
  <c r="V385" i="12"/>
  <c r="U385" i="12"/>
  <c r="T385" i="12"/>
  <c r="S385" i="12"/>
  <c r="R385" i="12"/>
  <c r="Q385" i="12"/>
  <c r="P385" i="12"/>
  <c r="O385" i="12"/>
  <c r="N385" i="12"/>
  <c r="M385" i="12"/>
  <c r="L385" i="12"/>
  <c r="K385" i="12"/>
  <c r="J385" i="12"/>
  <c r="I385" i="12"/>
  <c r="H385" i="12"/>
  <c r="G385" i="12"/>
  <c r="F385" i="12"/>
  <c r="E385" i="12"/>
  <c r="D385" i="12"/>
  <c r="C385" i="12"/>
  <c r="B385" i="12"/>
  <c r="A385" i="12"/>
  <c r="Z384" i="12"/>
  <c r="Y384" i="12"/>
  <c r="X384" i="12"/>
  <c r="W384" i="12"/>
  <c r="V384" i="12"/>
  <c r="U384" i="12"/>
  <c r="T384" i="12"/>
  <c r="S384" i="12"/>
  <c r="R384" i="12"/>
  <c r="Q384" i="12"/>
  <c r="P384" i="12"/>
  <c r="O384" i="12"/>
  <c r="N384" i="12"/>
  <c r="M384" i="12"/>
  <c r="L384" i="12"/>
  <c r="K384" i="12"/>
  <c r="J384" i="12"/>
  <c r="I384" i="12"/>
  <c r="H384" i="12"/>
  <c r="G384" i="12"/>
  <c r="F384" i="12"/>
  <c r="E384" i="12"/>
  <c r="D384" i="12"/>
  <c r="C384" i="12"/>
  <c r="B384" i="12"/>
  <c r="A384" i="12"/>
  <c r="Z383" i="12"/>
  <c r="Y383" i="12"/>
  <c r="X383" i="12"/>
  <c r="W383" i="12"/>
  <c r="V383" i="12"/>
  <c r="U383" i="12"/>
  <c r="T383" i="12"/>
  <c r="S383" i="12"/>
  <c r="R383" i="12"/>
  <c r="Q383" i="12"/>
  <c r="P383" i="12"/>
  <c r="O383" i="12"/>
  <c r="N383" i="12"/>
  <c r="M383" i="12"/>
  <c r="L383" i="12"/>
  <c r="K383" i="12"/>
  <c r="J383" i="12"/>
  <c r="I383" i="12"/>
  <c r="H383" i="12"/>
  <c r="G383" i="12"/>
  <c r="F383" i="12"/>
  <c r="E383" i="12"/>
  <c r="D383" i="12"/>
  <c r="C383" i="12"/>
  <c r="B383" i="12"/>
  <c r="A383" i="12"/>
  <c r="Z382" i="12"/>
  <c r="Y382" i="12"/>
  <c r="X382" i="12"/>
  <c r="W382" i="12"/>
  <c r="V382" i="12"/>
  <c r="U382" i="12"/>
  <c r="T382" i="12"/>
  <c r="S382" i="12"/>
  <c r="R382" i="12"/>
  <c r="Q382" i="12"/>
  <c r="P382" i="12"/>
  <c r="O382" i="12"/>
  <c r="N382" i="12"/>
  <c r="M382" i="12"/>
  <c r="L382" i="12"/>
  <c r="K382" i="12"/>
  <c r="J382" i="12"/>
  <c r="I382" i="12"/>
  <c r="H382" i="12"/>
  <c r="G382" i="12"/>
  <c r="F382" i="12"/>
  <c r="E382" i="12"/>
  <c r="D382" i="12"/>
  <c r="C382" i="12"/>
  <c r="B382" i="12"/>
  <c r="A382" i="12"/>
  <c r="Z381" i="12"/>
  <c r="Y381" i="12"/>
  <c r="X381" i="12"/>
  <c r="W381" i="12"/>
  <c r="V381" i="12"/>
  <c r="U381" i="12"/>
  <c r="T381" i="12"/>
  <c r="S381" i="12"/>
  <c r="R381" i="12"/>
  <c r="Q381" i="12"/>
  <c r="P381" i="12"/>
  <c r="O381" i="12"/>
  <c r="N381" i="12"/>
  <c r="M381" i="12"/>
  <c r="L381" i="12"/>
  <c r="K381" i="12"/>
  <c r="J381" i="12"/>
  <c r="I381" i="12"/>
  <c r="H381" i="12"/>
  <c r="G381" i="12"/>
  <c r="F381" i="12"/>
  <c r="E381" i="12"/>
  <c r="D381" i="12"/>
  <c r="C381" i="12"/>
  <c r="B381" i="12"/>
  <c r="A381" i="12"/>
  <c r="Z380" i="12"/>
  <c r="Y380" i="12"/>
  <c r="X380" i="12"/>
  <c r="W380" i="12"/>
  <c r="V380" i="12"/>
  <c r="U380" i="12"/>
  <c r="T380" i="12"/>
  <c r="S380" i="12"/>
  <c r="R380" i="12"/>
  <c r="Q380" i="12"/>
  <c r="P380" i="12"/>
  <c r="O380" i="12"/>
  <c r="N380" i="12"/>
  <c r="M380" i="12"/>
  <c r="L380" i="12"/>
  <c r="K380" i="12"/>
  <c r="J380" i="12"/>
  <c r="I380" i="12"/>
  <c r="H380" i="12"/>
  <c r="G380" i="12"/>
  <c r="F380" i="12"/>
  <c r="E380" i="12"/>
  <c r="D380" i="12"/>
  <c r="C380" i="12"/>
  <c r="B380" i="12"/>
  <c r="A380" i="12"/>
  <c r="Z379" i="12"/>
  <c r="Y379" i="12"/>
  <c r="X379" i="12"/>
  <c r="W379" i="12"/>
  <c r="V379" i="12"/>
  <c r="U379" i="12"/>
  <c r="T379" i="12"/>
  <c r="S379" i="12"/>
  <c r="R379" i="12"/>
  <c r="Q379" i="12"/>
  <c r="P379" i="12"/>
  <c r="O379" i="12"/>
  <c r="N379" i="12"/>
  <c r="M379" i="12"/>
  <c r="L379" i="12"/>
  <c r="K379" i="12"/>
  <c r="J379" i="12"/>
  <c r="I379" i="12"/>
  <c r="H379" i="12"/>
  <c r="G379" i="12"/>
  <c r="F379" i="12"/>
  <c r="E379" i="12"/>
  <c r="D379" i="12"/>
  <c r="C379" i="12"/>
  <c r="B379" i="12"/>
  <c r="A379" i="12"/>
  <c r="Z378" i="12"/>
  <c r="Y378" i="12"/>
  <c r="X378" i="12"/>
  <c r="W378" i="12"/>
  <c r="V378" i="12"/>
  <c r="U378" i="12"/>
  <c r="T378" i="12"/>
  <c r="S378" i="12"/>
  <c r="R378" i="12"/>
  <c r="Q378" i="12"/>
  <c r="P378" i="12"/>
  <c r="O378" i="12"/>
  <c r="N378" i="12"/>
  <c r="M378" i="12"/>
  <c r="L378" i="12"/>
  <c r="K378" i="12"/>
  <c r="J378" i="12"/>
  <c r="I378" i="12"/>
  <c r="H378" i="12"/>
  <c r="G378" i="12"/>
  <c r="F378" i="12"/>
  <c r="E378" i="12"/>
  <c r="D378" i="12"/>
  <c r="C378" i="12"/>
  <c r="B378" i="12"/>
  <c r="A378" i="12"/>
  <c r="Z377" i="12"/>
  <c r="Y377" i="12"/>
  <c r="X377" i="12"/>
  <c r="W377" i="12"/>
  <c r="V377" i="12"/>
  <c r="U377" i="12"/>
  <c r="T377" i="12"/>
  <c r="S377" i="12"/>
  <c r="R377" i="12"/>
  <c r="Q377" i="12"/>
  <c r="P377" i="12"/>
  <c r="O377" i="12"/>
  <c r="N377" i="12"/>
  <c r="M377" i="12"/>
  <c r="L377" i="12"/>
  <c r="K377" i="12"/>
  <c r="J377" i="12"/>
  <c r="I377" i="12"/>
  <c r="H377" i="12"/>
  <c r="G377" i="12"/>
  <c r="F377" i="12"/>
  <c r="E377" i="12"/>
  <c r="D377" i="12"/>
  <c r="C377" i="12"/>
  <c r="B377" i="12"/>
  <c r="A377" i="12"/>
  <c r="Z376" i="12"/>
  <c r="Y376" i="12"/>
  <c r="X376" i="12"/>
  <c r="W376" i="12"/>
  <c r="V376" i="12"/>
  <c r="U376" i="12"/>
  <c r="T376" i="12"/>
  <c r="S376" i="12"/>
  <c r="R376" i="12"/>
  <c r="Q376" i="12"/>
  <c r="P376" i="12"/>
  <c r="O376" i="12"/>
  <c r="N376" i="12"/>
  <c r="M376" i="12"/>
  <c r="L376" i="12"/>
  <c r="K376" i="12"/>
  <c r="J376" i="12"/>
  <c r="I376" i="12"/>
  <c r="H376" i="12"/>
  <c r="G376" i="12"/>
  <c r="F376" i="12"/>
  <c r="E376" i="12"/>
  <c r="D376" i="12"/>
  <c r="C376" i="12"/>
  <c r="B376" i="12"/>
  <c r="A376" i="12"/>
  <c r="Z375" i="12"/>
  <c r="Y375" i="12"/>
  <c r="X375" i="12"/>
  <c r="W375" i="12"/>
  <c r="V375" i="12"/>
  <c r="U375" i="12"/>
  <c r="T375" i="12"/>
  <c r="S375" i="12"/>
  <c r="R375" i="12"/>
  <c r="Q375" i="12"/>
  <c r="P375" i="12"/>
  <c r="O375" i="12"/>
  <c r="N375" i="12"/>
  <c r="M375" i="12"/>
  <c r="L375" i="12"/>
  <c r="K375" i="12"/>
  <c r="J375" i="12"/>
  <c r="I375" i="12"/>
  <c r="H375" i="12"/>
  <c r="G375" i="12"/>
  <c r="F375" i="12"/>
  <c r="E375" i="12"/>
  <c r="D375" i="12"/>
  <c r="C375" i="12"/>
  <c r="B375" i="12"/>
  <c r="A375" i="12"/>
  <c r="Z374" i="12"/>
  <c r="Y374" i="12"/>
  <c r="X374" i="12"/>
  <c r="W374" i="12"/>
  <c r="V374" i="12"/>
  <c r="U374" i="12"/>
  <c r="T374" i="12"/>
  <c r="S374" i="12"/>
  <c r="R374" i="12"/>
  <c r="Q374" i="12"/>
  <c r="P374" i="12"/>
  <c r="O374" i="12"/>
  <c r="N374" i="12"/>
  <c r="M374" i="12"/>
  <c r="L374" i="12"/>
  <c r="K374" i="12"/>
  <c r="J374" i="12"/>
  <c r="I374" i="12"/>
  <c r="H374" i="12"/>
  <c r="G374" i="12"/>
  <c r="F374" i="12"/>
  <c r="E374" i="12"/>
  <c r="D374" i="12"/>
  <c r="C374" i="12"/>
  <c r="B374" i="12"/>
  <c r="A374" i="12"/>
  <c r="Z373" i="12"/>
  <c r="Y373" i="12"/>
  <c r="X373" i="12"/>
  <c r="W373" i="12"/>
  <c r="V373" i="12"/>
  <c r="U373" i="12"/>
  <c r="T373" i="12"/>
  <c r="S373" i="12"/>
  <c r="R373" i="12"/>
  <c r="Q373" i="12"/>
  <c r="P373" i="12"/>
  <c r="O373" i="12"/>
  <c r="N373" i="12"/>
  <c r="M373" i="12"/>
  <c r="L373" i="12"/>
  <c r="K373" i="12"/>
  <c r="J373" i="12"/>
  <c r="I373" i="12"/>
  <c r="H373" i="12"/>
  <c r="G373" i="12"/>
  <c r="F373" i="12"/>
  <c r="E373" i="12"/>
  <c r="D373" i="12"/>
  <c r="C373" i="12"/>
  <c r="B373" i="12"/>
  <c r="A373" i="12"/>
  <c r="Z372" i="12"/>
  <c r="Y372" i="12"/>
  <c r="X372" i="12"/>
  <c r="W372" i="12"/>
  <c r="V372" i="12"/>
  <c r="U372" i="12"/>
  <c r="T372" i="12"/>
  <c r="S372" i="12"/>
  <c r="R372" i="12"/>
  <c r="Q372" i="12"/>
  <c r="P372" i="12"/>
  <c r="O372" i="12"/>
  <c r="N372" i="12"/>
  <c r="M372" i="12"/>
  <c r="L372" i="12"/>
  <c r="K372" i="12"/>
  <c r="J372" i="12"/>
  <c r="I372" i="12"/>
  <c r="H372" i="12"/>
  <c r="G372" i="12"/>
  <c r="F372" i="12"/>
  <c r="E372" i="12"/>
  <c r="D372" i="12"/>
  <c r="C372" i="12"/>
  <c r="B372" i="12"/>
  <c r="A372" i="12"/>
  <c r="Z371" i="12"/>
  <c r="Y371" i="12"/>
  <c r="X371" i="12"/>
  <c r="W371" i="12"/>
  <c r="V371" i="12"/>
  <c r="U371" i="12"/>
  <c r="T371" i="12"/>
  <c r="S371" i="12"/>
  <c r="R371" i="12"/>
  <c r="Q371" i="12"/>
  <c r="P371" i="12"/>
  <c r="O371" i="12"/>
  <c r="N371" i="12"/>
  <c r="M371" i="12"/>
  <c r="L371" i="12"/>
  <c r="K371" i="12"/>
  <c r="J371" i="12"/>
  <c r="I371" i="12"/>
  <c r="H371" i="12"/>
  <c r="G371" i="12"/>
  <c r="F371" i="12"/>
  <c r="E371" i="12"/>
  <c r="D371" i="12"/>
  <c r="C371" i="12"/>
  <c r="B371" i="12"/>
  <c r="A371" i="12"/>
  <c r="Z370" i="12"/>
  <c r="Y370" i="12"/>
  <c r="X370" i="12"/>
  <c r="W370" i="12"/>
  <c r="V370" i="12"/>
  <c r="U370" i="12"/>
  <c r="T370" i="12"/>
  <c r="S370" i="12"/>
  <c r="R370" i="12"/>
  <c r="Q370" i="12"/>
  <c r="P370" i="12"/>
  <c r="O370" i="12"/>
  <c r="N370" i="12"/>
  <c r="M370" i="12"/>
  <c r="L370" i="12"/>
  <c r="K370" i="12"/>
  <c r="J370" i="12"/>
  <c r="I370" i="12"/>
  <c r="H370" i="12"/>
  <c r="G370" i="12"/>
  <c r="F370" i="12"/>
  <c r="E370" i="12"/>
  <c r="D370" i="12"/>
  <c r="C370" i="12"/>
  <c r="B370" i="12"/>
  <c r="A370" i="12"/>
  <c r="Z369" i="12"/>
  <c r="Y369" i="12"/>
  <c r="X369" i="12"/>
  <c r="W369" i="12"/>
  <c r="V369" i="12"/>
  <c r="U369" i="12"/>
  <c r="T369" i="12"/>
  <c r="S369" i="12"/>
  <c r="R369" i="12"/>
  <c r="Q369" i="12"/>
  <c r="P369" i="12"/>
  <c r="O369" i="12"/>
  <c r="N369" i="12"/>
  <c r="M369" i="12"/>
  <c r="L369" i="12"/>
  <c r="K369" i="12"/>
  <c r="J369" i="12"/>
  <c r="I369" i="12"/>
  <c r="H369" i="12"/>
  <c r="G369" i="12"/>
  <c r="F369" i="12"/>
  <c r="E369" i="12"/>
  <c r="D369" i="12"/>
  <c r="C369" i="12"/>
  <c r="B369" i="12"/>
  <c r="A369" i="12"/>
  <c r="Z368" i="12"/>
  <c r="Y368" i="12"/>
  <c r="X368" i="12"/>
  <c r="W368" i="12"/>
  <c r="V368" i="12"/>
  <c r="U368" i="12"/>
  <c r="T368" i="12"/>
  <c r="S368" i="12"/>
  <c r="R368" i="12"/>
  <c r="Q368" i="12"/>
  <c r="P368" i="12"/>
  <c r="O368" i="12"/>
  <c r="N368" i="12"/>
  <c r="M368" i="12"/>
  <c r="L368" i="12"/>
  <c r="K368" i="12"/>
  <c r="J368" i="12"/>
  <c r="I368" i="12"/>
  <c r="H368" i="12"/>
  <c r="G368" i="12"/>
  <c r="F368" i="12"/>
  <c r="E368" i="12"/>
  <c r="D368" i="12"/>
  <c r="C368" i="12"/>
  <c r="B368" i="12"/>
  <c r="A368" i="12"/>
  <c r="Z367" i="12"/>
  <c r="Y367" i="12"/>
  <c r="X367" i="12"/>
  <c r="W367" i="12"/>
  <c r="V367" i="12"/>
  <c r="U367" i="12"/>
  <c r="T367" i="12"/>
  <c r="S367" i="12"/>
  <c r="R367" i="12"/>
  <c r="Q367" i="12"/>
  <c r="P367" i="12"/>
  <c r="O367" i="12"/>
  <c r="N367" i="12"/>
  <c r="M367" i="12"/>
  <c r="L367" i="12"/>
  <c r="K367" i="12"/>
  <c r="J367" i="12"/>
  <c r="I367" i="12"/>
  <c r="H367" i="12"/>
  <c r="G367" i="12"/>
  <c r="F367" i="12"/>
  <c r="E367" i="12"/>
  <c r="D367" i="12"/>
  <c r="C367" i="12"/>
  <c r="B367" i="12"/>
  <c r="A367" i="12"/>
  <c r="Z366" i="12"/>
  <c r="Y366" i="12"/>
  <c r="X366" i="12"/>
  <c r="W366" i="12"/>
  <c r="V366" i="12"/>
  <c r="U366" i="12"/>
  <c r="T366" i="12"/>
  <c r="S366" i="12"/>
  <c r="R366" i="12"/>
  <c r="Q366" i="12"/>
  <c r="P366" i="12"/>
  <c r="O366" i="12"/>
  <c r="N366" i="12"/>
  <c r="M366" i="12"/>
  <c r="L366" i="12"/>
  <c r="K366" i="12"/>
  <c r="J366" i="12"/>
  <c r="I366" i="12"/>
  <c r="H366" i="12"/>
  <c r="G366" i="12"/>
  <c r="F366" i="12"/>
  <c r="E366" i="12"/>
  <c r="D366" i="12"/>
  <c r="C366" i="12"/>
  <c r="B366" i="12"/>
  <c r="A366" i="12"/>
  <c r="Z365" i="12"/>
  <c r="Y365" i="12"/>
  <c r="X365" i="12"/>
  <c r="W365" i="12"/>
  <c r="V365" i="12"/>
  <c r="U365" i="12"/>
  <c r="T365" i="12"/>
  <c r="S365" i="12"/>
  <c r="R365" i="12"/>
  <c r="Q365" i="12"/>
  <c r="P365" i="12"/>
  <c r="O365" i="12"/>
  <c r="N365" i="12"/>
  <c r="M365" i="12"/>
  <c r="L365" i="12"/>
  <c r="K365" i="12"/>
  <c r="J365" i="12"/>
  <c r="I365" i="12"/>
  <c r="H365" i="12"/>
  <c r="G365" i="12"/>
  <c r="F365" i="12"/>
  <c r="E365" i="12"/>
  <c r="D365" i="12"/>
  <c r="C365" i="12"/>
  <c r="B365" i="12"/>
  <c r="A365" i="12"/>
  <c r="Z364" i="12"/>
  <c r="Y364" i="12"/>
  <c r="X364" i="12"/>
  <c r="W364" i="12"/>
  <c r="V364" i="12"/>
  <c r="U364" i="12"/>
  <c r="T364" i="12"/>
  <c r="S364" i="12"/>
  <c r="R364" i="12"/>
  <c r="Q364" i="12"/>
  <c r="P364" i="12"/>
  <c r="O364" i="12"/>
  <c r="N364" i="12"/>
  <c r="M364" i="12"/>
  <c r="L364" i="12"/>
  <c r="K364" i="12"/>
  <c r="J364" i="12"/>
  <c r="I364" i="12"/>
  <c r="H364" i="12"/>
  <c r="G364" i="12"/>
  <c r="F364" i="12"/>
  <c r="E364" i="12"/>
  <c r="D364" i="12"/>
  <c r="C364" i="12"/>
  <c r="B364" i="12"/>
  <c r="A364" i="12"/>
  <c r="Z363" i="12"/>
  <c r="Y363" i="12"/>
  <c r="X363" i="12"/>
  <c r="W363" i="12"/>
  <c r="V363" i="12"/>
  <c r="U363" i="12"/>
  <c r="T363" i="12"/>
  <c r="S363" i="12"/>
  <c r="R363" i="12"/>
  <c r="Q363" i="12"/>
  <c r="P363" i="12"/>
  <c r="O363" i="12"/>
  <c r="N363" i="12"/>
  <c r="M363" i="12"/>
  <c r="L363" i="12"/>
  <c r="K363" i="12"/>
  <c r="J363" i="12"/>
  <c r="I363" i="12"/>
  <c r="H363" i="12"/>
  <c r="G363" i="12"/>
  <c r="F363" i="12"/>
  <c r="E363" i="12"/>
  <c r="D363" i="12"/>
  <c r="C363" i="12"/>
  <c r="B363" i="12"/>
  <c r="A363" i="12"/>
  <c r="Z362" i="12"/>
  <c r="Y362" i="12"/>
  <c r="X362" i="12"/>
  <c r="W362" i="12"/>
  <c r="V362" i="12"/>
  <c r="U362" i="12"/>
  <c r="T362" i="12"/>
  <c r="S362" i="12"/>
  <c r="R362" i="12"/>
  <c r="Q362" i="12"/>
  <c r="P362" i="12"/>
  <c r="O362" i="12"/>
  <c r="N362" i="12"/>
  <c r="M362" i="12"/>
  <c r="L362" i="12"/>
  <c r="K362" i="12"/>
  <c r="J362" i="12"/>
  <c r="I362" i="12"/>
  <c r="H362" i="12"/>
  <c r="G362" i="12"/>
  <c r="F362" i="12"/>
  <c r="E362" i="12"/>
  <c r="D362" i="12"/>
  <c r="C362" i="12"/>
  <c r="B362" i="12"/>
  <c r="A362" i="12"/>
  <c r="Z361" i="12"/>
  <c r="Y361" i="12"/>
  <c r="X361" i="12"/>
  <c r="W361" i="12"/>
  <c r="V361" i="12"/>
  <c r="U361" i="12"/>
  <c r="T361" i="12"/>
  <c r="S361" i="12"/>
  <c r="R361" i="12"/>
  <c r="Q361" i="12"/>
  <c r="P361" i="12"/>
  <c r="O361" i="12"/>
  <c r="N361" i="12"/>
  <c r="M361" i="12"/>
  <c r="L361" i="12"/>
  <c r="K361" i="12"/>
  <c r="J361" i="12"/>
  <c r="I361" i="12"/>
  <c r="H361" i="12"/>
  <c r="G361" i="12"/>
  <c r="F361" i="12"/>
  <c r="E361" i="12"/>
  <c r="D361" i="12"/>
  <c r="C361" i="12"/>
  <c r="B361" i="12"/>
  <c r="A361" i="12"/>
  <c r="Z360" i="12"/>
  <c r="Y360" i="12"/>
  <c r="X360" i="12"/>
  <c r="W360" i="12"/>
  <c r="V360" i="12"/>
  <c r="U360" i="12"/>
  <c r="T360" i="12"/>
  <c r="S360" i="12"/>
  <c r="R360" i="12"/>
  <c r="Q360" i="12"/>
  <c r="P360" i="12"/>
  <c r="O360" i="12"/>
  <c r="N360" i="12"/>
  <c r="M360" i="12"/>
  <c r="L360" i="12"/>
  <c r="K360" i="12"/>
  <c r="J360" i="12"/>
  <c r="I360" i="12"/>
  <c r="H360" i="12"/>
  <c r="G360" i="12"/>
  <c r="F360" i="12"/>
  <c r="E360" i="12"/>
  <c r="D360" i="12"/>
  <c r="C360" i="12"/>
  <c r="B360" i="12"/>
  <c r="A360" i="12"/>
  <c r="Z359" i="12"/>
  <c r="Y359" i="12"/>
  <c r="X359" i="12"/>
  <c r="W359" i="12"/>
  <c r="V359" i="12"/>
  <c r="U359" i="12"/>
  <c r="T359" i="12"/>
  <c r="S359" i="12"/>
  <c r="R359" i="12"/>
  <c r="Q359" i="12"/>
  <c r="P359" i="12"/>
  <c r="O359" i="12"/>
  <c r="N359" i="12"/>
  <c r="M359" i="12"/>
  <c r="L359" i="12"/>
  <c r="K359" i="12"/>
  <c r="J359" i="12"/>
  <c r="I359" i="12"/>
  <c r="H359" i="12"/>
  <c r="G359" i="12"/>
  <c r="F359" i="12"/>
  <c r="E359" i="12"/>
  <c r="D359" i="12"/>
  <c r="C359" i="12"/>
  <c r="B359" i="12"/>
  <c r="A359" i="12"/>
  <c r="Z358" i="12"/>
  <c r="Y358" i="12"/>
  <c r="X358" i="12"/>
  <c r="W358" i="12"/>
  <c r="V358" i="12"/>
  <c r="U358" i="12"/>
  <c r="T358" i="12"/>
  <c r="S358" i="12"/>
  <c r="R358" i="12"/>
  <c r="Q358" i="12"/>
  <c r="P358" i="12"/>
  <c r="O358" i="12"/>
  <c r="N358" i="12"/>
  <c r="M358" i="12"/>
  <c r="L358" i="12"/>
  <c r="K358" i="12"/>
  <c r="J358" i="12"/>
  <c r="I358" i="12"/>
  <c r="H358" i="12"/>
  <c r="G358" i="12"/>
  <c r="F358" i="12"/>
  <c r="E358" i="12"/>
  <c r="D358" i="12"/>
  <c r="C358" i="12"/>
  <c r="B358" i="12"/>
  <c r="A358" i="12"/>
  <c r="Z357" i="12"/>
  <c r="Y357" i="12"/>
  <c r="X357" i="12"/>
  <c r="W357" i="12"/>
  <c r="V357" i="12"/>
  <c r="U357" i="12"/>
  <c r="T357" i="12"/>
  <c r="S357" i="12"/>
  <c r="R357" i="12"/>
  <c r="Q357" i="12"/>
  <c r="P357" i="12"/>
  <c r="O357" i="12"/>
  <c r="N357" i="12"/>
  <c r="M357" i="12"/>
  <c r="L357" i="12"/>
  <c r="K357" i="12"/>
  <c r="J357" i="12"/>
  <c r="I357" i="12"/>
  <c r="H357" i="12"/>
  <c r="G357" i="12"/>
  <c r="F357" i="12"/>
  <c r="E357" i="12"/>
  <c r="D357" i="12"/>
  <c r="C357" i="12"/>
  <c r="B357" i="12"/>
  <c r="A357" i="12"/>
  <c r="Z356" i="12"/>
  <c r="Y356" i="12"/>
  <c r="X356" i="12"/>
  <c r="W356" i="12"/>
  <c r="V356" i="12"/>
  <c r="U356" i="12"/>
  <c r="T356" i="12"/>
  <c r="S356" i="12"/>
  <c r="R356" i="12"/>
  <c r="Q356" i="12"/>
  <c r="P356" i="12"/>
  <c r="O356" i="12"/>
  <c r="N356" i="12"/>
  <c r="M356" i="12"/>
  <c r="L356" i="12"/>
  <c r="K356" i="12"/>
  <c r="J356" i="12"/>
  <c r="I356" i="12"/>
  <c r="H356" i="12"/>
  <c r="G356" i="12"/>
  <c r="F356" i="12"/>
  <c r="E356" i="12"/>
  <c r="D356" i="12"/>
  <c r="C356" i="12"/>
  <c r="B356" i="12"/>
  <c r="A356" i="12"/>
  <c r="Z355" i="12"/>
  <c r="Y355" i="12"/>
  <c r="X355" i="12"/>
  <c r="W355" i="12"/>
  <c r="V355" i="12"/>
  <c r="U355" i="12"/>
  <c r="T355" i="12"/>
  <c r="S355" i="12"/>
  <c r="R355" i="12"/>
  <c r="Q355" i="12"/>
  <c r="P355" i="12"/>
  <c r="O355" i="12"/>
  <c r="N355" i="12"/>
  <c r="M355" i="12"/>
  <c r="L355" i="12"/>
  <c r="K355" i="12"/>
  <c r="J355" i="12"/>
  <c r="I355" i="12"/>
  <c r="H355" i="12"/>
  <c r="G355" i="12"/>
  <c r="F355" i="12"/>
  <c r="E355" i="12"/>
  <c r="D355" i="12"/>
  <c r="C355" i="12"/>
  <c r="B355" i="12"/>
  <c r="A355" i="12"/>
  <c r="Z354" i="12"/>
  <c r="Y354" i="12"/>
  <c r="X354" i="12"/>
  <c r="W354" i="12"/>
  <c r="V354" i="12"/>
  <c r="U354" i="12"/>
  <c r="T354" i="12"/>
  <c r="S354" i="12"/>
  <c r="R354" i="12"/>
  <c r="Q354" i="12"/>
  <c r="P354" i="12"/>
  <c r="O354" i="12"/>
  <c r="N354" i="12"/>
  <c r="M354" i="12"/>
  <c r="L354" i="12"/>
  <c r="K354" i="12"/>
  <c r="J354" i="12"/>
  <c r="I354" i="12"/>
  <c r="H354" i="12"/>
  <c r="G354" i="12"/>
  <c r="F354" i="12"/>
  <c r="E354" i="12"/>
  <c r="D354" i="12"/>
  <c r="C354" i="12"/>
  <c r="B354" i="12"/>
  <c r="A354" i="12"/>
  <c r="Z353" i="12"/>
  <c r="Y353" i="12"/>
  <c r="X353" i="12"/>
  <c r="W353" i="12"/>
  <c r="V353" i="12"/>
  <c r="U353" i="12"/>
  <c r="T353" i="12"/>
  <c r="S353" i="12"/>
  <c r="R353" i="12"/>
  <c r="Q353" i="12"/>
  <c r="P353" i="12"/>
  <c r="O353" i="12"/>
  <c r="N353" i="12"/>
  <c r="M353" i="12"/>
  <c r="L353" i="12"/>
  <c r="K353" i="12"/>
  <c r="J353" i="12"/>
  <c r="I353" i="12"/>
  <c r="H353" i="12"/>
  <c r="G353" i="12"/>
  <c r="F353" i="12"/>
  <c r="E353" i="12"/>
  <c r="D353" i="12"/>
  <c r="C353" i="12"/>
  <c r="B353" i="12"/>
  <c r="A353" i="12"/>
  <c r="Z352" i="12"/>
  <c r="Y352" i="12"/>
  <c r="X352" i="12"/>
  <c r="W352" i="12"/>
  <c r="V352" i="12"/>
  <c r="U352" i="12"/>
  <c r="T352" i="12"/>
  <c r="S352" i="12"/>
  <c r="R352" i="12"/>
  <c r="Q352" i="12"/>
  <c r="P352" i="12"/>
  <c r="O352" i="12"/>
  <c r="N352" i="12"/>
  <c r="M352" i="12"/>
  <c r="L352" i="12"/>
  <c r="K352" i="12"/>
  <c r="J352" i="12"/>
  <c r="I352" i="12"/>
  <c r="H352" i="12"/>
  <c r="G352" i="12"/>
  <c r="F352" i="12"/>
  <c r="E352" i="12"/>
  <c r="D352" i="12"/>
  <c r="C352" i="12"/>
  <c r="B352" i="12"/>
  <c r="A352" i="12"/>
  <c r="Z351" i="12"/>
  <c r="Y351" i="12"/>
  <c r="X351" i="12"/>
  <c r="W351" i="12"/>
  <c r="V351" i="12"/>
  <c r="U351" i="12"/>
  <c r="T351" i="12"/>
  <c r="S351" i="12"/>
  <c r="R351" i="12"/>
  <c r="Q351" i="12"/>
  <c r="P351" i="12"/>
  <c r="O351" i="12"/>
  <c r="N351" i="12"/>
  <c r="M351" i="12"/>
  <c r="L351" i="12"/>
  <c r="K351" i="12"/>
  <c r="J351" i="12"/>
  <c r="I351" i="12"/>
  <c r="H351" i="12"/>
  <c r="G351" i="12"/>
  <c r="F351" i="12"/>
  <c r="E351" i="12"/>
  <c r="D351" i="12"/>
  <c r="C351" i="12"/>
  <c r="B351" i="12"/>
  <c r="A351" i="12"/>
  <c r="Z350" i="12"/>
  <c r="Y350" i="12"/>
  <c r="X350" i="12"/>
  <c r="W350" i="12"/>
  <c r="V350" i="12"/>
  <c r="U350" i="12"/>
  <c r="T350" i="12"/>
  <c r="S350" i="12"/>
  <c r="R350" i="12"/>
  <c r="Q350" i="12"/>
  <c r="P350" i="12"/>
  <c r="O350" i="12"/>
  <c r="N350" i="12"/>
  <c r="M350" i="12"/>
  <c r="L350" i="12"/>
  <c r="K350" i="12"/>
  <c r="J350" i="12"/>
  <c r="I350" i="12"/>
  <c r="H350" i="12"/>
  <c r="G350" i="12"/>
  <c r="F350" i="12"/>
  <c r="E350" i="12"/>
  <c r="D350" i="12"/>
  <c r="C350" i="12"/>
  <c r="B350" i="12"/>
  <c r="A350" i="12"/>
  <c r="Z349" i="12"/>
  <c r="Y349" i="12"/>
  <c r="X349" i="12"/>
  <c r="W349" i="12"/>
  <c r="V349" i="12"/>
  <c r="U349" i="12"/>
  <c r="T349" i="12"/>
  <c r="S349" i="12"/>
  <c r="R349" i="12"/>
  <c r="Q349" i="12"/>
  <c r="P349" i="12"/>
  <c r="O349" i="12"/>
  <c r="N349" i="12"/>
  <c r="M349" i="12"/>
  <c r="L349" i="12"/>
  <c r="K349" i="12"/>
  <c r="J349" i="12"/>
  <c r="I349" i="12"/>
  <c r="H349" i="12"/>
  <c r="G349" i="12"/>
  <c r="F349" i="12"/>
  <c r="E349" i="12"/>
  <c r="D349" i="12"/>
  <c r="C349" i="12"/>
  <c r="B349" i="12"/>
  <c r="A349" i="12"/>
  <c r="Z348" i="12"/>
  <c r="Y348" i="12"/>
  <c r="X348" i="12"/>
  <c r="W348" i="12"/>
  <c r="V348" i="12"/>
  <c r="U348" i="12"/>
  <c r="T348" i="12"/>
  <c r="S348" i="12"/>
  <c r="R348" i="12"/>
  <c r="Q348" i="12"/>
  <c r="P348" i="12"/>
  <c r="O348" i="12"/>
  <c r="N348" i="12"/>
  <c r="M348" i="12"/>
  <c r="L348" i="12"/>
  <c r="K348" i="12"/>
  <c r="J348" i="12"/>
  <c r="I348" i="12"/>
  <c r="H348" i="12"/>
  <c r="G348" i="12"/>
  <c r="F348" i="12"/>
  <c r="E348" i="12"/>
  <c r="D348" i="12"/>
  <c r="C348" i="12"/>
  <c r="B348" i="12"/>
  <c r="A348" i="12"/>
  <c r="Z347" i="12"/>
  <c r="Y347" i="12"/>
  <c r="X347" i="12"/>
  <c r="W347" i="12"/>
  <c r="V347" i="12"/>
  <c r="U347" i="12"/>
  <c r="T347" i="12"/>
  <c r="S347" i="12"/>
  <c r="R347" i="12"/>
  <c r="Q347" i="12"/>
  <c r="P347" i="12"/>
  <c r="O347" i="12"/>
  <c r="N347" i="12"/>
  <c r="M347" i="12"/>
  <c r="L347" i="12"/>
  <c r="K347" i="12"/>
  <c r="J347" i="12"/>
  <c r="I347" i="12"/>
  <c r="H347" i="12"/>
  <c r="G347" i="12"/>
  <c r="F347" i="12"/>
  <c r="E347" i="12"/>
  <c r="D347" i="12"/>
  <c r="C347" i="12"/>
  <c r="B347" i="12"/>
  <c r="A347" i="12"/>
  <c r="Z346" i="12"/>
  <c r="Y346" i="12"/>
  <c r="X346" i="12"/>
  <c r="W346" i="12"/>
  <c r="V346" i="12"/>
  <c r="U346" i="12"/>
  <c r="T346" i="12"/>
  <c r="S346" i="12"/>
  <c r="R346" i="12"/>
  <c r="Q346" i="12"/>
  <c r="P346" i="12"/>
  <c r="O346" i="12"/>
  <c r="N346" i="12"/>
  <c r="M346" i="12"/>
  <c r="L346" i="12"/>
  <c r="K346" i="12"/>
  <c r="J346" i="12"/>
  <c r="I346" i="12"/>
  <c r="H346" i="12"/>
  <c r="G346" i="12"/>
  <c r="F346" i="12"/>
  <c r="E346" i="12"/>
  <c r="D346" i="12"/>
  <c r="C346" i="12"/>
  <c r="B346" i="12"/>
  <c r="A346" i="12"/>
  <c r="Z345" i="12"/>
  <c r="Y345" i="12"/>
  <c r="X345" i="12"/>
  <c r="W345" i="12"/>
  <c r="V345" i="12"/>
  <c r="U345" i="12"/>
  <c r="T345" i="12"/>
  <c r="S345" i="12"/>
  <c r="R345" i="12"/>
  <c r="Q345" i="12"/>
  <c r="P345" i="12"/>
  <c r="O345" i="12"/>
  <c r="N345" i="12"/>
  <c r="M345" i="12"/>
  <c r="L345" i="12"/>
  <c r="K345" i="12"/>
  <c r="J345" i="12"/>
  <c r="I345" i="12"/>
  <c r="H345" i="12"/>
  <c r="G345" i="12"/>
  <c r="F345" i="12"/>
  <c r="E345" i="12"/>
  <c r="D345" i="12"/>
  <c r="C345" i="12"/>
  <c r="B345" i="12"/>
  <c r="A345" i="12"/>
  <c r="Z344" i="12"/>
  <c r="Y344" i="12"/>
  <c r="X344" i="12"/>
  <c r="W344" i="12"/>
  <c r="V344" i="12"/>
  <c r="U344" i="12"/>
  <c r="T344" i="12"/>
  <c r="S344" i="12"/>
  <c r="R344" i="12"/>
  <c r="Q344" i="12"/>
  <c r="P344" i="12"/>
  <c r="O344" i="12"/>
  <c r="N344" i="12"/>
  <c r="M344" i="12"/>
  <c r="L344" i="12"/>
  <c r="K344" i="12"/>
  <c r="J344" i="12"/>
  <c r="I344" i="12"/>
  <c r="H344" i="12"/>
  <c r="G344" i="12"/>
  <c r="F344" i="12"/>
  <c r="E344" i="12"/>
  <c r="D344" i="12"/>
  <c r="C344" i="12"/>
  <c r="B344" i="12"/>
  <c r="A344" i="12"/>
  <c r="Z343" i="12"/>
  <c r="Y343" i="12"/>
  <c r="X343" i="12"/>
  <c r="W343" i="12"/>
  <c r="V343" i="12"/>
  <c r="U343" i="12"/>
  <c r="T343" i="12"/>
  <c r="S343" i="12"/>
  <c r="R343" i="12"/>
  <c r="Q343" i="12"/>
  <c r="P343" i="12"/>
  <c r="O343" i="12"/>
  <c r="N343" i="12"/>
  <c r="M343" i="12"/>
  <c r="L343" i="12"/>
  <c r="K343" i="12"/>
  <c r="J343" i="12"/>
  <c r="I343" i="12"/>
  <c r="H343" i="12"/>
  <c r="G343" i="12"/>
  <c r="F343" i="12"/>
  <c r="E343" i="12"/>
  <c r="D343" i="12"/>
  <c r="C343" i="12"/>
  <c r="B343" i="12"/>
  <c r="A343" i="12"/>
  <c r="Z342" i="12"/>
  <c r="Y342" i="12"/>
  <c r="X342" i="12"/>
  <c r="W342" i="12"/>
  <c r="V342" i="12"/>
  <c r="U342" i="12"/>
  <c r="T342" i="12"/>
  <c r="S342" i="12"/>
  <c r="R342" i="12"/>
  <c r="Q342" i="12"/>
  <c r="P342" i="12"/>
  <c r="O342" i="12"/>
  <c r="N342" i="12"/>
  <c r="M342" i="12"/>
  <c r="L342" i="12"/>
  <c r="K342" i="12"/>
  <c r="J342" i="12"/>
  <c r="I342" i="12"/>
  <c r="H342" i="12"/>
  <c r="G342" i="12"/>
  <c r="F342" i="12"/>
  <c r="E342" i="12"/>
  <c r="D342" i="12"/>
  <c r="C342" i="12"/>
  <c r="B342" i="12"/>
  <c r="A342" i="12"/>
  <c r="Z341" i="12"/>
  <c r="Y341" i="12"/>
  <c r="X341" i="12"/>
  <c r="W341" i="12"/>
  <c r="V341" i="12"/>
  <c r="U341" i="12"/>
  <c r="T341" i="12"/>
  <c r="S341" i="12"/>
  <c r="R341" i="12"/>
  <c r="Q341" i="12"/>
  <c r="P341" i="12"/>
  <c r="O341" i="12"/>
  <c r="N341" i="12"/>
  <c r="M341" i="12"/>
  <c r="L341" i="12"/>
  <c r="K341" i="12"/>
  <c r="J341" i="12"/>
  <c r="I341" i="12"/>
  <c r="H341" i="12"/>
  <c r="G341" i="12"/>
  <c r="F341" i="12"/>
  <c r="E341" i="12"/>
  <c r="D341" i="12"/>
  <c r="C341" i="12"/>
  <c r="B341" i="12"/>
  <c r="A341" i="12"/>
  <c r="Z340" i="12"/>
  <c r="Y340" i="12"/>
  <c r="X340" i="12"/>
  <c r="W340" i="12"/>
  <c r="V340" i="12"/>
  <c r="U340" i="12"/>
  <c r="T340" i="12"/>
  <c r="S340" i="12"/>
  <c r="R340" i="12"/>
  <c r="Q340" i="12"/>
  <c r="P340" i="12"/>
  <c r="O340" i="12"/>
  <c r="N340" i="12"/>
  <c r="M340" i="12"/>
  <c r="L340" i="12"/>
  <c r="K340" i="12"/>
  <c r="J340" i="12"/>
  <c r="I340" i="12"/>
  <c r="H340" i="12"/>
  <c r="G340" i="12"/>
  <c r="F340" i="12"/>
  <c r="E340" i="12"/>
  <c r="D340" i="12"/>
  <c r="C340" i="12"/>
  <c r="B340" i="12"/>
  <c r="A340" i="12"/>
  <c r="Z339" i="12"/>
  <c r="Y339" i="12"/>
  <c r="X339" i="12"/>
  <c r="W339" i="12"/>
  <c r="V339" i="12"/>
  <c r="U339" i="12"/>
  <c r="T339" i="12"/>
  <c r="S339" i="12"/>
  <c r="R339" i="12"/>
  <c r="Q339" i="12"/>
  <c r="P339" i="12"/>
  <c r="O339" i="12"/>
  <c r="N339" i="12"/>
  <c r="M339" i="12"/>
  <c r="L339" i="12"/>
  <c r="K339" i="12"/>
  <c r="J339" i="12"/>
  <c r="I339" i="12"/>
  <c r="H339" i="12"/>
  <c r="G339" i="12"/>
  <c r="F339" i="12"/>
  <c r="E339" i="12"/>
  <c r="D339" i="12"/>
  <c r="C339" i="12"/>
  <c r="B339" i="12"/>
  <c r="A339" i="12"/>
  <c r="Z338" i="12"/>
  <c r="Y338" i="12"/>
  <c r="X338" i="12"/>
  <c r="W338" i="12"/>
  <c r="V338" i="12"/>
  <c r="U338" i="12"/>
  <c r="T338" i="12"/>
  <c r="S338" i="12"/>
  <c r="R338" i="12"/>
  <c r="Q338" i="12"/>
  <c r="P338" i="12"/>
  <c r="O338" i="12"/>
  <c r="N338" i="12"/>
  <c r="M338" i="12"/>
  <c r="L338" i="12"/>
  <c r="K338" i="12"/>
  <c r="J338" i="12"/>
  <c r="I338" i="12"/>
  <c r="H338" i="12"/>
  <c r="G338" i="12"/>
  <c r="F338" i="12"/>
  <c r="E338" i="12"/>
  <c r="D338" i="12"/>
  <c r="C338" i="12"/>
  <c r="B338" i="12"/>
  <c r="A338" i="12"/>
  <c r="Z337" i="12"/>
  <c r="Y337" i="12"/>
  <c r="X337" i="12"/>
  <c r="W337" i="12"/>
  <c r="V337" i="12"/>
  <c r="U337" i="12"/>
  <c r="T337" i="12"/>
  <c r="S337" i="12"/>
  <c r="R337" i="12"/>
  <c r="Q337" i="12"/>
  <c r="P337" i="12"/>
  <c r="O337" i="12"/>
  <c r="N337" i="12"/>
  <c r="M337" i="12"/>
  <c r="L337" i="12"/>
  <c r="K337" i="12"/>
  <c r="J337" i="12"/>
  <c r="I337" i="12"/>
  <c r="H337" i="12"/>
  <c r="G337" i="12"/>
  <c r="F337" i="12"/>
  <c r="E337" i="12"/>
  <c r="D337" i="12"/>
  <c r="C337" i="12"/>
  <c r="B337" i="12"/>
  <c r="A337" i="12"/>
  <c r="Z336" i="12"/>
  <c r="Y336" i="12"/>
  <c r="X336" i="12"/>
  <c r="W336" i="12"/>
  <c r="V336" i="12"/>
  <c r="U336" i="12"/>
  <c r="T336" i="12"/>
  <c r="S336" i="12"/>
  <c r="R336" i="12"/>
  <c r="Q336" i="12"/>
  <c r="P336" i="12"/>
  <c r="O336" i="12"/>
  <c r="N336" i="12"/>
  <c r="M336" i="12"/>
  <c r="L336" i="12"/>
  <c r="K336" i="12"/>
  <c r="J336" i="12"/>
  <c r="I336" i="12"/>
  <c r="H336" i="12"/>
  <c r="G336" i="12"/>
  <c r="F336" i="12"/>
  <c r="E336" i="12"/>
  <c r="D336" i="12"/>
  <c r="C336" i="12"/>
  <c r="B336" i="12"/>
  <c r="A336" i="12"/>
  <c r="Z335" i="12"/>
  <c r="Y335" i="12"/>
  <c r="X335" i="12"/>
  <c r="W335" i="12"/>
  <c r="V335" i="12"/>
  <c r="U335" i="12"/>
  <c r="T335" i="12"/>
  <c r="S335" i="12"/>
  <c r="R335" i="12"/>
  <c r="Q335" i="12"/>
  <c r="P335" i="12"/>
  <c r="O335" i="12"/>
  <c r="N335" i="12"/>
  <c r="M335" i="12"/>
  <c r="L335" i="12"/>
  <c r="K335" i="12"/>
  <c r="J335" i="12"/>
  <c r="I335" i="12"/>
  <c r="H335" i="12"/>
  <c r="G335" i="12"/>
  <c r="F335" i="12"/>
  <c r="E335" i="12"/>
  <c r="D335" i="12"/>
  <c r="C335" i="12"/>
  <c r="B335" i="12"/>
  <c r="A335" i="12"/>
  <c r="Z334" i="12"/>
  <c r="Y334" i="12"/>
  <c r="X334" i="12"/>
  <c r="W334" i="12"/>
  <c r="V334" i="12"/>
  <c r="U334" i="12"/>
  <c r="T334" i="12"/>
  <c r="S334" i="12"/>
  <c r="R334" i="12"/>
  <c r="Q334" i="12"/>
  <c r="P334" i="12"/>
  <c r="O334" i="12"/>
  <c r="N334" i="12"/>
  <c r="M334" i="12"/>
  <c r="L334" i="12"/>
  <c r="K334" i="12"/>
  <c r="J334" i="12"/>
  <c r="I334" i="12"/>
  <c r="H334" i="12"/>
  <c r="G334" i="12"/>
  <c r="F334" i="12"/>
  <c r="E334" i="12"/>
  <c r="D334" i="12"/>
  <c r="C334" i="12"/>
  <c r="B334" i="12"/>
  <c r="A334" i="12"/>
  <c r="Z333" i="12"/>
  <c r="Y333" i="12"/>
  <c r="X333" i="12"/>
  <c r="W333" i="12"/>
  <c r="V333" i="12"/>
  <c r="U333" i="12"/>
  <c r="T333" i="12"/>
  <c r="S333" i="12"/>
  <c r="R333" i="12"/>
  <c r="Q333" i="12"/>
  <c r="P333" i="12"/>
  <c r="O333" i="12"/>
  <c r="N333" i="12"/>
  <c r="M333" i="12"/>
  <c r="L333" i="12"/>
  <c r="K333" i="12"/>
  <c r="J333" i="12"/>
  <c r="I333" i="12"/>
  <c r="H333" i="12"/>
  <c r="G333" i="12"/>
  <c r="F333" i="12"/>
  <c r="E333" i="12"/>
  <c r="D333" i="12"/>
  <c r="C333" i="12"/>
  <c r="B333" i="12"/>
  <c r="A333" i="12"/>
  <c r="Z332" i="12"/>
  <c r="Y332" i="12"/>
  <c r="X332" i="12"/>
  <c r="W332" i="12"/>
  <c r="V332" i="12"/>
  <c r="U332" i="12"/>
  <c r="T332" i="12"/>
  <c r="S332" i="12"/>
  <c r="R332" i="12"/>
  <c r="Q332" i="12"/>
  <c r="P332" i="12"/>
  <c r="O332" i="12"/>
  <c r="N332" i="12"/>
  <c r="M332" i="12"/>
  <c r="L332" i="12"/>
  <c r="K332" i="12"/>
  <c r="J332" i="12"/>
  <c r="I332" i="12"/>
  <c r="H332" i="12"/>
  <c r="G332" i="12"/>
  <c r="F332" i="12"/>
  <c r="E332" i="12"/>
  <c r="D332" i="12"/>
  <c r="C332" i="12"/>
  <c r="B332" i="12"/>
  <c r="A332" i="12"/>
  <c r="Z331" i="12"/>
  <c r="Y331" i="12"/>
  <c r="X331" i="12"/>
  <c r="W331" i="12"/>
  <c r="V331" i="12"/>
  <c r="U331" i="12"/>
  <c r="T331" i="12"/>
  <c r="S331" i="12"/>
  <c r="R331" i="12"/>
  <c r="Q331" i="12"/>
  <c r="P331" i="12"/>
  <c r="O331" i="12"/>
  <c r="N331" i="12"/>
  <c r="M331" i="12"/>
  <c r="L331" i="12"/>
  <c r="K331" i="12"/>
  <c r="J331" i="12"/>
  <c r="I331" i="12"/>
  <c r="H331" i="12"/>
  <c r="G331" i="12"/>
  <c r="F331" i="12"/>
  <c r="E331" i="12"/>
  <c r="D331" i="12"/>
  <c r="C331" i="12"/>
  <c r="B331" i="12"/>
  <c r="A331" i="12"/>
  <c r="Z330" i="12"/>
  <c r="Y330" i="12"/>
  <c r="X330" i="12"/>
  <c r="W330" i="12"/>
  <c r="V330" i="12"/>
  <c r="U330" i="12"/>
  <c r="T330" i="12"/>
  <c r="S330" i="12"/>
  <c r="R330" i="12"/>
  <c r="Q330" i="12"/>
  <c r="P330" i="12"/>
  <c r="O330" i="12"/>
  <c r="N330" i="12"/>
  <c r="M330" i="12"/>
  <c r="L330" i="12"/>
  <c r="K330" i="12"/>
  <c r="J330" i="12"/>
  <c r="I330" i="12"/>
  <c r="H330" i="12"/>
  <c r="G330" i="12"/>
  <c r="F330" i="12"/>
  <c r="E330" i="12"/>
  <c r="D330" i="12"/>
  <c r="C330" i="12"/>
  <c r="B330" i="12"/>
  <c r="A330" i="12"/>
  <c r="Z329" i="12"/>
  <c r="Y329" i="12"/>
  <c r="X329" i="12"/>
  <c r="W329" i="12"/>
  <c r="V329" i="12"/>
  <c r="U329" i="12"/>
  <c r="T329" i="12"/>
  <c r="S329" i="12"/>
  <c r="R329" i="12"/>
  <c r="Q329" i="12"/>
  <c r="P329" i="12"/>
  <c r="O329" i="12"/>
  <c r="N329" i="12"/>
  <c r="M329" i="12"/>
  <c r="L329" i="12"/>
  <c r="K329" i="12"/>
  <c r="J329" i="12"/>
  <c r="I329" i="12"/>
  <c r="H329" i="12"/>
  <c r="G329" i="12"/>
  <c r="F329" i="12"/>
  <c r="E329" i="12"/>
  <c r="D329" i="12"/>
  <c r="C329" i="12"/>
  <c r="B329" i="12"/>
  <c r="A329" i="12"/>
  <c r="Z328" i="12"/>
  <c r="Y328" i="12"/>
  <c r="X328" i="12"/>
  <c r="W328" i="12"/>
  <c r="V328" i="12"/>
  <c r="U328" i="12"/>
  <c r="T328" i="12"/>
  <c r="S328" i="12"/>
  <c r="R328" i="12"/>
  <c r="Q328" i="12"/>
  <c r="P328" i="12"/>
  <c r="O328" i="12"/>
  <c r="N328" i="12"/>
  <c r="M328" i="12"/>
  <c r="L328" i="12"/>
  <c r="K328" i="12"/>
  <c r="J328" i="12"/>
  <c r="I328" i="12"/>
  <c r="H328" i="12"/>
  <c r="G328" i="12"/>
  <c r="F328" i="12"/>
  <c r="E328" i="12"/>
  <c r="D328" i="12"/>
  <c r="C328" i="12"/>
  <c r="B328" i="12"/>
  <c r="A328" i="12"/>
  <c r="Z327" i="12"/>
  <c r="Y327" i="12"/>
  <c r="X327" i="12"/>
  <c r="W327" i="12"/>
  <c r="V327" i="12"/>
  <c r="U327" i="12"/>
  <c r="T327" i="12"/>
  <c r="S327" i="12"/>
  <c r="R327" i="12"/>
  <c r="Q327" i="12"/>
  <c r="P327" i="12"/>
  <c r="O327" i="12"/>
  <c r="N327" i="12"/>
  <c r="M327" i="12"/>
  <c r="L327" i="12"/>
  <c r="K327" i="12"/>
  <c r="J327" i="12"/>
  <c r="I327" i="12"/>
  <c r="H327" i="12"/>
  <c r="G327" i="12"/>
  <c r="F327" i="12"/>
  <c r="E327" i="12"/>
  <c r="D327" i="12"/>
  <c r="C327" i="12"/>
  <c r="B327" i="12"/>
  <c r="A327" i="12"/>
  <c r="Z326" i="12"/>
  <c r="Y326" i="12"/>
  <c r="X326" i="12"/>
  <c r="W326" i="12"/>
  <c r="V326" i="12"/>
  <c r="U326" i="12"/>
  <c r="T326" i="12"/>
  <c r="S326" i="12"/>
  <c r="R326" i="12"/>
  <c r="Q326" i="12"/>
  <c r="P326" i="12"/>
  <c r="O326" i="12"/>
  <c r="N326" i="12"/>
  <c r="M326" i="12"/>
  <c r="L326" i="12"/>
  <c r="K326" i="12"/>
  <c r="J326" i="12"/>
  <c r="I326" i="12"/>
  <c r="H326" i="12"/>
  <c r="G326" i="12"/>
  <c r="F326" i="12"/>
  <c r="E326" i="12"/>
  <c r="D326" i="12"/>
  <c r="C326" i="12"/>
  <c r="B326" i="12"/>
  <c r="A326" i="12"/>
  <c r="Z325" i="12"/>
  <c r="Y325" i="12"/>
  <c r="X325" i="12"/>
  <c r="W325" i="12"/>
  <c r="V325" i="12"/>
  <c r="U325" i="12"/>
  <c r="T325" i="12"/>
  <c r="S325" i="12"/>
  <c r="R325" i="12"/>
  <c r="Q325" i="12"/>
  <c r="P325" i="12"/>
  <c r="O325" i="12"/>
  <c r="N325" i="12"/>
  <c r="M325" i="12"/>
  <c r="L325" i="12"/>
  <c r="K325" i="12"/>
  <c r="J325" i="12"/>
  <c r="I325" i="12"/>
  <c r="H325" i="12"/>
  <c r="G325" i="12"/>
  <c r="F325" i="12"/>
  <c r="E325" i="12"/>
  <c r="D325" i="12"/>
  <c r="C325" i="12"/>
  <c r="B325" i="12"/>
  <c r="A325" i="12"/>
  <c r="Z324" i="12"/>
  <c r="Y324" i="12"/>
  <c r="X324" i="12"/>
  <c r="W324" i="12"/>
  <c r="V324" i="12"/>
  <c r="U324" i="12"/>
  <c r="T324" i="12"/>
  <c r="S324" i="12"/>
  <c r="R324" i="12"/>
  <c r="Q324" i="12"/>
  <c r="P324" i="12"/>
  <c r="O324" i="12"/>
  <c r="N324" i="12"/>
  <c r="M324" i="12"/>
  <c r="L324" i="12"/>
  <c r="K324" i="12"/>
  <c r="J324" i="12"/>
  <c r="I324" i="12"/>
  <c r="H324" i="12"/>
  <c r="G324" i="12"/>
  <c r="F324" i="12"/>
  <c r="E324" i="12"/>
  <c r="D324" i="12"/>
  <c r="C324" i="12"/>
  <c r="B324" i="12"/>
  <c r="A324" i="12"/>
  <c r="Z323" i="12"/>
  <c r="Y323" i="12"/>
  <c r="X323" i="12"/>
  <c r="W323" i="12"/>
  <c r="V323" i="12"/>
  <c r="U323" i="12"/>
  <c r="T323" i="12"/>
  <c r="S323" i="12"/>
  <c r="R323" i="12"/>
  <c r="Q323" i="12"/>
  <c r="P323" i="12"/>
  <c r="O323" i="12"/>
  <c r="N323" i="12"/>
  <c r="M323" i="12"/>
  <c r="L323" i="12"/>
  <c r="K323" i="12"/>
  <c r="J323" i="12"/>
  <c r="I323" i="12"/>
  <c r="H323" i="12"/>
  <c r="G323" i="12"/>
  <c r="F323" i="12"/>
  <c r="E323" i="12"/>
  <c r="D323" i="12"/>
  <c r="C323" i="12"/>
  <c r="B323" i="12"/>
  <c r="A323" i="12"/>
  <c r="Z322" i="12"/>
  <c r="Y322" i="12"/>
  <c r="X322" i="12"/>
  <c r="W322" i="12"/>
  <c r="V322" i="12"/>
  <c r="U322" i="12"/>
  <c r="T322" i="12"/>
  <c r="S322" i="12"/>
  <c r="R322" i="12"/>
  <c r="Q322" i="12"/>
  <c r="P322" i="12"/>
  <c r="O322" i="12"/>
  <c r="N322" i="12"/>
  <c r="M322" i="12"/>
  <c r="L322" i="12"/>
  <c r="K322" i="12"/>
  <c r="J322" i="12"/>
  <c r="I322" i="12"/>
  <c r="H322" i="12"/>
  <c r="G322" i="12"/>
  <c r="F322" i="12"/>
  <c r="E322" i="12"/>
  <c r="D322" i="12"/>
  <c r="C322" i="12"/>
  <c r="B322" i="12"/>
  <c r="A322" i="12"/>
  <c r="Z321" i="12"/>
  <c r="Y321" i="12"/>
  <c r="X321" i="12"/>
  <c r="W321" i="12"/>
  <c r="V321" i="12"/>
  <c r="U321" i="12"/>
  <c r="T321" i="12"/>
  <c r="S321" i="12"/>
  <c r="R321" i="12"/>
  <c r="Q321" i="12"/>
  <c r="P321" i="12"/>
  <c r="O321" i="12"/>
  <c r="N321" i="12"/>
  <c r="M321" i="12"/>
  <c r="L321" i="12"/>
  <c r="K321" i="12"/>
  <c r="J321" i="12"/>
  <c r="I321" i="12"/>
  <c r="H321" i="12"/>
  <c r="G321" i="12"/>
  <c r="F321" i="12"/>
  <c r="E321" i="12"/>
  <c r="D321" i="12"/>
  <c r="C321" i="12"/>
  <c r="B321" i="12"/>
  <c r="A321" i="12"/>
  <c r="Z320" i="12"/>
  <c r="Y320" i="12"/>
  <c r="X320" i="12"/>
  <c r="W320" i="12"/>
  <c r="V320" i="12"/>
  <c r="U320" i="12"/>
  <c r="T320" i="12"/>
  <c r="S320" i="12"/>
  <c r="R320" i="12"/>
  <c r="Q320" i="12"/>
  <c r="P320" i="12"/>
  <c r="O320" i="12"/>
  <c r="N320" i="12"/>
  <c r="M320" i="12"/>
  <c r="L320" i="12"/>
  <c r="K320" i="12"/>
  <c r="J320" i="12"/>
  <c r="I320" i="12"/>
  <c r="H320" i="12"/>
  <c r="G320" i="12"/>
  <c r="F320" i="12"/>
  <c r="E320" i="12"/>
  <c r="D320" i="12"/>
  <c r="C320" i="12"/>
  <c r="B320" i="12"/>
  <c r="A320" i="12"/>
  <c r="Z319" i="12"/>
  <c r="Y319" i="12"/>
  <c r="X319" i="12"/>
  <c r="W319" i="12"/>
  <c r="V319" i="12"/>
  <c r="U319" i="12"/>
  <c r="T319" i="12"/>
  <c r="S319" i="12"/>
  <c r="R319" i="12"/>
  <c r="Q319" i="12"/>
  <c r="P319" i="12"/>
  <c r="O319" i="12"/>
  <c r="N319" i="12"/>
  <c r="M319" i="12"/>
  <c r="L319" i="12"/>
  <c r="K319" i="12"/>
  <c r="J319" i="12"/>
  <c r="I319" i="12"/>
  <c r="H319" i="12"/>
  <c r="G319" i="12"/>
  <c r="F319" i="12"/>
  <c r="E319" i="12"/>
  <c r="D319" i="12"/>
  <c r="C319" i="12"/>
  <c r="B319" i="12"/>
  <c r="A319" i="12"/>
  <c r="Z318" i="12"/>
  <c r="Y318" i="12"/>
  <c r="X318" i="12"/>
  <c r="W318" i="12"/>
  <c r="V318" i="12"/>
  <c r="U318" i="12"/>
  <c r="T318" i="12"/>
  <c r="S318" i="12"/>
  <c r="R318" i="12"/>
  <c r="Q318" i="12"/>
  <c r="P318" i="12"/>
  <c r="O318" i="12"/>
  <c r="N318" i="12"/>
  <c r="M318" i="12"/>
  <c r="L318" i="12"/>
  <c r="K318" i="12"/>
  <c r="J318" i="12"/>
  <c r="I318" i="12"/>
  <c r="H318" i="12"/>
  <c r="G318" i="12"/>
  <c r="F318" i="12"/>
  <c r="E318" i="12"/>
  <c r="D318" i="12"/>
  <c r="C318" i="12"/>
  <c r="B318" i="12"/>
  <c r="A318" i="12"/>
  <c r="Z317" i="12"/>
  <c r="Y317" i="12"/>
  <c r="X317" i="12"/>
  <c r="W317" i="12"/>
  <c r="V317" i="12"/>
  <c r="U317" i="12"/>
  <c r="T317" i="12"/>
  <c r="S317" i="12"/>
  <c r="R317" i="12"/>
  <c r="Q317" i="12"/>
  <c r="P317" i="12"/>
  <c r="O317" i="12"/>
  <c r="N317" i="12"/>
  <c r="M317" i="12"/>
  <c r="L317" i="12"/>
  <c r="K317" i="12"/>
  <c r="J317" i="12"/>
  <c r="I317" i="12"/>
  <c r="H317" i="12"/>
  <c r="G317" i="12"/>
  <c r="F317" i="12"/>
  <c r="E317" i="12"/>
  <c r="D317" i="12"/>
  <c r="C317" i="12"/>
  <c r="B317" i="12"/>
  <c r="A317" i="12"/>
  <c r="Z316" i="12"/>
  <c r="Y316" i="12"/>
  <c r="X316" i="12"/>
  <c r="W316" i="12"/>
  <c r="V316" i="12"/>
  <c r="U316" i="12"/>
  <c r="T316" i="12"/>
  <c r="S316" i="12"/>
  <c r="R316" i="12"/>
  <c r="Q316" i="12"/>
  <c r="P316" i="12"/>
  <c r="O316" i="12"/>
  <c r="N316" i="12"/>
  <c r="M316" i="12"/>
  <c r="L316" i="12"/>
  <c r="K316" i="12"/>
  <c r="J316" i="12"/>
  <c r="I316" i="12"/>
  <c r="H316" i="12"/>
  <c r="G316" i="12"/>
  <c r="F316" i="12"/>
  <c r="E316" i="12"/>
  <c r="D316" i="12"/>
  <c r="C316" i="12"/>
  <c r="B316" i="12"/>
  <c r="A316" i="12"/>
  <c r="Z315" i="12"/>
  <c r="Y315" i="12"/>
  <c r="X315" i="12"/>
  <c r="W315" i="12"/>
  <c r="V315" i="12"/>
  <c r="U315" i="12"/>
  <c r="T315" i="12"/>
  <c r="S315" i="12"/>
  <c r="R315" i="12"/>
  <c r="Q315" i="12"/>
  <c r="P315" i="12"/>
  <c r="O315" i="12"/>
  <c r="N315" i="12"/>
  <c r="M315" i="12"/>
  <c r="L315" i="12"/>
  <c r="K315" i="12"/>
  <c r="J315" i="12"/>
  <c r="I315" i="12"/>
  <c r="H315" i="12"/>
  <c r="G315" i="12"/>
  <c r="F315" i="12"/>
  <c r="E315" i="12"/>
  <c r="D315" i="12"/>
  <c r="C315" i="12"/>
  <c r="B315" i="12"/>
  <c r="A315" i="12"/>
  <c r="Z314" i="12"/>
  <c r="Y314" i="12"/>
  <c r="X314" i="12"/>
  <c r="W314" i="12"/>
  <c r="V314" i="12"/>
  <c r="U314" i="12"/>
  <c r="T314" i="12"/>
  <c r="S314" i="12"/>
  <c r="R314" i="12"/>
  <c r="Q314" i="12"/>
  <c r="P314" i="12"/>
  <c r="O314" i="12"/>
  <c r="N314" i="12"/>
  <c r="M314" i="12"/>
  <c r="L314" i="12"/>
  <c r="K314" i="12"/>
  <c r="J314" i="12"/>
  <c r="I314" i="12"/>
  <c r="H314" i="12"/>
  <c r="G314" i="12"/>
  <c r="F314" i="12"/>
  <c r="E314" i="12"/>
  <c r="D314" i="12"/>
  <c r="C314" i="12"/>
  <c r="B314" i="12"/>
  <c r="A314" i="12"/>
  <c r="Z313" i="12"/>
  <c r="Y313" i="12"/>
  <c r="X313" i="12"/>
  <c r="W313" i="12"/>
  <c r="V313" i="12"/>
  <c r="U313" i="12"/>
  <c r="T313" i="12"/>
  <c r="S313" i="12"/>
  <c r="R313" i="12"/>
  <c r="Q313" i="12"/>
  <c r="P313" i="12"/>
  <c r="O313" i="12"/>
  <c r="N313" i="12"/>
  <c r="M313" i="12"/>
  <c r="L313" i="12"/>
  <c r="K313" i="12"/>
  <c r="J313" i="12"/>
  <c r="I313" i="12"/>
  <c r="H313" i="12"/>
  <c r="G313" i="12"/>
  <c r="F313" i="12"/>
  <c r="E313" i="12"/>
  <c r="D313" i="12"/>
  <c r="C313" i="12"/>
  <c r="B313" i="12"/>
  <c r="A313" i="12"/>
  <c r="Z312" i="12"/>
  <c r="Y312" i="12"/>
  <c r="X312" i="12"/>
  <c r="W312" i="12"/>
  <c r="V312" i="12"/>
  <c r="U312" i="12"/>
  <c r="T312" i="12"/>
  <c r="S312" i="12"/>
  <c r="R312" i="12"/>
  <c r="Q312" i="12"/>
  <c r="P312" i="12"/>
  <c r="O312" i="12"/>
  <c r="N312" i="12"/>
  <c r="M312" i="12"/>
  <c r="L312" i="12"/>
  <c r="K312" i="12"/>
  <c r="J312" i="12"/>
  <c r="I312" i="12"/>
  <c r="H312" i="12"/>
  <c r="G312" i="12"/>
  <c r="F312" i="12"/>
  <c r="E312" i="12"/>
  <c r="D312" i="12"/>
  <c r="C312" i="12"/>
  <c r="B312" i="12"/>
  <c r="A312" i="12"/>
  <c r="Z311" i="12"/>
  <c r="Y311" i="12"/>
  <c r="X311" i="12"/>
  <c r="W311" i="12"/>
  <c r="V311" i="12"/>
  <c r="U311" i="12"/>
  <c r="T311" i="12"/>
  <c r="S311" i="12"/>
  <c r="R311" i="12"/>
  <c r="Q311" i="12"/>
  <c r="P311" i="12"/>
  <c r="O311" i="12"/>
  <c r="N311" i="12"/>
  <c r="M311" i="12"/>
  <c r="L311" i="12"/>
  <c r="K311" i="12"/>
  <c r="J311" i="12"/>
  <c r="I311" i="12"/>
  <c r="H311" i="12"/>
  <c r="G311" i="12"/>
  <c r="F311" i="12"/>
  <c r="E311" i="12"/>
  <c r="D311" i="12"/>
  <c r="C311" i="12"/>
  <c r="B311" i="12"/>
  <c r="A311" i="12"/>
  <c r="Z310" i="12"/>
  <c r="Y310" i="12"/>
  <c r="X310" i="12"/>
  <c r="W310" i="12"/>
  <c r="V310" i="12"/>
  <c r="U310" i="12"/>
  <c r="T310" i="12"/>
  <c r="S310" i="12"/>
  <c r="R310" i="12"/>
  <c r="Q310" i="12"/>
  <c r="P310" i="12"/>
  <c r="O310" i="12"/>
  <c r="N310" i="12"/>
  <c r="M310" i="12"/>
  <c r="L310" i="12"/>
  <c r="K310" i="12"/>
  <c r="J310" i="12"/>
  <c r="I310" i="12"/>
  <c r="H310" i="12"/>
  <c r="G310" i="12"/>
  <c r="F310" i="12"/>
  <c r="E310" i="12"/>
  <c r="D310" i="12"/>
  <c r="C310" i="12"/>
  <c r="B310" i="12"/>
  <c r="A310" i="12"/>
  <c r="Z309" i="12"/>
  <c r="Y309" i="12"/>
  <c r="X309" i="12"/>
  <c r="W309" i="12"/>
  <c r="V309" i="12"/>
  <c r="U309" i="12"/>
  <c r="T309" i="12"/>
  <c r="S309" i="12"/>
  <c r="R309" i="12"/>
  <c r="Q309" i="12"/>
  <c r="P309" i="12"/>
  <c r="O309" i="12"/>
  <c r="N309" i="12"/>
  <c r="M309" i="12"/>
  <c r="L309" i="12"/>
  <c r="K309" i="12"/>
  <c r="J309" i="12"/>
  <c r="I309" i="12"/>
  <c r="H309" i="12"/>
  <c r="G309" i="12"/>
  <c r="F309" i="12"/>
  <c r="E309" i="12"/>
  <c r="D309" i="12"/>
  <c r="C309" i="12"/>
  <c r="B309" i="12"/>
  <c r="A309" i="12"/>
  <c r="Z308" i="12"/>
  <c r="Y308" i="12"/>
  <c r="X308" i="12"/>
  <c r="W308" i="12"/>
  <c r="V308" i="12"/>
  <c r="U308" i="12"/>
  <c r="T308" i="12"/>
  <c r="S308" i="12"/>
  <c r="R308" i="12"/>
  <c r="Q308" i="12"/>
  <c r="P308" i="12"/>
  <c r="O308" i="12"/>
  <c r="N308" i="12"/>
  <c r="M308" i="12"/>
  <c r="L308" i="12"/>
  <c r="K308" i="12"/>
  <c r="J308" i="12"/>
  <c r="I308" i="12"/>
  <c r="H308" i="12"/>
  <c r="G308" i="12"/>
  <c r="F308" i="12"/>
  <c r="E308" i="12"/>
  <c r="D308" i="12"/>
  <c r="C308" i="12"/>
  <c r="B308" i="12"/>
  <c r="A308" i="12"/>
  <c r="Z307" i="12"/>
  <c r="Y307" i="12"/>
  <c r="X307" i="12"/>
  <c r="W307" i="12"/>
  <c r="V307" i="12"/>
  <c r="U307" i="12"/>
  <c r="T307" i="12"/>
  <c r="S307" i="12"/>
  <c r="R307" i="12"/>
  <c r="Q307" i="12"/>
  <c r="P307" i="12"/>
  <c r="O307" i="12"/>
  <c r="N307" i="12"/>
  <c r="M307" i="12"/>
  <c r="L307" i="12"/>
  <c r="K307" i="12"/>
  <c r="J307" i="12"/>
  <c r="I307" i="12"/>
  <c r="H307" i="12"/>
  <c r="G307" i="12"/>
  <c r="F307" i="12"/>
  <c r="E307" i="12"/>
  <c r="D307" i="12"/>
  <c r="C307" i="12"/>
  <c r="B307" i="12"/>
  <c r="A307" i="12"/>
  <c r="Z306" i="12"/>
  <c r="Y306" i="12"/>
  <c r="X306" i="12"/>
  <c r="W306" i="12"/>
  <c r="V306" i="12"/>
  <c r="U306" i="12"/>
  <c r="T306" i="12"/>
  <c r="S306" i="12"/>
  <c r="R306" i="12"/>
  <c r="Q306" i="12"/>
  <c r="P306" i="12"/>
  <c r="O306" i="12"/>
  <c r="N306" i="12"/>
  <c r="M306" i="12"/>
  <c r="L306" i="12"/>
  <c r="K306" i="12"/>
  <c r="J306" i="12"/>
  <c r="I306" i="12"/>
  <c r="H306" i="12"/>
  <c r="G306" i="12"/>
  <c r="F306" i="12"/>
  <c r="E306" i="12"/>
  <c r="D306" i="12"/>
  <c r="C306" i="12"/>
  <c r="B306" i="12"/>
  <c r="A306" i="12"/>
  <c r="Z305" i="12"/>
  <c r="Y305" i="12"/>
  <c r="X305" i="12"/>
  <c r="W305" i="12"/>
  <c r="V305" i="12"/>
  <c r="U305" i="12"/>
  <c r="T305" i="12"/>
  <c r="S305" i="12"/>
  <c r="R305" i="12"/>
  <c r="Q305" i="12"/>
  <c r="P305" i="12"/>
  <c r="O305" i="12"/>
  <c r="N305" i="12"/>
  <c r="M305" i="12"/>
  <c r="L305" i="12"/>
  <c r="K305" i="12"/>
  <c r="J305" i="12"/>
  <c r="I305" i="12"/>
  <c r="H305" i="12"/>
  <c r="G305" i="12"/>
  <c r="F305" i="12"/>
  <c r="E305" i="12"/>
  <c r="D305" i="12"/>
  <c r="C305" i="12"/>
  <c r="B305" i="12"/>
  <c r="A305" i="12"/>
  <c r="Z304" i="12"/>
  <c r="Y304" i="12"/>
  <c r="X304" i="12"/>
  <c r="W304" i="12"/>
  <c r="V304" i="12"/>
  <c r="U304" i="12"/>
  <c r="T304" i="12"/>
  <c r="S304" i="12"/>
  <c r="R304" i="12"/>
  <c r="Q304" i="12"/>
  <c r="P304" i="12"/>
  <c r="O304" i="12"/>
  <c r="N304" i="12"/>
  <c r="M304" i="12"/>
  <c r="L304" i="12"/>
  <c r="K304" i="12"/>
  <c r="J304" i="12"/>
  <c r="I304" i="12"/>
  <c r="H304" i="12"/>
  <c r="G304" i="12"/>
  <c r="F304" i="12"/>
  <c r="E304" i="12"/>
  <c r="D304" i="12"/>
  <c r="C304" i="12"/>
  <c r="B304" i="12"/>
  <c r="A304" i="12"/>
  <c r="Z303" i="12"/>
  <c r="Y303" i="12"/>
  <c r="X303" i="12"/>
  <c r="W303" i="12"/>
  <c r="V303" i="12"/>
  <c r="U303" i="12"/>
  <c r="T303" i="12"/>
  <c r="S303" i="12"/>
  <c r="R303" i="12"/>
  <c r="Q303" i="12"/>
  <c r="P303" i="12"/>
  <c r="O303" i="12"/>
  <c r="N303" i="12"/>
  <c r="M303" i="12"/>
  <c r="L303" i="12"/>
  <c r="K303" i="12"/>
  <c r="J303" i="12"/>
  <c r="I303" i="12"/>
  <c r="H303" i="12"/>
  <c r="G303" i="12"/>
  <c r="F303" i="12"/>
  <c r="E303" i="12"/>
  <c r="D303" i="12"/>
  <c r="C303" i="12"/>
  <c r="B303" i="12"/>
  <c r="A303" i="12"/>
  <c r="Z302" i="12"/>
  <c r="Y302" i="12"/>
  <c r="X302" i="12"/>
  <c r="W302" i="12"/>
  <c r="V302" i="12"/>
  <c r="U302" i="12"/>
  <c r="T302" i="12"/>
  <c r="S302" i="12"/>
  <c r="R302" i="12"/>
  <c r="Q302" i="12"/>
  <c r="P302" i="12"/>
  <c r="O302" i="12"/>
  <c r="N302" i="12"/>
  <c r="M302" i="12"/>
  <c r="L302" i="12"/>
  <c r="K302" i="12"/>
  <c r="J302" i="12"/>
  <c r="I302" i="12"/>
  <c r="H302" i="12"/>
  <c r="G302" i="12"/>
  <c r="F302" i="12"/>
  <c r="E302" i="12"/>
  <c r="D302" i="12"/>
  <c r="C302" i="12"/>
  <c r="B302" i="12"/>
  <c r="A302" i="12"/>
  <c r="Z301" i="12"/>
  <c r="Y301" i="12"/>
  <c r="X301" i="12"/>
  <c r="W301" i="12"/>
  <c r="V301" i="12"/>
  <c r="U301" i="12"/>
  <c r="T301" i="12"/>
  <c r="S301" i="12"/>
  <c r="R301" i="12"/>
  <c r="Q301" i="12"/>
  <c r="P301" i="12"/>
  <c r="O301" i="12"/>
  <c r="N301" i="12"/>
  <c r="M301" i="12"/>
  <c r="L301" i="12"/>
  <c r="K301" i="12"/>
  <c r="J301" i="12"/>
  <c r="I301" i="12"/>
  <c r="H301" i="12"/>
  <c r="G301" i="12"/>
  <c r="F301" i="12"/>
  <c r="E301" i="12"/>
  <c r="D301" i="12"/>
  <c r="C301" i="12"/>
  <c r="B301" i="12"/>
  <c r="A301" i="12"/>
  <c r="Z300" i="12"/>
  <c r="Y300" i="12"/>
  <c r="X300" i="12"/>
  <c r="W300" i="12"/>
  <c r="V300" i="12"/>
  <c r="U300" i="12"/>
  <c r="T300" i="12"/>
  <c r="S300" i="12"/>
  <c r="R300" i="12"/>
  <c r="Q300" i="12"/>
  <c r="P300" i="12"/>
  <c r="O300" i="12"/>
  <c r="N300" i="12"/>
  <c r="M300" i="12"/>
  <c r="L300" i="12"/>
  <c r="K300" i="12"/>
  <c r="J300" i="12"/>
  <c r="I300" i="12"/>
  <c r="H300" i="12"/>
  <c r="G300" i="12"/>
  <c r="F300" i="12"/>
  <c r="E300" i="12"/>
  <c r="D300" i="12"/>
  <c r="C300" i="12"/>
  <c r="B300" i="12"/>
  <c r="A300" i="12"/>
  <c r="Z299" i="12"/>
  <c r="Y299" i="12"/>
  <c r="X299" i="12"/>
  <c r="W299" i="12"/>
  <c r="V299" i="12"/>
  <c r="U299" i="12"/>
  <c r="T299" i="12"/>
  <c r="S299" i="12"/>
  <c r="R299" i="12"/>
  <c r="Q299" i="12"/>
  <c r="P299" i="12"/>
  <c r="O299" i="12"/>
  <c r="N299" i="12"/>
  <c r="M299" i="12"/>
  <c r="L299" i="12"/>
  <c r="K299" i="12"/>
  <c r="J299" i="12"/>
  <c r="I299" i="12"/>
  <c r="H299" i="12"/>
  <c r="G299" i="12"/>
  <c r="F299" i="12"/>
  <c r="E299" i="12"/>
  <c r="D299" i="12"/>
  <c r="C299" i="12"/>
  <c r="B299" i="12"/>
  <c r="A299" i="12"/>
  <c r="Z298" i="12"/>
  <c r="Y298" i="12"/>
  <c r="X298" i="12"/>
  <c r="W298" i="12"/>
  <c r="V298" i="12"/>
  <c r="U298" i="12"/>
  <c r="T298" i="12"/>
  <c r="S298" i="12"/>
  <c r="R298" i="12"/>
  <c r="Q298" i="12"/>
  <c r="P298" i="12"/>
  <c r="O298" i="12"/>
  <c r="N298" i="12"/>
  <c r="M298" i="12"/>
  <c r="L298" i="12"/>
  <c r="K298" i="12"/>
  <c r="J298" i="12"/>
  <c r="I298" i="12"/>
  <c r="H298" i="12"/>
  <c r="G298" i="12"/>
  <c r="F298" i="12"/>
  <c r="E298" i="12"/>
  <c r="D298" i="12"/>
  <c r="C298" i="12"/>
  <c r="B298" i="12"/>
  <c r="A298" i="12"/>
  <c r="Z297" i="12"/>
  <c r="Y297" i="12"/>
  <c r="X297" i="12"/>
  <c r="W297" i="12"/>
  <c r="V297" i="12"/>
  <c r="U297" i="12"/>
  <c r="T297" i="12"/>
  <c r="S297" i="12"/>
  <c r="R297" i="12"/>
  <c r="Q297" i="12"/>
  <c r="P297" i="12"/>
  <c r="O297" i="12"/>
  <c r="N297" i="12"/>
  <c r="M297" i="12"/>
  <c r="L297" i="12"/>
  <c r="K297" i="12"/>
  <c r="J297" i="12"/>
  <c r="I297" i="12"/>
  <c r="H297" i="12"/>
  <c r="G297" i="12"/>
  <c r="F297" i="12"/>
  <c r="E297" i="12"/>
  <c r="D297" i="12"/>
  <c r="C297" i="12"/>
  <c r="B297" i="12"/>
  <c r="A297" i="12"/>
  <c r="Z296" i="12"/>
  <c r="Y296" i="12"/>
  <c r="X296" i="12"/>
  <c r="W296" i="12"/>
  <c r="V296" i="12"/>
  <c r="U296" i="12"/>
  <c r="T296" i="12"/>
  <c r="S296" i="12"/>
  <c r="R296" i="12"/>
  <c r="Q296" i="12"/>
  <c r="P296" i="12"/>
  <c r="O296" i="12"/>
  <c r="N296" i="12"/>
  <c r="M296" i="12"/>
  <c r="L296" i="12"/>
  <c r="K296" i="12"/>
  <c r="J296" i="12"/>
  <c r="I296" i="12"/>
  <c r="H296" i="12"/>
  <c r="G296" i="12"/>
  <c r="F296" i="12"/>
  <c r="E296" i="12"/>
  <c r="D296" i="12"/>
  <c r="C296" i="12"/>
  <c r="B296" i="12"/>
  <c r="A296" i="12"/>
  <c r="Z295" i="12"/>
  <c r="Y295" i="12"/>
  <c r="X295" i="12"/>
  <c r="W295" i="12"/>
  <c r="V295" i="12"/>
  <c r="U295" i="12"/>
  <c r="T295" i="12"/>
  <c r="S295" i="12"/>
  <c r="R295" i="12"/>
  <c r="Q295" i="12"/>
  <c r="P295" i="12"/>
  <c r="O295" i="12"/>
  <c r="N295" i="12"/>
  <c r="M295" i="12"/>
  <c r="L295" i="12"/>
  <c r="K295" i="12"/>
  <c r="J295" i="12"/>
  <c r="I295" i="12"/>
  <c r="H295" i="12"/>
  <c r="G295" i="12"/>
  <c r="F295" i="12"/>
  <c r="E295" i="12"/>
  <c r="D295" i="12"/>
  <c r="C295" i="12"/>
  <c r="B295" i="12"/>
  <c r="A295" i="12"/>
  <c r="Z294" i="12"/>
  <c r="Y294" i="12"/>
  <c r="X294" i="12"/>
  <c r="W294" i="12"/>
  <c r="V294" i="12"/>
  <c r="U294" i="12"/>
  <c r="T294" i="12"/>
  <c r="S294" i="12"/>
  <c r="R294" i="12"/>
  <c r="Q294" i="12"/>
  <c r="P294" i="12"/>
  <c r="O294" i="12"/>
  <c r="N294" i="12"/>
  <c r="M294" i="12"/>
  <c r="L294" i="12"/>
  <c r="K294" i="12"/>
  <c r="J294" i="12"/>
  <c r="I294" i="12"/>
  <c r="H294" i="12"/>
  <c r="G294" i="12"/>
  <c r="F294" i="12"/>
  <c r="E294" i="12"/>
  <c r="D294" i="12"/>
  <c r="C294" i="12"/>
  <c r="B294" i="12"/>
  <c r="A294" i="12"/>
  <c r="Z293" i="12"/>
  <c r="Y293" i="12"/>
  <c r="X293" i="12"/>
  <c r="W293" i="12"/>
  <c r="V293" i="12"/>
  <c r="U293" i="12"/>
  <c r="T293" i="12"/>
  <c r="S293" i="12"/>
  <c r="R293" i="12"/>
  <c r="Q293" i="12"/>
  <c r="P293" i="12"/>
  <c r="O293" i="12"/>
  <c r="N293" i="12"/>
  <c r="M293" i="12"/>
  <c r="L293" i="12"/>
  <c r="K293" i="12"/>
  <c r="J293" i="12"/>
  <c r="I293" i="12"/>
  <c r="H293" i="12"/>
  <c r="G293" i="12"/>
  <c r="F293" i="12"/>
  <c r="E293" i="12"/>
  <c r="D293" i="12"/>
  <c r="C293" i="12"/>
  <c r="B293" i="12"/>
  <c r="A293" i="12"/>
  <c r="Z292" i="12"/>
  <c r="Y292" i="12"/>
  <c r="X292" i="12"/>
  <c r="W292" i="12"/>
  <c r="V292" i="12"/>
  <c r="U292" i="12"/>
  <c r="T292" i="12"/>
  <c r="S292" i="12"/>
  <c r="R292" i="12"/>
  <c r="Q292" i="12"/>
  <c r="P292" i="12"/>
  <c r="O292" i="12"/>
  <c r="N292" i="12"/>
  <c r="M292" i="12"/>
  <c r="L292" i="12"/>
  <c r="K292" i="12"/>
  <c r="J292" i="12"/>
  <c r="I292" i="12"/>
  <c r="H292" i="12"/>
  <c r="G292" i="12"/>
  <c r="F292" i="12"/>
  <c r="E292" i="12"/>
  <c r="D292" i="12"/>
  <c r="C292" i="12"/>
  <c r="B292" i="12"/>
  <c r="A292" i="12"/>
  <c r="Z291" i="12"/>
  <c r="Y291" i="12"/>
  <c r="X291" i="12"/>
  <c r="W291" i="12"/>
  <c r="V291" i="12"/>
  <c r="U291" i="12"/>
  <c r="T291" i="12"/>
  <c r="S291" i="12"/>
  <c r="R291" i="12"/>
  <c r="Q291" i="12"/>
  <c r="P291" i="12"/>
  <c r="O291" i="12"/>
  <c r="N291" i="12"/>
  <c r="M291" i="12"/>
  <c r="L291" i="12"/>
  <c r="K291" i="12"/>
  <c r="J291" i="12"/>
  <c r="I291" i="12"/>
  <c r="H291" i="12"/>
  <c r="G291" i="12"/>
  <c r="F291" i="12"/>
  <c r="E291" i="12"/>
  <c r="D291" i="12"/>
  <c r="C291" i="12"/>
  <c r="B291" i="12"/>
  <c r="A291" i="12"/>
  <c r="Z290" i="12"/>
  <c r="Y290" i="12"/>
  <c r="X290" i="12"/>
  <c r="W290" i="12"/>
  <c r="V290" i="12"/>
  <c r="U290" i="12"/>
  <c r="T290" i="12"/>
  <c r="S290" i="12"/>
  <c r="R290" i="12"/>
  <c r="Q290" i="12"/>
  <c r="P290" i="12"/>
  <c r="O290" i="12"/>
  <c r="N290" i="12"/>
  <c r="M290" i="12"/>
  <c r="L290" i="12"/>
  <c r="K290" i="12"/>
  <c r="J290" i="12"/>
  <c r="I290" i="12"/>
  <c r="H290" i="12"/>
  <c r="G290" i="12"/>
  <c r="F290" i="12"/>
  <c r="E290" i="12"/>
  <c r="D290" i="12"/>
  <c r="C290" i="12"/>
  <c r="B290" i="12"/>
  <c r="A290" i="12"/>
  <c r="Z289" i="12"/>
  <c r="Y289" i="12"/>
  <c r="X289" i="12"/>
  <c r="W289" i="12"/>
  <c r="V289" i="12"/>
  <c r="U289" i="12"/>
  <c r="T289" i="12"/>
  <c r="S289" i="12"/>
  <c r="R289" i="12"/>
  <c r="Q289" i="12"/>
  <c r="P289" i="12"/>
  <c r="O289" i="12"/>
  <c r="N289" i="12"/>
  <c r="M289" i="12"/>
  <c r="L289" i="12"/>
  <c r="K289" i="12"/>
  <c r="J289" i="12"/>
  <c r="I289" i="12"/>
  <c r="H289" i="12"/>
  <c r="G289" i="12"/>
  <c r="F289" i="12"/>
  <c r="E289" i="12"/>
  <c r="D289" i="12"/>
  <c r="C289" i="12"/>
  <c r="B289" i="12"/>
  <c r="A289" i="12"/>
  <c r="Z288" i="12"/>
  <c r="Y288" i="12"/>
  <c r="X288" i="12"/>
  <c r="W288" i="12"/>
  <c r="V288" i="12"/>
  <c r="U288" i="12"/>
  <c r="T288" i="12"/>
  <c r="S288" i="12"/>
  <c r="R288" i="12"/>
  <c r="Q288" i="12"/>
  <c r="P288" i="12"/>
  <c r="O288" i="12"/>
  <c r="N288" i="12"/>
  <c r="M288" i="12"/>
  <c r="L288" i="12"/>
  <c r="K288" i="12"/>
  <c r="J288" i="12"/>
  <c r="I288" i="12"/>
  <c r="H288" i="12"/>
  <c r="G288" i="12"/>
  <c r="F288" i="12"/>
  <c r="E288" i="12"/>
  <c r="D288" i="12"/>
  <c r="C288" i="12"/>
  <c r="B288" i="12"/>
  <c r="A288" i="12"/>
  <c r="Z287" i="12"/>
  <c r="Y287" i="12"/>
  <c r="X287" i="12"/>
  <c r="W287" i="12"/>
  <c r="V287" i="12"/>
  <c r="U287" i="12"/>
  <c r="T287" i="12"/>
  <c r="S287" i="12"/>
  <c r="R287" i="12"/>
  <c r="Q287" i="12"/>
  <c r="P287" i="12"/>
  <c r="O287" i="12"/>
  <c r="N287" i="12"/>
  <c r="M287" i="12"/>
  <c r="L287" i="12"/>
  <c r="K287" i="12"/>
  <c r="J287" i="12"/>
  <c r="I287" i="12"/>
  <c r="H287" i="12"/>
  <c r="G287" i="12"/>
  <c r="F287" i="12"/>
  <c r="E287" i="12"/>
  <c r="D287" i="12"/>
  <c r="C287" i="12"/>
  <c r="B287" i="12"/>
  <c r="A287" i="12"/>
  <c r="Z286" i="12"/>
  <c r="Y286" i="12"/>
  <c r="X286" i="12"/>
  <c r="W286" i="12"/>
  <c r="V286" i="12"/>
  <c r="U286" i="12"/>
  <c r="T286" i="12"/>
  <c r="S286" i="12"/>
  <c r="R286" i="12"/>
  <c r="Q286" i="12"/>
  <c r="P286" i="12"/>
  <c r="O286" i="12"/>
  <c r="N286" i="12"/>
  <c r="M286" i="12"/>
  <c r="L286" i="12"/>
  <c r="K286" i="12"/>
  <c r="J286" i="12"/>
  <c r="I286" i="12"/>
  <c r="H286" i="12"/>
  <c r="G286" i="12"/>
  <c r="F286" i="12"/>
  <c r="E286" i="12"/>
  <c r="D286" i="12"/>
  <c r="C286" i="12"/>
  <c r="B286" i="12"/>
  <c r="A286" i="12"/>
  <c r="Z285" i="12"/>
  <c r="Y285" i="12"/>
  <c r="X285" i="12"/>
  <c r="W285" i="12"/>
  <c r="V285" i="12"/>
  <c r="U285" i="12"/>
  <c r="T285" i="12"/>
  <c r="S285" i="12"/>
  <c r="R285" i="12"/>
  <c r="Q285" i="12"/>
  <c r="P285" i="12"/>
  <c r="O285" i="12"/>
  <c r="N285" i="12"/>
  <c r="M285" i="12"/>
  <c r="L285" i="12"/>
  <c r="K285" i="12"/>
  <c r="J285" i="12"/>
  <c r="I285" i="12"/>
  <c r="H285" i="12"/>
  <c r="G285" i="12"/>
  <c r="F285" i="12"/>
  <c r="E285" i="12"/>
  <c r="D285" i="12"/>
  <c r="C285" i="12"/>
  <c r="B285" i="12"/>
  <c r="A285" i="12"/>
  <c r="Z284" i="12"/>
  <c r="Y284" i="12"/>
  <c r="X284" i="12"/>
  <c r="W284" i="12"/>
  <c r="V284" i="12"/>
  <c r="U284" i="12"/>
  <c r="T284" i="12"/>
  <c r="S284" i="12"/>
  <c r="R284" i="12"/>
  <c r="Q284" i="12"/>
  <c r="P284" i="12"/>
  <c r="O284" i="12"/>
  <c r="N284" i="12"/>
  <c r="M284" i="12"/>
  <c r="L284" i="12"/>
  <c r="K284" i="12"/>
  <c r="J284" i="12"/>
  <c r="I284" i="12"/>
  <c r="H284" i="12"/>
  <c r="G284" i="12"/>
  <c r="F284" i="12"/>
  <c r="E284" i="12"/>
  <c r="D284" i="12"/>
  <c r="C284" i="12"/>
  <c r="B284" i="12"/>
  <c r="A284" i="12"/>
  <c r="Z283" i="12"/>
  <c r="Y283" i="12"/>
  <c r="X283" i="12"/>
  <c r="W283" i="12"/>
  <c r="V283" i="12"/>
  <c r="U283" i="12"/>
  <c r="T283" i="12"/>
  <c r="S283" i="12"/>
  <c r="R283" i="12"/>
  <c r="Q283" i="12"/>
  <c r="P283" i="12"/>
  <c r="O283" i="12"/>
  <c r="N283" i="12"/>
  <c r="M283" i="12"/>
  <c r="L283" i="12"/>
  <c r="K283" i="12"/>
  <c r="J283" i="12"/>
  <c r="I283" i="12"/>
  <c r="H283" i="12"/>
  <c r="G283" i="12"/>
  <c r="F283" i="12"/>
  <c r="E283" i="12"/>
  <c r="D283" i="12"/>
  <c r="C283" i="12"/>
  <c r="B283" i="12"/>
  <c r="A283" i="12"/>
  <c r="Z282" i="12"/>
  <c r="Y282" i="12"/>
  <c r="X282" i="12"/>
  <c r="W282" i="12"/>
  <c r="V282" i="12"/>
  <c r="U282" i="12"/>
  <c r="T282" i="12"/>
  <c r="S282" i="12"/>
  <c r="R282" i="12"/>
  <c r="Q282" i="12"/>
  <c r="P282" i="12"/>
  <c r="O282" i="12"/>
  <c r="N282" i="12"/>
  <c r="M282" i="12"/>
  <c r="L282" i="12"/>
  <c r="K282" i="12"/>
  <c r="J282" i="12"/>
  <c r="I282" i="12"/>
  <c r="H282" i="12"/>
  <c r="G282" i="12"/>
  <c r="F282" i="12"/>
  <c r="E282" i="12"/>
  <c r="D282" i="12"/>
  <c r="C282" i="12"/>
  <c r="B282" i="12"/>
  <c r="A282" i="12"/>
  <c r="Z281" i="12"/>
  <c r="Y281" i="12"/>
  <c r="X281" i="12"/>
  <c r="W281" i="12"/>
  <c r="V281" i="12"/>
  <c r="U281" i="12"/>
  <c r="T281" i="12"/>
  <c r="S281" i="12"/>
  <c r="R281" i="12"/>
  <c r="Q281" i="12"/>
  <c r="P281" i="12"/>
  <c r="O281" i="12"/>
  <c r="N281" i="12"/>
  <c r="M281" i="12"/>
  <c r="L281" i="12"/>
  <c r="K281" i="12"/>
  <c r="J281" i="12"/>
  <c r="I281" i="12"/>
  <c r="H281" i="12"/>
  <c r="G281" i="12"/>
  <c r="F281" i="12"/>
  <c r="E281" i="12"/>
  <c r="D281" i="12"/>
  <c r="C281" i="12"/>
  <c r="B281" i="12"/>
  <c r="A281" i="12"/>
  <c r="Z280" i="12"/>
  <c r="Y280" i="12"/>
  <c r="X280" i="12"/>
  <c r="W280" i="12"/>
  <c r="V280" i="12"/>
  <c r="U280" i="12"/>
  <c r="T280" i="12"/>
  <c r="S280" i="12"/>
  <c r="R280" i="12"/>
  <c r="Q280" i="12"/>
  <c r="P280" i="12"/>
  <c r="O280" i="12"/>
  <c r="N280" i="12"/>
  <c r="M280" i="12"/>
  <c r="L280" i="12"/>
  <c r="K280" i="12"/>
  <c r="J280" i="12"/>
  <c r="I280" i="12"/>
  <c r="H280" i="12"/>
  <c r="G280" i="12"/>
  <c r="F280" i="12"/>
  <c r="E280" i="12"/>
  <c r="D280" i="12"/>
  <c r="C280" i="12"/>
  <c r="B280" i="12"/>
  <c r="A280" i="12"/>
  <c r="Z279" i="12"/>
  <c r="Y279" i="12"/>
  <c r="X279" i="12"/>
  <c r="W279" i="12"/>
  <c r="V279" i="12"/>
  <c r="U279" i="12"/>
  <c r="T279" i="12"/>
  <c r="S279" i="12"/>
  <c r="R279" i="12"/>
  <c r="Q279" i="12"/>
  <c r="P279" i="12"/>
  <c r="O279" i="12"/>
  <c r="N279" i="12"/>
  <c r="M279" i="12"/>
  <c r="L279" i="12"/>
  <c r="K279" i="12"/>
  <c r="J279" i="12"/>
  <c r="I279" i="12"/>
  <c r="H279" i="12"/>
  <c r="G279" i="12"/>
  <c r="F279" i="12"/>
  <c r="E279" i="12"/>
  <c r="D279" i="12"/>
  <c r="C279" i="12"/>
  <c r="B279" i="12"/>
  <c r="A279" i="12"/>
  <c r="Z278" i="12"/>
  <c r="Y278" i="12"/>
  <c r="X278" i="12"/>
  <c r="W278" i="12"/>
  <c r="V278" i="12"/>
  <c r="U278" i="12"/>
  <c r="T278" i="12"/>
  <c r="S278" i="12"/>
  <c r="R278" i="12"/>
  <c r="Q278" i="12"/>
  <c r="P278" i="12"/>
  <c r="O278" i="12"/>
  <c r="N278" i="12"/>
  <c r="M278" i="12"/>
  <c r="L278" i="12"/>
  <c r="K278" i="12"/>
  <c r="J278" i="12"/>
  <c r="I278" i="12"/>
  <c r="H278" i="12"/>
  <c r="G278" i="12"/>
  <c r="F278" i="12"/>
  <c r="E278" i="12"/>
  <c r="D278" i="12"/>
  <c r="C278" i="12"/>
  <c r="B278" i="12"/>
  <c r="A278" i="12"/>
  <c r="Z277" i="12"/>
  <c r="Y277" i="12"/>
  <c r="X277" i="12"/>
  <c r="W277" i="12"/>
  <c r="V277" i="12"/>
  <c r="U277" i="12"/>
  <c r="T277" i="12"/>
  <c r="S277" i="12"/>
  <c r="R277" i="12"/>
  <c r="Q277" i="12"/>
  <c r="P277" i="12"/>
  <c r="O277" i="12"/>
  <c r="N277" i="12"/>
  <c r="M277" i="12"/>
  <c r="L277" i="12"/>
  <c r="K277" i="12"/>
  <c r="J277" i="12"/>
  <c r="I277" i="12"/>
  <c r="H277" i="12"/>
  <c r="G277" i="12"/>
  <c r="F277" i="12"/>
  <c r="E277" i="12"/>
  <c r="D277" i="12"/>
  <c r="C277" i="12"/>
  <c r="B277" i="12"/>
  <c r="A277" i="12"/>
  <c r="Z276" i="12"/>
  <c r="Y276" i="12"/>
  <c r="X276" i="12"/>
  <c r="W276" i="12"/>
  <c r="V276" i="12"/>
  <c r="U276" i="12"/>
  <c r="T276" i="12"/>
  <c r="S276" i="12"/>
  <c r="R276" i="12"/>
  <c r="Q276" i="12"/>
  <c r="P276" i="12"/>
  <c r="O276" i="12"/>
  <c r="N276" i="12"/>
  <c r="M276" i="12"/>
  <c r="L276" i="12"/>
  <c r="K276" i="12"/>
  <c r="J276" i="12"/>
  <c r="I276" i="12"/>
  <c r="H276" i="12"/>
  <c r="G276" i="12"/>
  <c r="F276" i="12"/>
  <c r="E276" i="12"/>
  <c r="D276" i="12"/>
  <c r="C276" i="12"/>
  <c r="B276" i="12"/>
  <c r="A276" i="12"/>
  <c r="Z275" i="12"/>
  <c r="Y275" i="12"/>
  <c r="X275" i="12"/>
  <c r="W275" i="12"/>
  <c r="V275" i="12"/>
  <c r="U275" i="12"/>
  <c r="T275" i="12"/>
  <c r="S275" i="12"/>
  <c r="R275" i="12"/>
  <c r="Q275" i="12"/>
  <c r="P275" i="12"/>
  <c r="O275" i="12"/>
  <c r="N275" i="12"/>
  <c r="M275" i="12"/>
  <c r="L275" i="12"/>
  <c r="K275" i="12"/>
  <c r="J275" i="12"/>
  <c r="I275" i="12"/>
  <c r="H275" i="12"/>
  <c r="G275" i="12"/>
  <c r="F275" i="12"/>
  <c r="E275" i="12"/>
  <c r="D275" i="12"/>
  <c r="C275" i="12"/>
  <c r="B275" i="12"/>
  <c r="A275" i="12"/>
  <c r="Z274" i="12"/>
  <c r="Y274" i="12"/>
  <c r="X274" i="12"/>
  <c r="W274" i="12"/>
  <c r="V274" i="12"/>
  <c r="U274" i="12"/>
  <c r="T274" i="12"/>
  <c r="S274" i="12"/>
  <c r="R274" i="12"/>
  <c r="Q274" i="12"/>
  <c r="P274" i="12"/>
  <c r="O274" i="12"/>
  <c r="N274" i="12"/>
  <c r="M274" i="12"/>
  <c r="L274" i="12"/>
  <c r="K274" i="12"/>
  <c r="J274" i="12"/>
  <c r="I274" i="12"/>
  <c r="H274" i="12"/>
  <c r="G274" i="12"/>
  <c r="F274" i="12"/>
  <c r="E274" i="12"/>
  <c r="D274" i="12"/>
  <c r="C274" i="12"/>
  <c r="B274" i="12"/>
  <c r="A274" i="12"/>
  <c r="Z273" i="12"/>
  <c r="Y273" i="12"/>
  <c r="X273" i="12"/>
  <c r="W273" i="12"/>
  <c r="V273" i="12"/>
  <c r="U273" i="12"/>
  <c r="T273" i="12"/>
  <c r="S273" i="12"/>
  <c r="R273" i="12"/>
  <c r="Q273" i="12"/>
  <c r="P273" i="12"/>
  <c r="O273" i="12"/>
  <c r="N273" i="12"/>
  <c r="M273" i="12"/>
  <c r="L273" i="12"/>
  <c r="K273" i="12"/>
  <c r="J273" i="12"/>
  <c r="I273" i="12"/>
  <c r="H273" i="12"/>
  <c r="G273" i="12"/>
  <c r="F273" i="12"/>
  <c r="E273" i="12"/>
  <c r="D273" i="12"/>
  <c r="C273" i="12"/>
  <c r="B273" i="12"/>
  <c r="A273" i="12"/>
  <c r="Z272" i="12"/>
  <c r="Y272" i="12"/>
  <c r="X272" i="12"/>
  <c r="W272" i="12"/>
  <c r="V272" i="12"/>
  <c r="U272" i="12"/>
  <c r="T272" i="12"/>
  <c r="S272" i="12"/>
  <c r="R272" i="12"/>
  <c r="Q272" i="12"/>
  <c r="P272" i="12"/>
  <c r="O272" i="12"/>
  <c r="N272" i="12"/>
  <c r="M272" i="12"/>
  <c r="L272" i="12"/>
  <c r="K272" i="12"/>
  <c r="J272" i="12"/>
  <c r="I272" i="12"/>
  <c r="H272" i="12"/>
  <c r="G272" i="12"/>
  <c r="F272" i="12"/>
  <c r="E272" i="12"/>
  <c r="D272" i="12"/>
  <c r="C272" i="12"/>
  <c r="B272" i="12"/>
  <c r="A272" i="12"/>
  <c r="Z271" i="12"/>
  <c r="Y271" i="12"/>
  <c r="X271" i="12"/>
  <c r="W271" i="12"/>
  <c r="V271" i="12"/>
  <c r="U271" i="12"/>
  <c r="T271" i="12"/>
  <c r="S271" i="12"/>
  <c r="R271" i="12"/>
  <c r="Q271" i="12"/>
  <c r="P271" i="12"/>
  <c r="O271" i="12"/>
  <c r="N271" i="12"/>
  <c r="M271" i="12"/>
  <c r="L271" i="12"/>
  <c r="K271" i="12"/>
  <c r="J271" i="12"/>
  <c r="I271" i="12"/>
  <c r="H271" i="12"/>
  <c r="G271" i="12"/>
  <c r="F271" i="12"/>
  <c r="E271" i="12"/>
  <c r="D271" i="12"/>
  <c r="C271" i="12"/>
  <c r="B271" i="12"/>
  <c r="A271" i="12"/>
  <c r="Z270" i="12"/>
  <c r="Y270" i="12"/>
  <c r="X270" i="12"/>
  <c r="W270" i="12"/>
  <c r="V270" i="12"/>
  <c r="U270" i="12"/>
  <c r="T270" i="12"/>
  <c r="S270" i="12"/>
  <c r="R270" i="12"/>
  <c r="Q270" i="12"/>
  <c r="P270" i="12"/>
  <c r="O270" i="12"/>
  <c r="N270" i="12"/>
  <c r="M270" i="12"/>
  <c r="L270" i="12"/>
  <c r="K270" i="12"/>
  <c r="J270" i="12"/>
  <c r="I270" i="12"/>
  <c r="H270" i="12"/>
  <c r="G270" i="12"/>
  <c r="F270" i="12"/>
  <c r="E270" i="12"/>
  <c r="D270" i="12"/>
  <c r="C270" i="12"/>
  <c r="B270" i="12"/>
  <c r="A270" i="12"/>
  <c r="Z269" i="12"/>
  <c r="Y269" i="12"/>
  <c r="X269" i="12"/>
  <c r="W269" i="12"/>
  <c r="V269" i="12"/>
  <c r="U269" i="12"/>
  <c r="T269" i="12"/>
  <c r="S269" i="12"/>
  <c r="R269" i="12"/>
  <c r="Q269" i="12"/>
  <c r="P269" i="12"/>
  <c r="O269" i="12"/>
  <c r="N269" i="12"/>
  <c r="M269" i="12"/>
  <c r="L269" i="12"/>
  <c r="K269" i="12"/>
  <c r="J269" i="12"/>
  <c r="I269" i="12"/>
  <c r="H269" i="12"/>
  <c r="G269" i="12"/>
  <c r="F269" i="12"/>
  <c r="E269" i="12"/>
  <c r="D269" i="12"/>
  <c r="C269" i="12"/>
  <c r="B269" i="12"/>
  <c r="A269" i="12"/>
  <c r="Z268" i="12"/>
  <c r="Y268" i="12"/>
  <c r="X268" i="12"/>
  <c r="W268" i="12"/>
  <c r="V268" i="12"/>
  <c r="U268" i="12"/>
  <c r="T268" i="12"/>
  <c r="S268" i="12"/>
  <c r="R268" i="12"/>
  <c r="Q268" i="12"/>
  <c r="P268" i="12"/>
  <c r="O268" i="12"/>
  <c r="N268" i="12"/>
  <c r="M268" i="12"/>
  <c r="L268" i="12"/>
  <c r="K268" i="12"/>
  <c r="J268" i="12"/>
  <c r="I268" i="12"/>
  <c r="H268" i="12"/>
  <c r="G268" i="12"/>
  <c r="F268" i="12"/>
  <c r="E268" i="12"/>
  <c r="D268" i="12"/>
  <c r="C268" i="12"/>
  <c r="B268" i="12"/>
  <c r="A268" i="12"/>
  <c r="Z267" i="12"/>
  <c r="Y267" i="12"/>
  <c r="X267" i="12"/>
  <c r="W267" i="12"/>
  <c r="V267" i="12"/>
  <c r="U267" i="12"/>
  <c r="T267" i="12"/>
  <c r="S267" i="12"/>
  <c r="R267" i="12"/>
  <c r="Q267" i="12"/>
  <c r="P267" i="12"/>
  <c r="O267" i="12"/>
  <c r="N267" i="12"/>
  <c r="M267" i="12"/>
  <c r="L267" i="12"/>
  <c r="K267" i="12"/>
  <c r="J267" i="12"/>
  <c r="I267" i="12"/>
  <c r="H267" i="12"/>
  <c r="G267" i="12"/>
  <c r="F267" i="12"/>
  <c r="E267" i="12"/>
  <c r="D267" i="12"/>
  <c r="C267" i="12"/>
  <c r="B267" i="12"/>
  <c r="A267" i="12"/>
  <c r="Z266" i="12"/>
  <c r="Y266" i="12"/>
  <c r="X266" i="12"/>
  <c r="W266" i="12"/>
  <c r="V266" i="12"/>
  <c r="U266" i="12"/>
  <c r="T266" i="12"/>
  <c r="S266" i="12"/>
  <c r="R266" i="12"/>
  <c r="Q266" i="12"/>
  <c r="P266" i="12"/>
  <c r="O266" i="12"/>
  <c r="N266" i="12"/>
  <c r="M266" i="12"/>
  <c r="L266" i="12"/>
  <c r="K266" i="12"/>
  <c r="J266" i="12"/>
  <c r="I266" i="12"/>
  <c r="H266" i="12"/>
  <c r="G266" i="12"/>
  <c r="F266" i="12"/>
  <c r="E266" i="12"/>
  <c r="D266" i="12"/>
  <c r="C266" i="12"/>
  <c r="B266" i="12"/>
  <c r="A266" i="12"/>
  <c r="Z265" i="12"/>
  <c r="Y265" i="12"/>
  <c r="X265" i="12"/>
  <c r="W265" i="12"/>
  <c r="V265" i="12"/>
  <c r="U265" i="12"/>
  <c r="T265" i="12"/>
  <c r="S265" i="12"/>
  <c r="R265" i="12"/>
  <c r="Q265" i="12"/>
  <c r="P265" i="12"/>
  <c r="O265" i="12"/>
  <c r="N265" i="12"/>
  <c r="M265" i="12"/>
  <c r="L265" i="12"/>
  <c r="K265" i="12"/>
  <c r="J265" i="12"/>
  <c r="I265" i="12"/>
  <c r="H265" i="12"/>
  <c r="G265" i="12"/>
  <c r="F265" i="12"/>
  <c r="E265" i="12"/>
  <c r="D265" i="12"/>
  <c r="C265" i="12"/>
  <c r="B265" i="12"/>
  <c r="A265" i="12"/>
  <c r="Z264" i="12"/>
  <c r="Y264" i="12"/>
  <c r="X264" i="12"/>
  <c r="W264" i="12"/>
  <c r="V264" i="12"/>
  <c r="U264" i="12"/>
  <c r="T264" i="12"/>
  <c r="S264" i="12"/>
  <c r="R264" i="12"/>
  <c r="Q264" i="12"/>
  <c r="P264" i="12"/>
  <c r="O264" i="12"/>
  <c r="N264" i="12"/>
  <c r="M264" i="12"/>
  <c r="L264" i="12"/>
  <c r="K264" i="12"/>
  <c r="J264" i="12"/>
  <c r="I264" i="12"/>
  <c r="H264" i="12"/>
  <c r="G264" i="12"/>
  <c r="F264" i="12"/>
  <c r="E264" i="12"/>
  <c r="D264" i="12"/>
  <c r="C264" i="12"/>
  <c r="B264" i="12"/>
  <c r="A264" i="12"/>
  <c r="Z263" i="12"/>
  <c r="Y263" i="12"/>
  <c r="X263" i="12"/>
  <c r="W263" i="12"/>
  <c r="V263" i="12"/>
  <c r="U263" i="12"/>
  <c r="T263" i="12"/>
  <c r="S263" i="12"/>
  <c r="R263" i="12"/>
  <c r="Q263" i="12"/>
  <c r="P263" i="12"/>
  <c r="O263" i="12"/>
  <c r="N263" i="12"/>
  <c r="M263" i="12"/>
  <c r="L263" i="12"/>
  <c r="K263" i="12"/>
  <c r="J263" i="12"/>
  <c r="I263" i="12"/>
  <c r="H263" i="12"/>
  <c r="G263" i="12"/>
  <c r="F263" i="12"/>
  <c r="E263" i="12"/>
  <c r="D263" i="12"/>
  <c r="C263" i="12"/>
  <c r="B263" i="12"/>
  <c r="A263" i="12"/>
  <c r="Z262" i="12"/>
  <c r="Y262" i="12"/>
  <c r="X262" i="12"/>
  <c r="W262" i="12"/>
  <c r="V262" i="12"/>
  <c r="U262" i="12"/>
  <c r="T262" i="12"/>
  <c r="S262" i="12"/>
  <c r="R262" i="12"/>
  <c r="Q262" i="12"/>
  <c r="P262" i="12"/>
  <c r="O262" i="12"/>
  <c r="N262" i="12"/>
  <c r="M262" i="12"/>
  <c r="L262" i="12"/>
  <c r="K262" i="12"/>
  <c r="J262" i="12"/>
  <c r="I262" i="12"/>
  <c r="H262" i="12"/>
  <c r="G262" i="12"/>
  <c r="F262" i="12"/>
  <c r="E262" i="12"/>
  <c r="D262" i="12"/>
  <c r="C262" i="12"/>
  <c r="B262" i="12"/>
  <c r="A262" i="12"/>
  <c r="Z261" i="12"/>
  <c r="Y261" i="12"/>
  <c r="X261" i="12"/>
  <c r="W261" i="12"/>
  <c r="V261" i="12"/>
  <c r="U261" i="12"/>
  <c r="T261" i="12"/>
  <c r="S261" i="12"/>
  <c r="R261" i="12"/>
  <c r="Q261" i="12"/>
  <c r="P261" i="12"/>
  <c r="O261" i="12"/>
  <c r="N261" i="12"/>
  <c r="M261" i="12"/>
  <c r="L261" i="12"/>
  <c r="K261" i="12"/>
  <c r="J261" i="12"/>
  <c r="I261" i="12"/>
  <c r="H261" i="12"/>
  <c r="G261" i="12"/>
  <c r="F261" i="12"/>
  <c r="E261" i="12"/>
  <c r="D261" i="12"/>
  <c r="C261" i="12"/>
  <c r="B261" i="12"/>
  <c r="A261" i="12"/>
  <c r="Z260" i="12"/>
  <c r="Y260" i="12"/>
  <c r="X260" i="12"/>
  <c r="W260" i="12"/>
  <c r="V260" i="12"/>
  <c r="U260" i="12"/>
  <c r="T260" i="12"/>
  <c r="S260" i="12"/>
  <c r="R260" i="12"/>
  <c r="Q260" i="12"/>
  <c r="P260" i="12"/>
  <c r="O260" i="12"/>
  <c r="N260" i="12"/>
  <c r="M260" i="12"/>
  <c r="L260" i="12"/>
  <c r="K260" i="12"/>
  <c r="J260" i="12"/>
  <c r="I260" i="12"/>
  <c r="H260" i="12"/>
  <c r="G260" i="12"/>
  <c r="F260" i="12"/>
  <c r="E260" i="12"/>
  <c r="D260" i="12"/>
  <c r="C260" i="12"/>
  <c r="B260" i="12"/>
  <c r="A260" i="12"/>
  <c r="Z259" i="12"/>
  <c r="Y259" i="12"/>
  <c r="X259" i="12"/>
  <c r="W259" i="12"/>
  <c r="V259" i="12"/>
  <c r="U259" i="12"/>
  <c r="T259" i="12"/>
  <c r="S259" i="12"/>
  <c r="R259" i="12"/>
  <c r="Q259" i="12"/>
  <c r="P259" i="12"/>
  <c r="O259" i="12"/>
  <c r="N259" i="12"/>
  <c r="M259" i="12"/>
  <c r="L259" i="12"/>
  <c r="K259" i="12"/>
  <c r="J259" i="12"/>
  <c r="I259" i="12"/>
  <c r="H259" i="12"/>
  <c r="G259" i="12"/>
  <c r="F259" i="12"/>
  <c r="E259" i="12"/>
  <c r="D259" i="12"/>
  <c r="C259" i="12"/>
  <c r="B259" i="12"/>
  <c r="A259" i="12"/>
  <c r="Z258" i="12"/>
  <c r="Y258" i="12"/>
  <c r="X258" i="12"/>
  <c r="W258" i="12"/>
  <c r="V258" i="12"/>
  <c r="U258" i="12"/>
  <c r="T258" i="12"/>
  <c r="S258" i="12"/>
  <c r="R258" i="12"/>
  <c r="Q258" i="12"/>
  <c r="P258" i="12"/>
  <c r="O258" i="12"/>
  <c r="N258" i="12"/>
  <c r="M258" i="12"/>
  <c r="L258" i="12"/>
  <c r="K258" i="12"/>
  <c r="J258" i="12"/>
  <c r="I258" i="12"/>
  <c r="H258" i="12"/>
  <c r="G258" i="12"/>
  <c r="F258" i="12"/>
  <c r="E258" i="12"/>
  <c r="D258" i="12"/>
  <c r="C258" i="12"/>
  <c r="B258" i="12"/>
  <c r="A258" i="12"/>
  <c r="Z257" i="12"/>
  <c r="Y257" i="12"/>
  <c r="X257" i="12"/>
  <c r="W257" i="12"/>
  <c r="V257" i="12"/>
  <c r="U257" i="12"/>
  <c r="T257" i="12"/>
  <c r="S257" i="12"/>
  <c r="R257" i="12"/>
  <c r="Q257" i="12"/>
  <c r="P257" i="12"/>
  <c r="O257" i="12"/>
  <c r="N257" i="12"/>
  <c r="M257" i="12"/>
  <c r="L257" i="12"/>
  <c r="K257" i="12"/>
  <c r="J257" i="12"/>
  <c r="I257" i="12"/>
  <c r="H257" i="12"/>
  <c r="G257" i="12"/>
  <c r="F257" i="12"/>
  <c r="E257" i="12"/>
  <c r="D257" i="12"/>
  <c r="C257" i="12"/>
  <c r="B257" i="12"/>
  <c r="A257" i="12"/>
  <c r="Z256" i="12"/>
  <c r="Y256" i="12"/>
  <c r="X256" i="12"/>
  <c r="W256" i="12"/>
  <c r="V256" i="12"/>
  <c r="U256" i="12"/>
  <c r="T256" i="12"/>
  <c r="S256" i="12"/>
  <c r="R256" i="12"/>
  <c r="Q256" i="12"/>
  <c r="P256" i="12"/>
  <c r="O256" i="12"/>
  <c r="N256" i="12"/>
  <c r="M256" i="12"/>
  <c r="L256" i="12"/>
  <c r="K256" i="12"/>
  <c r="J256" i="12"/>
  <c r="I256" i="12"/>
  <c r="H256" i="12"/>
  <c r="G256" i="12"/>
  <c r="F256" i="12"/>
  <c r="E256" i="12"/>
  <c r="D256" i="12"/>
  <c r="C256" i="12"/>
  <c r="B256" i="12"/>
  <c r="A256" i="12"/>
  <c r="Z255" i="12"/>
  <c r="Y255" i="12"/>
  <c r="X255" i="12"/>
  <c r="W255" i="12"/>
  <c r="V255" i="12"/>
  <c r="U255" i="12"/>
  <c r="T255" i="12"/>
  <c r="S255" i="12"/>
  <c r="R255" i="12"/>
  <c r="Q255" i="12"/>
  <c r="P255" i="12"/>
  <c r="O255" i="12"/>
  <c r="N255" i="12"/>
  <c r="M255" i="12"/>
  <c r="L255" i="12"/>
  <c r="K255" i="12"/>
  <c r="J255" i="12"/>
  <c r="I255" i="12"/>
  <c r="H255" i="12"/>
  <c r="G255" i="12"/>
  <c r="F255" i="12"/>
  <c r="E255" i="12"/>
  <c r="D255" i="12"/>
  <c r="C255" i="12"/>
  <c r="B255" i="12"/>
  <c r="A255" i="12"/>
  <c r="Z254" i="12"/>
  <c r="Y254" i="12"/>
  <c r="X254" i="12"/>
  <c r="W254" i="12"/>
  <c r="V254" i="12"/>
  <c r="U254" i="12"/>
  <c r="T254" i="12"/>
  <c r="S254" i="12"/>
  <c r="R254" i="12"/>
  <c r="Q254" i="12"/>
  <c r="P254" i="12"/>
  <c r="O254" i="12"/>
  <c r="N254" i="12"/>
  <c r="M254" i="12"/>
  <c r="L254" i="12"/>
  <c r="K254" i="12"/>
  <c r="J254" i="12"/>
  <c r="I254" i="12"/>
  <c r="H254" i="12"/>
  <c r="G254" i="12"/>
  <c r="F254" i="12"/>
  <c r="E254" i="12"/>
  <c r="D254" i="12"/>
  <c r="C254" i="12"/>
  <c r="B254" i="12"/>
  <c r="A254" i="12"/>
  <c r="Z253" i="12"/>
  <c r="Y253" i="12"/>
  <c r="X253" i="12"/>
  <c r="W253" i="12"/>
  <c r="V253" i="12"/>
  <c r="U253" i="12"/>
  <c r="T253" i="12"/>
  <c r="S253" i="12"/>
  <c r="R253" i="12"/>
  <c r="Q253" i="12"/>
  <c r="P253" i="12"/>
  <c r="O253" i="12"/>
  <c r="N253" i="12"/>
  <c r="M253" i="12"/>
  <c r="L253" i="12"/>
  <c r="K253" i="12"/>
  <c r="J253" i="12"/>
  <c r="I253" i="12"/>
  <c r="H253" i="12"/>
  <c r="G253" i="12"/>
  <c r="F253" i="12"/>
  <c r="E253" i="12"/>
  <c r="D253" i="12"/>
  <c r="C253" i="12"/>
  <c r="B253" i="12"/>
  <c r="A253" i="12"/>
  <c r="Z252" i="12"/>
  <c r="Y252" i="12"/>
  <c r="X252" i="12"/>
  <c r="W252" i="12"/>
  <c r="V252" i="12"/>
  <c r="U252" i="12"/>
  <c r="T252" i="12"/>
  <c r="S252" i="12"/>
  <c r="R252" i="12"/>
  <c r="Q252" i="12"/>
  <c r="P252" i="12"/>
  <c r="O252" i="12"/>
  <c r="N252" i="12"/>
  <c r="M252" i="12"/>
  <c r="L252" i="12"/>
  <c r="K252" i="12"/>
  <c r="J252" i="12"/>
  <c r="I252" i="12"/>
  <c r="H252" i="12"/>
  <c r="G252" i="12"/>
  <c r="F252" i="12"/>
  <c r="E252" i="12"/>
  <c r="D252" i="12"/>
  <c r="C252" i="12"/>
  <c r="B252" i="12"/>
  <c r="A252" i="12"/>
  <c r="Z251" i="12"/>
  <c r="Y251" i="12"/>
  <c r="X251" i="12"/>
  <c r="W251" i="12"/>
  <c r="V251" i="12"/>
  <c r="U251" i="12"/>
  <c r="T251" i="12"/>
  <c r="S251" i="12"/>
  <c r="R251" i="12"/>
  <c r="Q251" i="12"/>
  <c r="P251" i="12"/>
  <c r="O251" i="12"/>
  <c r="N251" i="12"/>
  <c r="M251" i="12"/>
  <c r="L251" i="12"/>
  <c r="K251" i="12"/>
  <c r="J251" i="12"/>
  <c r="I251" i="12"/>
  <c r="H251" i="12"/>
  <c r="G251" i="12"/>
  <c r="F251" i="12"/>
  <c r="E251" i="12"/>
  <c r="D251" i="12"/>
  <c r="C251" i="12"/>
  <c r="B251" i="12"/>
  <c r="A251" i="12"/>
  <c r="Z250" i="12"/>
  <c r="Y250" i="12"/>
  <c r="X250" i="12"/>
  <c r="W250" i="12"/>
  <c r="V250" i="12"/>
  <c r="U250" i="12"/>
  <c r="T250" i="12"/>
  <c r="S250" i="12"/>
  <c r="R250" i="12"/>
  <c r="Q250" i="12"/>
  <c r="P250" i="12"/>
  <c r="O250" i="12"/>
  <c r="N250" i="12"/>
  <c r="M250" i="12"/>
  <c r="L250" i="12"/>
  <c r="K250" i="12"/>
  <c r="J250" i="12"/>
  <c r="I250" i="12"/>
  <c r="H250" i="12"/>
  <c r="G250" i="12"/>
  <c r="F250" i="12"/>
  <c r="E250" i="12"/>
  <c r="D250" i="12"/>
  <c r="C250" i="12"/>
  <c r="B250" i="12"/>
  <c r="A250" i="12"/>
  <c r="Z249" i="12"/>
  <c r="Y249" i="12"/>
  <c r="X249" i="12"/>
  <c r="W249" i="12"/>
  <c r="V249" i="12"/>
  <c r="U249" i="12"/>
  <c r="T249" i="12"/>
  <c r="S249" i="12"/>
  <c r="R249" i="12"/>
  <c r="Q249" i="12"/>
  <c r="P249" i="12"/>
  <c r="O249" i="12"/>
  <c r="N249" i="12"/>
  <c r="M249" i="12"/>
  <c r="L249" i="12"/>
  <c r="K249" i="12"/>
  <c r="J249" i="12"/>
  <c r="I249" i="12"/>
  <c r="H249" i="12"/>
  <c r="G249" i="12"/>
  <c r="F249" i="12"/>
  <c r="E249" i="12"/>
  <c r="D249" i="12"/>
  <c r="C249" i="12"/>
  <c r="B249" i="12"/>
  <c r="A249" i="12"/>
  <c r="Z248" i="12"/>
  <c r="Y248" i="12"/>
  <c r="X248" i="12"/>
  <c r="W248" i="12"/>
  <c r="V248" i="12"/>
  <c r="U248" i="12"/>
  <c r="T248" i="12"/>
  <c r="S248" i="12"/>
  <c r="R248" i="12"/>
  <c r="Q248" i="12"/>
  <c r="P248" i="12"/>
  <c r="O248" i="12"/>
  <c r="N248" i="12"/>
  <c r="M248" i="12"/>
  <c r="L248" i="12"/>
  <c r="K248" i="12"/>
  <c r="J248" i="12"/>
  <c r="I248" i="12"/>
  <c r="H248" i="12"/>
  <c r="G248" i="12"/>
  <c r="F248" i="12"/>
  <c r="E248" i="12"/>
  <c r="D248" i="12"/>
  <c r="C248" i="12"/>
  <c r="B248" i="12"/>
  <c r="A248" i="12"/>
  <c r="Z247" i="12"/>
  <c r="Y247" i="12"/>
  <c r="X247" i="12"/>
  <c r="W247" i="12"/>
  <c r="V247" i="12"/>
  <c r="U247" i="12"/>
  <c r="T247" i="12"/>
  <c r="S247" i="12"/>
  <c r="R247" i="12"/>
  <c r="Q247" i="12"/>
  <c r="P247" i="12"/>
  <c r="O247" i="12"/>
  <c r="N247" i="12"/>
  <c r="M247" i="12"/>
  <c r="L247" i="12"/>
  <c r="K247" i="12"/>
  <c r="J247" i="12"/>
  <c r="I247" i="12"/>
  <c r="H247" i="12"/>
  <c r="G247" i="12"/>
  <c r="F247" i="12"/>
  <c r="E247" i="12"/>
  <c r="D247" i="12"/>
  <c r="C247" i="12"/>
  <c r="B247" i="12"/>
  <c r="A247" i="12"/>
  <c r="Z246" i="12"/>
  <c r="Y246" i="12"/>
  <c r="X246" i="12"/>
  <c r="W246" i="12"/>
  <c r="V246" i="12"/>
  <c r="U246" i="12"/>
  <c r="T246" i="12"/>
  <c r="S246" i="12"/>
  <c r="R246" i="12"/>
  <c r="Q246" i="12"/>
  <c r="P246" i="12"/>
  <c r="O246" i="12"/>
  <c r="N246" i="12"/>
  <c r="M246" i="12"/>
  <c r="L246" i="12"/>
  <c r="K246" i="12"/>
  <c r="J246" i="12"/>
  <c r="I246" i="12"/>
  <c r="H246" i="12"/>
  <c r="G246" i="12"/>
  <c r="F246" i="12"/>
  <c r="E246" i="12"/>
  <c r="D246" i="12"/>
  <c r="C246" i="12"/>
  <c r="B246" i="12"/>
  <c r="A246" i="12"/>
  <c r="Z245" i="12"/>
  <c r="Y245" i="12"/>
  <c r="X245" i="12"/>
  <c r="W245" i="12"/>
  <c r="V245" i="12"/>
  <c r="U245" i="12"/>
  <c r="T245" i="12"/>
  <c r="S245" i="12"/>
  <c r="R245" i="12"/>
  <c r="Q245" i="12"/>
  <c r="P245" i="12"/>
  <c r="O245" i="12"/>
  <c r="N245" i="12"/>
  <c r="M245" i="12"/>
  <c r="L245" i="12"/>
  <c r="K245" i="12"/>
  <c r="J245" i="12"/>
  <c r="I245" i="12"/>
  <c r="H245" i="12"/>
  <c r="G245" i="12"/>
  <c r="F245" i="12"/>
  <c r="E245" i="12"/>
  <c r="D245" i="12"/>
  <c r="C245" i="12"/>
  <c r="B245" i="12"/>
  <c r="A245" i="12"/>
  <c r="Z244" i="12"/>
  <c r="Y244" i="12"/>
  <c r="X244" i="12"/>
  <c r="W244" i="12"/>
  <c r="V244" i="12"/>
  <c r="U244" i="12"/>
  <c r="T244" i="12"/>
  <c r="S244" i="12"/>
  <c r="R244" i="12"/>
  <c r="Q244" i="12"/>
  <c r="P244" i="12"/>
  <c r="O244" i="12"/>
  <c r="N244" i="12"/>
  <c r="M244" i="12"/>
  <c r="L244" i="12"/>
  <c r="K244" i="12"/>
  <c r="J244" i="12"/>
  <c r="I244" i="12"/>
  <c r="H244" i="12"/>
  <c r="G244" i="12"/>
  <c r="F244" i="12"/>
  <c r="E244" i="12"/>
  <c r="D244" i="12"/>
  <c r="C244" i="12"/>
  <c r="B244" i="12"/>
  <c r="A244" i="12"/>
  <c r="Z243" i="12"/>
  <c r="Y243" i="12"/>
  <c r="X243" i="12"/>
  <c r="W243" i="12"/>
  <c r="V243" i="12"/>
  <c r="U243" i="12"/>
  <c r="T243" i="12"/>
  <c r="S243" i="12"/>
  <c r="R243" i="12"/>
  <c r="Q243" i="12"/>
  <c r="P243" i="12"/>
  <c r="O243" i="12"/>
  <c r="N243" i="12"/>
  <c r="M243" i="12"/>
  <c r="L243" i="12"/>
  <c r="K243" i="12"/>
  <c r="J243" i="12"/>
  <c r="I243" i="12"/>
  <c r="H243" i="12"/>
  <c r="G243" i="12"/>
  <c r="F243" i="12"/>
  <c r="E243" i="12"/>
  <c r="D243" i="12"/>
  <c r="C243" i="12"/>
  <c r="B243" i="12"/>
  <c r="A243" i="12"/>
  <c r="Z242" i="12"/>
  <c r="Y242" i="12"/>
  <c r="X242" i="12"/>
  <c r="W242" i="12"/>
  <c r="V242" i="12"/>
  <c r="U242" i="12"/>
  <c r="T242" i="12"/>
  <c r="S242" i="12"/>
  <c r="R242" i="12"/>
  <c r="Q242" i="12"/>
  <c r="P242" i="12"/>
  <c r="O242" i="12"/>
  <c r="N242" i="12"/>
  <c r="M242" i="12"/>
  <c r="L242" i="12"/>
  <c r="K242" i="12"/>
  <c r="J242" i="12"/>
  <c r="I242" i="12"/>
  <c r="H242" i="12"/>
  <c r="G242" i="12"/>
  <c r="F242" i="12"/>
  <c r="E242" i="12"/>
  <c r="D242" i="12"/>
  <c r="C242" i="12"/>
  <c r="B242" i="12"/>
  <c r="A242" i="12"/>
  <c r="Z241" i="12"/>
  <c r="Y241" i="12"/>
  <c r="X241" i="12"/>
  <c r="W241" i="12"/>
  <c r="V241" i="12"/>
  <c r="U241" i="12"/>
  <c r="T241" i="12"/>
  <c r="S241" i="12"/>
  <c r="R241" i="12"/>
  <c r="Q241" i="12"/>
  <c r="P241" i="12"/>
  <c r="O241" i="12"/>
  <c r="N241" i="12"/>
  <c r="M241" i="12"/>
  <c r="L241" i="12"/>
  <c r="K241" i="12"/>
  <c r="J241" i="12"/>
  <c r="I241" i="12"/>
  <c r="H241" i="12"/>
  <c r="G241" i="12"/>
  <c r="F241" i="12"/>
  <c r="E241" i="12"/>
  <c r="D241" i="12"/>
  <c r="C241" i="12"/>
  <c r="B241" i="12"/>
  <c r="A241" i="12"/>
  <c r="Z240" i="12"/>
  <c r="Y240" i="12"/>
  <c r="X240" i="12"/>
  <c r="W240" i="12"/>
  <c r="V240" i="12"/>
  <c r="U240" i="12"/>
  <c r="T240" i="12"/>
  <c r="S240" i="12"/>
  <c r="R240" i="12"/>
  <c r="Q240" i="12"/>
  <c r="P240" i="12"/>
  <c r="O240" i="12"/>
  <c r="N240" i="12"/>
  <c r="M240" i="12"/>
  <c r="L240" i="12"/>
  <c r="K240" i="12"/>
  <c r="J240" i="12"/>
  <c r="I240" i="12"/>
  <c r="H240" i="12"/>
  <c r="G240" i="12"/>
  <c r="F240" i="12"/>
  <c r="E240" i="12"/>
  <c r="D240" i="12"/>
  <c r="C240" i="12"/>
  <c r="B240" i="12"/>
  <c r="A240" i="12"/>
  <c r="Z239" i="12"/>
  <c r="Y239" i="12"/>
  <c r="X239" i="12"/>
  <c r="W239" i="12"/>
  <c r="V239" i="12"/>
  <c r="U239" i="12"/>
  <c r="T239" i="12"/>
  <c r="S239" i="12"/>
  <c r="R239" i="12"/>
  <c r="Q239" i="12"/>
  <c r="P239" i="12"/>
  <c r="O239" i="12"/>
  <c r="N239" i="12"/>
  <c r="M239" i="12"/>
  <c r="L239" i="12"/>
  <c r="K239" i="12"/>
  <c r="J239" i="12"/>
  <c r="I239" i="12"/>
  <c r="H239" i="12"/>
  <c r="G239" i="12"/>
  <c r="F239" i="12"/>
  <c r="E239" i="12"/>
  <c r="D239" i="12"/>
  <c r="C239" i="12"/>
  <c r="B239" i="12"/>
  <c r="A239" i="12"/>
  <c r="Z238" i="12"/>
  <c r="Y238" i="12"/>
  <c r="X238" i="12"/>
  <c r="W238" i="12"/>
  <c r="V238" i="12"/>
  <c r="U238" i="12"/>
  <c r="T238" i="12"/>
  <c r="S238" i="12"/>
  <c r="R238" i="12"/>
  <c r="Q238" i="12"/>
  <c r="P238" i="12"/>
  <c r="O238" i="12"/>
  <c r="N238" i="12"/>
  <c r="M238" i="12"/>
  <c r="L238" i="12"/>
  <c r="K238" i="12"/>
  <c r="J238" i="12"/>
  <c r="I238" i="12"/>
  <c r="H238" i="12"/>
  <c r="G238" i="12"/>
  <c r="F238" i="12"/>
  <c r="E238" i="12"/>
  <c r="D238" i="12"/>
  <c r="C238" i="12"/>
  <c r="B238" i="12"/>
  <c r="A238" i="12"/>
  <c r="Z237" i="12"/>
  <c r="Y237" i="12"/>
  <c r="X237" i="12"/>
  <c r="W237" i="12"/>
  <c r="V237" i="12"/>
  <c r="U237" i="12"/>
  <c r="T237" i="12"/>
  <c r="S237" i="12"/>
  <c r="R237" i="12"/>
  <c r="Q237" i="12"/>
  <c r="P237" i="12"/>
  <c r="O237" i="12"/>
  <c r="N237" i="12"/>
  <c r="M237" i="12"/>
  <c r="L237" i="12"/>
  <c r="K237" i="12"/>
  <c r="J237" i="12"/>
  <c r="I237" i="12"/>
  <c r="H237" i="12"/>
  <c r="G237" i="12"/>
  <c r="F237" i="12"/>
  <c r="E237" i="12"/>
  <c r="D237" i="12"/>
  <c r="C237" i="12"/>
  <c r="B237" i="12"/>
  <c r="A237" i="12"/>
  <c r="Z236" i="12"/>
  <c r="Y236" i="12"/>
  <c r="X236" i="12"/>
  <c r="W236" i="12"/>
  <c r="V236" i="12"/>
  <c r="U236" i="12"/>
  <c r="T236" i="12"/>
  <c r="S236" i="12"/>
  <c r="R236" i="12"/>
  <c r="Q236" i="12"/>
  <c r="P236" i="12"/>
  <c r="O236" i="12"/>
  <c r="N236" i="12"/>
  <c r="M236" i="12"/>
  <c r="L236" i="12"/>
  <c r="K236" i="12"/>
  <c r="J236" i="12"/>
  <c r="I236" i="12"/>
  <c r="H236" i="12"/>
  <c r="G236" i="12"/>
  <c r="F236" i="12"/>
  <c r="E236" i="12"/>
  <c r="D236" i="12"/>
  <c r="C236" i="12"/>
  <c r="B236" i="12"/>
  <c r="A236" i="12"/>
  <c r="Z235" i="12"/>
  <c r="Y235" i="12"/>
  <c r="X235" i="12"/>
  <c r="W235" i="12"/>
  <c r="V235" i="12"/>
  <c r="U235" i="12"/>
  <c r="T235" i="12"/>
  <c r="S235" i="12"/>
  <c r="R235" i="12"/>
  <c r="Q235" i="12"/>
  <c r="P235" i="12"/>
  <c r="O235" i="12"/>
  <c r="N235" i="12"/>
  <c r="M235" i="12"/>
  <c r="L235" i="12"/>
  <c r="K235" i="12"/>
  <c r="J235" i="12"/>
  <c r="I235" i="12"/>
  <c r="H235" i="12"/>
  <c r="G235" i="12"/>
  <c r="F235" i="12"/>
  <c r="E235" i="12"/>
  <c r="D235" i="12"/>
  <c r="C235" i="12"/>
  <c r="B235" i="12"/>
  <c r="A235" i="12"/>
  <c r="Z234" i="12"/>
  <c r="Y234" i="12"/>
  <c r="X234" i="12"/>
  <c r="W234" i="12"/>
  <c r="V234" i="12"/>
  <c r="U234" i="12"/>
  <c r="T234" i="12"/>
  <c r="S234" i="12"/>
  <c r="R234" i="12"/>
  <c r="Q234" i="12"/>
  <c r="P234" i="12"/>
  <c r="O234" i="12"/>
  <c r="N234" i="12"/>
  <c r="M234" i="12"/>
  <c r="L234" i="12"/>
  <c r="K234" i="12"/>
  <c r="J234" i="12"/>
  <c r="I234" i="12"/>
  <c r="H234" i="12"/>
  <c r="G234" i="12"/>
  <c r="F234" i="12"/>
  <c r="E234" i="12"/>
  <c r="D234" i="12"/>
  <c r="C234" i="12"/>
  <c r="B234" i="12"/>
  <c r="A234" i="12"/>
  <c r="Z233" i="12"/>
  <c r="Y233" i="12"/>
  <c r="X233" i="12"/>
  <c r="W233" i="12"/>
  <c r="V233" i="12"/>
  <c r="U233" i="12"/>
  <c r="T233" i="12"/>
  <c r="S233" i="12"/>
  <c r="R233" i="12"/>
  <c r="Q233" i="12"/>
  <c r="P233" i="12"/>
  <c r="O233" i="12"/>
  <c r="N233" i="12"/>
  <c r="M233" i="12"/>
  <c r="L233" i="12"/>
  <c r="K233" i="12"/>
  <c r="J233" i="12"/>
  <c r="I233" i="12"/>
  <c r="H233" i="12"/>
  <c r="G233" i="12"/>
  <c r="F233" i="12"/>
  <c r="E233" i="12"/>
  <c r="D233" i="12"/>
  <c r="C233" i="12"/>
  <c r="B233" i="12"/>
  <c r="A233" i="12"/>
  <c r="Z232" i="12"/>
  <c r="Y232" i="12"/>
  <c r="X232" i="12"/>
  <c r="W232" i="12"/>
  <c r="V232" i="12"/>
  <c r="U232" i="12"/>
  <c r="T232" i="12"/>
  <c r="S232" i="12"/>
  <c r="R232" i="12"/>
  <c r="Q232" i="12"/>
  <c r="P232" i="12"/>
  <c r="O232" i="12"/>
  <c r="N232" i="12"/>
  <c r="M232" i="12"/>
  <c r="L232" i="12"/>
  <c r="K232" i="12"/>
  <c r="J232" i="12"/>
  <c r="I232" i="12"/>
  <c r="H232" i="12"/>
  <c r="G232" i="12"/>
  <c r="F232" i="12"/>
  <c r="E232" i="12"/>
  <c r="D232" i="12"/>
  <c r="C232" i="12"/>
  <c r="B232" i="12"/>
  <c r="A232" i="12"/>
  <c r="Z231" i="12"/>
  <c r="Y231" i="12"/>
  <c r="X231" i="12"/>
  <c r="W231" i="12"/>
  <c r="V231" i="12"/>
  <c r="U231" i="12"/>
  <c r="T231" i="12"/>
  <c r="S231" i="12"/>
  <c r="R231" i="12"/>
  <c r="Q231" i="12"/>
  <c r="P231" i="12"/>
  <c r="O231" i="12"/>
  <c r="N231" i="12"/>
  <c r="M231" i="12"/>
  <c r="L231" i="12"/>
  <c r="K231" i="12"/>
  <c r="J231" i="12"/>
  <c r="I231" i="12"/>
  <c r="H231" i="12"/>
  <c r="G231" i="12"/>
  <c r="F231" i="12"/>
  <c r="E231" i="12"/>
  <c r="D231" i="12"/>
  <c r="C231" i="12"/>
  <c r="B231" i="12"/>
  <c r="A231" i="12"/>
  <c r="Z230" i="12"/>
  <c r="Y230" i="12"/>
  <c r="X230" i="12"/>
  <c r="W230" i="12"/>
  <c r="V230" i="12"/>
  <c r="U230" i="12"/>
  <c r="T230" i="12"/>
  <c r="S230" i="12"/>
  <c r="R230" i="12"/>
  <c r="Q230" i="12"/>
  <c r="P230" i="12"/>
  <c r="O230" i="12"/>
  <c r="N230" i="12"/>
  <c r="M230" i="12"/>
  <c r="L230" i="12"/>
  <c r="K230" i="12"/>
  <c r="J230" i="12"/>
  <c r="I230" i="12"/>
  <c r="H230" i="12"/>
  <c r="G230" i="12"/>
  <c r="F230" i="12"/>
  <c r="E230" i="12"/>
  <c r="D230" i="12"/>
  <c r="C230" i="12"/>
  <c r="B230" i="12"/>
  <c r="A230" i="12"/>
  <c r="Z229" i="12"/>
  <c r="Y229" i="12"/>
  <c r="X229" i="12"/>
  <c r="W229" i="12"/>
  <c r="V229" i="12"/>
  <c r="U229" i="12"/>
  <c r="T229" i="12"/>
  <c r="S229" i="12"/>
  <c r="R229" i="12"/>
  <c r="Q229" i="12"/>
  <c r="P229" i="12"/>
  <c r="O229" i="12"/>
  <c r="N229" i="12"/>
  <c r="M229" i="12"/>
  <c r="L229" i="12"/>
  <c r="K229" i="12"/>
  <c r="J229" i="12"/>
  <c r="I229" i="12"/>
  <c r="H229" i="12"/>
  <c r="G229" i="12"/>
  <c r="F229" i="12"/>
  <c r="E229" i="12"/>
  <c r="D229" i="12"/>
  <c r="C229" i="12"/>
  <c r="B229" i="12"/>
  <c r="A229" i="12"/>
  <c r="Z228" i="12"/>
  <c r="Y228" i="12"/>
  <c r="X228" i="12"/>
  <c r="W228" i="12"/>
  <c r="V228" i="12"/>
  <c r="U228" i="12"/>
  <c r="T228" i="12"/>
  <c r="S228" i="12"/>
  <c r="R228" i="12"/>
  <c r="Q228" i="12"/>
  <c r="P228" i="12"/>
  <c r="O228" i="12"/>
  <c r="N228" i="12"/>
  <c r="M228" i="12"/>
  <c r="L228" i="12"/>
  <c r="K228" i="12"/>
  <c r="J228" i="12"/>
  <c r="I228" i="12"/>
  <c r="H228" i="12"/>
  <c r="G228" i="12"/>
  <c r="F228" i="12"/>
  <c r="E228" i="12"/>
  <c r="D228" i="12"/>
  <c r="C228" i="12"/>
  <c r="B228" i="12"/>
  <c r="A228" i="12"/>
  <c r="Z227" i="12"/>
  <c r="Y227" i="12"/>
  <c r="X227" i="12"/>
  <c r="W227" i="12"/>
  <c r="V227" i="12"/>
  <c r="U227" i="12"/>
  <c r="T227" i="12"/>
  <c r="S227" i="12"/>
  <c r="R227" i="12"/>
  <c r="Q227" i="12"/>
  <c r="P227" i="12"/>
  <c r="O227" i="12"/>
  <c r="N227" i="12"/>
  <c r="M227" i="12"/>
  <c r="L227" i="12"/>
  <c r="K227" i="12"/>
  <c r="J227" i="12"/>
  <c r="I227" i="12"/>
  <c r="H227" i="12"/>
  <c r="G227" i="12"/>
  <c r="F227" i="12"/>
  <c r="E227" i="12"/>
  <c r="D227" i="12"/>
  <c r="C227" i="12"/>
  <c r="B227" i="12"/>
  <c r="A227" i="12"/>
  <c r="Z226" i="12"/>
  <c r="Y226" i="12"/>
  <c r="X226" i="12"/>
  <c r="W226" i="12"/>
  <c r="V226" i="12"/>
  <c r="U226" i="12"/>
  <c r="T226" i="12"/>
  <c r="S226" i="12"/>
  <c r="R226" i="12"/>
  <c r="Q226" i="12"/>
  <c r="P226" i="12"/>
  <c r="O226" i="12"/>
  <c r="N226" i="12"/>
  <c r="M226" i="12"/>
  <c r="L226" i="12"/>
  <c r="K226" i="12"/>
  <c r="J226" i="12"/>
  <c r="I226" i="12"/>
  <c r="H226" i="12"/>
  <c r="G226" i="12"/>
  <c r="F226" i="12"/>
  <c r="E226" i="12"/>
  <c r="D226" i="12"/>
  <c r="C226" i="12"/>
  <c r="B226" i="12"/>
  <c r="A226" i="12"/>
  <c r="Z225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M225" i="12"/>
  <c r="L225" i="12"/>
  <c r="K225" i="12"/>
  <c r="J225" i="12"/>
  <c r="I225" i="12"/>
  <c r="H225" i="12"/>
  <c r="G225" i="12"/>
  <c r="F225" i="12"/>
  <c r="E225" i="12"/>
  <c r="D225" i="12"/>
  <c r="C225" i="12"/>
  <c r="B225" i="12"/>
  <c r="A225" i="12"/>
  <c r="Z224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M224" i="12"/>
  <c r="L224" i="12"/>
  <c r="K224" i="12"/>
  <c r="J224" i="12"/>
  <c r="I224" i="12"/>
  <c r="H224" i="12"/>
  <c r="G224" i="12"/>
  <c r="F224" i="12"/>
  <c r="E224" i="12"/>
  <c r="D224" i="12"/>
  <c r="C224" i="12"/>
  <c r="B224" i="12"/>
  <c r="A224" i="12"/>
  <c r="Z223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M223" i="12"/>
  <c r="L223" i="12"/>
  <c r="K223" i="12"/>
  <c r="J223" i="12"/>
  <c r="I223" i="12"/>
  <c r="H223" i="12"/>
  <c r="G223" i="12"/>
  <c r="F223" i="12"/>
  <c r="E223" i="12"/>
  <c r="D223" i="12"/>
  <c r="C223" i="12"/>
  <c r="B223" i="12"/>
  <c r="A223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K222" i="12"/>
  <c r="J222" i="12"/>
  <c r="I222" i="12"/>
  <c r="H222" i="12"/>
  <c r="G222" i="12"/>
  <c r="F222" i="12"/>
  <c r="E222" i="12"/>
  <c r="D222" i="12"/>
  <c r="C222" i="12"/>
  <c r="B222" i="12"/>
  <c r="A222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K221" i="12"/>
  <c r="J221" i="12"/>
  <c r="I221" i="12"/>
  <c r="H221" i="12"/>
  <c r="G221" i="12"/>
  <c r="F221" i="12"/>
  <c r="E221" i="12"/>
  <c r="D221" i="12"/>
  <c r="C221" i="12"/>
  <c r="B221" i="12"/>
  <c r="A221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K220" i="12"/>
  <c r="J220" i="12"/>
  <c r="I220" i="12"/>
  <c r="H220" i="12"/>
  <c r="G220" i="12"/>
  <c r="F220" i="12"/>
  <c r="E220" i="12"/>
  <c r="D220" i="12"/>
  <c r="C220" i="12"/>
  <c r="B220" i="12"/>
  <c r="A220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K219" i="12"/>
  <c r="J219" i="12"/>
  <c r="I219" i="12"/>
  <c r="H219" i="12"/>
  <c r="G219" i="12"/>
  <c r="F219" i="12"/>
  <c r="E219" i="12"/>
  <c r="D219" i="12"/>
  <c r="C219" i="12"/>
  <c r="B219" i="12"/>
  <c r="A219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K218" i="12"/>
  <c r="J218" i="12"/>
  <c r="I218" i="12"/>
  <c r="H218" i="12"/>
  <c r="G218" i="12"/>
  <c r="F218" i="12"/>
  <c r="E218" i="12"/>
  <c r="D218" i="12"/>
  <c r="C218" i="12"/>
  <c r="B218" i="12"/>
  <c r="A218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K217" i="12"/>
  <c r="J217" i="12"/>
  <c r="I217" i="12"/>
  <c r="H217" i="12"/>
  <c r="G217" i="12"/>
  <c r="F217" i="12"/>
  <c r="E217" i="12"/>
  <c r="D217" i="12"/>
  <c r="C217" i="12"/>
  <c r="B217" i="12"/>
  <c r="A217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K216" i="12"/>
  <c r="J216" i="12"/>
  <c r="I216" i="12"/>
  <c r="H216" i="12"/>
  <c r="G216" i="12"/>
  <c r="F216" i="12"/>
  <c r="E216" i="12"/>
  <c r="D216" i="12"/>
  <c r="C216" i="12"/>
  <c r="B216" i="12"/>
  <c r="A216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K215" i="12"/>
  <c r="J215" i="12"/>
  <c r="I215" i="12"/>
  <c r="H215" i="12"/>
  <c r="G215" i="12"/>
  <c r="F215" i="12"/>
  <c r="E215" i="12"/>
  <c r="D215" i="12"/>
  <c r="C215" i="12"/>
  <c r="B215" i="12"/>
  <c r="A215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K214" i="12"/>
  <c r="J214" i="12"/>
  <c r="I214" i="12"/>
  <c r="H214" i="12"/>
  <c r="G214" i="12"/>
  <c r="F214" i="12"/>
  <c r="E214" i="12"/>
  <c r="D214" i="12"/>
  <c r="C214" i="12"/>
  <c r="B214" i="12"/>
  <c r="A214" i="12"/>
  <c r="Z213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M213" i="12"/>
  <c r="L213" i="12"/>
  <c r="K213" i="12"/>
  <c r="J213" i="12"/>
  <c r="I213" i="12"/>
  <c r="H213" i="12"/>
  <c r="G213" i="12"/>
  <c r="F213" i="12"/>
  <c r="E213" i="12"/>
  <c r="D213" i="12"/>
  <c r="C213" i="12"/>
  <c r="B213" i="12"/>
  <c r="A213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K212" i="12"/>
  <c r="J212" i="12"/>
  <c r="I212" i="12"/>
  <c r="H212" i="12"/>
  <c r="G212" i="12"/>
  <c r="F212" i="12"/>
  <c r="E212" i="12"/>
  <c r="D212" i="12"/>
  <c r="C212" i="12"/>
  <c r="B212" i="12"/>
  <c r="A212" i="12"/>
  <c r="Z211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M211" i="12"/>
  <c r="L211" i="12"/>
  <c r="K211" i="12"/>
  <c r="J211" i="12"/>
  <c r="I211" i="12"/>
  <c r="H211" i="12"/>
  <c r="G211" i="12"/>
  <c r="F211" i="12"/>
  <c r="E211" i="12"/>
  <c r="D211" i="12"/>
  <c r="C211" i="12"/>
  <c r="B211" i="12"/>
  <c r="A211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K210" i="12"/>
  <c r="J210" i="12"/>
  <c r="I210" i="12"/>
  <c r="H210" i="12"/>
  <c r="G210" i="12"/>
  <c r="F210" i="12"/>
  <c r="E210" i="12"/>
  <c r="D210" i="12"/>
  <c r="C210" i="12"/>
  <c r="B210" i="12"/>
  <c r="A210" i="12"/>
  <c r="Z209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M209" i="12"/>
  <c r="L209" i="12"/>
  <c r="K209" i="12"/>
  <c r="J209" i="12"/>
  <c r="I209" i="12"/>
  <c r="H209" i="12"/>
  <c r="G209" i="12"/>
  <c r="F209" i="12"/>
  <c r="E209" i="12"/>
  <c r="D209" i="12"/>
  <c r="C209" i="12"/>
  <c r="B209" i="12"/>
  <c r="A209" i="12"/>
  <c r="Z208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M208" i="12"/>
  <c r="L208" i="12"/>
  <c r="K208" i="12"/>
  <c r="J208" i="12"/>
  <c r="I208" i="12"/>
  <c r="H208" i="12"/>
  <c r="G208" i="12"/>
  <c r="F208" i="12"/>
  <c r="E208" i="12"/>
  <c r="D208" i="12"/>
  <c r="C208" i="12"/>
  <c r="B208" i="12"/>
  <c r="A208" i="12"/>
  <c r="Z207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M207" i="12"/>
  <c r="L207" i="12"/>
  <c r="K207" i="12"/>
  <c r="J207" i="12"/>
  <c r="I207" i="12"/>
  <c r="H207" i="12"/>
  <c r="G207" i="12"/>
  <c r="F207" i="12"/>
  <c r="E207" i="12"/>
  <c r="D207" i="12"/>
  <c r="C207" i="12"/>
  <c r="B207" i="12"/>
  <c r="A207" i="12"/>
  <c r="A5" i="9"/>
  <c r="A5" i="8"/>
  <c r="A5" i="7"/>
  <c r="A5" i="6"/>
  <c r="A5" i="5"/>
  <c r="C121" i="4"/>
  <c r="A121" i="4"/>
  <c r="C197" i="4"/>
  <c r="A197" i="4"/>
  <c r="C164" i="4"/>
  <c r="A164" i="4"/>
  <c r="C86" i="4"/>
  <c r="A86" i="4"/>
  <c r="C65" i="4"/>
  <c r="A65" i="4"/>
  <c r="C85" i="4"/>
  <c r="A85" i="4"/>
  <c r="C206" i="4"/>
  <c r="A206" i="4"/>
  <c r="C20" i="4"/>
  <c r="A20" i="4"/>
  <c r="C45" i="4"/>
  <c r="A45" i="4"/>
  <c r="C84" i="4"/>
  <c r="A84" i="4"/>
  <c r="C35" i="4"/>
  <c r="A35" i="4"/>
  <c r="C120" i="4"/>
  <c r="A120" i="4"/>
  <c r="C34" i="4"/>
  <c r="A34" i="4"/>
  <c r="C33" i="4"/>
  <c r="A33" i="4"/>
  <c r="C196" i="4"/>
  <c r="A196" i="4"/>
  <c r="C138" i="4"/>
  <c r="A138" i="4"/>
  <c r="C195" i="4"/>
  <c r="A195" i="4"/>
  <c r="C194" i="4"/>
  <c r="A194" i="4"/>
  <c r="C119" i="4"/>
  <c r="A119" i="4"/>
  <c r="C163" i="4"/>
  <c r="A163" i="4"/>
  <c r="C162" i="4"/>
  <c r="A162" i="4"/>
  <c r="C161" i="4"/>
  <c r="A161" i="4"/>
  <c r="C193" i="4"/>
  <c r="A193" i="4"/>
  <c r="C160" i="4"/>
  <c r="A160" i="4"/>
  <c r="C159" i="4"/>
  <c r="A159" i="4"/>
  <c r="C64" i="4"/>
  <c r="A64" i="4"/>
  <c r="C158" i="4"/>
  <c r="A158" i="4"/>
  <c r="C157" i="4"/>
  <c r="A157" i="4"/>
  <c r="C156" i="4"/>
  <c r="A156" i="4"/>
  <c r="C118" i="4"/>
  <c r="A118" i="4"/>
  <c r="C155" i="4"/>
  <c r="A155" i="4"/>
  <c r="C137" i="4"/>
  <c r="A137" i="4"/>
  <c r="C117" i="4"/>
  <c r="A117" i="4"/>
  <c r="C32" i="4"/>
  <c r="A32" i="4"/>
  <c r="C154" i="4"/>
  <c r="A154" i="4"/>
  <c r="C192" i="4"/>
  <c r="A192" i="4"/>
  <c r="C191" i="4"/>
  <c r="A191" i="4"/>
  <c r="C116" i="4"/>
  <c r="A116" i="4"/>
  <c r="C115" i="4"/>
  <c r="A115" i="4"/>
  <c r="C136" i="4"/>
  <c r="A136" i="4"/>
  <c r="C135" i="4"/>
  <c r="A135" i="4"/>
  <c r="C134" i="4"/>
  <c r="A134" i="4"/>
  <c r="C153" i="4"/>
  <c r="A153" i="4"/>
  <c r="C133" i="4"/>
  <c r="A133" i="4"/>
  <c r="C19" i="4"/>
  <c r="A19" i="4"/>
  <c r="C83" i="4"/>
  <c r="A83" i="4"/>
  <c r="C44" i="4"/>
  <c r="A44" i="4"/>
  <c r="C114" i="4"/>
  <c r="A114" i="4"/>
  <c r="C82" i="4"/>
  <c r="A82" i="4"/>
  <c r="C43" i="4"/>
  <c r="A43" i="4"/>
  <c r="C113" i="4"/>
  <c r="A113" i="4"/>
  <c r="C152" i="4"/>
  <c r="A152" i="4"/>
  <c r="C132" i="4"/>
  <c r="A132" i="4"/>
  <c r="C31" i="4"/>
  <c r="A31" i="4"/>
  <c r="C30" i="4"/>
  <c r="A30" i="4"/>
  <c r="C112" i="4"/>
  <c r="A112" i="4"/>
  <c r="C63" i="4"/>
  <c r="A63" i="4"/>
  <c r="C29" i="4"/>
  <c r="A29" i="4"/>
  <c r="C151" i="4"/>
  <c r="A151" i="4"/>
  <c r="C190" i="4"/>
  <c r="A190" i="4"/>
  <c r="C6" i="4"/>
  <c r="A6" i="4"/>
  <c r="C62" i="4"/>
  <c r="A62" i="4"/>
  <c r="C131" i="4"/>
  <c r="A131" i="4"/>
  <c r="C10" i="4"/>
  <c r="A10" i="4"/>
  <c r="C130" i="4"/>
  <c r="A130" i="4"/>
  <c r="C111" i="4"/>
  <c r="A111" i="4"/>
  <c r="C110" i="4"/>
  <c r="A110" i="4"/>
  <c r="C3" i="4"/>
  <c r="A3" i="4"/>
  <c r="C189" i="4"/>
  <c r="A189" i="4"/>
  <c r="C188" i="4"/>
  <c r="A188" i="4"/>
  <c r="C81" i="4"/>
  <c r="A81" i="4"/>
  <c r="C150" i="4"/>
  <c r="A150" i="4"/>
  <c r="C80" i="4"/>
  <c r="A80" i="4"/>
  <c r="C28" i="4"/>
  <c r="A28" i="4"/>
  <c r="C109" i="4"/>
  <c r="A109" i="4"/>
  <c r="C27" i="4"/>
  <c r="A27" i="4"/>
  <c r="C108" i="4"/>
  <c r="A108" i="4"/>
  <c r="C187" i="4"/>
  <c r="A187" i="4"/>
  <c r="C205" i="4"/>
  <c r="A205" i="4"/>
  <c r="C9" i="4"/>
  <c r="A9" i="4"/>
  <c r="C186" i="4"/>
  <c r="A186" i="4"/>
  <c r="C79" i="4"/>
  <c r="A79" i="4"/>
  <c r="C107" i="4"/>
  <c r="A107" i="4"/>
  <c r="C149" i="4"/>
  <c r="A149" i="4"/>
  <c r="C129" i="4"/>
  <c r="A129" i="4"/>
  <c r="C26" i="4"/>
  <c r="A26" i="4"/>
  <c r="C204" i="4"/>
  <c r="A204" i="4"/>
  <c r="C148" i="4"/>
  <c r="A148" i="4"/>
  <c r="C106" i="4"/>
  <c r="A106" i="4"/>
  <c r="C78" i="4"/>
  <c r="A78" i="4"/>
  <c r="C61" i="4"/>
  <c r="A61" i="4"/>
  <c r="C147" i="4"/>
  <c r="A147" i="4"/>
  <c r="C128" i="4"/>
  <c r="A128" i="4"/>
  <c r="C203" i="4"/>
  <c r="A203" i="4"/>
  <c r="C105" i="4"/>
  <c r="A105" i="4"/>
  <c r="C77" i="4"/>
  <c r="A77" i="4"/>
  <c r="C8" i="4"/>
  <c r="A8" i="4"/>
  <c r="C146" i="4"/>
  <c r="A146" i="4"/>
  <c r="C60" i="4"/>
  <c r="A60" i="4"/>
  <c r="C104" i="4"/>
  <c r="A104" i="4"/>
  <c r="C185" i="4"/>
  <c r="A185" i="4"/>
  <c r="C18" i="4"/>
  <c r="A18" i="4"/>
  <c r="C76" i="4"/>
  <c r="A76" i="4"/>
  <c r="C42" i="4"/>
  <c r="A42" i="4"/>
  <c r="C59" i="4"/>
  <c r="A59" i="4"/>
  <c r="C58" i="4"/>
  <c r="A58" i="4"/>
  <c r="C57" i="4"/>
  <c r="A57" i="4"/>
  <c r="C103" i="4"/>
  <c r="A103" i="4"/>
  <c r="C17" i="4"/>
  <c r="A17" i="4"/>
  <c r="C184" i="4"/>
  <c r="A184" i="4"/>
  <c r="C145" i="4"/>
  <c r="A145" i="4"/>
  <c r="C75" i="4"/>
  <c r="A75" i="4"/>
  <c r="C56" i="4"/>
  <c r="A56" i="4"/>
  <c r="C127" i="4"/>
  <c r="A127" i="4"/>
  <c r="C183" i="4"/>
  <c r="A183" i="4"/>
  <c r="C144" i="4"/>
  <c r="A144" i="4"/>
  <c r="C25" i="4"/>
  <c r="A25" i="4"/>
  <c r="C126" i="4"/>
  <c r="A126" i="4"/>
  <c r="C41" i="4"/>
  <c r="A41" i="4"/>
  <c r="C74" i="4"/>
  <c r="A74" i="4"/>
  <c r="C143" i="4"/>
  <c r="A143" i="4"/>
  <c r="C182" i="4"/>
  <c r="A182" i="4"/>
  <c r="C40" i="4"/>
  <c r="A40" i="4"/>
  <c r="C102" i="4"/>
  <c r="A102" i="4"/>
  <c r="C7" i="4"/>
  <c r="A7" i="4"/>
  <c r="C181" i="4"/>
  <c r="A181" i="4"/>
  <c r="C101" i="4"/>
  <c r="A101" i="4"/>
  <c r="C100" i="4"/>
  <c r="A100" i="4"/>
  <c r="C180" i="4"/>
  <c r="A180" i="4"/>
  <c r="C24" i="4"/>
  <c r="A24" i="4"/>
  <c r="C16" i="4"/>
  <c r="A16" i="4"/>
  <c r="C73" i="4"/>
  <c r="A73" i="4"/>
  <c r="C23" i="4"/>
  <c r="A23" i="4"/>
  <c r="C202" i="4"/>
  <c r="A202" i="4"/>
  <c r="C99" i="4"/>
  <c r="A99" i="4"/>
  <c r="C55" i="4"/>
  <c r="A55" i="4"/>
  <c r="C98" i="4"/>
  <c r="A98" i="4"/>
  <c r="C54" i="4"/>
  <c r="A54" i="4"/>
  <c r="C15" i="4"/>
  <c r="A15" i="4"/>
  <c r="C72" i="4"/>
  <c r="A72" i="4"/>
  <c r="C39" i="4"/>
  <c r="A39" i="4"/>
  <c r="C125" i="4"/>
  <c r="A125" i="4"/>
  <c r="C14" i="4"/>
  <c r="A14" i="4"/>
  <c r="C53" i="4"/>
  <c r="A53" i="4"/>
  <c r="C124" i="4"/>
  <c r="A124" i="4"/>
  <c r="C179" i="4"/>
  <c r="A179" i="4"/>
  <c r="C52" i="4"/>
  <c r="A52" i="4"/>
  <c r="C178" i="4"/>
  <c r="A178" i="4"/>
  <c r="C13" i="4"/>
  <c r="A13" i="4"/>
  <c r="C51" i="4"/>
  <c r="A51" i="4"/>
  <c r="C177" i="4"/>
  <c r="A177" i="4"/>
  <c r="C50" i="4"/>
  <c r="A50" i="4"/>
  <c r="C22" i="4"/>
  <c r="A22" i="4"/>
  <c r="C71" i="4"/>
  <c r="A71" i="4"/>
  <c r="C176" i="4"/>
  <c r="A176" i="4"/>
  <c r="C175" i="4"/>
  <c r="A175" i="4"/>
  <c r="C174" i="4"/>
  <c r="A174" i="4"/>
  <c r="C97" i="4"/>
  <c r="A97" i="4"/>
  <c r="C70" i="4"/>
  <c r="A70" i="4"/>
  <c r="C69" i="4"/>
  <c r="A69" i="4"/>
  <c r="C142" i="4"/>
  <c r="A142" i="4"/>
  <c r="C38" i="4"/>
  <c r="A38" i="4"/>
  <c r="C173" i="4"/>
  <c r="A173" i="4"/>
  <c r="C201" i="4"/>
  <c r="A201" i="4"/>
  <c r="C172" i="4"/>
  <c r="A172" i="4"/>
  <c r="C200" i="4"/>
  <c r="A200" i="4"/>
  <c r="C96" i="4"/>
  <c r="A96" i="4"/>
  <c r="C123" i="4"/>
  <c r="A123" i="4"/>
  <c r="C199" i="4"/>
  <c r="A199" i="4"/>
  <c r="C171" i="4"/>
  <c r="A171" i="4"/>
  <c r="C95" i="4"/>
  <c r="A95" i="4"/>
  <c r="C94" i="4"/>
  <c r="A94" i="4"/>
  <c r="C93" i="4"/>
  <c r="A93" i="4"/>
  <c r="C92" i="4"/>
  <c r="A92" i="4"/>
  <c r="C170" i="4"/>
  <c r="A170" i="4"/>
  <c r="C198" i="4"/>
  <c r="A198" i="4"/>
  <c r="C21" i="4"/>
  <c r="A21" i="4"/>
  <c r="C68" i="4"/>
  <c r="A68" i="4"/>
  <c r="C5" i="4"/>
  <c r="A5" i="4"/>
  <c r="C141" i="4"/>
  <c r="A141" i="4"/>
  <c r="C4" i="4"/>
  <c r="A4" i="4"/>
  <c r="C169" i="4"/>
  <c r="A169" i="4"/>
  <c r="C67" i="4"/>
  <c r="A67" i="4"/>
  <c r="C49" i="4"/>
  <c r="A49" i="4"/>
  <c r="C140" i="4"/>
  <c r="A140" i="4"/>
  <c r="C91" i="4"/>
  <c r="A91" i="4"/>
  <c r="C168" i="4"/>
  <c r="A168" i="4"/>
  <c r="C12" i="4"/>
  <c r="A12" i="4"/>
  <c r="C90" i="4"/>
  <c r="A90" i="4"/>
  <c r="C66" i="4"/>
  <c r="A66" i="4"/>
  <c r="C122" i="4"/>
  <c r="A122" i="4"/>
  <c r="C37" i="4"/>
  <c r="A37" i="4"/>
  <c r="C89" i="4"/>
  <c r="A89" i="4"/>
  <c r="C88" i="4"/>
  <c r="A88" i="4"/>
  <c r="C167" i="4"/>
  <c r="A167" i="4"/>
  <c r="C48" i="4"/>
  <c r="A48" i="4"/>
  <c r="C166" i="4"/>
  <c r="A166" i="4"/>
  <c r="C139" i="4"/>
  <c r="A139" i="4"/>
  <c r="C47" i="4"/>
  <c r="AF47" i="4" s="1" a="1"/>
  <c r="AF47" i="4" s="1"/>
  <c r="AH47" i="4" s="1"/>
  <c r="AI47" i="4" s="1"/>
  <c r="A47" i="4"/>
  <c r="C87" i="4"/>
  <c r="A87" i="4"/>
  <c r="C46" i="4"/>
  <c r="A46" i="4"/>
  <c r="C165" i="4"/>
  <c r="A165" i="4"/>
  <c r="C11" i="4"/>
  <c r="A11" i="4"/>
  <c r="C36" i="4"/>
  <c r="A36" i="4"/>
  <c r="D505" i="2"/>
  <c r="A505" i="2"/>
  <c r="D504" i="2"/>
  <c r="A504" i="2"/>
  <c r="D503" i="2"/>
  <c r="A503" i="2"/>
  <c r="D502" i="2"/>
  <c r="A502" i="2"/>
  <c r="D501" i="2"/>
  <c r="A501" i="2"/>
  <c r="D500" i="2"/>
  <c r="A500" i="2"/>
  <c r="D499" i="2"/>
  <c r="A499" i="2"/>
  <c r="D498" i="2"/>
  <c r="A498" i="2"/>
  <c r="D497" i="2"/>
  <c r="A497" i="2"/>
  <c r="D496" i="2"/>
  <c r="A496" i="2"/>
  <c r="D495" i="2"/>
  <c r="A495" i="2"/>
  <c r="D494" i="2"/>
  <c r="A494" i="2"/>
  <c r="D493" i="2"/>
  <c r="A493" i="2"/>
  <c r="D492" i="2"/>
  <c r="A492" i="2"/>
  <c r="D491" i="2"/>
  <c r="A491" i="2"/>
  <c r="D490" i="2"/>
  <c r="A490" i="2"/>
  <c r="D489" i="2"/>
  <c r="A489" i="2"/>
  <c r="D488" i="2"/>
  <c r="A488" i="2"/>
  <c r="D487" i="2"/>
  <c r="A487" i="2"/>
  <c r="D486" i="2"/>
  <c r="A486" i="2"/>
  <c r="D485" i="2"/>
  <c r="A485" i="2"/>
  <c r="D484" i="2"/>
  <c r="A484" i="2"/>
  <c r="D483" i="2"/>
  <c r="A483" i="2"/>
  <c r="D482" i="2"/>
  <c r="A482" i="2"/>
  <c r="D481" i="2"/>
  <c r="A481" i="2"/>
  <c r="D480" i="2"/>
  <c r="A480" i="2"/>
  <c r="D479" i="2"/>
  <c r="A479" i="2"/>
  <c r="D478" i="2"/>
  <c r="A478" i="2"/>
  <c r="D477" i="2"/>
  <c r="A477" i="2"/>
  <c r="D476" i="2"/>
  <c r="A476" i="2"/>
  <c r="D475" i="2"/>
  <c r="A475" i="2"/>
  <c r="D474" i="2"/>
  <c r="A474" i="2"/>
  <c r="D473" i="2"/>
  <c r="A473" i="2"/>
  <c r="D472" i="2"/>
  <c r="A472" i="2"/>
  <c r="D471" i="2"/>
  <c r="A471" i="2"/>
  <c r="D470" i="2"/>
  <c r="A470" i="2"/>
  <c r="D469" i="2"/>
  <c r="A469" i="2"/>
  <c r="D468" i="2"/>
  <c r="A468" i="2"/>
  <c r="D467" i="2"/>
  <c r="A467" i="2"/>
  <c r="D466" i="2"/>
  <c r="A466" i="2"/>
  <c r="D465" i="2"/>
  <c r="A465" i="2"/>
  <c r="D464" i="2"/>
  <c r="A464" i="2"/>
  <c r="D463" i="2"/>
  <c r="A463" i="2"/>
  <c r="D462" i="2"/>
  <c r="A462" i="2"/>
  <c r="D461" i="2"/>
  <c r="A461" i="2"/>
  <c r="D460" i="2"/>
  <c r="A460" i="2"/>
  <c r="D459" i="2"/>
  <c r="A459" i="2"/>
  <c r="D458" i="2"/>
  <c r="A458" i="2"/>
  <c r="D457" i="2"/>
  <c r="A457" i="2"/>
  <c r="D456" i="2"/>
  <c r="A456" i="2"/>
  <c r="D455" i="2"/>
  <c r="A455" i="2"/>
  <c r="D454" i="2"/>
  <c r="A454" i="2"/>
  <c r="D453" i="2"/>
  <c r="A453" i="2"/>
  <c r="D452" i="2"/>
  <c r="A452" i="2"/>
  <c r="D451" i="2"/>
  <c r="A451" i="2"/>
  <c r="D450" i="2"/>
  <c r="A450" i="2"/>
  <c r="D449" i="2"/>
  <c r="A449" i="2"/>
  <c r="D448" i="2"/>
  <c r="A448" i="2"/>
  <c r="D447" i="2"/>
  <c r="A447" i="2"/>
  <c r="D446" i="2"/>
  <c r="A446" i="2"/>
  <c r="D445" i="2"/>
  <c r="A445" i="2"/>
  <c r="D444" i="2"/>
  <c r="A444" i="2"/>
  <c r="D443" i="2"/>
  <c r="A443" i="2"/>
  <c r="D442" i="2"/>
  <c r="A442" i="2"/>
  <c r="D441" i="2"/>
  <c r="A441" i="2"/>
  <c r="D440" i="2"/>
  <c r="A440" i="2"/>
  <c r="D439" i="2"/>
  <c r="A439" i="2"/>
  <c r="D438" i="2"/>
  <c r="A438" i="2"/>
  <c r="D437" i="2"/>
  <c r="A437" i="2"/>
  <c r="D436" i="2"/>
  <c r="A436" i="2"/>
  <c r="D435" i="2"/>
  <c r="A435" i="2"/>
  <c r="D434" i="2"/>
  <c r="A434" i="2"/>
  <c r="D433" i="2"/>
  <c r="A433" i="2"/>
  <c r="D432" i="2"/>
  <c r="A432" i="2"/>
  <c r="D431" i="2"/>
  <c r="A431" i="2"/>
  <c r="D430" i="2"/>
  <c r="A430" i="2"/>
  <c r="D429" i="2"/>
  <c r="A429" i="2"/>
  <c r="D428" i="2"/>
  <c r="A428" i="2"/>
  <c r="D427" i="2"/>
  <c r="A427" i="2"/>
  <c r="D426" i="2"/>
  <c r="A426" i="2"/>
  <c r="D425" i="2"/>
  <c r="A425" i="2"/>
  <c r="D424" i="2"/>
  <c r="A424" i="2"/>
  <c r="D423" i="2"/>
  <c r="A423" i="2"/>
  <c r="D422" i="2"/>
  <c r="A422" i="2"/>
  <c r="D421" i="2"/>
  <c r="A421" i="2"/>
  <c r="D420" i="2"/>
  <c r="A420" i="2"/>
  <c r="D419" i="2"/>
  <c r="A419" i="2"/>
  <c r="D418" i="2"/>
  <c r="A418" i="2"/>
  <c r="D417" i="2"/>
  <c r="A417" i="2"/>
  <c r="D416" i="2"/>
  <c r="A416" i="2"/>
  <c r="D415" i="2"/>
  <c r="A415" i="2"/>
  <c r="D414" i="2"/>
  <c r="A414" i="2"/>
  <c r="D413" i="2"/>
  <c r="A413" i="2"/>
  <c r="D412" i="2"/>
  <c r="A412" i="2"/>
  <c r="D411" i="2"/>
  <c r="A411" i="2"/>
  <c r="D410" i="2"/>
  <c r="A410" i="2"/>
  <c r="D409" i="2"/>
  <c r="A409" i="2"/>
  <c r="D408" i="2"/>
  <c r="A408" i="2"/>
  <c r="D407" i="2"/>
  <c r="A407" i="2"/>
  <c r="D406" i="2"/>
  <c r="A406" i="2"/>
  <c r="D405" i="2"/>
  <c r="A405" i="2"/>
  <c r="D404" i="2"/>
  <c r="A404" i="2"/>
  <c r="D403" i="2"/>
  <c r="A403" i="2"/>
  <c r="D402" i="2"/>
  <c r="A402" i="2"/>
  <c r="D401" i="2"/>
  <c r="A401" i="2"/>
  <c r="D400" i="2"/>
  <c r="A400" i="2"/>
  <c r="D399" i="2"/>
  <c r="A399" i="2"/>
  <c r="D398" i="2"/>
  <c r="A398" i="2"/>
  <c r="D397" i="2"/>
  <c r="A397" i="2"/>
  <c r="D396" i="2"/>
  <c r="A396" i="2"/>
  <c r="D395" i="2"/>
  <c r="A395" i="2"/>
  <c r="D394" i="2"/>
  <c r="A394" i="2"/>
  <c r="D393" i="2"/>
  <c r="A393" i="2"/>
  <c r="D392" i="2"/>
  <c r="A392" i="2"/>
  <c r="D391" i="2"/>
  <c r="A391" i="2"/>
  <c r="D390" i="2"/>
  <c r="A390" i="2"/>
  <c r="D389" i="2"/>
  <c r="A389" i="2"/>
  <c r="D388" i="2"/>
  <c r="A388" i="2"/>
  <c r="D387" i="2"/>
  <c r="A387" i="2"/>
  <c r="D386" i="2"/>
  <c r="A386" i="2"/>
  <c r="D385" i="2"/>
  <c r="A385" i="2"/>
  <c r="D384" i="2"/>
  <c r="A384" i="2"/>
  <c r="D383" i="2"/>
  <c r="A383" i="2"/>
  <c r="D382" i="2"/>
  <c r="A382" i="2"/>
  <c r="D381" i="2"/>
  <c r="A381" i="2"/>
  <c r="D380" i="2"/>
  <c r="A380" i="2"/>
  <c r="D379" i="2"/>
  <c r="A379" i="2"/>
  <c r="D378" i="2"/>
  <c r="A378" i="2"/>
  <c r="D377" i="2"/>
  <c r="A377" i="2"/>
  <c r="D376" i="2"/>
  <c r="A376" i="2"/>
  <c r="D375" i="2"/>
  <c r="A375" i="2"/>
  <c r="D374" i="2"/>
  <c r="A374" i="2"/>
  <c r="D373" i="2"/>
  <c r="A373" i="2"/>
  <c r="D372" i="2"/>
  <c r="A372" i="2"/>
  <c r="D371" i="2"/>
  <c r="A371" i="2"/>
  <c r="D370" i="2"/>
  <c r="A370" i="2"/>
  <c r="D369" i="2"/>
  <c r="A369" i="2"/>
  <c r="D368" i="2"/>
  <c r="A368" i="2"/>
  <c r="D367" i="2"/>
  <c r="A367" i="2"/>
  <c r="D366" i="2"/>
  <c r="A366" i="2"/>
  <c r="D365" i="2"/>
  <c r="A365" i="2"/>
  <c r="D364" i="2"/>
  <c r="A364" i="2"/>
  <c r="D363" i="2"/>
  <c r="A363" i="2"/>
  <c r="D362" i="2"/>
  <c r="A362" i="2"/>
  <c r="D361" i="2"/>
  <c r="A361" i="2"/>
  <c r="D360" i="2"/>
  <c r="A360" i="2"/>
  <c r="D359" i="2"/>
  <c r="A359" i="2"/>
  <c r="D358" i="2"/>
  <c r="A358" i="2"/>
  <c r="D357" i="2"/>
  <c r="A357" i="2"/>
  <c r="D356" i="2"/>
  <c r="A356" i="2"/>
  <c r="D355" i="2"/>
  <c r="A355" i="2"/>
  <c r="D354" i="2"/>
  <c r="A354" i="2"/>
  <c r="D353" i="2"/>
  <c r="A353" i="2"/>
  <c r="D352" i="2"/>
  <c r="A352" i="2"/>
  <c r="D351" i="2"/>
  <c r="A351" i="2"/>
  <c r="D350" i="2"/>
  <c r="A350" i="2"/>
  <c r="D349" i="2"/>
  <c r="A349" i="2"/>
  <c r="D348" i="2"/>
  <c r="A348" i="2"/>
  <c r="D347" i="2"/>
  <c r="A347" i="2"/>
  <c r="D346" i="2"/>
  <c r="A346" i="2"/>
  <c r="D345" i="2"/>
  <c r="A345" i="2"/>
  <c r="D344" i="2"/>
  <c r="A344" i="2"/>
  <c r="D343" i="2"/>
  <c r="A343" i="2"/>
  <c r="D342" i="2"/>
  <c r="A342" i="2"/>
  <c r="D341" i="2"/>
  <c r="A341" i="2"/>
  <c r="D340" i="2"/>
  <c r="A340" i="2"/>
  <c r="D339" i="2"/>
  <c r="A339" i="2"/>
  <c r="D338" i="2"/>
  <c r="A338" i="2"/>
  <c r="D337" i="2"/>
  <c r="A337" i="2"/>
  <c r="D336" i="2"/>
  <c r="A336" i="2"/>
  <c r="D335" i="2"/>
  <c r="A335" i="2"/>
  <c r="D334" i="2"/>
  <c r="A334" i="2"/>
  <c r="D333" i="2"/>
  <c r="A333" i="2"/>
  <c r="D332" i="2"/>
  <c r="A332" i="2"/>
  <c r="D331" i="2"/>
  <c r="A331" i="2"/>
  <c r="D330" i="2"/>
  <c r="A330" i="2"/>
  <c r="D329" i="2"/>
  <c r="A329" i="2"/>
  <c r="D328" i="2"/>
  <c r="A328" i="2"/>
  <c r="D327" i="2"/>
  <c r="A327" i="2"/>
  <c r="D326" i="2"/>
  <c r="A326" i="2"/>
  <c r="D325" i="2"/>
  <c r="A325" i="2"/>
  <c r="D324" i="2"/>
  <c r="A324" i="2"/>
  <c r="D323" i="2"/>
  <c r="A323" i="2"/>
  <c r="D322" i="2"/>
  <c r="A322" i="2"/>
  <c r="D321" i="2"/>
  <c r="A321" i="2"/>
  <c r="D320" i="2"/>
  <c r="A320" i="2"/>
  <c r="D319" i="2"/>
  <c r="A319" i="2"/>
  <c r="D318" i="2"/>
  <c r="A318" i="2"/>
  <c r="D317" i="2"/>
  <c r="A317" i="2"/>
  <c r="D316" i="2"/>
  <c r="A316" i="2"/>
  <c r="D315" i="2"/>
  <c r="A315" i="2"/>
  <c r="D314" i="2"/>
  <c r="A314" i="2"/>
  <c r="D313" i="2"/>
  <c r="A313" i="2"/>
  <c r="D312" i="2"/>
  <c r="A312" i="2"/>
  <c r="D311" i="2"/>
  <c r="A311" i="2"/>
  <c r="D310" i="2"/>
  <c r="A310" i="2"/>
  <c r="D309" i="2"/>
  <c r="A309" i="2"/>
  <c r="D308" i="2"/>
  <c r="A308" i="2"/>
  <c r="D307" i="2"/>
  <c r="A307" i="2"/>
  <c r="D306" i="2"/>
  <c r="A306" i="2"/>
  <c r="D305" i="2"/>
  <c r="A305" i="2"/>
  <c r="D304" i="2"/>
  <c r="A304" i="2"/>
  <c r="D303" i="2"/>
  <c r="A303" i="2"/>
  <c r="D302" i="2"/>
  <c r="A302" i="2"/>
  <c r="D301" i="2"/>
  <c r="A301" i="2"/>
  <c r="D300" i="2"/>
  <c r="A300" i="2"/>
  <c r="D299" i="2"/>
  <c r="A299" i="2"/>
  <c r="D298" i="2"/>
  <c r="A298" i="2"/>
  <c r="D297" i="2"/>
  <c r="A297" i="2"/>
  <c r="D296" i="2"/>
  <c r="A296" i="2"/>
  <c r="D295" i="2"/>
  <c r="A295" i="2"/>
  <c r="D294" i="2"/>
  <c r="A294" i="2"/>
  <c r="D293" i="2"/>
  <c r="A293" i="2"/>
  <c r="D292" i="2"/>
  <c r="A292" i="2"/>
  <c r="D291" i="2"/>
  <c r="A291" i="2"/>
  <c r="D290" i="2"/>
  <c r="A290" i="2"/>
  <c r="D289" i="2"/>
  <c r="A289" i="2"/>
  <c r="D288" i="2"/>
  <c r="A288" i="2"/>
  <c r="D287" i="2"/>
  <c r="A287" i="2"/>
  <c r="D286" i="2"/>
  <c r="A286" i="2"/>
  <c r="D285" i="2"/>
  <c r="A285" i="2"/>
  <c r="D284" i="2"/>
  <c r="A284" i="2"/>
  <c r="D283" i="2"/>
  <c r="A283" i="2"/>
  <c r="D282" i="2"/>
  <c r="A282" i="2"/>
  <c r="D281" i="2"/>
  <c r="A281" i="2"/>
  <c r="D280" i="2"/>
  <c r="A280" i="2"/>
  <c r="D279" i="2"/>
  <c r="A279" i="2"/>
  <c r="D278" i="2"/>
  <c r="A278" i="2"/>
  <c r="D277" i="2"/>
  <c r="A277" i="2"/>
  <c r="D276" i="2"/>
  <c r="A276" i="2"/>
  <c r="D275" i="2"/>
  <c r="A275" i="2"/>
  <c r="D274" i="2"/>
  <c r="A274" i="2"/>
  <c r="D273" i="2"/>
  <c r="A273" i="2"/>
  <c r="D272" i="2"/>
  <c r="A272" i="2"/>
  <c r="D271" i="2"/>
  <c r="A271" i="2"/>
  <c r="D270" i="2"/>
  <c r="A270" i="2"/>
  <c r="D269" i="2"/>
  <c r="A269" i="2"/>
  <c r="D268" i="2"/>
  <c r="A268" i="2"/>
  <c r="D267" i="2"/>
  <c r="A267" i="2"/>
  <c r="D266" i="2"/>
  <c r="A266" i="2"/>
  <c r="D265" i="2"/>
  <c r="A265" i="2"/>
  <c r="D264" i="2"/>
  <c r="A264" i="2"/>
  <c r="D263" i="2"/>
  <c r="A263" i="2"/>
  <c r="D262" i="2"/>
  <c r="A262" i="2"/>
  <c r="D261" i="2"/>
  <c r="A261" i="2"/>
  <c r="D260" i="2"/>
  <c r="A260" i="2"/>
  <c r="D259" i="2"/>
  <c r="A259" i="2"/>
  <c r="D258" i="2"/>
  <c r="A258" i="2"/>
  <c r="D257" i="2"/>
  <c r="A257" i="2"/>
  <c r="D256" i="2"/>
  <c r="A256" i="2"/>
  <c r="D255" i="2"/>
  <c r="A255" i="2"/>
  <c r="D254" i="2"/>
  <c r="A254" i="2"/>
  <c r="D253" i="2"/>
  <c r="A253" i="2"/>
  <c r="D252" i="2"/>
  <c r="A252" i="2"/>
  <c r="D251" i="2"/>
  <c r="A251" i="2"/>
  <c r="D250" i="2"/>
  <c r="A250" i="2"/>
  <c r="D249" i="2"/>
  <c r="A249" i="2"/>
  <c r="D248" i="2"/>
  <c r="A248" i="2"/>
  <c r="D247" i="2"/>
  <c r="A247" i="2"/>
  <c r="D246" i="2"/>
  <c r="A246" i="2"/>
  <c r="D245" i="2"/>
  <c r="A245" i="2"/>
  <c r="D244" i="2"/>
  <c r="A244" i="2"/>
  <c r="D243" i="2"/>
  <c r="A243" i="2"/>
  <c r="D242" i="2"/>
  <c r="A242" i="2"/>
  <c r="D241" i="2"/>
  <c r="A241" i="2"/>
  <c r="D240" i="2"/>
  <c r="A240" i="2"/>
  <c r="D239" i="2"/>
  <c r="A239" i="2"/>
  <c r="D238" i="2"/>
  <c r="A238" i="2"/>
  <c r="D237" i="2"/>
  <c r="A237" i="2"/>
  <c r="D236" i="2"/>
  <c r="A236" i="2"/>
  <c r="D235" i="2"/>
  <c r="A235" i="2"/>
  <c r="D234" i="2"/>
  <c r="A234" i="2"/>
  <c r="D233" i="2"/>
  <c r="A233" i="2"/>
  <c r="D232" i="2"/>
  <c r="A232" i="2"/>
  <c r="D231" i="2"/>
  <c r="A231" i="2"/>
  <c r="D230" i="2"/>
  <c r="A230" i="2"/>
  <c r="D229" i="2"/>
  <c r="A229" i="2"/>
  <c r="D228" i="2"/>
  <c r="A228" i="2"/>
  <c r="D227" i="2"/>
  <c r="A227" i="2"/>
  <c r="D226" i="2"/>
  <c r="A226" i="2"/>
  <c r="D225" i="2"/>
  <c r="A225" i="2"/>
  <c r="D224" i="2"/>
  <c r="A224" i="2"/>
  <c r="D223" i="2"/>
  <c r="A223" i="2"/>
  <c r="D222" i="2"/>
  <c r="A222" i="2"/>
  <c r="D221" i="2"/>
  <c r="A221" i="2"/>
  <c r="D220" i="2"/>
  <c r="A220" i="2"/>
  <c r="D219" i="2"/>
  <c r="A219" i="2"/>
  <c r="D218" i="2"/>
  <c r="A218" i="2"/>
  <c r="D217" i="2"/>
  <c r="A217" i="2"/>
  <c r="D216" i="2"/>
  <c r="A216" i="2"/>
  <c r="D215" i="2"/>
  <c r="A215" i="2"/>
  <c r="D214" i="2"/>
  <c r="A214" i="2"/>
  <c r="D213" i="2"/>
  <c r="A213" i="2"/>
  <c r="D212" i="2"/>
  <c r="A212" i="2"/>
  <c r="D211" i="2"/>
  <c r="A211" i="2"/>
  <c r="D210" i="2"/>
  <c r="A210" i="2"/>
  <c r="D209" i="2"/>
  <c r="A209" i="2"/>
  <c r="D208" i="2"/>
  <c r="A208" i="2"/>
  <c r="D207" i="2"/>
  <c r="A207" i="2"/>
  <c r="D206" i="2"/>
  <c r="A206" i="2"/>
  <c r="D205" i="2"/>
  <c r="A205" i="2"/>
  <c r="D204" i="2"/>
  <c r="A204" i="2"/>
  <c r="D203" i="2"/>
  <c r="A203" i="2"/>
  <c r="D202" i="2"/>
  <c r="A202" i="2"/>
  <c r="D201" i="2"/>
  <c r="A201" i="2"/>
  <c r="D200" i="2"/>
  <c r="A200" i="2"/>
  <c r="D199" i="2"/>
  <c r="A199" i="2"/>
  <c r="D198" i="2"/>
  <c r="A198" i="2"/>
  <c r="D197" i="2"/>
  <c r="A197" i="2"/>
  <c r="D196" i="2"/>
  <c r="A196" i="2"/>
  <c r="D195" i="2"/>
  <c r="A195" i="2"/>
  <c r="D194" i="2"/>
  <c r="A194" i="2"/>
  <c r="D193" i="2"/>
  <c r="A193" i="2"/>
  <c r="D192" i="2"/>
  <c r="A192" i="2"/>
  <c r="D191" i="2"/>
  <c r="A191" i="2"/>
  <c r="D190" i="2"/>
  <c r="A190" i="2"/>
  <c r="D189" i="2"/>
  <c r="A189" i="2"/>
  <c r="D188" i="2"/>
  <c r="A188" i="2"/>
  <c r="D187" i="2"/>
  <c r="A187" i="2"/>
  <c r="D186" i="2"/>
  <c r="A186" i="2"/>
  <c r="D185" i="2"/>
  <c r="A185" i="2"/>
  <c r="D184" i="2"/>
  <c r="A184" i="2"/>
  <c r="D183" i="2"/>
  <c r="A183" i="2"/>
  <c r="D182" i="2"/>
  <c r="A182" i="2"/>
  <c r="D181" i="2"/>
  <c r="A181" i="2"/>
  <c r="D180" i="2"/>
  <c r="A180" i="2"/>
  <c r="D179" i="2"/>
  <c r="A179" i="2"/>
  <c r="D178" i="2"/>
  <c r="A178" i="2"/>
  <c r="D177" i="2"/>
  <c r="A177" i="2"/>
  <c r="D176" i="2"/>
  <c r="A176" i="2"/>
  <c r="D175" i="2"/>
  <c r="A175" i="2"/>
  <c r="D174" i="2"/>
  <c r="A174" i="2"/>
  <c r="D173" i="2"/>
  <c r="A173" i="2"/>
  <c r="D172" i="2"/>
  <c r="A172" i="2"/>
  <c r="D171" i="2"/>
  <c r="A171" i="2"/>
  <c r="D170" i="2"/>
  <c r="A170" i="2"/>
  <c r="D169" i="2"/>
  <c r="A169" i="2"/>
  <c r="D168" i="2"/>
  <c r="A168" i="2"/>
  <c r="D167" i="2"/>
  <c r="A167" i="2"/>
  <c r="D166" i="2"/>
  <c r="A166" i="2"/>
  <c r="D165" i="2"/>
  <c r="A165" i="2"/>
  <c r="D164" i="2"/>
  <c r="A164" i="2"/>
  <c r="D163" i="2"/>
  <c r="A163" i="2"/>
  <c r="D162" i="2"/>
  <c r="A162" i="2"/>
  <c r="D161" i="2"/>
  <c r="A161" i="2"/>
  <c r="D160" i="2"/>
  <c r="A160" i="2"/>
  <c r="D159" i="2"/>
  <c r="A159" i="2"/>
  <c r="D158" i="2"/>
  <c r="A158" i="2"/>
  <c r="D157" i="2"/>
  <c r="A157" i="2"/>
  <c r="D156" i="2"/>
  <c r="A156" i="2"/>
  <c r="D155" i="2"/>
  <c r="A155" i="2"/>
  <c r="D154" i="2"/>
  <c r="A154" i="2"/>
  <c r="D153" i="2"/>
  <c r="A153" i="2"/>
  <c r="D152" i="2"/>
  <c r="A152" i="2"/>
  <c r="D151" i="2"/>
  <c r="A151" i="2"/>
  <c r="D150" i="2"/>
  <c r="A150" i="2"/>
  <c r="D149" i="2"/>
  <c r="A149" i="2"/>
  <c r="D148" i="2"/>
  <c r="A148" i="2"/>
  <c r="D147" i="2"/>
  <c r="A147" i="2"/>
  <c r="D146" i="2"/>
  <c r="A146" i="2"/>
  <c r="D145" i="2"/>
  <c r="A145" i="2"/>
  <c r="D144" i="2"/>
  <c r="A144" i="2"/>
  <c r="D143" i="2"/>
  <c r="A143" i="2"/>
  <c r="D142" i="2"/>
  <c r="A142" i="2"/>
  <c r="D141" i="2"/>
  <c r="A141" i="2"/>
  <c r="D140" i="2"/>
  <c r="A140" i="2"/>
  <c r="D139" i="2"/>
  <c r="A139" i="2"/>
  <c r="D138" i="2"/>
  <c r="A138" i="2"/>
  <c r="D137" i="2"/>
  <c r="A137" i="2"/>
  <c r="D136" i="2"/>
  <c r="A136" i="2"/>
  <c r="D135" i="2"/>
  <c r="A135" i="2"/>
  <c r="D134" i="2"/>
  <c r="A134" i="2"/>
  <c r="D133" i="2"/>
  <c r="A133" i="2"/>
  <c r="D132" i="2"/>
  <c r="A132" i="2"/>
  <c r="D131" i="2"/>
  <c r="A131" i="2"/>
  <c r="D130" i="2"/>
  <c r="A130" i="2"/>
  <c r="D129" i="2"/>
  <c r="A129" i="2"/>
  <c r="D128" i="2"/>
  <c r="A128" i="2"/>
  <c r="D127" i="2"/>
  <c r="A127" i="2"/>
  <c r="D126" i="2"/>
  <c r="A126" i="2"/>
  <c r="D125" i="2"/>
  <c r="A125" i="2"/>
  <c r="D124" i="2"/>
  <c r="A124" i="2"/>
  <c r="D123" i="2"/>
  <c r="A123" i="2"/>
  <c r="D122" i="2"/>
  <c r="A122" i="2"/>
  <c r="D121" i="2"/>
  <c r="A121" i="2"/>
  <c r="D120" i="2"/>
  <c r="A120" i="2"/>
  <c r="D119" i="2"/>
  <c r="A119" i="2"/>
  <c r="D118" i="2"/>
  <c r="A118" i="2"/>
  <c r="D117" i="2"/>
  <c r="A117" i="2"/>
  <c r="D116" i="2"/>
  <c r="A116" i="2"/>
  <c r="D115" i="2"/>
  <c r="A115" i="2"/>
  <c r="D114" i="2"/>
  <c r="A114" i="2"/>
  <c r="D113" i="2"/>
  <c r="A113" i="2"/>
  <c r="D112" i="2"/>
  <c r="A112" i="2"/>
  <c r="D111" i="2"/>
  <c r="A111" i="2"/>
  <c r="D110" i="2"/>
  <c r="A110" i="2"/>
  <c r="D109" i="2"/>
  <c r="A109" i="2"/>
  <c r="D108" i="2"/>
  <c r="A108" i="2"/>
  <c r="D107" i="2"/>
  <c r="A107" i="2"/>
  <c r="D106" i="2"/>
  <c r="A106" i="2"/>
  <c r="D105" i="2"/>
  <c r="A105" i="2"/>
  <c r="D104" i="2"/>
  <c r="A104" i="2"/>
  <c r="D103" i="2"/>
  <c r="A103" i="2"/>
  <c r="D102" i="2"/>
  <c r="A102" i="2"/>
  <c r="D101" i="2"/>
  <c r="A101" i="2"/>
  <c r="D100" i="2"/>
  <c r="A100" i="2"/>
  <c r="D99" i="2"/>
  <c r="A99" i="2"/>
  <c r="D98" i="2"/>
  <c r="A98" i="2"/>
  <c r="D97" i="2"/>
  <c r="A97" i="2"/>
  <c r="D96" i="2"/>
  <c r="A96" i="2"/>
  <c r="D95" i="2"/>
  <c r="A95" i="2"/>
  <c r="D94" i="2"/>
  <c r="A94" i="2"/>
  <c r="D93" i="2"/>
  <c r="A93" i="2"/>
  <c r="D92" i="2"/>
  <c r="A92" i="2"/>
  <c r="D91" i="2"/>
  <c r="A91" i="2"/>
  <c r="D90" i="2"/>
  <c r="A90" i="2"/>
  <c r="D89" i="2"/>
  <c r="A89" i="2"/>
  <c r="D88" i="2"/>
  <c r="A88" i="2"/>
  <c r="D87" i="2"/>
  <c r="A87" i="2"/>
  <c r="D86" i="2"/>
  <c r="A86" i="2"/>
  <c r="D85" i="2"/>
  <c r="A85" i="2"/>
  <c r="D84" i="2"/>
  <c r="A84" i="2"/>
  <c r="D83" i="2"/>
  <c r="A83" i="2"/>
  <c r="D82" i="2"/>
  <c r="A82" i="2"/>
  <c r="D81" i="2"/>
  <c r="A81" i="2"/>
  <c r="D80" i="2"/>
  <c r="A80" i="2"/>
  <c r="D79" i="2"/>
  <c r="A79" i="2"/>
  <c r="D78" i="2"/>
  <c r="A78" i="2"/>
  <c r="D77" i="2"/>
  <c r="A77" i="2"/>
  <c r="D76" i="2"/>
  <c r="A76" i="2"/>
  <c r="D75" i="2"/>
  <c r="A75" i="2"/>
  <c r="D74" i="2"/>
  <c r="A74" i="2"/>
  <c r="D73" i="2"/>
  <c r="A73" i="2"/>
  <c r="D72" i="2"/>
  <c r="A72" i="2"/>
  <c r="D71" i="2"/>
  <c r="A71" i="2"/>
  <c r="D70" i="2"/>
  <c r="A70" i="2"/>
  <c r="D69" i="2"/>
  <c r="A69" i="2"/>
  <c r="D68" i="2"/>
  <c r="A68" i="2"/>
  <c r="D67" i="2"/>
  <c r="A67" i="2"/>
  <c r="D66" i="2"/>
  <c r="A66" i="2"/>
  <c r="D65" i="2"/>
  <c r="A65" i="2"/>
  <c r="D64" i="2"/>
  <c r="A64" i="2"/>
  <c r="D63" i="2"/>
  <c r="A63" i="2"/>
  <c r="D62" i="2"/>
  <c r="A62" i="2"/>
  <c r="D61" i="2"/>
  <c r="A61" i="2"/>
  <c r="D60" i="2"/>
  <c r="A60" i="2"/>
  <c r="D59" i="2"/>
  <c r="A59" i="2"/>
  <c r="D58" i="2"/>
  <c r="A58" i="2"/>
  <c r="D57" i="2"/>
  <c r="A57" i="2"/>
  <c r="D56" i="2"/>
  <c r="A56" i="2"/>
  <c r="D55" i="2"/>
  <c r="A55" i="2"/>
  <c r="D54" i="2"/>
  <c r="A54" i="2"/>
  <c r="D53" i="2"/>
  <c r="A53" i="2"/>
  <c r="D52" i="2"/>
  <c r="A52" i="2"/>
  <c r="D51" i="2"/>
  <c r="A51" i="2"/>
  <c r="D50" i="2"/>
  <c r="A50" i="2"/>
  <c r="D49" i="2"/>
  <c r="A49" i="2"/>
  <c r="D48" i="2"/>
  <c r="A48" i="2"/>
  <c r="D47" i="2"/>
  <c r="A47" i="2"/>
  <c r="D46" i="2"/>
  <c r="A46" i="2"/>
  <c r="D45" i="2"/>
  <c r="A45" i="2"/>
  <c r="D44" i="2"/>
  <c r="A44" i="2"/>
  <c r="D43" i="2"/>
  <c r="A43" i="2"/>
  <c r="D42" i="2"/>
  <c r="A42" i="2"/>
  <c r="D41" i="2"/>
  <c r="A41" i="2"/>
  <c r="D40" i="2"/>
  <c r="A40" i="2"/>
  <c r="D39" i="2"/>
  <c r="A39" i="2"/>
  <c r="D38" i="2"/>
  <c r="A38" i="2"/>
  <c r="D37" i="2"/>
  <c r="A37" i="2"/>
  <c r="D36" i="2"/>
  <c r="A36" i="2"/>
  <c r="D35" i="2"/>
  <c r="A35" i="2"/>
  <c r="D34" i="2"/>
  <c r="A34" i="2"/>
  <c r="D33" i="2"/>
  <c r="A33" i="2"/>
  <c r="D32" i="2"/>
  <c r="A32" i="2"/>
  <c r="D31" i="2"/>
  <c r="A31" i="2"/>
  <c r="D30" i="2"/>
  <c r="A30" i="2"/>
  <c r="D29" i="2"/>
  <c r="A29" i="2"/>
  <c r="D28" i="2"/>
  <c r="A28" i="2"/>
  <c r="D27" i="2"/>
  <c r="A27" i="2"/>
  <c r="D26" i="2"/>
  <c r="A26" i="2"/>
  <c r="D25" i="2"/>
  <c r="A25" i="2"/>
  <c r="D24" i="2"/>
  <c r="A24" i="2"/>
  <c r="D23" i="2"/>
  <c r="A23" i="2"/>
  <c r="D22" i="2"/>
  <c r="A22" i="2"/>
  <c r="D21" i="2"/>
  <c r="A21" i="2"/>
  <c r="D20" i="2"/>
  <c r="A20" i="2"/>
  <c r="D19" i="2"/>
  <c r="A19" i="2"/>
  <c r="D18" i="2"/>
  <c r="A18" i="2"/>
  <c r="D17" i="2"/>
  <c r="A17" i="2"/>
  <c r="D16" i="2"/>
  <c r="A16" i="2"/>
  <c r="D15" i="2"/>
  <c r="A15" i="2"/>
  <c r="D14" i="2"/>
  <c r="A14" i="2"/>
  <c r="D13" i="2"/>
  <c r="A13" i="2"/>
  <c r="D12" i="2"/>
  <c r="A12" i="2"/>
  <c r="D11" i="2"/>
  <c r="A11" i="2"/>
  <c r="D10" i="2"/>
  <c r="A10" i="2"/>
  <c r="D9" i="2"/>
  <c r="A9" i="2"/>
  <c r="D8" i="2"/>
  <c r="A8" i="2"/>
  <c r="A7" i="2"/>
  <c r="A6" i="2"/>
  <c r="C5" i="8" a="1"/>
  <c r="C230" i="8"/>
  <c r="C240" i="9"/>
  <c r="C245" i="9"/>
  <c r="C209" i="5"/>
  <c r="C228" i="5"/>
  <c r="C223" i="6"/>
  <c r="C239" i="5"/>
  <c r="C243" i="5"/>
  <c r="C233" i="5"/>
  <c r="C225" i="5"/>
  <c r="C236" i="9"/>
  <c r="C242" i="7"/>
  <c r="C5" i="9" a="1"/>
  <c r="C225" i="8"/>
  <c r="C235" i="8"/>
  <c r="C229" i="5"/>
  <c r="C191" i="5"/>
  <c r="C229" i="9"/>
  <c r="C244" i="8"/>
  <c r="C209" i="9"/>
  <c r="C244" i="5"/>
  <c r="C236" i="6"/>
  <c r="C229" i="6"/>
  <c r="C234" i="9"/>
  <c r="C237" i="9"/>
  <c r="C6" i="9"/>
  <c r="C234" i="2"/>
  <c r="C238" i="5"/>
  <c r="C243" i="7"/>
  <c r="C226" i="6"/>
  <c r="C223" i="7"/>
  <c r="C142" i="5"/>
  <c r="C241" i="5"/>
  <c r="C142" i="6"/>
  <c r="C238" i="8"/>
  <c r="C231" i="6"/>
  <c r="C225" i="2"/>
  <c r="C234" i="6"/>
  <c r="C228" i="9"/>
  <c r="C225" i="7"/>
  <c r="C234" i="5"/>
  <c r="C226" i="9"/>
  <c r="C209" i="6"/>
  <c r="C142" i="9"/>
  <c r="C227" i="6"/>
  <c r="C231" i="7"/>
  <c r="C242" i="8"/>
  <c r="C243" i="2"/>
  <c r="C223" i="8"/>
  <c r="C241" i="9"/>
  <c r="C228" i="2"/>
  <c r="C245" i="2"/>
  <c r="C235" i="2"/>
  <c r="C241" i="6"/>
  <c r="C209" i="2"/>
  <c r="C5" i="5" a="1"/>
  <c r="C232" i="2"/>
  <c r="C243" i="6"/>
  <c r="C237" i="7"/>
  <c r="C242" i="2"/>
  <c r="C142" i="8"/>
  <c r="C222" i="7"/>
  <c r="C234" i="8"/>
  <c r="C227" i="7"/>
  <c r="C227" i="8"/>
  <c r="C231" i="2"/>
  <c r="C227" i="5"/>
  <c r="C229" i="2"/>
  <c r="C244" i="7"/>
  <c r="C229" i="7"/>
  <c r="C244" i="6"/>
  <c r="C226" i="7"/>
  <c r="C231" i="9"/>
  <c r="C227" i="9"/>
  <c r="C235" i="6"/>
  <c r="C233" i="7"/>
  <c r="C238" i="9"/>
  <c r="C233" i="9"/>
  <c r="C243" i="9"/>
  <c r="C240" i="8"/>
  <c r="C245" i="8"/>
  <c r="C236" i="7"/>
  <c r="C231" i="8"/>
  <c r="C191" i="8"/>
  <c r="C245" i="7"/>
  <c r="C223" i="5"/>
  <c r="C245" i="6"/>
  <c r="C240" i="6"/>
  <c r="C241" i="2"/>
  <c r="C222" i="5"/>
  <c r="C242" i="9"/>
  <c r="C225" i="9"/>
  <c r="C222" i="8"/>
  <c r="C238" i="6"/>
  <c r="C229" i="8"/>
  <c r="C225" i="6"/>
  <c r="C230" i="9"/>
  <c r="C242" i="6"/>
  <c r="C239" i="6"/>
  <c r="C244" i="9"/>
  <c r="C240" i="5"/>
  <c r="C142" i="2"/>
  <c r="C230" i="7"/>
  <c r="C189" i="9"/>
  <c r="C191" i="9"/>
  <c r="C223" i="2"/>
  <c r="C237" i="2"/>
  <c r="C228" i="6"/>
  <c r="C228" i="8"/>
  <c r="C189" i="7"/>
  <c r="C236" i="5"/>
  <c r="C235" i="7"/>
  <c r="C241" i="7"/>
  <c r="C226" i="2"/>
  <c r="C237" i="6"/>
  <c r="C239" i="9"/>
  <c r="C232" i="8"/>
  <c r="C236" i="8"/>
  <c r="C239" i="7"/>
  <c r="C223" i="9"/>
  <c r="C226" i="5"/>
  <c r="C226" i="8"/>
  <c r="C237" i="8"/>
  <c r="C240" i="7"/>
  <c r="C227" i="2"/>
  <c r="C189" i="5"/>
  <c r="C241" i="8"/>
  <c r="C235" i="5"/>
  <c r="C228" i="7"/>
  <c r="C189" i="6"/>
  <c r="C235" i="9"/>
  <c r="C232" i="9"/>
  <c r="C236" i="2"/>
  <c r="C238" i="7"/>
  <c r="C242" i="5"/>
  <c r="C233" i="8"/>
  <c r="C233" i="2"/>
  <c r="C244" i="2"/>
  <c r="C191" i="6"/>
  <c r="C222" i="9"/>
  <c r="C230" i="5"/>
  <c r="C245" i="5"/>
  <c r="C232" i="6"/>
  <c r="C191" i="7"/>
  <c r="C189" i="8"/>
  <c r="C142" i="7"/>
  <c r="C191" i="2"/>
  <c r="C233" i="6"/>
  <c r="C222" i="6"/>
  <c r="C209" i="8"/>
  <c r="C232" i="5"/>
  <c r="C230" i="2"/>
  <c r="C239" i="8"/>
  <c r="C232" i="7"/>
  <c r="C189" i="2"/>
  <c r="C243" i="8"/>
  <c r="C7" i="9"/>
  <c r="C238" i="2"/>
  <c r="C240" i="2"/>
  <c r="C230" i="6"/>
  <c r="C222" i="2"/>
  <c r="C209" i="7"/>
  <c r="C231" i="5"/>
  <c r="C234" i="7"/>
  <c r="C237" i="5"/>
  <c r="C239" i="2"/>
  <c r="AF186" i="4" l="1" a="1"/>
  <c r="AF186" i="4" s="1"/>
  <c r="AH186" i="4" s="1"/>
  <c r="AI186" i="4" s="1"/>
  <c r="AF63" i="4" a="1"/>
  <c r="AF63" i="4" s="1"/>
  <c r="AH63" i="4" s="1"/>
  <c r="AI63" i="4" s="1"/>
  <c r="AF159" i="4" a="1"/>
  <c r="AF159" i="4" s="1"/>
  <c r="AH159" i="4" s="1"/>
  <c r="AI159" i="4" s="1"/>
  <c r="AF95" i="4" a="1"/>
  <c r="AF95" i="4" s="1"/>
  <c r="AH95" i="4" s="1"/>
  <c r="AI95" i="4" s="1"/>
  <c r="AF8" i="4" a="1"/>
  <c r="AF8" i="4" s="1"/>
  <c r="AH8" i="4" s="1"/>
  <c r="AI8" i="4" s="1"/>
  <c r="AF87" i="4" a="1"/>
  <c r="AF87" i="4" s="1"/>
  <c r="AH87" i="4" s="1"/>
  <c r="AI87" i="4" s="1"/>
  <c r="AF37" i="4" a="1"/>
  <c r="AF37" i="4" s="1"/>
  <c r="AH37" i="4" s="1"/>
  <c r="AI37" i="4" s="1"/>
  <c r="X49" i="4"/>
  <c r="AF49" i="4" a="1"/>
  <c r="AF49" i="4" s="1"/>
  <c r="AH49" i="4" s="1"/>
  <c r="AI49" i="4" s="1"/>
  <c r="AF198" i="4" a="1"/>
  <c r="AF198" i="4" s="1"/>
  <c r="AH198" i="4" s="1"/>
  <c r="AI198" i="4" s="1"/>
  <c r="AF123" i="4" a="1"/>
  <c r="AF123" i="4" s="1"/>
  <c r="AH123" i="4" s="1"/>
  <c r="AI123" i="4" s="1"/>
  <c r="G69" i="4"/>
  <c r="AF69" i="4" a="1"/>
  <c r="AF69" i="4" s="1"/>
  <c r="AH69" i="4" s="1"/>
  <c r="AI69" i="4" s="1"/>
  <c r="W50" i="4" a="1"/>
  <c r="W50" i="4" s="1"/>
  <c r="AF50" i="4" a="1"/>
  <c r="AF50" i="4" s="1"/>
  <c r="AH50" i="4" s="1"/>
  <c r="AI50" i="4" s="1"/>
  <c r="AF53" i="4" a="1"/>
  <c r="AF53" i="4" s="1"/>
  <c r="AH53" i="4" s="1"/>
  <c r="AI53" i="4" s="1"/>
  <c r="AF55" i="4" a="1"/>
  <c r="AF55" i="4" s="1"/>
  <c r="AH55" i="4" s="1"/>
  <c r="AI55" i="4" s="1"/>
  <c r="C56" i="12"/>
  <c r="AF100" i="4" a="1"/>
  <c r="AF100" i="4" s="1"/>
  <c r="AH100" i="4" s="1"/>
  <c r="AI100" i="4" s="1"/>
  <c r="W74" i="4" a="1"/>
  <c r="W74" i="4" s="1"/>
  <c r="V39" i="12" s="1"/>
  <c r="AF74" i="4" a="1"/>
  <c r="AF74" i="4" s="1"/>
  <c r="AH74" i="4" s="1"/>
  <c r="AI74" i="4" s="1"/>
  <c r="AF75" i="4" a="1"/>
  <c r="AF75" i="4" s="1"/>
  <c r="AH75" i="4" s="1"/>
  <c r="AI75" i="4" s="1"/>
  <c r="W42" i="4" a="1"/>
  <c r="W42" i="4" s="1"/>
  <c r="AF42" i="4" a="1"/>
  <c r="AF42" i="4" s="1"/>
  <c r="AH42" i="4" s="1"/>
  <c r="AI42" i="4" s="1"/>
  <c r="AF77" i="4" a="1"/>
  <c r="AF77" i="4" s="1"/>
  <c r="AH77" i="4" s="1"/>
  <c r="AI77" i="4" s="1"/>
  <c r="AF148" i="4" a="1"/>
  <c r="AF148" i="4" s="1"/>
  <c r="AH148" i="4" s="1"/>
  <c r="AI148" i="4" s="1"/>
  <c r="M9" i="4"/>
  <c r="AF9" i="4" a="1"/>
  <c r="AF9" i="4" s="1"/>
  <c r="AH9" i="4" s="1"/>
  <c r="AI9" i="4" s="1"/>
  <c r="AF150" i="4" a="1"/>
  <c r="AF150" i="4" s="1"/>
  <c r="AH150" i="4" s="1"/>
  <c r="AI150" i="4" s="1"/>
  <c r="M10" i="4"/>
  <c r="AF10" i="4" a="1"/>
  <c r="AF10" i="4" s="1"/>
  <c r="AH10" i="4" s="1"/>
  <c r="AI10" i="4" s="1"/>
  <c r="AF112" i="4" a="1"/>
  <c r="AF112" i="4" s="1"/>
  <c r="AH112" i="4" s="1"/>
  <c r="AI112" i="4" s="1"/>
  <c r="AF114" i="4" a="1"/>
  <c r="AF114" i="4" s="1"/>
  <c r="AH114" i="4" s="1"/>
  <c r="AI114" i="4" s="1"/>
  <c r="G136" i="4"/>
  <c r="AF136" i="4" a="1"/>
  <c r="AF136" i="4" s="1"/>
  <c r="AH136" i="4" s="1"/>
  <c r="AI136" i="4" s="1"/>
  <c r="AF137" i="4" a="1"/>
  <c r="AF137" i="4" s="1"/>
  <c r="AH137" i="4" s="1"/>
  <c r="AI137" i="4" s="1"/>
  <c r="N160" i="4"/>
  <c r="AF160" i="4" a="1"/>
  <c r="AF160" i="4" s="1"/>
  <c r="AH160" i="4" s="1"/>
  <c r="AI160" i="4" s="1"/>
  <c r="AF138" i="4" a="1"/>
  <c r="AF138" i="4" s="1"/>
  <c r="AH138" i="4" s="1"/>
  <c r="AI138" i="4" s="1"/>
  <c r="AF20" i="4" a="1"/>
  <c r="AF20" i="4" s="1"/>
  <c r="AH20" i="4" s="1"/>
  <c r="AI20" i="4" s="1"/>
  <c r="X140" i="4"/>
  <c r="AF140" i="4" a="1"/>
  <c r="AF140" i="4" s="1"/>
  <c r="AH140" i="4" s="1"/>
  <c r="AI140" i="4" s="1"/>
  <c r="M142" i="4"/>
  <c r="AF142" i="4" a="1"/>
  <c r="AF142" i="4" s="1"/>
  <c r="AH142" i="4" s="1"/>
  <c r="AI142" i="4" s="1"/>
  <c r="W143" i="4" a="1"/>
  <c r="W143" i="4" s="1"/>
  <c r="V157" i="12" s="1"/>
  <c r="AF143" i="4" a="1"/>
  <c r="AF143" i="4" s="1"/>
  <c r="AH143" i="4" s="1"/>
  <c r="AI143" i="4" s="1"/>
  <c r="AF121" i="4" a="1"/>
  <c r="AF121" i="4" s="1"/>
  <c r="AH121" i="4" s="1"/>
  <c r="AI121" i="4" s="1"/>
  <c r="AF80" i="4" a="1"/>
  <c r="AF80" i="4" s="1"/>
  <c r="AH80" i="4" s="1"/>
  <c r="AI80" i="4" s="1"/>
  <c r="AF70" i="4" a="1"/>
  <c r="AF70" i="4" s="1"/>
  <c r="AH70" i="4" s="1"/>
  <c r="AI70" i="4" s="1"/>
  <c r="AF196" i="4" a="1"/>
  <c r="AF196" i="4" s="1"/>
  <c r="AH196" i="4" s="1"/>
  <c r="AI196" i="4" s="1"/>
  <c r="AF89" i="4" a="1"/>
  <c r="AF89" i="4" s="1"/>
  <c r="AH89" i="4" s="1"/>
  <c r="AI89" i="4" s="1"/>
  <c r="G82" i="4"/>
  <c r="AF82" i="4" a="1"/>
  <c r="AF82" i="4" s="1"/>
  <c r="AH82" i="4" s="1"/>
  <c r="AI82" i="4" s="1"/>
  <c r="AF14" i="4" a="1"/>
  <c r="AF14" i="4" s="1"/>
  <c r="AH14" i="4" s="1"/>
  <c r="AI14" i="4" s="1"/>
  <c r="AF205" i="4" a="1"/>
  <c r="AF205" i="4" s="1"/>
  <c r="AH205" i="4" s="1"/>
  <c r="AI205" i="4" s="1"/>
  <c r="W193" i="4" a="1"/>
  <c r="W193" i="4" s="1"/>
  <c r="AF193" i="4" a="1"/>
  <c r="AF193" i="4" s="1"/>
  <c r="AH193" i="4" s="1"/>
  <c r="AI193" i="4" s="1"/>
  <c r="X117" i="4"/>
  <c r="AF117" i="4" a="1"/>
  <c r="AF117" i="4" s="1"/>
  <c r="AH117" i="4" s="1"/>
  <c r="AI117" i="4" s="1"/>
  <c r="AF67" i="4" a="1"/>
  <c r="AF67" i="4" s="1"/>
  <c r="AH67" i="4" s="1"/>
  <c r="AI67" i="4" s="1"/>
  <c r="AF41" i="4" a="1"/>
  <c r="AF41" i="4" s="1"/>
  <c r="AH41" i="4" s="1"/>
  <c r="AI41" i="4" s="1"/>
  <c r="AF44" i="4" a="1"/>
  <c r="AF44" i="4" s="1"/>
  <c r="AH44" i="4" s="1"/>
  <c r="AI44" i="4" s="1"/>
  <c r="AI134" i="24" a="1"/>
  <c r="AI134" i="24" s="1"/>
  <c r="AK134" i="24" s="1"/>
  <c r="AL134" i="24" s="1"/>
  <c r="T134" i="24" s="1"/>
  <c r="AI182" i="24" a="1"/>
  <c r="AI182" i="24" s="1"/>
  <c r="AK182" i="24" s="1"/>
  <c r="AL182" i="24" s="1"/>
  <c r="T182" i="24" s="1"/>
  <c r="AI31" i="24" a="1"/>
  <c r="AI31" i="24" s="1"/>
  <c r="AK31" i="24" s="1"/>
  <c r="AL31" i="24" s="1"/>
  <c r="T31" i="24" s="1"/>
  <c r="AI127" i="24" a="1"/>
  <c r="AI127" i="24" s="1"/>
  <c r="AK127" i="24" s="1"/>
  <c r="AL127" i="24" s="1"/>
  <c r="T127" i="24" s="1"/>
  <c r="AI183" i="24" a="1"/>
  <c r="AI183" i="24" s="1"/>
  <c r="AK183" i="24" s="1"/>
  <c r="AL183" i="24" s="1"/>
  <c r="T183" i="24" s="1"/>
  <c r="AI165" i="24" a="1"/>
  <c r="AI165" i="24" s="1"/>
  <c r="AK165" i="24" s="1"/>
  <c r="AL165" i="24" s="1"/>
  <c r="T165" i="24" s="1"/>
  <c r="AI157" i="24" a="1"/>
  <c r="AI157" i="24" s="1"/>
  <c r="AK157" i="24" s="1"/>
  <c r="AL157" i="24" s="1"/>
  <c r="T157" i="24" s="1"/>
  <c r="AI41" i="24" a="1"/>
  <c r="AI41" i="24" s="1"/>
  <c r="AK41" i="24" s="1"/>
  <c r="AL41" i="24" s="1"/>
  <c r="T41" i="24" s="1"/>
  <c r="AI34" i="24" a="1"/>
  <c r="AI34" i="24" s="1"/>
  <c r="AK34" i="24" s="1"/>
  <c r="AL34" i="24" s="1"/>
  <c r="T34" i="24" s="1"/>
  <c r="AI82" i="24" a="1"/>
  <c r="AI82" i="24" s="1"/>
  <c r="AK82" i="24" s="1"/>
  <c r="AL82" i="24" s="1"/>
  <c r="T82" i="24" s="1"/>
  <c r="AI5" i="24" a="1"/>
  <c r="AI5" i="24" s="1"/>
  <c r="AK5" i="24" s="1"/>
  <c r="AL5" i="24" s="1"/>
  <c r="T5" i="24" s="1"/>
  <c r="AI115" i="24" a="1"/>
  <c r="AI115" i="24" s="1"/>
  <c r="AK115" i="24" s="1"/>
  <c r="AL115" i="24" s="1"/>
  <c r="T115" i="24" s="1"/>
  <c r="AI52" i="24" a="1"/>
  <c r="AI52" i="24" s="1"/>
  <c r="AK52" i="24" s="1"/>
  <c r="AL52" i="24" s="1"/>
  <c r="T52" i="24" s="1"/>
  <c r="AI100" i="24" a="1"/>
  <c r="AI100" i="24" s="1"/>
  <c r="AK100" i="24" s="1"/>
  <c r="AL100" i="24" s="1"/>
  <c r="T100" i="24" s="1"/>
  <c r="AI30" i="24" a="1"/>
  <c r="AI30" i="24" s="1"/>
  <c r="AK30" i="24" s="1"/>
  <c r="AL30" i="24" s="1"/>
  <c r="T30" i="24" s="1"/>
  <c r="AI78" i="24" a="1"/>
  <c r="AI78" i="24" s="1"/>
  <c r="AK78" i="24" s="1"/>
  <c r="AL78" i="24" s="1"/>
  <c r="T78" i="24" s="1"/>
  <c r="AI87" i="24" a="1"/>
  <c r="AI87" i="24" s="1"/>
  <c r="AK87" i="24" s="1"/>
  <c r="AL87" i="24" s="1"/>
  <c r="T87" i="24" s="1"/>
  <c r="AI80" i="24" a="1"/>
  <c r="AI80" i="24" s="1"/>
  <c r="AK80" i="24" s="1"/>
  <c r="AL80" i="24" s="1"/>
  <c r="T80" i="24" s="1"/>
  <c r="AI120" i="24" a="1"/>
  <c r="AI120" i="24" s="1"/>
  <c r="AK120" i="24" s="1"/>
  <c r="AL120" i="24" s="1"/>
  <c r="T120" i="24" s="1"/>
  <c r="AI176" i="24" a="1"/>
  <c r="AI176" i="24" s="1"/>
  <c r="AK176" i="24" s="1"/>
  <c r="AL176" i="24" s="1"/>
  <c r="T176" i="24" s="1"/>
  <c r="AI89" i="24" a="1"/>
  <c r="AI89" i="24" s="1"/>
  <c r="AK89" i="24" s="1"/>
  <c r="AL89" i="24" s="1"/>
  <c r="T89" i="24" s="1"/>
  <c r="AI137" i="24" a="1"/>
  <c r="AI137" i="24" s="1"/>
  <c r="AK137" i="24" s="1"/>
  <c r="AL137" i="24" s="1"/>
  <c r="T137" i="24" s="1"/>
  <c r="AI185" i="24" a="1"/>
  <c r="AI185" i="24" s="1"/>
  <c r="AK185" i="24" s="1"/>
  <c r="AL185" i="24" s="1"/>
  <c r="T185" i="24" s="1"/>
  <c r="AI138" i="24" a="1"/>
  <c r="AI138" i="24" s="1"/>
  <c r="AK138" i="24" s="1"/>
  <c r="AL138" i="24" s="1"/>
  <c r="T138" i="24" s="1"/>
  <c r="AI19" i="24" a="1"/>
  <c r="AI19" i="24" s="1"/>
  <c r="AK19" i="24" s="1"/>
  <c r="AL19" i="24" s="1"/>
  <c r="T19" i="24" s="1"/>
  <c r="AI67" i="24" a="1"/>
  <c r="AI67" i="24" s="1"/>
  <c r="AK67" i="24" s="1"/>
  <c r="AL67" i="24" s="1"/>
  <c r="T67" i="24" s="1"/>
  <c r="AI163" i="24" a="1"/>
  <c r="AI163" i="24" s="1"/>
  <c r="AK163" i="24" s="1"/>
  <c r="AL163" i="24" s="1"/>
  <c r="T163" i="24" s="1"/>
  <c r="AI156" i="24" a="1"/>
  <c r="AI156" i="24" s="1"/>
  <c r="AK156" i="24" s="1"/>
  <c r="AL156" i="24" s="1"/>
  <c r="T156" i="24" s="1"/>
  <c r="AI204" i="24" a="1"/>
  <c r="AI204" i="24" s="1"/>
  <c r="AK204" i="24" s="1"/>
  <c r="AL204" i="24" s="1"/>
  <c r="T204" i="24" s="1"/>
  <c r="AI93" i="24" a="1"/>
  <c r="AI93" i="24" s="1"/>
  <c r="AK93" i="24" s="1"/>
  <c r="AL93" i="24" s="1"/>
  <c r="T93" i="24" s="1"/>
  <c r="AI86" i="24" a="1"/>
  <c r="AI86" i="24" s="1"/>
  <c r="AK86" i="24" s="1"/>
  <c r="AL86" i="24" s="1"/>
  <c r="T86" i="24" s="1"/>
  <c r="AI39" i="24" a="1"/>
  <c r="AI39" i="24" s="1"/>
  <c r="AK39" i="24" s="1"/>
  <c r="AL39" i="24" s="1"/>
  <c r="T39" i="24" s="1"/>
  <c r="AI135" i="24" a="1"/>
  <c r="AI135" i="24" s="1"/>
  <c r="AK135" i="24" s="1"/>
  <c r="AL135" i="24" s="1"/>
  <c r="T135" i="24" s="1"/>
  <c r="AI40" i="24" a="1"/>
  <c r="AI40" i="24" s="1"/>
  <c r="AK40" i="24" s="1"/>
  <c r="AL40" i="24" s="1"/>
  <c r="T40" i="24" s="1"/>
  <c r="AI205" i="24" a="1"/>
  <c r="AI205" i="24" s="1"/>
  <c r="AK205" i="24" s="1"/>
  <c r="AL205" i="24" s="1"/>
  <c r="T205" i="24" s="1"/>
  <c r="AI49" i="24" a="1"/>
  <c r="AI49" i="24" s="1"/>
  <c r="AK49" i="24" s="1"/>
  <c r="AL49" i="24" s="1"/>
  <c r="T49" i="24" s="1"/>
  <c r="AI193" i="24" a="1"/>
  <c r="AI193" i="24" s="1"/>
  <c r="AK193" i="24" s="1"/>
  <c r="AL193" i="24" s="1"/>
  <c r="T193" i="24" s="1"/>
  <c r="AI42" i="24" a="1"/>
  <c r="AI42" i="24" s="1"/>
  <c r="AK42" i="24" s="1"/>
  <c r="AL42" i="24" s="1"/>
  <c r="T42" i="24" s="1"/>
  <c r="AI90" i="24" a="1"/>
  <c r="AI90" i="24" s="1"/>
  <c r="AK90" i="24" s="1"/>
  <c r="AL90" i="24" s="1"/>
  <c r="T90" i="24" s="1"/>
  <c r="AI146" i="24" a="1"/>
  <c r="AI146" i="24" s="1"/>
  <c r="AK146" i="24" s="1"/>
  <c r="AL146" i="24" s="1"/>
  <c r="T146" i="24" s="1"/>
  <c r="AI202" i="24" a="1"/>
  <c r="AI202" i="24" s="1"/>
  <c r="AK202" i="24" s="1"/>
  <c r="AL202" i="24" s="1"/>
  <c r="T202" i="24" s="1"/>
  <c r="AI125" i="24" a="1"/>
  <c r="AI125" i="24" s="1"/>
  <c r="AK125" i="24" s="1"/>
  <c r="AL125" i="24" s="1"/>
  <c r="T125" i="24" s="1"/>
  <c r="AI4" i="24" a="1"/>
  <c r="AI4" i="24" s="1"/>
  <c r="AK4" i="24" s="1"/>
  <c r="AL4" i="24" s="1"/>
  <c r="T4" i="24" s="1"/>
  <c r="AI38" i="24" a="1"/>
  <c r="AI38" i="24" s="1"/>
  <c r="AK38" i="24" s="1"/>
  <c r="AL38" i="24" s="1"/>
  <c r="T38" i="24" s="1"/>
  <c r="AI190" i="24" a="1"/>
  <c r="AI190" i="24" s="1"/>
  <c r="AK190" i="24" s="1"/>
  <c r="AL190" i="24" s="1"/>
  <c r="T190" i="24" s="1"/>
  <c r="AI143" i="24" a="1"/>
  <c r="AI143" i="24" s="1"/>
  <c r="AK143" i="24" s="1"/>
  <c r="AL143" i="24" s="1"/>
  <c r="T143" i="24" s="1"/>
  <c r="AI128" i="24" a="1"/>
  <c r="AI128" i="24" s="1"/>
  <c r="AK128" i="24" s="1"/>
  <c r="AL128" i="24" s="1"/>
  <c r="T128" i="24" s="1"/>
  <c r="AI21" i="24" a="1"/>
  <c r="AI21" i="24" s="1"/>
  <c r="AK21" i="24" s="1"/>
  <c r="AL21" i="24" s="1"/>
  <c r="T21" i="24" s="1"/>
  <c r="AI145" i="24" a="1"/>
  <c r="AI145" i="24" s="1"/>
  <c r="AK145" i="24" s="1"/>
  <c r="AL145" i="24" s="1"/>
  <c r="T145" i="24" s="1"/>
  <c r="AI98" i="24" a="1"/>
  <c r="AI98" i="24" s="1"/>
  <c r="AK98" i="24" s="1"/>
  <c r="AL98" i="24" s="1"/>
  <c r="T98" i="24" s="1"/>
  <c r="AI123" i="24" a="1"/>
  <c r="AI123" i="24" s="1"/>
  <c r="AK123" i="24" s="1"/>
  <c r="AL123" i="24" s="1"/>
  <c r="T123" i="24" s="1"/>
  <c r="AI171" i="24" a="1"/>
  <c r="AI171" i="24" s="1"/>
  <c r="AK171" i="24" s="1"/>
  <c r="AL171" i="24" s="1"/>
  <c r="T171" i="24" s="1"/>
  <c r="AI108" i="24" a="1"/>
  <c r="AI108" i="24" s="1"/>
  <c r="AK108" i="24" s="1"/>
  <c r="AL108" i="24" s="1"/>
  <c r="T108" i="24" s="1"/>
  <c r="AI37" i="24" a="1"/>
  <c r="AI37" i="24" s="1"/>
  <c r="AK37" i="24" s="1"/>
  <c r="AL37" i="24" s="1"/>
  <c r="T37" i="24" s="1"/>
  <c r="AI142" i="24" a="1"/>
  <c r="AI142" i="24" s="1"/>
  <c r="AK142" i="24" s="1"/>
  <c r="AL142" i="24" s="1"/>
  <c r="T142" i="24" s="1"/>
  <c r="AI95" i="24" a="1"/>
  <c r="AI95" i="24" s="1"/>
  <c r="AK95" i="24" s="1"/>
  <c r="AL95" i="24" s="1"/>
  <c r="T95" i="24" s="1"/>
  <c r="AI191" i="24" a="1"/>
  <c r="AI191" i="24" s="1"/>
  <c r="AK191" i="24" s="1"/>
  <c r="AL191" i="24" s="1"/>
  <c r="T191" i="24" s="1"/>
  <c r="AI88" i="24" a="1"/>
  <c r="AI88" i="24" s="1"/>
  <c r="AK88" i="24" s="1"/>
  <c r="AL88" i="24" s="1"/>
  <c r="T88" i="24" s="1"/>
  <c r="AI184" i="24" a="1"/>
  <c r="AI184" i="24" s="1"/>
  <c r="AK184" i="24" s="1"/>
  <c r="AL184" i="24" s="1"/>
  <c r="T184" i="24" s="1"/>
  <c r="AI97" i="24" a="1"/>
  <c r="AI97" i="24" s="1"/>
  <c r="AK97" i="24" s="1"/>
  <c r="AL97" i="24" s="1"/>
  <c r="T97" i="24" s="1"/>
  <c r="AI50" i="24" a="1"/>
  <c r="AI50" i="24" s="1"/>
  <c r="AK50" i="24" s="1"/>
  <c r="AL50" i="24" s="1"/>
  <c r="T50" i="24" s="1"/>
  <c r="AI154" i="24" a="1"/>
  <c r="AI154" i="24" s="1"/>
  <c r="AK154" i="24" s="1"/>
  <c r="AL154" i="24" s="1"/>
  <c r="T154" i="24" s="1"/>
  <c r="AI69" i="24" a="1"/>
  <c r="AI69" i="24" s="1"/>
  <c r="AK69" i="24" s="1"/>
  <c r="AL69" i="24" s="1"/>
  <c r="T69" i="24" s="1"/>
  <c r="AI197" i="24" a="1"/>
  <c r="AI197" i="24" s="1"/>
  <c r="AK197" i="24" s="1"/>
  <c r="AL197" i="24" s="1"/>
  <c r="T197" i="24" s="1"/>
  <c r="AI12" i="24" a="1"/>
  <c r="AI12" i="24" s="1"/>
  <c r="AK12" i="24" s="1"/>
  <c r="AL12" i="24" s="1"/>
  <c r="T12" i="24" s="1"/>
  <c r="AI60" i="24" a="1"/>
  <c r="AI60" i="24" s="1"/>
  <c r="AK60" i="24" s="1"/>
  <c r="AL60" i="24" s="1"/>
  <c r="T60" i="24" s="1"/>
  <c r="AI164" i="24" a="1"/>
  <c r="AI164" i="24" s="1"/>
  <c r="AK164" i="24" s="1"/>
  <c r="AL164" i="24" s="1"/>
  <c r="T164" i="24" s="1"/>
  <c r="AI94" i="24" a="1"/>
  <c r="AI94" i="24" s="1"/>
  <c r="AK94" i="24" s="1"/>
  <c r="AL94" i="24" s="1"/>
  <c r="T94" i="24" s="1"/>
  <c r="AI198" i="24" a="1"/>
  <c r="AI198" i="24" s="1"/>
  <c r="AK198" i="24" s="1"/>
  <c r="AL198" i="24" s="1"/>
  <c r="T198" i="24" s="1"/>
  <c r="AI47" i="24" a="1"/>
  <c r="AI47" i="24" s="1"/>
  <c r="AK47" i="24" s="1"/>
  <c r="AL47" i="24" s="1"/>
  <c r="T47" i="24" s="1"/>
  <c r="AI48" i="24" a="1"/>
  <c r="AI48" i="24" s="1"/>
  <c r="AK48" i="24" s="1"/>
  <c r="AL48" i="24" s="1"/>
  <c r="T48" i="24" s="1"/>
  <c r="AI29" i="24" a="1"/>
  <c r="AI29" i="24" s="1"/>
  <c r="AK29" i="24" s="1"/>
  <c r="AL29" i="24" s="1"/>
  <c r="T29" i="24" s="1"/>
  <c r="AI9" i="24" a="1"/>
  <c r="AI9" i="24" s="1"/>
  <c r="AK9" i="24" s="1"/>
  <c r="AL9" i="24" s="1"/>
  <c r="T9" i="24" s="1"/>
  <c r="AI57" i="24" a="1"/>
  <c r="AI57" i="24" s="1"/>
  <c r="AK57" i="24" s="1"/>
  <c r="AL57" i="24" s="1"/>
  <c r="T57" i="24" s="1"/>
  <c r="AI201" i="24" a="1"/>
  <c r="AI201" i="24" s="1"/>
  <c r="AK201" i="24" s="1"/>
  <c r="AL201" i="24" s="1"/>
  <c r="T201" i="24" s="1"/>
  <c r="AI13" i="24" a="1"/>
  <c r="AI13" i="24" s="1"/>
  <c r="AK13" i="24" s="1"/>
  <c r="AL13" i="24" s="1"/>
  <c r="T13" i="24" s="1"/>
  <c r="AI117" i="24" a="1"/>
  <c r="AI117" i="24" s="1"/>
  <c r="AK117" i="24" s="1"/>
  <c r="AL117" i="24" s="1"/>
  <c r="T117" i="24" s="1"/>
  <c r="AI27" i="24" a="1"/>
  <c r="AI27" i="24" s="1"/>
  <c r="AK27" i="24" s="1"/>
  <c r="AL27" i="24" s="1"/>
  <c r="T27" i="24" s="1"/>
  <c r="AI75" i="24" a="1"/>
  <c r="AI75" i="24" s="1"/>
  <c r="AK75" i="24" s="1"/>
  <c r="AL75" i="24" s="1"/>
  <c r="T75" i="24" s="1"/>
  <c r="AI131" i="24" a="1"/>
  <c r="AI131" i="24" s="1"/>
  <c r="AK131" i="24" s="1"/>
  <c r="AL131" i="24" s="1"/>
  <c r="T131" i="24" s="1"/>
  <c r="AI179" i="24" a="1"/>
  <c r="AI179" i="24" s="1"/>
  <c r="AK179" i="24" s="1"/>
  <c r="AL179" i="24" s="1"/>
  <c r="T179" i="24" s="1"/>
  <c r="AI68" i="24" a="1"/>
  <c r="AI68" i="24" s="1"/>
  <c r="AK68" i="24" s="1"/>
  <c r="AL68" i="24" s="1"/>
  <c r="T68" i="24" s="1"/>
  <c r="AI116" i="24" a="1"/>
  <c r="AI116" i="24" s="1"/>
  <c r="AK116" i="24" s="1"/>
  <c r="AL116" i="24" s="1"/>
  <c r="T116" i="24" s="1"/>
  <c r="AI46" i="24" a="1"/>
  <c r="AI46" i="24" s="1"/>
  <c r="AK46" i="24" s="1"/>
  <c r="AL46" i="24" s="1"/>
  <c r="T46" i="24" s="1"/>
  <c r="AI102" i="24" a="1"/>
  <c r="AI102" i="24" s="1"/>
  <c r="AK102" i="24" s="1"/>
  <c r="AL102" i="24" s="1"/>
  <c r="T102" i="24" s="1"/>
  <c r="AI103" i="24" a="1"/>
  <c r="AI103" i="24" s="1"/>
  <c r="AK103" i="24" s="1"/>
  <c r="AL103" i="24" s="1"/>
  <c r="T103" i="24" s="1"/>
  <c r="AI199" i="24" a="1"/>
  <c r="AI199" i="24" s="1"/>
  <c r="AK199" i="24" s="1"/>
  <c r="AL199" i="24" s="1"/>
  <c r="T199" i="24" s="1"/>
  <c r="AI136" i="24" a="1"/>
  <c r="AI136" i="24" s="1"/>
  <c r="AK136" i="24" s="1"/>
  <c r="AL136" i="24" s="1"/>
  <c r="T136" i="24" s="1"/>
  <c r="AI192" i="24" a="1"/>
  <c r="AI192" i="24" s="1"/>
  <c r="AK192" i="24" s="1"/>
  <c r="AL192" i="24" s="1"/>
  <c r="T192" i="24" s="1"/>
  <c r="AI17" i="24" a="1"/>
  <c r="AI17" i="24" s="1"/>
  <c r="AK17" i="24" s="1"/>
  <c r="AL17" i="24" s="1"/>
  <c r="T17" i="24" s="1"/>
  <c r="AI105" i="24" a="1"/>
  <c r="AI105" i="24" s="1"/>
  <c r="AK105" i="24" s="1"/>
  <c r="AL105" i="24" s="1"/>
  <c r="T105" i="24" s="1"/>
  <c r="AI162" i="24" a="1"/>
  <c r="AI162" i="24" s="1"/>
  <c r="AK162" i="24" s="1"/>
  <c r="AL162" i="24" s="1"/>
  <c r="T162" i="24" s="1"/>
  <c r="AI54" i="24" a="1"/>
  <c r="AI54" i="24" s="1"/>
  <c r="AK54" i="24" s="1"/>
  <c r="AL54" i="24" s="1"/>
  <c r="T54" i="24" s="1"/>
  <c r="AI150" i="24" a="1"/>
  <c r="AI150" i="24" s="1"/>
  <c r="AK150" i="24" s="1"/>
  <c r="AL150" i="24" s="1"/>
  <c r="T150" i="24" s="1"/>
  <c r="AI206" i="24" a="1"/>
  <c r="AI206" i="24" s="1"/>
  <c r="AK206" i="24" s="1"/>
  <c r="AL206" i="24" s="1"/>
  <c r="T206" i="24" s="1"/>
  <c r="AI151" i="24" a="1"/>
  <c r="AI151" i="24" s="1"/>
  <c r="AK151" i="24" s="1"/>
  <c r="AL151" i="24" s="1"/>
  <c r="T151" i="24" s="1"/>
  <c r="AI96" i="24" a="1"/>
  <c r="AI96" i="24" s="1"/>
  <c r="AK96" i="24" s="1"/>
  <c r="AL96" i="24" s="1"/>
  <c r="T96" i="24" s="1"/>
  <c r="AI144" i="24" a="1"/>
  <c r="AI144" i="24" s="1"/>
  <c r="AK144" i="24" s="1"/>
  <c r="AL144" i="24" s="1"/>
  <c r="T144" i="24" s="1"/>
  <c r="AI85" i="24" a="1"/>
  <c r="AI85" i="24" s="1"/>
  <c r="AK85" i="24" s="1"/>
  <c r="AL85" i="24" s="1"/>
  <c r="T85" i="24" s="1"/>
  <c r="AI65" i="24" a="1"/>
  <c r="AI65" i="24" s="1"/>
  <c r="AK65" i="24" s="1"/>
  <c r="AL65" i="24" s="1"/>
  <c r="T65" i="24" s="1"/>
  <c r="AI113" i="24" a="1"/>
  <c r="AI113" i="24" s="1"/>
  <c r="AK113" i="24" s="1"/>
  <c r="AL113" i="24" s="1"/>
  <c r="T113" i="24" s="1"/>
  <c r="AI153" i="24" a="1"/>
  <c r="AI153" i="24" s="1"/>
  <c r="AK153" i="24" s="1"/>
  <c r="AL153" i="24" s="1"/>
  <c r="T153" i="24" s="1"/>
  <c r="AI10" i="24" a="1"/>
  <c r="AI10" i="24" s="1"/>
  <c r="AK10" i="24" s="1"/>
  <c r="AL10" i="24" s="1"/>
  <c r="T10" i="24" s="1"/>
  <c r="AI106" i="24" a="1"/>
  <c r="AI106" i="24" s="1"/>
  <c r="AK106" i="24" s="1"/>
  <c r="AL106" i="24" s="1"/>
  <c r="T106" i="24" s="1"/>
  <c r="AI172" i="24" a="1"/>
  <c r="AI172" i="24" s="1"/>
  <c r="AK172" i="24" s="1"/>
  <c r="AL172" i="24" s="1"/>
  <c r="T172" i="24" s="1"/>
  <c r="AI6" i="24" a="1"/>
  <c r="AI6" i="24" s="1"/>
  <c r="AK6" i="24" s="1"/>
  <c r="AL6" i="24" s="1"/>
  <c r="T6" i="24" s="1"/>
  <c r="AI55" i="24" a="1"/>
  <c r="AI55" i="24" s="1"/>
  <c r="AK55" i="24" s="1"/>
  <c r="AL55" i="24" s="1"/>
  <c r="T55" i="24" s="1"/>
  <c r="AI58" i="24" a="1"/>
  <c r="AI58" i="24" s="1"/>
  <c r="AK58" i="24" s="1"/>
  <c r="AL58" i="24" s="1"/>
  <c r="T58" i="24" s="1"/>
  <c r="AI114" i="24" a="1"/>
  <c r="AI114" i="24" s="1"/>
  <c r="AK114" i="24" s="1"/>
  <c r="AL114" i="24" s="1"/>
  <c r="T114" i="24" s="1"/>
  <c r="AI77" i="24" a="1"/>
  <c r="AI77" i="24" s="1"/>
  <c r="AK77" i="24" s="1"/>
  <c r="AL77" i="24" s="1"/>
  <c r="T77" i="24" s="1"/>
  <c r="AI35" i="24" a="1"/>
  <c r="AI35" i="24" s="1"/>
  <c r="AK35" i="24" s="1"/>
  <c r="AL35" i="24" s="1"/>
  <c r="T35" i="24" s="1"/>
  <c r="AI83" i="24" a="1"/>
  <c r="AI83" i="24" s="1"/>
  <c r="AK83" i="24" s="1"/>
  <c r="AL83" i="24" s="1"/>
  <c r="T83" i="24" s="1"/>
  <c r="AI187" i="24" a="1"/>
  <c r="AI187" i="24" s="1"/>
  <c r="AK187" i="24" s="1"/>
  <c r="AL187" i="24" s="1"/>
  <c r="T187" i="24" s="1"/>
  <c r="AI45" i="24" a="1"/>
  <c r="AI45" i="24" s="1"/>
  <c r="AK45" i="24" s="1"/>
  <c r="AL45" i="24" s="1"/>
  <c r="T45" i="24" s="1"/>
  <c r="AI20" i="24" a="1"/>
  <c r="AI20" i="24" s="1"/>
  <c r="AK20" i="24" s="1"/>
  <c r="AL20" i="24" s="1"/>
  <c r="T20" i="24" s="1"/>
  <c r="AI124" i="24" a="1"/>
  <c r="AI124" i="24" s="1"/>
  <c r="AK124" i="24" s="1"/>
  <c r="AL124" i="24" s="1"/>
  <c r="T124" i="24" s="1"/>
  <c r="AI180" i="24" a="1"/>
  <c r="AI180" i="24" s="1"/>
  <c r="AK180" i="24" s="1"/>
  <c r="AL180" i="24" s="1"/>
  <c r="T180" i="24" s="1"/>
  <c r="AI110" i="24" a="1"/>
  <c r="AI110" i="24" s="1"/>
  <c r="AK110" i="24" s="1"/>
  <c r="AL110" i="24" s="1"/>
  <c r="T110" i="24" s="1"/>
  <c r="AI158" i="24" a="1"/>
  <c r="AI158" i="24" s="1"/>
  <c r="AK158" i="24" s="1"/>
  <c r="AL158" i="24" s="1"/>
  <c r="T158" i="24" s="1"/>
  <c r="AI7" i="24" a="1"/>
  <c r="AI7" i="24" s="1"/>
  <c r="AK7" i="24" s="1"/>
  <c r="AL7" i="24" s="1"/>
  <c r="T7" i="24" s="1"/>
  <c r="AI63" i="24" a="1"/>
  <c r="AI63" i="24" s="1"/>
  <c r="AK63" i="24" s="1"/>
  <c r="AL63" i="24" s="1"/>
  <c r="T63" i="24" s="1"/>
  <c r="AI111" i="24" a="1"/>
  <c r="AI111" i="24" s="1"/>
  <c r="AK111" i="24" s="1"/>
  <c r="AL111" i="24" s="1"/>
  <c r="T111" i="24" s="1"/>
  <c r="AI159" i="24" a="1"/>
  <c r="AI159" i="24" s="1"/>
  <c r="AK159" i="24" s="1"/>
  <c r="AL159" i="24" s="1"/>
  <c r="T159" i="24" s="1"/>
  <c r="AI8" i="24" a="1"/>
  <c r="AI8" i="24" s="1"/>
  <c r="AK8" i="24" s="1"/>
  <c r="AL8" i="24" s="1"/>
  <c r="T8" i="24" s="1"/>
  <c r="AI56" i="24" a="1"/>
  <c r="AI56" i="24" s="1"/>
  <c r="AK56" i="24" s="1"/>
  <c r="AL56" i="24" s="1"/>
  <c r="T56" i="24" s="1"/>
  <c r="AI25" i="24" a="1"/>
  <c r="AI25" i="24" s="1"/>
  <c r="AK25" i="24" s="1"/>
  <c r="AL25" i="24" s="1"/>
  <c r="T25" i="24" s="1"/>
  <c r="AI161" i="24" a="1"/>
  <c r="AI161" i="24" s="1"/>
  <c r="AK161" i="24" s="1"/>
  <c r="AL161" i="24" s="1"/>
  <c r="T161" i="24" s="1"/>
  <c r="AI18" i="24" a="1"/>
  <c r="AI18" i="24" s="1"/>
  <c r="AK18" i="24" s="1"/>
  <c r="AL18" i="24" s="1"/>
  <c r="T18" i="24" s="1"/>
  <c r="AI170" i="24" a="1"/>
  <c r="AI170" i="24" s="1"/>
  <c r="AK170" i="24" s="1"/>
  <c r="AL170" i="24" s="1"/>
  <c r="T170" i="24" s="1"/>
  <c r="AI173" i="24" a="1"/>
  <c r="AI173" i="24" s="1"/>
  <c r="AK173" i="24" s="1"/>
  <c r="AL173" i="24" s="1"/>
  <c r="T173" i="24" s="1"/>
  <c r="AI139" i="24" a="1"/>
  <c r="AI139" i="24" s="1"/>
  <c r="AK139" i="24" s="1"/>
  <c r="AL139" i="24" s="1"/>
  <c r="T139" i="24" s="1"/>
  <c r="AI195" i="24" a="1"/>
  <c r="AI195" i="24" s="1"/>
  <c r="AK195" i="24" s="1"/>
  <c r="AL195" i="24" s="1"/>
  <c r="T195" i="24" s="1"/>
  <c r="AI76" i="24" a="1"/>
  <c r="AI76" i="24" s="1"/>
  <c r="AK76" i="24" s="1"/>
  <c r="AL76" i="24" s="1"/>
  <c r="T76" i="24" s="1"/>
  <c r="AI132" i="24" a="1"/>
  <c r="AI132" i="24" s="1"/>
  <c r="AK132" i="24" s="1"/>
  <c r="AL132" i="24" s="1"/>
  <c r="T132" i="24" s="1"/>
  <c r="AI118" i="24" a="1"/>
  <c r="AI118" i="24" s="1"/>
  <c r="AK118" i="24" s="1"/>
  <c r="AL118" i="24" s="1"/>
  <c r="T118" i="24" s="1"/>
  <c r="AI15" i="24" a="1"/>
  <c r="AI15" i="24" s="1"/>
  <c r="AK15" i="24" s="1"/>
  <c r="AL15" i="24" s="1"/>
  <c r="T15" i="24" s="1"/>
  <c r="AI200" i="24" a="1"/>
  <c r="AI200" i="24" s="1"/>
  <c r="AK200" i="24" s="1"/>
  <c r="AL200" i="24" s="1"/>
  <c r="T200" i="24" s="1"/>
  <c r="AI73" i="24" a="1"/>
  <c r="AI73" i="24" s="1"/>
  <c r="AK73" i="24" s="1"/>
  <c r="AL73" i="24" s="1"/>
  <c r="T73" i="24" s="1"/>
  <c r="AI66" i="24" a="1"/>
  <c r="AI66" i="24" s="1"/>
  <c r="AK66" i="24" s="1"/>
  <c r="AL66" i="24" s="1"/>
  <c r="T66" i="24" s="1"/>
  <c r="AI133" i="24" a="1"/>
  <c r="AI133" i="24" s="1"/>
  <c r="AK133" i="24" s="1"/>
  <c r="AL133" i="24" s="1"/>
  <c r="T133" i="24" s="1"/>
  <c r="AI43" i="24" a="1"/>
  <c r="AI43" i="24" s="1"/>
  <c r="AK43" i="24" s="1"/>
  <c r="AL43" i="24" s="1"/>
  <c r="T43" i="24" s="1"/>
  <c r="AI91" i="24" a="1"/>
  <c r="AI91" i="24" s="1"/>
  <c r="AK91" i="24" s="1"/>
  <c r="AL91" i="24" s="1"/>
  <c r="T91" i="24" s="1"/>
  <c r="AI147" i="24" a="1"/>
  <c r="AI147" i="24" s="1"/>
  <c r="AK147" i="24" s="1"/>
  <c r="AL147" i="24" s="1"/>
  <c r="T147" i="24" s="1"/>
  <c r="AI101" i="24" a="1"/>
  <c r="AI101" i="24" s="1"/>
  <c r="AK101" i="24" s="1"/>
  <c r="AL101" i="24" s="1"/>
  <c r="T101" i="24" s="1"/>
  <c r="AI28" i="24" a="1"/>
  <c r="AI28" i="24" s="1"/>
  <c r="AK28" i="24" s="1"/>
  <c r="AL28" i="24" s="1"/>
  <c r="T28" i="24" s="1"/>
  <c r="AI14" i="24" a="1"/>
  <c r="AI14" i="24" s="1"/>
  <c r="AK14" i="24" s="1"/>
  <c r="AL14" i="24" s="1"/>
  <c r="T14" i="24" s="1"/>
  <c r="AI62" i="24" a="1"/>
  <c r="AI62" i="24" s="1"/>
  <c r="AK62" i="24" s="1"/>
  <c r="AL62" i="24" s="1"/>
  <c r="T62" i="24" s="1"/>
  <c r="AI167" i="24" a="1"/>
  <c r="AI167" i="24" s="1"/>
  <c r="AK167" i="24" s="1"/>
  <c r="AL167" i="24" s="1"/>
  <c r="T167" i="24" s="1"/>
  <c r="AI16" i="24" a="1"/>
  <c r="AI16" i="24" s="1"/>
  <c r="AK16" i="24" s="1"/>
  <c r="AL16" i="24" s="1"/>
  <c r="T16" i="24" s="1"/>
  <c r="AI64" i="24" a="1"/>
  <c r="AI64" i="24" s="1"/>
  <c r="AK64" i="24" s="1"/>
  <c r="AL64" i="24" s="1"/>
  <c r="T64" i="24" s="1"/>
  <c r="AI104" i="24" a="1"/>
  <c r="AI104" i="24" s="1"/>
  <c r="AK104" i="24" s="1"/>
  <c r="AL104" i="24" s="1"/>
  <c r="T104" i="24" s="1"/>
  <c r="AI152" i="24" a="1"/>
  <c r="AI152" i="24" s="1"/>
  <c r="AK152" i="24" s="1"/>
  <c r="AL152" i="24" s="1"/>
  <c r="T152" i="24" s="1"/>
  <c r="AI109" i="24" a="1"/>
  <c r="AI109" i="24" s="1"/>
  <c r="AK109" i="24" s="1"/>
  <c r="AL109" i="24" s="1"/>
  <c r="T109" i="24" s="1"/>
  <c r="AI121" i="24" a="1"/>
  <c r="AI121" i="24" s="1"/>
  <c r="AK121" i="24" s="1"/>
  <c r="AL121" i="24" s="1"/>
  <c r="T121" i="24" s="1"/>
  <c r="AI169" i="24" a="1"/>
  <c r="AI169" i="24" s="1"/>
  <c r="AK169" i="24" s="1"/>
  <c r="AL169" i="24" s="1"/>
  <c r="T169" i="24" s="1"/>
  <c r="AI178" i="24" a="1"/>
  <c r="AI178" i="24" s="1"/>
  <c r="AK178" i="24" s="1"/>
  <c r="AL178" i="24" s="1"/>
  <c r="T178" i="24" s="1"/>
  <c r="AI3" i="24" a="1"/>
  <c r="AI3" i="24" s="1"/>
  <c r="AK3" i="24" s="1"/>
  <c r="AL3" i="24" s="1"/>
  <c r="T3" i="24" s="1"/>
  <c r="AI99" i="24" a="1"/>
  <c r="AI99" i="24" s="1"/>
  <c r="AK99" i="24" s="1"/>
  <c r="AL99" i="24" s="1"/>
  <c r="T99" i="24" s="1"/>
  <c r="AI166" i="24" a="1"/>
  <c r="AI166" i="24" s="1"/>
  <c r="AK166" i="24" s="1"/>
  <c r="AL166" i="24" s="1"/>
  <c r="T166" i="24" s="1"/>
  <c r="AI160" i="24" a="1"/>
  <c r="AI160" i="24" s="1"/>
  <c r="AK160" i="24" s="1"/>
  <c r="AL160" i="24" s="1"/>
  <c r="T160" i="24" s="1"/>
  <c r="AI53" i="24" a="1"/>
  <c r="AI53" i="24" s="1"/>
  <c r="AK53" i="24" s="1"/>
  <c r="AL53" i="24" s="1"/>
  <c r="T53" i="24" s="1"/>
  <c r="AI141" i="24" a="1"/>
  <c r="AI141" i="24" s="1"/>
  <c r="AK141" i="24" s="1"/>
  <c r="AL141" i="24" s="1"/>
  <c r="T141" i="24" s="1"/>
  <c r="AI33" i="24" a="1"/>
  <c r="AI33" i="24" s="1"/>
  <c r="AK33" i="24" s="1"/>
  <c r="AL33" i="24" s="1"/>
  <c r="T33" i="24" s="1"/>
  <c r="AI74" i="24" a="1"/>
  <c r="AI74" i="24" s="1"/>
  <c r="AK74" i="24" s="1"/>
  <c r="AL74" i="24" s="1"/>
  <c r="T74" i="24" s="1"/>
  <c r="AI122" i="24" a="1"/>
  <c r="AI122" i="24" s="1"/>
  <c r="AK122" i="24" s="1"/>
  <c r="AL122" i="24" s="1"/>
  <c r="T122" i="24" s="1"/>
  <c r="AI51" i="24" a="1"/>
  <c r="AI51" i="24" s="1"/>
  <c r="AK51" i="24" s="1"/>
  <c r="AL51" i="24" s="1"/>
  <c r="T51" i="24" s="1"/>
  <c r="AI203" i="24" a="1"/>
  <c r="AI203" i="24" s="1"/>
  <c r="AK203" i="24" s="1"/>
  <c r="AL203" i="24" s="1"/>
  <c r="T203" i="24" s="1"/>
  <c r="AI36" i="24" a="1"/>
  <c r="AI36" i="24" s="1"/>
  <c r="AK36" i="24" s="1"/>
  <c r="AL36" i="24" s="1"/>
  <c r="T36" i="24" s="1"/>
  <c r="AI84" i="24" a="1"/>
  <c r="AI84" i="24" s="1"/>
  <c r="AK84" i="24" s="1"/>
  <c r="AL84" i="24" s="1"/>
  <c r="T84" i="24" s="1"/>
  <c r="AI188" i="24" a="1"/>
  <c r="AI188" i="24" s="1"/>
  <c r="AK188" i="24" s="1"/>
  <c r="AL188" i="24" s="1"/>
  <c r="T188" i="24" s="1"/>
  <c r="AI71" i="24" a="1"/>
  <c r="AI71" i="24" s="1"/>
  <c r="AK71" i="24" s="1"/>
  <c r="AL71" i="24" s="1"/>
  <c r="T71" i="24" s="1"/>
  <c r="AI119" i="24" a="1"/>
  <c r="AI119" i="24" s="1"/>
  <c r="AK119" i="24" s="1"/>
  <c r="AL119" i="24" s="1"/>
  <c r="T119" i="24" s="1"/>
  <c r="AI24" i="24" a="1"/>
  <c r="AI24" i="24" s="1"/>
  <c r="AK24" i="24" s="1"/>
  <c r="AL24" i="24" s="1"/>
  <c r="T24" i="24" s="1"/>
  <c r="AI81" i="24" a="1"/>
  <c r="AI81" i="24" s="1"/>
  <c r="AK81" i="24" s="1"/>
  <c r="AL81" i="24" s="1"/>
  <c r="T81" i="24" s="1"/>
  <c r="AI129" i="24" a="1"/>
  <c r="AI129" i="24" s="1"/>
  <c r="AK129" i="24" s="1"/>
  <c r="AL129" i="24" s="1"/>
  <c r="T129" i="24" s="1"/>
  <c r="AI26" i="24" a="1"/>
  <c r="AI26" i="24" s="1"/>
  <c r="AK26" i="24" s="1"/>
  <c r="AL26" i="24" s="1"/>
  <c r="T26" i="24" s="1"/>
  <c r="AI130" i="24" a="1"/>
  <c r="AI130" i="24" s="1"/>
  <c r="AK130" i="24" s="1"/>
  <c r="AL130" i="24" s="1"/>
  <c r="T130" i="24" s="1"/>
  <c r="AI186" i="24" a="1"/>
  <c r="AI186" i="24" s="1"/>
  <c r="AK186" i="24" s="1"/>
  <c r="AL186" i="24" s="1"/>
  <c r="T186" i="24" s="1"/>
  <c r="AI155" i="24" a="1"/>
  <c r="AI155" i="24" s="1"/>
  <c r="AK155" i="24" s="1"/>
  <c r="AL155" i="24" s="1"/>
  <c r="T155" i="24" s="1"/>
  <c r="AI140" i="24" a="1"/>
  <c r="AI140" i="24" s="1"/>
  <c r="AK140" i="24" s="1"/>
  <c r="AL140" i="24" s="1"/>
  <c r="T140" i="24" s="1"/>
  <c r="AI196" i="24" a="1"/>
  <c r="AI196" i="24" s="1"/>
  <c r="AK196" i="24" s="1"/>
  <c r="AL196" i="24" s="1"/>
  <c r="T196" i="24" s="1"/>
  <c r="AI22" i="24" a="1"/>
  <c r="AI22" i="24" s="1"/>
  <c r="AK22" i="24" s="1"/>
  <c r="AL22" i="24" s="1"/>
  <c r="T22" i="24" s="1"/>
  <c r="AI70" i="24" a="1"/>
  <c r="AI70" i="24" s="1"/>
  <c r="AK70" i="24" s="1"/>
  <c r="AL70" i="24" s="1"/>
  <c r="T70" i="24" s="1"/>
  <c r="AI126" i="24" a="1"/>
  <c r="AI126" i="24" s="1"/>
  <c r="AK126" i="24" s="1"/>
  <c r="AL126" i="24" s="1"/>
  <c r="T126" i="24" s="1"/>
  <c r="AI174" i="24" a="1"/>
  <c r="AI174" i="24" s="1"/>
  <c r="AK174" i="24" s="1"/>
  <c r="AL174" i="24" s="1"/>
  <c r="T174" i="24" s="1"/>
  <c r="AI23" i="24" a="1"/>
  <c r="AI23" i="24" s="1"/>
  <c r="AK23" i="24" s="1"/>
  <c r="AL23" i="24" s="1"/>
  <c r="T23" i="24" s="1"/>
  <c r="AI175" i="24" a="1"/>
  <c r="AI175" i="24" s="1"/>
  <c r="AK175" i="24" s="1"/>
  <c r="AL175" i="24" s="1"/>
  <c r="T175" i="24" s="1"/>
  <c r="AI112" i="24" a="1"/>
  <c r="AI112" i="24" s="1"/>
  <c r="AK112" i="24" s="1"/>
  <c r="AL112" i="24" s="1"/>
  <c r="T112" i="24" s="1"/>
  <c r="AI189" i="24" a="1"/>
  <c r="AI189" i="24" s="1"/>
  <c r="AK189" i="24" s="1"/>
  <c r="AL189" i="24" s="1"/>
  <c r="T189" i="24" s="1"/>
  <c r="AI107" i="24" a="1"/>
  <c r="AI107" i="24" s="1"/>
  <c r="AK107" i="24" s="1"/>
  <c r="AL107" i="24" s="1"/>
  <c r="T107" i="24" s="1"/>
  <c r="AI61" i="24" a="1"/>
  <c r="AI61" i="24" s="1"/>
  <c r="AK61" i="24" s="1"/>
  <c r="AL61" i="24" s="1"/>
  <c r="T61" i="24" s="1"/>
  <c r="AI149" i="24" a="1"/>
  <c r="AI149" i="24" s="1"/>
  <c r="AK149" i="24" s="1"/>
  <c r="AL149" i="24" s="1"/>
  <c r="T149" i="24" s="1"/>
  <c r="AI92" i="24" a="1"/>
  <c r="AI92" i="24" s="1"/>
  <c r="AK92" i="24" s="1"/>
  <c r="AL92" i="24" s="1"/>
  <c r="T92" i="24" s="1"/>
  <c r="AI148" i="24" a="1"/>
  <c r="AI148" i="24" s="1"/>
  <c r="AK148" i="24" s="1"/>
  <c r="AL148" i="24" s="1"/>
  <c r="T148" i="24" s="1"/>
  <c r="AI79" i="24" a="1"/>
  <c r="AI79" i="24" s="1"/>
  <c r="AK79" i="24" s="1"/>
  <c r="AL79" i="24" s="1"/>
  <c r="T79" i="24" s="1"/>
  <c r="AI32" i="24" a="1"/>
  <c r="AI32" i="24" s="1"/>
  <c r="AK32" i="24" s="1"/>
  <c r="AL32" i="24" s="1"/>
  <c r="T32" i="24" s="1"/>
  <c r="AI72" i="24" a="1"/>
  <c r="AI72" i="24" s="1"/>
  <c r="AK72" i="24" s="1"/>
  <c r="AL72" i="24" s="1"/>
  <c r="T72" i="24" s="1"/>
  <c r="AI168" i="24" a="1"/>
  <c r="AI168" i="24" s="1"/>
  <c r="AK168" i="24" s="1"/>
  <c r="AL168" i="24" s="1"/>
  <c r="T168" i="24" s="1"/>
  <c r="AI177" i="24" a="1"/>
  <c r="AI177" i="24" s="1"/>
  <c r="AK177" i="24" s="1"/>
  <c r="AL177" i="24" s="1"/>
  <c r="T177" i="24" s="1"/>
  <c r="AI194" i="24" a="1"/>
  <c r="AI194" i="24" s="1"/>
  <c r="AK194" i="24" s="1"/>
  <c r="AL194" i="24" s="1"/>
  <c r="T194" i="24" s="1"/>
  <c r="AI11" i="24" a="1"/>
  <c r="AI11" i="24" s="1"/>
  <c r="AK11" i="24" s="1"/>
  <c r="AL11" i="24" s="1"/>
  <c r="T11" i="24" s="1"/>
  <c r="AI59" i="24" a="1"/>
  <c r="AI59" i="24" s="1"/>
  <c r="AK59" i="24" s="1"/>
  <c r="AL59" i="24" s="1"/>
  <c r="T59" i="24" s="1"/>
  <c r="AI181" i="24" a="1"/>
  <c r="AI181" i="24" s="1"/>
  <c r="AK181" i="24" s="1"/>
  <c r="AL181" i="24" s="1"/>
  <c r="T181" i="24" s="1"/>
  <c r="AI44" i="24" a="1"/>
  <c r="AI44" i="24" s="1"/>
  <c r="AK44" i="24" s="1"/>
  <c r="AL44" i="24" s="1"/>
  <c r="T44" i="24" s="1"/>
  <c r="X139" i="4"/>
  <c r="AF139" i="4" a="1"/>
  <c r="AF139" i="4" s="1"/>
  <c r="AH139" i="4" s="1"/>
  <c r="AI139" i="4" s="1"/>
  <c r="W66" i="4" a="1"/>
  <c r="W66" i="4" s="1"/>
  <c r="V193" i="12" s="1"/>
  <c r="AF66" i="4" a="1"/>
  <c r="AF66" i="4" s="1"/>
  <c r="AH66" i="4" s="1"/>
  <c r="AI66" i="4" s="1"/>
  <c r="W169" i="4" a="1"/>
  <c r="W169" i="4" s="1"/>
  <c r="V87" i="12" s="1"/>
  <c r="AF169" i="4" a="1"/>
  <c r="AF169" i="4" s="1"/>
  <c r="AH169" i="4" s="1"/>
  <c r="AI169" i="4" s="1"/>
  <c r="AF92" i="4" a="1"/>
  <c r="AF92" i="4" s="1"/>
  <c r="AH92" i="4" s="1"/>
  <c r="AI92" i="4" s="1"/>
  <c r="M200" i="4"/>
  <c r="AF200" i="4" a="1"/>
  <c r="AF200" i="4" s="1"/>
  <c r="AH200" i="4" s="1"/>
  <c r="AI200" i="4" s="1"/>
  <c r="AF97" i="4" a="1"/>
  <c r="AF97" i="4" s="1"/>
  <c r="AH97" i="4" s="1"/>
  <c r="AI97" i="4" s="1"/>
  <c r="AF51" i="4" a="1"/>
  <c r="AF51" i="4" s="1"/>
  <c r="AH51" i="4" s="1"/>
  <c r="AI51" i="4" s="1"/>
  <c r="AF125" i="4" a="1"/>
  <c r="AF125" i="4" s="1"/>
  <c r="AH125" i="4" s="1"/>
  <c r="AI125" i="4" s="1"/>
  <c r="AF202" i="4" a="1"/>
  <c r="AF202" i="4" s="1"/>
  <c r="AH202" i="4" s="1"/>
  <c r="AI202" i="4" s="1"/>
  <c r="AF181" i="4" a="1"/>
  <c r="AF181" i="4" s="1"/>
  <c r="AH181" i="4" s="1"/>
  <c r="AI181" i="4" s="1"/>
  <c r="M126" i="4"/>
  <c r="AF126" i="4" a="1"/>
  <c r="AF126" i="4" s="1"/>
  <c r="AH126" i="4" s="1"/>
  <c r="AI126" i="4" s="1"/>
  <c r="AF184" i="4" a="1"/>
  <c r="AF184" i="4" s="1"/>
  <c r="AH184" i="4" s="1"/>
  <c r="AI184" i="4" s="1"/>
  <c r="X18" i="4"/>
  <c r="AF18" i="4" a="1"/>
  <c r="AF18" i="4" s="1"/>
  <c r="AH18" i="4" s="1"/>
  <c r="AI18" i="4" s="1"/>
  <c r="X203" i="4"/>
  <c r="O117" i="12" s="1"/>
  <c r="AF203" i="4" a="1"/>
  <c r="AF203" i="4" s="1"/>
  <c r="AH203" i="4" s="1"/>
  <c r="AI203" i="4" s="1"/>
  <c r="AF26" i="4" a="1"/>
  <c r="AF26" i="4" s="1"/>
  <c r="AH26" i="4" s="1"/>
  <c r="AI26" i="4" s="1"/>
  <c r="AF187" i="4" a="1"/>
  <c r="AF187" i="4" s="1"/>
  <c r="AH187" i="4" s="1"/>
  <c r="AI187" i="4" s="1"/>
  <c r="AF188" i="4" a="1"/>
  <c r="AF188" i="4" s="1"/>
  <c r="AH188" i="4" s="1"/>
  <c r="AI188" i="4" s="1"/>
  <c r="AF62" i="4" a="1"/>
  <c r="AF62" i="4" s="1"/>
  <c r="AH62" i="4" s="1"/>
  <c r="AI62" i="4" s="1"/>
  <c r="X31" i="4"/>
  <c r="O182" i="12" s="1"/>
  <c r="AF31" i="4" a="1"/>
  <c r="AF31" i="4" s="1"/>
  <c r="AH31" i="4" s="1"/>
  <c r="AI31" i="4" s="1"/>
  <c r="M83" i="4"/>
  <c r="AF83" i="4" a="1"/>
  <c r="AF83" i="4" s="1"/>
  <c r="AH83" i="4" s="1"/>
  <c r="AI83" i="4" s="1"/>
  <c r="G116" i="4"/>
  <c r="AF116" i="4" a="1"/>
  <c r="AF116" i="4" s="1"/>
  <c r="AH116" i="4" s="1"/>
  <c r="AI116" i="4" s="1"/>
  <c r="W118" i="4" a="1"/>
  <c r="W118" i="4" s="1"/>
  <c r="AF118" i="4" a="1"/>
  <c r="AF118" i="4" s="1"/>
  <c r="AH118" i="4" s="1"/>
  <c r="AI118" i="4" s="1"/>
  <c r="M161" i="4"/>
  <c r="AF161" i="4" a="1"/>
  <c r="AF161" i="4" s="1"/>
  <c r="AH161" i="4" s="1"/>
  <c r="AI161" i="4" s="1"/>
  <c r="AF33" i="4" a="1"/>
  <c r="AF33" i="4" s="1"/>
  <c r="AH33" i="4" s="1"/>
  <c r="AI33" i="4" s="1"/>
  <c r="AF85" i="4" a="1"/>
  <c r="AF85" i="4" s="1"/>
  <c r="AH85" i="4" s="1"/>
  <c r="AI85" i="4" s="1"/>
  <c r="AF199" i="4" a="1"/>
  <c r="AF199" i="4" s="1"/>
  <c r="AH199" i="4" s="1"/>
  <c r="AI199" i="4" s="1"/>
  <c r="X124" i="4"/>
  <c r="AF124" i="4" a="1"/>
  <c r="AF124" i="4" s="1"/>
  <c r="AH124" i="4" s="1"/>
  <c r="AI124" i="4" s="1"/>
  <c r="X180" i="4"/>
  <c r="AF180" i="4" a="1"/>
  <c r="AF180" i="4" s="1"/>
  <c r="AH180" i="4" s="1"/>
  <c r="AI180" i="4" s="1"/>
  <c r="AF45" i="4" a="1"/>
  <c r="AF45" i="4" s="1"/>
  <c r="AH45" i="4" s="1"/>
  <c r="AI45" i="4" s="1"/>
  <c r="AF101" i="4" a="1"/>
  <c r="AF101" i="4" s="1"/>
  <c r="AH101" i="4" s="1"/>
  <c r="AI101" i="4" s="1"/>
  <c r="AF115" i="4" a="1"/>
  <c r="AF115" i="4" s="1"/>
  <c r="AH115" i="4" s="1"/>
  <c r="AI115" i="4" s="1"/>
  <c r="AF195" i="4" a="1"/>
  <c r="AF195" i="4" s="1"/>
  <c r="AH195" i="4" s="1"/>
  <c r="AI195" i="4" s="1"/>
  <c r="X122" i="4"/>
  <c r="O3" i="12" s="1"/>
  <c r="AF122" i="4" a="1"/>
  <c r="AF122" i="4" s="1"/>
  <c r="AH122" i="4" s="1"/>
  <c r="AI122" i="4" s="1"/>
  <c r="AF177" i="4" a="1"/>
  <c r="AF177" i="4" s="1"/>
  <c r="AH177" i="4" s="1"/>
  <c r="AI177" i="4" s="1"/>
  <c r="W145" i="4" a="1"/>
  <c r="W145" i="4" s="1"/>
  <c r="V18" i="12" s="1"/>
  <c r="AF145" i="4" a="1"/>
  <c r="AF145" i="4" s="1"/>
  <c r="AH145" i="4" s="1"/>
  <c r="AI145" i="4" s="1"/>
  <c r="M105" i="4"/>
  <c r="AF105" i="4" a="1"/>
  <c r="AF105" i="4" s="1"/>
  <c r="AH105" i="4" s="1"/>
  <c r="AI105" i="4" s="1"/>
  <c r="W131" i="4" a="1"/>
  <c r="W131" i="4" s="1"/>
  <c r="AF131" i="4" a="1"/>
  <c r="AF131" i="4" s="1"/>
  <c r="AH131" i="4" s="1"/>
  <c r="AI131" i="4" s="1"/>
  <c r="W155" i="4" a="1"/>
  <c r="W155" i="4" s="1"/>
  <c r="AF155" i="4" a="1"/>
  <c r="AF155" i="4" s="1"/>
  <c r="AH155" i="4" s="1"/>
  <c r="AI155" i="4" s="1"/>
  <c r="W166" i="4" a="1"/>
  <c r="W166" i="4" s="1"/>
  <c r="AF166" i="4" a="1"/>
  <c r="AF166" i="4" s="1"/>
  <c r="AH166" i="4" s="1"/>
  <c r="AI166" i="4" s="1"/>
  <c r="AF90" i="4" a="1"/>
  <c r="AF90" i="4" s="1"/>
  <c r="AH90" i="4" s="1"/>
  <c r="AI90" i="4" s="1"/>
  <c r="AF4" i="4" a="1"/>
  <c r="AF4" i="4" s="1"/>
  <c r="AH4" i="4" s="1"/>
  <c r="AI4" i="4" s="1"/>
  <c r="AF93" i="4" a="1"/>
  <c r="AF93" i="4" s="1"/>
  <c r="AH93" i="4" s="1"/>
  <c r="AI93" i="4" s="1"/>
  <c r="AF172" i="4" a="1"/>
  <c r="AF172" i="4" s="1"/>
  <c r="AH172" i="4" s="1"/>
  <c r="AI172" i="4" s="1"/>
  <c r="AF174" i="4" a="1"/>
  <c r="AF174" i="4" s="1"/>
  <c r="AH174" i="4" s="1"/>
  <c r="AI174" i="4" s="1"/>
  <c r="AF13" i="4" a="1"/>
  <c r="AF13" i="4" s="1"/>
  <c r="AH13" i="4" s="1"/>
  <c r="AI13" i="4" s="1"/>
  <c r="AF39" i="4" a="1"/>
  <c r="AF39" i="4" s="1"/>
  <c r="AH39" i="4" s="1"/>
  <c r="AI39" i="4" s="1"/>
  <c r="AF23" i="4" a="1"/>
  <c r="AF23" i="4" s="1"/>
  <c r="AH23" i="4" s="1"/>
  <c r="AI23" i="4" s="1"/>
  <c r="AF7" i="4" a="1"/>
  <c r="AF7" i="4" s="1"/>
  <c r="AH7" i="4" s="1"/>
  <c r="AI7" i="4" s="1"/>
  <c r="AF25" i="4" a="1"/>
  <c r="AF25" i="4" s="1"/>
  <c r="AH25" i="4" s="1"/>
  <c r="AI25" i="4" s="1"/>
  <c r="W17" i="4" a="1"/>
  <c r="W17" i="4" s="1"/>
  <c r="V135" i="12" s="1"/>
  <c r="AF17" i="4" a="1"/>
  <c r="AF17" i="4" s="1"/>
  <c r="AH17" i="4" s="1"/>
  <c r="AI17" i="4" s="1"/>
  <c r="X185" i="4"/>
  <c r="O69" i="12" s="1"/>
  <c r="AF185" i="4" a="1"/>
  <c r="AF185" i="4" s="1"/>
  <c r="AH185" i="4" s="1"/>
  <c r="AI185" i="4" s="1"/>
  <c r="AF128" i="4" a="1"/>
  <c r="AF128" i="4" s="1"/>
  <c r="AH128" i="4" s="1"/>
  <c r="AI128" i="4" s="1"/>
  <c r="AF129" i="4" a="1"/>
  <c r="AF129" i="4" s="1"/>
  <c r="AH129" i="4" s="1"/>
  <c r="AI129" i="4" s="1"/>
  <c r="AF108" i="4" a="1"/>
  <c r="AF108" i="4" s="1"/>
  <c r="AH108" i="4" s="1"/>
  <c r="AI108" i="4" s="1"/>
  <c r="N189" i="4"/>
  <c r="AF189" i="4" a="1"/>
  <c r="AF189" i="4" s="1"/>
  <c r="AH189" i="4" s="1"/>
  <c r="AI189" i="4" s="1"/>
  <c r="N6" i="4"/>
  <c r="AF6" i="4" a="1"/>
  <c r="AF6" i="4" s="1"/>
  <c r="AH6" i="4" s="1"/>
  <c r="AI6" i="4" s="1"/>
  <c r="AF132" i="4" a="1"/>
  <c r="AF132" i="4" s="1"/>
  <c r="AH132" i="4" s="1"/>
  <c r="AI132" i="4" s="1"/>
  <c r="AF19" i="4" a="1"/>
  <c r="AF19" i="4" s="1"/>
  <c r="AH19" i="4" s="1"/>
  <c r="AI19" i="4" s="1"/>
  <c r="M191" i="4"/>
  <c r="AF191" i="4" a="1"/>
  <c r="AF191" i="4" s="1"/>
  <c r="AH191" i="4" s="1"/>
  <c r="AI191" i="4" s="1"/>
  <c r="G156" i="4"/>
  <c r="AF156" i="4" a="1"/>
  <c r="AF156" i="4" s="1"/>
  <c r="AH156" i="4" s="1"/>
  <c r="AI156" i="4" s="1"/>
  <c r="AF162" i="4" a="1"/>
  <c r="AF162" i="4" s="1"/>
  <c r="AH162" i="4" s="1"/>
  <c r="AI162" i="4" s="1"/>
  <c r="AF34" i="4" a="1"/>
  <c r="AF34" i="4" s="1"/>
  <c r="AH34" i="4" s="1"/>
  <c r="AI34" i="4" s="1"/>
  <c r="AF65" i="4" a="1"/>
  <c r="AF65" i="4" s="1"/>
  <c r="AH65" i="4" s="1"/>
  <c r="AI65" i="4" s="1"/>
  <c r="AF130" i="4" a="1"/>
  <c r="AF130" i="4" s="1"/>
  <c r="AH130" i="4" s="1"/>
  <c r="AI130" i="4" s="1"/>
  <c r="AF170" i="4" a="1"/>
  <c r="AF170" i="4" s="1"/>
  <c r="AH170" i="4" s="1"/>
  <c r="AI170" i="4" s="1"/>
  <c r="AF99" i="4" a="1"/>
  <c r="AF99" i="4" s="1"/>
  <c r="AH99" i="4" s="1"/>
  <c r="AI99" i="4" s="1"/>
  <c r="N76" i="4"/>
  <c r="AF76" i="4" a="1"/>
  <c r="AF76" i="4" s="1"/>
  <c r="AH76" i="4" s="1"/>
  <c r="AI76" i="4" s="1"/>
  <c r="AF204" i="4" a="1"/>
  <c r="AF204" i="4" s="1"/>
  <c r="AH204" i="4" s="1"/>
  <c r="AI204" i="4" s="1"/>
  <c r="AF81" i="4" a="1"/>
  <c r="AF81" i="4" s="1"/>
  <c r="AH81" i="4" s="1"/>
  <c r="AI81" i="4" s="1"/>
  <c r="AF30" i="4" a="1"/>
  <c r="AF30" i="4" s="1"/>
  <c r="AH30" i="4" s="1"/>
  <c r="AI30" i="4" s="1"/>
  <c r="AF206" i="4" a="1"/>
  <c r="AF206" i="4" s="1"/>
  <c r="AH206" i="4" s="1"/>
  <c r="AI206" i="4" s="1"/>
  <c r="W46" i="4" a="1"/>
  <c r="W46" i="4" s="1"/>
  <c r="V97" i="12" s="1"/>
  <c r="AF46" i="4" a="1"/>
  <c r="AF46" i="4" s="1"/>
  <c r="AH46" i="4" s="1"/>
  <c r="AI46" i="4" s="1"/>
  <c r="AF56" i="4" a="1"/>
  <c r="AF56" i="4" s="1"/>
  <c r="AH56" i="4" s="1"/>
  <c r="AI56" i="4" s="1"/>
  <c r="AF36" i="4" a="1"/>
  <c r="AF36" i="4" s="1"/>
  <c r="AH36" i="4" s="1"/>
  <c r="AI36" i="4" s="1"/>
  <c r="AF48" i="4" a="1"/>
  <c r="AF48" i="4" s="1"/>
  <c r="AH48" i="4" s="1"/>
  <c r="AI48" i="4" s="1"/>
  <c r="AF12" i="4" a="1"/>
  <c r="AF12" i="4" s="1"/>
  <c r="AH12" i="4" s="1"/>
  <c r="AI12" i="4" s="1"/>
  <c r="W141" i="4" a="1"/>
  <c r="W141" i="4" s="1"/>
  <c r="AF141" i="4" a="1"/>
  <c r="AF141" i="4" s="1"/>
  <c r="AH141" i="4" s="1"/>
  <c r="AI141" i="4" s="1"/>
  <c r="AF94" i="4" a="1"/>
  <c r="AF94" i="4" s="1"/>
  <c r="AH94" i="4" s="1"/>
  <c r="AI94" i="4" s="1"/>
  <c r="AF201" i="4" a="1"/>
  <c r="AF201" i="4" s="1"/>
  <c r="AH201" i="4" s="1"/>
  <c r="AI201" i="4" s="1"/>
  <c r="AF175" i="4" a="1"/>
  <c r="AF175" i="4" s="1"/>
  <c r="AH175" i="4" s="1"/>
  <c r="AI175" i="4" s="1"/>
  <c r="AF178" i="4" a="1"/>
  <c r="AF178" i="4" s="1"/>
  <c r="AH178" i="4" s="1"/>
  <c r="AI178" i="4" s="1"/>
  <c r="AF72" i="4" a="1"/>
  <c r="AF72" i="4" s="1"/>
  <c r="AH72" i="4" s="1"/>
  <c r="AI72" i="4" s="1"/>
  <c r="AF73" i="4" a="1"/>
  <c r="AF73" i="4" s="1"/>
  <c r="AH73" i="4" s="1"/>
  <c r="AI73" i="4" s="1"/>
  <c r="AF102" i="4" a="1"/>
  <c r="AF102" i="4" s="1"/>
  <c r="AH102" i="4" s="1"/>
  <c r="AI102" i="4" s="1"/>
  <c r="AF144" i="4" a="1"/>
  <c r="AF144" i="4" s="1"/>
  <c r="AH144" i="4" s="1"/>
  <c r="AI144" i="4" s="1"/>
  <c r="AF103" i="4" a="1"/>
  <c r="AF103" i="4" s="1"/>
  <c r="AH103" i="4" s="1"/>
  <c r="AI103" i="4" s="1"/>
  <c r="X104" i="4"/>
  <c r="O112" i="12" s="1"/>
  <c r="AF104" i="4" a="1"/>
  <c r="AF104" i="4" s="1"/>
  <c r="AH104" i="4" s="1"/>
  <c r="AI104" i="4" s="1"/>
  <c r="AF147" i="4" a="1"/>
  <c r="AF147" i="4" s="1"/>
  <c r="AH147" i="4" s="1"/>
  <c r="AI147" i="4" s="1"/>
  <c r="AF149" i="4" a="1"/>
  <c r="AF149" i="4" s="1"/>
  <c r="AH149" i="4" s="1"/>
  <c r="AI149" i="4" s="1"/>
  <c r="AF27" i="4" a="1"/>
  <c r="AF27" i="4" s="1"/>
  <c r="AH27" i="4" s="1"/>
  <c r="AI27" i="4" s="1"/>
  <c r="N3" i="4"/>
  <c r="AF3" i="4" a="1"/>
  <c r="AF3" i="4" s="1"/>
  <c r="AH3" i="4" s="1"/>
  <c r="AI3" i="4" s="1"/>
  <c r="AF190" i="4" a="1"/>
  <c r="AF190" i="4" s="1"/>
  <c r="AH190" i="4" s="1"/>
  <c r="AI190" i="4" s="1"/>
  <c r="G152" i="4"/>
  <c r="AF152" i="4" a="1"/>
  <c r="AF152" i="4" s="1"/>
  <c r="AH152" i="4" s="1"/>
  <c r="AI152" i="4" s="1"/>
  <c r="X133" i="4"/>
  <c r="AF133" i="4" a="1"/>
  <c r="AF133" i="4" s="1"/>
  <c r="AH133" i="4" s="1"/>
  <c r="AI133" i="4" s="1"/>
  <c r="AF192" i="4" a="1"/>
  <c r="AF192" i="4" s="1"/>
  <c r="AH192" i="4" s="1"/>
  <c r="AI192" i="4" s="1"/>
  <c r="G157" i="4"/>
  <c r="AF157" i="4" a="1"/>
  <c r="AF157" i="4" s="1"/>
  <c r="AH157" i="4" s="1"/>
  <c r="AI157" i="4" s="1"/>
  <c r="AF163" i="4" a="1"/>
  <c r="AF163" i="4" s="1"/>
  <c r="AH163" i="4" s="1"/>
  <c r="AI163" i="4" s="1"/>
  <c r="AF120" i="4" a="1"/>
  <c r="AF120" i="4" s="1"/>
  <c r="AH120" i="4" s="1"/>
  <c r="AI120" i="4" s="1"/>
  <c r="M86" i="4"/>
  <c r="AF86" i="4" a="1"/>
  <c r="AF86" i="4" s="1"/>
  <c r="AH86" i="4" s="1"/>
  <c r="AI86" i="4" s="1"/>
  <c r="M22" i="4"/>
  <c r="AF22" i="4" a="1"/>
  <c r="AF22" i="4" s="1"/>
  <c r="AH22" i="4" s="1"/>
  <c r="AI22" i="4" s="1"/>
  <c r="AF106" i="4" a="1"/>
  <c r="AF106" i="4" s="1"/>
  <c r="AH106" i="4" s="1"/>
  <c r="AI106" i="4" s="1"/>
  <c r="M96" i="4"/>
  <c r="AF96" i="4" a="1"/>
  <c r="AF96" i="4" s="1"/>
  <c r="AH96" i="4" s="1"/>
  <c r="AI96" i="4" s="1"/>
  <c r="X21" i="4"/>
  <c r="AF21" i="4" a="1"/>
  <c r="AF21" i="4" s="1"/>
  <c r="AH21" i="4" s="1"/>
  <c r="AI21" i="4" s="1"/>
  <c r="AF98" i="4" a="1"/>
  <c r="AF98" i="4" s="1"/>
  <c r="AH98" i="4" s="1"/>
  <c r="AI98" i="4" s="1"/>
  <c r="AF135" i="4" a="1"/>
  <c r="AF135" i="4" s="1"/>
  <c r="AH135" i="4" s="1"/>
  <c r="AI135" i="4" s="1"/>
  <c r="X183" i="4"/>
  <c r="O12" i="12" s="1"/>
  <c r="AF183" i="4" a="1"/>
  <c r="AF183" i="4" s="1"/>
  <c r="AH183" i="4" s="1"/>
  <c r="AI183" i="4" s="1"/>
  <c r="AF113" i="4" a="1"/>
  <c r="AF113" i="4" s="1"/>
  <c r="AH113" i="4" s="1"/>
  <c r="AI113" i="4" s="1"/>
  <c r="AF164" i="4" a="1"/>
  <c r="AF164" i="4" s="1"/>
  <c r="AH164" i="4" s="1"/>
  <c r="AI164" i="4" s="1"/>
  <c r="AF11" i="4" a="1"/>
  <c r="AF11" i="4" s="1"/>
  <c r="AH11" i="4" s="1"/>
  <c r="AI11" i="4" s="1"/>
  <c r="AF167" i="4" a="1"/>
  <c r="AF167" i="4" s="1"/>
  <c r="AH167" i="4" s="1"/>
  <c r="AI167" i="4" s="1"/>
  <c r="N168" i="4"/>
  <c r="AF168" i="4" a="1"/>
  <c r="AF168" i="4" s="1"/>
  <c r="AH168" i="4" s="1"/>
  <c r="AI168" i="4" s="1"/>
  <c r="AF5" i="4" a="1"/>
  <c r="AF5" i="4" s="1"/>
  <c r="AH5" i="4" s="1"/>
  <c r="AI5" i="4" s="1"/>
  <c r="AF173" i="4" a="1"/>
  <c r="AF173" i="4" s="1"/>
  <c r="AH173" i="4" s="1"/>
  <c r="AI173" i="4" s="1"/>
  <c r="G176" i="4"/>
  <c r="AF176" i="4" a="1"/>
  <c r="AF176" i="4" s="1"/>
  <c r="AH176" i="4" s="1"/>
  <c r="AI176" i="4" s="1"/>
  <c r="AF52" i="4" a="1"/>
  <c r="AF52" i="4" s="1"/>
  <c r="AH52" i="4" s="1"/>
  <c r="AI52" i="4" s="1"/>
  <c r="N40" i="4"/>
  <c r="AF40" i="4" a="1"/>
  <c r="AF40" i="4" s="1"/>
  <c r="AH40" i="4" s="1"/>
  <c r="AI40" i="4" s="1"/>
  <c r="AF60" i="4" a="1"/>
  <c r="AF60" i="4" s="1"/>
  <c r="AH60" i="4" s="1"/>
  <c r="AI60" i="4" s="1"/>
  <c r="AF109" i="4" a="1"/>
  <c r="AF109" i="4" s="1"/>
  <c r="AH109" i="4" s="1"/>
  <c r="AI109" i="4" s="1"/>
  <c r="AF151" i="4" a="1"/>
  <c r="AF151" i="4" s="1"/>
  <c r="AH151" i="4" s="1"/>
  <c r="AI151" i="4" s="1"/>
  <c r="C187" i="12"/>
  <c r="AF35" i="4" a="1"/>
  <c r="AF35" i="4" s="1"/>
  <c r="AH35" i="4" s="1"/>
  <c r="AI35" i="4" s="1"/>
  <c r="AF59" i="4" a="1"/>
  <c r="AF59" i="4" s="1"/>
  <c r="AH59" i="4" s="1"/>
  <c r="AI59" i="4" s="1"/>
  <c r="AF15" i="4" a="1"/>
  <c r="AF15" i="4" s="1"/>
  <c r="AH15" i="4" s="1"/>
  <c r="AI15" i="4" s="1"/>
  <c r="AF16" i="4" a="1"/>
  <c r="AF16" i="4" s="1"/>
  <c r="AH16" i="4" s="1"/>
  <c r="AI16" i="4" s="1"/>
  <c r="G57" i="4"/>
  <c r="AF57" i="4" a="1"/>
  <c r="AF57" i="4" s="1"/>
  <c r="AH57" i="4" s="1"/>
  <c r="AI57" i="4" s="1"/>
  <c r="AF61" i="4" a="1"/>
  <c r="AF61" i="4" s="1"/>
  <c r="AH61" i="4" s="1"/>
  <c r="AI61" i="4" s="1"/>
  <c r="AF107" i="4" a="1"/>
  <c r="AF107" i="4" s="1"/>
  <c r="AH107" i="4" s="1"/>
  <c r="AI107" i="4" s="1"/>
  <c r="AF110" i="4" a="1"/>
  <c r="AF110" i="4" s="1"/>
  <c r="AH110" i="4" s="1"/>
  <c r="AI110" i="4" s="1"/>
  <c r="AF153" i="4" a="1"/>
  <c r="AF153" i="4" s="1"/>
  <c r="AH153" i="4" s="1"/>
  <c r="AI153" i="4" s="1"/>
  <c r="AF154" i="4" a="1"/>
  <c r="AF154" i="4" s="1"/>
  <c r="AH154" i="4" s="1"/>
  <c r="AI154" i="4" s="1"/>
  <c r="AF158" i="4" a="1"/>
  <c r="AF158" i="4" s="1"/>
  <c r="AH158" i="4" s="1"/>
  <c r="AI158" i="4" s="1"/>
  <c r="AF119" i="4" a="1"/>
  <c r="AF119" i="4" s="1"/>
  <c r="AH119" i="4" s="1"/>
  <c r="AI119" i="4" s="1"/>
  <c r="AF165" i="4" a="1"/>
  <c r="AF165" i="4" s="1"/>
  <c r="AH165" i="4" s="1"/>
  <c r="AI165" i="4" s="1"/>
  <c r="AF88" i="4" a="1"/>
  <c r="AF88" i="4" s="1"/>
  <c r="AH88" i="4" s="1"/>
  <c r="AI88" i="4" s="1"/>
  <c r="AF91" i="4" a="1"/>
  <c r="AF91" i="4" s="1"/>
  <c r="AH91" i="4" s="1"/>
  <c r="AI91" i="4" s="1"/>
  <c r="AF68" i="4" a="1"/>
  <c r="AF68" i="4" s="1"/>
  <c r="AH68" i="4" s="1"/>
  <c r="AI68" i="4" s="1"/>
  <c r="AF171" i="4" a="1"/>
  <c r="AF171" i="4" s="1"/>
  <c r="AH171" i="4" s="1"/>
  <c r="AI171" i="4" s="1"/>
  <c r="M38" i="4"/>
  <c r="AF38" i="4" a="1"/>
  <c r="AF38" i="4" s="1"/>
  <c r="AH38" i="4" s="1"/>
  <c r="AI38" i="4" s="1"/>
  <c r="G71" i="4"/>
  <c r="AF71" i="4" a="1"/>
  <c r="AF71" i="4" s="1"/>
  <c r="AH71" i="4" s="1"/>
  <c r="AI71" i="4" s="1"/>
  <c r="AF179" i="4" a="1"/>
  <c r="AF179" i="4" s="1"/>
  <c r="AH179" i="4" s="1"/>
  <c r="AI179" i="4" s="1"/>
  <c r="AF54" i="4" a="1"/>
  <c r="AF54" i="4" s="1"/>
  <c r="AH54" i="4" s="1"/>
  <c r="AI54" i="4" s="1"/>
  <c r="AF24" i="4" a="1"/>
  <c r="AF24" i="4" s="1"/>
  <c r="AH24" i="4" s="1"/>
  <c r="AI24" i="4" s="1"/>
  <c r="AF182" i="4" a="1"/>
  <c r="AF182" i="4" s="1"/>
  <c r="AH182" i="4" s="1"/>
  <c r="AI182" i="4" s="1"/>
  <c r="AF127" i="4" a="1"/>
  <c r="AF127" i="4" s="1"/>
  <c r="AH127" i="4" s="1"/>
  <c r="AI127" i="4" s="1"/>
  <c r="AF58" i="4" a="1"/>
  <c r="AF58" i="4" s="1"/>
  <c r="AH58" i="4" s="1"/>
  <c r="AI58" i="4" s="1"/>
  <c r="M146" i="4"/>
  <c r="AF146" i="4" a="1"/>
  <c r="AF146" i="4" s="1"/>
  <c r="AH146" i="4" s="1"/>
  <c r="AI146" i="4" s="1"/>
  <c r="G78" i="4"/>
  <c r="AF78" i="4" a="1"/>
  <c r="AF78" i="4" s="1"/>
  <c r="AH78" i="4" s="1"/>
  <c r="AI78" i="4" s="1"/>
  <c r="AF79" i="4" a="1"/>
  <c r="AF79" i="4" s="1"/>
  <c r="AH79" i="4" s="1"/>
  <c r="AI79" i="4" s="1"/>
  <c r="AF28" i="4" a="1"/>
  <c r="AF28" i="4" s="1"/>
  <c r="AH28" i="4" s="1"/>
  <c r="AI28" i="4" s="1"/>
  <c r="AF111" i="4" a="1"/>
  <c r="AF111" i="4" s="1"/>
  <c r="AH111" i="4" s="1"/>
  <c r="AI111" i="4" s="1"/>
  <c r="AF29" i="4" a="1"/>
  <c r="AF29" i="4" s="1"/>
  <c r="AH29" i="4" s="1"/>
  <c r="AI29" i="4" s="1"/>
  <c r="AF43" i="4" a="1"/>
  <c r="AF43" i="4" s="1"/>
  <c r="AH43" i="4" s="1"/>
  <c r="AI43" i="4" s="1"/>
  <c r="N134" i="4"/>
  <c r="AF134" i="4" a="1"/>
  <c r="AF134" i="4" s="1"/>
  <c r="AH134" i="4" s="1"/>
  <c r="AI134" i="4" s="1"/>
  <c r="AF32" i="4" a="1"/>
  <c r="AF32" i="4" s="1"/>
  <c r="AH32" i="4" s="1"/>
  <c r="AI32" i="4" s="1"/>
  <c r="X64" i="4"/>
  <c r="AF64" i="4" a="1"/>
  <c r="AF64" i="4" s="1"/>
  <c r="AH64" i="4" s="1"/>
  <c r="AI64" i="4" s="1"/>
  <c r="AF194" i="4" a="1"/>
  <c r="AF194" i="4" s="1"/>
  <c r="AH194" i="4" s="1"/>
  <c r="AI194" i="4" s="1"/>
  <c r="AF84" i="4" a="1"/>
  <c r="AF84" i="4" s="1"/>
  <c r="AH84" i="4" s="1"/>
  <c r="AI84" i="4" s="1"/>
  <c r="M197" i="4"/>
  <c r="AF197" i="4" a="1"/>
  <c r="AF197" i="4" s="1"/>
  <c r="AH197" i="4" s="1"/>
  <c r="AI197" i="4" s="1"/>
  <c r="X160" i="4"/>
  <c r="X42" i="4"/>
  <c r="W160" i="4" a="1"/>
  <c r="W160" i="4" s="1"/>
  <c r="V78" i="12" s="1"/>
  <c r="G193" i="4"/>
  <c r="M193" i="4"/>
  <c r="M57" i="4"/>
  <c r="M71" i="4"/>
  <c r="G6" i="4"/>
  <c r="M69" i="4"/>
  <c r="W57" i="4" a="1"/>
  <c r="W57" i="4" s="1"/>
  <c r="N69" i="4"/>
  <c r="W183" i="4" a="1"/>
  <c r="W183" i="4" s="1"/>
  <c r="V12" i="12" s="1"/>
  <c r="M116" i="4"/>
  <c r="W133" i="4" a="1"/>
  <c r="W133" i="4" s="1"/>
  <c r="G141" i="4"/>
  <c r="M141" i="4"/>
  <c r="W176" i="4" a="1"/>
  <c r="W176" i="4" s="1"/>
  <c r="V71" i="12" s="1"/>
  <c r="X176" i="4"/>
  <c r="G18" i="4"/>
  <c r="G96" i="4"/>
  <c r="N83" i="4"/>
  <c r="W40" i="4" a="1"/>
  <c r="W40" i="4" s="1"/>
  <c r="G117" i="4"/>
  <c r="M157" i="4"/>
  <c r="X40" i="4"/>
  <c r="M117" i="4"/>
  <c r="M133" i="4"/>
  <c r="N117" i="4"/>
  <c r="W117" i="4" a="1"/>
  <c r="W117" i="4" s="1"/>
  <c r="M82" i="4"/>
  <c r="W116" i="4" a="1"/>
  <c r="W116" i="4" s="1"/>
  <c r="W203" i="4" a="1"/>
  <c r="W203" i="4" s="1"/>
  <c r="V117" i="12" s="1"/>
  <c r="W82" i="4" a="1"/>
  <c r="W82" i="4" s="1"/>
  <c r="X116" i="4"/>
  <c r="N21" i="4"/>
  <c r="X38" i="4"/>
  <c r="O109" i="12" s="1"/>
  <c r="X82" i="4"/>
  <c r="G166" i="4"/>
  <c r="M169" i="4"/>
  <c r="N169" i="4"/>
  <c r="M189" i="4"/>
  <c r="X134" i="4"/>
  <c r="W76" i="4" a="1"/>
  <c r="W76" i="4" s="1"/>
  <c r="X76" i="4"/>
  <c r="M166" i="4"/>
  <c r="N71" i="4"/>
  <c r="W18" i="4" a="1"/>
  <c r="W18" i="4" s="1"/>
  <c r="M6" i="4"/>
  <c r="G31" i="4"/>
  <c r="W161" i="4" a="1"/>
  <c r="W161" i="4" s="1"/>
  <c r="N166" i="4"/>
  <c r="G66" i="4"/>
  <c r="N42" i="4"/>
  <c r="M203" i="4"/>
  <c r="X9" i="4"/>
  <c r="O16" i="12" s="1"/>
  <c r="N38" i="4"/>
  <c r="M183" i="4"/>
  <c r="G76" i="4"/>
  <c r="D163" i="24"/>
  <c r="D163" i="25" s="1"/>
  <c r="D110" i="24"/>
  <c r="D110" i="25" s="1"/>
  <c r="D194" i="24"/>
  <c r="D194" i="25" s="1"/>
  <c r="J29" i="12"/>
  <c r="K29" i="12"/>
  <c r="K192" i="12"/>
  <c r="J192" i="12"/>
  <c r="G38" i="4"/>
  <c r="J149" i="12"/>
  <c r="K149" i="12"/>
  <c r="J100" i="12"/>
  <c r="K100" i="12"/>
  <c r="X166" i="4"/>
  <c r="J82" i="12"/>
  <c r="K82" i="12"/>
  <c r="J189" i="12"/>
  <c r="K189" i="12"/>
  <c r="J152" i="12"/>
  <c r="K152" i="12"/>
  <c r="G169" i="4"/>
  <c r="J87" i="12"/>
  <c r="K87" i="12"/>
  <c r="C7" i="12"/>
  <c r="J7" i="12"/>
  <c r="K7" i="12"/>
  <c r="K23" i="12"/>
  <c r="J23" i="12"/>
  <c r="J143" i="12"/>
  <c r="K143" i="12"/>
  <c r="A104" i="12"/>
  <c r="J104" i="12"/>
  <c r="K104" i="12"/>
  <c r="G106" i="4"/>
  <c r="J180" i="12"/>
  <c r="K180" i="12"/>
  <c r="C72" i="12"/>
  <c r="J72" i="12"/>
  <c r="K72" i="12"/>
  <c r="X83" i="4"/>
  <c r="J84" i="12"/>
  <c r="K84" i="12"/>
  <c r="K79" i="12"/>
  <c r="J79" i="12"/>
  <c r="C85" i="12"/>
  <c r="J85" i="12"/>
  <c r="K85" i="12"/>
  <c r="W35" i="4" a="1"/>
  <c r="W35" i="4" s="1"/>
  <c r="X198" i="4"/>
  <c r="O195" i="12" s="1"/>
  <c r="J195" i="12"/>
  <c r="K195" i="12"/>
  <c r="K41" i="12"/>
  <c r="J41" i="12"/>
  <c r="C196" i="12"/>
  <c r="J196" i="12"/>
  <c r="K196" i="12"/>
  <c r="J35" i="12"/>
  <c r="K35" i="12"/>
  <c r="W55" i="4" a="1"/>
  <c r="W55" i="4" s="1"/>
  <c r="V105" i="12" s="1"/>
  <c r="J105" i="12"/>
  <c r="K105" i="12"/>
  <c r="J184" i="12"/>
  <c r="K184" i="12"/>
  <c r="X144" i="4"/>
  <c r="J65" i="12"/>
  <c r="K65" i="12"/>
  <c r="J140" i="12"/>
  <c r="K140" i="12"/>
  <c r="X77" i="4"/>
  <c r="K204" i="12"/>
  <c r="J204" i="12"/>
  <c r="W109" i="4" a="1"/>
  <c r="W109" i="4" s="1"/>
  <c r="V159" i="12" s="1"/>
  <c r="K159" i="12"/>
  <c r="J159" i="12"/>
  <c r="X81" i="4"/>
  <c r="J11" i="12"/>
  <c r="K11" i="12"/>
  <c r="N196" i="4"/>
  <c r="J156" i="12"/>
  <c r="K156" i="12"/>
  <c r="C146" i="12"/>
  <c r="J146" i="12"/>
  <c r="K146" i="12"/>
  <c r="N5" i="4"/>
  <c r="J130" i="12"/>
  <c r="K130" i="12"/>
  <c r="X39" i="4"/>
  <c r="J142" i="12"/>
  <c r="K142" i="12"/>
  <c r="G55" i="4"/>
  <c r="N16" i="4"/>
  <c r="W144" i="4" a="1"/>
  <c r="W144" i="4" s="1"/>
  <c r="V65" i="12" s="1"/>
  <c r="M184" i="4"/>
  <c r="J22" i="12"/>
  <c r="K22" i="12"/>
  <c r="K200" i="12"/>
  <c r="J200" i="12"/>
  <c r="C73" i="12"/>
  <c r="J73" i="12"/>
  <c r="K73" i="12"/>
  <c r="G109" i="4"/>
  <c r="B120" i="12"/>
  <c r="K120" i="12"/>
  <c r="J120" i="12"/>
  <c r="X62" i="4"/>
  <c r="O141" i="12" s="1"/>
  <c r="K141" i="12"/>
  <c r="J141" i="12"/>
  <c r="W132" i="4" a="1"/>
  <c r="W132" i="4" s="1"/>
  <c r="V161" i="12" s="1"/>
  <c r="J161" i="12"/>
  <c r="K161" i="12"/>
  <c r="K34" i="12"/>
  <c r="J34" i="12"/>
  <c r="J74" i="12"/>
  <c r="K74" i="12"/>
  <c r="X196" i="4"/>
  <c r="O156" i="12" s="1"/>
  <c r="W84" i="4" a="1"/>
  <c r="W84" i="4" s="1"/>
  <c r="V59" i="12" s="1"/>
  <c r="J59" i="12"/>
  <c r="K59" i="12"/>
  <c r="X37" i="4"/>
  <c r="O168" i="12" s="1"/>
  <c r="J168" i="12"/>
  <c r="K168" i="12"/>
  <c r="N90" i="4"/>
  <c r="J36" i="12"/>
  <c r="K36" i="12"/>
  <c r="M140" i="4"/>
  <c r="K92" i="12"/>
  <c r="J92" i="12"/>
  <c r="N123" i="4"/>
  <c r="J89" i="12"/>
  <c r="K89" i="12"/>
  <c r="X174" i="4"/>
  <c r="O110" i="12" s="1"/>
  <c r="J110" i="12"/>
  <c r="K110" i="12"/>
  <c r="N39" i="4"/>
  <c r="M55" i="4"/>
  <c r="G181" i="4"/>
  <c r="J5" i="12"/>
  <c r="K5" i="12"/>
  <c r="G60" i="4"/>
  <c r="J174" i="12"/>
  <c r="K174" i="12"/>
  <c r="G149" i="4"/>
  <c r="M205" i="4"/>
  <c r="AC205" i="4"/>
  <c r="K164" i="12" s="1"/>
  <c r="AB205" i="4"/>
  <c r="J164" i="12" s="1"/>
  <c r="X109" i="4"/>
  <c r="M188" i="4"/>
  <c r="K21" i="12"/>
  <c r="J21" i="12"/>
  <c r="W63" i="4" a="1"/>
  <c r="W63" i="4" s="1"/>
  <c r="K145" i="12"/>
  <c r="J145" i="12"/>
  <c r="W162" i="4" a="1"/>
  <c r="W162" i="4" s="1"/>
  <c r="J181" i="12"/>
  <c r="K181" i="12"/>
  <c r="X84" i="4"/>
  <c r="O59" i="12" s="1"/>
  <c r="C53" i="12"/>
  <c r="J53" i="12"/>
  <c r="K53" i="12"/>
  <c r="W87" i="4" a="1"/>
  <c r="W87" i="4" s="1"/>
  <c r="V96" i="12" s="1"/>
  <c r="J96" i="12"/>
  <c r="K96" i="12"/>
  <c r="W140" i="4" a="1"/>
  <c r="W140" i="4" s="1"/>
  <c r="W123" i="4" a="1"/>
  <c r="W123" i="4" s="1"/>
  <c r="V89" i="12" s="1"/>
  <c r="W172" i="4" a="1"/>
  <c r="W172" i="4" s="1"/>
  <c r="V60" i="12" s="1"/>
  <c r="K88" i="12"/>
  <c r="J88" i="12"/>
  <c r="W22" i="4" a="1"/>
  <c r="W22" i="4" s="1"/>
  <c r="V203" i="12" s="1"/>
  <c r="J203" i="12"/>
  <c r="K203" i="12"/>
  <c r="M13" i="4"/>
  <c r="K158" i="12"/>
  <c r="J158" i="12"/>
  <c r="M74" i="4"/>
  <c r="J39" i="12"/>
  <c r="K39" i="12"/>
  <c r="N183" i="4"/>
  <c r="J12" i="12"/>
  <c r="K12" i="12"/>
  <c r="M17" i="4"/>
  <c r="J135" i="12"/>
  <c r="K135" i="12"/>
  <c r="J60" i="12"/>
  <c r="K60" i="12"/>
  <c r="M60" i="4"/>
  <c r="M147" i="4"/>
  <c r="X148" i="4"/>
  <c r="J185" i="12"/>
  <c r="K185" i="12"/>
  <c r="M149" i="4"/>
  <c r="N205" i="4"/>
  <c r="G188" i="4"/>
  <c r="K51" i="12"/>
  <c r="J51" i="12"/>
  <c r="J55" i="12"/>
  <c r="K55" i="12"/>
  <c r="G134" i="4"/>
  <c r="J119" i="12"/>
  <c r="K119" i="12"/>
  <c r="C78" i="12"/>
  <c r="J78" i="12"/>
  <c r="K78" i="12"/>
  <c r="M162" i="4"/>
  <c r="J58" i="12"/>
  <c r="K58" i="12"/>
  <c r="G86" i="4"/>
  <c r="A30" i="12"/>
  <c r="J30" i="12"/>
  <c r="K30" i="12"/>
  <c r="M94" i="4"/>
  <c r="K108" i="12"/>
  <c r="J108" i="12"/>
  <c r="J133" i="12"/>
  <c r="K133" i="12"/>
  <c r="G99" i="4"/>
  <c r="J201" i="12"/>
  <c r="K201" i="12"/>
  <c r="N24" i="4"/>
  <c r="J175" i="12"/>
  <c r="K175" i="12"/>
  <c r="X7" i="4"/>
  <c r="J94" i="12"/>
  <c r="K94" i="12"/>
  <c r="N60" i="4"/>
  <c r="G105" i="4"/>
  <c r="J116" i="12"/>
  <c r="K116" i="12"/>
  <c r="W149" i="4" a="1"/>
  <c r="W149" i="4" s="1"/>
  <c r="X205" i="4"/>
  <c r="K46" i="12"/>
  <c r="J46" i="12"/>
  <c r="N188" i="4"/>
  <c r="K129" i="12"/>
  <c r="J129" i="12"/>
  <c r="W191" i="4" a="1"/>
  <c r="W191" i="4" s="1"/>
  <c r="K68" i="12"/>
  <c r="J68" i="12"/>
  <c r="C76" i="12"/>
  <c r="K76" i="12"/>
  <c r="J76" i="12"/>
  <c r="X45" i="4"/>
  <c r="O172" i="12" s="1"/>
  <c r="K172" i="12"/>
  <c r="J172" i="12"/>
  <c r="J13" i="12"/>
  <c r="K13" i="12"/>
  <c r="J148" i="12"/>
  <c r="K148" i="12"/>
  <c r="G170" i="4"/>
  <c r="X178" i="4"/>
  <c r="J15" i="12"/>
  <c r="K15" i="12"/>
  <c r="W24" i="4" a="1"/>
  <c r="W24" i="4" s="1"/>
  <c r="V175" i="12" s="1"/>
  <c r="N7" i="4"/>
  <c r="N182" i="4"/>
  <c r="J134" i="12"/>
  <c r="K134" i="12"/>
  <c r="J139" i="12"/>
  <c r="K139" i="12"/>
  <c r="A54" i="12"/>
  <c r="J54" i="12"/>
  <c r="K54" i="12"/>
  <c r="J163" i="12"/>
  <c r="K163" i="12"/>
  <c r="A111" i="12"/>
  <c r="J111" i="12"/>
  <c r="K111" i="12"/>
  <c r="M19" i="4"/>
  <c r="J197" i="12"/>
  <c r="K197" i="12"/>
  <c r="J122" i="12"/>
  <c r="K122" i="12"/>
  <c r="A28" i="12"/>
  <c r="J28" i="12"/>
  <c r="K28" i="12"/>
  <c r="G45" i="4"/>
  <c r="N86" i="4"/>
  <c r="J206" i="12"/>
  <c r="K206" i="12"/>
  <c r="G47" i="4"/>
  <c r="K138" i="12"/>
  <c r="J138" i="12"/>
  <c r="G122" i="4"/>
  <c r="J3" i="12"/>
  <c r="K3" i="12"/>
  <c r="K167" i="12"/>
  <c r="J167" i="12"/>
  <c r="G49" i="4"/>
  <c r="J188" i="12"/>
  <c r="K188" i="12"/>
  <c r="X68" i="4"/>
  <c r="O148" i="12" s="1"/>
  <c r="M170" i="4"/>
  <c r="G130" i="4"/>
  <c r="N191" i="4"/>
  <c r="W137" i="4" a="1"/>
  <c r="W137" i="4" s="1"/>
  <c r="J64" i="12"/>
  <c r="K64" i="12"/>
  <c r="M34" i="4"/>
  <c r="M45" i="4"/>
  <c r="X86" i="4"/>
  <c r="G142" i="4"/>
  <c r="K14" i="12"/>
  <c r="J14" i="12"/>
  <c r="G175" i="4"/>
  <c r="K166" i="12"/>
  <c r="J166" i="12"/>
  <c r="N72" i="4"/>
  <c r="J165" i="12"/>
  <c r="K165" i="12"/>
  <c r="G182" i="4"/>
  <c r="A48" i="12"/>
  <c r="J48" i="12"/>
  <c r="K48" i="12"/>
  <c r="J24" i="12"/>
  <c r="K24" i="12"/>
  <c r="J69" i="12"/>
  <c r="K69" i="12"/>
  <c r="N105" i="4"/>
  <c r="X61" i="4"/>
  <c r="G107" i="4"/>
  <c r="J115" i="12"/>
  <c r="K115" i="12"/>
  <c r="G187" i="4"/>
  <c r="J8" i="12"/>
  <c r="K8" i="12"/>
  <c r="G114" i="4"/>
  <c r="M48" i="4"/>
  <c r="J170" i="12"/>
  <c r="K170" i="12"/>
  <c r="N122" i="4"/>
  <c r="N49" i="4"/>
  <c r="N170" i="4"/>
  <c r="J99" i="12"/>
  <c r="K99" i="12"/>
  <c r="J147" i="12"/>
  <c r="K147" i="12"/>
  <c r="N142" i="4"/>
  <c r="M50" i="4"/>
  <c r="J45" i="12"/>
  <c r="K45" i="12"/>
  <c r="X72" i="4"/>
  <c r="M202" i="4"/>
  <c r="J186" i="12"/>
  <c r="K186" i="12"/>
  <c r="C4" i="12"/>
  <c r="J4" i="12"/>
  <c r="K4" i="12"/>
  <c r="W182" i="4" a="1"/>
  <c r="W182" i="4" s="1"/>
  <c r="G41" i="4"/>
  <c r="G103" i="4"/>
  <c r="G185" i="4"/>
  <c r="W146" i="4" a="1"/>
  <c r="W146" i="4" s="1"/>
  <c r="J202" i="12"/>
  <c r="K202" i="12"/>
  <c r="X105" i="4"/>
  <c r="O116" i="12" s="1"/>
  <c r="X204" i="4"/>
  <c r="O150" i="12" s="1"/>
  <c r="AC204" i="4"/>
  <c r="K150" i="12" s="1"/>
  <c r="AB204" i="4"/>
  <c r="J150" i="12" s="1"/>
  <c r="M107" i="4"/>
  <c r="N187" i="4"/>
  <c r="M130" i="4"/>
  <c r="C131" i="12"/>
  <c r="K131" i="12"/>
  <c r="J131" i="12"/>
  <c r="J57" i="12"/>
  <c r="K57" i="12"/>
  <c r="M114" i="4"/>
  <c r="B155" i="12"/>
  <c r="J155" i="12"/>
  <c r="K155" i="12"/>
  <c r="X191" i="4"/>
  <c r="X137" i="4"/>
  <c r="W157" i="4" a="1"/>
  <c r="W157" i="4" s="1"/>
  <c r="C81" i="12"/>
  <c r="J81" i="12"/>
  <c r="K81" i="12"/>
  <c r="N34" i="4"/>
  <c r="M11" i="4"/>
  <c r="J171" i="12"/>
  <c r="K171" i="12"/>
  <c r="W170" i="4" a="1"/>
  <c r="W170" i="4" s="1"/>
  <c r="V30" i="12" s="1"/>
  <c r="K169" i="12"/>
  <c r="J169" i="12"/>
  <c r="X52" i="4"/>
  <c r="O38" i="12" s="1"/>
  <c r="J38" i="12"/>
  <c r="K38" i="12"/>
  <c r="K160" i="12"/>
  <c r="J160" i="12"/>
  <c r="X127" i="4"/>
  <c r="O127" i="12" s="1"/>
  <c r="K127" i="12"/>
  <c r="J127" i="12"/>
  <c r="K62" i="12"/>
  <c r="J62" i="12"/>
  <c r="M185" i="4"/>
  <c r="J66" i="12"/>
  <c r="K66" i="12"/>
  <c r="G189" i="4"/>
  <c r="K52" i="12"/>
  <c r="J52" i="12"/>
  <c r="X130" i="4"/>
  <c r="O54" i="12" s="1"/>
  <c r="N190" i="4"/>
  <c r="K132" i="12"/>
  <c r="J132" i="12"/>
  <c r="N114" i="4"/>
  <c r="X157" i="4"/>
  <c r="J77" i="12"/>
  <c r="K77" i="12"/>
  <c r="W20" i="4" a="1"/>
  <c r="W20" i="4" s="1"/>
  <c r="J177" i="12"/>
  <c r="K177" i="12"/>
  <c r="X164" i="4"/>
  <c r="J113" i="12"/>
  <c r="K113" i="12"/>
  <c r="N167" i="4"/>
  <c r="J106" i="12"/>
  <c r="K106" i="12"/>
  <c r="J93" i="12"/>
  <c r="K93" i="12"/>
  <c r="X95" i="4"/>
  <c r="O206" i="12" s="1"/>
  <c r="J98" i="12"/>
  <c r="K98" i="12"/>
  <c r="N176" i="4"/>
  <c r="J71" i="12"/>
  <c r="K71" i="12"/>
  <c r="N14" i="4"/>
  <c r="X15" i="4"/>
  <c r="O75" i="12" s="1"/>
  <c r="K75" i="12"/>
  <c r="J75" i="12"/>
  <c r="G102" i="4"/>
  <c r="J144" i="12"/>
  <c r="K144" i="12"/>
  <c r="K176" i="12"/>
  <c r="J176" i="12"/>
  <c r="A173" i="12"/>
  <c r="J173" i="12"/>
  <c r="K173" i="12"/>
  <c r="N185" i="4"/>
  <c r="AB203" i="4"/>
  <c r="J117" i="12" s="1"/>
  <c r="AC203" i="4"/>
  <c r="K117" i="12" s="1"/>
  <c r="G79" i="4"/>
  <c r="K118" i="12"/>
  <c r="J118" i="12"/>
  <c r="C101" i="12"/>
  <c r="K101" i="12"/>
  <c r="J101" i="12"/>
  <c r="W114" i="4" a="1"/>
  <c r="W114" i="4" s="1"/>
  <c r="N133" i="4"/>
  <c r="J25" i="12"/>
  <c r="K25" i="12"/>
  <c r="J190" i="12"/>
  <c r="K190" i="12"/>
  <c r="G192" i="4"/>
  <c r="J20" i="12"/>
  <c r="K20" i="12"/>
  <c r="J102" i="12"/>
  <c r="K102" i="12"/>
  <c r="X194" i="4"/>
  <c r="O121" i="12" s="1"/>
  <c r="J121" i="12"/>
  <c r="K121" i="12"/>
  <c r="J103" i="12"/>
  <c r="K103" i="12"/>
  <c r="X66" i="4"/>
  <c r="O193" i="12" s="1"/>
  <c r="J193" i="12"/>
  <c r="K193" i="12"/>
  <c r="J198" i="12"/>
  <c r="K198" i="12"/>
  <c r="J90" i="12"/>
  <c r="K90" i="12"/>
  <c r="W23" i="4" a="1"/>
  <c r="W23" i="4" s="1"/>
  <c r="J10" i="12"/>
  <c r="K10" i="12"/>
  <c r="J128" i="12"/>
  <c r="K128" i="12"/>
  <c r="B114" i="12"/>
  <c r="K114" i="12"/>
  <c r="J114" i="12"/>
  <c r="N10" i="4"/>
  <c r="J183" i="12"/>
  <c r="K183" i="12"/>
  <c r="J19" i="12"/>
  <c r="K19" i="12"/>
  <c r="C182" i="12"/>
  <c r="K182" i="12"/>
  <c r="J182" i="12"/>
  <c r="C126" i="12"/>
  <c r="J126" i="12"/>
  <c r="K126" i="12"/>
  <c r="X114" i="4"/>
  <c r="K107" i="12"/>
  <c r="J107" i="12"/>
  <c r="X120" i="4"/>
  <c r="J44" i="12"/>
  <c r="K44" i="12"/>
  <c r="AB206" i="4"/>
  <c r="J86" i="12" s="1"/>
  <c r="AC206" i="4"/>
  <c r="K86" i="12" s="1"/>
  <c r="J61" i="12"/>
  <c r="K61" i="12"/>
  <c r="J194" i="12"/>
  <c r="K194" i="12"/>
  <c r="J191" i="12"/>
  <c r="K191" i="12"/>
  <c r="J125" i="12"/>
  <c r="K125" i="12"/>
  <c r="B157" i="12"/>
  <c r="K157" i="12"/>
  <c r="J157" i="12"/>
  <c r="M26" i="4"/>
  <c r="J151" i="12"/>
  <c r="K151" i="12"/>
  <c r="A49" i="12"/>
  <c r="J49" i="12"/>
  <c r="K49" i="12"/>
  <c r="W150" i="4" a="1"/>
  <c r="W150" i="4" s="1"/>
  <c r="V42" i="12" s="1"/>
  <c r="J42" i="12"/>
  <c r="K42" i="12"/>
  <c r="M154" i="4"/>
  <c r="J9" i="12"/>
  <c r="K9" i="12"/>
  <c r="X195" i="4"/>
  <c r="O26" i="12" s="1"/>
  <c r="J26" i="12"/>
  <c r="K26" i="12"/>
  <c r="G171" i="4"/>
  <c r="J70" i="12"/>
  <c r="K70" i="12"/>
  <c r="J91" i="12"/>
  <c r="K91" i="12"/>
  <c r="X179" i="4"/>
  <c r="X100" i="4"/>
  <c r="J56" i="12"/>
  <c r="K56" i="12"/>
  <c r="G143" i="4"/>
  <c r="J43" i="12"/>
  <c r="K43" i="12"/>
  <c r="M75" i="4"/>
  <c r="J17" i="12"/>
  <c r="K17" i="12"/>
  <c r="C112" i="12"/>
  <c r="J112" i="12"/>
  <c r="K112" i="12"/>
  <c r="W8" i="4" a="1"/>
  <c r="W8" i="4" s="1"/>
  <c r="V124" i="12" s="1"/>
  <c r="J124" i="12"/>
  <c r="K124" i="12"/>
  <c r="X150" i="4"/>
  <c r="O42" i="12" s="1"/>
  <c r="W3" i="4" a="1"/>
  <c r="W3" i="4" s="1"/>
  <c r="V179" i="12" s="1"/>
  <c r="J179" i="12"/>
  <c r="K179" i="12"/>
  <c r="M29" i="4"/>
  <c r="K178" i="12"/>
  <c r="J178" i="12"/>
  <c r="M31" i="4"/>
  <c r="N115" i="4"/>
  <c r="J137" i="12"/>
  <c r="K137" i="12"/>
  <c r="X118" i="4"/>
  <c r="J33" i="12"/>
  <c r="K33" i="12"/>
  <c r="G64" i="4"/>
  <c r="J50" i="12"/>
  <c r="K50" i="12"/>
  <c r="W195" i="4" a="1"/>
  <c r="W195" i="4" s="1"/>
  <c r="A187" i="12"/>
  <c r="J187" i="12"/>
  <c r="K187" i="12"/>
  <c r="M85" i="4"/>
  <c r="J47" i="12"/>
  <c r="K47" i="12"/>
  <c r="J95" i="12"/>
  <c r="K95" i="12"/>
  <c r="M66" i="4"/>
  <c r="N66" i="4"/>
  <c r="X141" i="4"/>
  <c r="X171" i="4"/>
  <c r="W200" i="4" a="1"/>
  <c r="W200" i="4" s="1"/>
  <c r="J199" i="12"/>
  <c r="K199" i="12"/>
  <c r="J109" i="12"/>
  <c r="K109" i="12"/>
  <c r="G177" i="4"/>
  <c r="K136" i="12"/>
  <c r="J136" i="12"/>
  <c r="G40" i="4"/>
  <c r="J153" i="12"/>
  <c r="K153" i="12"/>
  <c r="M143" i="4"/>
  <c r="G25" i="4"/>
  <c r="G104" i="4"/>
  <c r="C16" i="12"/>
  <c r="J16" i="12"/>
  <c r="K16" i="12"/>
  <c r="J123" i="12"/>
  <c r="K123" i="12"/>
  <c r="G3" i="4"/>
  <c r="C27" i="12"/>
  <c r="J27" i="12"/>
  <c r="K27" i="12"/>
  <c r="N29" i="4"/>
  <c r="N31" i="4"/>
  <c r="W44" i="4" a="1"/>
  <c r="W44" i="4" s="1"/>
  <c r="V205" i="12" s="1"/>
  <c r="K205" i="12"/>
  <c r="J205" i="12"/>
  <c r="C6" i="12"/>
  <c r="J6" i="12"/>
  <c r="K6" i="12"/>
  <c r="G118" i="4"/>
  <c r="M64" i="4"/>
  <c r="C154" i="12"/>
  <c r="J154" i="12"/>
  <c r="K154" i="12"/>
  <c r="G35" i="4"/>
  <c r="G85" i="4"/>
  <c r="X121" i="4"/>
  <c r="J83" i="12"/>
  <c r="K83" i="12"/>
  <c r="W173" i="4" a="1"/>
  <c r="W173" i="4" s="1"/>
  <c r="K32" i="12"/>
  <c r="J32" i="12"/>
  <c r="B97" i="12"/>
  <c r="K97" i="12"/>
  <c r="J97" i="12"/>
  <c r="M46" i="4"/>
  <c r="G200" i="4"/>
  <c r="W71" i="4" a="1"/>
  <c r="W71" i="4" s="1"/>
  <c r="V40" i="12" s="1"/>
  <c r="J40" i="12"/>
  <c r="K40" i="12"/>
  <c r="A63" i="12"/>
  <c r="J63" i="12"/>
  <c r="K63" i="12"/>
  <c r="M40" i="4"/>
  <c r="N143" i="4"/>
  <c r="W25" i="4" a="1"/>
  <c r="W25" i="4" s="1"/>
  <c r="V43" i="12" s="1"/>
  <c r="J18" i="12"/>
  <c r="K18" i="12"/>
  <c r="J37" i="12"/>
  <c r="K37" i="12"/>
  <c r="W104" i="4" a="1"/>
  <c r="W104" i="4" s="1"/>
  <c r="V112" i="12" s="1"/>
  <c r="J80" i="12"/>
  <c r="K80" i="12"/>
  <c r="G9" i="4"/>
  <c r="M27" i="4"/>
  <c r="M3" i="4"/>
  <c r="M131" i="4"/>
  <c r="X29" i="4"/>
  <c r="W31" i="4" a="1"/>
  <c r="W31" i="4" s="1"/>
  <c r="V182" i="12" s="1"/>
  <c r="A162" i="12"/>
  <c r="J162" i="12"/>
  <c r="K162" i="12"/>
  <c r="C67" i="12"/>
  <c r="J67" i="12"/>
  <c r="K67" i="12"/>
  <c r="N118" i="4"/>
  <c r="N64" i="4"/>
  <c r="G161" i="4"/>
  <c r="M138" i="4"/>
  <c r="J31" i="12"/>
  <c r="K31" i="12"/>
  <c r="N35" i="4"/>
  <c r="N85" i="4"/>
  <c r="D189" i="9"/>
  <c r="D191" i="9"/>
  <c r="B237" i="9"/>
  <c r="B84" i="12"/>
  <c r="B113" i="12"/>
  <c r="X24" i="4"/>
  <c r="X56" i="4"/>
  <c r="G26" i="4"/>
  <c r="G108" i="4"/>
  <c r="M62" i="4"/>
  <c r="G132" i="4"/>
  <c r="N20" i="4"/>
  <c r="C84" i="12"/>
  <c r="C113" i="12"/>
  <c r="X46" i="4"/>
  <c r="M139" i="4"/>
  <c r="X48" i="4"/>
  <c r="M37" i="4"/>
  <c r="M93" i="4"/>
  <c r="G123" i="4"/>
  <c r="W142" i="4" a="1"/>
  <c r="W142" i="4" s="1"/>
  <c r="V14" i="12" s="1"/>
  <c r="G179" i="4"/>
  <c r="G54" i="4"/>
  <c r="W105" i="4" a="1"/>
  <c r="W105" i="4" s="1"/>
  <c r="V116" i="12" s="1"/>
  <c r="N26" i="4"/>
  <c r="N149" i="4"/>
  <c r="W9" i="4" a="1"/>
  <c r="W9" i="4" s="1"/>
  <c r="V16" i="12" s="1"/>
  <c r="M108" i="4"/>
  <c r="G81" i="4"/>
  <c r="W189" i="4" a="1"/>
  <c r="W189" i="4" s="1"/>
  <c r="W130" i="4" a="1"/>
  <c r="W130" i="4" s="1"/>
  <c r="V54" i="12" s="1"/>
  <c r="N62" i="4"/>
  <c r="G30" i="4"/>
  <c r="M132" i="4"/>
  <c r="M44" i="4"/>
  <c r="X193" i="4"/>
  <c r="X35" i="4"/>
  <c r="X20" i="4"/>
  <c r="W86" i="4" a="1"/>
  <c r="W86" i="4" s="1"/>
  <c r="V53" i="12" s="1"/>
  <c r="A59" i="12"/>
  <c r="A121" i="12"/>
  <c r="N88" i="4"/>
  <c r="G37" i="4"/>
  <c r="G12" i="4"/>
  <c r="G93" i="4"/>
  <c r="N139" i="4"/>
  <c r="N37" i="4"/>
  <c r="W93" i="4" a="1"/>
  <c r="W93" i="4" s="1"/>
  <c r="V41" i="12" s="1"/>
  <c r="M123" i="4"/>
  <c r="M174" i="4"/>
  <c r="G50" i="4"/>
  <c r="M179" i="4"/>
  <c r="M54" i="4"/>
  <c r="W26" i="4" a="1"/>
  <c r="W26" i="4" s="1"/>
  <c r="N108" i="4"/>
  <c r="N81" i="4"/>
  <c r="X189" i="4"/>
  <c r="O52" i="12" s="1"/>
  <c r="W62" i="4" a="1"/>
  <c r="W62" i="4" s="1"/>
  <c r="M30" i="4"/>
  <c r="N132" i="4"/>
  <c r="N44" i="4"/>
  <c r="A116" i="12"/>
  <c r="B121" i="12"/>
  <c r="W139" i="4" a="1"/>
  <c r="W139" i="4" s="1"/>
  <c r="V103" i="12" s="1"/>
  <c r="W37" i="4" a="1"/>
  <c r="W37" i="4" s="1"/>
  <c r="N171" i="4"/>
  <c r="W13" i="4" a="1"/>
  <c r="W13" i="4" s="1"/>
  <c r="N179" i="4"/>
  <c r="N54" i="4"/>
  <c r="W73" i="4" a="1"/>
  <c r="W73" i="4" s="1"/>
  <c r="X26" i="4"/>
  <c r="X149" i="4"/>
  <c r="O73" i="12" s="1"/>
  <c r="W108" i="4" a="1"/>
  <c r="W108" i="4" s="1"/>
  <c r="N30" i="4"/>
  <c r="X132" i="4"/>
  <c r="O161" i="12" s="1"/>
  <c r="G133" i="4"/>
  <c r="C121" i="12"/>
  <c r="W179" i="4" a="1"/>
  <c r="W179" i="4" s="1"/>
  <c r="V191" i="12" s="1"/>
  <c r="W54" i="4" a="1"/>
  <c r="W54" i="4" s="1"/>
  <c r="V125" i="12" s="1"/>
  <c r="X108" i="4"/>
  <c r="W30" i="4" a="1"/>
  <c r="W30" i="4" s="1"/>
  <c r="A16" i="12"/>
  <c r="B137" i="12"/>
  <c r="X30" i="4"/>
  <c r="O131" i="12" s="1"/>
  <c r="A177" i="12"/>
  <c r="C137" i="12"/>
  <c r="W178" i="4" a="1"/>
  <c r="W178" i="4" s="1"/>
  <c r="M16" i="4"/>
  <c r="G7" i="4"/>
  <c r="M145" i="4"/>
  <c r="N161" i="4"/>
  <c r="N195" i="4"/>
  <c r="X34" i="4"/>
  <c r="G84" i="4"/>
  <c r="B177" i="12"/>
  <c r="A67" i="12"/>
  <c r="X5" i="4"/>
  <c r="A131" i="12"/>
  <c r="C44" i="12"/>
  <c r="W11" i="4" a="1"/>
  <c r="W11" i="4" s="1"/>
  <c r="G90" i="4"/>
  <c r="G199" i="4"/>
  <c r="W38" i="4" a="1"/>
  <c r="W38" i="4" s="1"/>
  <c r="V109" i="12" s="1"/>
  <c r="W175" i="4" a="1"/>
  <c r="W175" i="4" s="1"/>
  <c r="V166" i="12" s="1"/>
  <c r="G15" i="4"/>
  <c r="G98" i="4"/>
  <c r="W16" i="4" a="1"/>
  <c r="W16" i="4" s="1"/>
  <c r="W7" i="4" a="1"/>
  <c r="W7" i="4" s="1"/>
  <c r="X143" i="4"/>
  <c r="G127" i="4"/>
  <c r="W185" i="4" a="1"/>
  <c r="W185" i="4" s="1"/>
  <c r="V69" i="12" s="1"/>
  <c r="G77" i="4"/>
  <c r="G204" i="4"/>
  <c r="G129" i="4"/>
  <c r="W205" i="4" a="1"/>
  <c r="W205" i="4" s="1"/>
  <c r="V164" i="12" s="1"/>
  <c r="W188" i="4" a="1"/>
  <c r="W188" i="4" s="1"/>
  <c r="X3" i="4"/>
  <c r="O179" i="12" s="1"/>
  <c r="W10" i="4" a="1"/>
  <c r="W10" i="4" s="1"/>
  <c r="V183" i="12" s="1"/>
  <c r="W83" i="4" a="1"/>
  <c r="W83" i="4" s="1"/>
  <c r="W115" i="4" a="1"/>
  <c r="W115" i="4" s="1"/>
  <c r="X161" i="4"/>
  <c r="O154" i="12" s="1"/>
  <c r="W85" i="4" a="1"/>
  <c r="W85" i="4" s="1"/>
  <c r="V47" i="12" s="1"/>
  <c r="N197" i="4"/>
  <c r="B131" i="12"/>
  <c r="A83" i="12"/>
  <c r="M15" i="4"/>
  <c r="M98" i="4"/>
  <c r="X16" i="4"/>
  <c r="M127" i="4"/>
  <c r="W77" i="4" a="1"/>
  <c r="W77" i="4" s="1"/>
  <c r="V204" i="12" s="1"/>
  <c r="N204" i="4"/>
  <c r="M129" i="4"/>
  <c r="X188" i="4"/>
  <c r="X10" i="4"/>
  <c r="O183" i="12" s="1"/>
  <c r="X115" i="4"/>
  <c r="X85" i="4"/>
  <c r="W197" i="4" a="1"/>
  <c r="W197" i="4" s="1"/>
  <c r="V61" i="12" s="1"/>
  <c r="B83" i="12"/>
  <c r="G11" i="4"/>
  <c r="N199" i="4"/>
  <c r="M201" i="4"/>
  <c r="G70" i="4"/>
  <c r="M52" i="4"/>
  <c r="N15" i="4"/>
  <c r="N98" i="4"/>
  <c r="N127" i="4"/>
  <c r="W204" i="4" a="1"/>
  <c r="W204" i="4" s="1"/>
  <c r="N129" i="4"/>
  <c r="G190" i="4"/>
  <c r="X63" i="4"/>
  <c r="B187" i="12"/>
  <c r="A64" i="12"/>
  <c r="M199" i="4"/>
  <c r="G67" i="4"/>
  <c r="W90" i="4" a="1"/>
  <c r="W90" i="4" s="1"/>
  <c r="M198" i="4"/>
  <c r="G92" i="4"/>
  <c r="G95" i="4"/>
  <c r="W199" i="4" a="1"/>
  <c r="W199" i="4" s="1"/>
  <c r="V196" i="12" s="1"/>
  <c r="X201" i="4"/>
  <c r="O147" i="12" s="1"/>
  <c r="M70" i="4"/>
  <c r="G22" i="4"/>
  <c r="N52" i="4"/>
  <c r="G39" i="4"/>
  <c r="W15" i="4" a="1"/>
  <c r="W15" i="4" s="1"/>
  <c r="W98" i="4" a="1"/>
  <c r="W98" i="4" s="1"/>
  <c r="V100" i="12" s="1"/>
  <c r="W127" i="4" a="1"/>
  <c r="W127" i="4" s="1"/>
  <c r="V127" i="12" s="1"/>
  <c r="G146" i="4"/>
  <c r="W129" i="4" a="1"/>
  <c r="W129" i="4" s="1"/>
  <c r="M190" i="4"/>
  <c r="G154" i="4"/>
  <c r="B64" i="12"/>
  <c r="M90" i="4"/>
  <c r="N47" i="4"/>
  <c r="N198" i="4"/>
  <c r="X199" i="4"/>
  <c r="O196" i="12" s="1"/>
  <c r="X98" i="4"/>
  <c r="X129" i="4"/>
  <c r="W190" i="4" a="1"/>
  <c r="W190" i="4" s="1"/>
  <c r="V132" i="12" s="1"/>
  <c r="N154" i="4"/>
  <c r="N162" i="4"/>
  <c r="G196" i="4"/>
  <c r="A9" i="12"/>
  <c r="G4" i="4"/>
  <c r="G198" i="4"/>
  <c r="M67" i="4"/>
  <c r="W47" i="4" a="1"/>
  <c r="W47" i="4" s="1"/>
  <c r="N67" i="4"/>
  <c r="M95" i="4"/>
  <c r="W70" i="4" a="1"/>
  <c r="W70" i="4" s="1"/>
  <c r="V149" i="12" s="1"/>
  <c r="W52" i="4" a="1"/>
  <c r="W52" i="4" s="1"/>
  <c r="V38" i="12" s="1"/>
  <c r="G140" i="4"/>
  <c r="W67" i="4" a="1"/>
  <c r="W67" i="4" s="1"/>
  <c r="N68" i="4"/>
  <c r="W198" i="4" a="1"/>
  <c r="W198" i="4" s="1"/>
  <c r="N95" i="4"/>
  <c r="M176" i="4"/>
  <c r="N22" i="4"/>
  <c r="M51" i="4"/>
  <c r="W39" i="4" a="1"/>
  <c r="W39" i="4" s="1"/>
  <c r="V142" i="12" s="1"/>
  <c r="M24" i="4"/>
  <c r="G101" i="4"/>
  <c r="M182" i="4"/>
  <c r="G74" i="4"/>
  <c r="G17" i="4"/>
  <c r="M18" i="4"/>
  <c r="M104" i="4"/>
  <c r="N146" i="4"/>
  <c r="M109" i="4"/>
  <c r="X190" i="4"/>
  <c r="O132" i="12" s="1"/>
  <c r="G19" i="4"/>
  <c r="W154" i="4" a="1"/>
  <c r="W154" i="4" s="1"/>
  <c r="V9" i="12" s="1"/>
  <c r="M155" i="4"/>
  <c r="X162" i="4"/>
  <c r="M196" i="4"/>
  <c r="N45" i="4"/>
  <c r="A141" i="12"/>
  <c r="A74" i="12"/>
  <c r="X89" i="4"/>
  <c r="G68" i="4"/>
  <c r="N140" i="4"/>
  <c r="X67" i="4"/>
  <c r="W68" i="4" a="1"/>
  <c r="W68" i="4" s="1"/>
  <c r="V148" i="12" s="1"/>
  <c r="W95" i="4" a="1"/>
  <c r="W95" i="4" s="1"/>
  <c r="V206" i="12" s="1"/>
  <c r="X51" i="4"/>
  <c r="N101" i="4"/>
  <c r="N102" i="4"/>
  <c r="N18" i="4"/>
  <c r="N104" i="4"/>
  <c r="M134" i="4"/>
  <c r="N116" i="4"/>
  <c r="N155" i="4"/>
  <c r="W196" i="4" a="1"/>
  <c r="W196" i="4" s="1"/>
  <c r="V156" i="12" s="1"/>
  <c r="B141" i="12"/>
  <c r="B74" i="12"/>
  <c r="D209" i="9"/>
  <c r="D231" i="9"/>
  <c r="D228" i="9"/>
  <c r="D222" i="9"/>
  <c r="D230" i="9"/>
  <c r="D229" i="9"/>
  <c r="B242" i="9"/>
  <c r="B242" i="6"/>
  <c r="B242" i="5"/>
  <c r="B242" i="8"/>
  <c r="B242" i="7"/>
  <c r="B241" i="9"/>
  <c r="B241" i="8"/>
  <c r="B241" i="7"/>
  <c r="B241" i="6"/>
  <c r="B241" i="5"/>
  <c r="D241" i="9"/>
  <c r="D235" i="9"/>
  <c r="D232" i="9"/>
  <c r="B243" i="9"/>
  <c r="B243" i="5"/>
  <c r="B243" i="8"/>
  <c r="B243" i="7"/>
  <c r="B243" i="6"/>
  <c r="B233" i="9"/>
  <c r="B233" i="5"/>
  <c r="B233" i="8"/>
  <c r="B233" i="7"/>
  <c r="B233" i="6"/>
  <c r="D234" i="9"/>
  <c r="D244" i="9"/>
  <c r="D225" i="9"/>
  <c r="D227" i="9"/>
  <c r="B234" i="9"/>
  <c r="B234" i="7"/>
  <c r="B234" i="5"/>
  <c r="B234" i="6"/>
  <c r="B234" i="8"/>
  <c r="D245" i="9"/>
  <c r="B227" i="6"/>
  <c r="B227" i="5"/>
  <c r="B227" i="9"/>
  <c r="B227" i="7"/>
  <c r="B227" i="8"/>
  <c r="D237" i="9"/>
  <c r="B240" i="9"/>
  <c r="B240" i="8"/>
  <c r="B240" i="7"/>
  <c r="B240" i="6"/>
  <c r="B240" i="5"/>
  <c r="D233" i="9"/>
  <c r="B237" i="8"/>
  <c r="B237" i="7"/>
  <c r="B237" i="5"/>
  <c r="B237" i="6"/>
  <c r="B236" i="9"/>
  <c r="B236" i="5"/>
  <c r="B236" i="8"/>
  <c r="B236" i="7"/>
  <c r="B236" i="6"/>
  <c r="B225" i="9"/>
  <c r="B225" i="8"/>
  <c r="B225" i="7"/>
  <c r="B225" i="6"/>
  <c r="B225" i="5"/>
  <c r="B235" i="5"/>
  <c r="B235" i="8"/>
  <c r="B235" i="7"/>
  <c r="B235" i="9"/>
  <c r="B235" i="6"/>
  <c r="C5" i="9"/>
  <c r="D242" i="9"/>
  <c r="B226" i="9"/>
  <c r="B226" i="6"/>
  <c r="B226" i="5"/>
  <c r="B226" i="8"/>
  <c r="B226" i="7"/>
  <c r="D239" i="9"/>
  <c r="B238" i="7"/>
  <c r="B238" i="8"/>
  <c r="B238" i="6"/>
  <c r="B238" i="5"/>
  <c r="B238" i="9"/>
  <c r="B232" i="8"/>
  <c r="B232" i="6"/>
  <c r="B232" i="9"/>
  <c r="B232" i="7"/>
  <c r="B232" i="5"/>
  <c r="B244" i="9"/>
  <c r="B244" i="6"/>
  <c r="B244" i="8"/>
  <c r="B244" i="7"/>
  <c r="B244" i="5"/>
  <c r="B245" i="9"/>
  <c r="B245" i="7"/>
  <c r="B245" i="6"/>
  <c r="B245" i="5"/>
  <c r="B245" i="8"/>
  <c r="D236" i="9"/>
  <c r="D223" i="9"/>
  <c r="D226" i="9"/>
  <c r="B223" i="6"/>
  <c r="B223" i="9"/>
  <c r="B223" i="5"/>
  <c r="B223" i="7"/>
  <c r="B223" i="8"/>
  <c r="B239" i="9"/>
  <c r="B239" i="7"/>
  <c r="B239" i="8"/>
  <c r="B239" i="6"/>
  <c r="B239" i="5"/>
  <c r="D240" i="9"/>
  <c r="D238" i="9"/>
  <c r="D243" i="9"/>
  <c r="D5" i="6"/>
  <c r="D5" i="7"/>
  <c r="C5" i="5"/>
  <c r="D5" i="5" s="1"/>
  <c r="C5" i="8"/>
  <c r="D5" i="8" s="1"/>
  <c r="D142" i="9"/>
  <c r="B228" i="9"/>
  <c r="C35" i="12"/>
  <c r="B35" i="12"/>
  <c r="A35" i="12"/>
  <c r="C91" i="12"/>
  <c r="B91" i="12"/>
  <c r="A91" i="12"/>
  <c r="G53" i="4"/>
  <c r="B201" i="12"/>
  <c r="A201" i="12"/>
  <c r="X73" i="4"/>
  <c r="G100" i="4"/>
  <c r="C48" i="12"/>
  <c r="B48" i="12"/>
  <c r="G75" i="4"/>
  <c r="B22" i="12"/>
  <c r="A22" i="12"/>
  <c r="G184" i="4"/>
  <c r="C22" i="12"/>
  <c r="B24" i="12"/>
  <c r="A24" i="12"/>
  <c r="X103" i="4"/>
  <c r="O24" i="12" s="1"/>
  <c r="C24" i="12"/>
  <c r="G58" i="4"/>
  <c r="C180" i="12"/>
  <c r="B180" i="12"/>
  <c r="A180" i="12"/>
  <c r="W106" i="4" a="1"/>
  <c r="W106" i="4" s="1"/>
  <c r="M79" i="4"/>
  <c r="C118" i="12"/>
  <c r="B118" i="12"/>
  <c r="A118" i="12"/>
  <c r="X79" i="4"/>
  <c r="O118" i="12" s="1"/>
  <c r="C163" i="12"/>
  <c r="B163" i="12"/>
  <c r="A163" i="12"/>
  <c r="M112" i="4"/>
  <c r="M113" i="4"/>
  <c r="C57" i="12"/>
  <c r="B57" i="12"/>
  <c r="A57" i="12"/>
  <c r="X113" i="4"/>
  <c r="O57" i="12" s="1"/>
  <c r="C190" i="12"/>
  <c r="B190" i="12"/>
  <c r="M136" i="4"/>
  <c r="A190" i="12"/>
  <c r="G138" i="4"/>
  <c r="X47" i="4"/>
  <c r="C189" i="12"/>
  <c r="B189" i="12"/>
  <c r="C152" i="12"/>
  <c r="B152" i="12"/>
  <c r="A152" i="12"/>
  <c r="M58" i="4"/>
  <c r="C80" i="12"/>
  <c r="G128" i="4"/>
  <c r="B80" i="12"/>
  <c r="A80" i="12"/>
  <c r="C139" i="12"/>
  <c r="B139" i="12"/>
  <c r="A139" i="12"/>
  <c r="O103" i="12"/>
  <c r="C19" i="12"/>
  <c r="B19" i="12"/>
  <c r="A19" i="12"/>
  <c r="X151" i="4"/>
  <c r="W151" i="4" a="1"/>
  <c r="W151" i="4" s="1"/>
  <c r="N151" i="4"/>
  <c r="M151" i="4"/>
  <c r="G112" i="4"/>
  <c r="G113" i="4"/>
  <c r="C17" i="12"/>
  <c r="B17" i="12"/>
  <c r="A17" i="12"/>
  <c r="C136" i="12"/>
  <c r="B136" i="12"/>
  <c r="A136" i="12"/>
  <c r="B96" i="12"/>
  <c r="A96" i="12"/>
  <c r="C96" i="12"/>
  <c r="G89" i="4"/>
  <c r="W4" i="4" a="1"/>
  <c r="W4" i="4" s="1"/>
  <c r="C32" i="12"/>
  <c r="B32" i="12"/>
  <c r="A32" i="12"/>
  <c r="G125" i="4"/>
  <c r="M99" i="4"/>
  <c r="B10" i="12"/>
  <c r="A10" i="12"/>
  <c r="C10" i="12"/>
  <c r="N100" i="4"/>
  <c r="M41" i="4"/>
  <c r="C43" i="12"/>
  <c r="B43" i="12"/>
  <c r="N75" i="4"/>
  <c r="N184" i="4"/>
  <c r="M103" i="4"/>
  <c r="X58" i="4"/>
  <c r="M128" i="4"/>
  <c r="G61" i="4"/>
  <c r="M106" i="4"/>
  <c r="N79" i="4"/>
  <c r="G151" i="4"/>
  <c r="N112" i="4"/>
  <c r="N113" i="4"/>
  <c r="N136" i="4"/>
  <c r="B166" i="12"/>
  <c r="M97" i="4"/>
  <c r="N53" i="4"/>
  <c r="G87" i="4"/>
  <c r="M89" i="4"/>
  <c r="X96" i="4"/>
  <c r="G173" i="4"/>
  <c r="G23" i="4"/>
  <c r="N41" i="4"/>
  <c r="W75" i="4" a="1"/>
  <c r="W75" i="4" s="1"/>
  <c r="W184" i="4" a="1"/>
  <c r="W184" i="4" s="1"/>
  <c r="V22" i="12" s="1"/>
  <c r="N103" i="4"/>
  <c r="N128" i="4"/>
  <c r="M61" i="4"/>
  <c r="N106" i="4"/>
  <c r="W79" i="4" a="1"/>
  <c r="W79" i="4" s="1"/>
  <c r="W112" i="4" a="1"/>
  <c r="W112" i="4" s="1"/>
  <c r="V163" i="12" s="1"/>
  <c r="W113" i="4" a="1"/>
  <c r="W113" i="4" s="1"/>
  <c r="V57" i="12" s="1"/>
  <c r="X153" i="4"/>
  <c r="W153" i="4" a="1"/>
  <c r="W153" i="4" s="1"/>
  <c r="V79" i="12" s="1"/>
  <c r="N153" i="4"/>
  <c r="M153" i="4"/>
  <c r="G153" i="4"/>
  <c r="C79" i="12"/>
  <c r="B79" i="12"/>
  <c r="A79" i="12"/>
  <c r="W136" i="4" a="1"/>
  <c r="W136" i="4" s="1"/>
  <c r="X158" i="4"/>
  <c r="W158" i="4" a="1"/>
  <c r="W158" i="4" s="1"/>
  <c r="V107" i="12" s="1"/>
  <c r="N158" i="4"/>
  <c r="M158" i="4"/>
  <c r="G158" i="4"/>
  <c r="C107" i="12"/>
  <c r="B107" i="12"/>
  <c r="A107" i="12"/>
  <c r="C95" i="12"/>
  <c r="B95" i="12"/>
  <c r="A95" i="12"/>
  <c r="C206" i="12"/>
  <c r="B206" i="12"/>
  <c r="A206" i="12"/>
  <c r="G165" i="4"/>
  <c r="M167" i="4"/>
  <c r="G172" i="4"/>
  <c r="G97" i="4"/>
  <c r="C5" i="12"/>
  <c r="B5" i="12"/>
  <c r="A5" i="12"/>
  <c r="M165" i="4"/>
  <c r="G91" i="4"/>
  <c r="M172" i="4"/>
  <c r="W69" i="4" a="1"/>
  <c r="W69" i="4" s="1"/>
  <c r="V98" i="12" s="1"/>
  <c r="C166" i="12"/>
  <c r="A166" i="12"/>
  <c r="M36" i="4"/>
  <c r="W167" i="4" a="1"/>
  <c r="W167" i="4" s="1"/>
  <c r="X4" i="4"/>
  <c r="M5" i="4"/>
  <c r="C90" i="12"/>
  <c r="B90" i="12"/>
  <c r="A90" i="12"/>
  <c r="X92" i="4"/>
  <c r="O192" i="12" s="1"/>
  <c r="N94" i="4"/>
  <c r="N172" i="4"/>
  <c r="X22" i="4"/>
  <c r="O203" i="12" s="1"/>
  <c r="N177" i="4"/>
  <c r="G13" i="4"/>
  <c r="W53" i="4" a="1"/>
  <c r="W53" i="4" s="1"/>
  <c r="M125" i="4"/>
  <c r="C165" i="12"/>
  <c r="B165" i="12"/>
  <c r="A165" i="12"/>
  <c r="M181" i="4"/>
  <c r="N36" i="4"/>
  <c r="W165" i="4" a="1"/>
  <c r="W165" i="4" s="1"/>
  <c r="C103" i="12"/>
  <c r="B103" i="12"/>
  <c r="A103" i="12"/>
  <c r="X167" i="4"/>
  <c r="N89" i="4"/>
  <c r="X12" i="4"/>
  <c r="N91" i="4"/>
  <c r="G21" i="4"/>
  <c r="W94" i="4" a="1"/>
  <c r="W94" i="4" s="1"/>
  <c r="M173" i="4"/>
  <c r="W97" i="4" a="1"/>
  <c r="W97" i="4" s="1"/>
  <c r="M175" i="4"/>
  <c r="W177" i="4" a="1"/>
  <c r="W177" i="4" s="1"/>
  <c r="V91" i="12" s="1"/>
  <c r="C38" i="12"/>
  <c r="B38" i="12"/>
  <c r="A38" i="12"/>
  <c r="X53" i="4"/>
  <c r="N125" i="4"/>
  <c r="G72" i="4"/>
  <c r="W99" i="4" a="1"/>
  <c r="W99" i="4" s="1"/>
  <c r="M23" i="4"/>
  <c r="C184" i="12"/>
  <c r="B184" i="12"/>
  <c r="A184" i="12"/>
  <c r="N181" i="4"/>
  <c r="W41" i="4" a="1"/>
  <c r="W41" i="4" s="1"/>
  <c r="V48" i="12" s="1"/>
  <c r="M25" i="4"/>
  <c r="C12" i="12"/>
  <c r="B12" i="12"/>
  <c r="A12" i="12"/>
  <c r="X75" i="4"/>
  <c r="X184" i="4"/>
  <c r="O22" i="12" s="1"/>
  <c r="W103" i="4" a="1"/>
  <c r="W103" i="4" s="1"/>
  <c r="X8" i="4"/>
  <c r="N8" i="4"/>
  <c r="M8" i="4"/>
  <c r="C124" i="12"/>
  <c r="B124" i="12"/>
  <c r="A124" i="12"/>
  <c r="W128" i="4" a="1"/>
  <c r="W128" i="4" s="1"/>
  <c r="N61" i="4"/>
  <c r="X106" i="4"/>
  <c r="W110" i="4" a="1"/>
  <c r="W110" i="4" s="1"/>
  <c r="C120" i="12"/>
  <c r="A120" i="12"/>
  <c r="G29" i="4"/>
  <c r="C178" i="12"/>
  <c r="W29" i="4" a="1"/>
  <c r="W29" i="4" s="1"/>
  <c r="B178" i="12"/>
  <c r="A178" i="12"/>
  <c r="X112" i="4"/>
  <c r="O163" i="12" s="1"/>
  <c r="X136" i="4"/>
  <c r="B56" i="12"/>
  <c r="A56" i="12"/>
  <c r="G167" i="4"/>
  <c r="M92" i="4"/>
  <c r="C88" i="12"/>
  <c r="B88" i="12"/>
  <c r="A88" i="12"/>
  <c r="N12" i="4"/>
  <c r="N4" i="4"/>
  <c r="C130" i="12"/>
  <c r="B130" i="12"/>
  <c r="A130" i="12"/>
  <c r="N92" i="4"/>
  <c r="G94" i="4"/>
  <c r="N96" i="4"/>
  <c r="M53" i="4"/>
  <c r="M100" i="4"/>
  <c r="W12" i="4" a="1"/>
  <c r="W12" i="4" s="1"/>
  <c r="G5" i="4"/>
  <c r="W92" i="4" a="1"/>
  <c r="W92" i="4" s="1"/>
  <c r="V192" i="12" s="1"/>
  <c r="W96" i="4" a="1"/>
  <c r="W96" i="4" s="1"/>
  <c r="M177" i="4"/>
  <c r="C158" i="12"/>
  <c r="B158" i="12"/>
  <c r="A158" i="12"/>
  <c r="N165" i="4"/>
  <c r="C3" i="12"/>
  <c r="B3" i="12"/>
  <c r="A3" i="12"/>
  <c r="M91" i="4"/>
  <c r="C188" i="12"/>
  <c r="B188" i="12"/>
  <c r="A188" i="12"/>
  <c r="C70" i="12"/>
  <c r="B70" i="12"/>
  <c r="A70" i="12"/>
  <c r="X69" i="4"/>
  <c r="N97" i="4"/>
  <c r="N99" i="4"/>
  <c r="W100" i="4" a="1"/>
  <c r="W100" i="4" s="1"/>
  <c r="V56" i="12" s="1"/>
  <c r="C144" i="12"/>
  <c r="B144" i="12"/>
  <c r="A144" i="12"/>
  <c r="M87" i="4"/>
  <c r="X165" i="4"/>
  <c r="O95" i="12" s="1"/>
  <c r="N87" i="4"/>
  <c r="G139" i="4"/>
  <c r="W89" i="4" a="1"/>
  <c r="W89" i="4" s="1"/>
  <c r="M122" i="4"/>
  <c r="C36" i="12"/>
  <c r="B36" i="12"/>
  <c r="A36" i="12"/>
  <c r="W91" i="4" a="1"/>
  <c r="W91" i="4" s="1"/>
  <c r="V152" i="12" s="1"/>
  <c r="M49" i="4"/>
  <c r="C87" i="12"/>
  <c r="B87" i="12"/>
  <c r="A87" i="12"/>
  <c r="W5" i="4" a="1"/>
  <c r="W5" i="4" s="1"/>
  <c r="M21" i="4"/>
  <c r="C30" i="12"/>
  <c r="B30" i="12"/>
  <c r="M171" i="4"/>
  <c r="C89" i="12"/>
  <c r="B89" i="12"/>
  <c r="A89" i="12"/>
  <c r="X172" i="4"/>
  <c r="N173" i="4"/>
  <c r="C14" i="12"/>
  <c r="B14" i="12"/>
  <c r="A14" i="12"/>
  <c r="X97" i="4"/>
  <c r="O188" i="12" s="1"/>
  <c r="N175" i="4"/>
  <c r="B40" i="12"/>
  <c r="A40" i="12"/>
  <c r="C40" i="12"/>
  <c r="X177" i="4"/>
  <c r="N13" i="4"/>
  <c r="G52" i="4"/>
  <c r="W125" i="4" a="1"/>
  <c r="W125" i="4" s="1"/>
  <c r="M72" i="4"/>
  <c r="C125" i="12"/>
  <c r="B125" i="12"/>
  <c r="A125" i="12"/>
  <c r="X99" i="4"/>
  <c r="N23" i="4"/>
  <c r="G16" i="4"/>
  <c r="W181" i="4" a="1"/>
  <c r="W181" i="4" s="1"/>
  <c r="M102" i="4"/>
  <c r="C134" i="12"/>
  <c r="B134" i="12"/>
  <c r="A134" i="12"/>
  <c r="X41" i="4"/>
  <c r="N25" i="4"/>
  <c r="G183" i="4"/>
  <c r="C62" i="12"/>
  <c r="B62" i="12"/>
  <c r="A62" i="12"/>
  <c r="M76" i="4"/>
  <c r="C200" i="12"/>
  <c r="B200" i="12"/>
  <c r="A200" i="12"/>
  <c r="X60" i="4"/>
  <c r="O200" i="12" s="1"/>
  <c r="W60" i="4" a="1"/>
  <c r="W60" i="4" s="1"/>
  <c r="G8" i="4"/>
  <c r="X128" i="4"/>
  <c r="W61" i="4" a="1"/>
  <c r="W61" i="4" s="1"/>
  <c r="C55" i="12"/>
  <c r="B55" i="12"/>
  <c r="A55" i="12"/>
  <c r="X6" i="4"/>
  <c r="O55" i="12" s="1"/>
  <c r="W6" i="4" a="1"/>
  <c r="W6" i="4" s="1"/>
  <c r="C8" i="12"/>
  <c r="A122" i="12"/>
  <c r="C122" i="12"/>
  <c r="B122" i="12"/>
  <c r="B160" i="12"/>
  <c r="C194" i="12"/>
  <c r="C23" i="12"/>
  <c r="B23" i="12"/>
  <c r="A23" i="12"/>
  <c r="X125" i="4"/>
  <c r="B4" i="12"/>
  <c r="A4" i="12"/>
  <c r="C128" i="12"/>
  <c r="B128" i="12"/>
  <c r="A128" i="12"/>
  <c r="C140" i="12"/>
  <c r="B140" i="12"/>
  <c r="A140" i="12"/>
  <c r="W59" i="4" a="1"/>
  <c r="W59" i="4" s="1"/>
  <c r="C46" i="12"/>
  <c r="B46" i="12"/>
  <c r="A46" i="12"/>
  <c r="X28" i="4"/>
  <c r="W28" i="4" a="1"/>
  <c r="W28" i="4" s="1"/>
  <c r="N28" i="4"/>
  <c r="M28" i="4"/>
  <c r="X111" i="4"/>
  <c r="W111" i="4" a="1"/>
  <c r="W111" i="4" s="1"/>
  <c r="N111" i="4"/>
  <c r="C51" i="12"/>
  <c r="M111" i="4"/>
  <c r="B51" i="12"/>
  <c r="G111" i="4"/>
  <c r="A51" i="12"/>
  <c r="X19" i="4"/>
  <c r="W19" i="4" a="1"/>
  <c r="W19" i="4" s="1"/>
  <c r="N19" i="4"/>
  <c r="B197" i="12"/>
  <c r="A197" i="12"/>
  <c r="C197" i="12"/>
  <c r="B176" i="12"/>
  <c r="M12" i="4"/>
  <c r="C108" i="12"/>
  <c r="A108" i="12"/>
  <c r="X181" i="4"/>
  <c r="C171" i="12"/>
  <c r="B171" i="12"/>
  <c r="A171" i="12"/>
  <c r="X87" i="4"/>
  <c r="G48" i="4"/>
  <c r="W122" i="4" a="1"/>
  <c r="W122" i="4" s="1"/>
  <c r="W49" i="4" a="1"/>
  <c r="W49" i="4" s="1"/>
  <c r="C93" i="12"/>
  <c r="B93" i="12"/>
  <c r="A93" i="12"/>
  <c r="W21" i="4" a="1"/>
  <c r="W21" i="4" s="1"/>
  <c r="C41" i="12"/>
  <c r="B41" i="12"/>
  <c r="A41" i="12"/>
  <c r="W171" i="4" a="1"/>
  <c r="W171" i="4" s="1"/>
  <c r="C199" i="12"/>
  <c r="B199" i="12"/>
  <c r="A199" i="12"/>
  <c r="C149" i="12"/>
  <c r="B149" i="12"/>
  <c r="A149" i="12"/>
  <c r="A45" i="12"/>
  <c r="C45" i="12"/>
  <c r="B45" i="12"/>
  <c r="X13" i="4"/>
  <c r="G124" i="4"/>
  <c r="W72" i="4" a="1"/>
  <c r="W72" i="4" s="1"/>
  <c r="B105" i="12"/>
  <c r="A105" i="12"/>
  <c r="C105" i="12"/>
  <c r="X23" i="4"/>
  <c r="O10" i="12" s="1"/>
  <c r="G180" i="4"/>
  <c r="W102" i="4" a="1"/>
  <c r="W102" i="4" s="1"/>
  <c r="C39" i="12"/>
  <c r="B39" i="12"/>
  <c r="A39" i="12"/>
  <c r="X25" i="4"/>
  <c r="G56" i="4"/>
  <c r="C135" i="12"/>
  <c r="B135" i="12"/>
  <c r="A135" i="12"/>
  <c r="C173" i="12"/>
  <c r="B173" i="12"/>
  <c r="G59" i="4"/>
  <c r="X186" i="4"/>
  <c r="O49" i="12" s="1"/>
  <c r="W186" i="4" a="1"/>
  <c r="W186" i="4" s="1"/>
  <c r="N186" i="4"/>
  <c r="M186" i="4"/>
  <c r="G186" i="4"/>
  <c r="C49" i="12"/>
  <c r="B49" i="12"/>
  <c r="G28" i="4"/>
  <c r="C11" i="12"/>
  <c r="B11" i="12"/>
  <c r="A11" i="12"/>
  <c r="M81" i="4"/>
  <c r="C20" i="12"/>
  <c r="B20" i="12"/>
  <c r="A20" i="12"/>
  <c r="X192" i="4"/>
  <c r="W192" i="4" a="1"/>
  <c r="W192" i="4" s="1"/>
  <c r="V20" i="12" s="1"/>
  <c r="N192" i="4"/>
  <c r="M192" i="4"/>
  <c r="X173" i="4"/>
  <c r="X175" i="4"/>
  <c r="M124" i="4"/>
  <c r="C160" i="12"/>
  <c r="A160" i="12"/>
  <c r="M180" i="4"/>
  <c r="C143" i="12"/>
  <c r="B143" i="12"/>
  <c r="A143" i="12"/>
  <c r="X102" i="4"/>
  <c r="M56" i="4"/>
  <c r="C18" i="12"/>
  <c r="B18" i="12"/>
  <c r="A18" i="12"/>
  <c r="G145" i="4"/>
  <c r="M59" i="4"/>
  <c r="W148" i="4" a="1"/>
  <c r="W148" i="4" s="1"/>
  <c r="N148" i="4"/>
  <c r="M148" i="4"/>
  <c r="G148" i="4"/>
  <c r="B185" i="12"/>
  <c r="A185" i="12"/>
  <c r="B27" i="12"/>
  <c r="A27" i="12"/>
  <c r="G131" i="4"/>
  <c r="C34" i="12"/>
  <c r="B34" i="12"/>
  <c r="A34" i="12"/>
  <c r="X156" i="4"/>
  <c r="W156" i="4" a="1"/>
  <c r="W156" i="4" s="1"/>
  <c r="N156" i="4"/>
  <c r="M4" i="4"/>
  <c r="X94" i="4"/>
  <c r="C29" i="12"/>
  <c r="B29" i="12"/>
  <c r="A29" i="12"/>
  <c r="B198" i="12"/>
  <c r="A198" i="12"/>
  <c r="C198" i="12"/>
  <c r="G168" i="4"/>
  <c r="C110" i="12"/>
  <c r="B110" i="12"/>
  <c r="A110" i="12"/>
  <c r="N56" i="4"/>
  <c r="N59" i="4"/>
  <c r="A174" i="12"/>
  <c r="X147" i="4"/>
  <c r="C174" i="12"/>
  <c r="B174" i="12"/>
  <c r="C123" i="12"/>
  <c r="B123" i="12"/>
  <c r="A123" i="12"/>
  <c r="X27" i="4"/>
  <c r="O123" i="12" s="1"/>
  <c r="W27" i="4" a="1"/>
  <c r="W27" i="4" s="1"/>
  <c r="A43" i="12"/>
  <c r="C37" i="12"/>
  <c r="W58" i="4" a="1"/>
  <c r="W58" i="4" s="1"/>
  <c r="B37" i="12"/>
  <c r="N58" i="4"/>
  <c r="A37" i="12"/>
  <c r="C31" i="12"/>
  <c r="B31" i="12"/>
  <c r="X138" i="4"/>
  <c r="A31" i="12"/>
  <c r="W138" i="4" a="1"/>
  <c r="W138" i="4" s="1"/>
  <c r="N138" i="4"/>
  <c r="C170" i="12"/>
  <c r="B170" i="12"/>
  <c r="A170" i="12"/>
  <c r="X91" i="4"/>
  <c r="C97" i="12"/>
  <c r="A97" i="12"/>
  <c r="N48" i="4"/>
  <c r="G88" i="4"/>
  <c r="C147" i="12"/>
  <c r="B147" i="12"/>
  <c r="A147" i="12"/>
  <c r="B7" i="12"/>
  <c r="A7" i="12"/>
  <c r="N124" i="4"/>
  <c r="G14" i="4"/>
  <c r="C186" i="12"/>
  <c r="B186" i="12"/>
  <c r="A186" i="12"/>
  <c r="N180" i="4"/>
  <c r="C176" i="12"/>
  <c r="A176" i="12"/>
  <c r="N11" i="4"/>
  <c r="G46" i="4"/>
  <c r="W48" i="4" a="1"/>
  <c r="W48" i="4" s="1"/>
  <c r="M88" i="4"/>
  <c r="C168" i="12"/>
  <c r="B168" i="12"/>
  <c r="A168" i="12"/>
  <c r="X90" i="4"/>
  <c r="M168" i="4"/>
  <c r="X169" i="4"/>
  <c r="N141" i="4"/>
  <c r="C148" i="12"/>
  <c r="B148" i="12"/>
  <c r="A148" i="12"/>
  <c r="X170" i="4"/>
  <c r="O30" i="12" s="1"/>
  <c r="N93" i="4"/>
  <c r="C169" i="12"/>
  <c r="B169" i="12"/>
  <c r="A169" i="12"/>
  <c r="X123" i="4"/>
  <c r="N200" i="4"/>
  <c r="G201" i="4"/>
  <c r="X142" i="4"/>
  <c r="N70" i="4"/>
  <c r="G174" i="4"/>
  <c r="X71" i="4"/>
  <c r="N50" i="4"/>
  <c r="G51" i="4"/>
  <c r="W124" i="4" a="1"/>
  <c r="W124" i="4" s="1"/>
  <c r="M14" i="4"/>
  <c r="B142" i="12"/>
  <c r="A142" i="12"/>
  <c r="C142" i="12"/>
  <c r="X54" i="4"/>
  <c r="N55" i="4"/>
  <c r="G202" i="4"/>
  <c r="W180" i="4" a="1"/>
  <c r="W180" i="4" s="1"/>
  <c r="M101" i="4"/>
  <c r="B94" i="12"/>
  <c r="A94" i="12"/>
  <c r="C94" i="12"/>
  <c r="X182" i="4"/>
  <c r="N74" i="4"/>
  <c r="G126" i="4"/>
  <c r="W56" i="4" a="1"/>
  <c r="W56" i="4" s="1"/>
  <c r="N145" i="4"/>
  <c r="N17" i="4"/>
  <c r="N57" i="4"/>
  <c r="X59" i="4"/>
  <c r="C204" i="12"/>
  <c r="N77" i="4"/>
  <c r="B204" i="12"/>
  <c r="A204" i="12"/>
  <c r="B117" i="12"/>
  <c r="A117" i="12"/>
  <c r="G203" i="4"/>
  <c r="C117" i="12"/>
  <c r="G147" i="4"/>
  <c r="X78" i="4"/>
  <c r="O85" i="12" s="1"/>
  <c r="W78" i="4" a="1"/>
  <c r="W78" i="4" s="1"/>
  <c r="N78" i="4"/>
  <c r="C114" i="12"/>
  <c r="A114" i="12"/>
  <c r="M187" i="4"/>
  <c r="G27" i="4"/>
  <c r="W81" i="4" a="1"/>
  <c r="W81" i="4" s="1"/>
  <c r="N131" i="4"/>
  <c r="C205" i="12"/>
  <c r="B205" i="12"/>
  <c r="A205" i="12"/>
  <c r="X44" i="4"/>
  <c r="G44" i="4"/>
  <c r="M156" i="4"/>
  <c r="C58" i="12"/>
  <c r="B58" i="12"/>
  <c r="A58" i="12"/>
  <c r="X33" i="4"/>
  <c r="W33" i="4" a="1"/>
  <c r="W33" i="4" s="1"/>
  <c r="V77" i="12" s="1"/>
  <c r="N33" i="4"/>
  <c r="M33" i="4"/>
  <c r="G33" i="4"/>
  <c r="C15" i="12"/>
  <c r="B15" i="12"/>
  <c r="A15" i="12"/>
  <c r="C63" i="12"/>
  <c r="B63" i="12"/>
  <c r="A189" i="12"/>
  <c r="C185" i="12"/>
  <c r="C65" i="12"/>
  <c r="B65" i="12"/>
  <c r="A65" i="12"/>
  <c r="G80" i="4"/>
  <c r="C66" i="12"/>
  <c r="B66" i="12"/>
  <c r="A66" i="12"/>
  <c r="W80" i="4" a="1"/>
  <c r="W80" i="4" s="1"/>
  <c r="X11" i="4"/>
  <c r="N46" i="4"/>
  <c r="W88" i="4" a="1"/>
  <c r="W88" i="4" s="1"/>
  <c r="A193" i="12"/>
  <c r="C193" i="12"/>
  <c r="B193" i="12"/>
  <c r="W168" i="4" a="1"/>
  <c r="W168" i="4" s="1"/>
  <c r="B194" i="12"/>
  <c r="A194" i="12"/>
  <c r="M68" i="4"/>
  <c r="A195" i="12"/>
  <c r="C195" i="12"/>
  <c r="B195" i="12"/>
  <c r="X93" i="4"/>
  <c r="B196" i="12"/>
  <c r="A196" i="12"/>
  <c r="X200" i="4"/>
  <c r="N201" i="4"/>
  <c r="C109" i="12"/>
  <c r="B109" i="12"/>
  <c r="A109" i="12"/>
  <c r="X70" i="4"/>
  <c r="N174" i="4"/>
  <c r="C71" i="12"/>
  <c r="B71" i="12"/>
  <c r="A71" i="12"/>
  <c r="X50" i="4"/>
  <c r="N51" i="4"/>
  <c r="G178" i="4"/>
  <c r="W14" i="4" a="1"/>
  <c r="W14" i="4" s="1"/>
  <c r="M39" i="4"/>
  <c r="C75" i="12"/>
  <c r="B75" i="12"/>
  <c r="A75" i="12"/>
  <c r="X55" i="4"/>
  <c r="N202" i="4"/>
  <c r="G73" i="4"/>
  <c r="W101" i="4" a="1"/>
  <c r="W101" i="4" s="1"/>
  <c r="M7" i="4"/>
  <c r="C153" i="12"/>
  <c r="B153" i="12"/>
  <c r="A153" i="12"/>
  <c r="X74" i="4"/>
  <c r="N126" i="4"/>
  <c r="G144" i="4"/>
  <c r="X145" i="4"/>
  <c r="X17" i="4"/>
  <c r="X57" i="4"/>
  <c r="C202" i="12"/>
  <c r="B202" i="12"/>
  <c r="A202" i="12"/>
  <c r="X146" i="4"/>
  <c r="M77" i="4"/>
  <c r="N203" i="4"/>
  <c r="N147" i="4"/>
  <c r="M78" i="4"/>
  <c r="C115" i="12"/>
  <c r="B115" i="12"/>
  <c r="A115" i="12"/>
  <c r="X107" i="4"/>
  <c r="W107" i="4" a="1"/>
  <c r="W107" i="4" s="1"/>
  <c r="V115" i="12" s="1"/>
  <c r="N107" i="4"/>
  <c r="W187" i="4" a="1"/>
  <c r="W187" i="4" s="1"/>
  <c r="N27" i="4"/>
  <c r="M80" i="4"/>
  <c r="X131" i="4"/>
  <c r="C86" i="12"/>
  <c r="X206" i="4"/>
  <c r="O86" i="12" s="1"/>
  <c r="B86" i="12"/>
  <c r="W206" i="4" a="1"/>
  <c r="W206" i="4" s="1"/>
  <c r="A86" i="12"/>
  <c r="N206" i="4"/>
  <c r="M206" i="4"/>
  <c r="G206" i="4"/>
  <c r="B108" i="12"/>
  <c r="C106" i="12"/>
  <c r="B106" i="12"/>
  <c r="A106" i="12"/>
  <c r="C133" i="12"/>
  <c r="B133" i="12"/>
  <c r="A133" i="12"/>
  <c r="C138" i="12"/>
  <c r="B138" i="12"/>
  <c r="A138" i="12"/>
  <c r="M47" i="4"/>
  <c r="C82" i="12"/>
  <c r="B82" i="12"/>
  <c r="A82" i="12"/>
  <c r="X88" i="4"/>
  <c r="X168" i="4"/>
  <c r="W201" i="4" a="1"/>
  <c r="W201" i="4" s="1"/>
  <c r="V147" i="12" s="1"/>
  <c r="W174" i="4" a="1"/>
  <c r="W174" i="4" s="1"/>
  <c r="W51" i="4" a="1"/>
  <c r="W51" i="4" s="1"/>
  <c r="M178" i="4"/>
  <c r="A191" i="12"/>
  <c r="C191" i="12"/>
  <c r="B191" i="12"/>
  <c r="X14" i="4"/>
  <c r="W202" i="4" a="1"/>
  <c r="W202" i="4" s="1"/>
  <c r="M73" i="4"/>
  <c r="C175" i="12"/>
  <c r="B175" i="12"/>
  <c r="A175" i="12"/>
  <c r="X101" i="4"/>
  <c r="W126" i="4" a="1"/>
  <c r="W126" i="4" s="1"/>
  <c r="M144" i="4"/>
  <c r="C127" i="12"/>
  <c r="B127" i="12"/>
  <c r="A127" i="12"/>
  <c r="W147" i="4" a="1"/>
  <c r="W147" i="4" s="1"/>
  <c r="C150" i="12"/>
  <c r="B150" i="12"/>
  <c r="M204" i="4"/>
  <c r="A150" i="12"/>
  <c r="X187" i="4"/>
  <c r="N80" i="4"/>
  <c r="B129" i="12"/>
  <c r="A129" i="12"/>
  <c r="X152" i="4"/>
  <c r="W152" i="4" a="1"/>
  <c r="W152" i="4" s="1"/>
  <c r="N152" i="4"/>
  <c r="M152" i="4"/>
  <c r="C129" i="12"/>
  <c r="C201" i="12"/>
  <c r="C167" i="12"/>
  <c r="B167" i="12"/>
  <c r="A167" i="12"/>
  <c r="C13" i="12"/>
  <c r="B13" i="12"/>
  <c r="A13" i="12"/>
  <c r="C192" i="12"/>
  <c r="B192" i="12"/>
  <c r="A192" i="12"/>
  <c r="C99" i="12"/>
  <c r="B99" i="12"/>
  <c r="A99" i="12"/>
  <c r="C98" i="12"/>
  <c r="B98" i="12"/>
  <c r="A98" i="12"/>
  <c r="C203" i="12"/>
  <c r="B203" i="12"/>
  <c r="A203" i="12"/>
  <c r="N178" i="4"/>
  <c r="A100" i="12"/>
  <c r="C100" i="12"/>
  <c r="B100" i="12"/>
  <c r="X202" i="4"/>
  <c r="N73" i="4"/>
  <c r="G24" i="4"/>
  <c r="C157" i="12"/>
  <c r="A157" i="12"/>
  <c r="X126" i="4"/>
  <c r="N144" i="4"/>
  <c r="C60" i="12"/>
  <c r="M42" i="4"/>
  <c r="B60" i="12"/>
  <c r="G42" i="4"/>
  <c r="A60" i="12"/>
  <c r="N109" i="4"/>
  <c r="C159" i="12"/>
  <c r="B159" i="12"/>
  <c r="A159" i="12"/>
  <c r="X80" i="4"/>
  <c r="B104" i="12"/>
  <c r="B28" i="12"/>
  <c r="A172" i="12"/>
  <c r="B162" i="12"/>
  <c r="B111" i="12"/>
  <c r="B54" i="12"/>
  <c r="C155" i="12"/>
  <c r="A77" i="12"/>
  <c r="G160" i="4"/>
  <c r="C104" i="12"/>
  <c r="C28" i="12"/>
  <c r="B172" i="12"/>
  <c r="C162" i="12"/>
  <c r="A112" i="12"/>
  <c r="C111" i="12"/>
  <c r="A44" i="12"/>
  <c r="C54" i="12"/>
  <c r="A69" i="12"/>
  <c r="B77" i="12"/>
  <c r="N9" i="4"/>
  <c r="N130" i="4"/>
  <c r="N82" i="4"/>
  <c r="W134" i="4" a="1"/>
  <c r="W134" i="4" s="1"/>
  <c r="X154" i="4"/>
  <c r="G155" i="4"/>
  <c r="W64" i="4" a="1"/>
  <c r="W64" i="4" s="1"/>
  <c r="M160" i="4"/>
  <c r="W34" i="4" a="1"/>
  <c r="W34" i="4" s="1"/>
  <c r="V28" i="12" s="1"/>
  <c r="M35" i="4"/>
  <c r="G197" i="4"/>
  <c r="C172" i="12"/>
  <c r="A84" i="12"/>
  <c r="B112" i="12"/>
  <c r="A137" i="12"/>
  <c r="B44" i="12"/>
  <c r="A113" i="12"/>
  <c r="B69" i="12"/>
  <c r="C77" i="12"/>
  <c r="C69" i="12"/>
  <c r="A164" i="12"/>
  <c r="B16" i="12"/>
  <c r="C141" i="12"/>
  <c r="B116" i="12"/>
  <c r="A161" i="12"/>
  <c r="A73" i="12"/>
  <c r="B9" i="12"/>
  <c r="C74" i="12"/>
  <c r="B164" i="12"/>
  <c r="X155" i="4"/>
  <c r="W45" i="4" a="1"/>
  <c r="W45" i="4" s="1"/>
  <c r="X197" i="4"/>
  <c r="A182" i="12"/>
  <c r="A145" i="12"/>
  <c r="B59" i="12"/>
  <c r="C116" i="12"/>
  <c r="B67" i="12"/>
  <c r="C83" i="12"/>
  <c r="B161" i="12"/>
  <c r="C64" i="12"/>
  <c r="B73" i="12"/>
  <c r="C9" i="12"/>
  <c r="A78" i="12"/>
  <c r="A26" i="12"/>
  <c r="C164" i="12"/>
  <c r="G43" i="4"/>
  <c r="G32" i="4"/>
  <c r="G65" i="4"/>
  <c r="A183" i="12"/>
  <c r="C177" i="12"/>
  <c r="A151" i="12"/>
  <c r="B182" i="12"/>
  <c r="B145" i="12"/>
  <c r="C59" i="12"/>
  <c r="C161" i="12"/>
  <c r="A102" i="12"/>
  <c r="B78" i="12"/>
  <c r="A132" i="12"/>
  <c r="B26" i="12"/>
  <c r="G150" i="4"/>
  <c r="G63" i="4"/>
  <c r="M43" i="4"/>
  <c r="G135" i="4"/>
  <c r="M32" i="4"/>
  <c r="G159" i="4"/>
  <c r="G120" i="4"/>
  <c r="M65" i="4"/>
  <c r="B183" i="12"/>
  <c r="B151" i="12"/>
  <c r="C145" i="12"/>
  <c r="A47" i="12"/>
  <c r="A85" i="12"/>
  <c r="A25" i="12"/>
  <c r="A42" i="12"/>
  <c r="B102" i="12"/>
  <c r="B132" i="12"/>
  <c r="C26" i="12"/>
  <c r="G205" i="4"/>
  <c r="M150" i="4"/>
  <c r="G10" i="4"/>
  <c r="M63" i="4"/>
  <c r="N43" i="4"/>
  <c r="M135" i="4"/>
  <c r="N32" i="4"/>
  <c r="G137" i="4"/>
  <c r="M159" i="4"/>
  <c r="M120" i="4"/>
  <c r="N65" i="4"/>
  <c r="G164" i="4"/>
  <c r="C183" i="12"/>
  <c r="C151" i="12"/>
  <c r="A6" i="12"/>
  <c r="A50" i="12"/>
  <c r="B47" i="12"/>
  <c r="B85" i="12"/>
  <c r="B25" i="12"/>
  <c r="B42" i="12"/>
  <c r="C102" i="12"/>
  <c r="A154" i="12"/>
  <c r="C132" i="12"/>
  <c r="A156" i="12"/>
  <c r="N150" i="4"/>
  <c r="N63" i="4"/>
  <c r="W43" i="4" a="1"/>
  <c r="W43" i="4" s="1"/>
  <c r="N135" i="4"/>
  <c r="G115" i="4"/>
  <c r="W32" i="4" a="1"/>
  <c r="W32" i="4" s="1"/>
  <c r="M137" i="4"/>
  <c r="N159" i="4"/>
  <c r="N120" i="4"/>
  <c r="W65" i="4" a="1"/>
  <c r="W65" i="4" s="1"/>
  <c r="M164" i="4"/>
  <c r="B6" i="12"/>
  <c r="A126" i="12"/>
  <c r="B50" i="12"/>
  <c r="C47" i="12"/>
  <c r="C25" i="12"/>
  <c r="C42" i="12"/>
  <c r="B154" i="12"/>
  <c r="A68" i="12"/>
  <c r="B156" i="12"/>
  <c r="G62" i="4"/>
  <c r="X43" i="4"/>
  <c r="G83" i="4"/>
  <c r="W135" i="4" a="1"/>
  <c r="W135" i="4" s="1"/>
  <c r="M115" i="4"/>
  <c r="X32" i="4"/>
  <c r="N137" i="4"/>
  <c r="W159" i="4" a="1"/>
  <c r="W159" i="4" s="1"/>
  <c r="G195" i="4"/>
  <c r="W120" i="4" a="1"/>
  <c r="W120" i="4" s="1"/>
  <c r="M84" i="4"/>
  <c r="X65" i="4"/>
  <c r="N164" i="4"/>
  <c r="G121" i="4"/>
  <c r="B126" i="12"/>
  <c r="C50" i="12"/>
  <c r="A53" i="12"/>
  <c r="A33" i="12"/>
  <c r="A119" i="12"/>
  <c r="B68" i="12"/>
  <c r="C156" i="12"/>
  <c r="X135" i="4"/>
  <c r="G191" i="4"/>
  <c r="M118" i="4"/>
  <c r="X159" i="4"/>
  <c r="O74" i="12" s="1"/>
  <c r="N193" i="4"/>
  <c r="G162" i="4"/>
  <c r="M195" i="4"/>
  <c r="N84" i="4"/>
  <c r="G20" i="4"/>
  <c r="W164" i="4" a="1"/>
  <c r="W164" i="4" s="1"/>
  <c r="M121" i="4"/>
  <c r="B179" i="12"/>
  <c r="A146" i="12"/>
  <c r="B53" i="12"/>
  <c r="B33" i="12"/>
  <c r="A72" i="12"/>
  <c r="B119" i="12"/>
  <c r="A181" i="12"/>
  <c r="C68" i="12"/>
  <c r="A61" i="12"/>
  <c r="M20" i="4"/>
  <c r="N121" i="4"/>
  <c r="C179" i="12"/>
  <c r="B146" i="12"/>
  <c r="A101" i="12"/>
  <c r="C33" i="12"/>
  <c r="B72" i="12"/>
  <c r="C119" i="12"/>
  <c r="A76" i="12"/>
  <c r="B181" i="12"/>
  <c r="B61" i="12"/>
  <c r="W121" i="4" a="1"/>
  <c r="W121" i="4" s="1"/>
  <c r="B101" i="12"/>
  <c r="A81" i="12"/>
  <c r="A155" i="12"/>
  <c r="B76" i="12"/>
  <c r="C181" i="12"/>
  <c r="C61" i="12"/>
  <c r="N157" i="4"/>
  <c r="G34" i="4"/>
  <c r="B81" i="12"/>
  <c r="B189" i="9"/>
  <c r="B189" i="7"/>
  <c r="B189" i="6"/>
  <c r="B189" i="5"/>
  <c r="B189" i="8"/>
  <c r="B191" i="9"/>
  <c r="B191" i="7"/>
  <c r="B191" i="6"/>
  <c r="B191" i="5"/>
  <c r="B191" i="8"/>
  <c r="B231" i="9"/>
  <c r="B231" i="7"/>
  <c r="B231" i="6"/>
  <c r="B231" i="5"/>
  <c r="B231" i="8"/>
  <c r="B230" i="9"/>
  <c r="B230" i="7"/>
  <c r="B230" i="6"/>
  <c r="B230" i="5"/>
  <c r="B230" i="8"/>
  <c r="B142" i="9"/>
  <c r="B142" i="7"/>
  <c r="B142" i="6"/>
  <c r="B142" i="5"/>
  <c r="B142" i="8"/>
  <c r="B209" i="9"/>
  <c r="B209" i="7"/>
  <c r="B209" i="6"/>
  <c r="B209" i="5"/>
  <c r="B209" i="8"/>
  <c r="B222" i="9"/>
  <c r="B222" i="7"/>
  <c r="B222" i="6"/>
  <c r="B222" i="5"/>
  <c r="B222" i="8"/>
  <c r="B229" i="9"/>
  <c r="B229" i="7"/>
  <c r="B229" i="6"/>
  <c r="B229" i="5"/>
  <c r="B229" i="8"/>
  <c r="M119" i="4"/>
  <c r="G163" i="4"/>
  <c r="G194" i="4"/>
  <c r="M194" i="4"/>
  <c r="A52" i="12"/>
  <c r="N194" i="4"/>
  <c r="B52" i="12"/>
  <c r="W194" i="4" a="1"/>
  <c r="W194" i="4" s="1"/>
  <c r="C52" i="12"/>
  <c r="A21" i="12"/>
  <c r="B21" i="12"/>
  <c r="C21" i="12"/>
  <c r="G119" i="4"/>
  <c r="N119" i="4"/>
  <c r="W119" i="4" a="1"/>
  <c r="W119" i="4" s="1"/>
  <c r="X119" i="4"/>
  <c r="M163" i="4"/>
  <c r="N163" i="4"/>
  <c r="W163" i="4" a="1"/>
  <c r="W163" i="4" s="1"/>
  <c r="X163" i="4"/>
  <c r="A8" i="12"/>
  <c r="B8" i="12"/>
  <c r="X110" i="4"/>
  <c r="A92" i="12"/>
  <c r="B92" i="12"/>
  <c r="C92" i="12"/>
  <c r="G110" i="4"/>
  <c r="M110" i="4"/>
  <c r="N110" i="4"/>
  <c r="V45" i="12" l="1"/>
  <c r="O139" i="12"/>
  <c r="V33" i="12"/>
  <c r="O25" i="12"/>
  <c r="O60" i="12"/>
  <c r="O159" i="12"/>
  <c r="V62" i="12"/>
  <c r="O62" i="12"/>
  <c r="O128" i="12"/>
  <c r="O90" i="12"/>
  <c r="V92" i="12"/>
  <c r="O76" i="12"/>
  <c r="V32" i="12"/>
  <c r="O64" i="12"/>
  <c r="O21" i="12"/>
  <c r="V102" i="12"/>
  <c r="O153" i="12"/>
  <c r="V93" i="12"/>
  <c r="V27" i="12"/>
  <c r="O4" i="12"/>
  <c r="O104" i="12"/>
  <c r="O92" i="12"/>
  <c r="O71" i="12"/>
  <c r="O165" i="12"/>
  <c r="O33" i="12"/>
  <c r="O28" i="12"/>
  <c r="O68" i="12"/>
  <c r="V131" i="12"/>
  <c r="O93" i="12"/>
  <c r="V25" i="12"/>
  <c r="V173" i="12"/>
  <c r="V84" i="12"/>
  <c r="O113" i="12"/>
  <c r="O169" i="12"/>
  <c r="O204" i="12"/>
  <c r="O82" i="12"/>
  <c r="O164" i="12"/>
  <c r="V52" i="12"/>
  <c r="V162" i="12"/>
  <c r="V82" i="12"/>
  <c r="O23" i="12"/>
  <c r="V158" i="12"/>
  <c r="O78" i="12"/>
  <c r="O84" i="12"/>
  <c r="O151" i="12"/>
  <c r="V85" i="12"/>
  <c r="V141" i="12"/>
  <c r="V15" i="12"/>
  <c r="AG44" i="24"/>
  <c r="AH44" i="24" s="1"/>
  <c r="U44" i="24"/>
  <c r="Y44" i="25"/>
  <c r="U112" i="24"/>
  <c r="AG112" i="24"/>
  <c r="AH112" i="24" s="1"/>
  <c r="Y112" i="25"/>
  <c r="Y119" i="25"/>
  <c r="U119" i="24"/>
  <c r="AG119" i="24"/>
  <c r="AH119" i="24" s="1"/>
  <c r="Y178" i="25"/>
  <c r="AG178" i="24"/>
  <c r="AH178" i="24" s="1"/>
  <c r="U178" i="24"/>
  <c r="U133" i="24"/>
  <c r="Y133" i="25"/>
  <c r="AG133" i="24"/>
  <c r="AH133" i="24" s="1"/>
  <c r="Y8" i="25"/>
  <c r="AG8" i="24"/>
  <c r="AH8" i="24" s="1"/>
  <c r="U8" i="24"/>
  <c r="Y58" i="25"/>
  <c r="U58" i="24"/>
  <c r="AG58" i="24"/>
  <c r="AH58" i="24" s="1"/>
  <c r="Y162" i="25"/>
  <c r="AG162" i="24"/>
  <c r="AH162" i="24" s="1"/>
  <c r="U162" i="24"/>
  <c r="U13" i="24"/>
  <c r="AG13" i="24"/>
  <c r="AH13" i="24" s="1"/>
  <c r="Y13" i="25"/>
  <c r="Y97" i="25"/>
  <c r="U97" i="24"/>
  <c r="AG97" i="24"/>
  <c r="AH97" i="24" s="1"/>
  <c r="AG38" i="24"/>
  <c r="AH38" i="24" s="1"/>
  <c r="Y38" i="25"/>
  <c r="U38" i="24"/>
  <c r="U156" i="24"/>
  <c r="AG156" i="24"/>
  <c r="AH156" i="24" s="1"/>
  <c r="Y156" i="25"/>
  <c r="AG115" i="24"/>
  <c r="AH115" i="24" s="1"/>
  <c r="Y115" i="25"/>
  <c r="U115" i="24"/>
  <c r="U181" i="24"/>
  <c r="AG181" i="24"/>
  <c r="AH181" i="24" s="1"/>
  <c r="Y181" i="25"/>
  <c r="U159" i="24"/>
  <c r="Y159" i="25"/>
  <c r="AG159" i="24"/>
  <c r="AH159" i="24" s="1"/>
  <c r="Y175" i="25"/>
  <c r="AG175" i="24"/>
  <c r="AH175" i="24" s="1"/>
  <c r="U175" i="24"/>
  <c r="U71" i="24"/>
  <c r="AG71" i="24"/>
  <c r="AH71" i="24" s="1"/>
  <c r="Y71" i="25"/>
  <c r="AG169" i="24"/>
  <c r="AH169" i="24" s="1"/>
  <c r="Y169" i="25"/>
  <c r="U169" i="24"/>
  <c r="U66" i="24"/>
  <c r="Y66" i="25"/>
  <c r="AG66" i="24"/>
  <c r="AH66" i="24" s="1"/>
  <c r="U55" i="24"/>
  <c r="AG55" i="24"/>
  <c r="AH55" i="24" s="1"/>
  <c r="Y55" i="25"/>
  <c r="U105" i="24"/>
  <c r="Y105" i="25"/>
  <c r="AG105" i="24"/>
  <c r="AH105" i="24" s="1"/>
  <c r="U201" i="24"/>
  <c r="Y201" i="25"/>
  <c r="AG201" i="24"/>
  <c r="AH201" i="24" s="1"/>
  <c r="AG184" i="24"/>
  <c r="AH184" i="24" s="1"/>
  <c r="Y184" i="25"/>
  <c r="U184" i="24"/>
  <c r="U4" i="24"/>
  <c r="Y4" i="25"/>
  <c r="AG4" i="24"/>
  <c r="AH4" i="24" s="1"/>
  <c r="AG163" i="24"/>
  <c r="AH163" i="24" s="1"/>
  <c r="U163" i="24"/>
  <c r="Y163" i="25"/>
  <c r="Y5" i="25"/>
  <c r="AG5" i="24"/>
  <c r="AH5" i="24" s="1"/>
  <c r="U5" i="24"/>
  <c r="O119" i="12"/>
  <c r="O56" i="12"/>
  <c r="V10" i="12"/>
  <c r="AG59" i="24"/>
  <c r="AH59" i="24" s="1"/>
  <c r="U59" i="24"/>
  <c r="Y59" i="25"/>
  <c r="AG23" i="24"/>
  <c r="AH23" i="24" s="1"/>
  <c r="U23" i="24"/>
  <c r="Y23" i="25"/>
  <c r="AG188" i="24"/>
  <c r="AH188" i="24" s="1"/>
  <c r="U188" i="24"/>
  <c r="Y188" i="25"/>
  <c r="Y121" i="25"/>
  <c r="U121" i="24"/>
  <c r="AG121" i="24"/>
  <c r="AH121" i="24" s="1"/>
  <c r="AG73" i="24"/>
  <c r="AH73" i="24" s="1"/>
  <c r="Y73" i="25"/>
  <c r="U73" i="24"/>
  <c r="AG111" i="24"/>
  <c r="AH111" i="24" s="1"/>
  <c r="U111" i="24"/>
  <c r="Y111" i="25"/>
  <c r="AG6" i="24"/>
  <c r="AH6" i="24" s="1"/>
  <c r="U6" i="24"/>
  <c r="Y6" i="25"/>
  <c r="AG17" i="24"/>
  <c r="AH17" i="24" s="1"/>
  <c r="Y17" i="25"/>
  <c r="U17" i="24"/>
  <c r="AG57" i="24"/>
  <c r="AH57" i="24" s="1"/>
  <c r="U57" i="24"/>
  <c r="Y57" i="25"/>
  <c r="Y88" i="25"/>
  <c r="AG88" i="24"/>
  <c r="AH88" i="24" s="1"/>
  <c r="U88" i="24"/>
  <c r="AG125" i="24"/>
  <c r="AH125" i="24" s="1"/>
  <c r="Y125" i="25"/>
  <c r="U125" i="24"/>
  <c r="U67" i="24"/>
  <c r="Y67" i="25"/>
  <c r="AG67" i="24"/>
  <c r="AH67" i="24" s="1"/>
  <c r="U82" i="24"/>
  <c r="Y82" i="25"/>
  <c r="AG82" i="24"/>
  <c r="AH82" i="24" s="1"/>
  <c r="AG11" i="24"/>
  <c r="AH11" i="24" s="1"/>
  <c r="U11" i="24"/>
  <c r="Y11" i="25"/>
  <c r="U174" i="24"/>
  <c r="AG174" i="24"/>
  <c r="AH174" i="24" s="1"/>
  <c r="Y174" i="25"/>
  <c r="AG84" i="24"/>
  <c r="AH84" i="24" s="1"/>
  <c r="Y84" i="25"/>
  <c r="U84" i="24"/>
  <c r="AG109" i="24"/>
  <c r="AH109" i="24" s="1"/>
  <c r="U109" i="24"/>
  <c r="Y109" i="25"/>
  <c r="AG200" i="24"/>
  <c r="AH200" i="24" s="1"/>
  <c r="Y200" i="25"/>
  <c r="U200" i="24"/>
  <c r="AG63" i="24"/>
  <c r="AH63" i="24" s="1"/>
  <c r="U63" i="24"/>
  <c r="Y63" i="25"/>
  <c r="Y172" i="25"/>
  <c r="U172" i="24"/>
  <c r="AG172" i="24"/>
  <c r="AH172" i="24" s="1"/>
  <c r="U192" i="24"/>
  <c r="AG192" i="24"/>
  <c r="AH192" i="24" s="1"/>
  <c r="Y192" i="25"/>
  <c r="AG9" i="24"/>
  <c r="AH9" i="24" s="1"/>
  <c r="Y9" i="25"/>
  <c r="U9" i="24"/>
  <c r="U191" i="24"/>
  <c r="AG191" i="24"/>
  <c r="AH191" i="24" s="1"/>
  <c r="Y191" i="25"/>
  <c r="U202" i="24"/>
  <c r="Y202" i="25"/>
  <c r="AG202" i="24"/>
  <c r="AH202" i="24" s="1"/>
  <c r="AG19" i="24"/>
  <c r="AH19" i="24" s="1"/>
  <c r="U19" i="24"/>
  <c r="Y19" i="25"/>
  <c r="AG34" i="24"/>
  <c r="AH34" i="24" s="1"/>
  <c r="Y34" i="25"/>
  <c r="U34" i="24"/>
  <c r="V26" i="12"/>
  <c r="U194" i="24"/>
  <c r="Y194" i="25"/>
  <c r="AG194" i="24"/>
  <c r="AH194" i="24" s="1"/>
  <c r="AG126" i="24"/>
  <c r="AH126" i="24" s="1"/>
  <c r="Y126" i="25"/>
  <c r="U126" i="24"/>
  <c r="Y36" i="25"/>
  <c r="U36" i="24"/>
  <c r="AG36" i="24"/>
  <c r="AH36" i="24" s="1"/>
  <c r="U152" i="24"/>
  <c r="Y152" i="25"/>
  <c r="AG152" i="24"/>
  <c r="AH152" i="24" s="1"/>
  <c r="AG15" i="24"/>
  <c r="AH15" i="24" s="1"/>
  <c r="U15" i="24"/>
  <c r="Y15" i="25"/>
  <c r="AG7" i="24"/>
  <c r="AH7" i="24" s="1"/>
  <c r="U7" i="24"/>
  <c r="Y7" i="25"/>
  <c r="AG106" i="24"/>
  <c r="AH106" i="24" s="1"/>
  <c r="U106" i="24"/>
  <c r="Y106" i="25"/>
  <c r="U136" i="24"/>
  <c r="Y136" i="25"/>
  <c r="AG136" i="24"/>
  <c r="AH136" i="24" s="1"/>
  <c r="AG29" i="24"/>
  <c r="AH29" i="24" s="1"/>
  <c r="U29" i="24"/>
  <c r="Y29" i="25"/>
  <c r="AG95" i="24"/>
  <c r="AH95" i="24" s="1"/>
  <c r="Y95" i="25"/>
  <c r="U95" i="24"/>
  <c r="AG146" i="24"/>
  <c r="AH146" i="24" s="1"/>
  <c r="Y146" i="25"/>
  <c r="U146" i="24"/>
  <c r="U138" i="24"/>
  <c r="AG138" i="24"/>
  <c r="AH138" i="24" s="1"/>
  <c r="Y138" i="25"/>
  <c r="U41" i="24"/>
  <c r="AG41" i="24"/>
  <c r="AH41" i="24" s="1"/>
  <c r="Y41" i="25"/>
  <c r="U177" i="24"/>
  <c r="AG177" i="24"/>
  <c r="AH177" i="24" s="1"/>
  <c r="Y177" i="25"/>
  <c r="Y70" i="25"/>
  <c r="U70" i="24"/>
  <c r="AG70" i="24"/>
  <c r="AH70" i="24" s="1"/>
  <c r="Y203" i="25"/>
  <c r="U203" i="24"/>
  <c r="AG203" i="24"/>
  <c r="AH203" i="24" s="1"/>
  <c r="U104" i="24"/>
  <c r="Y104" i="25"/>
  <c r="AG104" i="24"/>
  <c r="AH104" i="24" s="1"/>
  <c r="AG118" i="24"/>
  <c r="AH118" i="24" s="1"/>
  <c r="Y118" i="25"/>
  <c r="U118" i="24"/>
  <c r="U158" i="24"/>
  <c r="AG158" i="24"/>
  <c r="AH158" i="24" s="1"/>
  <c r="Y158" i="25"/>
  <c r="U10" i="24"/>
  <c r="Y10" i="25"/>
  <c r="AG10" i="24"/>
  <c r="AH10" i="24" s="1"/>
  <c r="U199" i="24"/>
  <c r="AG199" i="24"/>
  <c r="AH199" i="24" s="1"/>
  <c r="Y199" i="25"/>
  <c r="U48" i="24"/>
  <c r="Y48" i="25"/>
  <c r="AG48" i="24"/>
  <c r="AH48" i="24" s="1"/>
  <c r="AG142" i="24"/>
  <c r="AH142" i="24" s="1"/>
  <c r="U142" i="24"/>
  <c r="Y142" i="25"/>
  <c r="U90" i="24"/>
  <c r="Y90" i="25"/>
  <c r="AG90" i="24"/>
  <c r="AH90" i="24" s="1"/>
  <c r="Y185" i="25"/>
  <c r="U185" i="24"/>
  <c r="AG185" i="24"/>
  <c r="AH185" i="24" s="1"/>
  <c r="U157" i="24"/>
  <c r="AG157" i="24"/>
  <c r="AH157" i="24" s="1"/>
  <c r="Y157" i="25"/>
  <c r="O50" i="12"/>
  <c r="U168" i="24"/>
  <c r="Y168" i="25"/>
  <c r="AG168" i="24"/>
  <c r="AH168" i="24" s="1"/>
  <c r="AG22" i="24"/>
  <c r="AH22" i="24" s="1"/>
  <c r="Y22" i="25"/>
  <c r="U22" i="24"/>
  <c r="AG51" i="24"/>
  <c r="AH51" i="24" s="1"/>
  <c r="Y51" i="25"/>
  <c r="U51" i="24"/>
  <c r="Y64" i="25"/>
  <c r="U64" i="24"/>
  <c r="AG64" i="24"/>
  <c r="AH64" i="24" s="1"/>
  <c r="U132" i="24"/>
  <c r="Y132" i="25"/>
  <c r="AG132" i="24"/>
  <c r="AH132" i="24" s="1"/>
  <c r="U110" i="24"/>
  <c r="Y110" i="25"/>
  <c r="AG110" i="24"/>
  <c r="AH110" i="24" s="1"/>
  <c r="Y153" i="25"/>
  <c r="AG153" i="24"/>
  <c r="AH153" i="24" s="1"/>
  <c r="U153" i="24"/>
  <c r="U103" i="24"/>
  <c r="AG103" i="24"/>
  <c r="AH103" i="24" s="1"/>
  <c r="Y103" i="25"/>
  <c r="AG47" i="24"/>
  <c r="AH47" i="24" s="1"/>
  <c r="U47" i="24"/>
  <c r="Y47" i="25"/>
  <c r="AG37" i="24"/>
  <c r="AH37" i="24" s="1"/>
  <c r="U37" i="24"/>
  <c r="Y37" i="25"/>
  <c r="U42" i="24"/>
  <c r="Y42" i="25"/>
  <c r="AG42" i="24"/>
  <c r="AH42" i="24" s="1"/>
  <c r="U137" i="24"/>
  <c r="Y137" i="25"/>
  <c r="AG137" i="24"/>
  <c r="AH137" i="24" s="1"/>
  <c r="AG165" i="24"/>
  <c r="AH165" i="24" s="1"/>
  <c r="Y165" i="25"/>
  <c r="U165" i="24"/>
  <c r="O94" i="12"/>
  <c r="U72" i="24"/>
  <c r="Y72" i="25"/>
  <c r="AG72" i="24"/>
  <c r="AH72" i="24" s="1"/>
  <c r="AG196" i="24"/>
  <c r="AH196" i="24" s="1"/>
  <c r="U196" i="24"/>
  <c r="Y196" i="25"/>
  <c r="AG122" i="24"/>
  <c r="AH122" i="24" s="1"/>
  <c r="U122" i="24"/>
  <c r="Y122" i="25"/>
  <c r="Y16" i="25"/>
  <c r="U16" i="24"/>
  <c r="AG16" i="24"/>
  <c r="AH16" i="24" s="1"/>
  <c r="Y76" i="25"/>
  <c r="U76" i="24"/>
  <c r="AG76" i="24"/>
  <c r="AH76" i="24" s="1"/>
  <c r="AG180" i="24"/>
  <c r="AH180" i="24" s="1"/>
  <c r="U180" i="24"/>
  <c r="Y180" i="25"/>
  <c r="U113" i="24"/>
  <c r="Y113" i="25"/>
  <c r="AG113" i="24"/>
  <c r="AH113" i="24" s="1"/>
  <c r="U102" i="24"/>
  <c r="AG102" i="24"/>
  <c r="AH102" i="24" s="1"/>
  <c r="Y102" i="25"/>
  <c r="U198" i="24"/>
  <c r="AG198" i="24"/>
  <c r="AH198" i="24" s="1"/>
  <c r="Y198" i="25"/>
  <c r="Y108" i="25"/>
  <c r="U108" i="24"/>
  <c r="AG108" i="24"/>
  <c r="AH108" i="24" s="1"/>
  <c r="U193" i="24"/>
  <c r="Y193" i="25"/>
  <c r="AG193" i="24"/>
  <c r="AH193" i="24" s="1"/>
  <c r="U89" i="24"/>
  <c r="Y89" i="25"/>
  <c r="AG89" i="24"/>
  <c r="AH89" i="24" s="1"/>
  <c r="Y183" i="25"/>
  <c r="AG183" i="24"/>
  <c r="AH183" i="24" s="1"/>
  <c r="U183" i="24"/>
  <c r="V88" i="12"/>
  <c r="V73" i="12"/>
  <c r="Y32" i="25"/>
  <c r="U32" i="24"/>
  <c r="AG32" i="24"/>
  <c r="AH32" i="24" s="1"/>
  <c r="U140" i="24"/>
  <c r="Y140" i="25"/>
  <c r="AG140" i="24"/>
  <c r="AH140" i="24" s="1"/>
  <c r="AG74" i="24"/>
  <c r="AH74" i="24" s="1"/>
  <c r="Y74" i="25"/>
  <c r="U74" i="24"/>
  <c r="Y167" i="25"/>
  <c r="U167" i="24"/>
  <c r="AG167" i="24"/>
  <c r="AH167" i="24" s="1"/>
  <c r="U195" i="24"/>
  <c r="Y195" i="25"/>
  <c r="AG195" i="24"/>
  <c r="AH195" i="24" s="1"/>
  <c r="U124" i="24"/>
  <c r="AG124" i="24"/>
  <c r="AH124" i="24" s="1"/>
  <c r="Y124" i="25"/>
  <c r="Y65" i="25"/>
  <c r="AG65" i="24"/>
  <c r="AH65" i="24" s="1"/>
  <c r="U65" i="24"/>
  <c r="AG46" i="24"/>
  <c r="AH46" i="24" s="1"/>
  <c r="U46" i="24"/>
  <c r="Y46" i="25"/>
  <c r="Y94" i="25"/>
  <c r="AG94" i="24"/>
  <c r="AH94" i="24" s="1"/>
  <c r="U94" i="24"/>
  <c r="U171" i="24"/>
  <c r="AG171" i="24"/>
  <c r="AH171" i="24" s="1"/>
  <c r="Y171" i="25"/>
  <c r="Y49" i="25"/>
  <c r="AG49" i="24"/>
  <c r="AH49" i="24" s="1"/>
  <c r="U49" i="24"/>
  <c r="Y176" i="25"/>
  <c r="AG176" i="24"/>
  <c r="AH176" i="24" s="1"/>
  <c r="U176" i="24"/>
  <c r="Y127" i="25"/>
  <c r="U127" i="24"/>
  <c r="AG127" i="24"/>
  <c r="AH127" i="24" s="1"/>
  <c r="AG79" i="24"/>
  <c r="AH79" i="24" s="1"/>
  <c r="U79" i="24"/>
  <c r="Y79" i="25"/>
  <c r="Y155" i="25"/>
  <c r="AG155" i="24"/>
  <c r="AH155" i="24" s="1"/>
  <c r="U155" i="24"/>
  <c r="Y33" i="25"/>
  <c r="AG33" i="24"/>
  <c r="AH33" i="24" s="1"/>
  <c r="U33" i="24"/>
  <c r="Y62" i="25"/>
  <c r="AG62" i="24"/>
  <c r="AH62" i="24" s="1"/>
  <c r="U62" i="24"/>
  <c r="AG139" i="24"/>
  <c r="AH139" i="24" s="1"/>
  <c r="U139" i="24"/>
  <c r="Y139" i="25"/>
  <c r="AG20" i="24"/>
  <c r="AH20" i="24" s="1"/>
  <c r="Y20" i="25"/>
  <c r="U20" i="24"/>
  <c r="AG85" i="24"/>
  <c r="AH85" i="24" s="1"/>
  <c r="Y85" i="25"/>
  <c r="U85" i="24"/>
  <c r="AG116" i="24"/>
  <c r="AH116" i="24" s="1"/>
  <c r="U116" i="24"/>
  <c r="Y116" i="25"/>
  <c r="Y164" i="25"/>
  <c r="U164" i="24"/>
  <c r="AG164" i="24"/>
  <c r="AH164" i="24" s="1"/>
  <c r="AG123" i="24"/>
  <c r="AH123" i="24" s="1"/>
  <c r="U123" i="24"/>
  <c r="Y123" i="25"/>
  <c r="U205" i="24"/>
  <c r="Y205" i="25"/>
  <c r="AG205" i="24"/>
  <c r="AH205" i="24" s="1"/>
  <c r="AG120" i="24"/>
  <c r="AH120" i="24" s="1"/>
  <c r="Y120" i="25"/>
  <c r="U120" i="24"/>
  <c r="AG31" i="24"/>
  <c r="AH31" i="24" s="1"/>
  <c r="Y31" i="25"/>
  <c r="U31" i="24"/>
  <c r="Y148" i="25"/>
  <c r="AG148" i="24"/>
  <c r="AH148" i="24" s="1"/>
  <c r="U148" i="24"/>
  <c r="Y186" i="25"/>
  <c r="AG186" i="24"/>
  <c r="AH186" i="24" s="1"/>
  <c r="U186" i="24"/>
  <c r="AG141" i="24"/>
  <c r="AH141" i="24" s="1"/>
  <c r="Y141" i="25"/>
  <c r="U141" i="24"/>
  <c r="U14" i="24"/>
  <c r="Y14" i="25"/>
  <c r="AG14" i="24"/>
  <c r="AH14" i="24" s="1"/>
  <c r="U173" i="24"/>
  <c r="Y173" i="25"/>
  <c r="AG173" i="24"/>
  <c r="AH173" i="24" s="1"/>
  <c r="Y45" i="25"/>
  <c r="U45" i="24"/>
  <c r="AG45" i="24"/>
  <c r="AH45" i="24" s="1"/>
  <c r="AG144" i="24"/>
  <c r="AH144" i="24" s="1"/>
  <c r="Y144" i="25"/>
  <c r="U144" i="24"/>
  <c r="U68" i="24"/>
  <c r="Y68" i="25"/>
  <c r="AG68" i="24"/>
  <c r="AH68" i="24" s="1"/>
  <c r="Y60" i="25"/>
  <c r="U60" i="24"/>
  <c r="AG60" i="24"/>
  <c r="AH60" i="24" s="1"/>
  <c r="U98" i="24"/>
  <c r="AG98" i="24"/>
  <c r="AH98" i="24" s="1"/>
  <c r="Y98" i="25"/>
  <c r="Y40" i="25"/>
  <c r="AG40" i="24"/>
  <c r="AH40" i="24" s="1"/>
  <c r="U40" i="24"/>
  <c r="AG80" i="24"/>
  <c r="AH80" i="24" s="1"/>
  <c r="Y80" i="25"/>
  <c r="U80" i="24"/>
  <c r="U182" i="24"/>
  <c r="Y182" i="25"/>
  <c r="AG182" i="24"/>
  <c r="AH182" i="24" s="1"/>
  <c r="O142" i="12"/>
  <c r="U92" i="24"/>
  <c r="AG92" i="24"/>
  <c r="AH92" i="24" s="1"/>
  <c r="Y92" i="25"/>
  <c r="AG130" i="24"/>
  <c r="AH130" i="24" s="1"/>
  <c r="Y130" i="25"/>
  <c r="U130" i="24"/>
  <c r="U53" i="24"/>
  <c r="Y53" i="25"/>
  <c r="AG53" i="24"/>
  <c r="AH53" i="24" s="1"/>
  <c r="AG28" i="24"/>
  <c r="AH28" i="24" s="1"/>
  <c r="Y28" i="25"/>
  <c r="U28" i="24"/>
  <c r="U170" i="24"/>
  <c r="Y170" i="25"/>
  <c r="AG170" i="24"/>
  <c r="AH170" i="24" s="1"/>
  <c r="Y187" i="25"/>
  <c r="U187" i="24"/>
  <c r="AG187" i="24"/>
  <c r="AH187" i="24" s="1"/>
  <c r="Y96" i="25"/>
  <c r="AG96" i="24"/>
  <c r="AH96" i="24" s="1"/>
  <c r="U96" i="24"/>
  <c r="U179" i="24"/>
  <c r="AG179" i="24"/>
  <c r="AH179" i="24" s="1"/>
  <c r="Y179" i="25"/>
  <c r="AG12" i="24"/>
  <c r="AH12" i="24" s="1"/>
  <c r="Y12" i="25"/>
  <c r="U12" i="24"/>
  <c r="U145" i="24"/>
  <c r="AG145" i="24"/>
  <c r="AH145" i="24" s="1"/>
  <c r="Y145" i="25"/>
  <c r="Y135" i="25"/>
  <c r="AG135" i="24"/>
  <c r="AH135" i="24" s="1"/>
  <c r="U135" i="24"/>
  <c r="U87" i="24"/>
  <c r="Y87" i="25"/>
  <c r="AG87" i="24"/>
  <c r="AH87" i="24" s="1"/>
  <c r="AG134" i="24"/>
  <c r="AH134" i="24" s="1"/>
  <c r="Y134" i="25"/>
  <c r="U134" i="24"/>
  <c r="AG149" i="24"/>
  <c r="AH149" i="24" s="1"/>
  <c r="U149" i="24"/>
  <c r="Y149" i="25"/>
  <c r="AG26" i="24"/>
  <c r="AH26" i="24" s="1"/>
  <c r="Y26" i="25"/>
  <c r="U26" i="24"/>
  <c r="Y160" i="25"/>
  <c r="AG160" i="24"/>
  <c r="AH160" i="24" s="1"/>
  <c r="U160" i="24"/>
  <c r="AG101" i="24"/>
  <c r="AH101" i="24" s="1"/>
  <c r="Y101" i="25"/>
  <c r="U101" i="24"/>
  <c r="Y18" i="25"/>
  <c r="AG18" i="24"/>
  <c r="AH18" i="24" s="1"/>
  <c r="U18" i="24"/>
  <c r="U83" i="24"/>
  <c r="Y83" i="25"/>
  <c r="AG83" i="24"/>
  <c r="AH83" i="24" s="1"/>
  <c r="AG151" i="24"/>
  <c r="AH151" i="24" s="1"/>
  <c r="U151" i="24"/>
  <c r="Y151" i="25"/>
  <c r="AG131" i="24"/>
  <c r="AH131" i="24" s="1"/>
  <c r="U131" i="24"/>
  <c r="Y131" i="25"/>
  <c r="Y197" i="25"/>
  <c r="U197" i="24"/>
  <c r="AG197" i="24"/>
  <c r="AH197" i="24" s="1"/>
  <c r="AG21" i="24"/>
  <c r="AH21" i="24" s="1"/>
  <c r="U21" i="24"/>
  <c r="Y21" i="25"/>
  <c r="AG39" i="24"/>
  <c r="AH39" i="24" s="1"/>
  <c r="Y39" i="25"/>
  <c r="U39" i="24"/>
  <c r="AG78" i="24"/>
  <c r="AH78" i="24" s="1"/>
  <c r="Y78" i="25"/>
  <c r="U78" i="24"/>
  <c r="V202" i="12"/>
  <c r="V153" i="12"/>
  <c r="U61" i="24"/>
  <c r="Y61" i="25"/>
  <c r="AG61" i="24"/>
  <c r="AH61" i="24" s="1"/>
  <c r="AG129" i="24"/>
  <c r="AH129" i="24" s="1"/>
  <c r="Y129" i="25"/>
  <c r="U129" i="24"/>
  <c r="Y166" i="25"/>
  <c r="AG166" i="24"/>
  <c r="AH166" i="24" s="1"/>
  <c r="U166" i="24"/>
  <c r="U147" i="24"/>
  <c r="Y147" i="25"/>
  <c r="AG147" i="24"/>
  <c r="AH147" i="24" s="1"/>
  <c r="U161" i="24"/>
  <c r="AG161" i="24"/>
  <c r="AH161" i="24" s="1"/>
  <c r="Y161" i="25"/>
  <c r="AG35" i="24"/>
  <c r="AH35" i="24" s="1"/>
  <c r="U35" i="24"/>
  <c r="Y35" i="25"/>
  <c r="U206" i="24"/>
  <c r="Y206" i="25"/>
  <c r="AG206" i="24"/>
  <c r="AH206" i="24" s="1"/>
  <c r="U75" i="24"/>
  <c r="AG75" i="24"/>
  <c r="AH75" i="24" s="1"/>
  <c r="Y75" i="25"/>
  <c r="AG69" i="24"/>
  <c r="AH69" i="24" s="1"/>
  <c r="U69" i="24"/>
  <c r="Y69" i="25"/>
  <c r="AG128" i="24"/>
  <c r="AH128" i="24" s="1"/>
  <c r="Y128" i="25"/>
  <c r="U128" i="24"/>
  <c r="AG86" i="24"/>
  <c r="AH86" i="24" s="1"/>
  <c r="U86" i="24"/>
  <c r="Y86" i="25"/>
  <c r="Y30" i="25"/>
  <c r="U30" i="24"/>
  <c r="AG30" i="24"/>
  <c r="AH30" i="24" s="1"/>
  <c r="V76" i="12"/>
  <c r="U107" i="24"/>
  <c r="AG107" i="24"/>
  <c r="AH107" i="24" s="1"/>
  <c r="Y107" i="25"/>
  <c r="AG81" i="24"/>
  <c r="AH81" i="24" s="1"/>
  <c r="Y81" i="25"/>
  <c r="U81" i="24"/>
  <c r="U99" i="24"/>
  <c r="AG99" i="24"/>
  <c r="AH99" i="24" s="1"/>
  <c r="Y99" i="25"/>
  <c r="Y91" i="25"/>
  <c r="U91" i="24"/>
  <c r="AG91" i="24"/>
  <c r="AH91" i="24" s="1"/>
  <c r="AG25" i="24"/>
  <c r="AH25" i="24" s="1"/>
  <c r="Y25" i="25"/>
  <c r="U25" i="24"/>
  <c r="AG77" i="24"/>
  <c r="AH77" i="24" s="1"/>
  <c r="Y77" i="25"/>
  <c r="U77" i="24"/>
  <c r="AG150" i="24"/>
  <c r="AH150" i="24" s="1"/>
  <c r="U150" i="24"/>
  <c r="Y150" i="25"/>
  <c r="U27" i="24"/>
  <c r="AG27" i="24"/>
  <c r="AH27" i="24" s="1"/>
  <c r="Y27" i="25"/>
  <c r="Y154" i="25"/>
  <c r="U154" i="24"/>
  <c r="AG154" i="24"/>
  <c r="AH154" i="24" s="1"/>
  <c r="Y143" i="25"/>
  <c r="AG143" i="24"/>
  <c r="AH143" i="24" s="1"/>
  <c r="U143" i="24"/>
  <c r="Y93" i="25"/>
  <c r="U93" i="24"/>
  <c r="AG93" i="24"/>
  <c r="AH93" i="24" s="1"/>
  <c r="U100" i="24"/>
  <c r="Y100" i="25"/>
  <c r="AG100" i="24"/>
  <c r="AH100" i="24" s="1"/>
  <c r="V150" i="12"/>
  <c r="Y189" i="25"/>
  <c r="U189" i="24"/>
  <c r="AG189" i="24"/>
  <c r="AH189" i="24" s="1"/>
  <c r="Y24" i="25"/>
  <c r="U24" i="24"/>
  <c r="AG24" i="24"/>
  <c r="AH24" i="24" s="1"/>
  <c r="U3" i="24"/>
  <c r="AG3" i="24"/>
  <c r="AH3" i="24" s="1"/>
  <c r="Y3" i="25"/>
  <c r="U43" i="24"/>
  <c r="AG43" i="24"/>
  <c r="AH43" i="24" s="1"/>
  <c r="Y43" i="25"/>
  <c r="Y56" i="25"/>
  <c r="U56" i="24"/>
  <c r="AG56" i="24"/>
  <c r="AH56" i="24" s="1"/>
  <c r="AG114" i="24"/>
  <c r="AH114" i="24" s="1"/>
  <c r="Y114" i="25"/>
  <c r="U114" i="24"/>
  <c r="AG54" i="24"/>
  <c r="AH54" i="24" s="1"/>
  <c r="U54" i="24"/>
  <c r="Y54" i="25"/>
  <c r="Y117" i="25"/>
  <c r="AG117" i="24"/>
  <c r="AH117" i="24" s="1"/>
  <c r="U117" i="24"/>
  <c r="AG50" i="24"/>
  <c r="AH50" i="24" s="1"/>
  <c r="U50" i="24"/>
  <c r="Y50" i="25"/>
  <c r="U190" i="24"/>
  <c r="Y190" i="25"/>
  <c r="AG190" i="24"/>
  <c r="AH190" i="24" s="1"/>
  <c r="Y204" i="25"/>
  <c r="U204" i="24"/>
  <c r="AG204" i="24"/>
  <c r="AH204" i="24" s="1"/>
  <c r="AG52" i="24"/>
  <c r="AH52" i="24" s="1"/>
  <c r="Y52" i="25"/>
  <c r="U52" i="24"/>
  <c r="V145" i="12"/>
  <c r="O133" i="12"/>
  <c r="V64" i="12"/>
  <c r="O138" i="12"/>
  <c r="V67" i="12"/>
  <c r="V104" i="12"/>
  <c r="O99" i="12"/>
  <c r="V151" i="12"/>
  <c r="O162" i="12"/>
  <c r="O70" i="12"/>
  <c r="O187" i="12"/>
  <c r="V111" i="12"/>
  <c r="V189" i="12"/>
  <c r="O185" i="12"/>
  <c r="O189" i="12"/>
  <c r="O11" i="12"/>
  <c r="V68" i="12"/>
  <c r="O53" i="12"/>
  <c r="V13" i="12"/>
  <c r="O77" i="12"/>
  <c r="O20" i="12"/>
  <c r="V154" i="12"/>
  <c r="O72" i="12"/>
  <c r="V184" i="12"/>
  <c r="V181" i="12"/>
  <c r="O83" i="12"/>
  <c r="O137" i="12"/>
  <c r="O170" i="12"/>
  <c r="O67" i="12"/>
  <c r="V137" i="12"/>
  <c r="V168" i="12"/>
  <c r="V180" i="12"/>
  <c r="O15" i="12"/>
  <c r="V171" i="12"/>
  <c r="O13" i="12"/>
  <c r="V187" i="12"/>
  <c r="O65" i="12"/>
  <c r="V138" i="12"/>
  <c r="V66" i="12"/>
  <c r="O79" i="12"/>
  <c r="O111" i="12"/>
  <c r="O181" i="12"/>
  <c r="O184" i="12"/>
  <c r="O191" i="12"/>
  <c r="V134" i="12"/>
  <c r="V108" i="12"/>
  <c r="O44" i="12"/>
  <c r="O100" i="12"/>
  <c r="V21" i="12"/>
  <c r="V177" i="12"/>
  <c r="O175" i="12"/>
  <c r="O178" i="12"/>
  <c r="V199" i="12"/>
  <c r="O174" i="12"/>
  <c r="O157" i="12"/>
  <c r="O51" i="12"/>
  <c r="V63" i="12"/>
  <c r="V51" i="12"/>
  <c r="V194" i="12"/>
  <c r="O47" i="12"/>
  <c r="O101" i="12"/>
  <c r="O145" i="12"/>
  <c r="O97" i="12"/>
  <c r="O63" i="12"/>
  <c r="O180" i="12"/>
  <c r="O186" i="12"/>
  <c r="V101" i="12"/>
  <c r="O8" i="12"/>
  <c r="O7" i="12"/>
  <c r="V95" i="12"/>
  <c r="V169" i="12"/>
  <c r="V200" i="12"/>
  <c r="V201" i="12"/>
  <c r="O32" i="12"/>
  <c r="O107" i="12"/>
  <c r="V190" i="12"/>
  <c r="O177" i="12"/>
  <c r="O48" i="12"/>
  <c r="O158" i="12"/>
  <c r="O130" i="12"/>
  <c r="O98" i="12"/>
  <c r="V178" i="12"/>
  <c r="V72" i="12"/>
  <c r="V75" i="12"/>
  <c r="O106" i="12"/>
  <c r="V36" i="12"/>
  <c r="V99" i="12"/>
  <c r="O194" i="12"/>
  <c r="V94" i="12"/>
  <c r="V195" i="12"/>
  <c r="O190" i="12"/>
  <c r="O61" i="12"/>
  <c r="O37" i="12"/>
  <c r="V144" i="12"/>
  <c r="O173" i="12"/>
  <c r="O114" i="12"/>
  <c r="G36" i="4"/>
  <c r="V80" i="12"/>
  <c r="V198" i="12"/>
  <c r="O88" i="12"/>
  <c r="O18" i="12"/>
  <c r="V170" i="12"/>
  <c r="O205" i="12"/>
  <c r="O144" i="12"/>
  <c r="O31" i="12"/>
  <c r="V8" i="12"/>
  <c r="O14" i="12"/>
  <c r="V19" i="12"/>
  <c r="O43" i="12"/>
  <c r="V55" i="12"/>
  <c r="O80" i="12"/>
  <c r="V139" i="12"/>
  <c r="V167" i="12"/>
  <c r="O40" i="12"/>
  <c r="V120" i="12"/>
  <c r="O166" i="12"/>
  <c r="V140" i="12"/>
  <c r="V17" i="12"/>
  <c r="V118" i="12"/>
  <c r="O19" i="12"/>
  <c r="O87" i="12"/>
  <c r="V5" i="12"/>
  <c r="V90" i="12"/>
  <c r="O46" i="12"/>
  <c r="V50" i="12"/>
  <c r="O5" i="12"/>
  <c r="O66" i="12"/>
  <c r="O96" i="12"/>
  <c r="O105" i="12"/>
  <c r="V186" i="12"/>
  <c r="O9" i="12"/>
  <c r="V35" i="12"/>
  <c r="O126" i="12"/>
  <c r="V129" i="12"/>
  <c r="O89" i="12"/>
  <c r="V70" i="12"/>
  <c r="V188" i="12"/>
  <c r="V23" i="12"/>
  <c r="V114" i="12"/>
  <c r="V122" i="12"/>
  <c r="O81" i="12"/>
  <c r="V34" i="12"/>
  <c r="V74" i="12"/>
  <c r="V81" i="12"/>
  <c r="O29" i="12"/>
  <c r="V146" i="12"/>
  <c r="O149" i="12"/>
  <c r="V126" i="12"/>
  <c r="O108" i="12"/>
  <c r="V4" i="12"/>
  <c r="O115" i="12"/>
  <c r="O122" i="12"/>
  <c r="V44" i="12"/>
  <c r="O155" i="12"/>
  <c r="O34" i="12"/>
  <c r="V143" i="12"/>
  <c r="V176" i="12"/>
  <c r="O39" i="12"/>
  <c r="O120" i="12"/>
  <c r="V165" i="12"/>
  <c r="O91" i="12"/>
  <c r="V136" i="12"/>
  <c r="O199" i="12"/>
  <c r="O176" i="12"/>
  <c r="O197" i="12"/>
  <c r="V106" i="12"/>
  <c r="O143" i="12"/>
  <c r="O146" i="12"/>
  <c r="V160" i="12"/>
  <c r="O135" i="12"/>
  <c r="O35" i="12"/>
  <c r="O125" i="12"/>
  <c r="V3" i="12"/>
  <c r="O167" i="12"/>
  <c r="V86" i="12"/>
  <c r="O102" i="12"/>
  <c r="O129" i="12"/>
  <c r="V133" i="12"/>
  <c r="V11" i="12"/>
  <c r="V58" i="12"/>
  <c r="O202" i="12"/>
  <c r="O58" i="12"/>
  <c r="O41" i="12"/>
  <c r="O124" i="12"/>
  <c r="V24" i="12"/>
  <c r="O17" i="12"/>
  <c r="V172" i="12"/>
  <c r="O171" i="12"/>
  <c r="O45" i="12"/>
  <c r="O6" i="12"/>
  <c r="V46" i="12"/>
  <c r="V197" i="12"/>
  <c r="O152" i="12"/>
  <c r="V119" i="12"/>
  <c r="O27" i="12"/>
  <c r="V83" i="12"/>
  <c r="V110" i="12"/>
  <c r="V49" i="12"/>
  <c r="V121" i="12"/>
  <c r="V174" i="12"/>
  <c r="V6" i="12"/>
  <c r="V37" i="12"/>
  <c r="V130" i="12"/>
  <c r="V155" i="12"/>
  <c r="O201" i="12"/>
  <c r="V7" i="12"/>
  <c r="O198" i="12"/>
  <c r="O134" i="12"/>
  <c r="V31" i="12"/>
  <c r="O160" i="12"/>
  <c r="V128" i="12"/>
  <c r="O136" i="12"/>
  <c r="O140" i="12"/>
  <c r="O36" i="12"/>
  <c r="V29" i="12"/>
  <c r="V113" i="12"/>
  <c r="V185" i="12"/>
  <c r="V123" i="12"/>
  <c r="D110" i="4"/>
  <c r="G2" i="19" l="1"/>
  <c r="K2" i="19"/>
  <c r="E2" i="19"/>
  <c r="D163" i="4"/>
  <c r="D194" i="4"/>
  <c r="D120" i="12" l="1"/>
  <c r="T206" i="12"/>
  <c r="S206" i="12"/>
  <c r="D122" i="12" l="1"/>
  <c r="D121" i="12"/>
  <c r="D7" i="9" l="1"/>
  <c r="D6" i="9"/>
  <c r="D6" i="8" l="1"/>
  <c r="E145" i="12" l="1"/>
  <c r="S63" i="4"/>
  <c r="Q145" i="12" s="1"/>
  <c r="X145" i="12"/>
  <c r="W145" i="12"/>
  <c r="R63" i="4"/>
  <c r="R145" i="12" s="1"/>
  <c r="AA63" i="4"/>
  <c r="S145" i="12" s="1"/>
  <c r="Z63" i="4"/>
  <c r="T145" i="12" s="1"/>
  <c r="C85" i="8"/>
  <c r="I96" i="4"/>
  <c r="C188" i="7"/>
  <c r="C114" i="6"/>
  <c r="C204" i="5"/>
  <c r="C199" i="8"/>
  <c r="C172" i="5"/>
  <c r="C182" i="8"/>
  <c r="C69" i="9"/>
  <c r="H36" i="4"/>
  <c r="H205" i="4"/>
  <c r="C159" i="6"/>
  <c r="J167" i="4"/>
  <c r="E14" i="4"/>
  <c r="C112" i="9"/>
  <c r="J206" i="4"/>
  <c r="C130" i="2" a="1"/>
  <c r="K155" i="4"/>
  <c r="F164" i="4"/>
  <c r="C53" i="9"/>
  <c r="C208" i="7"/>
  <c r="J174" i="4"/>
  <c r="J165" i="4"/>
  <c r="C18" i="7"/>
  <c r="J87" i="4"/>
  <c r="C192" i="9"/>
  <c r="C459" i="2" a="1"/>
  <c r="C321" i="2" a="1"/>
  <c r="C59" i="2" a="1"/>
  <c r="C51" i="9"/>
  <c r="C156" i="8"/>
  <c r="J141" i="4"/>
  <c r="C43" i="7"/>
  <c r="H139" i="4"/>
  <c r="H109" i="4"/>
  <c r="K182" i="4"/>
  <c r="K157" i="4"/>
  <c r="I59" i="4"/>
  <c r="C504" i="2" a="1"/>
  <c r="J134" i="4"/>
  <c r="C20" i="5"/>
  <c r="J66" i="4"/>
  <c r="H101" i="4"/>
  <c r="C328" i="2" a="1"/>
  <c r="C6" i="6"/>
  <c r="I25" i="4"/>
  <c r="F168" i="4"/>
  <c r="I92" i="4"/>
  <c r="H84" i="4"/>
  <c r="C369" i="2" a="1"/>
  <c r="C70" i="5"/>
  <c r="E126" i="4"/>
  <c r="C27" i="7"/>
  <c r="J23" i="4"/>
  <c r="C438" i="2" a="1"/>
  <c r="E74" i="4"/>
  <c r="C131" i="6"/>
  <c r="K65" i="4"/>
  <c r="C136" i="9"/>
  <c r="F117" i="4"/>
  <c r="I141" i="4"/>
  <c r="K206" i="4"/>
  <c r="C95" i="2" a="1"/>
  <c r="E84" i="4"/>
  <c r="C83" i="2" a="1"/>
  <c r="J7" i="4"/>
  <c r="E196" i="4"/>
  <c r="F189" i="4"/>
  <c r="C111" i="8"/>
  <c r="C116" i="2" a="1"/>
  <c r="I95" i="4"/>
  <c r="C23" i="2" a="1"/>
  <c r="C155" i="5"/>
  <c r="C174" i="9"/>
  <c r="C9" i="6"/>
  <c r="C136" i="2" a="1"/>
  <c r="C118" i="9"/>
  <c r="H31" i="4"/>
  <c r="C383" i="2" a="1"/>
  <c r="C92" i="6"/>
  <c r="J64" i="4"/>
  <c r="C128" i="7"/>
  <c r="C212" i="7"/>
  <c r="C22" i="2" a="1"/>
  <c r="C206" i="9"/>
  <c r="H115" i="4"/>
  <c r="C70" i="8"/>
  <c r="C166" i="7"/>
  <c r="C207" i="9"/>
  <c r="E33" i="4"/>
  <c r="E90" i="4"/>
  <c r="C8" i="8"/>
  <c r="C218" i="5"/>
  <c r="C62" i="7"/>
  <c r="C127" i="5"/>
  <c r="I137" i="4"/>
  <c r="C181" i="9"/>
  <c r="C312" i="2" a="1"/>
  <c r="C212" i="6"/>
  <c r="C160" i="2" a="1"/>
  <c r="C55" i="2" a="1"/>
  <c r="C49" i="9"/>
  <c r="I41" i="4"/>
  <c r="H126" i="4"/>
  <c r="H92" i="4"/>
  <c r="C125" i="8"/>
  <c r="C157" i="6"/>
  <c r="C72" i="6"/>
  <c r="C485" i="2" a="1"/>
  <c r="H33" i="4"/>
  <c r="C119" i="7"/>
  <c r="C498" i="2" a="1"/>
  <c r="C197" i="2" a="1"/>
  <c r="J93" i="4"/>
  <c r="C486" i="2" a="1"/>
  <c r="C174" i="5"/>
  <c r="H182" i="4"/>
  <c r="C409" i="2" a="1"/>
  <c r="C13" i="9"/>
  <c r="E54" i="4"/>
  <c r="C105" i="7"/>
  <c r="C102" i="5"/>
  <c r="C98" i="9"/>
  <c r="C50" i="5"/>
  <c r="C8" i="5"/>
  <c r="K10" i="4"/>
  <c r="E4" i="4"/>
  <c r="K12" i="4"/>
  <c r="J97" i="4"/>
  <c r="C141" i="8"/>
  <c r="C94" i="8"/>
  <c r="F172" i="4"/>
  <c r="C138" i="8"/>
  <c r="C178" i="6"/>
  <c r="J65" i="4"/>
  <c r="I101" i="4"/>
  <c r="C192" i="5"/>
  <c r="C141" i="9"/>
  <c r="C216" i="5"/>
  <c r="K100" i="4"/>
  <c r="J17" i="4"/>
  <c r="J179" i="4"/>
  <c r="F90" i="4"/>
  <c r="C146" i="9"/>
  <c r="C167" i="5"/>
  <c r="H104" i="4"/>
  <c r="H8" i="4"/>
  <c r="C93" i="8"/>
  <c r="C331" i="2" a="1"/>
  <c r="I184" i="4"/>
  <c r="C129" i="7"/>
  <c r="C6" i="7"/>
  <c r="C184" i="9"/>
  <c r="C57" i="8"/>
  <c r="K156" i="4"/>
  <c r="C314" i="2" a="1"/>
  <c r="C67" i="6"/>
  <c r="I117" i="4"/>
  <c r="H167" i="4"/>
  <c r="C55" i="9"/>
  <c r="H146" i="4"/>
  <c r="K38" i="4"/>
  <c r="E50" i="4"/>
  <c r="H133" i="4"/>
  <c r="E122" i="4"/>
  <c r="C139" i="8"/>
  <c r="C44" i="7"/>
  <c r="K125" i="4"/>
  <c r="J131" i="4"/>
  <c r="C133" i="9"/>
  <c r="C27" i="2" a="1"/>
  <c r="C152" i="5"/>
  <c r="E159" i="4"/>
  <c r="H99" i="4"/>
  <c r="E87" i="4"/>
  <c r="J195" i="4"/>
  <c r="C202" i="6"/>
  <c r="C146" i="6"/>
  <c r="C21" i="9"/>
  <c r="C110" i="2" a="1"/>
  <c r="K149" i="4"/>
  <c r="K86" i="4"/>
  <c r="H75" i="4"/>
  <c r="H153" i="4"/>
  <c r="H113" i="4"/>
  <c r="H160" i="4"/>
  <c r="C100" i="5"/>
  <c r="C133" i="2" a="1"/>
  <c r="C184" i="5"/>
  <c r="F52" i="4"/>
  <c r="E162" i="4"/>
  <c r="C217" i="8"/>
  <c r="C63" i="6"/>
  <c r="J14" i="4"/>
  <c r="C22" i="5"/>
  <c r="C501" i="2" a="1"/>
  <c r="C86" i="9"/>
  <c r="C304" i="2" a="1"/>
  <c r="C77" i="7"/>
  <c r="C113" i="5"/>
  <c r="K8" i="4"/>
  <c r="E5" i="2" a="1"/>
  <c r="K162" i="4"/>
  <c r="C49" i="6"/>
  <c r="C98" i="6"/>
  <c r="C163" i="6"/>
  <c r="J21" i="4"/>
  <c r="K114" i="4"/>
  <c r="C181" i="5"/>
  <c r="C91" i="6"/>
  <c r="C161" i="5"/>
  <c r="F186" i="4"/>
  <c r="K139" i="4"/>
  <c r="C195" i="8"/>
  <c r="E127" i="4"/>
  <c r="E199" i="4"/>
  <c r="C9" i="9"/>
  <c r="C132" i="5"/>
  <c r="C58" i="5"/>
  <c r="C34" i="9"/>
  <c r="J13" i="4"/>
  <c r="C217" i="2" a="1"/>
  <c r="C146" i="8"/>
  <c r="C133" i="7"/>
  <c r="C92" i="5"/>
  <c r="E69" i="4"/>
  <c r="K118" i="4"/>
  <c r="F39" i="4"/>
  <c r="C213" i="9"/>
  <c r="K5" i="4"/>
  <c r="C204" i="8"/>
  <c r="C78" i="2" a="1"/>
  <c r="C164" i="6"/>
  <c r="K124" i="4"/>
  <c r="J180" i="4"/>
  <c r="C18" i="2" a="1"/>
  <c r="C161" i="9"/>
  <c r="F15" i="4"/>
  <c r="C33" i="9"/>
  <c r="C114" i="2" a="1"/>
  <c r="C173" i="8"/>
  <c r="J10" i="4"/>
  <c r="C113" i="6"/>
  <c r="I159" i="4"/>
  <c r="C120" i="9"/>
  <c r="H187" i="4"/>
  <c r="K15" i="4"/>
  <c r="C221" i="9"/>
  <c r="I90" i="4"/>
  <c r="C216" i="7"/>
  <c r="C43" i="2" a="1"/>
  <c r="C30" i="5"/>
  <c r="C172" i="9"/>
  <c r="C132" i="6"/>
  <c r="C155" i="6"/>
  <c r="F116" i="4"/>
  <c r="J52" i="4"/>
  <c r="C153" i="6"/>
  <c r="I170" i="4"/>
  <c r="F75" i="4"/>
  <c r="C139" i="2" a="1"/>
  <c r="C85" i="5"/>
  <c r="C74" i="5"/>
  <c r="C200" i="9"/>
  <c r="E58" i="4"/>
  <c r="J166" i="4"/>
  <c r="I55" i="4"/>
  <c r="C28" i="2" a="1"/>
  <c r="C147" i="9"/>
  <c r="F131" i="4"/>
  <c r="K47" i="4"/>
  <c r="I109" i="4"/>
  <c r="K14" i="4"/>
  <c r="J123" i="4"/>
  <c r="E95" i="4"/>
  <c r="C164" i="9"/>
  <c r="J59" i="4"/>
  <c r="F55" i="4"/>
  <c r="C444" i="2" a="1"/>
  <c r="C13" i="8"/>
  <c r="C168" i="5"/>
  <c r="C63" i="9"/>
  <c r="C159" i="9"/>
  <c r="C74" i="9"/>
  <c r="H52" i="4"/>
  <c r="C210" i="6"/>
  <c r="K95" i="4"/>
  <c r="J192" i="4"/>
  <c r="H97" i="4"/>
  <c r="C20" i="6"/>
  <c r="C86" i="6"/>
  <c r="J99" i="4"/>
  <c r="C151" i="8"/>
  <c r="C97" i="6"/>
  <c r="I81" i="4"/>
  <c r="C14" i="9"/>
  <c r="C22" i="9"/>
  <c r="C39" i="5"/>
  <c r="I4" i="4"/>
  <c r="C90" i="8"/>
  <c r="C102" i="6"/>
  <c r="I146" i="4"/>
  <c r="I173" i="4"/>
  <c r="C36" i="5"/>
  <c r="F78" i="4"/>
  <c r="I123" i="4"/>
  <c r="E66" i="4"/>
  <c r="C200" i="7"/>
  <c r="C87" i="7"/>
  <c r="E157" i="4"/>
  <c r="C89" i="7"/>
  <c r="I121" i="4"/>
  <c r="E28" i="4"/>
  <c r="F85" i="4"/>
  <c r="C183" i="9"/>
  <c r="C80" i="6"/>
  <c r="C219" i="9"/>
  <c r="C30" i="6"/>
  <c r="F134" i="4"/>
  <c r="C96" i="7"/>
  <c r="H16" i="4"/>
  <c r="C91" i="7"/>
  <c r="C108" i="6"/>
  <c r="C69" i="6"/>
  <c r="C128" i="5"/>
  <c r="C77" i="6"/>
  <c r="J142" i="4"/>
  <c r="C103" i="5"/>
  <c r="H78" i="4"/>
  <c r="E153" i="4"/>
  <c r="C37" i="9"/>
  <c r="K40" i="4"/>
  <c r="I196" i="4"/>
  <c r="F108" i="4"/>
  <c r="F64" i="4"/>
  <c r="I20" i="4"/>
  <c r="C130" i="9"/>
  <c r="C171" i="6"/>
  <c r="C97" i="8"/>
  <c r="C73" i="8"/>
  <c r="C169" i="7"/>
  <c r="C104" i="7"/>
  <c r="I183" i="4"/>
  <c r="C30" i="2" a="1"/>
  <c r="C181" i="7"/>
  <c r="C114" i="8"/>
  <c r="K140" i="4"/>
  <c r="C206" i="2" a="1"/>
  <c r="C154" i="5"/>
  <c r="C159" i="2" a="1"/>
  <c r="C212" i="8"/>
  <c r="J128" i="4"/>
  <c r="H32" i="4"/>
  <c r="I127" i="4"/>
  <c r="F204" i="4"/>
  <c r="H154" i="4"/>
  <c r="H18" i="4"/>
  <c r="C208" i="5"/>
  <c r="C99" i="8"/>
  <c r="C124" i="5"/>
  <c r="C402" i="2" a="1"/>
  <c r="K13" i="4"/>
  <c r="C198" i="7"/>
  <c r="C68" i="7"/>
  <c r="C84" i="6"/>
  <c r="H73" i="4"/>
  <c r="C20" i="2" a="1"/>
  <c r="E79" i="4"/>
  <c r="I53" i="4"/>
  <c r="C29" i="9"/>
  <c r="C188" i="2" a="1"/>
  <c r="C135" i="7"/>
  <c r="J170" i="4"/>
  <c r="I70" i="4"/>
  <c r="J135" i="4"/>
  <c r="E81" i="4"/>
  <c r="C83" i="9"/>
  <c r="C86" i="5"/>
  <c r="C101" i="5"/>
  <c r="C147" i="7"/>
  <c r="C336" i="2" a="1"/>
  <c r="E98" i="4"/>
  <c r="I129" i="4"/>
  <c r="C139" i="6"/>
  <c r="C416" i="2" a="1"/>
  <c r="I89" i="4"/>
  <c r="C96" i="8"/>
  <c r="F202" i="4"/>
  <c r="K60" i="4"/>
  <c r="E89" i="4"/>
  <c r="C35" i="9"/>
  <c r="C65" i="7"/>
  <c r="H145" i="4"/>
  <c r="K57" i="4"/>
  <c r="H161" i="4"/>
  <c r="C46" i="7"/>
  <c r="C29" i="7"/>
  <c r="H81" i="4"/>
  <c r="C179" i="9"/>
  <c r="C48" i="6"/>
  <c r="C167" i="8"/>
  <c r="C60" i="9"/>
  <c r="C58" i="8"/>
  <c r="E167" i="4"/>
  <c r="C500" i="2" a="1"/>
  <c r="C137" i="6"/>
  <c r="C17" i="9"/>
  <c r="K87" i="4"/>
  <c r="C218" i="2" a="1"/>
  <c r="C154" i="9"/>
  <c r="C75" i="5"/>
  <c r="C8" i="2" a="1"/>
  <c r="J186" i="4"/>
  <c r="E203" i="4"/>
  <c r="E145" i="4"/>
  <c r="C121" i="6"/>
  <c r="H58" i="4"/>
  <c r="H49" i="4"/>
  <c r="C439" i="2" a="1"/>
  <c r="C72" i="7"/>
  <c r="C441" i="2" a="1"/>
  <c r="C395" i="2" a="1"/>
  <c r="C76" i="5"/>
  <c r="I125" i="4"/>
  <c r="F156" i="4"/>
  <c r="C84" i="8"/>
  <c r="C20" i="7"/>
  <c r="C493" i="2" a="1"/>
  <c r="F46" i="4"/>
  <c r="C136" i="7"/>
  <c r="C399" i="2" a="1"/>
  <c r="J9" i="4"/>
  <c r="C32" i="7"/>
  <c r="E108" i="4"/>
  <c r="K176" i="4"/>
  <c r="K4" i="4"/>
  <c r="C163" i="8"/>
  <c r="C66" i="6"/>
  <c r="F82" i="4"/>
  <c r="C159" i="7"/>
  <c r="I124" i="4"/>
  <c r="E53" i="4"/>
  <c r="K45" i="4"/>
  <c r="K203" i="4"/>
  <c r="C122" i="2" a="1"/>
  <c r="C42" i="6"/>
  <c r="E72" i="4"/>
  <c r="F92" i="4"/>
  <c r="C90" i="2" a="1"/>
  <c r="H23" i="4"/>
  <c r="J107" i="4"/>
  <c r="C70" i="2" a="1"/>
  <c r="C11" i="9"/>
  <c r="C188" i="5"/>
  <c r="F73" i="4"/>
  <c r="C143" i="8"/>
  <c r="C213" i="6"/>
  <c r="C80" i="7"/>
  <c r="I34" i="4"/>
  <c r="E6" i="4"/>
  <c r="C55" i="6"/>
  <c r="C89" i="8"/>
  <c r="C92" i="2" a="1"/>
  <c r="C197" i="5"/>
  <c r="C179" i="8"/>
  <c r="H105" i="4"/>
  <c r="E195" i="4"/>
  <c r="K62" i="4"/>
  <c r="C89" i="2" a="1"/>
  <c r="J110" i="4"/>
  <c r="J91" i="4"/>
  <c r="K26" i="4"/>
  <c r="C205" i="8"/>
  <c r="C139" i="7"/>
  <c r="C220" i="7"/>
  <c r="C100" i="9"/>
  <c r="E120" i="4"/>
  <c r="K199" i="4"/>
  <c r="F136" i="4"/>
  <c r="F29" i="4"/>
  <c r="H90" i="4"/>
  <c r="C100" i="2" a="1"/>
  <c r="J82" i="4"/>
  <c r="C194" i="7"/>
  <c r="I142" i="4"/>
  <c r="C190" i="9"/>
  <c r="C71" i="7"/>
  <c r="F180" i="4"/>
  <c r="C98" i="8"/>
  <c r="J175" i="4"/>
  <c r="C140" i="8"/>
  <c r="C10" i="6"/>
  <c r="C106" i="2" a="1"/>
  <c r="K48" i="4"/>
  <c r="C186" i="5"/>
  <c r="K17" i="4"/>
  <c r="C454" i="2" a="1"/>
  <c r="C164" i="5"/>
  <c r="C182" i="7"/>
  <c r="H195" i="4"/>
  <c r="I136" i="4"/>
  <c r="J37" i="4"/>
  <c r="H14" i="4"/>
  <c r="C109" i="2" a="1"/>
  <c r="C50" i="2" a="1"/>
  <c r="C180" i="6"/>
  <c r="K163" i="4"/>
  <c r="E56" i="4"/>
  <c r="C14" i="8"/>
  <c r="C432" i="2" a="1"/>
  <c r="C349" i="2" a="1"/>
  <c r="C140" i="5"/>
  <c r="C170" i="9"/>
  <c r="I158" i="4"/>
  <c r="C118" i="7"/>
  <c r="C475" i="2" a="1"/>
  <c r="F43" i="4"/>
  <c r="C33" i="8"/>
  <c r="J161" i="4"/>
  <c r="C202" i="9"/>
  <c r="C82" i="8"/>
  <c r="C15" i="7"/>
  <c r="C194" i="9"/>
  <c r="H59" i="4"/>
  <c r="E57" i="4"/>
  <c r="C201" i="5"/>
  <c r="H108" i="4"/>
  <c r="K146" i="4"/>
  <c r="C221" i="6"/>
  <c r="C453" i="2" a="1"/>
  <c r="E136" i="4"/>
  <c r="E110" i="4"/>
  <c r="E78" i="4"/>
  <c r="C32" i="2" a="1"/>
  <c r="C151" i="6"/>
  <c r="C68" i="5"/>
  <c r="C192" i="6"/>
  <c r="C11" i="8"/>
  <c r="E132" i="4"/>
  <c r="C71" i="5"/>
  <c r="I132" i="4"/>
  <c r="J83" i="4"/>
  <c r="I165" i="4"/>
  <c r="K107" i="4"/>
  <c r="C171" i="5"/>
  <c r="C122" i="9"/>
  <c r="F135" i="4"/>
  <c r="C149" i="7"/>
  <c r="C76" i="8"/>
  <c r="C352" i="2" a="1"/>
  <c r="C113" i="7"/>
  <c r="F8" i="4"/>
  <c r="C21" i="2" a="1"/>
  <c r="C193" i="2" a="1"/>
  <c r="K46" i="4"/>
  <c r="C212" i="5"/>
  <c r="C152" i="7"/>
  <c r="C452" i="2" a="1"/>
  <c r="C150" i="2" a="1"/>
  <c r="J172" i="4"/>
  <c r="K84" i="4"/>
  <c r="K183" i="4"/>
  <c r="E107" i="4"/>
  <c r="C64" i="7"/>
  <c r="I116" i="4"/>
  <c r="C186" i="6"/>
  <c r="C183" i="8"/>
  <c r="J57" i="4"/>
  <c r="C427" i="2" a="1"/>
  <c r="C165" i="8"/>
  <c r="C73" i="7"/>
  <c r="K42" i="4"/>
  <c r="C115" i="6"/>
  <c r="C83" i="7"/>
  <c r="C144" i="6"/>
  <c r="C303" i="2" a="1"/>
  <c r="C38" i="6"/>
  <c r="C196" i="2" a="1"/>
  <c r="C102" i="9"/>
  <c r="H184" i="4"/>
  <c r="I37" i="4"/>
  <c r="C135" i="6"/>
  <c r="C488" i="2" a="1"/>
  <c r="H76" i="4"/>
  <c r="C79" i="9"/>
  <c r="C219" i="7"/>
  <c r="C376" i="2" a="1"/>
  <c r="H157" i="4"/>
  <c r="C221" i="8"/>
  <c r="I185" i="4"/>
  <c r="E8" i="4"/>
  <c r="H17" i="4"/>
  <c r="C403" i="2" a="1"/>
  <c r="K18" i="4"/>
  <c r="C44" i="5"/>
  <c r="C211" i="9"/>
  <c r="C136" i="5"/>
  <c r="C205" i="5"/>
  <c r="E86" i="4"/>
  <c r="H142" i="4"/>
  <c r="J116" i="4"/>
  <c r="C185" i="5"/>
  <c r="K195" i="4"/>
  <c r="C202" i="7"/>
  <c r="C34" i="8"/>
  <c r="E35" i="4"/>
  <c r="C178" i="5"/>
  <c r="F167" i="4"/>
  <c r="C193" i="6"/>
  <c r="C61" i="2" a="1"/>
  <c r="J178" i="4"/>
  <c r="C54" i="2" a="1"/>
  <c r="C341" i="2" a="1"/>
  <c r="J182" i="4"/>
  <c r="F125" i="4"/>
  <c r="C99" i="6"/>
  <c r="C389" i="2" a="1"/>
  <c r="J36" i="4"/>
  <c r="C345" i="2" a="1"/>
  <c r="H185" i="4"/>
  <c r="I97" i="4"/>
  <c r="F76" i="4"/>
  <c r="C54" i="7"/>
  <c r="C71" i="9"/>
  <c r="C387" i="2" a="1"/>
  <c r="K145" i="4"/>
  <c r="J41" i="4"/>
  <c r="C21" i="8"/>
  <c r="F94" i="4"/>
  <c r="C420" i="2" a="1"/>
  <c r="C149" i="5"/>
  <c r="C66" i="9"/>
  <c r="C95" i="7"/>
  <c r="C120" i="8"/>
  <c r="C109" i="7"/>
  <c r="C87" i="8"/>
  <c r="C104" i="6"/>
  <c r="H40" i="4"/>
  <c r="C190" i="6"/>
  <c r="C220" i="2" a="1"/>
  <c r="C178" i="8"/>
  <c r="E106" i="4"/>
  <c r="I135" i="4"/>
  <c r="E151" i="4"/>
  <c r="F25" i="4"/>
  <c r="E12" i="4"/>
  <c r="J176" i="4"/>
  <c r="J80" i="4"/>
  <c r="H203" i="4"/>
  <c r="I64" i="4"/>
  <c r="C114" i="9"/>
  <c r="F198" i="4"/>
  <c r="J140" i="4"/>
  <c r="C161" i="7"/>
  <c r="I140" i="4"/>
  <c r="C45" i="8"/>
  <c r="C38" i="8"/>
  <c r="C412" i="2" a="1"/>
  <c r="C22" i="6"/>
  <c r="E47" i="4"/>
  <c r="J150" i="4"/>
  <c r="C136" i="8"/>
  <c r="I176" i="4"/>
  <c r="F121" i="4"/>
  <c r="J121" i="4"/>
  <c r="C94" i="5"/>
  <c r="I188" i="4"/>
  <c r="C129" i="9"/>
  <c r="C39" i="8"/>
  <c r="E119" i="4"/>
  <c r="H13" i="4"/>
  <c r="F152" i="4"/>
  <c r="J130" i="4"/>
  <c r="C162" i="9"/>
  <c r="H68" i="4"/>
  <c r="C160" i="7"/>
  <c r="C71" i="6"/>
  <c r="C166" i="8"/>
  <c r="C198" i="2" a="1"/>
  <c r="C63" i="8"/>
  <c r="C386" i="2" a="1"/>
  <c r="C217" i="5"/>
  <c r="C196" i="9"/>
  <c r="K177" i="4"/>
  <c r="C55" i="5"/>
  <c r="J26" i="4"/>
  <c r="E192" i="4"/>
  <c r="C151" i="9"/>
  <c r="C194" i="8"/>
  <c r="I106" i="4"/>
  <c r="I79" i="4"/>
  <c r="F124" i="4"/>
  <c r="E171" i="4"/>
  <c r="I7" i="4"/>
  <c r="C87" i="9"/>
  <c r="C73" i="6"/>
  <c r="C221" i="5"/>
  <c r="K148" i="4"/>
  <c r="C418" i="2" a="1"/>
  <c r="C29" i="2" a="1"/>
  <c r="H189" i="4"/>
  <c r="E154" i="4"/>
  <c r="F81" i="4"/>
  <c r="H35" i="4"/>
  <c r="E34" i="4"/>
  <c r="C27" i="5"/>
  <c r="C96" i="9"/>
  <c r="E99" i="4"/>
  <c r="C181" i="2" a="1"/>
  <c r="F36" i="4"/>
  <c r="C81" i="6"/>
  <c r="C206" i="7"/>
  <c r="H70" i="4"/>
  <c r="H151" i="4"/>
  <c r="C19" i="6"/>
  <c r="C178" i="7"/>
  <c r="H83" i="4"/>
  <c r="J155" i="4"/>
  <c r="K51" i="4"/>
  <c r="H162" i="4"/>
  <c r="J197" i="4"/>
  <c r="J149" i="4"/>
  <c r="F54" i="4"/>
  <c r="C346" i="2" a="1"/>
  <c r="I26" i="4"/>
  <c r="C5" i="2" a="1"/>
  <c r="H168" i="4"/>
  <c r="C219" i="5"/>
  <c r="C16" i="6"/>
  <c r="E146" i="4"/>
  <c r="E17" i="4"/>
  <c r="C10" i="8"/>
  <c r="C89" i="6"/>
  <c r="C380" i="2" a="1"/>
  <c r="E71" i="4"/>
  <c r="I38" i="4"/>
  <c r="K70" i="4"/>
  <c r="J98" i="4"/>
  <c r="J187" i="4"/>
  <c r="J162" i="4"/>
  <c r="C13" i="2" a="1"/>
  <c r="F178" i="4"/>
  <c r="E115" i="4"/>
  <c r="K103" i="4"/>
  <c r="K21" i="4"/>
  <c r="K198" i="4"/>
  <c r="E102" i="4"/>
  <c r="I22" i="4"/>
  <c r="C119" i="6"/>
  <c r="C106" i="9"/>
  <c r="C54" i="6"/>
  <c r="C149" i="9"/>
  <c r="C194" i="2" a="1"/>
  <c r="C167" i="2" a="1"/>
  <c r="C406" i="2" a="1"/>
  <c r="C220" i="8"/>
  <c r="I12" i="4"/>
  <c r="H164" i="4"/>
  <c r="C404" i="2" a="1"/>
  <c r="I174" i="4"/>
  <c r="C140" i="7"/>
  <c r="C85" i="2" a="1"/>
  <c r="E123" i="4"/>
  <c r="J189" i="4"/>
  <c r="C104" i="2" a="1"/>
  <c r="C121" i="2" a="1"/>
  <c r="K127" i="4"/>
  <c r="E200" i="4"/>
  <c r="C124" i="7"/>
  <c r="E175" i="4"/>
  <c r="C196" i="6"/>
  <c r="C155" i="2" a="1"/>
  <c r="C99" i="7"/>
  <c r="C74" i="7"/>
  <c r="C221" i="7"/>
  <c r="C210" i="8"/>
  <c r="I80" i="4"/>
  <c r="C56" i="6"/>
  <c r="H206" i="4"/>
  <c r="K105" i="4"/>
  <c r="C107" i="7"/>
  <c r="F103" i="4"/>
  <c r="K144" i="4"/>
  <c r="H51" i="4"/>
  <c r="C173" i="6"/>
  <c r="C138" i="7"/>
  <c r="F27" i="4"/>
  <c r="C60" i="7"/>
  <c r="K200" i="4"/>
  <c r="C125" i="9"/>
  <c r="K66" i="4"/>
  <c r="C436" i="2" a="1"/>
  <c r="C210" i="9"/>
  <c r="F17" i="4"/>
  <c r="C17" i="8"/>
  <c r="C143" i="7"/>
  <c r="H12" i="4"/>
  <c r="C133" i="6"/>
  <c r="H131" i="4"/>
  <c r="C199" i="2" a="1"/>
  <c r="C442" i="2" a="1"/>
  <c r="C81" i="9"/>
  <c r="I8" i="4"/>
  <c r="J146" i="4"/>
  <c r="C203" i="2" a="1"/>
  <c r="F144" i="4"/>
  <c r="C202" i="8"/>
  <c r="E140" i="4"/>
  <c r="C366" i="2" a="1"/>
  <c r="H176" i="4"/>
  <c r="C153" i="5"/>
  <c r="C184" i="8"/>
  <c r="C105" i="6"/>
  <c r="C216" i="8"/>
  <c r="C77" i="2" a="1"/>
  <c r="C25" i="7"/>
  <c r="C358" i="2" a="1"/>
  <c r="J200" i="4"/>
  <c r="F88" i="4"/>
  <c r="H194" i="4"/>
  <c r="C153" i="8"/>
  <c r="I65" i="4"/>
  <c r="C96" i="5"/>
  <c r="C31" i="8"/>
  <c r="E204" i="4"/>
  <c r="C106" i="8"/>
  <c r="F23" i="4"/>
  <c r="C131" i="9"/>
  <c r="C156" i="6"/>
  <c r="K80" i="4"/>
  <c r="H137" i="4"/>
  <c r="C419" i="2" a="1"/>
  <c r="C82" i="7"/>
  <c r="E40" i="4"/>
  <c r="C201" i="9"/>
  <c r="C176" i="5"/>
  <c r="C184" i="6"/>
  <c r="I112" i="4"/>
  <c r="C134" i="9"/>
  <c r="I71" i="4"/>
  <c r="C219" i="2" a="1"/>
  <c r="C371" i="2" a="1"/>
  <c r="C187" i="8"/>
  <c r="C405" i="2" a="1"/>
  <c r="C148" i="8"/>
  <c r="K7" i="4"/>
  <c r="C170" i="7"/>
  <c r="J117" i="4"/>
  <c r="C72" i="8"/>
  <c r="F119" i="4"/>
  <c r="F105" i="4"/>
  <c r="E197" i="4"/>
  <c r="C20" i="9"/>
  <c r="C365" i="2" a="1"/>
  <c r="K142" i="4"/>
  <c r="C118" i="2" a="1"/>
  <c r="J88" i="4"/>
  <c r="F153" i="4"/>
  <c r="J145" i="4"/>
  <c r="F182" i="4"/>
  <c r="C130" i="6"/>
  <c r="C88" i="5"/>
  <c r="C127" i="7"/>
  <c r="E43" i="4"/>
  <c r="J151" i="4"/>
  <c r="C463" i="2" a="1"/>
  <c r="C56" i="7"/>
  <c r="I82" i="4"/>
  <c r="F53" i="4"/>
  <c r="C119" i="2" a="1"/>
  <c r="C45" i="9"/>
  <c r="C13" i="7"/>
  <c r="K191" i="4"/>
  <c r="C315" i="2" a="1"/>
  <c r="F107" i="4"/>
  <c r="C182" i="2" a="1"/>
  <c r="F159" i="4"/>
  <c r="C180" i="2" a="1"/>
  <c r="F44" i="4"/>
  <c r="C161" i="2" a="1"/>
  <c r="C46" i="2" a="1"/>
  <c r="C353" i="2" a="1"/>
  <c r="H5" i="4"/>
  <c r="H166" i="4"/>
  <c r="C148" i="7"/>
  <c r="C147" i="6"/>
  <c r="H56" i="4"/>
  <c r="J69" i="4"/>
  <c r="F41" i="4"/>
  <c r="C434" i="2" a="1"/>
  <c r="C322" i="2" a="1"/>
  <c r="C195" i="2" a="1"/>
  <c r="C79" i="2" a="1"/>
  <c r="J118" i="4"/>
  <c r="J144" i="4"/>
  <c r="C75" i="2" a="1"/>
  <c r="C398" i="2" a="1"/>
  <c r="E184" i="4"/>
  <c r="F170" i="4"/>
  <c r="F24" i="4"/>
  <c r="C156" i="5"/>
  <c r="C385" i="2" a="1"/>
  <c r="C12" i="2" a="1"/>
  <c r="C28" i="7"/>
  <c r="C339" i="2" a="1"/>
  <c r="K126" i="4"/>
  <c r="H140" i="4"/>
  <c r="I181" i="4"/>
  <c r="C58" i="9"/>
  <c r="I163" i="4"/>
  <c r="H165" i="4"/>
  <c r="C115" i="7"/>
  <c r="F162" i="4"/>
  <c r="C447" i="2" a="1"/>
  <c r="C185" i="9"/>
  <c r="C203" i="6"/>
  <c r="C45" i="7"/>
  <c r="C499" i="2" a="1"/>
  <c r="C161" i="6"/>
  <c r="C135" i="9"/>
  <c r="C28" i="9"/>
  <c r="C144" i="9"/>
  <c r="F98" i="4"/>
  <c r="J159" i="4"/>
  <c r="C106" i="7"/>
  <c r="C117" i="8"/>
  <c r="C100" i="7"/>
  <c r="E165" i="4"/>
  <c r="I153" i="4"/>
  <c r="C113" i="2" a="1"/>
  <c r="J18" i="4"/>
  <c r="C466" i="2" a="1"/>
  <c r="I18" i="4"/>
  <c r="F68" i="4"/>
  <c r="C105" i="5"/>
  <c r="H48" i="4"/>
  <c r="E179" i="4"/>
  <c r="C45" i="6"/>
  <c r="C105" i="9"/>
  <c r="H94" i="4"/>
  <c r="J95" i="4"/>
  <c r="H57" i="4"/>
  <c r="C51" i="6"/>
  <c r="H138" i="4"/>
  <c r="K81" i="4"/>
  <c r="I156" i="4"/>
  <c r="K32" i="4"/>
  <c r="E183" i="4"/>
  <c r="E185" i="4"/>
  <c r="F190" i="4"/>
  <c r="H54" i="4"/>
  <c r="C183" i="5"/>
  <c r="K133" i="4"/>
  <c r="I58" i="4"/>
  <c r="K43" i="4"/>
  <c r="C145" i="7"/>
  <c r="C52" i="7"/>
  <c r="J85" i="4"/>
  <c r="C458" i="2" a="1"/>
  <c r="C29" i="5"/>
  <c r="K52" i="4"/>
  <c r="K39" i="4"/>
  <c r="E163" i="4"/>
  <c r="H45" i="4"/>
  <c r="J160" i="4"/>
  <c r="J75" i="4"/>
  <c r="E149" i="4"/>
  <c r="H50" i="4"/>
  <c r="C138" i="9"/>
  <c r="C115" i="2" a="1"/>
  <c r="K75" i="4"/>
  <c r="C98" i="2" a="1"/>
  <c r="F177" i="4"/>
  <c r="C152" i="9"/>
  <c r="I99" i="4"/>
  <c r="C51" i="8"/>
  <c r="C470" i="2" a="1"/>
  <c r="C83" i="8"/>
  <c r="C99" i="5"/>
  <c r="C118" i="5"/>
  <c r="C10" i="2" a="1"/>
  <c r="J101" i="4"/>
  <c r="C210" i="5"/>
  <c r="F95" i="4"/>
  <c r="C12" i="9"/>
  <c r="E85" i="4"/>
  <c r="I6" i="4"/>
  <c r="F140" i="4"/>
  <c r="C138" i="5"/>
  <c r="K72" i="4"/>
  <c r="C149" i="2" a="1"/>
  <c r="C48" i="7"/>
  <c r="C64" i="8"/>
  <c r="C10" i="5"/>
  <c r="C126" i="9"/>
  <c r="C126" i="5"/>
  <c r="J55" i="4"/>
  <c r="H15" i="4"/>
  <c r="F30" i="4"/>
  <c r="C38" i="9"/>
  <c r="H47" i="4"/>
  <c r="C182" i="6"/>
  <c r="I47" i="4"/>
  <c r="C8" i="9"/>
  <c r="C102" i="8"/>
  <c r="C54" i="8"/>
  <c r="C25" i="9"/>
  <c r="H65" i="4"/>
  <c r="K194" i="4"/>
  <c r="K147" i="4"/>
  <c r="J143" i="4"/>
  <c r="C117" i="2" a="1"/>
  <c r="C443" i="2" a="1"/>
  <c r="H135" i="4"/>
  <c r="J50" i="4"/>
  <c r="J102" i="4"/>
  <c r="C206" i="5"/>
  <c r="C43" i="6"/>
  <c r="J154" i="4"/>
  <c r="C156" i="9"/>
  <c r="F176" i="4"/>
  <c r="J196" i="4"/>
  <c r="F66" i="4"/>
  <c r="C126" i="2" a="1"/>
  <c r="C200" i="6"/>
  <c r="I102" i="4"/>
  <c r="J148" i="4"/>
  <c r="H196" i="4"/>
  <c r="C22" i="7"/>
  <c r="F193" i="4"/>
  <c r="C85" i="9"/>
  <c r="J86" i="4"/>
  <c r="C323" i="2" a="1"/>
  <c r="C183" i="7"/>
  <c r="C116" i="6"/>
  <c r="C204" i="7"/>
  <c r="C34" i="5"/>
  <c r="C160" i="8"/>
  <c r="C82" i="5"/>
  <c r="E193" i="4"/>
  <c r="C70" i="7"/>
  <c r="C364" i="2" a="1"/>
  <c r="K50" i="4"/>
  <c r="K117" i="4"/>
  <c r="I30" i="4"/>
  <c r="H114" i="4"/>
  <c r="C170" i="6"/>
  <c r="C87" i="2" a="1"/>
  <c r="J58" i="4"/>
  <c r="C179" i="2" a="1"/>
  <c r="C125" i="5"/>
  <c r="F132" i="4"/>
  <c r="E48" i="4"/>
  <c r="F139" i="4"/>
  <c r="C472" i="2" a="1"/>
  <c r="C305" i="2" a="1"/>
  <c r="C59" i="6"/>
  <c r="C187" i="5"/>
  <c r="C205" i="6"/>
  <c r="C72" i="2" a="1"/>
  <c r="E83" i="4"/>
  <c r="K152" i="4"/>
  <c r="E7" i="4"/>
  <c r="E67" i="4"/>
  <c r="K30" i="4"/>
  <c r="C8" i="6"/>
  <c r="C150" i="8"/>
  <c r="H199" i="4"/>
  <c r="I72" i="4"/>
  <c r="C90" i="9"/>
  <c r="E32" i="4"/>
  <c r="C146" i="7"/>
  <c r="C185" i="6"/>
  <c r="C144" i="2" a="1"/>
  <c r="C318" i="2" a="1"/>
  <c r="C58" i="2" a="1"/>
  <c r="H89" i="4"/>
  <c r="H64" i="4"/>
  <c r="J136" i="4"/>
  <c r="K63" i="4"/>
  <c r="C220" i="9"/>
  <c r="C65" i="5"/>
  <c r="C205" i="9"/>
  <c r="C367" i="2" a="1"/>
  <c r="C110" i="8"/>
  <c r="H71" i="4"/>
  <c r="I48" i="4"/>
  <c r="C492" i="2" a="1"/>
  <c r="K121" i="4"/>
  <c r="C186" i="2" a="1"/>
  <c r="C18" i="6"/>
  <c r="I130" i="4"/>
  <c r="C13" i="5"/>
  <c r="C62" i="9"/>
  <c r="J171" i="4"/>
  <c r="I35" i="4"/>
  <c r="C197" i="7"/>
  <c r="C390" i="2" a="1"/>
  <c r="K94" i="4"/>
  <c r="I198" i="4"/>
  <c r="H149" i="4"/>
  <c r="C59" i="8"/>
  <c r="E9" i="4"/>
  <c r="C32" i="6"/>
  <c r="C19" i="9"/>
  <c r="F51" i="4"/>
  <c r="C201" i="7"/>
  <c r="J94" i="4"/>
  <c r="C177" i="9"/>
  <c r="C10" i="7"/>
  <c r="E202" i="4"/>
  <c r="C174" i="2" a="1"/>
  <c r="E169" i="4"/>
  <c r="H110" i="4"/>
  <c r="C413" i="2" a="1"/>
  <c r="H62" i="4"/>
  <c r="H118" i="4"/>
  <c r="C115" i="5"/>
  <c r="C35" i="8"/>
  <c r="C199" i="7"/>
  <c r="I88" i="4"/>
  <c r="E129" i="4"/>
  <c r="E82" i="4"/>
  <c r="H122" i="4"/>
  <c r="J22" i="4"/>
  <c r="C147" i="8"/>
  <c r="C37" i="2" a="1"/>
  <c r="C51" i="7"/>
  <c r="C23" i="8"/>
  <c r="C24" i="8"/>
  <c r="C171" i="7"/>
  <c r="E142" i="4"/>
  <c r="H180" i="4"/>
  <c r="K190" i="4"/>
  <c r="C437" i="2" a="1"/>
  <c r="E161" i="4"/>
  <c r="F104" i="4"/>
  <c r="C388" i="2" a="1"/>
  <c r="F128" i="4"/>
  <c r="C105" i="8"/>
  <c r="I67" i="4"/>
  <c r="I103" i="4"/>
  <c r="C83" i="6"/>
  <c r="C24" i="6"/>
  <c r="C221" i="2" a="1"/>
  <c r="K160" i="4"/>
  <c r="I94" i="4"/>
  <c r="C145" i="6"/>
  <c r="E186" i="4"/>
  <c r="J163" i="4"/>
  <c r="C203" i="9"/>
  <c r="C90" i="6"/>
  <c r="F166" i="4"/>
  <c r="C112" i="7"/>
  <c r="J190" i="4"/>
  <c r="I161" i="4"/>
  <c r="C26" i="5"/>
  <c r="J70" i="4"/>
  <c r="C36" i="7"/>
  <c r="C164" i="7"/>
  <c r="C448" i="2" a="1"/>
  <c r="C166" i="9"/>
  <c r="C428" i="2" a="1"/>
  <c r="C37" i="7"/>
  <c r="I9" i="4"/>
  <c r="C37" i="8"/>
  <c r="C31" i="6"/>
  <c r="F59" i="4"/>
  <c r="J181" i="4"/>
  <c r="E68" i="4"/>
  <c r="E94" i="4"/>
  <c r="F158" i="4"/>
  <c r="C135" i="8"/>
  <c r="C184" i="7"/>
  <c r="C27" i="8"/>
  <c r="C44" i="2" a="1"/>
  <c r="J47" i="4"/>
  <c r="C18" i="5"/>
  <c r="C215" i="7"/>
  <c r="C47" i="8"/>
  <c r="H63" i="4"/>
  <c r="C206" i="8"/>
  <c r="C37" i="5"/>
  <c r="E125" i="4"/>
  <c r="C107" i="5"/>
  <c r="C90" i="5"/>
  <c r="I14" i="4"/>
  <c r="C145" i="9"/>
  <c r="J32" i="4"/>
  <c r="I154" i="4"/>
  <c r="C61" i="8"/>
  <c r="C58" i="6"/>
  <c r="C307" i="2" a="1"/>
  <c r="C201" i="2" a="1"/>
  <c r="C137" i="8"/>
  <c r="K53" i="4"/>
  <c r="C65" i="2" a="1"/>
  <c r="K192" i="4"/>
  <c r="C392" i="2" a="1"/>
  <c r="C163" i="2" a="1"/>
  <c r="F143" i="4"/>
  <c r="I194" i="4"/>
  <c r="C175" i="7"/>
  <c r="C53" i="8"/>
  <c r="H123" i="4"/>
  <c r="C108" i="2" a="1"/>
  <c r="C128" i="6"/>
  <c r="K128" i="4"/>
  <c r="C207" i="6"/>
  <c r="K24" i="4"/>
  <c r="C195" i="7"/>
  <c r="C449" i="2" a="1"/>
  <c r="C33" i="6"/>
  <c r="J124" i="4"/>
  <c r="C101" i="9"/>
  <c r="I191" i="4"/>
  <c r="C211" i="7"/>
  <c r="J199" i="4"/>
  <c r="C146" i="2" a="1"/>
  <c r="C350" i="2" a="1"/>
  <c r="C13" i="6"/>
  <c r="C175" i="6"/>
  <c r="K23" i="4"/>
  <c r="C92" i="9"/>
  <c r="K154" i="4"/>
  <c r="C182" i="9"/>
  <c r="C95" i="6"/>
  <c r="I13" i="4"/>
  <c r="F147" i="4"/>
  <c r="C311" i="2" a="1"/>
  <c r="C9" i="7"/>
  <c r="C326" i="2" a="1"/>
  <c r="C95" i="8"/>
  <c r="C359" i="2" a="1"/>
  <c r="J133" i="4"/>
  <c r="K108" i="4"/>
  <c r="E13" i="4"/>
  <c r="C213" i="5"/>
  <c r="H147" i="4"/>
  <c r="E130" i="4"/>
  <c r="C203" i="5"/>
  <c r="C79" i="6"/>
  <c r="C28" i="8"/>
  <c r="K113" i="4"/>
  <c r="C175" i="9"/>
  <c r="E80" i="4"/>
  <c r="C134" i="2" a="1"/>
  <c r="C23" i="6"/>
  <c r="I33" i="4"/>
  <c r="C38" i="2" a="1"/>
  <c r="C110" i="6"/>
  <c r="C95" i="5"/>
  <c r="K150" i="4"/>
  <c r="C188" i="9"/>
  <c r="F101" i="4"/>
  <c r="J103" i="4"/>
  <c r="J27" i="4"/>
  <c r="F69" i="4"/>
  <c r="E77" i="4"/>
  <c r="C7" i="8"/>
  <c r="J92" i="4"/>
  <c r="E93" i="4"/>
  <c r="C26" i="7"/>
  <c r="C176" i="2" a="1"/>
  <c r="J77" i="4"/>
  <c r="I193" i="4"/>
  <c r="C417" i="2" a="1"/>
  <c r="J104" i="4"/>
  <c r="C35" i="5"/>
  <c r="K90" i="4"/>
  <c r="C89" i="5"/>
  <c r="K174" i="4"/>
  <c r="C40" i="6"/>
  <c r="C76" i="2" a="1"/>
  <c r="C33" i="7"/>
  <c r="C64" i="6"/>
  <c r="C9" i="5"/>
  <c r="C92" i="7"/>
  <c r="C65" i="9"/>
  <c r="C148" i="9"/>
  <c r="C150" i="9"/>
  <c r="I160" i="4"/>
  <c r="H11" i="4"/>
  <c r="C148" i="2" a="1"/>
  <c r="C187" i="9"/>
  <c r="C135" i="5"/>
  <c r="I21" i="4"/>
  <c r="C157" i="9"/>
  <c r="C36" i="9"/>
  <c r="C440" i="2" a="1"/>
  <c r="C35" i="6"/>
  <c r="E198" i="4"/>
  <c r="F146" i="4"/>
  <c r="I178" i="4"/>
  <c r="C72" i="9"/>
  <c r="C162" i="5"/>
  <c r="I11" i="4"/>
  <c r="E75" i="4"/>
  <c r="C34" i="2" a="1"/>
  <c r="E155" i="4"/>
  <c r="E64" i="4"/>
  <c r="C19" i="2" a="1"/>
  <c r="F122" i="4"/>
  <c r="C62" i="5"/>
  <c r="C110" i="5"/>
  <c r="C188" i="6"/>
  <c r="E176" i="4"/>
  <c r="C147" i="2" a="1"/>
  <c r="C45" i="5"/>
  <c r="C102" i="2" a="1"/>
  <c r="H136" i="4"/>
  <c r="C46" i="8"/>
  <c r="C30" i="7"/>
  <c r="K28" i="4"/>
  <c r="E116" i="4"/>
  <c r="C455" i="2" a="1"/>
  <c r="I120" i="4"/>
  <c r="C123" i="9"/>
  <c r="J8" i="4"/>
  <c r="I62" i="4"/>
  <c r="K188" i="4"/>
  <c r="C12" i="5"/>
  <c r="J20" i="4"/>
  <c r="H152" i="4"/>
  <c r="C195" i="6"/>
  <c r="C15" i="2" a="1"/>
  <c r="I5" i="4"/>
  <c r="H188" i="4"/>
  <c r="C43" i="5"/>
  <c r="C101" i="8"/>
  <c r="C160" i="5"/>
  <c r="C214" i="6"/>
  <c r="C68" i="2" a="1"/>
  <c r="K79" i="4"/>
  <c r="E109" i="4"/>
  <c r="C141" i="2" a="1"/>
  <c r="C79" i="8"/>
  <c r="C150" i="6"/>
  <c r="H67" i="4"/>
  <c r="C70" i="9"/>
  <c r="C159" i="8"/>
  <c r="E118" i="4"/>
  <c r="C144" i="5"/>
  <c r="C67" i="2" a="1"/>
  <c r="C176" i="9"/>
  <c r="F3" i="4"/>
  <c r="I149" i="4"/>
  <c r="F93" i="4"/>
  <c r="J40" i="4"/>
  <c r="C82" i="9"/>
  <c r="K31" i="4"/>
  <c r="C491" i="2" a="1"/>
  <c r="C80" i="2" a="1"/>
  <c r="E150" i="4"/>
  <c r="C320" i="2" a="1"/>
  <c r="C123" i="5"/>
  <c r="J109" i="4"/>
  <c r="K119" i="4"/>
  <c r="C162" i="2" a="1"/>
  <c r="C116" i="8"/>
  <c r="F199" i="4"/>
  <c r="C424" i="2" a="1"/>
  <c r="J96" i="4"/>
  <c r="F96" i="4"/>
  <c r="H132" i="4"/>
  <c r="J16" i="4"/>
  <c r="C203" i="8"/>
  <c r="H24" i="4"/>
  <c r="H183" i="4"/>
  <c r="I60" i="4"/>
  <c r="J129" i="4"/>
  <c r="C480" i="2" a="1"/>
  <c r="C123" i="6"/>
  <c r="C12" i="8"/>
  <c r="I167" i="4"/>
  <c r="F175" i="4"/>
  <c r="C7" i="6"/>
  <c r="C158" i="7"/>
  <c r="C134" i="8"/>
  <c r="C310" i="2" a="1"/>
  <c r="C154" i="2" a="1"/>
  <c r="E124" i="4"/>
  <c r="C174" i="6"/>
  <c r="C217" i="9"/>
  <c r="E143" i="4"/>
  <c r="C100" i="8"/>
  <c r="C41" i="6"/>
  <c r="C47" i="2" a="1"/>
  <c r="I29" i="4"/>
  <c r="C131" i="8"/>
  <c r="C465" i="2" a="1"/>
  <c r="C66" i="8"/>
  <c r="E178" i="4"/>
  <c r="I180" i="4"/>
  <c r="C133" i="5"/>
  <c r="F203" i="4"/>
  <c r="I175" i="4"/>
  <c r="F133" i="4"/>
  <c r="C134" i="6"/>
  <c r="C185" i="2" a="1"/>
  <c r="K29" i="4"/>
  <c r="K175" i="4"/>
  <c r="J184" i="4"/>
  <c r="I166" i="4"/>
  <c r="C108" i="8"/>
  <c r="C64" i="2" a="1"/>
  <c r="K116" i="4"/>
  <c r="H103" i="4"/>
  <c r="J89" i="4"/>
  <c r="H22" i="4"/>
  <c r="C162" i="7"/>
  <c r="K34" i="4"/>
  <c r="C18" i="9"/>
  <c r="C215" i="9"/>
  <c r="C95" i="9"/>
  <c r="C16" i="9"/>
  <c r="C50" i="8"/>
  <c r="F173" i="4"/>
  <c r="C15" i="5"/>
  <c r="C200" i="5"/>
  <c r="F145" i="4"/>
  <c r="C26" i="6"/>
  <c r="H192" i="4"/>
  <c r="C319" i="2" a="1"/>
  <c r="F9" i="4"/>
  <c r="C56" i="8"/>
  <c r="H158" i="4"/>
  <c r="C108" i="5"/>
  <c r="F50" i="4"/>
  <c r="E23" i="4"/>
  <c r="F115" i="4"/>
  <c r="C24" i="7"/>
  <c r="C77" i="9"/>
  <c r="C10" i="9"/>
  <c r="C81" i="7"/>
  <c r="I49" i="4"/>
  <c r="K201" i="4"/>
  <c r="C211" i="8"/>
  <c r="K129" i="4"/>
  <c r="C165" i="7"/>
  <c r="C177" i="8"/>
  <c r="H95" i="4"/>
  <c r="J76" i="4"/>
  <c r="C429" i="2" a="1"/>
  <c r="H4" i="4"/>
  <c r="C196" i="5"/>
  <c r="F22" i="4"/>
  <c r="C462" i="2" a="1"/>
  <c r="J112" i="4"/>
  <c r="C78" i="7"/>
  <c r="I131" i="4"/>
  <c r="J67" i="4"/>
  <c r="K73" i="4"/>
  <c r="F40" i="4"/>
  <c r="F160" i="4"/>
  <c r="I133" i="4"/>
  <c r="J132" i="4"/>
  <c r="C153" i="2" a="1"/>
  <c r="F127" i="4"/>
  <c r="C198" i="9"/>
  <c r="I85" i="4"/>
  <c r="C430" i="2" a="1"/>
  <c r="C123" i="7"/>
  <c r="C14" i="5"/>
  <c r="C408" i="2" a="1"/>
  <c r="J126" i="4"/>
  <c r="J39" i="4"/>
  <c r="F4" i="4"/>
  <c r="C36" i="8"/>
  <c r="C363" i="2" a="1"/>
  <c r="C16" i="7"/>
  <c r="C162" i="8"/>
  <c r="H79" i="4"/>
  <c r="F102" i="4"/>
  <c r="J73" i="4"/>
  <c r="C53" i="2" a="1"/>
  <c r="C14" i="2" a="1"/>
  <c r="C141" i="7"/>
  <c r="C313" i="2" a="1"/>
  <c r="C124" i="6"/>
  <c r="C172" i="2" a="1"/>
  <c r="C400" i="2" a="1"/>
  <c r="C129" i="5"/>
  <c r="C31" i="2" a="1"/>
  <c r="C89" i="9"/>
  <c r="C124" i="8"/>
  <c r="C131" i="2" a="1"/>
  <c r="F65" i="4"/>
  <c r="C190" i="7"/>
  <c r="E111" i="4"/>
  <c r="C471" i="2" a="1"/>
  <c r="C344" i="2" a="1"/>
  <c r="C207" i="5"/>
  <c r="J177" i="4"/>
  <c r="C157" i="5"/>
  <c r="K196" i="4"/>
  <c r="C212" i="2" a="1"/>
  <c r="E113" i="4"/>
  <c r="C351" i="2" a="1"/>
  <c r="C203" i="7"/>
  <c r="C117" i="6"/>
  <c r="C66" i="7"/>
  <c r="I69" i="4"/>
  <c r="I168" i="4"/>
  <c r="C74" i="8"/>
  <c r="C373" i="2" a="1"/>
  <c r="C109" i="8"/>
  <c r="C206" i="6"/>
  <c r="C193" i="8"/>
  <c r="I32" i="4"/>
  <c r="E21" i="4"/>
  <c r="C17" i="6"/>
  <c r="C88" i="8"/>
  <c r="C201" i="8"/>
  <c r="I152" i="4"/>
  <c r="H169" i="4"/>
  <c r="C107" i="9"/>
  <c r="E49" i="4"/>
  <c r="C53" i="6"/>
  <c r="K179" i="4"/>
  <c r="C190" i="8"/>
  <c r="C158" i="8"/>
  <c r="C431" i="2" a="1"/>
  <c r="E206" i="4"/>
  <c r="C84" i="9"/>
  <c r="F31" i="4"/>
  <c r="C139" i="9"/>
  <c r="C126" i="7"/>
  <c r="E59" i="4"/>
  <c r="K44" i="4"/>
  <c r="I44" i="4"/>
  <c r="C26" i="2" a="1"/>
  <c r="C56" i="5"/>
  <c r="C186" i="7"/>
  <c r="C168" i="6"/>
  <c r="I84" i="4"/>
  <c r="E148" i="4"/>
  <c r="K6" i="4"/>
  <c r="C134" i="7"/>
  <c r="C169" i="2" a="1"/>
  <c r="J193" i="4"/>
  <c r="C208" i="6"/>
  <c r="I46" i="4"/>
  <c r="E201" i="4"/>
  <c r="C134" i="5"/>
  <c r="C182" i="5"/>
  <c r="C205" i="2" a="1"/>
  <c r="E20" i="4"/>
  <c r="J15" i="4"/>
  <c r="C126" i="6"/>
  <c r="I203" i="4"/>
  <c r="C152" i="2" a="1"/>
  <c r="J34" i="4"/>
  <c r="K178" i="4"/>
  <c r="C34" i="6"/>
  <c r="J19" i="4"/>
  <c r="C6" i="2" a="1"/>
  <c r="C28" i="6"/>
  <c r="C487" i="2" a="1"/>
  <c r="K164" i="4"/>
  <c r="F72" i="4"/>
  <c r="C44" i="6"/>
  <c r="K96" i="4"/>
  <c r="C141" i="5"/>
  <c r="K64" i="4"/>
  <c r="C167" i="6"/>
  <c r="J44" i="4"/>
  <c r="C80" i="5"/>
  <c r="E104" i="4"/>
  <c r="C116" i="7"/>
  <c r="C464" i="2" a="1"/>
  <c r="J42" i="4"/>
  <c r="C216" i="9"/>
  <c r="C86" i="2" a="1"/>
  <c r="F14" i="4"/>
  <c r="C48" i="2" a="1"/>
  <c r="C116" i="5"/>
  <c r="E160" i="4"/>
  <c r="C108" i="9"/>
  <c r="F7" i="4"/>
  <c r="C218" i="7"/>
  <c r="I68" i="4"/>
  <c r="C59" i="9"/>
  <c r="F185" i="4"/>
  <c r="C158" i="2" a="1"/>
  <c r="E147" i="4"/>
  <c r="K136" i="4"/>
  <c r="C35" i="2" a="1"/>
  <c r="C21" i="7"/>
  <c r="E91" i="4"/>
  <c r="C145" i="8"/>
  <c r="C185" i="7"/>
  <c r="J24" i="4"/>
  <c r="I10" i="4"/>
  <c r="K37" i="4"/>
  <c r="I42" i="4"/>
  <c r="C192" i="2" a="1"/>
  <c r="K19" i="4"/>
  <c r="J62" i="4"/>
  <c r="C158" i="9"/>
  <c r="C199" i="9"/>
  <c r="C196" i="8"/>
  <c r="C52" i="6"/>
  <c r="E101" i="4"/>
  <c r="C130" i="7"/>
  <c r="E135" i="4"/>
  <c r="C77" i="5"/>
  <c r="C111" i="9"/>
  <c r="C204" i="6"/>
  <c r="C48" i="5"/>
  <c r="I105" i="4"/>
  <c r="C57" i="5"/>
  <c r="C149" i="8"/>
  <c r="C445" i="2" a="1"/>
  <c r="C108" i="7"/>
  <c r="F60" i="4"/>
  <c r="C128" i="9"/>
  <c r="C195" i="5"/>
  <c r="C215" i="5"/>
  <c r="C21" i="5"/>
  <c r="C57" i="6"/>
  <c r="C27" i="6"/>
  <c r="C66" i="2" a="1"/>
  <c r="J173" i="4"/>
  <c r="J12" i="4"/>
  <c r="C113" i="8"/>
  <c r="C25" i="6"/>
  <c r="C112" i="8"/>
  <c r="E182" i="4"/>
  <c r="C107" i="2" a="1"/>
  <c r="C93" i="7"/>
  <c r="C468" i="2" a="1"/>
  <c r="C146" i="5"/>
  <c r="J120" i="4"/>
  <c r="I148" i="4"/>
  <c r="H129" i="4"/>
  <c r="E61" i="4"/>
  <c r="C217" i="6"/>
  <c r="F32" i="4"/>
  <c r="C481" i="2" a="1"/>
  <c r="J48" i="4"/>
  <c r="C96" i="6"/>
  <c r="F106" i="4"/>
  <c r="C362" i="2" a="1"/>
  <c r="C81" i="5"/>
  <c r="I177" i="4"/>
  <c r="C79" i="7"/>
  <c r="H87" i="4"/>
  <c r="J113" i="4"/>
  <c r="C372" i="2" a="1"/>
  <c r="C356" i="2" a="1"/>
  <c r="I108" i="4"/>
  <c r="J157" i="4"/>
  <c r="C179" i="5"/>
  <c r="H80" i="4"/>
  <c r="C489" i="2" a="1"/>
  <c r="C204" i="9"/>
  <c r="C410" i="2" a="1"/>
  <c r="C143" i="2" a="1"/>
  <c r="I19" i="4"/>
  <c r="C75" i="6"/>
  <c r="C158" i="6"/>
  <c r="C173" i="7"/>
  <c r="C168" i="8"/>
  <c r="C29" i="6"/>
  <c r="C76" i="6"/>
  <c r="C28" i="5"/>
  <c r="C145" i="5"/>
  <c r="C178" i="2" a="1"/>
  <c r="C335" i="2" a="1"/>
  <c r="J168" i="4"/>
  <c r="C94" i="6"/>
  <c r="C32" i="9"/>
  <c r="C87" i="6"/>
  <c r="K11" i="4"/>
  <c r="C31" i="7"/>
  <c r="C192" i="7"/>
  <c r="C503" i="2" a="1"/>
  <c r="I110" i="4"/>
  <c r="J63" i="4"/>
  <c r="J68" i="4"/>
  <c r="C340" i="2" a="1"/>
  <c r="C200" i="2" a="1"/>
  <c r="E168" i="4"/>
  <c r="K153" i="4"/>
  <c r="J108" i="4"/>
  <c r="H141" i="4"/>
  <c r="C497" i="2" a="1"/>
  <c r="C91" i="5"/>
  <c r="E55" i="4"/>
  <c r="K22" i="4"/>
  <c r="C70" i="6"/>
  <c r="I75" i="4"/>
  <c r="C121" i="9"/>
  <c r="C183" i="6"/>
  <c r="C53" i="5"/>
  <c r="C37" i="6"/>
  <c r="F154" i="4"/>
  <c r="E38" i="4"/>
  <c r="C61" i="5"/>
  <c r="C120" i="7"/>
  <c r="H179" i="4"/>
  <c r="C68" i="6"/>
  <c r="C6" i="5"/>
  <c r="C140" i="9"/>
  <c r="K99" i="4"/>
  <c r="C181" i="8"/>
  <c r="I73" i="4"/>
  <c r="C19" i="7"/>
  <c r="I17" i="4"/>
  <c r="C143" i="5"/>
  <c r="C25" i="2" a="1"/>
  <c r="J51" i="4"/>
  <c r="I76" i="4"/>
  <c r="C165" i="6"/>
  <c r="C66" i="5"/>
  <c r="C473" i="2" a="1"/>
  <c r="C120" i="6"/>
  <c r="I164" i="4"/>
  <c r="C78" i="5"/>
  <c r="C86" i="8"/>
  <c r="C11" i="5"/>
  <c r="F169" i="4"/>
  <c r="C85" i="6"/>
  <c r="C130" i="5"/>
  <c r="C137" i="9"/>
  <c r="K98" i="4"/>
  <c r="C122" i="8"/>
  <c r="C11" i="6"/>
  <c r="C51" i="2" a="1"/>
  <c r="C211" i="5"/>
  <c r="C368" i="2" a="1"/>
  <c r="C30" i="8"/>
  <c r="K67" i="4"/>
  <c r="I54" i="4"/>
  <c r="C155" i="8"/>
  <c r="C129" i="8"/>
  <c r="C127" i="9"/>
  <c r="C128" i="2" a="1"/>
  <c r="I52" i="4"/>
  <c r="H155" i="4"/>
  <c r="K167" i="4"/>
  <c r="H112" i="4"/>
  <c r="F151" i="4"/>
  <c r="J125" i="4"/>
  <c r="C451" i="2" a="1"/>
  <c r="F157" i="4"/>
  <c r="E62" i="4"/>
  <c r="J202" i="4"/>
  <c r="C49" i="7"/>
  <c r="C103" i="6"/>
  <c r="F138" i="4"/>
  <c r="K77" i="4"/>
  <c r="C111" i="7"/>
  <c r="C217" i="7"/>
  <c r="C87" i="5"/>
  <c r="H86" i="4"/>
  <c r="H30" i="4"/>
  <c r="C374" i="2" a="1"/>
  <c r="F67" i="4"/>
  <c r="C354" i="2" a="1"/>
  <c r="K97" i="4"/>
  <c r="C143" i="9"/>
  <c r="E181" i="4"/>
  <c r="C55" i="8"/>
  <c r="C324" i="2" a="1"/>
  <c r="C496" i="2" a="1"/>
  <c r="C119" i="9"/>
  <c r="H130" i="4"/>
  <c r="C208" i="8"/>
  <c r="C84" i="7"/>
  <c r="C88" i="7"/>
  <c r="C68" i="9"/>
  <c r="H46" i="4"/>
  <c r="C169" i="5"/>
  <c r="H173" i="4"/>
  <c r="C46" i="5"/>
  <c r="C219" i="8"/>
  <c r="H43" i="4"/>
  <c r="F77" i="4"/>
  <c r="I155" i="4"/>
  <c r="C152" i="8"/>
  <c r="F12" i="4"/>
  <c r="F5" i="4"/>
  <c r="K68" i="4"/>
  <c r="J43" i="4"/>
  <c r="F111" i="4"/>
  <c r="C193" i="7"/>
  <c r="C42" i="7"/>
  <c r="C42" i="9"/>
  <c r="K134" i="4"/>
  <c r="H37" i="4"/>
  <c r="J54" i="4"/>
  <c r="C15" i="9"/>
  <c r="H20" i="4"/>
  <c r="C113" i="9"/>
  <c r="C26" i="9"/>
  <c r="J38" i="4"/>
  <c r="K159" i="4"/>
  <c r="C78" i="9"/>
  <c r="C214" i="9"/>
  <c r="H178" i="4"/>
  <c r="C41" i="2" a="1"/>
  <c r="C197" i="8"/>
  <c r="J201" i="4"/>
  <c r="K135" i="4"/>
  <c r="F196" i="4"/>
  <c r="C135" i="2" a="1"/>
  <c r="I171" i="4"/>
  <c r="F192" i="4"/>
  <c r="C91" i="8"/>
  <c r="C38" i="5"/>
  <c r="F6" i="4"/>
  <c r="F114" i="4"/>
  <c r="C347" i="2" a="1"/>
  <c r="E44" i="4"/>
  <c r="C65" i="6"/>
  <c r="C200" i="8"/>
  <c r="I40" i="4"/>
  <c r="C11" i="7"/>
  <c r="H27" i="4"/>
  <c r="E10" i="4"/>
  <c r="C40" i="2" a="1"/>
  <c r="E97" i="4"/>
  <c r="C121" i="8"/>
  <c r="H82" i="4"/>
  <c r="C46" i="9"/>
  <c r="C93" i="9"/>
  <c r="C476" i="2" a="1"/>
  <c r="C97" i="5"/>
  <c r="C446" i="2" a="1"/>
  <c r="F57" i="4"/>
  <c r="H170" i="4"/>
  <c r="H186" i="4"/>
  <c r="I201" i="4"/>
  <c r="J204" i="4"/>
  <c r="C141" i="6"/>
  <c r="I28" i="4"/>
  <c r="C123" i="8"/>
  <c r="C41" i="5"/>
  <c r="C41" i="8"/>
  <c r="F10" i="4"/>
  <c r="F206" i="4"/>
  <c r="E190" i="4"/>
  <c r="C50" i="7"/>
  <c r="C166" i="6"/>
  <c r="J119" i="4"/>
  <c r="J138" i="4"/>
  <c r="C122" i="7"/>
  <c r="C32" i="5"/>
  <c r="C213" i="7"/>
  <c r="C26" i="8"/>
  <c r="C162" i="6"/>
  <c r="E70" i="4"/>
  <c r="C73" i="2" a="1"/>
  <c r="C482" i="2" a="1"/>
  <c r="C190" i="2" a="1"/>
  <c r="H6" i="4"/>
  <c r="I151" i="4"/>
  <c r="C96" i="2" a="1"/>
  <c r="K169" i="4"/>
  <c r="C370" i="2" a="1"/>
  <c r="C39" i="9"/>
  <c r="H93" i="4"/>
  <c r="C58" i="7"/>
  <c r="C193" i="9"/>
  <c r="C40" i="7"/>
  <c r="C188" i="8"/>
  <c r="C93" i="2" a="1"/>
  <c r="C173" i="9"/>
  <c r="C36" i="2" a="1"/>
  <c r="J72" i="4"/>
  <c r="H143" i="4"/>
  <c r="H204" i="4"/>
  <c r="C32" i="8"/>
  <c r="E121" i="4"/>
  <c r="C123" i="2" a="1"/>
  <c r="K189" i="4"/>
  <c r="C329" i="2" a="1"/>
  <c r="C82" i="2" a="1"/>
  <c r="E170" i="4"/>
  <c r="I36" i="4"/>
  <c r="C103" i="7"/>
  <c r="C197" i="6"/>
  <c r="C316" i="2" a="1"/>
  <c r="C150" i="5"/>
  <c r="C82" i="6"/>
  <c r="C140" i="2" a="1"/>
  <c r="C219" i="6"/>
  <c r="J188" i="4"/>
  <c r="H190" i="4"/>
  <c r="C104" i="9"/>
  <c r="C16" i="5"/>
  <c r="C15" i="6"/>
  <c r="H144" i="4"/>
  <c r="C157" i="7"/>
  <c r="C9" i="2" a="1"/>
  <c r="C16" i="2" a="1"/>
  <c r="C167" i="7"/>
  <c r="E144" i="4"/>
  <c r="H121" i="4"/>
  <c r="C379" i="2" a="1"/>
  <c r="C460" i="2" a="1"/>
  <c r="F74" i="4"/>
  <c r="C77" i="8"/>
  <c r="C194" i="6"/>
  <c r="C61" i="7"/>
  <c r="C109" i="6"/>
  <c r="I187" i="4"/>
  <c r="C23" i="5"/>
  <c r="C91" i="9"/>
  <c r="C333" i="2" a="1"/>
  <c r="J5" i="4"/>
  <c r="C126" i="8"/>
  <c r="C204" i="2" a="1"/>
  <c r="C172" i="7"/>
  <c r="C180" i="7"/>
  <c r="C137" i="5"/>
  <c r="C159" i="5"/>
  <c r="F179" i="4"/>
  <c r="I122" i="4"/>
  <c r="C99" i="2" a="1"/>
  <c r="E180" i="4"/>
  <c r="K130" i="4"/>
  <c r="C214" i="2" a="1"/>
  <c r="C158" i="5"/>
  <c r="J164" i="4"/>
  <c r="C214" i="8"/>
  <c r="C180" i="5"/>
  <c r="C156" i="2" a="1"/>
  <c r="C61" i="6"/>
  <c r="C169" i="8"/>
  <c r="F89" i="4"/>
  <c r="F34" i="4"/>
  <c r="C360" i="2" a="1"/>
  <c r="C407" i="2" a="1"/>
  <c r="C199" i="5"/>
  <c r="C174" i="7"/>
  <c r="C433" i="2" a="1"/>
  <c r="E158" i="4"/>
  <c r="C179" i="7"/>
  <c r="C197" i="9"/>
  <c r="C42" i="2" a="1"/>
  <c r="C186" i="9"/>
  <c r="C478" i="2" a="1"/>
  <c r="C33" i="2" a="1"/>
  <c r="C198" i="6"/>
  <c r="C124" i="2" a="1"/>
  <c r="C467" i="2" a="1"/>
  <c r="C112" i="5"/>
  <c r="E92" i="4"/>
  <c r="C57" i="9"/>
  <c r="F16" i="4"/>
  <c r="J46" i="4"/>
  <c r="I138" i="4"/>
  <c r="E172" i="4"/>
  <c r="C60" i="8"/>
  <c r="E128" i="4"/>
  <c r="K161" i="4"/>
  <c r="F194" i="4"/>
  <c r="C391" i="2" a="1"/>
  <c r="C104" i="8"/>
  <c r="C112" i="2" a="1"/>
  <c r="C76" i="9"/>
  <c r="K88" i="4"/>
  <c r="C153" i="9"/>
  <c r="K165" i="4"/>
  <c r="I157" i="4"/>
  <c r="K204" i="4"/>
  <c r="H21" i="4"/>
  <c r="K58" i="4"/>
  <c r="J183" i="4"/>
  <c r="H96" i="4"/>
  <c r="H134" i="4"/>
  <c r="C64" i="5"/>
  <c r="C78" i="8"/>
  <c r="C128" i="8"/>
  <c r="C67" i="5"/>
  <c r="C50" i="9"/>
  <c r="E141" i="4"/>
  <c r="C215" i="2" a="1"/>
  <c r="F42" i="4"/>
  <c r="I27" i="4"/>
  <c r="C156" i="7"/>
  <c r="C150" i="7"/>
  <c r="K131" i="4"/>
  <c r="K172" i="4"/>
  <c r="C183" i="2" a="1"/>
  <c r="C109" i="5"/>
  <c r="I23" i="4"/>
  <c r="C103" i="2" a="1"/>
  <c r="F91" i="4"/>
  <c r="C169" i="9"/>
  <c r="C99" i="9"/>
  <c r="C132" i="8"/>
  <c r="K54" i="4"/>
  <c r="F195" i="4"/>
  <c r="E18" i="4"/>
  <c r="K202" i="4"/>
  <c r="I50" i="4"/>
  <c r="H77" i="4"/>
  <c r="C361" i="2" a="1"/>
  <c r="I162" i="4"/>
  <c r="C151" i="7"/>
  <c r="C118" i="8"/>
  <c r="H19" i="4"/>
  <c r="I45" i="4"/>
  <c r="C148" i="6"/>
  <c r="C168" i="9"/>
  <c r="I119" i="4"/>
  <c r="J61" i="4"/>
  <c r="C50" i="6"/>
  <c r="F137" i="4"/>
  <c r="C220" i="6"/>
  <c r="C210" i="7"/>
  <c r="C122" i="6"/>
  <c r="C81" i="2" a="1"/>
  <c r="C60" i="2" a="1"/>
  <c r="K35" i="4"/>
  <c r="C177" i="5"/>
  <c r="H120" i="4"/>
  <c r="K102" i="4"/>
  <c r="E26" i="4"/>
  <c r="I83" i="4"/>
  <c r="C17" i="2" a="1"/>
  <c r="K171" i="4"/>
  <c r="H197" i="4"/>
  <c r="F110" i="4"/>
  <c r="C7" i="2" a="1"/>
  <c r="C173" i="5"/>
  <c r="C21" i="6"/>
  <c r="I111" i="4"/>
  <c r="K83" i="4"/>
  <c r="C125" i="6"/>
  <c r="K74" i="4"/>
  <c r="H26" i="4"/>
  <c r="H191" i="4"/>
  <c r="C110" i="9"/>
  <c r="C125" i="2" a="1"/>
  <c r="C110" i="7"/>
  <c r="C483" i="2" a="1"/>
  <c r="C198" i="5"/>
  <c r="C423" i="2" a="1"/>
  <c r="F205" i="4"/>
  <c r="H163" i="4"/>
  <c r="E152" i="4"/>
  <c r="C205" i="7"/>
  <c r="C119" i="8"/>
  <c r="E188" i="4"/>
  <c r="C456" i="2" a="1"/>
  <c r="E3" i="4"/>
  <c r="C127" i="2" a="1"/>
  <c r="C55" i="7"/>
  <c r="C214" i="7"/>
  <c r="C348" i="2" a="1"/>
  <c r="C172" i="8"/>
  <c r="C45" i="2" a="1"/>
  <c r="F200" i="4"/>
  <c r="I77" i="4"/>
  <c r="C40" i="9"/>
  <c r="I66" i="4"/>
  <c r="F123" i="4"/>
  <c r="C172" i="6"/>
  <c r="J53" i="4"/>
  <c r="C106" i="6"/>
  <c r="C165" i="5"/>
  <c r="C393" i="2" a="1"/>
  <c r="C160" i="6"/>
  <c r="C132" i="2" a="1"/>
  <c r="C157" i="8"/>
  <c r="C184" i="2" a="1"/>
  <c r="K141" i="4"/>
  <c r="E36" i="4"/>
  <c r="C164" i="8"/>
  <c r="C73" i="9"/>
  <c r="C214" i="5"/>
  <c r="J49" i="4"/>
  <c r="C94" i="2" a="1"/>
  <c r="H60" i="4"/>
  <c r="H69" i="4"/>
  <c r="J31" i="4"/>
  <c r="C93" i="6"/>
  <c r="C170" i="5"/>
  <c r="E24" i="4"/>
  <c r="C171" i="9"/>
  <c r="H91" i="4"/>
  <c r="K138" i="4"/>
  <c r="C111" i="2" a="1"/>
  <c r="C129" i="6"/>
  <c r="C125" i="7"/>
  <c r="C51" i="5"/>
  <c r="H39" i="4"/>
  <c r="K111" i="4"/>
  <c r="H171" i="4"/>
  <c r="C196" i="7"/>
  <c r="C114" i="5"/>
  <c r="F28" i="4"/>
  <c r="C175" i="2" a="1"/>
  <c r="C47" i="7"/>
  <c r="C152" i="6"/>
  <c r="E42" i="4"/>
  <c r="F141" i="4"/>
  <c r="C377" i="2" a="1"/>
  <c r="C180" i="8"/>
  <c r="C181" i="6"/>
  <c r="C210" i="2" a="1"/>
  <c r="F19" i="4"/>
  <c r="C144" i="7"/>
  <c r="K85" i="4"/>
  <c r="C153" i="7"/>
  <c r="C40" i="5"/>
  <c r="E73" i="4"/>
  <c r="H202" i="4"/>
  <c r="C187" i="2" a="1"/>
  <c r="C17" i="7"/>
  <c r="H61" i="4"/>
  <c r="C218" i="9"/>
  <c r="C75" i="7"/>
  <c r="C71" i="8"/>
  <c r="S11" i="2" a="1"/>
  <c r="F165" i="4"/>
  <c r="C145" i="2" a="1"/>
  <c r="C111" i="5"/>
  <c r="C69" i="5"/>
  <c r="H156" i="4"/>
  <c r="I24" i="4"/>
  <c r="E11" i="4"/>
  <c r="C355" i="2" a="1"/>
  <c r="H107" i="4"/>
  <c r="K137" i="4"/>
  <c r="C97" i="9"/>
  <c r="C207" i="8"/>
  <c r="C93" i="5"/>
  <c r="C117" i="7"/>
  <c r="C117" i="9"/>
  <c r="C62" i="8"/>
  <c r="E194" i="4"/>
  <c r="C31" i="9"/>
  <c r="F184" i="4"/>
  <c r="C86" i="7"/>
  <c r="C43" i="8"/>
  <c r="I186" i="4"/>
  <c r="C469" i="2" a="1"/>
  <c r="C414" i="2" a="1"/>
  <c r="E19" i="4"/>
  <c r="H117" i="4"/>
  <c r="H10" i="4"/>
  <c r="K41" i="4"/>
  <c r="F126" i="4"/>
  <c r="C176" i="8"/>
  <c r="C149" i="6"/>
  <c r="I195" i="4"/>
  <c r="C48" i="9"/>
  <c r="J3" i="4"/>
  <c r="E25" i="4"/>
  <c r="E76" i="4"/>
  <c r="C65" i="8"/>
  <c r="C136" i="6"/>
  <c r="C163" i="7"/>
  <c r="C117" i="5"/>
  <c r="K158" i="4"/>
  <c r="F38" i="4"/>
  <c r="C105" i="2" a="1"/>
  <c r="F83" i="4"/>
  <c r="C20" i="8"/>
  <c r="I147" i="4"/>
  <c r="K25" i="4"/>
  <c r="I197" i="4"/>
  <c r="J33" i="4"/>
  <c r="F130" i="4"/>
  <c r="C41" i="7"/>
  <c r="C212" i="9"/>
  <c r="H72" i="4"/>
  <c r="C119" i="5"/>
  <c r="F201" i="4"/>
  <c r="C122" i="5"/>
  <c r="H34" i="4"/>
  <c r="C187" i="6"/>
  <c r="C415" i="2" a="1"/>
  <c r="C309" i="2" a="1"/>
  <c r="H125" i="4"/>
  <c r="C18" i="8"/>
  <c r="H172" i="4"/>
  <c r="C67" i="7"/>
  <c r="C166" i="5"/>
  <c r="F47" i="4"/>
  <c r="C49" i="2" a="1"/>
  <c r="I39" i="4"/>
  <c r="C52" i="5"/>
  <c r="F109" i="4"/>
  <c r="F71" i="4"/>
  <c r="H150" i="4"/>
  <c r="C193" i="5"/>
  <c r="F20" i="4"/>
  <c r="C102" i="7"/>
  <c r="C143" i="6"/>
  <c r="H42" i="4"/>
  <c r="E100" i="4"/>
  <c r="I192" i="4"/>
  <c r="C74" i="2" a="1"/>
  <c r="H25" i="4"/>
  <c r="C147" i="5"/>
  <c r="K20" i="4"/>
  <c r="C30" i="9"/>
  <c r="C160" i="9"/>
  <c r="H85" i="4"/>
  <c r="C35" i="7"/>
  <c r="C169" i="6"/>
  <c r="H200" i="4"/>
  <c r="F48" i="4"/>
  <c r="C178" i="9"/>
  <c r="C308" i="2" a="1"/>
  <c r="I107" i="4"/>
  <c r="K93" i="4"/>
  <c r="C131" i="7"/>
  <c r="K33" i="4"/>
  <c r="F70" i="4"/>
  <c r="C60" i="6"/>
  <c r="C213" i="8"/>
  <c r="C357" i="2" a="1"/>
  <c r="C177" i="6"/>
  <c r="H174" i="4"/>
  <c r="J115" i="4"/>
  <c r="E22" i="4"/>
  <c r="J28" i="4"/>
  <c r="C39" i="2" a="1"/>
  <c r="C155" i="9"/>
  <c r="F183" i="4"/>
  <c r="K143" i="4"/>
  <c r="K16" i="4"/>
  <c r="C378" i="2" a="1"/>
  <c r="F188" i="4"/>
  <c r="C115" i="8"/>
  <c r="E139" i="4"/>
  <c r="C25" i="8"/>
  <c r="C111" i="6"/>
  <c r="I182" i="4"/>
  <c r="C130" i="8"/>
  <c r="C207" i="7"/>
  <c r="C88" i="6"/>
  <c r="C112" i="6"/>
  <c r="I57" i="4"/>
  <c r="H3" i="4"/>
  <c r="C94" i="9"/>
  <c r="K151" i="4"/>
  <c r="K36" i="4"/>
  <c r="I86" i="4"/>
  <c r="C54" i="5"/>
  <c r="C69" i="7"/>
  <c r="C177" i="2" a="1"/>
  <c r="C25" i="5"/>
  <c r="F58" i="4"/>
  <c r="K173" i="4"/>
  <c r="C148" i="5"/>
  <c r="J205" i="4"/>
  <c r="J158" i="4"/>
  <c r="C334" i="2" a="1"/>
  <c r="I115" i="4"/>
  <c r="C332" i="2" a="1"/>
  <c r="C52" i="8"/>
  <c r="E39" i="4"/>
  <c r="C121" i="5"/>
  <c r="C154" i="7"/>
  <c r="H29" i="4"/>
  <c r="F187" i="4"/>
  <c r="E45" i="4"/>
  <c r="C164" i="2" a="1"/>
  <c r="C75" i="9"/>
  <c r="E138" i="4"/>
  <c r="C208" i="9"/>
  <c r="C144" i="8"/>
  <c r="C194" i="5"/>
  <c r="H127" i="4"/>
  <c r="C127" i="8"/>
  <c r="J29" i="4"/>
  <c r="C154" i="8"/>
  <c r="C477" i="2" a="1"/>
  <c r="J147" i="4"/>
  <c r="C426" i="2" a="1"/>
  <c r="C41" i="9"/>
  <c r="E173" i="4"/>
  <c r="C177" i="7"/>
  <c r="C104" i="5"/>
  <c r="K123" i="4"/>
  <c r="C151" i="5"/>
  <c r="H38" i="4"/>
  <c r="E37" i="4"/>
  <c r="C7" i="5"/>
  <c r="C69" i="2" a="1"/>
  <c r="C100" i="6"/>
  <c r="F118" i="4"/>
  <c r="C132" i="9"/>
  <c r="F49" i="4"/>
  <c r="J153" i="4"/>
  <c r="C31" i="5"/>
  <c r="C167" i="9"/>
  <c r="C49" i="8"/>
  <c r="F149" i="4"/>
  <c r="C47" i="5"/>
  <c r="J198" i="4"/>
  <c r="I143" i="4"/>
  <c r="E31" i="4"/>
  <c r="C85" i="7"/>
  <c r="I202" i="4"/>
  <c r="J60" i="4"/>
  <c r="J194" i="4"/>
  <c r="K69" i="4"/>
  <c r="F99" i="4"/>
  <c r="C101" i="2" a="1"/>
  <c r="C381" i="2" a="1"/>
  <c r="C44" i="9"/>
  <c r="K132" i="4"/>
  <c r="J74" i="4"/>
  <c r="E177" i="4"/>
  <c r="C185" i="8"/>
  <c r="F33" i="4"/>
  <c r="I200" i="4"/>
  <c r="J56" i="4"/>
  <c r="C216" i="6"/>
  <c r="J106" i="4"/>
  <c r="K109" i="4"/>
  <c r="C64" i="9"/>
  <c r="C375" i="2" a="1"/>
  <c r="J105" i="4"/>
  <c r="J78" i="4"/>
  <c r="C101" i="7"/>
  <c r="F100" i="4"/>
  <c r="F79" i="4"/>
  <c r="C88" i="2" a="1"/>
  <c r="I16" i="4"/>
  <c r="C40" i="8"/>
  <c r="C34" i="7"/>
  <c r="K89" i="4"/>
  <c r="I15" i="4"/>
  <c r="C171" i="2" a="1"/>
  <c r="F120" i="4"/>
  <c r="H88" i="4"/>
  <c r="C133" i="8"/>
  <c r="I139" i="4"/>
  <c r="F26" i="4"/>
  <c r="F37" i="4"/>
  <c r="K56" i="4"/>
  <c r="J100" i="4"/>
  <c r="J139" i="4"/>
  <c r="J84" i="4"/>
  <c r="C97" i="2" a="1"/>
  <c r="J152" i="4"/>
  <c r="E51" i="4"/>
  <c r="C129" i="2" a="1"/>
  <c r="I204" i="4"/>
  <c r="C103" i="8"/>
  <c r="I205" i="4"/>
  <c r="E105" i="4"/>
  <c r="C175" i="8"/>
  <c r="F45" i="4"/>
  <c r="H177" i="4"/>
  <c r="C121" i="7"/>
  <c r="F163" i="4"/>
  <c r="C56" i="9"/>
  <c r="I190" i="4"/>
  <c r="J203" i="4"/>
  <c r="J25" i="4"/>
  <c r="C163" i="5"/>
  <c r="C63" i="7"/>
  <c r="E117" i="4"/>
  <c r="E191" i="4"/>
  <c r="C76" i="7"/>
  <c r="C176" i="6"/>
  <c r="F21" i="4"/>
  <c r="J35" i="4"/>
  <c r="J114" i="4"/>
  <c r="I93" i="4"/>
  <c r="C306" i="2" a="1"/>
  <c r="C24" i="9"/>
  <c r="C78" i="6"/>
  <c r="C49" i="5"/>
  <c r="E137" i="4"/>
  <c r="F191" i="4"/>
  <c r="H148" i="4"/>
  <c r="C39" i="7"/>
  <c r="C139" i="5"/>
  <c r="C98" i="7"/>
  <c r="K180" i="4"/>
  <c r="C44" i="8"/>
  <c r="E60" i="4"/>
  <c r="I43" i="4"/>
  <c r="K61" i="4"/>
  <c r="I145" i="4"/>
  <c r="J156" i="4"/>
  <c r="F148" i="4"/>
  <c r="H28" i="4"/>
  <c r="C411" i="2" a="1"/>
  <c r="I169" i="4"/>
  <c r="C81" i="8"/>
  <c r="C175" i="5"/>
  <c r="H53" i="4"/>
  <c r="K185" i="4"/>
  <c r="E189" i="4"/>
  <c r="C220" i="5"/>
  <c r="K186" i="4"/>
  <c r="C161" i="8"/>
  <c r="H181" i="4"/>
  <c r="C103" i="9"/>
  <c r="J71" i="4"/>
  <c r="C425" i="2" a="1"/>
  <c r="F181" i="4"/>
  <c r="H7" i="4"/>
  <c r="K122" i="4"/>
  <c r="I118" i="4"/>
  <c r="I51" i="4"/>
  <c r="C71" i="2" a="1"/>
  <c r="C131" i="5"/>
  <c r="C179" i="6"/>
  <c r="K205" i="4"/>
  <c r="E114" i="4"/>
  <c r="E27" i="4"/>
  <c r="C176" i="7"/>
  <c r="K184" i="4"/>
  <c r="E65" i="4"/>
  <c r="K106" i="4"/>
  <c r="F63" i="4"/>
  <c r="C216" i="2" a="1"/>
  <c r="C68" i="8"/>
  <c r="C106" i="5"/>
  <c r="K197" i="4"/>
  <c r="C382" i="2" a="1"/>
  <c r="E103" i="4"/>
  <c r="C198" i="8"/>
  <c r="C170" i="2" a="1"/>
  <c r="E41" i="4"/>
  <c r="C62" i="6"/>
  <c r="E5" i="4"/>
  <c r="I113" i="4"/>
  <c r="E15" i="4"/>
  <c r="C91" i="2" a="1"/>
  <c r="H44" i="4"/>
  <c r="J185" i="4"/>
  <c r="K181" i="4"/>
  <c r="I128" i="4"/>
  <c r="C72" i="5"/>
  <c r="C421" i="2" a="1"/>
  <c r="E46" i="4"/>
  <c r="C494" i="2" a="1"/>
  <c r="K76" i="4"/>
  <c r="C57" i="7"/>
  <c r="C397" i="2" a="1"/>
  <c r="C57" i="2" a="1"/>
  <c r="C52" i="9"/>
  <c r="H128" i="4"/>
  <c r="F97" i="4"/>
  <c r="F11" i="4"/>
  <c r="C42" i="5"/>
  <c r="I144" i="4"/>
  <c r="F142" i="4"/>
  <c r="C211" i="2" a="1"/>
  <c r="C502" i="2" a="1"/>
  <c r="E112" i="4"/>
  <c r="C107" i="8"/>
  <c r="C474" i="2" a="1"/>
  <c r="C14" i="6"/>
  <c r="F87" i="4"/>
  <c r="C461" i="2" a="1"/>
  <c r="C75" i="8"/>
  <c r="I56" i="4"/>
  <c r="C59" i="5"/>
  <c r="C342" i="2" a="1"/>
  <c r="C98" i="5"/>
  <c r="C218" i="8"/>
  <c r="C38" i="7"/>
  <c r="I179" i="4"/>
  <c r="C92" i="8"/>
  <c r="K91" i="4"/>
  <c r="E133" i="4"/>
  <c r="C22" i="8"/>
  <c r="H175" i="4"/>
  <c r="E52" i="4"/>
  <c r="C15" i="8"/>
  <c r="C7" i="7"/>
  <c r="H119" i="4"/>
  <c r="C124" i="9"/>
  <c r="K101" i="4"/>
  <c r="C8" i="7"/>
  <c r="C63" i="5"/>
  <c r="F86" i="4"/>
  <c r="C208" i="2" a="1"/>
  <c r="H116" i="4"/>
  <c r="I3" i="4"/>
  <c r="E30" i="4"/>
  <c r="J81" i="4"/>
  <c r="F113" i="4"/>
  <c r="C325" i="2" a="1"/>
  <c r="C27" i="9"/>
  <c r="C29" i="8"/>
  <c r="C173" i="2" a="1"/>
  <c r="K193" i="4"/>
  <c r="C337" i="2" a="1"/>
  <c r="I150" i="4"/>
  <c r="F171" i="4"/>
  <c r="I87" i="4"/>
  <c r="C127" i="6"/>
  <c r="C36" i="6"/>
  <c r="H111" i="4"/>
  <c r="J137" i="4"/>
  <c r="H102" i="4"/>
  <c r="F61" i="4"/>
  <c r="F62" i="4"/>
  <c r="C207" i="2" a="1"/>
  <c r="C16" i="8"/>
  <c r="C14" i="7"/>
  <c r="C384" i="2" a="1"/>
  <c r="K187" i="4"/>
  <c r="C115" i="9"/>
  <c r="C47" i="9"/>
  <c r="C137" i="7"/>
  <c r="I63" i="4"/>
  <c r="C151" i="2" a="1"/>
  <c r="C74" i="6"/>
  <c r="H159" i="4"/>
  <c r="C59" i="7"/>
  <c r="K27" i="4"/>
  <c r="C24" i="5"/>
  <c r="F129" i="4"/>
  <c r="C165" i="2" a="1"/>
  <c r="C67" i="8"/>
  <c r="C215" i="8"/>
  <c r="C215" i="6"/>
  <c r="E88" i="4"/>
  <c r="C62" i="2" a="1"/>
  <c r="C202" i="2" a="1"/>
  <c r="C343" i="2" a="1"/>
  <c r="C163" i="9"/>
  <c r="C140" i="6"/>
  <c r="F161" i="4"/>
  <c r="H41" i="4"/>
  <c r="C90" i="7"/>
  <c r="C42" i="8"/>
  <c r="C168" i="7"/>
  <c r="C505" i="2" a="1"/>
  <c r="E174" i="4"/>
  <c r="K112" i="4"/>
  <c r="C218" i="6"/>
  <c r="C138" i="6"/>
  <c r="C48" i="8"/>
  <c r="J45" i="4"/>
  <c r="C56" i="2" a="1"/>
  <c r="F84" i="4"/>
  <c r="C396" i="2" a="1"/>
  <c r="F80" i="4"/>
  <c r="K170" i="4"/>
  <c r="I91" i="4"/>
  <c r="C84" i="2" a="1"/>
  <c r="C54" i="9"/>
  <c r="C83" i="5"/>
  <c r="C79" i="5"/>
  <c r="C63" i="2" a="1"/>
  <c r="C39" i="6"/>
  <c r="J122" i="4"/>
  <c r="I104" i="4"/>
  <c r="H98" i="4"/>
  <c r="C11" i="2" a="1"/>
  <c r="C199" i="6"/>
  <c r="C187" i="7"/>
  <c r="C166" i="2" a="1"/>
  <c r="F18" i="4"/>
  <c r="F56" i="4"/>
  <c r="I134" i="4"/>
  <c r="J4" i="4"/>
  <c r="C53" i="7"/>
  <c r="C450" i="2" a="1"/>
  <c r="I189" i="4"/>
  <c r="C192" i="8"/>
  <c r="C97" i="7"/>
  <c r="H198" i="4"/>
  <c r="C9" i="8"/>
  <c r="C422" i="2" a="1"/>
  <c r="J191" i="4"/>
  <c r="C73" i="5"/>
  <c r="C180" i="9"/>
  <c r="C23" i="7"/>
  <c r="C80" i="9"/>
  <c r="C43" i="9"/>
  <c r="C154" i="6"/>
  <c r="K104" i="4"/>
  <c r="C479" i="2" a="1"/>
  <c r="K71" i="4"/>
  <c r="C174" i="8"/>
  <c r="C186" i="8"/>
  <c r="C23" i="9"/>
  <c r="C12" i="7"/>
  <c r="H106" i="4"/>
  <c r="E156" i="4"/>
  <c r="J30" i="4"/>
  <c r="E131" i="4"/>
  <c r="K3" i="4"/>
  <c r="C168" i="2" a="1"/>
  <c r="C94" i="7"/>
  <c r="F112" i="4"/>
  <c r="F150" i="4"/>
  <c r="H124" i="4"/>
  <c r="C33" i="5"/>
  <c r="J90" i="4"/>
  <c r="H201" i="4"/>
  <c r="I114" i="4"/>
  <c r="C202" i="5"/>
  <c r="E166" i="4"/>
  <c r="K82" i="4"/>
  <c r="C190" i="5"/>
  <c r="I31" i="4"/>
  <c r="C67" i="9"/>
  <c r="C490" i="2" a="1"/>
  <c r="H9" i="4"/>
  <c r="I74" i="4"/>
  <c r="C17" i="5"/>
  <c r="J6" i="4"/>
  <c r="C495" i="2" a="1"/>
  <c r="C213" i="2" a="1"/>
  <c r="J11" i="4"/>
  <c r="C60" i="5"/>
  <c r="I100" i="4"/>
  <c r="C457" i="2" a="1"/>
  <c r="C338" i="2" a="1"/>
  <c r="C137" i="2" a="1"/>
  <c r="C171" i="8"/>
  <c r="H193" i="4"/>
  <c r="C84" i="5"/>
  <c r="C330" i="2" a="1"/>
  <c r="C69" i="8"/>
  <c r="C47" i="6"/>
  <c r="K9" i="4"/>
  <c r="C138" i="2" a="1"/>
  <c r="H55" i="4"/>
  <c r="C88" i="9"/>
  <c r="F35" i="4"/>
  <c r="C317" i="2" a="1"/>
  <c r="C114" i="7"/>
  <c r="F174" i="4"/>
  <c r="C61" i="9"/>
  <c r="C120" i="2" a="1"/>
  <c r="K59" i="4"/>
  <c r="K78" i="4"/>
  <c r="E29" i="4"/>
  <c r="C435" i="2" a="1"/>
  <c r="C101" i="6"/>
  <c r="I199" i="4"/>
  <c r="J127" i="4"/>
  <c r="E205" i="4"/>
  <c r="I78" i="4"/>
  <c r="C109" i="9"/>
  <c r="I98" i="4"/>
  <c r="K110" i="4"/>
  <c r="E187" i="4"/>
  <c r="C80" i="8"/>
  <c r="J111" i="4"/>
  <c r="I61" i="4"/>
  <c r="H74" i="4"/>
  <c r="C201" i="6"/>
  <c r="H100" i="4"/>
  <c r="C484" i="2" a="1"/>
  <c r="K55" i="4"/>
  <c r="C19" i="8"/>
  <c r="E134" i="4"/>
  <c r="F155" i="4"/>
  <c r="E16" i="4"/>
  <c r="K168" i="4"/>
  <c r="C12" i="6"/>
  <c r="I126" i="4"/>
  <c r="C195" i="9"/>
  <c r="K92" i="4"/>
  <c r="K166" i="4"/>
  <c r="C155" i="7"/>
  <c r="C170" i="8"/>
  <c r="C120" i="5"/>
  <c r="K49" i="4"/>
  <c r="K115" i="4"/>
  <c r="C394" i="2" a="1"/>
  <c r="C116" i="9"/>
  <c r="C19" i="5"/>
  <c r="C118" i="6"/>
  <c r="I206" i="4"/>
  <c r="J169" i="4"/>
  <c r="C327" i="2" a="1"/>
  <c r="C401" i="2" a="1"/>
  <c r="E164" i="4"/>
  <c r="F13" i="4"/>
  <c r="K120" i="4"/>
  <c r="C107" i="6"/>
  <c r="C157" i="2" a="1"/>
  <c r="H66" i="4"/>
  <c r="C211" i="6"/>
  <c r="E96" i="4"/>
  <c r="C46" i="6"/>
  <c r="J79" i="4"/>
  <c r="C24" i="2" a="1"/>
  <c r="I172" i="4"/>
  <c r="C132" i="7"/>
  <c r="C165" i="9"/>
  <c r="F197" i="4"/>
  <c r="C52" i="2" a="1"/>
  <c r="C52" i="2" l="1"/>
  <c r="F61" i="12"/>
  <c r="D165" i="9"/>
  <c r="D132" i="7"/>
  <c r="H88" i="12"/>
  <c r="C24" i="2"/>
  <c r="O79" i="4"/>
  <c r="I118" i="12"/>
  <c r="D46" i="6"/>
  <c r="AD96" i="4"/>
  <c r="W99" i="12" s="1"/>
  <c r="E99" i="12"/>
  <c r="S96" i="4"/>
  <c r="Q99" i="12" s="1"/>
  <c r="R96" i="4"/>
  <c r="R99" i="12" s="1"/>
  <c r="L96" i="4"/>
  <c r="P99" i="12" s="1"/>
  <c r="AA96" i="4"/>
  <c r="S99" i="12" s="1"/>
  <c r="Z96" i="4"/>
  <c r="T99" i="12" s="1"/>
  <c r="AE96" i="4"/>
  <c r="X99" i="12" s="1"/>
  <c r="D211" i="6"/>
  <c r="V66" i="4"/>
  <c r="U193" i="12" s="1"/>
  <c r="G193" i="12"/>
  <c r="C157" i="2"/>
  <c r="D107" i="6"/>
  <c r="L44" i="12"/>
  <c r="F158" i="12"/>
  <c r="L164" i="4"/>
  <c r="P113" i="12" s="1"/>
  <c r="AE164" i="4"/>
  <c r="X113" i="12" s="1"/>
  <c r="AA164" i="4"/>
  <c r="S113" i="12" s="1"/>
  <c r="AD164" i="4"/>
  <c r="W113" i="12" s="1"/>
  <c r="R164" i="4"/>
  <c r="R113" i="12" s="1"/>
  <c r="E113" i="12"/>
  <c r="S164" i="4"/>
  <c r="Q113" i="12" s="1"/>
  <c r="Z164" i="4"/>
  <c r="T113" i="12" s="1"/>
  <c r="C401" i="2"/>
  <c r="C327" i="2"/>
  <c r="I87" i="12"/>
  <c r="O169" i="4"/>
  <c r="H86" i="12"/>
  <c r="D118" i="6"/>
  <c r="D19" i="5"/>
  <c r="D116" i="9"/>
  <c r="C394" i="2"/>
  <c r="L137" i="12"/>
  <c r="L188" i="12"/>
  <c r="D120" i="5"/>
  <c r="D170" i="8"/>
  <c r="D155" i="7"/>
  <c r="L82" i="12"/>
  <c r="L192" i="12"/>
  <c r="D195" i="9"/>
  <c r="H176" i="12"/>
  <c r="D12" i="6"/>
  <c r="L198" i="12"/>
  <c r="R16" i="4"/>
  <c r="R184" i="12" s="1"/>
  <c r="S16" i="4"/>
  <c r="Q184" i="12" s="1"/>
  <c r="AD16" i="4"/>
  <c r="W184" i="12" s="1"/>
  <c r="E184" i="12"/>
  <c r="Z16" i="4"/>
  <c r="T184" i="12" s="1"/>
  <c r="AE16" i="4"/>
  <c r="X184" i="12" s="1"/>
  <c r="L16" i="4"/>
  <c r="P184" i="12" s="1"/>
  <c r="AA16" i="4"/>
  <c r="S184" i="12" s="1"/>
  <c r="F102" i="12"/>
  <c r="L134" i="4"/>
  <c r="P119" i="12" s="1"/>
  <c r="AE134" i="4"/>
  <c r="X119" i="12" s="1"/>
  <c r="S134" i="4"/>
  <c r="Q119" i="12" s="1"/>
  <c r="AA134" i="4"/>
  <c r="S119" i="12" s="1"/>
  <c r="AD134" i="4"/>
  <c r="W119" i="12" s="1"/>
  <c r="R134" i="4"/>
  <c r="R119" i="12" s="1"/>
  <c r="E119" i="12"/>
  <c r="Z134" i="4"/>
  <c r="T119" i="12" s="1"/>
  <c r="D19" i="8"/>
  <c r="L105" i="12"/>
  <c r="C484" i="2"/>
  <c r="V100" i="4"/>
  <c r="U56" i="12" s="1"/>
  <c r="G56" i="12"/>
  <c r="D201" i="6"/>
  <c r="G39" i="12"/>
  <c r="V74" i="4"/>
  <c r="U39" i="12" s="1"/>
  <c r="H139" i="12"/>
  <c r="O111" i="4"/>
  <c r="I51" i="12"/>
  <c r="D80" i="8"/>
  <c r="AA187" i="4"/>
  <c r="S8" i="12" s="1"/>
  <c r="AE187" i="4"/>
  <c r="X8" i="12" s="1"/>
  <c r="R187" i="4"/>
  <c r="R8" i="12" s="1"/>
  <c r="E8" i="12"/>
  <c r="AD187" i="4"/>
  <c r="W8" i="12" s="1"/>
  <c r="S187" i="4"/>
  <c r="Q8" i="12" s="1"/>
  <c r="L187" i="4"/>
  <c r="P8" i="12" s="1"/>
  <c r="Z187" i="4"/>
  <c r="T8" i="12" s="1"/>
  <c r="L120" i="12"/>
  <c r="H100" i="12"/>
  <c r="D109" i="9"/>
  <c r="H114" i="12"/>
  <c r="AA205" i="4"/>
  <c r="S164" i="12" s="1"/>
  <c r="Z205" i="4"/>
  <c r="T164" i="12" s="1"/>
  <c r="AD205" i="4"/>
  <c r="W164" i="12" s="1"/>
  <c r="AE205" i="4"/>
  <c r="X164" i="12" s="1"/>
  <c r="L205" i="4"/>
  <c r="P164" i="12" s="1"/>
  <c r="R205" i="4"/>
  <c r="R164" i="12" s="1"/>
  <c r="S205" i="4"/>
  <c r="Q164" i="12" s="1"/>
  <c r="E164" i="12"/>
  <c r="I127" i="12"/>
  <c r="O127" i="4"/>
  <c r="H196" i="12"/>
  <c r="D101" i="6"/>
  <c r="C435" i="2"/>
  <c r="L29" i="4"/>
  <c r="P178" i="12" s="1"/>
  <c r="R29" i="4"/>
  <c r="R178" i="12" s="1"/>
  <c r="S29" i="4"/>
  <c r="Q178" i="12" s="1"/>
  <c r="AE29" i="4"/>
  <c r="X178" i="12" s="1"/>
  <c r="E178" i="12"/>
  <c r="AD29" i="4"/>
  <c r="W178" i="12" s="1"/>
  <c r="Z29" i="4"/>
  <c r="T178" i="12" s="1"/>
  <c r="AA29" i="4"/>
  <c r="S178" i="12" s="1"/>
  <c r="L114" i="12"/>
  <c r="L140" i="12"/>
  <c r="C120" i="2"/>
  <c r="D61" i="9"/>
  <c r="F110" i="12"/>
  <c r="D114" i="7"/>
  <c r="C317" i="2"/>
  <c r="F187" i="12"/>
  <c r="D88" i="9"/>
  <c r="G105" i="12"/>
  <c r="V55" i="4"/>
  <c r="U105" i="12" s="1"/>
  <c r="C138" i="2"/>
  <c r="L16" i="12"/>
  <c r="D47" i="6"/>
  <c r="D69" i="8"/>
  <c r="C330" i="2"/>
  <c r="D84" i="5"/>
  <c r="G77" i="12"/>
  <c r="V193" i="4"/>
  <c r="U77" i="12" s="1"/>
  <c r="D171" i="8"/>
  <c r="C137" i="2"/>
  <c r="C338" i="2"/>
  <c r="C457" i="2"/>
  <c r="H56" i="12"/>
  <c r="D60" i="5"/>
  <c r="I171" i="12"/>
  <c r="O11" i="4"/>
  <c r="C213" i="2"/>
  <c r="C495" i="2"/>
  <c r="I55" i="12"/>
  <c r="O6" i="4"/>
  <c r="D17" i="5"/>
  <c r="H39" i="12"/>
  <c r="G16" i="12"/>
  <c r="V9" i="4"/>
  <c r="U16" i="12" s="1"/>
  <c r="C490" i="2"/>
  <c r="D67" i="9"/>
  <c r="H182" i="12"/>
  <c r="D190" i="5"/>
  <c r="L162" i="12"/>
  <c r="L166" i="4"/>
  <c r="P82" i="12" s="1"/>
  <c r="AA166" i="4"/>
  <c r="S82" i="12" s="1"/>
  <c r="E82" i="12"/>
  <c r="AE166" i="4"/>
  <c r="X82" i="12" s="1"/>
  <c r="R166" i="4"/>
  <c r="R82" i="12" s="1"/>
  <c r="Z166" i="4"/>
  <c r="T82" i="12" s="1"/>
  <c r="AD166" i="4"/>
  <c r="W82" i="12" s="1"/>
  <c r="S166" i="4"/>
  <c r="Q82" i="12" s="1"/>
  <c r="D202" i="5"/>
  <c r="H111" i="12"/>
  <c r="V201" i="4"/>
  <c r="U147" i="12" s="1"/>
  <c r="G147" i="12"/>
  <c r="I36" i="12"/>
  <c r="O90" i="4"/>
  <c r="D33" i="5"/>
  <c r="V124" i="4"/>
  <c r="U23" i="12" s="1"/>
  <c r="G23" i="12"/>
  <c r="F42" i="12"/>
  <c r="F163" i="12"/>
  <c r="D94" i="7"/>
  <c r="C168" i="2"/>
  <c r="L179" i="12"/>
  <c r="E27" i="12"/>
  <c r="AE131" i="4"/>
  <c r="X27" i="12" s="1"/>
  <c r="AD131" i="4"/>
  <c r="W27" i="12" s="1"/>
  <c r="AA131" i="4"/>
  <c r="S27" i="12" s="1"/>
  <c r="R131" i="4"/>
  <c r="R27" i="12" s="1"/>
  <c r="L131" i="4"/>
  <c r="P27" i="12" s="1"/>
  <c r="S131" i="4"/>
  <c r="Q27" i="12" s="1"/>
  <c r="Z131" i="4"/>
  <c r="T27" i="12" s="1"/>
  <c r="O30" i="4"/>
  <c r="I131" i="12"/>
  <c r="E34" i="12"/>
  <c r="AD156" i="4"/>
  <c r="W34" i="12" s="1"/>
  <c r="AE156" i="4"/>
  <c r="X34" i="12" s="1"/>
  <c r="R156" i="4"/>
  <c r="R34" i="12" s="1"/>
  <c r="Z156" i="4"/>
  <c r="T34" i="12" s="1"/>
  <c r="S156" i="4"/>
  <c r="Q34" i="12" s="1"/>
  <c r="AA156" i="4"/>
  <c r="S34" i="12" s="1"/>
  <c r="L156" i="4"/>
  <c r="P34" i="12" s="1"/>
  <c r="G180" i="12"/>
  <c r="V106" i="4"/>
  <c r="U180" i="12" s="1"/>
  <c r="D12" i="7"/>
  <c r="D23" i="9"/>
  <c r="D186" i="8"/>
  <c r="D174" i="8"/>
  <c r="L40" i="12"/>
  <c r="C479" i="2"/>
  <c r="L112" i="12"/>
  <c r="D154" i="6"/>
  <c r="D43" i="9"/>
  <c r="D80" i="9"/>
  <c r="D23" i="7"/>
  <c r="D180" i="9"/>
  <c r="D73" i="5"/>
  <c r="O191" i="4"/>
  <c r="Q191" i="4" s="1"/>
  <c r="I68" i="12"/>
  <c r="C422" i="2"/>
  <c r="D9" i="8"/>
  <c r="V198" i="4"/>
  <c r="U195" i="12" s="1"/>
  <c r="G195" i="12"/>
  <c r="D97" i="7"/>
  <c r="D192" i="8"/>
  <c r="H52" i="12"/>
  <c r="C450" i="2"/>
  <c r="D53" i="7"/>
  <c r="I13" i="12"/>
  <c r="O4" i="4"/>
  <c r="H119" i="12"/>
  <c r="F128" i="12"/>
  <c r="F104" i="12"/>
  <c r="C166" i="2"/>
  <c r="D187" i="7"/>
  <c r="D199" i="6"/>
  <c r="C11" i="2"/>
  <c r="G100" i="12"/>
  <c r="V98" i="4"/>
  <c r="U100" i="12" s="1"/>
  <c r="H112" i="12"/>
  <c r="O122" i="4"/>
  <c r="I3" i="12"/>
  <c r="D39" i="6"/>
  <c r="C63" i="2"/>
  <c r="D79" i="5"/>
  <c r="D83" i="5"/>
  <c r="D54" i="9"/>
  <c r="C84" i="2"/>
  <c r="H152" i="12"/>
  <c r="L30" i="12"/>
  <c r="F66" i="12"/>
  <c r="C396" i="2"/>
  <c r="F59" i="12"/>
  <c r="C56" i="2"/>
  <c r="I172" i="12"/>
  <c r="O45" i="4"/>
  <c r="D48" i="8"/>
  <c r="D138" i="6"/>
  <c r="D218" i="6"/>
  <c r="L163" i="12"/>
  <c r="AE174" i="4"/>
  <c r="X110" i="12" s="1"/>
  <c r="E110" i="12"/>
  <c r="L174" i="4"/>
  <c r="P110" i="12" s="1"/>
  <c r="Z174" i="4"/>
  <c r="T110" i="12" s="1"/>
  <c r="AD174" i="4"/>
  <c r="W110" i="12" s="1"/>
  <c r="AA174" i="4"/>
  <c r="S110" i="12" s="1"/>
  <c r="R174" i="4"/>
  <c r="R110" i="12" s="1"/>
  <c r="S174" i="4"/>
  <c r="Q110" i="12" s="1"/>
  <c r="C505" i="2"/>
  <c r="D168" i="7"/>
  <c r="D42" i="8"/>
  <c r="D90" i="7"/>
  <c r="G48" i="12"/>
  <c r="V41" i="4"/>
  <c r="U48" i="12" s="1"/>
  <c r="F154" i="12"/>
  <c r="D140" i="6"/>
  <c r="D163" i="9"/>
  <c r="C343" i="2"/>
  <c r="C202" i="2"/>
  <c r="C62" i="2"/>
  <c r="E29" i="12"/>
  <c r="R88" i="4"/>
  <c r="R29" i="12" s="1"/>
  <c r="Z88" i="4"/>
  <c r="T29" i="12" s="1"/>
  <c r="AE88" i="4"/>
  <c r="X29" i="12" s="1"/>
  <c r="AA88" i="4"/>
  <c r="S29" i="12" s="1"/>
  <c r="S88" i="4"/>
  <c r="Q29" i="12" s="1"/>
  <c r="AD88" i="4"/>
  <c r="W29" i="12" s="1"/>
  <c r="L88" i="4"/>
  <c r="P29" i="12" s="1"/>
  <c r="D215" i="6"/>
  <c r="D215" i="8"/>
  <c r="D67" i="8"/>
  <c r="C165" i="2"/>
  <c r="F72" i="12"/>
  <c r="D24" i="5"/>
  <c r="L123" i="12"/>
  <c r="D59" i="7"/>
  <c r="G74" i="12"/>
  <c r="V159" i="4"/>
  <c r="U74" i="12" s="1"/>
  <c r="D74" i="6"/>
  <c r="C151" i="2"/>
  <c r="H145" i="12"/>
  <c r="D137" i="7"/>
  <c r="D47" i="9"/>
  <c r="D115" i="9"/>
  <c r="L8" i="12"/>
  <c r="C384" i="2"/>
  <c r="D14" i="7"/>
  <c r="D16" i="8"/>
  <c r="C207" i="2"/>
  <c r="F141" i="12"/>
  <c r="F139" i="12"/>
  <c r="G144" i="12"/>
  <c r="V102" i="4"/>
  <c r="U144" i="12" s="1"/>
  <c r="I64" i="12"/>
  <c r="O137" i="4"/>
  <c r="G51" i="12"/>
  <c r="V111" i="4"/>
  <c r="U51" i="12" s="1"/>
  <c r="D36" i="6"/>
  <c r="D127" i="6"/>
  <c r="H96" i="12"/>
  <c r="F70" i="12"/>
  <c r="H42" i="12"/>
  <c r="C337" i="2"/>
  <c r="L77" i="12"/>
  <c r="C173" i="2"/>
  <c r="D29" i="8"/>
  <c r="D27" i="9"/>
  <c r="C325" i="2"/>
  <c r="F57" i="12"/>
  <c r="I11" i="12"/>
  <c r="O81" i="4"/>
  <c r="AA30" i="4"/>
  <c r="S131" i="12" s="1"/>
  <c r="Z30" i="4"/>
  <c r="T131" i="12" s="1"/>
  <c r="E131" i="12"/>
  <c r="S30" i="4"/>
  <c r="Q131" i="12" s="1"/>
  <c r="AE30" i="4"/>
  <c r="X131" i="12" s="1"/>
  <c r="L30" i="4"/>
  <c r="P131" i="12" s="1"/>
  <c r="R30" i="4"/>
  <c r="R131" i="12" s="1"/>
  <c r="AD30" i="4"/>
  <c r="W131" i="12" s="1"/>
  <c r="H179" i="12"/>
  <c r="G67" i="12"/>
  <c r="V116" i="4"/>
  <c r="U67" i="12" s="1"/>
  <c r="C208" i="2"/>
  <c r="F53" i="12"/>
  <c r="D63" i="5"/>
  <c r="D8" i="7"/>
  <c r="L143" i="12"/>
  <c r="D124" i="9"/>
  <c r="G81" i="12"/>
  <c r="V119" i="4"/>
  <c r="U81" i="12" s="1"/>
  <c r="D7" i="7"/>
  <c r="D15" i="8"/>
  <c r="E38" i="12"/>
  <c r="AE52" i="4"/>
  <c r="X38" i="12" s="1"/>
  <c r="S52" i="4"/>
  <c r="Q38" i="12" s="1"/>
  <c r="R52" i="4"/>
  <c r="R38" i="12" s="1"/>
  <c r="Z52" i="4"/>
  <c r="T38" i="12" s="1"/>
  <c r="AA52" i="4"/>
  <c r="S38" i="12" s="1"/>
  <c r="AD52" i="4"/>
  <c r="W38" i="12" s="1"/>
  <c r="L52" i="4"/>
  <c r="P38" i="12" s="1"/>
  <c r="V175" i="4"/>
  <c r="U166" i="12" s="1"/>
  <c r="G166" i="12"/>
  <c r="D22" i="8"/>
  <c r="L133" i="4"/>
  <c r="P25" i="12" s="1"/>
  <c r="AA133" i="4"/>
  <c r="S25" i="12" s="1"/>
  <c r="E25" i="12"/>
  <c r="S133" i="4"/>
  <c r="Q25" i="12" s="1"/>
  <c r="AD133" i="4"/>
  <c r="W25" i="12" s="1"/>
  <c r="Z133" i="4"/>
  <c r="T25" i="12" s="1"/>
  <c r="R133" i="4"/>
  <c r="R25" i="12" s="1"/>
  <c r="AE133" i="4"/>
  <c r="X25" i="12" s="1"/>
  <c r="L152" i="12"/>
  <c r="D92" i="8"/>
  <c r="H191" i="12"/>
  <c r="D38" i="7"/>
  <c r="D218" i="8"/>
  <c r="D98" i="5"/>
  <c r="C342" i="2"/>
  <c r="D59" i="5"/>
  <c r="H128" i="12"/>
  <c r="D75" i="8"/>
  <c r="C461" i="2"/>
  <c r="F96" i="12"/>
  <c r="D14" i="6"/>
  <c r="C474" i="2"/>
  <c r="D107" i="8"/>
  <c r="S112" i="4"/>
  <c r="Q163" i="12" s="1"/>
  <c r="AD112" i="4"/>
  <c r="W163" i="12" s="1"/>
  <c r="E163" i="12"/>
  <c r="AA112" i="4"/>
  <c r="S163" i="12" s="1"/>
  <c r="R112" i="4"/>
  <c r="R163" i="12" s="1"/>
  <c r="AE112" i="4"/>
  <c r="X163" i="12" s="1"/>
  <c r="L112" i="4"/>
  <c r="P163" i="12" s="1"/>
  <c r="Z112" i="4"/>
  <c r="T163" i="12" s="1"/>
  <c r="C502" i="2"/>
  <c r="C211" i="2"/>
  <c r="F14" i="12"/>
  <c r="H65" i="12"/>
  <c r="D42" i="5"/>
  <c r="F171" i="12"/>
  <c r="F35" i="12"/>
  <c r="G80" i="12"/>
  <c r="V128" i="4"/>
  <c r="U80" i="12" s="1"/>
  <c r="D52" i="9"/>
  <c r="C57" i="2"/>
  <c r="C397" i="2"/>
  <c r="D57" i="7"/>
  <c r="L62" i="12"/>
  <c r="C494" i="2"/>
  <c r="L46" i="4"/>
  <c r="P97" i="12" s="1"/>
  <c r="AD46" i="4"/>
  <c r="W97" i="12" s="1"/>
  <c r="Z46" i="4"/>
  <c r="T97" i="12" s="1"/>
  <c r="AE46" i="4"/>
  <c r="X97" i="12" s="1"/>
  <c r="R46" i="4"/>
  <c r="R97" i="12" s="1"/>
  <c r="AA46" i="4"/>
  <c r="S97" i="12" s="1"/>
  <c r="E97" i="12"/>
  <c r="S46" i="4"/>
  <c r="Q97" i="12" s="1"/>
  <c r="C421" i="2"/>
  <c r="D72" i="5"/>
  <c r="H80" i="12"/>
  <c r="L5" i="12"/>
  <c r="O185" i="4"/>
  <c r="I69" i="12"/>
  <c r="V44" i="4"/>
  <c r="U205" i="12" s="1"/>
  <c r="G205" i="12"/>
  <c r="C91" i="2"/>
  <c r="E75" i="12"/>
  <c r="R15" i="4"/>
  <c r="R75" i="12" s="1"/>
  <c r="S15" i="4"/>
  <c r="Q75" i="12" s="1"/>
  <c r="L15" i="4"/>
  <c r="P75" i="12" s="1"/>
  <c r="AA15" i="4"/>
  <c r="S75" i="12" s="1"/>
  <c r="Z15" i="4"/>
  <c r="T75" i="12" s="1"/>
  <c r="AE15" i="4"/>
  <c r="X75" i="12" s="1"/>
  <c r="AD15" i="4"/>
  <c r="W75" i="12" s="1"/>
  <c r="H57" i="12"/>
  <c r="S5" i="4"/>
  <c r="Q130" i="12" s="1"/>
  <c r="Z5" i="4"/>
  <c r="T130" i="12" s="1"/>
  <c r="E130" i="12"/>
  <c r="AD5" i="4"/>
  <c r="W130" i="12" s="1"/>
  <c r="R5" i="4"/>
  <c r="R130" i="12" s="1"/>
  <c r="AE5" i="4"/>
  <c r="X130" i="12" s="1"/>
  <c r="L5" i="4"/>
  <c r="P130" i="12" s="1"/>
  <c r="AA5" i="4"/>
  <c r="S130" i="12" s="1"/>
  <c r="D62" i="6"/>
  <c r="S41" i="4"/>
  <c r="Q48" i="12" s="1"/>
  <c r="R41" i="4"/>
  <c r="R48" i="12" s="1"/>
  <c r="AA41" i="4"/>
  <c r="S48" i="12" s="1"/>
  <c r="L41" i="4"/>
  <c r="P48" i="12" s="1"/>
  <c r="E48" i="12"/>
  <c r="AD41" i="4"/>
  <c r="W48" i="12" s="1"/>
  <c r="AE41" i="4"/>
  <c r="X48" i="12" s="1"/>
  <c r="Z41" i="4"/>
  <c r="T48" i="12" s="1"/>
  <c r="C170" i="2"/>
  <c r="D198" i="8"/>
  <c r="AA103" i="4"/>
  <c r="S24" i="12" s="1"/>
  <c r="R103" i="4"/>
  <c r="R24" i="12" s="1"/>
  <c r="AE103" i="4"/>
  <c r="X24" i="12" s="1"/>
  <c r="S103" i="4"/>
  <c r="Q24" i="12" s="1"/>
  <c r="E24" i="12"/>
  <c r="AD103" i="4"/>
  <c r="W24" i="12" s="1"/>
  <c r="L103" i="4"/>
  <c r="P24" i="12" s="1"/>
  <c r="Z103" i="4"/>
  <c r="T24" i="12" s="1"/>
  <c r="C382" i="2"/>
  <c r="L61" i="12"/>
  <c r="D106" i="5"/>
  <c r="D68" i="8"/>
  <c r="C216" i="2"/>
  <c r="F145" i="12"/>
  <c r="L180" i="12"/>
  <c r="AA65" i="4"/>
  <c r="S146" i="12" s="1"/>
  <c r="AE65" i="4"/>
  <c r="X146" i="12" s="1"/>
  <c r="AD65" i="4"/>
  <c r="W146" i="12" s="1"/>
  <c r="E146" i="12"/>
  <c r="R65" i="4"/>
  <c r="R146" i="12" s="1"/>
  <c r="L65" i="4"/>
  <c r="P146" i="12" s="1"/>
  <c r="Z65" i="4"/>
  <c r="T146" i="12" s="1"/>
  <c r="S65" i="4"/>
  <c r="Q146" i="12" s="1"/>
  <c r="L22" i="12"/>
  <c r="D176" i="7"/>
  <c r="E123" i="12"/>
  <c r="Z27" i="4"/>
  <c r="T123" i="12" s="1"/>
  <c r="L27" i="4"/>
  <c r="P123" i="12" s="1"/>
  <c r="R27" i="4"/>
  <c r="R123" i="12" s="1"/>
  <c r="AD27" i="4"/>
  <c r="W123" i="12" s="1"/>
  <c r="AE27" i="4"/>
  <c r="X123" i="12" s="1"/>
  <c r="AA27" i="4"/>
  <c r="S123" i="12" s="1"/>
  <c r="S27" i="4"/>
  <c r="Q123" i="12" s="1"/>
  <c r="L114" i="4"/>
  <c r="P111" i="12" s="1"/>
  <c r="Z114" i="4"/>
  <c r="T111" i="12" s="1"/>
  <c r="AD114" i="4"/>
  <c r="W111" i="12" s="1"/>
  <c r="AE114" i="4"/>
  <c r="X111" i="12" s="1"/>
  <c r="R114" i="4"/>
  <c r="R111" i="12" s="1"/>
  <c r="AA114" i="4"/>
  <c r="S111" i="12" s="1"/>
  <c r="S114" i="4"/>
  <c r="Q111" i="12" s="1"/>
  <c r="E111" i="12"/>
  <c r="L164" i="12"/>
  <c r="D179" i="6"/>
  <c r="D131" i="5"/>
  <c r="C71" i="2"/>
  <c r="H7" i="12"/>
  <c r="H33" i="12"/>
  <c r="L3" i="12"/>
  <c r="V7" i="4"/>
  <c r="U94" i="12" s="1"/>
  <c r="G94" i="12"/>
  <c r="F5" i="12"/>
  <c r="C425" i="2"/>
  <c r="I40" i="12"/>
  <c r="O71" i="4"/>
  <c r="D103" i="9"/>
  <c r="V181" i="4"/>
  <c r="U5" i="12" s="1"/>
  <c r="G5" i="12"/>
  <c r="D161" i="8"/>
  <c r="L49" i="12"/>
  <c r="D220" i="5"/>
  <c r="E52" i="12"/>
  <c r="AE189" i="4"/>
  <c r="X52" i="12" s="1"/>
  <c r="L189" i="4"/>
  <c r="P52" i="12" s="1"/>
  <c r="AD189" i="4"/>
  <c r="W52" i="12" s="1"/>
  <c r="AA189" i="4"/>
  <c r="S52" i="12" s="1"/>
  <c r="S189" i="4"/>
  <c r="Q52" i="12" s="1"/>
  <c r="R189" i="4"/>
  <c r="R52" i="12" s="1"/>
  <c r="Z189" i="4"/>
  <c r="T52" i="12" s="1"/>
  <c r="L69" i="12"/>
  <c r="V53" i="4"/>
  <c r="U133" i="12" s="1"/>
  <c r="G133" i="12"/>
  <c r="D175" i="5"/>
  <c r="D81" i="8"/>
  <c r="H87" i="12"/>
  <c r="C411" i="2"/>
  <c r="V28" i="4"/>
  <c r="U46" i="12" s="1"/>
  <c r="G46" i="12"/>
  <c r="F185" i="12"/>
  <c r="O156" i="4"/>
  <c r="I34" i="12"/>
  <c r="H18" i="12"/>
  <c r="L139" i="12"/>
  <c r="H126" i="12"/>
  <c r="L60" i="4"/>
  <c r="P200" i="12" s="1"/>
  <c r="AA60" i="4"/>
  <c r="S200" i="12" s="1"/>
  <c r="S60" i="4"/>
  <c r="Q200" i="12" s="1"/>
  <c r="AD60" i="4"/>
  <c r="W200" i="12" s="1"/>
  <c r="E200" i="12"/>
  <c r="R60" i="4"/>
  <c r="R200" i="12" s="1"/>
  <c r="AE60" i="4"/>
  <c r="X200" i="12" s="1"/>
  <c r="Z60" i="4"/>
  <c r="T200" i="12" s="1"/>
  <c r="D44" i="8"/>
  <c r="L4" i="12"/>
  <c r="D98" i="7"/>
  <c r="D139" i="5"/>
  <c r="D39" i="7"/>
  <c r="V148" i="4"/>
  <c r="U185" i="12" s="1"/>
  <c r="G185" i="12"/>
  <c r="F68" i="12"/>
  <c r="S137" i="4"/>
  <c r="Q64" i="12" s="1"/>
  <c r="R137" i="4"/>
  <c r="R64" i="12" s="1"/>
  <c r="AD137" i="4"/>
  <c r="W64" i="12" s="1"/>
  <c r="E64" i="12"/>
  <c r="AE137" i="4"/>
  <c r="X64" i="12" s="1"/>
  <c r="AA137" i="4"/>
  <c r="S64" i="12" s="1"/>
  <c r="L137" i="4"/>
  <c r="P64" i="12" s="1"/>
  <c r="Z137" i="4"/>
  <c r="T64" i="12" s="1"/>
  <c r="D49" i="5"/>
  <c r="D78" i="6"/>
  <c r="D24" i="9"/>
  <c r="C306" i="2"/>
  <c r="H41" i="12"/>
  <c r="O114" i="4"/>
  <c r="I111" i="12"/>
  <c r="O35" i="4"/>
  <c r="I187" i="12"/>
  <c r="F90" i="12"/>
  <c r="D176" i="6"/>
  <c r="D76" i="7"/>
  <c r="L191" i="4"/>
  <c r="P68" i="12" s="1"/>
  <c r="S191" i="4"/>
  <c r="Q68" i="12" s="1"/>
  <c r="AE191" i="4"/>
  <c r="X68" i="12" s="1"/>
  <c r="AA191" i="4"/>
  <c r="S68" i="12" s="1"/>
  <c r="Z191" i="4"/>
  <c r="T68" i="12" s="1"/>
  <c r="AD191" i="4"/>
  <c r="W68" i="12" s="1"/>
  <c r="R191" i="4"/>
  <c r="R68" i="12" s="1"/>
  <c r="E68" i="12"/>
  <c r="Z117" i="4"/>
  <c r="T85" i="12" s="1"/>
  <c r="R117" i="4"/>
  <c r="R85" i="12" s="1"/>
  <c r="AD117" i="4"/>
  <c r="W85" i="12" s="1"/>
  <c r="AA117" i="4"/>
  <c r="S85" i="12" s="1"/>
  <c r="L117" i="4"/>
  <c r="P85" i="12" s="1"/>
  <c r="S117" i="4"/>
  <c r="Q85" i="12" s="1"/>
  <c r="AE117" i="4"/>
  <c r="X85" i="12" s="1"/>
  <c r="E85" i="12"/>
  <c r="D63" i="7"/>
  <c r="D163" i="5"/>
  <c r="I43" i="12"/>
  <c r="O25" i="4"/>
  <c r="O203" i="4"/>
  <c r="I117" i="12"/>
  <c r="H132" i="12"/>
  <c r="D56" i="9"/>
  <c r="F122" i="12"/>
  <c r="D121" i="7"/>
  <c r="G91" i="12"/>
  <c r="V177" i="4"/>
  <c r="U91" i="12" s="1"/>
  <c r="F172" i="12"/>
  <c r="D175" i="8"/>
  <c r="AD105" i="4"/>
  <c r="W116" i="12" s="1"/>
  <c r="E116" i="12"/>
  <c r="AE105" i="4"/>
  <c r="X116" i="12" s="1"/>
  <c r="Z105" i="4"/>
  <c r="T116" i="12" s="1"/>
  <c r="R105" i="4"/>
  <c r="R116" i="12" s="1"/>
  <c r="L105" i="4"/>
  <c r="P116" i="12" s="1"/>
  <c r="S105" i="4"/>
  <c r="Q116" i="12" s="1"/>
  <c r="AA105" i="4"/>
  <c r="S116" i="12" s="1"/>
  <c r="H164" i="12"/>
  <c r="D103" i="8"/>
  <c r="H150" i="12"/>
  <c r="C129" i="2"/>
  <c r="AD51" i="4"/>
  <c r="W7" i="12" s="1"/>
  <c r="AE51" i="4"/>
  <c r="X7" i="12" s="1"/>
  <c r="E7" i="12"/>
  <c r="R51" i="4"/>
  <c r="R7" i="12" s="1"/>
  <c r="Z51" i="4"/>
  <c r="T7" i="12" s="1"/>
  <c r="L51" i="4"/>
  <c r="P7" i="12" s="1"/>
  <c r="AA51" i="4"/>
  <c r="S7" i="12" s="1"/>
  <c r="S51" i="4"/>
  <c r="Q7" i="12" s="1"/>
  <c r="I129" i="12"/>
  <c r="O152" i="4"/>
  <c r="C97" i="2"/>
  <c r="O84" i="4"/>
  <c r="I59" i="12"/>
  <c r="I103" i="12"/>
  <c r="O139" i="4"/>
  <c r="I56" i="12"/>
  <c r="O100" i="4"/>
  <c r="L128" i="12"/>
  <c r="F168" i="12"/>
  <c r="F151" i="12"/>
  <c r="H103" i="12"/>
  <c r="D133" i="8"/>
  <c r="G29" i="12"/>
  <c r="V88" i="4"/>
  <c r="U29" i="12" s="1"/>
  <c r="F44" i="12"/>
  <c r="C171" i="2"/>
  <c r="H75" i="12"/>
  <c r="L189" i="12"/>
  <c r="D34" i="7"/>
  <c r="D40" i="8"/>
  <c r="H184" i="12"/>
  <c r="C88" i="2"/>
  <c r="F118" i="12"/>
  <c r="F56" i="12"/>
  <c r="D101" i="7"/>
  <c r="O78" i="4"/>
  <c r="I114" i="12"/>
  <c r="I116" i="12"/>
  <c r="O105" i="4"/>
  <c r="C375" i="2"/>
  <c r="D64" i="9"/>
  <c r="L159" i="12"/>
  <c r="O106" i="4"/>
  <c r="Q106" i="4" s="1"/>
  <c r="I180" i="12"/>
  <c r="D216" i="6"/>
  <c r="O56" i="4"/>
  <c r="I128" i="12"/>
  <c r="H199" i="12"/>
  <c r="F58" i="12"/>
  <c r="D185" i="8"/>
  <c r="L177" i="4"/>
  <c r="P91" i="12" s="1"/>
  <c r="AA177" i="4"/>
  <c r="S91" i="12" s="1"/>
  <c r="Z177" i="4"/>
  <c r="T91" i="12" s="1"/>
  <c r="AD177" i="4"/>
  <c r="W91" i="12" s="1"/>
  <c r="S177" i="4"/>
  <c r="Q91" i="12" s="1"/>
  <c r="R177" i="4"/>
  <c r="R91" i="12" s="1"/>
  <c r="E91" i="12"/>
  <c r="AE177" i="4"/>
  <c r="X91" i="12" s="1"/>
  <c r="I39" i="12"/>
  <c r="O74" i="4"/>
  <c r="L161" i="12"/>
  <c r="D44" i="9"/>
  <c r="C381" i="2"/>
  <c r="C101" i="2"/>
  <c r="F201" i="12"/>
  <c r="L98" i="12"/>
  <c r="O194" i="4"/>
  <c r="Q194" i="4" s="1"/>
  <c r="I121" i="12"/>
  <c r="O60" i="4"/>
  <c r="I200" i="12"/>
  <c r="H186" i="12"/>
  <c r="D85" i="7"/>
  <c r="E182" i="12"/>
  <c r="AA31" i="4"/>
  <c r="S182" i="12" s="1"/>
  <c r="AE31" i="4"/>
  <c r="X182" i="12" s="1"/>
  <c r="Z31" i="4"/>
  <c r="T182" i="12" s="1"/>
  <c r="L31" i="4"/>
  <c r="P182" i="12" s="1"/>
  <c r="S31" i="4"/>
  <c r="Q182" i="12" s="1"/>
  <c r="R31" i="4"/>
  <c r="R182" i="12" s="1"/>
  <c r="AD31" i="4"/>
  <c r="W182" i="12" s="1"/>
  <c r="H157" i="12"/>
  <c r="O198" i="4"/>
  <c r="I195" i="12"/>
  <c r="D47" i="5"/>
  <c r="F73" i="12"/>
  <c r="D49" i="8"/>
  <c r="D167" i="9"/>
  <c r="D31" i="5"/>
  <c r="I79" i="12"/>
  <c r="O153" i="4"/>
  <c r="F188" i="12"/>
  <c r="D132" i="9"/>
  <c r="F33" i="12"/>
  <c r="D100" i="6"/>
  <c r="C69" i="2"/>
  <c r="D7" i="5"/>
  <c r="AD37" i="4"/>
  <c r="W168" i="12" s="1"/>
  <c r="Z37" i="4"/>
  <c r="T168" i="12" s="1"/>
  <c r="L37" i="4"/>
  <c r="P168" i="12" s="1"/>
  <c r="AA37" i="4"/>
  <c r="S168" i="12" s="1"/>
  <c r="E168" i="12"/>
  <c r="AE37" i="4"/>
  <c r="X168" i="12" s="1"/>
  <c r="S37" i="4"/>
  <c r="Q168" i="12" s="1"/>
  <c r="R37" i="4"/>
  <c r="R168" i="12" s="1"/>
  <c r="G109" i="12"/>
  <c r="V38" i="4"/>
  <c r="U109" i="12" s="1"/>
  <c r="D151" i="5"/>
  <c r="L89" i="12"/>
  <c r="D104" i="5"/>
  <c r="D177" i="7"/>
  <c r="E32" i="12"/>
  <c r="AD173" i="4"/>
  <c r="W32" i="12" s="1"/>
  <c r="Z173" i="4"/>
  <c r="T32" i="12" s="1"/>
  <c r="AE173" i="4"/>
  <c r="X32" i="12" s="1"/>
  <c r="S173" i="4"/>
  <c r="Q32" i="12" s="1"/>
  <c r="R173" i="4"/>
  <c r="R32" i="12" s="1"/>
  <c r="AA173" i="4"/>
  <c r="S32" i="12" s="1"/>
  <c r="L173" i="4"/>
  <c r="P32" i="12" s="1"/>
  <c r="D41" i="9"/>
  <c r="C426" i="2"/>
  <c r="O147" i="4"/>
  <c r="I174" i="12"/>
  <c r="C477" i="2"/>
  <c r="D154" i="8"/>
  <c r="I178" i="12"/>
  <c r="O29" i="4"/>
  <c r="Q29" i="4" s="1"/>
  <c r="D127" i="8"/>
  <c r="V127" i="4"/>
  <c r="U127" i="12" s="1"/>
  <c r="G127" i="12"/>
  <c r="D194" i="5"/>
  <c r="D144" i="8"/>
  <c r="D208" i="9"/>
  <c r="R138" i="4"/>
  <c r="R31" i="12" s="1"/>
  <c r="Z138" i="4"/>
  <c r="T31" i="12" s="1"/>
  <c r="AD138" i="4"/>
  <c r="W31" i="12" s="1"/>
  <c r="L138" i="4"/>
  <c r="P31" i="12" s="1"/>
  <c r="E31" i="12"/>
  <c r="AA138" i="4"/>
  <c r="S31" i="12" s="1"/>
  <c r="S138" i="4"/>
  <c r="Q31" i="12" s="1"/>
  <c r="AE138" i="4"/>
  <c r="X31" i="12" s="1"/>
  <c r="D75" i="9"/>
  <c r="C164" i="2"/>
  <c r="AA45" i="4"/>
  <c r="S172" i="12" s="1"/>
  <c r="Z45" i="4"/>
  <c r="T172" i="12" s="1"/>
  <c r="S45" i="4"/>
  <c r="Q172" i="12" s="1"/>
  <c r="AD45" i="4"/>
  <c r="W172" i="12" s="1"/>
  <c r="L45" i="4"/>
  <c r="P172" i="12" s="1"/>
  <c r="R45" i="4"/>
  <c r="R172" i="12" s="1"/>
  <c r="E172" i="12"/>
  <c r="AE45" i="4"/>
  <c r="X172" i="12" s="1"/>
  <c r="F8" i="12"/>
  <c r="V29" i="4"/>
  <c r="U178" i="12" s="1"/>
  <c r="G178" i="12"/>
  <c r="D154" i="7"/>
  <c r="D121" i="5"/>
  <c r="AD39" i="4"/>
  <c r="W142" i="12" s="1"/>
  <c r="S39" i="4"/>
  <c r="Q142" i="12" s="1"/>
  <c r="Z39" i="4"/>
  <c r="T142" i="12" s="1"/>
  <c r="L39" i="4"/>
  <c r="P142" i="12" s="1"/>
  <c r="AE39" i="4"/>
  <c r="X142" i="12" s="1"/>
  <c r="R39" i="4"/>
  <c r="R142" i="12" s="1"/>
  <c r="AA39" i="4"/>
  <c r="S142" i="12" s="1"/>
  <c r="E142" i="12"/>
  <c r="D52" i="8"/>
  <c r="C332" i="2"/>
  <c r="H137" i="12"/>
  <c r="C334" i="2"/>
  <c r="I107" i="12"/>
  <c r="O158" i="4"/>
  <c r="O205" i="4"/>
  <c r="I164" i="12"/>
  <c r="D148" i="5"/>
  <c r="L32" i="12"/>
  <c r="F37" i="12"/>
  <c r="D25" i="5"/>
  <c r="C177" i="2"/>
  <c r="D69" i="7"/>
  <c r="D54" i="5"/>
  <c r="H53" i="12"/>
  <c r="L206" i="12"/>
  <c r="L19" i="12"/>
  <c r="D94" i="9"/>
  <c r="V3" i="4"/>
  <c r="U179" i="12" s="1"/>
  <c r="G179" i="12"/>
  <c r="H173" i="12"/>
  <c r="D112" i="6"/>
  <c r="D88" i="6"/>
  <c r="D207" i="7"/>
  <c r="D130" i="8"/>
  <c r="H134" i="12"/>
  <c r="D111" i="6"/>
  <c r="D25" i="8"/>
  <c r="R139" i="4"/>
  <c r="R103" i="12" s="1"/>
  <c r="AE139" i="4"/>
  <c r="X103" i="12" s="1"/>
  <c r="S139" i="4"/>
  <c r="Q103" i="12" s="1"/>
  <c r="E103" i="12"/>
  <c r="AA139" i="4"/>
  <c r="S103" i="12" s="1"/>
  <c r="Z139" i="4"/>
  <c r="T103" i="12" s="1"/>
  <c r="L139" i="4"/>
  <c r="P103" i="12" s="1"/>
  <c r="AD139" i="4"/>
  <c r="W103" i="12" s="1"/>
  <c r="D115" i="8"/>
  <c r="F21" i="12"/>
  <c r="C378" i="2"/>
  <c r="L184" i="12"/>
  <c r="L157" i="12"/>
  <c r="F12" i="12"/>
  <c r="D155" i="9"/>
  <c r="C39" i="2"/>
  <c r="O28" i="4"/>
  <c r="I46" i="12"/>
  <c r="AA22" i="4"/>
  <c r="S203" i="12" s="1"/>
  <c r="L22" i="4"/>
  <c r="P203" i="12" s="1"/>
  <c r="Z22" i="4"/>
  <c r="T203" i="12" s="1"/>
  <c r="S22" i="4"/>
  <c r="Q203" i="12" s="1"/>
  <c r="E203" i="12"/>
  <c r="AE22" i="4"/>
  <c r="X203" i="12" s="1"/>
  <c r="R22" i="4"/>
  <c r="R203" i="12" s="1"/>
  <c r="AD22" i="4"/>
  <c r="W203" i="12" s="1"/>
  <c r="I137" i="12"/>
  <c r="O115" i="4"/>
  <c r="Q115" i="4" s="1"/>
  <c r="V174" i="4"/>
  <c r="U110" i="12" s="1"/>
  <c r="G110" i="12"/>
  <c r="D177" i="6"/>
  <c r="C357" i="2"/>
  <c r="D213" i="8"/>
  <c r="D60" i="6"/>
  <c r="F149" i="12"/>
  <c r="L58" i="12"/>
  <c r="D131" i="7"/>
  <c r="L41" i="12"/>
  <c r="H115" i="12"/>
  <c r="C308" i="2"/>
  <c r="D178" i="9"/>
  <c r="F170" i="12"/>
  <c r="V200" i="4"/>
  <c r="U199" i="12" s="1"/>
  <c r="G199" i="12"/>
  <c r="D169" i="6"/>
  <c r="D35" i="7"/>
  <c r="V85" i="4"/>
  <c r="U47" i="12" s="1"/>
  <c r="G47" i="12"/>
  <c r="D160" i="9"/>
  <c r="D30" i="9"/>
  <c r="L177" i="12"/>
  <c r="D147" i="5"/>
  <c r="G43" i="12"/>
  <c r="V25" i="4"/>
  <c r="U43" i="12" s="1"/>
  <c r="C74" i="2"/>
  <c r="H20" i="12"/>
  <c r="AD100" i="4"/>
  <c r="W56" i="12" s="1"/>
  <c r="R100" i="4"/>
  <c r="R56" i="12" s="1"/>
  <c r="L100" i="4"/>
  <c r="P56" i="12" s="1"/>
  <c r="S100" i="4"/>
  <c r="Q56" i="12" s="1"/>
  <c r="Z100" i="4"/>
  <c r="T56" i="12" s="1"/>
  <c r="AA100" i="4"/>
  <c r="S56" i="12" s="1"/>
  <c r="AE100" i="4"/>
  <c r="X56" i="12" s="1"/>
  <c r="E56" i="12"/>
  <c r="V42" i="4"/>
  <c r="U60" i="12" s="1"/>
  <c r="G60" i="12"/>
  <c r="D143" i="6"/>
  <c r="D102" i="7"/>
  <c r="F177" i="12"/>
  <c r="D193" i="5"/>
  <c r="G42" i="12"/>
  <c r="V150" i="4"/>
  <c r="U42" i="12" s="1"/>
  <c r="F40" i="12"/>
  <c r="F159" i="12"/>
  <c r="D52" i="5"/>
  <c r="H142" i="12"/>
  <c r="C49" i="2"/>
  <c r="F138" i="12"/>
  <c r="D166" i="5"/>
  <c r="D67" i="7"/>
  <c r="V172" i="4"/>
  <c r="U88" i="12" s="1"/>
  <c r="G88" i="12"/>
  <c r="D18" i="8"/>
  <c r="G136" i="12"/>
  <c r="V125" i="4"/>
  <c r="U136" i="12" s="1"/>
  <c r="C309" i="2"/>
  <c r="C415" i="2"/>
  <c r="D187" i="6"/>
  <c r="G28" i="12"/>
  <c r="V34" i="4"/>
  <c r="U28" i="12" s="1"/>
  <c r="D122" i="5"/>
  <c r="F147" i="12"/>
  <c r="D119" i="5"/>
  <c r="V72" i="4"/>
  <c r="U165" i="12" s="1"/>
  <c r="G165" i="12"/>
  <c r="D212" i="9"/>
  <c r="D41" i="7"/>
  <c r="F54" i="12"/>
  <c r="I58" i="12"/>
  <c r="O33" i="4"/>
  <c r="H61" i="12"/>
  <c r="L43" i="12"/>
  <c r="H174" i="12"/>
  <c r="D20" i="8"/>
  <c r="F84" i="12"/>
  <c r="C105" i="2"/>
  <c r="F109" i="12"/>
  <c r="L107" i="12"/>
  <c r="D117" i="5"/>
  <c r="D163" i="7"/>
  <c r="D136" i="6"/>
  <c r="D65" i="8"/>
  <c r="AE76" i="4"/>
  <c r="X62" i="12" s="1"/>
  <c r="L76" i="4"/>
  <c r="P62" i="12" s="1"/>
  <c r="AD76" i="4"/>
  <c r="W62" i="12" s="1"/>
  <c r="Z76" i="4"/>
  <c r="T62" i="12" s="1"/>
  <c r="S76" i="4"/>
  <c r="Q62" i="12" s="1"/>
  <c r="AA76" i="4"/>
  <c r="S62" i="12" s="1"/>
  <c r="E62" i="12"/>
  <c r="R76" i="4"/>
  <c r="R62" i="12" s="1"/>
  <c r="L25" i="4"/>
  <c r="P43" i="12" s="1"/>
  <c r="S25" i="4"/>
  <c r="Q43" i="12" s="1"/>
  <c r="AE25" i="4"/>
  <c r="X43" i="12" s="1"/>
  <c r="AA25" i="4"/>
  <c r="S43" i="12" s="1"/>
  <c r="R25" i="4"/>
  <c r="R43" i="12" s="1"/>
  <c r="AD25" i="4"/>
  <c r="W43" i="12" s="1"/>
  <c r="E43" i="12"/>
  <c r="Z25" i="4"/>
  <c r="T43" i="12" s="1"/>
  <c r="I179" i="12"/>
  <c r="O3" i="4"/>
  <c r="Q3" i="4" s="1"/>
  <c r="D48" i="9"/>
  <c r="H26" i="12"/>
  <c r="D149" i="6"/>
  <c r="D176" i="8"/>
  <c r="F176" i="12"/>
  <c r="L48" i="12"/>
  <c r="V10" i="4"/>
  <c r="U183" i="12" s="1"/>
  <c r="G183" i="12"/>
  <c r="V117" i="4"/>
  <c r="U85" i="12" s="1"/>
  <c r="G85" i="12"/>
  <c r="AD19" i="4"/>
  <c r="W197" i="12" s="1"/>
  <c r="E197" i="12"/>
  <c r="Z19" i="4"/>
  <c r="T197" i="12" s="1"/>
  <c r="R19" i="4"/>
  <c r="R197" i="12" s="1"/>
  <c r="L19" i="4"/>
  <c r="P197" i="12" s="1"/>
  <c r="AA19" i="4"/>
  <c r="S197" i="12" s="1"/>
  <c r="S19" i="4"/>
  <c r="Q197" i="12" s="1"/>
  <c r="AE19" i="4"/>
  <c r="X197" i="12" s="1"/>
  <c r="C414" i="2"/>
  <c r="C469" i="2"/>
  <c r="H49" i="12"/>
  <c r="D43" i="8"/>
  <c r="D86" i="7"/>
  <c r="F22" i="12"/>
  <c r="D31" i="9"/>
  <c r="S194" i="4"/>
  <c r="Q121" i="12" s="1"/>
  <c r="E121" i="12"/>
  <c r="AA194" i="4"/>
  <c r="S121" i="12" s="1"/>
  <c r="Z194" i="4"/>
  <c r="T121" i="12" s="1"/>
  <c r="R194" i="4"/>
  <c r="R121" i="12" s="1"/>
  <c r="AD194" i="4"/>
  <c r="W121" i="12" s="1"/>
  <c r="AE194" i="4"/>
  <c r="X121" i="12" s="1"/>
  <c r="L194" i="4"/>
  <c r="P121" i="12" s="1"/>
  <c r="D62" i="8"/>
  <c r="D117" i="9"/>
  <c r="D117" i="7"/>
  <c r="D93" i="5"/>
  <c r="D207" i="8"/>
  <c r="D97" i="9"/>
  <c r="L64" i="12"/>
  <c r="G115" i="12"/>
  <c r="V107" i="4"/>
  <c r="U115" i="12" s="1"/>
  <c r="C355" i="2"/>
  <c r="AD11" i="4"/>
  <c r="W171" i="12" s="1"/>
  <c r="AA11" i="4"/>
  <c r="S171" i="12" s="1"/>
  <c r="E171" i="12"/>
  <c r="R11" i="4"/>
  <c r="R171" i="12" s="1"/>
  <c r="L11" i="4"/>
  <c r="P171" i="12" s="1"/>
  <c r="Z11" i="4"/>
  <c r="T171" i="12" s="1"/>
  <c r="AE11" i="4"/>
  <c r="X171" i="12" s="1"/>
  <c r="S11" i="4"/>
  <c r="Q171" i="12" s="1"/>
  <c r="H175" i="12"/>
  <c r="V156" i="4"/>
  <c r="U34" i="12" s="1"/>
  <c r="G34" i="12"/>
  <c r="D69" i="5"/>
  <c r="D111" i="5"/>
  <c r="C145" i="2"/>
  <c r="F95" i="12"/>
  <c r="S11" i="2"/>
  <c r="D71" i="8"/>
  <c r="D75" i="7"/>
  <c r="D218" i="9"/>
  <c r="G139" i="12"/>
  <c r="V61" i="4"/>
  <c r="U139" i="12" s="1"/>
  <c r="D17" i="7"/>
  <c r="C187" i="2"/>
  <c r="V202" i="4"/>
  <c r="U186" i="12" s="1"/>
  <c r="G186" i="12"/>
  <c r="AA73" i="4"/>
  <c r="S63" i="12" s="1"/>
  <c r="E63" i="12"/>
  <c r="L73" i="4"/>
  <c r="P63" i="12" s="1"/>
  <c r="S73" i="4"/>
  <c r="Q63" i="12" s="1"/>
  <c r="R73" i="4"/>
  <c r="R63" i="12" s="1"/>
  <c r="Z73" i="4"/>
  <c r="T63" i="12" s="1"/>
  <c r="AD73" i="4"/>
  <c r="W63" i="12" s="1"/>
  <c r="AE73" i="4"/>
  <c r="X63" i="12" s="1"/>
  <c r="D40" i="5"/>
  <c r="D153" i="7"/>
  <c r="L47" i="12"/>
  <c r="D144" i="7"/>
  <c r="F197" i="12"/>
  <c r="C210" i="2"/>
  <c r="D181" i="6"/>
  <c r="D180" i="8"/>
  <c r="C377" i="2"/>
  <c r="F93" i="12"/>
  <c r="R42" i="4"/>
  <c r="R60" i="12" s="1"/>
  <c r="S42" i="4"/>
  <c r="Q60" i="12" s="1"/>
  <c r="AA42" i="4"/>
  <c r="S60" i="12" s="1"/>
  <c r="AD42" i="4"/>
  <c r="W60" i="12" s="1"/>
  <c r="Z42" i="4"/>
  <c r="T60" i="12" s="1"/>
  <c r="AE42" i="4"/>
  <c r="X60" i="12" s="1"/>
  <c r="L42" i="4"/>
  <c r="P60" i="12" s="1"/>
  <c r="E60" i="12"/>
  <c r="D152" i="6"/>
  <c r="D47" i="7"/>
  <c r="C175" i="2"/>
  <c r="F46" i="12"/>
  <c r="D114" i="5"/>
  <c r="D196" i="7"/>
  <c r="G70" i="12"/>
  <c r="V171" i="4"/>
  <c r="U70" i="12" s="1"/>
  <c r="L51" i="12"/>
  <c r="G142" i="12"/>
  <c r="V39" i="4"/>
  <c r="U142" i="12" s="1"/>
  <c r="D51" i="5"/>
  <c r="D125" i="7"/>
  <c r="D129" i="6"/>
  <c r="C111" i="2"/>
  <c r="L31" i="12"/>
  <c r="G152" i="12"/>
  <c r="V91" i="4"/>
  <c r="U152" i="12" s="1"/>
  <c r="D171" i="9"/>
  <c r="Z24" i="4"/>
  <c r="T175" i="12" s="1"/>
  <c r="AA24" i="4"/>
  <c r="S175" i="12" s="1"/>
  <c r="S24" i="4"/>
  <c r="Q175" i="12" s="1"/>
  <c r="R24" i="4"/>
  <c r="R175" i="12" s="1"/>
  <c r="AD24" i="4"/>
  <c r="W175" i="12" s="1"/>
  <c r="E175" i="12"/>
  <c r="L24" i="4"/>
  <c r="P175" i="12" s="1"/>
  <c r="AE24" i="4"/>
  <c r="X175" i="12" s="1"/>
  <c r="D170" i="5"/>
  <c r="D93" i="6"/>
  <c r="O31" i="4"/>
  <c r="I182" i="12"/>
  <c r="V69" i="4"/>
  <c r="U98" i="12" s="1"/>
  <c r="G98" i="12"/>
  <c r="V60" i="4"/>
  <c r="U200" i="12" s="1"/>
  <c r="G200" i="12"/>
  <c r="C94" i="2"/>
  <c r="O49" i="4"/>
  <c r="I188" i="12"/>
  <c r="D214" i="5"/>
  <c r="D73" i="9"/>
  <c r="D164" i="8"/>
  <c r="L36" i="4"/>
  <c r="P206" i="12" s="1"/>
  <c r="Q36" i="4"/>
  <c r="AD36" i="4"/>
  <c r="W206" i="12" s="1"/>
  <c r="E206" i="12"/>
  <c r="R36" i="4"/>
  <c r="R206" i="12" s="1"/>
  <c r="AE36" i="4"/>
  <c r="X206" i="12" s="1"/>
  <c r="S36" i="4"/>
  <c r="Q206" i="12" s="1"/>
  <c r="L93" i="12"/>
  <c r="C184" i="2"/>
  <c r="D157" i="8"/>
  <c r="C132" i="2"/>
  <c r="D160" i="6"/>
  <c r="C393" i="2"/>
  <c r="D165" i="5"/>
  <c r="D106" i="6"/>
  <c r="O53" i="4"/>
  <c r="I133" i="12"/>
  <c r="D172" i="6"/>
  <c r="F89" i="12"/>
  <c r="H193" i="12"/>
  <c r="D40" i="9"/>
  <c r="H204" i="12"/>
  <c r="F199" i="12"/>
  <c r="C45" i="2"/>
  <c r="D172" i="8"/>
  <c r="C348" i="2"/>
  <c r="D214" i="7"/>
  <c r="D55" i="7"/>
  <c r="C127" i="2"/>
  <c r="Z3" i="4"/>
  <c r="T179" i="12" s="1"/>
  <c r="AE3" i="4"/>
  <c r="X179" i="12" s="1"/>
  <c r="L3" i="4"/>
  <c r="P179" i="12" s="1"/>
  <c r="S3" i="4"/>
  <c r="Q179" i="12" s="1"/>
  <c r="AD3" i="4"/>
  <c r="W179" i="12" s="1"/>
  <c r="E179" i="12"/>
  <c r="AA3" i="4"/>
  <c r="S179" i="12" s="1"/>
  <c r="R3" i="4"/>
  <c r="R179" i="12" s="1"/>
  <c r="C456" i="2"/>
  <c r="E21" i="12"/>
  <c r="Z188" i="4"/>
  <c r="T21" i="12" s="1"/>
  <c r="AD188" i="4"/>
  <c r="W21" i="12" s="1"/>
  <c r="L188" i="4"/>
  <c r="P21" i="12" s="1"/>
  <c r="S188" i="4"/>
  <c r="Q21" i="12" s="1"/>
  <c r="R188" i="4"/>
  <c r="R21" i="12" s="1"/>
  <c r="AE188" i="4"/>
  <c r="X21" i="12" s="1"/>
  <c r="AA188" i="4"/>
  <c r="S21" i="12" s="1"/>
  <c r="D119" i="8"/>
  <c r="D205" i="7"/>
  <c r="AD152" i="4"/>
  <c r="W129" i="12" s="1"/>
  <c r="Z152" i="4"/>
  <c r="T129" i="12" s="1"/>
  <c r="S152" i="4"/>
  <c r="Q129" i="12" s="1"/>
  <c r="L152" i="4"/>
  <c r="P129" i="12" s="1"/>
  <c r="AE152" i="4"/>
  <c r="X129" i="12" s="1"/>
  <c r="E129" i="12"/>
  <c r="AA152" i="4"/>
  <c r="S129" i="12" s="1"/>
  <c r="R152" i="4"/>
  <c r="R129" i="12" s="1"/>
  <c r="V163" i="4"/>
  <c r="U122" i="12" s="1"/>
  <c r="G122" i="12"/>
  <c r="F164" i="12"/>
  <c r="C423" i="2"/>
  <c r="D198" i="5"/>
  <c r="C483" i="2"/>
  <c r="D110" i="7"/>
  <c r="C125" i="2"/>
  <c r="D110" i="9"/>
  <c r="V191" i="4"/>
  <c r="U68" i="12" s="1"/>
  <c r="G68" i="12"/>
  <c r="V26" i="4"/>
  <c r="U151" i="12" s="1"/>
  <c r="G151" i="12"/>
  <c r="L39" i="12"/>
  <c r="D125" i="6"/>
  <c r="L84" i="12"/>
  <c r="H51" i="12"/>
  <c r="D21" i="6"/>
  <c r="D173" i="5"/>
  <c r="C7" i="2"/>
  <c r="F120" i="12"/>
  <c r="V197" i="4"/>
  <c r="U61" i="12" s="1"/>
  <c r="G61" i="12"/>
  <c r="L70" i="12"/>
  <c r="C17" i="2"/>
  <c r="H84" i="12"/>
  <c r="L26" i="4"/>
  <c r="P151" i="12" s="1"/>
  <c r="AA26" i="4"/>
  <c r="S151" i="12" s="1"/>
  <c r="S26" i="4"/>
  <c r="Q151" i="12" s="1"/>
  <c r="R26" i="4"/>
  <c r="R151" i="12" s="1"/>
  <c r="E151" i="12"/>
  <c r="AE26" i="4"/>
  <c r="X151" i="12" s="1"/>
  <c r="Z26" i="4"/>
  <c r="T151" i="12" s="1"/>
  <c r="AD26" i="4"/>
  <c r="W151" i="12" s="1"/>
  <c r="L144" i="12"/>
  <c r="V120" i="4"/>
  <c r="U44" i="12" s="1"/>
  <c r="G44" i="12"/>
  <c r="D177" i="5"/>
  <c r="L187" i="12"/>
  <c r="C60" i="2"/>
  <c r="C81" i="2"/>
  <c r="D122" i="6"/>
  <c r="D210" i="7"/>
  <c r="D220" i="6"/>
  <c r="F64" i="12"/>
  <c r="D50" i="6"/>
  <c r="I139" i="12"/>
  <c r="O61" i="4"/>
  <c r="H81" i="12"/>
  <c r="D168" i="9"/>
  <c r="D148" i="6"/>
  <c r="H172" i="12"/>
  <c r="G197" i="12"/>
  <c r="V19" i="4"/>
  <c r="U197" i="12" s="1"/>
  <c r="D118" i="8"/>
  <c r="D151" i="7"/>
  <c r="H181" i="12"/>
  <c r="C361" i="2"/>
  <c r="G204" i="12"/>
  <c r="V77" i="4"/>
  <c r="U204" i="12" s="1"/>
  <c r="H45" i="12"/>
  <c r="L186" i="12"/>
  <c r="Z18" i="4"/>
  <c r="T104" i="12" s="1"/>
  <c r="R18" i="4"/>
  <c r="R104" i="12" s="1"/>
  <c r="AD18" i="4"/>
  <c r="W104" i="12" s="1"/>
  <c r="AE18" i="4"/>
  <c r="X104" i="12" s="1"/>
  <c r="AA18" i="4"/>
  <c r="S104" i="12" s="1"/>
  <c r="L18" i="4"/>
  <c r="P104" i="12" s="1"/>
  <c r="E104" i="12"/>
  <c r="S18" i="4"/>
  <c r="Q104" i="12" s="1"/>
  <c r="F26" i="12"/>
  <c r="L125" i="12"/>
  <c r="D132" i="8"/>
  <c r="D99" i="9"/>
  <c r="D169" i="9"/>
  <c r="F152" i="12"/>
  <c r="C103" i="2"/>
  <c r="H10" i="12"/>
  <c r="D109" i="5"/>
  <c r="C183" i="2"/>
  <c r="L88" i="12"/>
  <c r="L27" i="12"/>
  <c r="D150" i="7"/>
  <c r="D156" i="7"/>
  <c r="H123" i="12"/>
  <c r="F60" i="12"/>
  <c r="C215" i="2"/>
  <c r="R141" i="4"/>
  <c r="R93" i="12" s="1"/>
  <c r="E93" i="12"/>
  <c r="L141" i="4"/>
  <c r="P93" i="12" s="1"/>
  <c r="Z141" i="4"/>
  <c r="T93" i="12" s="1"/>
  <c r="AA141" i="4"/>
  <c r="S93" i="12" s="1"/>
  <c r="S141" i="4"/>
  <c r="Q93" i="12" s="1"/>
  <c r="AE141" i="4"/>
  <c r="X93" i="12" s="1"/>
  <c r="AD141" i="4"/>
  <c r="W93" i="12" s="1"/>
  <c r="D50" i="9"/>
  <c r="D67" i="5"/>
  <c r="D128" i="8"/>
  <c r="D78" i="8"/>
  <c r="D64" i="5"/>
  <c r="G119" i="12"/>
  <c r="V134" i="4"/>
  <c r="U119" i="12" s="1"/>
  <c r="G99" i="12"/>
  <c r="V96" i="4"/>
  <c r="U99" i="12" s="1"/>
  <c r="O183" i="4"/>
  <c r="I12" i="12"/>
  <c r="L37" i="12"/>
  <c r="V21" i="4"/>
  <c r="U90" i="12" s="1"/>
  <c r="G90" i="12"/>
  <c r="L150" i="12"/>
  <c r="H76" i="12"/>
  <c r="L95" i="12"/>
  <c r="D153" i="9"/>
  <c r="L29" i="12"/>
  <c r="D76" i="9"/>
  <c r="C112" i="2"/>
  <c r="D104" i="8"/>
  <c r="C391" i="2"/>
  <c r="F121" i="12"/>
  <c r="L154" i="12"/>
  <c r="Z128" i="4"/>
  <c r="T80" i="12" s="1"/>
  <c r="AE128" i="4"/>
  <c r="X80" i="12" s="1"/>
  <c r="L128" i="4"/>
  <c r="P80" i="12" s="1"/>
  <c r="AD128" i="4"/>
  <c r="W80" i="12" s="1"/>
  <c r="S128" i="4"/>
  <c r="Q80" i="12" s="1"/>
  <c r="E80" i="12"/>
  <c r="AA128" i="4"/>
  <c r="S80" i="12" s="1"/>
  <c r="R128" i="4"/>
  <c r="R80" i="12" s="1"/>
  <c r="D60" i="8"/>
  <c r="AD172" i="4"/>
  <c r="W88" i="12" s="1"/>
  <c r="Z172" i="4"/>
  <c r="T88" i="12" s="1"/>
  <c r="AA172" i="4"/>
  <c r="S88" i="12" s="1"/>
  <c r="L172" i="4"/>
  <c r="P88" i="12" s="1"/>
  <c r="S172" i="4"/>
  <c r="Q88" i="12" s="1"/>
  <c r="AE172" i="4"/>
  <c r="X88" i="12" s="1"/>
  <c r="E88" i="12"/>
  <c r="R172" i="4"/>
  <c r="R88" i="12" s="1"/>
  <c r="H31" i="12"/>
  <c r="I97" i="12"/>
  <c r="O46" i="4"/>
  <c r="Q46" i="4" s="1"/>
  <c r="F184" i="12"/>
  <c r="D57" i="9"/>
  <c r="Z92" i="4"/>
  <c r="T192" i="12" s="1"/>
  <c r="AA92" i="4"/>
  <c r="S192" i="12" s="1"/>
  <c r="R92" i="4"/>
  <c r="R192" i="12" s="1"/>
  <c r="E192" i="12"/>
  <c r="S92" i="4"/>
  <c r="Q192" i="12" s="1"/>
  <c r="AD92" i="4"/>
  <c r="W192" i="12" s="1"/>
  <c r="L92" i="4"/>
  <c r="P192" i="12" s="1"/>
  <c r="AE92" i="4"/>
  <c r="X192" i="12" s="1"/>
  <c r="D112" i="5"/>
  <c r="C467" i="2"/>
  <c r="C124" i="2"/>
  <c r="D198" i="6"/>
  <c r="C33" i="2"/>
  <c r="C478" i="2"/>
  <c r="D186" i="9"/>
  <c r="C42" i="2"/>
  <c r="D197" i="9"/>
  <c r="D179" i="7"/>
  <c r="L158" i="4"/>
  <c r="P107" i="12" s="1"/>
  <c r="Z158" i="4"/>
  <c r="T107" i="12" s="1"/>
  <c r="R158" i="4"/>
  <c r="R107" i="12" s="1"/>
  <c r="AD158" i="4"/>
  <c r="W107" i="12" s="1"/>
  <c r="S158" i="4"/>
  <c r="Q107" i="12" s="1"/>
  <c r="E107" i="12"/>
  <c r="AA158" i="4"/>
  <c r="S107" i="12" s="1"/>
  <c r="AE158" i="4"/>
  <c r="X107" i="12" s="1"/>
  <c r="C433" i="2"/>
  <c r="D174" i="7"/>
  <c r="D199" i="5"/>
  <c r="C407" i="2"/>
  <c r="C360" i="2"/>
  <c r="F28" i="12"/>
  <c r="F189" i="12"/>
  <c r="D169" i="8"/>
  <c r="D61" i="6"/>
  <c r="C156" i="2"/>
  <c r="D180" i="5"/>
  <c r="D214" i="8"/>
  <c r="O164" i="4"/>
  <c r="I113" i="12"/>
  <c r="D158" i="5"/>
  <c r="C214" i="2"/>
  <c r="L54" i="12"/>
  <c r="AE180" i="4"/>
  <c r="X4" i="12" s="1"/>
  <c r="AD180" i="4"/>
  <c r="W4" i="12" s="1"/>
  <c r="L180" i="4"/>
  <c r="P4" i="12" s="1"/>
  <c r="Z180" i="4"/>
  <c r="T4" i="12" s="1"/>
  <c r="E4" i="12"/>
  <c r="AA180" i="4"/>
  <c r="S4" i="12" s="1"/>
  <c r="R180" i="4"/>
  <c r="R4" i="12" s="1"/>
  <c r="S180" i="4"/>
  <c r="Q4" i="12" s="1"/>
  <c r="C99" i="2"/>
  <c r="H3" i="12"/>
  <c r="F191" i="12"/>
  <c r="D159" i="5"/>
  <c r="D137" i="5"/>
  <c r="D180" i="7"/>
  <c r="D172" i="7"/>
  <c r="C204" i="2"/>
  <c r="D126" i="8"/>
  <c r="O5" i="4"/>
  <c r="I130" i="12"/>
  <c r="C333" i="2"/>
  <c r="D91" i="9"/>
  <c r="D23" i="5"/>
  <c r="H8" i="12"/>
  <c r="D109" i="6"/>
  <c r="D61" i="7"/>
  <c r="D194" i="6"/>
  <c r="D77" i="8"/>
  <c r="F39" i="12"/>
  <c r="C460" i="2"/>
  <c r="C379" i="2"/>
  <c r="G83" i="12"/>
  <c r="V121" i="4"/>
  <c r="U83" i="12" s="1"/>
  <c r="AA144" i="4"/>
  <c r="S65" i="12" s="1"/>
  <c r="R144" i="4"/>
  <c r="R65" i="12" s="1"/>
  <c r="AD144" i="4"/>
  <c r="W65" i="12" s="1"/>
  <c r="AE144" i="4"/>
  <c r="X65" i="12" s="1"/>
  <c r="E65" i="12"/>
  <c r="S144" i="4"/>
  <c r="Q65" i="12" s="1"/>
  <c r="L144" i="4"/>
  <c r="P65" i="12" s="1"/>
  <c r="Z144" i="4"/>
  <c r="T65" i="12" s="1"/>
  <c r="D167" i="7"/>
  <c r="C16" i="2"/>
  <c r="C9" i="2"/>
  <c r="D157" i="7"/>
  <c r="V144" i="4"/>
  <c r="U65" i="12" s="1"/>
  <c r="G65" i="12"/>
  <c r="D15" i="6"/>
  <c r="D16" i="5"/>
  <c r="D104" i="9"/>
  <c r="G132" i="12"/>
  <c r="V190" i="4"/>
  <c r="U132" i="12" s="1"/>
  <c r="O188" i="4"/>
  <c r="Q188" i="4" s="1"/>
  <c r="I21" i="12"/>
  <c r="D219" i="6"/>
  <c r="C140" i="2"/>
  <c r="D82" i="6"/>
  <c r="D150" i="5"/>
  <c r="C316" i="2"/>
  <c r="D197" i="6"/>
  <c r="D103" i="7"/>
  <c r="H206" i="12"/>
  <c r="S170" i="4"/>
  <c r="Q30" i="12" s="1"/>
  <c r="AD170" i="4"/>
  <c r="W30" i="12" s="1"/>
  <c r="AE170" i="4"/>
  <c r="X30" i="12" s="1"/>
  <c r="Z170" i="4"/>
  <c r="T30" i="12" s="1"/>
  <c r="AA170" i="4"/>
  <c r="S30" i="12" s="1"/>
  <c r="L170" i="4"/>
  <c r="P30" i="12" s="1"/>
  <c r="R170" i="4"/>
  <c r="R30" i="12" s="1"/>
  <c r="E30" i="12"/>
  <c r="C82" i="2"/>
  <c r="C329" i="2"/>
  <c r="L52" i="12"/>
  <c r="C123" i="2"/>
  <c r="E83" i="12"/>
  <c r="S121" i="4"/>
  <c r="Q83" i="12" s="1"/>
  <c r="Z121" i="4"/>
  <c r="T83" i="12" s="1"/>
  <c r="AE121" i="4"/>
  <c r="X83" i="12" s="1"/>
  <c r="L121" i="4"/>
  <c r="P83" i="12" s="1"/>
  <c r="AD121" i="4"/>
  <c r="W83" i="12" s="1"/>
  <c r="AA121" i="4"/>
  <c r="S83" i="12" s="1"/>
  <c r="R121" i="4"/>
  <c r="R83" i="12" s="1"/>
  <c r="D32" i="8"/>
  <c r="V204" i="4"/>
  <c r="U150" i="12" s="1"/>
  <c r="G150" i="12"/>
  <c r="V143" i="4"/>
  <c r="U157" i="12" s="1"/>
  <c r="G157" i="12"/>
  <c r="I165" i="12"/>
  <c r="O72" i="4"/>
  <c r="C36" i="2"/>
  <c r="D173" i="9"/>
  <c r="C93" i="2"/>
  <c r="D188" i="8"/>
  <c r="D40" i="7"/>
  <c r="D193" i="9"/>
  <c r="D58" i="7"/>
  <c r="V93" i="4"/>
  <c r="U41" i="12" s="1"/>
  <c r="G41" i="12"/>
  <c r="D39" i="9"/>
  <c r="C370" i="2"/>
  <c r="L87" i="12"/>
  <c r="C96" i="2"/>
  <c r="H19" i="12"/>
  <c r="V6" i="4"/>
  <c r="U55" i="12" s="1"/>
  <c r="G55" i="12"/>
  <c r="C190" i="2"/>
  <c r="C482" i="2"/>
  <c r="C73" i="2"/>
  <c r="AA70" i="4"/>
  <c r="S149" i="12" s="1"/>
  <c r="Z70" i="4"/>
  <c r="T149" i="12" s="1"/>
  <c r="AD70" i="4"/>
  <c r="W149" i="12" s="1"/>
  <c r="AE70" i="4"/>
  <c r="X149" i="12" s="1"/>
  <c r="S70" i="4"/>
  <c r="Q149" i="12" s="1"/>
  <c r="L70" i="4"/>
  <c r="P149" i="12" s="1"/>
  <c r="R70" i="4"/>
  <c r="R149" i="12" s="1"/>
  <c r="E149" i="12"/>
  <c r="D162" i="6"/>
  <c r="D26" i="8"/>
  <c r="D213" i="7"/>
  <c r="D32" i="5"/>
  <c r="D122" i="7"/>
  <c r="O138" i="4"/>
  <c r="Q138" i="4" s="1"/>
  <c r="I31" i="12"/>
  <c r="I81" i="12"/>
  <c r="O119" i="4"/>
  <c r="D166" i="6"/>
  <c r="D50" i="7"/>
  <c r="Z190" i="4"/>
  <c r="T132" i="12" s="1"/>
  <c r="S190" i="4"/>
  <c r="Q132" i="12" s="1"/>
  <c r="E132" i="12"/>
  <c r="AA190" i="4"/>
  <c r="S132" i="12" s="1"/>
  <c r="L190" i="4"/>
  <c r="P132" i="12" s="1"/>
  <c r="AE190" i="4"/>
  <c r="X132" i="12" s="1"/>
  <c r="R190" i="4"/>
  <c r="R132" i="12" s="1"/>
  <c r="AD190" i="4"/>
  <c r="W132" i="12" s="1"/>
  <c r="F86" i="12"/>
  <c r="F183" i="12"/>
  <c r="D41" i="8"/>
  <c r="D41" i="5"/>
  <c r="D123" i="8"/>
  <c r="H46" i="12"/>
  <c r="D141" i="6"/>
  <c r="O204" i="4"/>
  <c r="I150" i="12"/>
  <c r="H147" i="12"/>
  <c r="V186" i="4"/>
  <c r="U49" i="12" s="1"/>
  <c r="G49" i="12"/>
  <c r="G30" i="12"/>
  <c r="V170" i="4"/>
  <c r="U30" i="12" s="1"/>
  <c r="F173" i="12"/>
  <c r="C446" i="2"/>
  <c r="D97" i="5"/>
  <c r="C476" i="2"/>
  <c r="D93" i="9"/>
  <c r="D46" i="9"/>
  <c r="G162" i="12"/>
  <c r="V82" i="4"/>
  <c r="U162" i="12" s="1"/>
  <c r="D121" i="8"/>
  <c r="S97" i="4"/>
  <c r="Q35" i="12" s="1"/>
  <c r="Z97" i="4"/>
  <c r="T35" i="12" s="1"/>
  <c r="AE97" i="4"/>
  <c r="X35" i="12" s="1"/>
  <c r="R97" i="4"/>
  <c r="R35" i="12" s="1"/>
  <c r="L97" i="4"/>
  <c r="P35" i="12" s="1"/>
  <c r="AA97" i="4"/>
  <c r="S35" i="12" s="1"/>
  <c r="E35" i="12"/>
  <c r="AD97" i="4"/>
  <c r="W35" i="12" s="1"/>
  <c r="C40" i="2"/>
  <c r="R10" i="4"/>
  <c r="R183" i="12" s="1"/>
  <c r="S10" i="4"/>
  <c r="Q183" i="12" s="1"/>
  <c r="AD10" i="4"/>
  <c r="W183" i="12" s="1"/>
  <c r="L10" i="4"/>
  <c r="P183" i="12" s="1"/>
  <c r="AE10" i="4"/>
  <c r="X183" i="12" s="1"/>
  <c r="Z10" i="4"/>
  <c r="T183" i="12" s="1"/>
  <c r="E183" i="12"/>
  <c r="AA10" i="4"/>
  <c r="S183" i="12" s="1"/>
  <c r="V27" i="4"/>
  <c r="U123" i="12" s="1"/>
  <c r="G123" i="12"/>
  <c r="D11" i="7"/>
  <c r="H153" i="12"/>
  <c r="D200" i="8"/>
  <c r="D65" i="6"/>
  <c r="R44" i="4"/>
  <c r="R205" i="12" s="1"/>
  <c r="AE44" i="4"/>
  <c r="X205" i="12" s="1"/>
  <c r="Z44" i="4"/>
  <c r="T205" i="12" s="1"/>
  <c r="AD44" i="4"/>
  <c r="W205" i="12" s="1"/>
  <c r="S44" i="4"/>
  <c r="Q205" i="12" s="1"/>
  <c r="L44" i="4"/>
  <c r="P205" i="12" s="1"/>
  <c r="E205" i="12"/>
  <c r="AA44" i="4"/>
  <c r="S205" i="12" s="1"/>
  <c r="C347" i="2"/>
  <c r="F111" i="12"/>
  <c r="F55" i="12"/>
  <c r="D38" i="5"/>
  <c r="D91" i="8"/>
  <c r="F20" i="12"/>
  <c r="H70" i="12"/>
  <c r="C135" i="2"/>
  <c r="F156" i="12"/>
  <c r="L155" i="12"/>
  <c r="I147" i="12"/>
  <c r="O201" i="4"/>
  <c r="D197" i="8"/>
  <c r="C41" i="2"/>
  <c r="G15" i="12"/>
  <c r="V178" i="4"/>
  <c r="U15" i="12" s="1"/>
  <c r="D214" i="9"/>
  <c r="D78" i="9"/>
  <c r="L74" i="12"/>
  <c r="O38" i="4"/>
  <c r="I109" i="12"/>
  <c r="D26" i="9"/>
  <c r="D113" i="9"/>
  <c r="G177" i="12"/>
  <c r="V20" i="4"/>
  <c r="U177" i="12" s="1"/>
  <c r="D15" i="9"/>
  <c r="I125" i="12"/>
  <c r="O54" i="4"/>
  <c r="V37" i="4"/>
  <c r="U168" i="12" s="1"/>
  <c r="G168" i="12"/>
  <c r="L119" i="12"/>
  <c r="D42" i="9"/>
  <c r="D42" i="7"/>
  <c r="D193" i="7"/>
  <c r="F51" i="12"/>
  <c r="I126" i="12"/>
  <c r="O43" i="4"/>
  <c r="L148" i="12"/>
  <c r="F130" i="12"/>
  <c r="F167" i="12"/>
  <c r="D152" i="8"/>
  <c r="H102" i="12"/>
  <c r="F204" i="12"/>
  <c r="G126" i="12"/>
  <c r="V43" i="4"/>
  <c r="U126" i="12" s="1"/>
  <c r="D219" i="8"/>
  <c r="D46" i="5"/>
  <c r="G32" i="12"/>
  <c r="V173" i="4"/>
  <c r="U32" i="12" s="1"/>
  <c r="D169" i="5"/>
  <c r="V46" i="4"/>
  <c r="U97" i="12" s="1"/>
  <c r="G97" i="12"/>
  <c r="D68" i="9"/>
  <c r="D88" i="7"/>
  <c r="D84" i="7"/>
  <c r="D208" i="8"/>
  <c r="V130" i="4"/>
  <c r="U54" i="12" s="1"/>
  <c r="G54" i="12"/>
  <c r="D119" i="9"/>
  <c r="C496" i="2"/>
  <c r="C324" i="2"/>
  <c r="D55" i="8"/>
  <c r="S181" i="4"/>
  <c r="Q5" i="12" s="1"/>
  <c r="AE181" i="4"/>
  <c r="X5" i="12" s="1"/>
  <c r="E5" i="12"/>
  <c r="Z181" i="4"/>
  <c r="T5" i="12" s="1"/>
  <c r="AD181" i="4"/>
  <c r="W5" i="12" s="1"/>
  <c r="L181" i="4"/>
  <c r="P5" i="12" s="1"/>
  <c r="R181" i="4"/>
  <c r="R5" i="12" s="1"/>
  <c r="AA181" i="4"/>
  <c r="S5" i="12" s="1"/>
  <c r="D143" i="9"/>
  <c r="L35" i="12"/>
  <c r="C354" i="2"/>
  <c r="F194" i="12"/>
  <c r="C374" i="2"/>
  <c r="G131" i="12"/>
  <c r="V30" i="4"/>
  <c r="U131" i="12" s="1"/>
  <c r="G53" i="12"/>
  <c r="V86" i="4"/>
  <c r="U53" i="12" s="1"/>
  <c r="D87" i="5"/>
  <c r="D217" i="7"/>
  <c r="D111" i="7"/>
  <c r="L204" i="12"/>
  <c r="F31" i="12"/>
  <c r="D103" i="6"/>
  <c r="D49" i="7"/>
  <c r="O202" i="4"/>
  <c r="Q202" i="4" s="1"/>
  <c r="I186" i="12"/>
  <c r="AD62" i="4"/>
  <c r="W141" i="12" s="1"/>
  <c r="S62" i="4"/>
  <c r="Q141" i="12" s="1"/>
  <c r="Z62" i="4"/>
  <c r="T141" i="12" s="1"/>
  <c r="E141" i="12"/>
  <c r="L62" i="4"/>
  <c r="P141" i="12" s="1"/>
  <c r="AA62" i="4"/>
  <c r="S141" i="12" s="1"/>
  <c r="R62" i="4"/>
  <c r="R141" i="12" s="1"/>
  <c r="AE62" i="4"/>
  <c r="X141" i="12" s="1"/>
  <c r="F76" i="12"/>
  <c r="C451" i="2"/>
  <c r="O125" i="4"/>
  <c r="I136" i="12"/>
  <c r="F19" i="12"/>
  <c r="V112" i="4"/>
  <c r="U163" i="12" s="1"/>
  <c r="G163" i="12"/>
  <c r="L106" i="12"/>
  <c r="V155" i="4"/>
  <c r="U102" i="12" s="1"/>
  <c r="G102" i="12"/>
  <c r="H38" i="12"/>
  <c r="C128" i="2"/>
  <c r="D127" i="9"/>
  <c r="D129" i="8"/>
  <c r="D155" i="8"/>
  <c r="H125" i="12"/>
  <c r="L194" i="12"/>
  <c r="D30" i="8"/>
  <c r="C368" i="2"/>
  <c r="D211" i="5"/>
  <c r="C51" i="2"/>
  <c r="D11" i="6"/>
  <c r="D122" i="8"/>
  <c r="L100" i="12"/>
  <c r="D137" i="9"/>
  <c r="D130" i="5"/>
  <c r="D85" i="6"/>
  <c r="F87" i="12"/>
  <c r="D11" i="5"/>
  <c r="D86" i="8"/>
  <c r="D78" i="5"/>
  <c r="H113" i="12"/>
  <c r="D120" i="6"/>
  <c r="C473" i="2"/>
  <c r="D66" i="5"/>
  <c r="D165" i="6"/>
  <c r="H62" i="12"/>
  <c r="I7" i="12"/>
  <c r="O51" i="4"/>
  <c r="C25" i="2"/>
  <c r="D143" i="5"/>
  <c r="H135" i="12"/>
  <c r="D19" i="7"/>
  <c r="H63" i="12"/>
  <c r="D181" i="8"/>
  <c r="L201" i="12"/>
  <c r="D140" i="9"/>
  <c r="D6" i="5"/>
  <c r="D68" i="6"/>
  <c r="V179" i="4"/>
  <c r="U191" i="12" s="1"/>
  <c r="G191" i="12"/>
  <c r="D120" i="7"/>
  <c r="D61" i="5"/>
  <c r="E109" i="12"/>
  <c r="L38" i="4"/>
  <c r="P109" i="12" s="1"/>
  <c r="S38" i="4"/>
  <c r="Q109" i="12" s="1"/>
  <c r="AE38" i="4"/>
  <c r="X109" i="12" s="1"/>
  <c r="R38" i="4"/>
  <c r="R109" i="12" s="1"/>
  <c r="Z38" i="4"/>
  <c r="T109" i="12" s="1"/>
  <c r="AD38" i="4"/>
  <c r="W109" i="12" s="1"/>
  <c r="AA38" i="4"/>
  <c r="S109" i="12" s="1"/>
  <c r="F9" i="12"/>
  <c r="D37" i="6"/>
  <c r="D53" i="5"/>
  <c r="D183" i="6"/>
  <c r="D121" i="9"/>
  <c r="H17" i="12"/>
  <c r="D70" i="6"/>
  <c r="L203" i="12"/>
  <c r="AA55" i="4"/>
  <c r="S105" i="12" s="1"/>
  <c r="S55" i="4"/>
  <c r="Q105" i="12" s="1"/>
  <c r="Z55" i="4"/>
  <c r="T105" i="12" s="1"/>
  <c r="AE55" i="4"/>
  <c r="X105" i="12" s="1"/>
  <c r="L55" i="4"/>
  <c r="P105" i="12" s="1"/>
  <c r="R55" i="4"/>
  <c r="R105" i="12" s="1"/>
  <c r="E105" i="12"/>
  <c r="AD55" i="4"/>
  <c r="W105" i="12" s="1"/>
  <c r="D91" i="5"/>
  <c r="C497" i="2"/>
  <c r="G93" i="12"/>
  <c r="V141" i="4"/>
  <c r="U93" i="12" s="1"/>
  <c r="I101" i="12"/>
  <c r="O108" i="4"/>
  <c r="L79" i="12"/>
  <c r="AA168" i="4"/>
  <c r="S198" i="12" s="1"/>
  <c r="E198" i="12"/>
  <c r="S168" i="4"/>
  <c r="Q198" i="12" s="1"/>
  <c r="Z168" i="4"/>
  <c r="T198" i="12" s="1"/>
  <c r="L168" i="4"/>
  <c r="P198" i="12" s="1"/>
  <c r="AE168" i="4"/>
  <c r="X198" i="12" s="1"/>
  <c r="R168" i="4"/>
  <c r="R198" i="12" s="1"/>
  <c r="AD168" i="4"/>
  <c r="W198" i="12" s="1"/>
  <c r="C200" i="2"/>
  <c r="C340" i="2"/>
  <c r="I148" i="12"/>
  <c r="O68" i="4"/>
  <c r="I145" i="12"/>
  <c r="O63" i="4"/>
  <c r="H120" i="12"/>
  <c r="C503" i="2"/>
  <c r="D192" i="7"/>
  <c r="D31" i="7"/>
  <c r="L171" i="12"/>
  <c r="D87" i="6"/>
  <c r="D32" i="9"/>
  <c r="D94" i="6"/>
  <c r="I198" i="12"/>
  <c r="O168" i="4"/>
  <c r="C335" i="2"/>
  <c r="C178" i="2"/>
  <c r="D145" i="5"/>
  <c r="D28" i="5"/>
  <c r="D76" i="6"/>
  <c r="D29" i="6"/>
  <c r="D168" i="8"/>
  <c r="D173" i="7"/>
  <c r="D158" i="6"/>
  <c r="D75" i="6"/>
  <c r="H197" i="12"/>
  <c r="C143" i="2"/>
  <c r="C410" i="2"/>
  <c r="D204" i="9"/>
  <c r="C489" i="2"/>
  <c r="V80" i="4"/>
  <c r="U66" i="12" s="1"/>
  <c r="G66" i="12"/>
  <c r="D179" i="5"/>
  <c r="O157" i="4"/>
  <c r="I76" i="12"/>
  <c r="H101" i="12"/>
  <c r="C356" i="2"/>
  <c r="C372" i="2"/>
  <c r="O113" i="4"/>
  <c r="I57" i="12"/>
  <c r="V87" i="4"/>
  <c r="U96" i="12" s="1"/>
  <c r="G96" i="12"/>
  <c r="D79" i="7"/>
  <c r="H91" i="12"/>
  <c r="D81" i="5"/>
  <c r="C362" i="2"/>
  <c r="F180" i="12"/>
  <c r="D96" i="6"/>
  <c r="I170" i="12"/>
  <c r="O48" i="4"/>
  <c r="C481" i="2"/>
  <c r="F6" i="12"/>
  <c r="D217" i="6"/>
  <c r="AD61" i="4"/>
  <c r="W139" i="12" s="1"/>
  <c r="AA61" i="4"/>
  <c r="S139" i="12" s="1"/>
  <c r="Z61" i="4"/>
  <c r="T139" i="12" s="1"/>
  <c r="E139" i="12"/>
  <c r="AE61" i="4"/>
  <c r="X139" i="12" s="1"/>
  <c r="R61" i="4"/>
  <c r="R139" i="12" s="1"/>
  <c r="L61" i="4"/>
  <c r="P139" i="12" s="1"/>
  <c r="S61" i="4"/>
  <c r="Q139" i="12" s="1"/>
  <c r="V129" i="4"/>
  <c r="U72" i="12" s="1"/>
  <c r="G72" i="12"/>
  <c r="H185" i="12"/>
  <c r="I44" i="12"/>
  <c r="O120" i="4"/>
  <c r="D146" i="5"/>
  <c r="C468" i="2"/>
  <c r="D93" i="7"/>
  <c r="C107" i="2"/>
  <c r="E134" i="12"/>
  <c r="AA182" i="4"/>
  <c r="S134" i="12" s="1"/>
  <c r="L182" i="4"/>
  <c r="P134" i="12" s="1"/>
  <c r="R182" i="4"/>
  <c r="R134" i="12" s="1"/>
  <c r="S182" i="4"/>
  <c r="Q134" i="12" s="1"/>
  <c r="AD182" i="4"/>
  <c r="W134" i="12" s="1"/>
  <c r="AE182" i="4"/>
  <c r="X134" i="12" s="1"/>
  <c r="Z182" i="4"/>
  <c r="T134" i="12" s="1"/>
  <c r="D112" i="8"/>
  <c r="D25" i="6"/>
  <c r="D113" i="8"/>
  <c r="I167" i="12"/>
  <c r="O12" i="4"/>
  <c r="O173" i="4"/>
  <c r="I32" i="12"/>
  <c r="C66" i="2"/>
  <c r="D27" i="6"/>
  <c r="D57" i="6"/>
  <c r="D21" i="5"/>
  <c r="D215" i="5"/>
  <c r="D195" i="5"/>
  <c r="D128" i="9"/>
  <c r="F200" i="12"/>
  <c r="D108" i="7"/>
  <c r="C445" i="2"/>
  <c r="D149" i="8"/>
  <c r="D57" i="5"/>
  <c r="H116" i="12"/>
  <c r="D48" i="5"/>
  <c r="D204" i="6"/>
  <c r="D111" i="9"/>
  <c r="D77" i="5"/>
  <c r="S135" i="4"/>
  <c r="Q155" i="12" s="1"/>
  <c r="AD135" i="4"/>
  <c r="W155" i="12" s="1"/>
  <c r="R135" i="4"/>
  <c r="R155" i="12" s="1"/>
  <c r="E155" i="12"/>
  <c r="Z135" i="4"/>
  <c r="T155" i="12" s="1"/>
  <c r="AE135" i="4"/>
  <c r="X155" i="12" s="1"/>
  <c r="AA135" i="4"/>
  <c r="S155" i="12" s="1"/>
  <c r="L135" i="4"/>
  <c r="P155" i="12" s="1"/>
  <c r="D130" i="7"/>
  <c r="AD101" i="4"/>
  <c r="W143" i="12" s="1"/>
  <c r="L101" i="4"/>
  <c r="P143" i="12" s="1"/>
  <c r="AA101" i="4"/>
  <c r="S143" i="12" s="1"/>
  <c r="S101" i="4"/>
  <c r="Q143" i="12" s="1"/>
  <c r="E143" i="12"/>
  <c r="R101" i="4"/>
  <c r="R143" i="12" s="1"/>
  <c r="AE101" i="4"/>
  <c r="X143" i="12" s="1"/>
  <c r="Z101" i="4"/>
  <c r="T143" i="12" s="1"/>
  <c r="D52" i="6"/>
  <c r="D196" i="8"/>
  <c r="D199" i="9"/>
  <c r="D158" i="9"/>
  <c r="I141" i="12"/>
  <c r="O62" i="4"/>
  <c r="L197" i="12"/>
  <c r="C192" i="2"/>
  <c r="H60" i="12"/>
  <c r="L168" i="12"/>
  <c r="H183" i="12"/>
  <c r="O24" i="4"/>
  <c r="I175" i="12"/>
  <c r="D185" i="7"/>
  <c r="D145" i="8"/>
  <c r="Z91" i="4"/>
  <c r="T152" i="12" s="1"/>
  <c r="AD91" i="4"/>
  <c r="W152" i="12" s="1"/>
  <c r="AE91" i="4"/>
  <c r="X152" i="12" s="1"/>
  <c r="E152" i="12"/>
  <c r="R91" i="4"/>
  <c r="R152" i="12" s="1"/>
  <c r="S91" i="4"/>
  <c r="Q152" i="12" s="1"/>
  <c r="AA91" i="4"/>
  <c r="S152" i="12" s="1"/>
  <c r="L91" i="4"/>
  <c r="P152" i="12" s="1"/>
  <c r="D21" i="7"/>
  <c r="C35" i="2"/>
  <c r="L190" i="12"/>
  <c r="L147" i="4"/>
  <c r="P174" i="12" s="1"/>
  <c r="S147" i="4"/>
  <c r="Q174" i="12" s="1"/>
  <c r="Z147" i="4"/>
  <c r="T174" i="12" s="1"/>
  <c r="AE147" i="4"/>
  <c r="X174" i="12" s="1"/>
  <c r="AD147" i="4"/>
  <c r="W174" i="12" s="1"/>
  <c r="E174" i="12"/>
  <c r="R147" i="4"/>
  <c r="R174" i="12" s="1"/>
  <c r="AA147" i="4"/>
  <c r="S174" i="12" s="1"/>
  <c r="C158" i="2"/>
  <c r="F69" i="12"/>
  <c r="D59" i="9"/>
  <c r="H148" i="12"/>
  <c r="D218" i="7"/>
  <c r="F94" i="12"/>
  <c r="D108" i="9"/>
  <c r="AE160" i="4"/>
  <c r="X78" i="12" s="1"/>
  <c r="AD160" i="4"/>
  <c r="W78" i="12" s="1"/>
  <c r="E78" i="12"/>
  <c r="S160" i="4"/>
  <c r="Q78" i="12" s="1"/>
  <c r="R160" i="4"/>
  <c r="R78" i="12" s="1"/>
  <c r="L160" i="4"/>
  <c r="P78" i="12" s="1"/>
  <c r="Z160" i="4"/>
  <c r="T78" i="12" s="1"/>
  <c r="AA160" i="4"/>
  <c r="S78" i="12" s="1"/>
  <c r="D116" i="5"/>
  <c r="C48" i="2"/>
  <c r="F160" i="12"/>
  <c r="C86" i="2"/>
  <c r="D216" i="9"/>
  <c r="O42" i="4"/>
  <c r="I60" i="12"/>
  <c r="C464" i="2"/>
  <c r="D116" i="7"/>
  <c r="E112" i="12"/>
  <c r="L104" i="4"/>
  <c r="P112" i="12" s="1"/>
  <c r="R104" i="4"/>
  <c r="R112" i="12" s="1"/>
  <c r="AE104" i="4"/>
  <c r="X112" i="12" s="1"/>
  <c r="Z104" i="4"/>
  <c r="T112" i="12" s="1"/>
  <c r="AA104" i="4"/>
  <c r="S112" i="12" s="1"/>
  <c r="S104" i="4"/>
  <c r="Q112" i="12" s="1"/>
  <c r="AD104" i="4"/>
  <c r="W112" i="12" s="1"/>
  <c r="D80" i="5"/>
  <c r="I205" i="12"/>
  <c r="O44" i="4"/>
  <c r="D167" i="6"/>
  <c r="L50" i="12"/>
  <c r="D141" i="5"/>
  <c r="L99" i="12"/>
  <c r="D44" i="6"/>
  <c r="F165" i="12"/>
  <c r="L113" i="12"/>
  <c r="C487" i="2"/>
  <c r="D28" i="6"/>
  <c r="C6" i="2"/>
  <c r="I197" i="12"/>
  <c r="O19" i="4"/>
  <c r="D34" i="6"/>
  <c r="L15" i="12"/>
  <c r="O34" i="4"/>
  <c r="I28" i="12"/>
  <c r="C152" i="2"/>
  <c r="H117" i="12"/>
  <c r="D126" i="6"/>
  <c r="I75" i="12"/>
  <c r="O15" i="4"/>
  <c r="AD20" i="4"/>
  <c r="W177" i="12" s="1"/>
  <c r="AE20" i="4"/>
  <c r="X177" i="12" s="1"/>
  <c r="L20" i="4"/>
  <c r="P177" i="12" s="1"/>
  <c r="E177" i="12"/>
  <c r="S20" i="4"/>
  <c r="Q177" i="12" s="1"/>
  <c r="AA20" i="4"/>
  <c r="S177" i="12" s="1"/>
  <c r="Z20" i="4"/>
  <c r="T177" i="12" s="1"/>
  <c r="R20" i="4"/>
  <c r="R177" i="12" s="1"/>
  <c r="C205" i="2"/>
  <c r="D182" i="5"/>
  <c r="D134" i="5"/>
  <c r="E147" i="12"/>
  <c r="S201" i="4"/>
  <c r="Q147" i="12" s="1"/>
  <c r="AE201" i="4"/>
  <c r="X147" i="12" s="1"/>
  <c r="AA201" i="4"/>
  <c r="S147" i="12" s="1"/>
  <c r="L201" i="4"/>
  <c r="P147" i="12" s="1"/>
  <c r="R201" i="4"/>
  <c r="R147" i="12" s="1"/>
  <c r="Z201" i="4"/>
  <c r="T147" i="12" s="1"/>
  <c r="AD201" i="4"/>
  <c r="W147" i="12" s="1"/>
  <c r="H97" i="12"/>
  <c r="D208" i="6"/>
  <c r="O193" i="4"/>
  <c r="I77" i="12"/>
  <c r="C169" i="2"/>
  <c r="D134" i="7"/>
  <c r="L55" i="12"/>
  <c r="Z148" i="4"/>
  <c r="T185" i="12" s="1"/>
  <c r="AD148" i="4"/>
  <c r="W185" i="12" s="1"/>
  <c r="L148" i="4"/>
  <c r="P185" i="12" s="1"/>
  <c r="AA148" i="4"/>
  <c r="S185" i="12" s="1"/>
  <c r="AE148" i="4"/>
  <c r="X185" i="12" s="1"/>
  <c r="S148" i="4"/>
  <c r="Q185" i="12" s="1"/>
  <c r="E185" i="12"/>
  <c r="R148" i="4"/>
  <c r="R185" i="12" s="1"/>
  <c r="H59" i="12"/>
  <c r="D168" i="6"/>
  <c r="D186" i="7"/>
  <c r="D56" i="5"/>
  <c r="C26" i="2"/>
  <c r="H205" i="12"/>
  <c r="L205" i="12"/>
  <c r="L59" i="4"/>
  <c r="P140" i="12" s="1"/>
  <c r="R59" i="4"/>
  <c r="R140" i="12" s="1"/>
  <c r="S59" i="4"/>
  <c r="Q140" i="12" s="1"/>
  <c r="E140" i="12"/>
  <c r="AE59" i="4"/>
  <c r="X140" i="12" s="1"/>
  <c r="AD59" i="4"/>
  <c r="W140" i="12" s="1"/>
  <c r="Z59" i="4"/>
  <c r="T140" i="12" s="1"/>
  <c r="AA59" i="4"/>
  <c r="S140" i="12" s="1"/>
  <c r="D126" i="7"/>
  <c r="D139" i="9"/>
  <c r="F182" i="12"/>
  <c r="D84" i="9"/>
  <c r="R206" i="4"/>
  <c r="R86" i="12" s="1"/>
  <c r="L206" i="4"/>
  <c r="P86" i="12" s="1"/>
  <c r="AE206" i="4"/>
  <c r="X86" i="12" s="1"/>
  <c r="Z206" i="4"/>
  <c r="T86" i="12" s="1"/>
  <c r="AA206" i="4"/>
  <c r="S86" i="12" s="1"/>
  <c r="AD206" i="4"/>
  <c r="W86" i="12" s="1"/>
  <c r="S206" i="4"/>
  <c r="Q86" i="12" s="1"/>
  <c r="E86" i="12"/>
  <c r="C431" i="2"/>
  <c r="D158" i="8"/>
  <c r="D190" i="8"/>
  <c r="L191" i="12"/>
  <c r="D53" i="6"/>
  <c r="AA49" i="4"/>
  <c r="S188" i="12" s="1"/>
  <c r="S49" i="4"/>
  <c r="Q188" i="12" s="1"/>
  <c r="Z49" i="4"/>
  <c r="T188" i="12" s="1"/>
  <c r="AD49" i="4"/>
  <c r="W188" i="12" s="1"/>
  <c r="E188" i="12"/>
  <c r="AE49" i="4"/>
  <c r="X188" i="12" s="1"/>
  <c r="L49" i="4"/>
  <c r="P188" i="12" s="1"/>
  <c r="R49" i="4"/>
  <c r="R188" i="12" s="1"/>
  <c r="D107" i="9"/>
  <c r="V169" i="4"/>
  <c r="U87" i="12" s="1"/>
  <c r="G87" i="12"/>
  <c r="H129" i="12"/>
  <c r="D201" i="8"/>
  <c r="D88" i="8"/>
  <c r="D17" i="6"/>
  <c r="Z21" i="4"/>
  <c r="T90" i="12" s="1"/>
  <c r="S21" i="4"/>
  <c r="Q90" i="12" s="1"/>
  <c r="AD21" i="4"/>
  <c r="W90" i="12" s="1"/>
  <c r="AE21" i="4"/>
  <c r="X90" i="12" s="1"/>
  <c r="AA21" i="4"/>
  <c r="S90" i="12" s="1"/>
  <c r="E90" i="12"/>
  <c r="L21" i="4"/>
  <c r="P90" i="12" s="1"/>
  <c r="R21" i="4"/>
  <c r="R90" i="12" s="1"/>
  <c r="H6" i="12"/>
  <c r="D193" i="8"/>
  <c r="D206" i="6"/>
  <c r="D109" i="8"/>
  <c r="C373" i="2"/>
  <c r="D74" i="8"/>
  <c r="H198" i="12"/>
  <c r="H98" i="12"/>
  <c r="D66" i="7"/>
  <c r="D117" i="6"/>
  <c r="D203" i="7"/>
  <c r="C351" i="2"/>
  <c r="Z113" i="4"/>
  <c r="T57" i="12" s="1"/>
  <c r="R113" i="4"/>
  <c r="R57" i="12" s="1"/>
  <c r="S113" i="4"/>
  <c r="Q57" i="12" s="1"/>
  <c r="AD113" i="4"/>
  <c r="W57" i="12" s="1"/>
  <c r="AA113" i="4"/>
  <c r="S57" i="12" s="1"/>
  <c r="E57" i="12"/>
  <c r="L113" i="4"/>
  <c r="P57" i="12" s="1"/>
  <c r="AE113" i="4"/>
  <c r="X57" i="12" s="1"/>
  <c r="C212" i="2"/>
  <c r="L156" i="12"/>
  <c r="D157" i="5"/>
  <c r="O177" i="4"/>
  <c r="I91" i="12"/>
  <c r="D207" i="5"/>
  <c r="C344" i="2"/>
  <c r="C471" i="2"/>
  <c r="AE111" i="4"/>
  <c r="X51" i="12" s="1"/>
  <c r="E51" i="12"/>
  <c r="R111" i="4"/>
  <c r="R51" i="12" s="1"/>
  <c r="AA111" i="4"/>
  <c r="S51" i="12" s="1"/>
  <c r="L111" i="4"/>
  <c r="P51" i="12" s="1"/>
  <c r="AD111" i="4"/>
  <c r="W51" i="12" s="1"/>
  <c r="S111" i="4"/>
  <c r="Q51" i="12" s="1"/>
  <c r="Z111" i="4"/>
  <c r="T51" i="12" s="1"/>
  <c r="D190" i="7"/>
  <c r="F146" i="12"/>
  <c r="C131" i="2"/>
  <c r="D124" i="8"/>
  <c r="D89" i="9"/>
  <c r="C31" i="2"/>
  <c r="D129" i="5"/>
  <c r="C400" i="2"/>
  <c r="C172" i="2"/>
  <c r="D124" i="6"/>
  <c r="C313" i="2"/>
  <c r="D141" i="7"/>
  <c r="C14" i="2"/>
  <c r="C53" i="2"/>
  <c r="O73" i="4"/>
  <c r="I63" i="12"/>
  <c r="F144" i="12"/>
  <c r="G118" i="12"/>
  <c r="V79" i="4"/>
  <c r="U118" i="12" s="1"/>
  <c r="D162" i="8"/>
  <c r="D16" i="7"/>
  <c r="C363" i="2"/>
  <c r="D36" i="8"/>
  <c r="F13" i="12"/>
  <c r="O39" i="4"/>
  <c r="Q39" i="4" s="1"/>
  <c r="I142" i="12"/>
  <c r="I176" i="12"/>
  <c r="O126" i="4"/>
  <c r="C408" i="2"/>
  <c r="D14" i="5"/>
  <c r="D123" i="7"/>
  <c r="C430" i="2"/>
  <c r="H47" i="12"/>
  <c r="D198" i="9"/>
  <c r="F127" i="12"/>
  <c r="C153" i="2"/>
  <c r="I161" i="12"/>
  <c r="O132" i="4"/>
  <c r="H25" i="12"/>
  <c r="F78" i="12"/>
  <c r="F153" i="12"/>
  <c r="L63" i="12"/>
  <c r="O67" i="4"/>
  <c r="I194" i="12"/>
  <c r="H27" i="12"/>
  <c r="D78" i="7"/>
  <c r="O112" i="4"/>
  <c r="I163" i="12"/>
  <c r="C462" i="2"/>
  <c r="F203" i="12"/>
  <c r="D196" i="5"/>
  <c r="G13" i="12"/>
  <c r="V4" i="4"/>
  <c r="U13" i="12" s="1"/>
  <c r="C429" i="2"/>
  <c r="O76" i="4"/>
  <c r="I62" i="12"/>
  <c r="G169" i="12"/>
  <c r="V95" i="4"/>
  <c r="U169" i="12" s="1"/>
  <c r="D177" i="8"/>
  <c r="D165" i="7"/>
  <c r="L72" i="12"/>
  <c r="D211" i="8"/>
  <c r="L147" i="12"/>
  <c r="H188" i="12"/>
  <c r="D81" i="7"/>
  <c r="D10" i="9"/>
  <c r="D77" i="9"/>
  <c r="D24" i="7"/>
  <c r="F137" i="12"/>
  <c r="AD23" i="4"/>
  <c r="W10" i="12" s="1"/>
  <c r="AA23" i="4"/>
  <c r="S10" i="12" s="1"/>
  <c r="AE23" i="4"/>
  <c r="X10" i="12" s="1"/>
  <c r="E10" i="12"/>
  <c r="Z23" i="4"/>
  <c r="T10" i="12" s="1"/>
  <c r="S23" i="4"/>
  <c r="Q10" i="12" s="1"/>
  <c r="L23" i="4"/>
  <c r="P10" i="12" s="1"/>
  <c r="R23" i="4"/>
  <c r="R10" i="12" s="1"/>
  <c r="F45" i="12"/>
  <c r="D108" i="5"/>
  <c r="G107" i="12"/>
  <c r="V158" i="4"/>
  <c r="U107" i="12" s="1"/>
  <c r="D56" i="8"/>
  <c r="F16" i="12"/>
  <c r="C319" i="2"/>
  <c r="G20" i="12"/>
  <c r="V192" i="4"/>
  <c r="U20" i="12" s="1"/>
  <c r="D26" i="6"/>
  <c r="F18" i="12"/>
  <c r="D200" i="5"/>
  <c r="D15" i="5"/>
  <c r="F32" i="12"/>
  <c r="D50" i="8"/>
  <c r="D16" i="9"/>
  <c r="D95" i="9"/>
  <c r="D215" i="9"/>
  <c r="D18" i="9"/>
  <c r="L28" i="12"/>
  <c r="D162" i="7"/>
  <c r="V22" i="4"/>
  <c r="U203" i="12" s="1"/>
  <c r="G203" i="12"/>
  <c r="O89" i="4"/>
  <c r="I189" i="12"/>
  <c r="V103" i="4"/>
  <c r="U24" i="12" s="1"/>
  <c r="G24" i="12"/>
  <c r="L67" i="12"/>
  <c r="C64" i="2"/>
  <c r="D108" i="8"/>
  <c r="H82" i="12"/>
  <c r="O184" i="4"/>
  <c r="Q184" i="4" s="1"/>
  <c r="I22" i="12"/>
  <c r="L166" i="12"/>
  <c r="L178" i="12"/>
  <c r="C185" i="2"/>
  <c r="D134" i="6"/>
  <c r="F25" i="12"/>
  <c r="H166" i="12"/>
  <c r="F117" i="12"/>
  <c r="D133" i="5"/>
  <c r="H4" i="12"/>
  <c r="E15" i="12"/>
  <c r="Z178" i="4"/>
  <c r="T15" i="12" s="1"/>
  <c r="AA178" i="4"/>
  <c r="S15" i="12" s="1"/>
  <c r="AD178" i="4"/>
  <c r="W15" i="12" s="1"/>
  <c r="AE178" i="4"/>
  <c r="X15" i="12" s="1"/>
  <c r="S178" i="4"/>
  <c r="Q15" i="12" s="1"/>
  <c r="L178" i="4"/>
  <c r="P15" i="12" s="1"/>
  <c r="R178" i="4"/>
  <c r="R15" i="12" s="1"/>
  <c r="D66" i="8"/>
  <c r="C465" i="2"/>
  <c r="D131" i="8"/>
  <c r="H178" i="12"/>
  <c r="C47" i="2"/>
  <c r="D41" i="6"/>
  <c r="D100" i="8"/>
  <c r="Z143" i="4"/>
  <c r="T157" i="12" s="1"/>
  <c r="AE143" i="4"/>
  <c r="X157" i="12" s="1"/>
  <c r="S143" i="4"/>
  <c r="Q157" i="12" s="1"/>
  <c r="R143" i="4"/>
  <c r="R157" i="12" s="1"/>
  <c r="AA143" i="4"/>
  <c r="S157" i="12" s="1"/>
  <c r="AD143" i="4"/>
  <c r="W157" i="12" s="1"/>
  <c r="E157" i="12"/>
  <c r="L143" i="4"/>
  <c r="P157" i="12" s="1"/>
  <c r="D217" i="9"/>
  <c r="D174" i="6"/>
  <c r="AD124" i="4"/>
  <c r="W23" i="12" s="1"/>
  <c r="Z124" i="4"/>
  <c r="T23" i="12" s="1"/>
  <c r="L124" i="4"/>
  <c r="P23" i="12" s="1"/>
  <c r="S124" i="4"/>
  <c r="Q23" i="12" s="1"/>
  <c r="R124" i="4"/>
  <c r="R23" i="12" s="1"/>
  <c r="AA124" i="4"/>
  <c r="S23" i="12" s="1"/>
  <c r="AE124" i="4"/>
  <c r="X23" i="12" s="1"/>
  <c r="E23" i="12"/>
  <c r="C154" i="2"/>
  <c r="C310" i="2"/>
  <c r="D134" i="8"/>
  <c r="D158" i="7"/>
  <c r="D7" i="6"/>
  <c r="F166" i="12"/>
  <c r="H106" i="12"/>
  <c r="D12" i="8"/>
  <c r="D123" i="6"/>
  <c r="C480" i="2"/>
  <c r="I72" i="12"/>
  <c r="O129" i="4"/>
  <c r="H200" i="12"/>
  <c r="V183" i="4"/>
  <c r="U12" i="12" s="1"/>
  <c r="G12" i="12"/>
  <c r="G175" i="12"/>
  <c r="V24" i="4"/>
  <c r="U175" i="12" s="1"/>
  <c r="D203" i="8"/>
  <c r="I184" i="12"/>
  <c r="O16" i="4"/>
  <c r="Q16" i="4" s="1"/>
  <c r="V132" i="4"/>
  <c r="U161" i="12" s="1"/>
  <c r="G161" i="12"/>
  <c r="F99" i="12"/>
  <c r="O96" i="4"/>
  <c r="I99" i="12"/>
  <c r="C424" i="2"/>
  <c r="F196" i="12"/>
  <c r="D116" i="8"/>
  <c r="C162" i="2"/>
  <c r="L81" i="12"/>
  <c r="O109" i="4"/>
  <c r="Q109" i="4" s="1"/>
  <c r="I159" i="12"/>
  <c r="D123" i="5"/>
  <c r="C320" i="2"/>
  <c r="AA150" i="4"/>
  <c r="S42" i="12" s="1"/>
  <c r="L150" i="4"/>
  <c r="P42" i="12" s="1"/>
  <c r="AD150" i="4"/>
  <c r="W42" i="12" s="1"/>
  <c r="E42" i="12"/>
  <c r="R150" i="4"/>
  <c r="R42" i="12" s="1"/>
  <c r="S150" i="4"/>
  <c r="Q42" i="12" s="1"/>
  <c r="Z150" i="4"/>
  <c r="T42" i="12" s="1"/>
  <c r="AE150" i="4"/>
  <c r="X42" i="12" s="1"/>
  <c r="C80" i="2"/>
  <c r="C491" i="2"/>
  <c r="L182" i="12"/>
  <c r="D82" i="9"/>
  <c r="O40" i="4"/>
  <c r="I153" i="12"/>
  <c r="F41" i="12"/>
  <c r="H73" i="12"/>
  <c r="F179" i="12"/>
  <c r="D176" i="9"/>
  <c r="C67" i="2"/>
  <c r="D144" i="5"/>
  <c r="L118" i="4"/>
  <c r="P33" i="12" s="1"/>
  <c r="E33" i="12"/>
  <c r="AA118" i="4"/>
  <c r="S33" i="12" s="1"/>
  <c r="AD118" i="4"/>
  <c r="W33" i="12" s="1"/>
  <c r="S118" i="4"/>
  <c r="Q33" i="12" s="1"/>
  <c r="AE118" i="4"/>
  <c r="X33" i="12" s="1"/>
  <c r="R118" i="4"/>
  <c r="R33" i="12" s="1"/>
  <c r="Z118" i="4"/>
  <c r="T33" i="12" s="1"/>
  <c r="D159" i="8"/>
  <c r="D70" i="9"/>
  <c r="G194" i="12"/>
  <c r="V67" i="4"/>
  <c r="U194" i="12" s="1"/>
  <c r="D150" i="6"/>
  <c r="D79" i="8"/>
  <c r="C141" i="2"/>
  <c r="L109" i="4"/>
  <c r="P159" i="12" s="1"/>
  <c r="AA109" i="4"/>
  <c r="S159" i="12" s="1"/>
  <c r="Z109" i="4"/>
  <c r="T159" i="12" s="1"/>
  <c r="AD109" i="4"/>
  <c r="W159" i="12" s="1"/>
  <c r="E159" i="12"/>
  <c r="AE109" i="4"/>
  <c r="X159" i="12" s="1"/>
  <c r="R109" i="4"/>
  <c r="R159" i="12" s="1"/>
  <c r="S109" i="4"/>
  <c r="Q159" i="12" s="1"/>
  <c r="L118" i="12"/>
  <c r="C68" i="2"/>
  <c r="D214" i="6"/>
  <c r="D160" i="5"/>
  <c r="D101" i="8"/>
  <c r="D43" i="5"/>
  <c r="G21" i="12"/>
  <c r="V188" i="4"/>
  <c r="U21" i="12" s="1"/>
  <c r="H130" i="12"/>
  <c r="C15" i="2"/>
  <c r="D195" i="6"/>
  <c r="G129" i="12"/>
  <c r="V152" i="4"/>
  <c r="U129" i="12" s="1"/>
  <c r="O20" i="4"/>
  <c r="Q20" i="4" s="1"/>
  <c r="I177" i="12"/>
  <c r="D12" i="5"/>
  <c r="L21" i="12"/>
  <c r="H141" i="12"/>
  <c r="O8" i="4"/>
  <c r="Q8" i="4" s="1"/>
  <c r="I124" i="12"/>
  <c r="D123" i="9"/>
  <c r="H44" i="12"/>
  <c r="C455" i="2"/>
  <c r="Z116" i="4"/>
  <c r="T67" i="12" s="1"/>
  <c r="L116" i="4"/>
  <c r="P67" i="12" s="1"/>
  <c r="AE116" i="4"/>
  <c r="X67" i="12" s="1"/>
  <c r="AA116" i="4"/>
  <c r="S67" i="12" s="1"/>
  <c r="R116" i="4"/>
  <c r="R67" i="12" s="1"/>
  <c r="AD116" i="4"/>
  <c r="W67" i="12" s="1"/>
  <c r="S116" i="4"/>
  <c r="Q67" i="12" s="1"/>
  <c r="E67" i="12"/>
  <c r="L46" i="12"/>
  <c r="D30" i="7"/>
  <c r="D46" i="8"/>
  <c r="G190" i="12"/>
  <c r="V136" i="4"/>
  <c r="U190" i="12" s="1"/>
  <c r="C102" i="2"/>
  <c r="D45" i="5"/>
  <c r="C147" i="2"/>
  <c r="AE176" i="4"/>
  <c r="X71" i="12" s="1"/>
  <c r="L176" i="4"/>
  <c r="P71" i="12" s="1"/>
  <c r="Z176" i="4"/>
  <c r="T71" i="12" s="1"/>
  <c r="AD176" i="4"/>
  <c r="W71" i="12" s="1"/>
  <c r="S176" i="4"/>
  <c r="Q71" i="12" s="1"/>
  <c r="R176" i="4"/>
  <c r="R71" i="12" s="1"/>
  <c r="AA176" i="4"/>
  <c r="S71" i="12" s="1"/>
  <c r="E71" i="12"/>
  <c r="D188" i="6"/>
  <c r="D110" i="5"/>
  <c r="D62" i="5"/>
  <c r="F3" i="12"/>
  <c r="C19" i="2"/>
  <c r="S64" i="4"/>
  <c r="Q50" i="12" s="1"/>
  <c r="AE64" i="4"/>
  <c r="X50" i="12" s="1"/>
  <c r="Z64" i="4"/>
  <c r="T50" i="12" s="1"/>
  <c r="E50" i="12"/>
  <c r="AD64" i="4"/>
  <c r="W50" i="12" s="1"/>
  <c r="R64" i="4"/>
  <c r="R50" i="12" s="1"/>
  <c r="AA64" i="4"/>
  <c r="S50" i="12" s="1"/>
  <c r="L64" i="4"/>
  <c r="P50" i="12" s="1"/>
  <c r="AD155" i="4"/>
  <c r="W102" i="12" s="1"/>
  <c r="Z155" i="4"/>
  <c r="T102" i="12" s="1"/>
  <c r="R155" i="4"/>
  <c r="R102" i="12" s="1"/>
  <c r="S155" i="4"/>
  <c r="Q102" i="12" s="1"/>
  <c r="L155" i="4"/>
  <c r="P102" i="12" s="1"/>
  <c r="AE155" i="4"/>
  <c r="X102" i="12" s="1"/>
  <c r="E102" i="12"/>
  <c r="AA155" i="4"/>
  <c r="S102" i="12" s="1"/>
  <c r="C34" i="2"/>
  <c r="S75" i="4"/>
  <c r="Q17" i="12" s="1"/>
  <c r="E17" i="12"/>
  <c r="Z75" i="4"/>
  <c r="T17" i="12" s="1"/>
  <c r="AA75" i="4"/>
  <c r="S17" i="12" s="1"/>
  <c r="L75" i="4"/>
  <c r="P17" i="12" s="1"/>
  <c r="AE75" i="4"/>
  <c r="X17" i="12" s="1"/>
  <c r="R75" i="4"/>
  <c r="R17" i="12" s="1"/>
  <c r="AD75" i="4"/>
  <c r="W17" i="12" s="1"/>
  <c r="H171" i="12"/>
  <c r="D162" i="5"/>
  <c r="D72" i="9"/>
  <c r="H15" i="12"/>
  <c r="F202" i="12"/>
  <c r="S198" i="4"/>
  <c r="Q195" i="12" s="1"/>
  <c r="AA198" i="4"/>
  <c r="S195" i="12" s="1"/>
  <c r="L198" i="4"/>
  <c r="P195" i="12" s="1"/>
  <c r="Z198" i="4"/>
  <c r="T195" i="12" s="1"/>
  <c r="AD198" i="4"/>
  <c r="W195" i="12" s="1"/>
  <c r="AE198" i="4"/>
  <c r="X195" i="12" s="1"/>
  <c r="E195" i="12"/>
  <c r="R198" i="4"/>
  <c r="R195" i="12" s="1"/>
  <c r="D35" i="6"/>
  <c r="C440" i="2"/>
  <c r="D36" i="9"/>
  <c r="D157" i="9"/>
  <c r="H90" i="12"/>
  <c r="D135" i="5"/>
  <c r="D187" i="9"/>
  <c r="C148" i="2"/>
  <c r="V11" i="4"/>
  <c r="U171" i="12" s="1"/>
  <c r="G171" i="12"/>
  <c r="H78" i="12"/>
  <c r="D150" i="9"/>
  <c r="D148" i="9"/>
  <c r="D65" i="9"/>
  <c r="D92" i="7"/>
  <c r="D9" i="5"/>
  <c r="D64" i="6"/>
  <c r="D33" i="7"/>
  <c r="C76" i="2"/>
  <c r="D40" i="6"/>
  <c r="L110" i="12"/>
  <c r="D89" i="5"/>
  <c r="L36" i="12"/>
  <c r="D35" i="5"/>
  <c r="O104" i="4"/>
  <c r="I112" i="12"/>
  <c r="C417" i="2"/>
  <c r="H77" i="12"/>
  <c r="O77" i="4"/>
  <c r="Q77" i="4" s="1"/>
  <c r="I204" i="12"/>
  <c r="C176" i="2"/>
  <c r="D26" i="7"/>
  <c r="S93" i="4"/>
  <c r="Q41" i="12" s="1"/>
  <c r="AA93" i="4"/>
  <c r="S41" i="12" s="1"/>
  <c r="L93" i="4"/>
  <c r="P41" i="12" s="1"/>
  <c r="AD93" i="4"/>
  <c r="W41" i="12" s="1"/>
  <c r="R93" i="4"/>
  <c r="R41" i="12" s="1"/>
  <c r="E41" i="12"/>
  <c r="Z93" i="4"/>
  <c r="T41" i="12" s="1"/>
  <c r="AE93" i="4"/>
  <c r="X41" i="12" s="1"/>
  <c r="O92" i="4"/>
  <c r="Q92" i="4" s="1"/>
  <c r="I192" i="12"/>
  <c r="D7" i="8"/>
  <c r="S77" i="4"/>
  <c r="Q204" i="12" s="1"/>
  <c r="R77" i="4"/>
  <c r="R204" i="12" s="1"/>
  <c r="AD77" i="4"/>
  <c r="W204" i="12" s="1"/>
  <c r="AA77" i="4"/>
  <c r="S204" i="12" s="1"/>
  <c r="AE77" i="4"/>
  <c r="X204" i="12" s="1"/>
  <c r="Z77" i="4"/>
  <c r="T204" i="12" s="1"/>
  <c r="E204" i="12"/>
  <c r="L77" i="4"/>
  <c r="P204" i="12" s="1"/>
  <c r="F98" i="12"/>
  <c r="I123" i="12"/>
  <c r="O27" i="4"/>
  <c r="O103" i="4"/>
  <c r="I24" i="12"/>
  <c r="F143" i="12"/>
  <c r="D188" i="9"/>
  <c r="L42" i="12"/>
  <c r="D95" i="5"/>
  <c r="D110" i="6"/>
  <c r="C38" i="2"/>
  <c r="H58" i="12"/>
  <c r="D23" i="6"/>
  <c r="C134" i="2"/>
  <c r="R80" i="4"/>
  <c r="R66" i="12" s="1"/>
  <c r="AD80" i="4"/>
  <c r="W66" i="12" s="1"/>
  <c r="Z80" i="4"/>
  <c r="T66" i="12" s="1"/>
  <c r="AE80" i="4"/>
  <c r="X66" i="12" s="1"/>
  <c r="L80" i="4"/>
  <c r="P66" i="12" s="1"/>
  <c r="E66" i="12"/>
  <c r="AA80" i="4"/>
  <c r="S66" i="12" s="1"/>
  <c r="S80" i="4"/>
  <c r="Q66" i="12" s="1"/>
  <c r="D175" i="9"/>
  <c r="L57" i="12"/>
  <c r="D28" i="8"/>
  <c r="D79" i="6"/>
  <c r="D203" i="5"/>
  <c r="E54" i="12"/>
  <c r="L130" i="4"/>
  <c r="P54" i="12" s="1"/>
  <c r="R130" i="4"/>
  <c r="R54" i="12" s="1"/>
  <c r="Z130" i="4"/>
  <c r="T54" i="12" s="1"/>
  <c r="AD130" i="4"/>
  <c r="W54" i="12" s="1"/>
  <c r="AE130" i="4"/>
  <c r="X54" i="12" s="1"/>
  <c r="S130" i="4"/>
  <c r="Q54" i="12" s="1"/>
  <c r="AA130" i="4"/>
  <c r="S54" i="12" s="1"/>
  <c r="G174" i="12"/>
  <c r="V147" i="4"/>
  <c r="U174" i="12" s="1"/>
  <c r="D213" i="5"/>
  <c r="E158" i="12"/>
  <c r="L13" i="4"/>
  <c r="P158" i="12" s="1"/>
  <c r="S13" i="4"/>
  <c r="Q158" i="12" s="1"/>
  <c r="AE13" i="4"/>
  <c r="X158" i="12" s="1"/>
  <c r="R13" i="4"/>
  <c r="R158" i="12" s="1"/>
  <c r="AA13" i="4"/>
  <c r="S158" i="12" s="1"/>
  <c r="AD13" i="4"/>
  <c r="W158" i="12" s="1"/>
  <c r="Z13" i="4"/>
  <c r="T158" i="12" s="1"/>
  <c r="L101" i="12"/>
  <c r="I25" i="12"/>
  <c r="O133" i="4"/>
  <c r="C359" i="2"/>
  <c r="D95" i="8"/>
  <c r="C326" i="2"/>
  <c r="D9" i="7"/>
  <c r="C311" i="2"/>
  <c r="F174" i="12"/>
  <c r="H158" i="12"/>
  <c r="D95" i="6"/>
  <c r="D182" i="9"/>
  <c r="L9" i="12"/>
  <c r="D92" i="9"/>
  <c r="L10" i="12"/>
  <c r="D175" i="6"/>
  <c r="D13" i="6"/>
  <c r="C350" i="2"/>
  <c r="C146" i="2"/>
  <c r="O199" i="4"/>
  <c r="Q199" i="4" s="1"/>
  <c r="I196" i="12"/>
  <c r="D211" i="7"/>
  <c r="H68" i="12"/>
  <c r="D101" i="9"/>
  <c r="I23" i="12"/>
  <c r="O124" i="4"/>
  <c r="D33" i="6"/>
  <c r="C449" i="2"/>
  <c r="D195" i="7"/>
  <c r="L175" i="12"/>
  <c r="D207" i="6"/>
  <c r="L80" i="12"/>
  <c r="D128" i="6"/>
  <c r="C108" i="2"/>
  <c r="G89" i="12"/>
  <c r="V123" i="4"/>
  <c r="U89" i="12" s="1"/>
  <c r="D53" i="8"/>
  <c r="D175" i="7"/>
  <c r="H121" i="12"/>
  <c r="F157" i="12"/>
  <c r="C163" i="2"/>
  <c r="C392" i="2"/>
  <c r="L20" i="12"/>
  <c r="C65" i="2"/>
  <c r="L133" i="12"/>
  <c r="D137" i="8"/>
  <c r="C201" i="2"/>
  <c r="C307" i="2"/>
  <c r="D58" i="6"/>
  <c r="D61" i="8"/>
  <c r="H9" i="12"/>
  <c r="O32" i="4"/>
  <c r="I6" i="12"/>
  <c r="D145" i="9"/>
  <c r="H160" i="12"/>
  <c r="D90" i="5"/>
  <c r="D107" i="5"/>
  <c r="AA125" i="4"/>
  <c r="S136" i="12" s="1"/>
  <c r="AD125" i="4"/>
  <c r="W136" i="12" s="1"/>
  <c r="Z125" i="4"/>
  <c r="T136" i="12" s="1"/>
  <c r="AE125" i="4"/>
  <c r="X136" i="12" s="1"/>
  <c r="R125" i="4"/>
  <c r="R136" i="12" s="1"/>
  <c r="S125" i="4"/>
  <c r="Q136" i="12" s="1"/>
  <c r="L125" i="4"/>
  <c r="P136" i="12" s="1"/>
  <c r="E136" i="12"/>
  <c r="D37" i="5"/>
  <c r="D206" i="8"/>
  <c r="G145" i="12"/>
  <c r="V63" i="4"/>
  <c r="U145" i="12" s="1"/>
  <c r="D47" i="8"/>
  <c r="D215" i="7"/>
  <c r="D18" i="5"/>
  <c r="I138" i="12"/>
  <c r="O47" i="4"/>
  <c r="C44" i="2"/>
  <c r="D27" i="8"/>
  <c r="D184" i="7"/>
  <c r="D135" i="8"/>
  <c r="F107" i="12"/>
  <c r="AA94" i="4"/>
  <c r="S108" i="12" s="1"/>
  <c r="E108" i="12"/>
  <c r="Z94" i="4"/>
  <c r="T108" i="12" s="1"/>
  <c r="AD94" i="4"/>
  <c r="W108" i="12" s="1"/>
  <c r="L94" i="4"/>
  <c r="P108" i="12" s="1"/>
  <c r="R94" i="4"/>
  <c r="R108" i="12" s="1"/>
  <c r="AE94" i="4"/>
  <c r="X108" i="12" s="1"/>
  <c r="S94" i="4"/>
  <c r="Q108" i="12" s="1"/>
  <c r="L68" i="4"/>
  <c r="P148" i="12" s="1"/>
  <c r="AE68" i="4"/>
  <c r="X148" i="12" s="1"/>
  <c r="S68" i="4"/>
  <c r="Q148" i="12" s="1"/>
  <c r="AA68" i="4"/>
  <c r="S148" i="12" s="1"/>
  <c r="AD68" i="4"/>
  <c r="W148" i="12" s="1"/>
  <c r="R68" i="4"/>
  <c r="R148" i="12" s="1"/>
  <c r="E148" i="12"/>
  <c r="Z68" i="4"/>
  <c r="T148" i="12" s="1"/>
  <c r="I5" i="12"/>
  <c r="O181" i="4"/>
  <c r="F140" i="12"/>
  <c r="D31" i="6"/>
  <c r="D37" i="8"/>
  <c r="H16" i="12"/>
  <c r="D37" i="7"/>
  <c r="C428" i="2"/>
  <c r="D166" i="9"/>
  <c r="C448" i="2"/>
  <c r="D164" i="7"/>
  <c r="D36" i="7"/>
  <c r="O70" i="4"/>
  <c r="Q70" i="4" s="1"/>
  <c r="I149" i="12"/>
  <c r="D26" i="5"/>
  <c r="H154" i="12"/>
  <c r="O190" i="4"/>
  <c r="I132" i="12"/>
  <c r="D112" i="7"/>
  <c r="F82" i="12"/>
  <c r="D90" i="6"/>
  <c r="D203" i="9"/>
  <c r="I122" i="12"/>
  <c r="O163" i="4"/>
  <c r="AA186" i="4"/>
  <c r="S49" i="12" s="1"/>
  <c r="Z186" i="4"/>
  <c r="T49" i="12" s="1"/>
  <c r="E49" i="12"/>
  <c r="R186" i="4"/>
  <c r="R49" i="12" s="1"/>
  <c r="S186" i="4"/>
  <c r="Q49" i="12" s="1"/>
  <c r="AE186" i="4"/>
  <c r="X49" i="12" s="1"/>
  <c r="AD186" i="4"/>
  <c r="W49" i="12" s="1"/>
  <c r="L186" i="4"/>
  <c r="P49" i="12" s="1"/>
  <c r="D145" i="6"/>
  <c r="H108" i="12"/>
  <c r="L78" i="12"/>
  <c r="C221" i="2"/>
  <c r="D24" i="6"/>
  <c r="D83" i="6"/>
  <c r="H24" i="12"/>
  <c r="H194" i="12"/>
  <c r="D105" i="8"/>
  <c r="F80" i="12"/>
  <c r="C388" i="2"/>
  <c r="F112" i="12"/>
  <c r="E154" i="12"/>
  <c r="Z161" i="4"/>
  <c r="T154" i="12" s="1"/>
  <c r="AD161" i="4"/>
  <c r="W154" i="12" s="1"/>
  <c r="AE161" i="4"/>
  <c r="X154" i="12" s="1"/>
  <c r="S161" i="4"/>
  <c r="Q154" i="12" s="1"/>
  <c r="L161" i="4"/>
  <c r="P154" i="12" s="1"/>
  <c r="R161" i="4"/>
  <c r="R154" i="12" s="1"/>
  <c r="AA161" i="4"/>
  <c r="S154" i="12" s="1"/>
  <c r="C437" i="2"/>
  <c r="L132" i="12"/>
  <c r="G4" i="12"/>
  <c r="V180" i="4"/>
  <c r="U4" i="12" s="1"/>
  <c r="AE142" i="4"/>
  <c r="X14" i="12" s="1"/>
  <c r="E14" i="12"/>
  <c r="AD142" i="4"/>
  <c r="W14" i="12" s="1"/>
  <c r="R142" i="4"/>
  <c r="R14" i="12" s="1"/>
  <c r="AA142" i="4"/>
  <c r="S14" i="12" s="1"/>
  <c r="Z142" i="4"/>
  <c r="T14" i="12" s="1"/>
  <c r="L142" i="4"/>
  <c r="P14" i="12" s="1"/>
  <c r="S142" i="4"/>
  <c r="Q14" i="12" s="1"/>
  <c r="D171" i="7"/>
  <c r="D24" i="8"/>
  <c r="D23" i="8"/>
  <c r="D51" i="7"/>
  <c r="C37" i="2"/>
  <c r="D147" i="8"/>
  <c r="I203" i="12"/>
  <c r="O22" i="4"/>
  <c r="V122" i="4"/>
  <c r="U3" i="12" s="1"/>
  <c r="G3" i="12"/>
  <c r="AE82" i="4"/>
  <c r="X162" i="12" s="1"/>
  <c r="Z82" i="4"/>
  <c r="T162" i="12" s="1"/>
  <c r="L82" i="4"/>
  <c r="P162" i="12" s="1"/>
  <c r="AA82" i="4"/>
  <c r="S162" i="12" s="1"/>
  <c r="E162" i="12"/>
  <c r="R82" i="4"/>
  <c r="R162" i="12" s="1"/>
  <c r="AD82" i="4"/>
  <c r="W162" i="12" s="1"/>
  <c r="S82" i="4"/>
  <c r="Q162" i="12" s="1"/>
  <c r="AD129" i="4"/>
  <c r="W72" i="12" s="1"/>
  <c r="AA129" i="4"/>
  <c r="S72" i="12" s="1"/>
  <c r="E72" i="12"/>
  <c r="L129" i="4"/>
  <c r="P72" i="12" s="1"/>
  <c r="S129" i="4"/>
  <c r="Q72" i="12" s="1"/>
  <c r="AE129" i="4"/>
  <c r="X72" i="12" s="1"/>
  <c r="Z129" i="4"/>
  <c r="T72" i="12" s="1"/>
  <c r="R129" i="4"/>
  <c r="R72" i="12" s="1"/>
  <c r="H29" i="12"/>
  <c r="D199" i="7"/>
  <c r="D35" i="8"/>
  <c r="D115" i="5"/>
  <c r="G33" i="12"/>
  <c r="V118" i="4"/>
  <c r="U33" i="12" s="1"/>
  <c r="V62" i="4"/>
  <c r="U141" i="12" s="1"/>
  <c r="G141" i="12"/>
  <c r="C413" i="2"/>
  <c r="G120" i="12"/>
  <c r="V110" i="4"/>
  <c r="U120" i="12" s="1"/>
  <c r="AE169" i="4"/>
  <c r="X87" i="12" s="1"/>
  <c r="E87" i="12"/>
  <c r="L169" i="4"/>
  <c r="P87" i="12" s="1"/>
  <c r="AD169" i="4"/>
  <c r="W87" i="12" s="1"/>
  <c r="Z169" i="4"/>
  <c r="T87" i="12" s="1"/>
  <c r="R169" i="4"/>
  <c r="R87" i="12" s="1"/>
  <c r="S169" i="4"/>
  <c r="Q87" i="12" s="1"/>
  <c r="AA169" i="4"/>
  <c r="S87" i="12" s="1"/>
  <c r="C174" i="2"/>
  <c r="AE202" i="4"/>
  <c r="X186" i="12" s="1"/>
  <c r="AA202" i="4"/>
  <c r="S186" i="12" s="1"/>
  <c r="Z202" i="4"/>
  <c r="T186" i="12" s="1"/>
  <c r="E186" i="12"/>
  <c r="L202" i="4"/>
  <c r="P186" i="12" s="1"/>
  <c r="R202" i="4"/>
  <c r="R186" i="12" s="1"/>
  <c r="AD202" i="4"/>
  <c r="W186" i="12" s="1"/>
  <c r="S202" i="4"/>
  <c r="Q186" i="12" s="1"/>
  <c r="D10" i="7"/>
  <c r="D177" i="9"/>
  <c r="O94" i="4"/>
  <c r="I108" i="12"/>
  <c r="D201" i="7"/>
  <c r="F7" i="12"/>
  <c r="D19" i="9"/>
  <c r="D32" i="6"/>
  <c r="AD9" i="4"/>
  <c r="W16" i="12" s="1"/>
  <c r="R9" i="4"/>
  <c r="R16" i="12" s="1"/>
  <c r="L9" i="4"/>
  <c r="P16" i="12" s="1"/>
  <c r="E16" i="12"/>
  <c r="Z9" i="4"/>
  <c r="T16" i="12" s="1"/>
  <c r="S9" i="4"/>
  <c r="Q16" i="12" s="1"/>
  <c r="AA9" i="4"/>
  <c r="S16" i="12" s="1"/>
  <c r="AE9" i="4"/>
  <c r="X16" i="12" s="1"/>
  <c r="D59" i="8"/>
  <c r="G73" i="12"/>
  <c r="V149" i="4"/>
  <c r="U73" i="12" s="1"/>
  <c r="H195" i="12"/>
  <c r="L108" i="12"/>
  <c r="C390" i="2"/>
  <c r="D197" i="7"/>
  <c r="H187" i="12"/>
  <c r="I70" i="12"/>
  <c r="O171" i="4"/>
  <c r="D62" i="9"/>
  <c r="D13" i="5"/>
  <c r="H54" i="12"/>
  <c r="D18" i="6"/>
  <c r="C186" i="2"/>
  <c r="L83" i="12"/>
  <c r="C492" i="2"/>
  <c r="H170" i="12"/>
  <c r="G40" i="12"/>
  <c r="V71" i="4"/>
  <c r="U40" i="12" s="1"/>
  <c r="D110" i="8"/>
  <c r="C367" i="2"/>
  <c r="D205" i="9"/>
  <c r="D65" i="5"/>
  <c r="D220" i="9"/>
  <c r="L145" i="12"/>
  <c r="L63" i="4"/>
  <c r="P145" i="12" s="1"/>
  <c r="I190" i="12"/>
  <c r="O136" i="4"/>
  <c r="V64" i="4"/>
  <c r="U50" i="12" s="1"/>
  <c r="G50" i="12"/>
  <c r="G189" i="12"/>
  <c r="V89" i="4"/>
  <c r="U189" i="12" s="1"/>
  <c r="C58" i="2"/>
  <c r="C318" i="2"/>
  <c r="C144" i="2"/>
  <c r="D185" i="6"/>
  <c r="D146" i="7"/>
  <c r="AE32" i="4"/>
  <c r="X6" i="12" s="1"/>
  <c r="L32" i="4"/>
  <c r="P6" i="12" s="1"/>
  <c r="AD32" i="4"/>
  <c r="W6" i="12" s="1"/>
  <c r="R32" i="4"/>
  <c r="R6" i="12" s="1"/>
  <c r="Z32" i="4"/>
  <c r="T6" i="12" s="1"/>
  <c r="AA32" i="4"/>
  <c r="S6" i="12" s="1"/>
  <c r="S32" i="4"/>
  <c r="Q6" i="12" s="1"/>
  <c r="E6" i="12"/>
  <c r="D90" i="9"/>
  <c r="H165" i="12"/>
  <c r="G196" i="12"/>
  <c r="V199" i="4"/>
  <c r="U196" i="12" s="1"/>
  <c r="D150" i="8"/>
  <c r="D8" i="6"/>
  <c r="L131" i="12"/>
  <c r="AE67" i="4"/>
  <c r="X194" i="12" s="1"/>
  <c r="S67" i="4"/>
  <c r="Q194" i="12" s="1"/>
  <c r="Z67" i="4"/>
  <c r="T194" i="12" s="1"/>
  <c r="L67" i="4"/>
  <c r="P194" i="12" s="1"/>
  <c r="AA67" i="4"/>
  <c r="S194" i="12" s="1"/>
  <c r="R67" i="4"/>
  <c r="R194" i="12" s="1"/>
  <c r="AD67" i="4"/>
  <c r="W194" i="12" s="1"/>
  <c r="E194" i="12"/>
  <c r="E94" i="12"/>
  <c r="S7" i="4"/>
  <c r="Q94" i="12" s="1"/>
  <c r="Z7" i="4"/>
  <c r="T94" i="12" s="1"/>
  <c r="R7" i="4"/>
  <c r="R94" i="12" s="1"/>
  <c r="AA7" i="4"/>
  <c r="S94" i="12" s="1"/>
  <c r="AD7" i="4"/>
  <c r="W94" i="12" s="1"/>
  <c r="L7" i="4"/>
  <c r="P94" i="12" s="1"/>
  <c r="AE7" i="4"/>
  <c r="X94" i="12" s="1"/>
  <c r="L129" i="12"/>
  <c r="AA83" i="4"/>
  <c r="S84" i="12" s="1"/>
  <c r="Z83" i="4"/>
  <c r="T84" i="12" s="1"/>
  <c r="AE83" i="4"/>
  <c r="X84" i="12" s="1"/>
  <c r="L83" i="4"/>
  <c r="P84" i="12" s="1"/>
  <c r="R83" i="4"/>
  <c r="R84" i="12" s="1"/>
  <c r="E84" i="12"/>
  <c r="S83" i="4"/>
  <c r="Q84" i="12" s="1"/>
  <c r="AD83" i="4"/>
  <c r="W84" i="12" s="1"/>
  <c r="C72" i="2"/>
  <c r="D205" i="6"/>
  <c r="D187" i="5"/>
  <c r="D59" i="6"/>
  <c r="C305" i="2"/>
  <c r="C472" i="2"/>
  <c r="F103" i="12"/>
  <c r="AA48" i="4"/>
  <c r="S170" i="12" s="1"/>
  <c r="AE48" i="4"/>
  <c r="X170" i="12" s="1"/>
  <c r="R48" i="4"/>
  <c r="R170" i="12" s="1"/>
  <c r="S48" i="4"/>
  <c r="Q170" i="12" s="1"/>
  <c r="Z48" i="4"/>
  <c r="T170" i="12" s="1"/>
  <c r="E170" i="12"/>
  <c r="AD48" i="4"/>
  <c r="W170" i="12" s="1"/>
  <c r="L48" i="4"/>
  <c r="P170" i="12" s="1"/>
  <c r="F161" i="12"/>
  <c r="D125" i="5"/>
  <c r="C179" i="2"/>
  <c r="O58" i="4"/>
  <c r="Q58" i="4" s="1"/>
  <c r="I37" i="12"/>
  <c r="C87" i="2"/>
  <c r="D170" i="6"/>
  <c r="G111" i="12"/>
  <c r="V114" i="4"/>
  <c r="U111" i="12" s="1"/>
  <c r="H131" i="12"/>
  <c r="L85" i="12"/>
  <c r="L45" i="12"/>
  <c r="C364" i="2"/>
  <c r="D70" i="7"/>
  <c r="AA193" i="4"/>
  <c r="S77" i="12" s="1"/>
  <c r="AD193" i="4"/>
  <c r="W77" i="12" s="1"/>
  <c r="E77" i="12"/>
  <c r="AE193" i="4"/>
  <c r="X77" i="12" s="1"/>
  <c r="S193" i="4"/>
  <c r="Q77" i="12" s="1"/>
  <c r="L193" i="4"/>
  <c r="P77" i="12" s="1"/>
  <c r="R193" i="4"/>
  <c r="R77" i="12" s="1"/>
  <c r="Z193" i="4"/>
  <c r="T77" i="12" s="1"/>
  <c r="D82" i="5"/>
  <c r="D160" i="8"/>
  <c r="D34" i="5"/>
  <c r="D204" i="7"/>
  <c r="D116" i="6"/>
  <c r="D183" i="7"/>
  <c r="C323" i="2"/>
  <c r="O86" i="4"/>
  <c r="I53" i="12"/>
  <c r="D85" i="9"/>
  <c r="F77" i="12"/>
  <c r="D22" i="7"/>
  <c r="G156" i="12"/>
  <c r="V196" i="4"/>
  <c r="U156" i="12" s="1"/>
  <c r="O148" i="4"/>
  <c r="Q148" i="4" s="1"/>
  <c r="I185" i="12"/>
  <c r="H144" i="12"/>
  <c r="D200" i="6"/>
  <c r="C126" i="2"/>
  <c r="F193" i="12"/>
  <c r="O196" i="4"/>
  <c r="I156" i="12"/>
  <c r="F71" i="12"/>
  <c r="D156" i="9"/>
  <c r="O154" i="4"/>
  <c r="I9" i="12"/>
  <c r="D43" i="6"/>
  <c r="D206" i="5"/>
  <c r="O102" i="4"/>
  <c r="I144" i="12"/>
  <c r="O50" i="4"/>
  <c r="Q50" i="4" s="1"/>
  <c r="I45" i="12"/>
  <c r="V135" i="4"/>
  <c r="U155" i="12" s="1"/>
  <c r="G155" i="12"/>
  <c r="C443" i="2"/>
  <c r="C117" i="2"/>
  <c r="O143" i="4"/>
  <c r="I157" i="12"/>
  <c r="L174" i="12"/>
  <c r="L121" i="12"/>
  <c r="G146" i="12"/>
  <c r="V65" i="4"/>
  <c r="U146" i="12" s="1"/>
  <c r="D25" i="9"/>
  <c r="D54" i="8"/>
  <c r="D102" i="8"/>
  <c r="D8" i="9"/>
  <c r="H138" i="12"/>
  <c r="D182" i="6"/>
  <c r="V47" i="4"/>
  <c r="U138" i="12" s="1"/>
  <c r="G138" i="12"/>
  <c r="D38" i="9"/>
  <c r="F131" i="12"/>
  <c r="V15" i="4"/>
  <c r="U75" i="12" s="1"/>
  <c r="G75" i="12"/>
  <c r="O55" i="4"/>
  <c r="I105" i="12"/>
  <c r="D126" i="5"/>
  <c r="D126" i="9"/>
  <c r="D10" i="5"/>
  <c r="D64" i="8"/>
  <c r="D48" i="7"/>
  <c r="C149" i="2"/>
  <c r="L165" i="12"/>
  <c r="D138" i="5"/>
  <c r="F92" i="12"/>
  <c r="H55" i="12"/>
  <c r="AD85" i="4"/>
  <c r="W47" i="12" s="1"/>
  <c r="AA85" i="4"/>
  <c r="S47" i="12" s="1"/>
  <c r="L85" i="4"/>
  <c r="P47" i="12" s="1"/>
  <c r="E47" i="12"/>
  <c r="AE85" i="4"/>
  <c r="X47" i="12" s="1"/>
  <c r="R85" i="4"/>
  <c r="R47" i="12" s="1"/>
  <c r="Z85" i="4"/>
  <c r="T47" i="12" s="1"/>
  <c r="S85" i="4"/>
  <c r="Q47" i="12" s="1"/>
  <c r="D12" i="9"/>
  <c r="F169" i="12"/>
  <c r="D210" i="5"/>
  <c r="I143" i="12"/>
  <c r="O101" i="4"/>
  <c r="C10" i="2"/>
  <c r="D118" i="5"/>
  <c r="D99" i="5"/>
  <c r="D83" i="8"/>
  <c r="C470" i="2"/>
  <c r="D51" i="8"/>
  <c r="H201" i="12"/>
  <c r="D152" i="9"/>
  <c r="F91" i="12"/>
  <c r="C98" i="2"/>
  <c r="L17" i="12"/>
  <c r="C115" i="2"/>
  <c r="D138" i="9"/>
  <c r="G45" i="12"/>
  <c r="V50" i="4"/>
  <c r="U45" i="12" s="1"/>
  <c r="AA149" i="4"/>
  <c r="S73" i="12" s="1"/>
  <c r="E73" i="12"/>
  <c r="Z149" i="4"/>
  <c r="T73" i="12" s="1"/>
  <c r="S149" i="4"/>
  <c r="Q73" i="12" s="1"/>
  <c r="AD149" i="4"/>
  <c r="W73" i="12" s="1"/>
  <c r="L149" i="4"/>
  <c r="P73" i="12" s="1"/>
  <c r="AE149" i="4"/>
  <c r="X73" i="12" s="1"/>
  <c r="R149" i="4"/>
  <c r="R73" i="12" s="1"/>
  <c r="I17" i="12"/>
  <c r="O75" i="4"/>
  <c r="Q75" i="4" s="1"/>
  <c r="I78" i="12"/>
  <c r="O160" i="4"/>
  <c r="G172" i="12"/>
  <c r="V45" i="4"/>
  <c r="U172" i="12" s="1"/>
  <c r="E122" i="12"/>
  <c r="R163" i="4"/>
  <c r="R122" i="12" s="1"/>
  <c r="Z163" i="4"/>
  <c r="T122" i="12" s="1"/>
  <c r="AE163" i="4"/>
  <c r="X122" i="12" s="1"/>
  <c r="AD163" i="4"/>
  <c r="W122" i="12" s="1"/>
  <c r="AA163" i="4"/>
  <c r="S122" i="12" s="1"/>
  <c r="S163" i="4"/>
  <c r="Q122" i="12" s="1"/>
  <c r="L163" i="4"/>
  <c r="P122" i="12" s="1"/>
  <c r="L142" i="12"/>
  <c r="L38" i="12"/>
  <c r="D29" i="5"/>
  <c r="C458" i="2"/>
  <c r="O85" i="4"/>
  <c r="I47" i="12"/>
  <c r="D52" i="7"/>
  <c r="D145" i="7"/>
  <c r="L126" i="12"/>
  <c r="H37" i="12"/>
  <c r="L25" i="12"/>
  <c r="D183" i="5"/>
  <c r="V54" i="4"/>
  <c r="U125" i="12" s="1"/>
  <c r="G125" i="12"/>
  <c r="F132" i="12"/>
  <c r="R185" i="4"/>
  <c r="R69" i="12" s="1"/>
  <c r="AE185" i="4"/>
  <c r="X69" i="12" s="1"/>
  <c r="Z185" i="4"/>
  <c r="T69" i="12" s="1"/>
  <c r="E69" i="12"/>
  <c r="L185" i="4"/>
  <c r="P69" i="12" s="1"/>
  <c r="S185" i="4"/>
  <c r="Q69" i="12" s="1"/>
  <c r="AD185" i="4"/>
  <c r="W69" i="12" s="1"/>
  <c r="AA185" i="4"/>
  <c r="S69" i="12" s="1"/>
  <c r="S183" i="4"/>
  <c r="Q12" i="12" s="1"/>
  <c r="R183" i="4"/>
  <c r="R12" i="12" s="1"/>
  <c r="AA183" i="4"/>
  <c r="S12" i="12" s="1"/>
  <c r="E12" i="12"/>
  <c r="L183" i="4"/>
  <c r="P12" i="12" s="1"/>
  <c r="AE183" i="4"/>
  <c r="X12" i="12" s="1"/>
  <c r="AD183" i="4"/>
  <c r="W12" i="12" s="1"/>
  <c r="Z183" i="4"/>
  <c r="T12" i="12" s="1"/>
  <c r="L6" i="12"/>
  <c r="H34" i="12"/>
  <c r="L11" i="12"/>
  <c r="G31" i="12"/>
  <c r="V138" i="4"/>
  <c r="U31" i="12" s="1"/>
  <c r="D51" i="6"/>
  <c r="V57" i="4"/>
  <c r="U173" i="12" s="1"/>
  <c r="G173" i="12"/>
  <c r="I169" i="12"/>
  <c r="O95" i="4"/>
  <c r="V94" i="4"/>
  <c r="U108" i="12" s="1"/>
  <c r="G108" i="12"/>
  <c r="D105" i="9"/>
  <c r="D45" i="6"/>
  <c r="AE179" i="4"/>
  <c r="X191" i="12" s="1"/>
  <c r="L179" i="4"/>
  <c r="P191" i="12" s="1"/>
  <c r="R179" i="4"/>
  <c r="R191" i="12" s="1"/>
  <c r="AD179" i="4"/>
  <c r="W191" i="12" s="1"/>
  <c r="S179" i="4"/>
  <c r="Q191" i="12" s="1"/>
  <c r="AA179" i="4"/>
  <c r="S191" i="12" s="1"/>
  <c r="E191" i="12"/>
  <c r="Z179" i="4"/>
  <c r="T191" i="12" s="1"/>
  <c r="V48" i="4"/>
  <c r="U170" i="12" s="1"/>
  <c r="G170" i="12"/>
  <c r="D105" i="5"/>
  <c r="F148" i="12"/>
  <c r="H104" i="12"/>
  <c r="C466" i="2"/>
  <c r="O18" i="4"/>
  <c r="I104" i="12"/>
  <c r="C113" i="2"/>
  <c r="H79" i="12"/>
  <c r="S165" i="4"/>
  <c r="Q95" i="12" s="1"/>
  <c r="AE165" i="4"/>
  <c r="X95" i="12" s="1"/>
  <c r="Z165" i="4"/>
  <c r="T95" i="12" s="1"/>
  <c r="AA165" i="4"/>
  <c r="S95" i="12" s="1"/>
  <c r="L165" i="4"/>
  <c r="P95" i="12" s="1"/>
  <c r="R165" i="4"/>
  <c r="R95" i="12" s="1"/>
  <c r="E95" i="12"/>
  <c r="AD165" i="4"/>
  <c r="W95" i="12" s="1"/>
  <c r="D100" i="7"/>
  <c r="D117" i="8"/>
  <c r="D106" i="7"/>
  <c r="I74" i="12"/>
  <c r="O159" i="4"/>
  <c r="F100" i="12"/>
  <c r="D144" i="9"/>
  <c r="D28" i="9"/>
  <c r="D135" i="9"/>
  <c r="D161" i="6"/>
  <c r="C499" i="2"/>
  <c r="D45" i="7"/>
  <c r="D203" i="6"/>
  <c r="D185" i="9"/>
  <c r="C447" i="2"/>
  <c r="F181" i="12"/>
  <c r="D115" i="7"/>
  <c r="G95" i="12"/>
  <c r="V165" i="4"/>
  <c r="U95" i="12" s="1"/>
  <c r="H122" i="12"/>
  <c r="D58" i="9"/>
  <c r="H5" i="12"/>
  <c r="V140" i="4"/>
  <c r="U92" i="12" s="1"/>
  <c r="G92" i="12"/>
  <c r="L176" i="12"/>
  <c r="C339" i="2"/>
  <c r="D28" i="7"/>
  <c r="C12" i="2"/>
  <c r="C385" i="2"/>
  <c r="D156" i="5"/>
  <c r="F175" i="12"/>
  <c r="F30" i="12"/>
  <c r="AA184" i="4"/>
  <c r="S22" i="12" s="1"/>
  <c r="E22" i="12"/>
  <c r="L184" i="4"/>
  <c r="P22" i="12" s="1"/>
  <c r="S184" i="4"/>
  <c r="Q22" i="12" s="1"/>
  <c r="AE184" i="4"/>
  <c r="X22" i="12" s="1"/>
  <c r="AD184" i="4"/>
  <c r="W22" i="12" s="1"/>
  <c r="Z184" i="4"/>
  <c r="T22" i="12" s="1"/>
  <c r="R184" i="4"/>
  <c r="R22" i="12" s="1"/>
  <c r="C398" i="2"/>
  <c r="C75" i="2"/>
  <c r="O144" i="4"/>
  <c r="I65" i="12"/>
  <c r="I33" i="12"/>
  <c r="O118" i="4"/>
  <c r="C79" i="2"/>
  <c r="C195" i="2"/>
  <c r="C322" i="2"/>
  <c r="C434" i="2"/>
  <c r="F48" i="12"/>
  <c r="O69" i="4"/>
  <c r="I98" i="12"/>
  <c r="V56" i="4"/>
  <c r="U128" i="12" s="1"/>
  <c r="G128" i="12"/>
  <c r="D147" i="6"/>
  <c r="D148" i="7"/>
  <c r="V166" i="4"/>
  <c r="U82" i="12" s="1"/>
  <c r="G82" i="12"/>
  <c r="G130" i="12"/>
  <c r="V5" i="4"/>
  <c r="U130" i="12" s="1"/>
  <c r="C353" i="2"/>
  <c r="C46" i="2"/>
  <c r="C161" i="2"/>
  <c r="F205" i="12"/>
  <c r="C180" i="2"/>
  <c r="F74" i="12"/>
  <c r="C182" i="2"/>
  <c r="F115" i="12"/>
  <c r="C315" i="2"/>
  <c r="L68" i="12"/>
  <c r="D13" i="7"/>
  <c r="D45" i="9"/>
  <c r="C119" i="2"/>
  <c r="F133" i="12"/>
  <c r="H162" i="12"/>
  <c r="D56" i="7"/>
  <c r="C463" i="2"/>
  <c r="O151" i="4"/>
  <c r="I19" i="12"/>
  <c r="Z43" i="4"/>
  <c r="T126" i="12" s="1"/>
  <c r="L43" i="4"/>
  <c r="P126" i="12" s="1"/>
  <c r="AD43" i="4"/>
  <c r="W126" i="12" s="1"/>
  <c r="E126" i="12"/>
  <c r="AE43" i="4"/>
  <c r="X126" i="12" s="1"/>
  <c r="R43" i="4"/>
  <c r="R126" i="12" s="1"/>
  <c r="S43" i="4"/>
  <c r="Q126" i="12" s="1"/>
  <c r="AA43" i="4"/>
  <c r="S126" i="12" s="1"/>
  <c r="D127" i="7"/>
  <c r="D88" i="5"/>
  <c r="D130" i="6"/>
  <c r="F134" i="12"/>
  <c r="I18" i="12"/>
  <c r="O145" i="4"/>
  <c r="F79" i="12"/>
  <c r="O88" i="4"/>
  <c r="Q88" i="4" s="1"/>
  <c r="I29" i="12"/>
  <c r="C118" i="2"/>
  <c r="L14" i="12"/>
  <c r="C365" i="2"/>
  <c r="D20" i="9"/>
  <c r="L197" i="4"/>
  <c r="P61" i="12" s="1"/>
  <c r="E61" i="12"/>
  <c r="R197" i="4"/>
  <c r="R61" i="12" s="1"/>
  <c r="S197" i="4"/>
  <c r="Q61" i="12" s="1"/>
  <c r="Z197" i="4"/>
  <c r="T61" i="12" s="1"/>
  <c r="AE197" i="4"/>
  <c r="X61" i="12" s="1"/>
  <c r="AA197" i="4"/>
  <c r="S61" i="12" s="1"/>
  <c r="AD197" i="4"/>
  <c r="W61" i="12" s="1"/>
  <c r="F116" i="12"/>
  <c r="F81" i="12"/>
  <c r="D72" i="8"/>
  <c r="O117" i="4"/>
  <c r="I85" i="12"/>
  <c r="D170" i="7"/>
  <c r="L94" i="12"/>
  <c r="D148" i="8"/>
  <c r="C405" i="2"/>
  <c r="D187" i="8"/>
  <c r="C371" i="2"/>
  <c r="C219" i="2"/>
  <c r="H40" i="12"/>
  <c r="D134" i="9"/>
  <c r="H163" i="12"/>
  <c r="D184" i="6"/>
  <c r="D176" i="5"/>
  <c r="D201" i="9"/>
  <c r="E153" i="12"/>
  <c r="AE40" i="4"/>
  <c r="X153" i="12" s="1"/>
  <c r="R40" i="4"/>
  <c r="R153" i="12" s="1"/>
  <c r="AD40" i="4"/>
  <c r="W153" i="12" s="1"/>
  <c r="L40" i="4"/>
  <c r="P153" i="12" s="1"/>
  <c r="S40" i="4"/>
  <c r="Q153" i="12" s="1"/>
  <c r="Z40" i="4"/>
  <c r="T153" i="12" s="1"/>
  <c r="AA40" i="4"/>
  <c r="S153" i="12" s="1"/>
  <c r="D82" i="7"/>
  <c r="C419" i="2"/>
  <c r="G64" i="12"/>
  <c r="V137" i="4"/>
  <c r="U64" i="12" s="1"/>
  <c r="L66" i="12"/>
  <c r="D156" i="6"/>
  <c r="D131" i="9"/>
  <c r="F10" i="12"/>
  <c r="D106" i="8"/>
  <c r="AA204" i="4"/>
  <c r="S150" i="12" s="1"/>
  <c r="Z204" i="4"/>
  <c r="T150" i="12" s="1"/>
  <c r="L204" i="4"/>
  <c r="P150" i="12" s="1"/>
  <c r="S204" i="4"/>
  <c r="Q150" i="12" s="1"/>
  <c r="AE204" i="4"/>
  <c r="X150" i="12" s="1"/>
  <c r="R204" i="4"/>
  <c r="R150" i="12" s="1"/>
  <c r="AD204" i="4"/>
  <c r="W150" i="12" s="1"/>
  <c r="E150" i="12"/>
  <c r="D31" i="8"/>
  <c r="D96" i="5"/>
  <c r="H146" i="12"/>
  <c r="D153" i="8"/>
  <c r="V194" i="4"/>
  <c r="U121" i="12" s="1"/>
  <c r="G121" i="12"/>
  <c r="F29" i="12"/>
  <c r="I199" i="12"/>
  <c r="O200" i="4"/>
  <c r="Q200" i="4" s="1"/>
  <c r="C358" i="2"/>
  <c r="D25" i="7"/>
  <c r="C77" i="2"/>
  <c r="D216" i="8"/>
  <c r="D105" i="6"/>
  <c r="D184" i="8"/>
  <c r="D153" i="5"/>
  <c r="V176" i="4"/>
  <c r="U71" i="12" s="1"/>
  <c r="G71" i="12"/>
  <c r="C366" i="2"/>
  <c r="AA140" i="4"/>
  <c r="S92" i="12" s="1"/>
  <c r="L140" i="4"/>
  <c r="P92" i="12" s="1"/>
  <c r="S140" i="4"/>
  <c r="Q92" i="12" s="1"/>
  <c r="R140" i="4"/>
  <c r="R92" i="12" s="1"/>
  <c r="AE140" i="4"/>
  <c r="X92" i="12" s="1"/>
  <c r="Z140" i="4"/>
  <c r="T92" i="12" s="1"/>
  <c r="AD140" i="4"/>
  <c r="W92" i="12" s="1"/>
  <c r="E92" i="12"/>
  <c r="D202" i="8"/>
  <c r="F65" i="12"/>
  <c r="C203" i="2"/>
  <c r="O146" i="4"/>
  <c r="I202" i="12"/>
  <c r="H124" i="12"/>
  <c r="D81" i="9"/>
  <c r="C442" i="2"/>
  <c r="C199" i="2"/>
  <c r="V131" i="4"/>
  <c r="U27" i="12" s="1"/>
  <c r="G27" i="12"/>
  <c r="D133" i="6"/>
  <c r="G167" i="12"/>
  <c r="V12" i="4"/>
  <c r="U167" i="12" s="1"/>
  <c r="D143" i="7"/>
  <c r="D17" i="8"/>
  <c r="F135" i="12"/>
  <c r="D210" i="9"/>
  <c r="C436" i="2"/>
  <c r="L193" i="12"/>
  <c r="D125" i="9"/>
  <c r="L199" i="12"/>
  <c r="D60" i="7"/>
  <c r="F123" i="12"/>
  <c r="D138" i="7"/>
  <c r="D173" i="6"/>
  <c r="V51" i="4"/>
  <c r="U7" i="12" s="1"/>
  <c r="G7" i="12"/>
  <c r="L65" i="12"/>
  <c r="F24" i="12"/>
  <c r="D107" i="7"/>
  <c r="L116" i="12"/>
  <c r="V206" i="4"/>
  <c r="U86" i="12" s="1"/>
  <c r="G86" i="12"/>
  <c r="D56" i="6"/>
  <c r="H66" i="12"/>
  <c r="D210" i="8"/>
  <c r="D221" i="7"/>
  <c r="D74" i="7"/>
  <c r="D99" i="7"/>
  <c r="C155" i="2"/>
  <c r="D196" i="6"/>
  <c r="AD175" i="4"/>
  <c r="W166" i="12" s="1"/>
  <c r="R175" i="4"/>
  <c r="R166" i="12" s="1"/>
  <c r="L175" i="4"/>
  <c r="P166" i="12" s="1"/>
  <c r="Z175" i="4"/>
  <c r="T166" i="12" s="1"/>
  <c r="E166" i="12"/>
  <c r="AE175" i="4"/>
  <c r="X166" i="12" s="1"/>
  <c r="S175" i="4"/>
  <c r="Q166" i="12" s="1"/>
  <c r="AA175" i="4"/>
  <c r="S166" i="12" s="1"/>
  <c r="D124" i="7"/>
  <c r="R200" i="4"/>
  <c r="R199" i="12" s="1"/>
  <c r="AD200" i="4"/>
  <c r="W199" i="12" s="1"/>
  <c r="AA200" i="4"/>
  <c r="S199" i="12" s="1"/>
  <c r="S200" i="4"/>
  <c r="Q199" i="12" s="1"/>
  <c r="AE200" i="4"/>
  <c r="X199" i="12" s="1"/>
  <c r="Z200" i="4"/>
  <c r="T199" i="12" s="1"/>
  <c r="E199" i="12"/>
  <c r="L200" i="4"/>
  <c r="P199" i="12" s="1"/>
  <c r="L127" i="12"/>
  <c r="C121" i="2"/>
  <c r="C104" i="2"/>
  <c r="O189" i="4"/>
  <c r="Q189" i="4" s="1"/>
  <c r="I52" i="12"/>
  <c r="S123" i="4"/>
  <c r="Q89" i="12" s="1"/>
  <c r="Z123" i="4"/>
  <c r="T89" i="12" s="1"/>
  <c r="AA123" i="4"/>
  <c r="S89" i="12" s="1"/>
  <c r="R123" i="4"/>
  <c r="R89" i="12" s="1"/>
  <c r="AD123" i="4"/>
  <c r="W89" i="12" s="1"/>
  <c r="AE123" i="4"/>
  <c r="X89" i="12" s="1"/>
  <c r="L123" i="4"/>
  <c r="P89" i="12" s="1"/>
  <c r="E89" i="12"/>
  <c r="C85" i="2"/>
  <c r="D140" i="7"/>
  <c r="H110" i="12"/>
  <c r="C404" i="2"/>
  <c r="V164" i="4"/>
  <c r="U113" i="12" s="1"/>
  <c r="G113" i="12"/>
  <c r="H167" i="12"/>
  <c r="D220" i="8"/>
  <c r="C406" i="2"/>
  <c r="C167" i="2"/>
  <c r="C194" i="2"/>
  <c r="D149" i="9"/>
  <c r="D54" i="6"/>
  <c r="D106" i="9"/>
  <c r="D119" i="6"/>
  <c r="H203" i="12"/>
  <c r="E144" i="12"/>
  <c r="L102" i="4"/>
  <c r="P144" i="12" s="1"/>
  <c r="AE102" i="4"/>
  <c r="X144" i="12" s="1"/>
  <c r="AD102" i="4"/>
  <c r="W144" i="12" s="1"/>
  <c r="R102" i="4"/>
  <c r="R144" i="12" s="1"/>
  <c r="Z102" i="4"/>
  <c r="T144" i="12" s="1"/>
  <c r="S102" i="4"/>
  <c r="Q144" i="12" s="1"/>
  <c r="AA102" i="4"/>
  <c r="S144" i="12" s="1"/>
  <c r="L195" i="12"/>
  <c r="L90" i="12"/>
  <c r="L24" i="12"/>
  <c r="L115" i="4"/>
  <c r="P137" i="12" s="1"/>
  <c r="R115" i="4"/>
  <c r="R137" i="12" s="1"/>
  <c r="E137" i="12"/>
  <c r="AD115" i="4"/>
  <c r="W137" i="12" s="1"/>
  <c r="S115" i="4"/>
  <c r="Q137" i="12" s="1"/>
  <c r="AA115" i="4"/>
  <c r="S137" i="12" s="1"/>
  <c r="AE115" i="4"/>
  <c r="X137" i="12" s="1"/>
  <c r="Z115" i="4"/>
  <c r="T137" i="12" s="1"/>
  <c r="F15" i="12"/>
  <c r="C13" i="2"/>
  <c r="I181" i="12"/>
  <c r="O162" i="4"/>
  <c r="O187" i="4"/>
  <c r="Q187" i="4" s="1"/>
  <c r="I8" i="12"/>
  <c r="I100" i="12"/>
  <c r="O98" i="4"/>
  <c r="L149" i="12"/>
  <c r="H109" i="12"/>
  <c r="R71" i="4"/>
  <c r="R40" i="12" s="1"/>
  <c r="E40" i="12"/>
  <c r="AD71" i="4"/>
  <c r="W40" i="12" s="1"/>
  <c r="AE71" i="4"/>
  <c r="X40" i="12" s="1"/>
  <c r="S71" i="4"/>
  <c r="Q40" i="12" s="1"/>
  <c r="Z71" i="4"/>
  <c r="T40" i="12" s="1"/>
  <c r="L71" i="4"/>
  <c r="P40" i="12" s="1"/>
  <c r="AA71" i="4"/>
  <c r="S40" i="12" s="1"/>
  <c r="C380" i="2"/>
  <c r="D89" i="6"/>
  <c r="D10" i="8"/>
  <c r="AA17" i="4"/>
  <c r="S135" i="12" s="1"/>
  <c r="S17" i="4"/>
  <c r="Q135" i="12" s="1"/>
  <c r="L17" i="4"/>
  <c r="P135" i="12" s="1"/>
  <c r="AE17" i="4"/>
  <c r="X135" i="12" s="1"/>
  <c r="Z17" i="4"/>
  <c r="T135" i="12" s="1"/>
  <c r="E135" i="12"/>
  <c r="R17" i="4"/>
  <c r="R135" i="12" s="1"/>
  <c r="AD17" i="4"/>
  <c r="W135" i="12" s="1"/>
  <c r="Z146" i="4"/>
  <c r="T202" i="12" s="1"/>
  <c r="AE146" i="4"/>
  <c r="X202" i="12" s="1"/>
  <c r="E202" i="12"/>
  <c r="AD146" i="4"/>
  <c r="W202" i="12" s="1"/>
  <c r="S146" i="4"/>
  <c r="Q202" i="12" s="1"/>
  <c r="R146" i="4"/>
  <c r="R202" i="12" s="1"/>
  <c r="AA146" i="4"/>
  <c r="S202" i="12" s="1"/>
  <c r="L146" i="4"/>
  <c r="P202" i="12" s="1"/>
  <c r="D16" i="6"/>
  <c r="D219" i="5"/>
  <c r="V168" i="4"/>
  <c r="U198" i="12" s="1"/>
  <c r="G198" i="12"/>
  <c r="C5" i="2"/>
  <c r="H151" i="12"/>
  <c r="C346" i="2"/>
  <c r="F125" i="12"/>
  <c r="I73" i="12"/>
  <c r="O149" i="4"/>
  <c r="O197" i="4"/>
  <c r="I61" i="12"/>
  <c r="V162" i="4"/>
  <c r="U181" i="12" s="1"/>
  <c r="G181" i="12"/>
  <c r="L7" i="12"/>
  <c r="O155" i="4"/>
  <c r="I102" i="12"/>
  <c r="V83" i="4"/>
  <c r="U84" i="12" s="1"/>
  <c r="G84" i="12"/>
  <c r="D178" i="7"/>
  <c r="D19" i="6"/>
  <c r="V151" i="4"/>
  <c r="U19" i="12" s="1"/>
  <c r="G19" i="12"/>
  <c r="G149" i="12"/>
  <c r="V70" i="4"/>
  <c r="U149" i="12" s="1"/>
  <c r="D206" i="7"/>
  <c r="D81" i="6"/>
  <c r="F206" i="12"/>
  <c r="C181" i="2"/>
  <c r="Z99" i="4"/>
  <c r="T201" i="12" s="1"/>
  <c r="AD99" i="4"/>
  <c r="W201" i="12" s="1"/>
  <c r="S99" i="4"/>
  <c r="Q201" i="12" s="1"/>
  <c r="L99" i="4"/>
  <c r="P201" i="12" s="1"/>
  <c r="R99" i="4"/>
  <c r="R201" i="12" s="1"/>
  <c r="AE99" i="4"/>
  <c r="X201" i="12" s="1"/>
  <c r="E201" i="12"/>
  <c r="AA99" i="4"/>
  <c r="S201" i="12" s="1"/>
  <c r="D96" i="9"/>
  <c r="D27" i="5"/>
  <c r="AD34" i="4"/>
  <c r="W28" i="12" s="1"/>
  <c r="R34" i="4"/>
  <c r="R28" i="12" s="1"/>
  <c r="AE34" i="4"/>
  <c r="X28" i="12" s="1"/>
  <c r="E28" i="12"/>
  <c r="Z34" i="4"/>
  <c r="T28" i="12" s="1"/>
  <c r="AA34" i="4"/>
  <c r="S28" i="12" s="1"/>
  <c r="L34" i="4"/>
  <c r="P28" i="12" s="1"/>
  <c r="S34" i="4"/>
  <c r="Q28" i="12" s="1"/>
  <c r="G187" i="12"/>
  <c r="V35" i="4"/>
  <c r="U187" i="12" s="1"/>
  <c r="F11" i="12"/>
  <c r="AE154" i="4"/>
  <c r="X9" i="12" s="1"/>
  <c r="AA154" i="4"/>
  <c r="S9" i="12" s="1"/>
  <c r="S154" i="4"/>
  <c r="Q9" i="12" s="1"/>
  <c r="AD154" i="4"/>
  <c r="W9" i="12" s="1"/>
  <c r="R154" i="4"/>
  <c r="R9" i="12" s="1"/>
  <c r="Z154" i="4"/>
  <c r="T9" i="12" s="1"/>
  <c r="L154" i="4"/>
  <c r="P9" i="12" s="1"/>
  <c r="E9" i="12"/>
  <c r="V189" i="4"/>
  <c r="U52" i="12" s="1"/>
  <c r="G52" i="12"/>
  <c r="C29" i="2"/>
  <c r="C418" i="2"/>
  <c r="L185" i="12"/>
  <c r="D221" i="5"/>
  <c r="D73" i="6"/>
  <c r="D87" i="9"/>
  <c r="H94" i="12"/>
  <c r="AA171" i="4"/>
  <c r="S70" i="12" s="1"/>
  <c r="E70" i="12"/>
  <c r="R171" i="4"/>
  <c r="R70" i="12" s="1"/>
  <c r="AE171" i="4"/>
  <c r="X70" i="12" s="1"/>
  <c r="S171" i="4"/>
  <c r="Q70" i="12" s="1"/>
  <c r="L171" i="4"/>
  <c r="P70" i="12" s="1"/>
  <c r="Z171" i="4"/>
  <c r="T70" i="12" s="1"/>
  <c r="AD171" i="4"/>
  <c r="W70" i="12" s="1"/>
  <c r="F23" i="12"/>
  <c r="H118" i="12"/>
  <c r="H180" i="12"/>
  <c r="D194" i="8"/>
  <c r="D151" i="9"/>
  <c r="R192" i="4"/>
  <c r="R20" i="12" s="1"/>
  <c r="AE192" i="4"/>
  <c r="X20" i="12" s="1"/>
  <c r="Z192" i="4"/>
  <c r="T20" i="12" s="1"/>
  <c r="AA192" i="4"/>
  <c r="S20" i="12" s="1"/>
  <c r="L192" i="4"/>
  <c r="P20" i="12" s="1"/>
  <c r="AD192" i="4"/>
  <c r="W20" i="12" s="1"/>
  <c r="E20" i="12"/>
  <c r="S192" i="4"/>
  <c r="Q20" i="12" s="1"/>
  <c r="I151" i="12"/>
  <c r="O26" i="4"/>
  <c r="Q26" i="4" s="1"/>
  <c r="D55" i="5"/>
  <c r="L91" i="12"/>
  <c r="D196" i="9"/>
  <c r="D217" i="5"/>
  <c r="C386" i="2"/>
  <c r="D63" i="8"/>
  <c r="C198" i="2"/>
  <c r="D166" i="8"/>
  <c r="D71" i="6"/>
  <c r="D160" i="7"/>
  <c r="V68" i="4"/>
  <c r="U148" i="12" s="1"/>
  <c r="G148" i="12"/>
  <c r="D162" i="9"/>
  <c r="I54" i="12"/>
  <c r="O130" i="4"/>
  <c r="F129" i="12"/>
  <c r="V13" i="4"/>
  <c r="U158" i="12" s="1"/>
  <c r="G158" i="12"/>
  <c r="AA119" i="4"/>
  <c r="S81" i="12" s="1"/>
  <c r="E81" i="12"/>
  <c r="S119" i="4"/>
  <c r="Q81" i="12" s="1"/>
  <c r="Z119" i="4"/>
  <c r="T81" i="12" s="1"/>
  <c r="L119" i="4"/>
  <c r="P81" i="12" s="1"/>
  <c r="AE119" i="4"/>
  <c r="X81" i="12" s="1"/>
  <c r="R119" i="4"/>
  <c r="R81" i="12" s="1"/>
  <c r="AD119" i="4"/>
  <c r="W81" i="12" s="1"/>
  <c r="D39" i="8"/>
  <c r="D129" i="9"/>
  <c r="H21" i="12"/>
  <c r="D94" i="5"/>
  <c r="O121" i="4"/>
  <c r="I83" i="12"/>
  <c r="F83" i="12"/>
  <c r="H71" i="12"/>
  <c r="D136" i="8"/>
  <c r="O150" i="4"/>
  <c r="Q150" i="4" s="1"/>
  <c r="I42" i="12"/>
  <c r="AE47" i="4"/>
  <c r="X138" i="12" s="1"/>
  <c r="E138" i="12"/>
  <c r="AA47" i="4"/>
  <c r="S138" i="12" s="1"/>
  <c r="Z47" i="4"/>
  <c r="T138" i="12" s="1"/>
  <c r="S47" i="4"/>
  <c r="Q138" i="12" s="1"/>
  <c r="R47" i="4"/>
  <c r="R138" i="12" s="1"/>
  <c r="AD47" i="4"/>
  <c r="W138" i="12" s="1"/>
  <c r="L47" i="4"/>
  <c r="P138" i="12" s="1"/>
  <c r="D22" i="6"/>
  <c r="C412" i="2"/>
  <c r="D38" i="8"/>
  <c r="D45" i="8"/>
  <c r="H92" i="12"/>
  <c r="D161" i="7"/>
  <c r="O140" i="4"/>
  <c r="Q140" i="4" s="1"/>
  <c r="I92" i="12"/>
  <c r="F195" i="12"/>
  <c r="D114" i="9"/>
  <c r="H50" i="12"/>
  <c r="V203" i="4"/>
  <c r="U117" i="12" s="1"/>
  <c r="G117" i="12"/>
  <c r="O80" i="4"/>
  <c r="Q80" i="4" s="1"/>
  <c r="I66" i="12"/>
  <c r="I71" i="12"/>
  <c r="O176" i="4"/>
  <c r="R12" i="4"/>
  <c r="R167" i="12" s="1"/>
  <c r="AA12" i="4"/>
  <c r="S167" i="12" s="1"/>
  <c r="AD12" i="4"/>
  <c r="W167" i="12" s="1"/>
  <c r="AE12" i="4"/>
  <c r="X167" i="12" s="1"/>
  <c r="S12" i="4"/>
  <c r="Q167" i="12" s="1"/>
  <c r="Z12" i="4"/>
  <c r="T167" i="12" s="1"/>
  <c r="E167" i="12"/>
  <c r="L12" i="4"/>
  <c r="P167" i="12" s="1"/>
  <c r="F43" i="12"/>
  <c r="AD151" i="4"/>
  <c r="W19" i="12" s="1"/>
  <c r="S151" i="4"/>
  <c r="Q19" i="12" s="1"/>
  <c r="Z151" i="4"/>
  <c r="T19" i="12" s="1"/>
  <c r="L151" i="4"/>
  <c r="P19" i="12" s="1"/>
  <c r="AA151" i="4"/>
  <c r="S19" i="12" s="1"/>
  <c r="R151" i="4"/>
  <c r="R19" i="12" s="1"/>
  <c r="AE151" i="4"/>
  <c r="X19" i="12" s="1"/>
  <c r="E19" i="12"/>
  <c r="H155" i="12"/>
  <c r="Z106" i="4"/>
  <c r="T180" i="12" s="1"/>
  <c r="AA106" i="4"/>
  <c r="S180" i="12" s="1"/>
  <c r="S106" i="4"/>
  <c r="Q180" i="12" s="1"/>
  <c r="AD106" i="4"/>
  <c r="W180" i="12" s="1"/>
  <c r="R106" i="4"/>
  <c r="R180" i="12" s="1"/>
  <c r="E180" i="12"/>
  <c r="L106" i="4"/>
  <c r="P180" i="12" s="1"/>
  <c r="AE106" i="4"/>
  <c r="X180" i="12" s="1"/>
  <c r="D178" i="8"/>
  <c r="C220" i="2"/>
  <c r="D190" i="6"/>
  <c r="G153" i="12"/>
  <c r="V40" i="4"/>
  <c r="U153" i="12" s="1"/>
  <c r="D104" i="6"/>
  <c r="D87" i="8"/>
  <c r="D109" i="7"/>
  <c r="D120" i="8"/>
  <c r="D95" i="7"/>
  <c r="D66" i="9"/>
  <c r="D149" i="5"/>
  <c r="C420" i="2"/>
  <c r="F108" i="12"/>
  <c r="D21" i="8"/>
  <c r="O41" i="4"/>
  <c r="I48" i="12"/>
  <c r="L18" i="12"/>
  <c r="C387" i="2"/>
  <c r="D71" i="9"/>
  <c r="D54" i="7"/>
  <c r="F62" i="12"/>
  <c r="H35" i="12"/>
  <c r="V185" i="4"/>
  <c r="U69" i="12" s="1"/>
  <c r="G69" i="12"/>
  <c r="C345" i="2"/>
  <c r="O36" i="4"/>
  <c r="I206" i="12"/>
  <c r="C389" i="2"/>
  <c r="D99" i="6"/>
  <c r="F136" i="12"/>
  <c r="I134" i="12"/>
  <c r="O182" i="4"/>
  <c r="Q182" i="4" s="1"/>
  <c r="C341" i="2"/>
  <c r="C54" i="2"/>
  <c r="I15" i="12"/>
  <c r="O178" i="4"/>
  <c r="Q178" i="4" s="1"/>
  <c r="C61" i="2"/>
  <c r="D193" i="6"/>
  <c r="F106" i="12"/>
  <c r="D178" i="5"/>
  <c r="AD35" i="4"/>
  <c r="W187" i="12" s="1"/>
  <c r="AA35" i="4"/>
  <c r="S187" i="12" s="1"/>
  <c r="L35" i="4"/>
  <c r="P187" i="12" s="1"/>
  <c r="E187" i="12"/>
  <c r="S35" i="4"/>
  <c r="Q187" i="12" s="1"/>
  <c r="Z35" i="4"/>
  <c r="T187" i="12" s="1"/>
  <c r="AE35" i="4"/>
  <c r="X187" i="12" s="1"/>
  <c r="R35" i="4"/>
  <c r="R187" i="12" s="1"/>
  <c r="D34" i="8"/>
  <c r="D202" i="7"/>
  <c r="L26" i="12"/>
  <c r="D185" i="5"/>
  <c r="O116" i="4"/>
  <c r="I67" i="12"/>
  <c r="V142" i="4"/>
  <c r="U14" i="12" s="1"/>
  <c r="G14" i="12"/>
  <c r="AE86" i="4"/>
  <c r="X53" i="12" s="1"/>
  <c r="Z86" i="4"/>
  <c r="T53" i="12" s="1"/>
  <c r="AD86" i="4"/>
  <c r="W53" i="12" s="1"/>
  <c r="AA86" i="4"/>
  <c r="S53" i="12" s="1"/>
  <c r="S86" i="4"/>
  <c r="Q53" i="12" s="1"/>
  <c r="L86" i="4"/>
  <c r="P53" i="12" s="1"/>
  <c r="R86" i="4"/>
  <c r="R53" i="12" s="1"/>
  <c r="E53" i="12"/>
  <c r="D205" i="5"/>
  <c r="D136" i="5"/>
  <c r="D211" i="9"/>
  <c r="D44" i="5"/>
  <c r="L104" i="12"/>
  <c r="C403" i="2"/>
  <c r="V17" i="4"/>
  <c r="U135" i="12" s="1"/>
  <c r="G135" i="12"/>
  <c r="AE8" i="4"/>
  <c r="X124" i="12" s="1"/>
  <c r="E124" i="12"/>
  <c r="AD8" i="4"/>
  <c r="W124" i="12" s="1"/>
  <c r="Z8" i="4"/>
  <c r="T124" i="12" s="1"/>
  <c r="AA8" i="4"/>
  <c r="S124" i="12" s="1"/>
  <c r="R8" i="4"/>
  <c r="R124" i="12" s="1"/>
  <c r="L8" i="4"/>
  <c r="P124" i="12" s="1"/>
  <c r="S8" i="4"/>
  <c r="Q124" i="12" s="1"/>
  <c r="H69" i="12"/>
  <c r="D221" i="8"/>
  <c r="V157" i="4"/>
  <c r="U76" i="12" s="1"/>
  <c r="G76" i="12"/>
  <c r="C376" i="2"/>
  <c r="D219" i="7"/>
  <c r="D79" i="9"/>
  <c r="G62" i="12"/>
  <c r="V76" i="4"/>
  <c r="U62" i="12" s="1"/>
  <c r="C488" i="2"/>
  <c r="D135" i="6"/>
  <c r="H168" i="12"/>
  <c r="V184" i="4"/>
  <c r="U22" i="12" s="1"/>
  <c r="G22" i="12"/>
  <c r="D102" i="9"/>
  <c r="C196" i="2"/>
  <c r="D38" i="6"/>
  <c r="C303" i="2"/>
  <c r="D144" i="6"/>
  <c r="D83" i="7"/>
  <c r="D115" i="6"/>
  <c r="L60" i="12"/>
  <c r="D73" i="7"/>
  <c r="D165" i="8"/>
  <c r="C427" i="2"/>
  <c r="I173" i="12"/>
  <c r="O57" i="4"/>
  <c r="D183" i="8"/>
  <c r="D186" i="6"/>
  <c r="H67" i="12"/>
  <c r="D64" i="7"/>
  <c r="L107" i="4"/>
  <c r="P115" i="12" s="1"/>
  <c r="AA107" i="4"/>
  <c r="S115" i="12" s="1"/>
  <c r="S107" i="4"/>
  <c r="Q115" i="12" s="1"/>
  <c r="AE107" i="4"/>
  <c r="X115" i="12" s="1"/>
  <c r="Z107" i="4"/>
  <c r="T115" i="12" s="1"/>
  <c r="R107" i="4"/>
  <c r="R115" i="12" s="1"/>
  <c r="E115" i="12"/>
  <c r="AD107" i="4"/>
  <c r="W115" i="12" s="1"/>
  <c r="L12" i="12"/>
  <c r="L59" i="12"/>
  <c r="I88" i="12"/>
  <c r="O172" i="4"/>
  <c r="C150" i="2"/>
  <c r="C452" i="2"/>
  <c r="D152" i="7"/>
  <c r="D212" i="5"/>
  <c r="L97" i="12"/>
  <c r="C193" i="2"/>
  <c r="C21" i="2"/>
  <c r="F124" i="12"/>
  <c r="D113" i="7"/>
  <c r="C352" i="2"/>
  <c r="D76" i="8"/>
  <c r="D149" i="7"/>
  <c r="F155" i="12"/>
  <c r="D122" i="9"/>
  <c r="D171" i="5"/>
  <c r="L115" i="12"/>
  <c r="H95" i="12"/>
  <c r="O83" i="4"/>
  <c r="I84" i="12"/>
  <c r="H161" i="12"/>
  <c r="D71" i="5"/>
  <c r="R132" i="4"/>
  <c r="R161" i="12" s="1"/>
  <c r="Z132" i="4"/>
  <c r="T161" i="12" s="1"/>
  <c r="S132" i="4"/>
  <c r="Q161" i="12" s="1"/>
  <c r="E161" i="12"/>
  <c r="AE132" i="4"/>
  <c r="X161" i="12" s="1"/>
  <c r="L132" i="4"/>
  <c r="P161" i="12" s="1"/>
  <c r="AA132" i="4"/>
  <c r="S161" i="12" s="1"/>
  <c r="AD132" i="4"/>
  <c r="W161" i="12" s="1"/>
  <c r="D11" i="8"/>
  <c r="D192" i="6"/>
  <c r="D68" i="5"/>
  <c r="D151" i="6"/>
  <c r="C32" i="2"/>
  <c r="L78" i="4"/>
  <c r="P114" i="12" s="1"/>
  <c r="AD78" i="4"/>
  <c r="W114" i="12" s="1"/>
  <c r="S78" i="4"/>
  <c r="Q114" i="12" s="1"/>
  <c r="E114" i="12"/>
  <c r="R78" i="4"/>
  <c r="R114" i="12" s="1"/>
  <c r="Z78" i="4"/>
  <c r="T114" i="12" s="1"/>
  <c r="AA78" i="4"/>
  <c r="S114" i="12" s="1"/>
  <c r="AE78" i="4"/>
  <c r="X114" i="12" s="1"/>
  <c r="AE110" i="4"/>
  <c r="X120" i="12" s="1"/>
  <c r="AA110" i="4"/>
  <c r="S120" i="12" s="1"/>
  <c r="AD110" i="4"/>
  <c r="W120" i="12" s="1"/>
  <c r="Z110" i="4"/>
  <c r="T120" i="12" s="1"/>
  <c r="R110" i="4"/>
  <c r="R120" i="12" s="1"/>
  <c r="L110" i="4"/>
  <c r="P120" i="12" s="1"/>
  <c r="E120" i="12"/>
  <c r="S110" i="4"/>
  <c r="Q120" i="12" s="1"/>
  <c r="AE136" i="4"/>
  <c r="X190" i="12" s="1"/>
  <c r="E190" i="12"/>
  <c r="AD136" i="4"/>
  <c r="W190" i="12" s="1"/>
  <c r="Z136" i="4"/>
  <c r="T190" i="12" s="1"/>
  <c r="S136" i="4"/>
  <c r="Q190" i="12" s="1"/>
  <c r="L136" i="4"/>
  <c r="P190" i="12" s="1"/>
  <c r="R136" i="4"/>
  <c r="R190" i="12" s="1"/>
  <c r="AA136" i="4"/>
  <c r="S190" i="12" s="1"/>
  <c r="C453" i="2"/>
  <c r="D221" i="6"/>
  <c r="L202" i="12"/>
  <c r="G101" i="12"/>
  <c r="V108" i="4"/>
  <c r="U101" i="12" s="1"/>
  <c r="D201" i="5"/>
  <c r="R57" i="4"/>
  <c r="R173" i="12" s="1"/>
  <c r="AA57" i="4"/>
  <c r="S173" i="12" s="1"/>
  <c r="E173" i="12"/>
  <c r="Z57" i="4"/>
  <c r="T173" i="12" s="1"/>
  <c r="S57" i="4"/>
  <c r="Q173" i="12" s="1"/>
  <c r="AE57" i="4"/>
  <c r="X173" i="12" s="1"/>
  <c r="L57" i="4"/>
  <c r="P173" i="12" s="1"/>
  <c r="AD57" i="4"/>
  <c r="W173" i="12" s="1"/>
  <c r="V59" i="4"/>
  <c r="U140" i="12" s="1"/>
  <c r="G140" i="12"/>
  <c r="D194" i="9"/>
  <c r="D15" i="7"/>
  <c r="D82" i="8"/>
  <c r="D202" i="9"/>
  <c r="O161" i="4"/>
  <c r="Q161" i="4" s="1"/>
  <c r="I154" i="12"/>
  <c r="D33" i="8"/>
  <c r="F126" i="12"/>
  <c r="C475" i="2"/>
  <c r="D118" i="7"/>
  <c r="H107" i="12"/>
  <c r="D170" i="9"/>
  <c r="D140" i="5"/>
  <c r="C349" i="2"/>
  <c r="C432" i="2"/>
  <c r="D14" i="8"/>
  <c r="L56" i="4"/>
  <c r="P128" i="12" s="1"/>
  <c r="AE56" i="4"/>
  <c r="X128" i="12" s="1"/>
  <c r="AA56" i="4"/>
  <c r="S128" i="12" s="1"/>
  <c r="R56" i="4"/>
  <c r="R128" i="12" s="1"/>
  <c r="AD56" i="4"/>
  <c r="W128" i="12" s="1"/>
  <c r="Z56" i="4"/>
  <c r="T128" i="12" s="1"/>
  <c r="E128" i="12"/>
  <c r="S56" i="4"/>
  <c r="Q128" i="12" s="1"/>
  <c r="L122" i="12"/>
  <c r="D180" i="6"/>
  <c r="C50" i="2"/>
  <c r="C109" i="2"/>
  <c r="G160" i="12"/>
  <c r="V14" i="4"/>
  <c r="U160" i="12" s="1"/>
  <c r="O37" i="4"/>
  <c r="I168" i="12"/>
  <c r="H190" i="12"/>
  <c r="V195" i="4"/>
  <c r="U26" i="12" s="1"/>
  <c r="G26" i="12"/>
  <c r="D182" i="7"/>
  <c r="D164" i="5"/>
  <c r="C454" i="2"/>
  <c r="L135" i="12"/>
  <c r="D186" i="5"/>
  <c r="L170" i="12"/>
  <c r="C106" i="2"/>
  <c r="D10" i="6"/>
  <c r="D140" i="8"/>
  <c r="I166" i="12"/>
  <c r="O175" i="4"/>
  <c r="D98" i="8"/>
  <c r="F4" i="12"/>
  <c r="D71" i="7"/>
  <c r="D190" i="9"/>
  <c r="H14" i="12"/>
  <c r="D194" i="7"/>
  <c r="I162" i="12"/>
  <c r="O82" i="4"/>
  <c r="C100" i="2"/>
  <c r="V90" i="4"/>
  <c r="U36" i="12" s="1"/>
  <c r="G36" i="12"/>
  <c r="F178" i="12"/>
  <c r="F190" i="12"/>
  <c r="L196" i="12"/>
  <c r="L120" i="4"/>
  <c r="P44" i="12" s="1"/>
  <c r="S120" i="4"/>
  <c r="Q44" i="12" s="1"/>
  <c r="AA120" i="4"/>
  <c r="S44" i="12" s="1"/>
  <c r="Z120" i="4"/>
  <c r="T44" i="12" s="1"/>
  <c r="E44" i="12"/>
  <c r="AE120" i="4"/>
  <c r="X44" i="12" s="1"/>
  <c r="R120" i="4"/>
  <c r="R44" i="12" s="1"/>
  <c r="AD120" i="4"/>
  <c r="W44" i="12" s="1"/>
  <c r="D100" i="9"/>
  <c r="D220" i="7"/>
  <c r="D139" i="7"/>
  <c r="D205" i="8"/>
  <c r="L151" i="12"/>
  <c r="O91" i="4"/>
  <c r="I152" i="12"/>
  <c r="I120" i="12"/>
  <c r="O110" i="4"/>
  <c r="C89" i="2"/>
  <c r="L141" i="12"/>
  <c r="AE195" i="4"/>
  <c r="X26" i="12" s="1"/>
  <c r="AD195" i="4"/>
  <c r="W26" i="12" s="1"/>
  <c r="Z195" i="4"/>
  <c r="T26" i="12" s="1"/>
  <c r="AA195" i="4"/>
  <c r="S26" i="12" s="1"/>
  <c r="E26" i="12"/>
  <c r="R195" i="4"/>
  <c r="R26" i="12" s="1"/>
  <c r="S195" i="4"/>
  <c r="Q26" i="12" s="1"/>
  <c r="L195" i="4"/>
  <c r="P26" i="12" s="1"/>
  <c r="V105" i="4"/>
  <c r="U116" i="12" s="1"/>
  <c r="G116" i="12"/>
  <c r="D179" i="8"/>
  <c r="D197" i="5"/>
  <c r="C92" i="2"/>
  <c r="D89" i="8"/>
  <c r="D55" i="6"/>
  <c r="L6" i="4"/>
  <c r="P55" i="12" s="1"/>
  <c r="AD6" i="4"/>
  <c r="W55" i="12" s="1"/>
  <c r="Z6" i="4"/>
  <c r="T55" i="12" s="1"/>
  <c r="S6" i="4"/>
  <c r="Q55" i="12" s="1"/>
  <c r="R6" i="4"/>
  <c r="R55" i="12" s="1"/>
  <c r="E55" i="12"/>
  <c r="AE6" i="4"/>
  <c r="X55" i="12" s="1"/>
  <c r="AA6" i="4"/>
  <c r="S55" i="12" s="1"/>
  <c r="H28" i="12"/>
  <c r="D80" i="7"/>
  <c r="D213" i="6"/>
  <c r="D143" i="8"/>
  <c r="F63" i="12"/>
  <c r="D188" i="5"/>
  <c r="D11" i="9"/>
  <c r="C70" i="2"/>
  <c r="I115" i="12"/>
  <c r="O107" i="4"/>
  <c r="G10" i="12"/>
  <c r="V23" i="4"/>
  <c r="U10" i="12" s="1"/>
  <c r="C90" i="2"/>
  <c r="F192" i="12"/>
  <c r="L72" i="4"/>
  <c r="P165" i="12" s="1"/>
  <c r="AD72" i="4"/>
  <c r="W165" i="12" s="1"/>
  <c r="AA72" i="4"/>
  <c r="S165" i="12" s="1"/>
  <c r="Z72" i="4"/>
  <c r="T165" i="12" s="1"/>
  <c r="AE72" i="4"/>
  <c r="X165" i="12" s="1"/>
  <c r="S72" i="4"/>
  <c r="Q165" i="12" s="1"/>
  <c r="R72" i="4"/>
  <c r="R165" i="12" s="1"/>
  <c r="E165" i="12"/>
  <c r="D42" i="6"/>
  <c r="C122" i="2"/>
  <c r="L117" i="12"/>
  <c r="L172" i="12"/>
  <c r="AE53" i="4"/>
  <c r="X133" i="12" s="1"/>
  <c r="AD53" i="4"/>
  <c r="W133" i="12" s="1"/>
  <c r="Z53" i="4"/>
  <c r="T133" i="12" s="1"/>
  <c r="AA53" i="4"/>
  <c r="S133" i="12" s="1"/>
  <c r="S53" i="4"/>
  <c r="Q133" i="12" s="1"/>
  <c r="E133" i="12"/>
  <c r="L53" i="4"/>
  <c r="P133" i="12" s="1"/>
  <c r="R53" i="4"/>
  <c r="R133" i="12" s="1"/>
  <c r="H23" i="12"/>
  <c r="D159" i="7"/>
  <c r="F162" i="12"/>
  <c r="D66" i="6"/>
  <c r="D163" i="8"/>
  <c r="L13" i="12"/>
  <c r="L71" i="12"/>
  <c r="S108" i="4"/>
  <c r="Q101" i="12" s="1"/>
  <c r="R108" i="4"/>
  <c r="R101" i="12" s="1"/>
  <c r="L108" i="4"/>
  <c r="P101" i="12" s="1"/>
  <c r="E101" i="12"/>
  <c r="AA108" i="4"/>
  <c r="S101" i="12" s="1"/>
  <c r="Z108" i="4"/>
  <c r="T101" i="12" s="1"/>
  <c r="AE108" i="4"/>
  <c r="X101" i="12" s="1"/>
  <c r="AD108" i="4"/>
  <c r="W101" i="12" s="1"/>
  <c r="D32" i="7"/>
  <c r="O9" i="4"/>
  <c r="I16" i="12"/>
  <c r="C399" i="2"/>
  <c r="D136" i="7"/>
  <c r="F97" i="12"/>
  <c r="C493" i="2"/>
  <c r="D20" i="7"/>
  <c r="D84" i="8"/>
  <c r="F34" i="12"/>
  <c r="H136" i="12"/>
  <c r="D76" i="5"/>
  <c r="C395" i="2"/>
  <c r="C441" i="2"/>
  <c r="D72" i="7"/>
  <c r="C439" i="2"/>
  <c r="V49" i="4"/>
  <c r="U188" i="12" s="1"/>
  <c r="G188" i="12"/>
  <c r="G37" i="12"/>
  <c r="V58" i="4"/>
  <c r="U37" i="12" s="1"/>
  <c r="D121" i="6"/>
  <c r="AE145" i="4"/>
  <c r="X18" i="12" s="1"/>
  <c r="R145" i="4"/>
  <c r="R18" i="12" s="1"/>
  <c r="E18" i="12"/>
  <c r="S145" i="4"/>
  <c r="Q18" i="12" s="1"/>
  <c r="AD145" i="4"/>
  <c r="W18" i="12" s="1"/>
  <c r="L145" i="4"/>
  <c r="P18" i="12" s="1"/>
  <c r="AA145" i="4"/>
  <c r="S18" i="12" s="1"/>
  <c r="Z145" i="4"/>
  <c r="T18" i="12" s="1"/>
  <c r="AD203" i="4"/>
  <c r="W117" i="12" s="1"/>
  <c r="AA203" i="4"/>
  <c r="S117" i="12" s="1"/>
  <c r="AE203" i="4"/>
  <c r="X117" i="12" s="1"/>
  <c r="S203" i="4"/>
  <c r="Q117" i="12" s="1"/>
  <c r="E117" i="12"/>
  <c r="Z203" i="4"/>
  <c r="T117" i="12" s="1"/>
  <c r="R203" i="4"/>
  <c r="R117" i="12" s="1"/>
  <c r="L203" i="4"/>
  <c r="P117" i="12" s="1"/>
  <c r="O186" i="4"/>
  <c r="I49" i="12"/>
  <c r="C8" i="2"/>
  <c r="D75" i="5"/>
  <c r="D154" i="9"/>
  <c r="C218" i="2"/>
  <c r="L96" i="12"/>
  <c r="D17" i="9"/>
  <c r="D137" i="6"/>
  <c r="C500" i="2"/>
  <c r="AE167" i="4"/>
  <c r="X106" i="12" s="1"/>
  <c r="E106" i="12"/>
  <c r="R167" i="4"/>
  <c r="R106" i="12" s="1"/>
  <c r="AA167" i="4"/>
  <c r="S106" i="12" s="1"/>
  <c r="Z167" i="4"/>
  <c r="T106" i="12" s="1"/>
  <c r="S167" i="4"/>
  <c r="Q106" i="12" s="1"/>
  <c r="L167" i="4"/>
  <c r="P106" i="12" s="1"/>
  <c r="AD167" i="4"/>
  <c r="W106" i="12" s="1"/>
  <c r="D58" i="8"/>
  <c r="D60" i="9"/>
  <c r="D167" i="8"/>
  <c r="D48" i="6"/>
  <c r="D179" i="9"/>
  <c r="V81" i="4"/>
  <c r="U11" i="12" s="1"/>
  <c r="G11" i="12"/>
  <c r="D29" i="7"/>
  <c r="D46" i="7"/>
  <c r="G154" i="12"/>
  <c r="V161" i="4"/>
  <c r="U154" i="12" s="1"/>
  <c r="L173" i="12"/>
  <c r="G18" i="12"/>
  <c r="V145" i="4"/>
  <c r="U18" i="12" s="1"/>
  <c r="D65" i="7"/>
  <c r="D35" i="9"/>
  <c r="S89" i="4"/>
  <c r="Q189" i="12" s="1"/>
  <c r="Z89" i="4"/>
  <c r="T189" i="12" s="1"/>
  <c r="AA89" i="4"/>
  <c r="S189" i="12" s="1"/>
  <c r="L89" i="4"/>
  <c r="P189" i="12" s="1"/>
  <c r="AE89" i="4"/>
  <c r="X189" i="12" s="1"/>
  <c r="E189" i="12"/>
  <c r="R89" i="4"/>
  <c r="R189" i="12" s="1"/>
  <c r="AD89" i="4"/>
  <c r="W189" i="12" s="1"/>
  <c r="L200" i="12"/>
  <c r="F186" i="12"/>
  <c r="D96" i="8"/>
  <c r="H189" i="12"/>
  <c r="C416" i="2"/>
  <c r="D139" i="6"/>
  <c r="H72" i="12"/>
  <c r="AD98" i="4"/>
  <c r="W100" i="12" s="1"/>
  <c r="AE98" i="4"/>
  <c r="X100" i="12" s="1"/>
  <c r="E100" i="12"/>
  <c r="S98" i="4"/>
  <c r="Q100" i="12" s="1"/>
  <c r="R98" i="4"/>
  <c r="R100" i="12" s="1"/>
  <c r="AA98" i="4"/>
  <c r="S100" i="12" s="1"/>
  <c r="L98" i="4"/>
  <c r="P100" i="12" s="1"/>
  <c r="Z98" i="4"/>
  <c r="T100" i="12" s="1"/>
  <c r="C336" i="2"/>
  <c r="D147" i="7"/>
  <c r="D101" i="5"/>
  <c r="D86" i="5"/>
  <c r="D83" i="9"/>
  <c r="AE81" i="4"/>
  <c r="X11" i="12" s="1"/>
  <c r="E11" i="12"/>
  <c r="L81" i="4"/>
  <c r="P11" i="12" s="1"/>
  <c r="S81" i="4"/>
  <c r="Q11" i="12" s="1"/>
  <c r="Z81" i="4"/>
  <c r="T11" i="12" s="1"/>
  <c r="AA81" i="4"/>
  <c r="S11" i="12" s="1"/>
  <c r="AD81" i="4"/>
  <c r="W11" i="12" s="1"/>
  <c r="R81" i="4"/>
  <c r="R11" i="12" s="1"/>
  <c r="I155" i="12"/>
  <c r="O135" i="4"/>
  <c r="H149" i="12"/>
  <c r="I30" i="12"/>
  <c r="O170" i="4"/>
  <c r="D135" i="7"/>
  <c r="C188" i="2"/>
  <c r="D29" i="9"/>
  <c r="H133" i="12"/>
  <c r="Z79" i="4"/>
  <c r="T118" i="12" s="1"/>
  <c r="S79" i="4"/>
  <c r="Q118" i="12" s="1"/>
  <c r="AA79" i="4"/>
  <c r="S118" i="12" s="1"/>
  <c r="AE79" i="4"/>
  <c r="X118" i="12" s="1"/>
  <c r="R79" i="4"/>
  <c r="R118" i="12" s="1"/>
  <c r="E118" i="12"/>
  <c r="L79" i="4"/>
  <c r="P118" i="12" s="1"/>
  <c r="AD79" i="4"/>
  <c r="W118" i="12" s="1"/>
  <c r="C20" i="2"/>
  <c r="G63" i="12"/>
  <c r="V73" i="4"/>
  <c r="U63" i="12" s="1"/>
  <c r="D84" i="6"/>
  <c r="D68" i="7"/>
  <c r="D198" i="7"/>
  <c r="L158" i="12"/>
  <c r="C402" i="2"/>
  <c r="D124" i="5"/>
  <c r="D99" i="8"/>
  <c r="D208" i="5"/>
  <c r="G104" i="12"/>
  <c r="V18" i="4"/>
  <c r="U104" i="12" s="1"/>
  <c r="G9" i="12"/>
  <c r="V154" i="4"/>
  <c r="U9" i="12" s="1"/>
  <c r="F150" i="12"/>
  <c r="H127" i="12"/>
  <c r="V32" i="4"/>
  <c r="U6" i="12" s="1"/>
  <c r="G6" i="12"/>
  <c r="I80" i="12"/>
  <c r="O128" i="4"/>
  <c r="D212" i="8"/>
  <c r="C159" i="2"/>
  <c r="D154" i="5"/>
  <c r="C206" i="2"/>
  <c r="L92" i="12"/>
  <c r="D114" i="8"/>
  <c r="D181" i="7"/>
  <c r="C30" i="2"/>
  <c r="H12" i="12"/>
  <c r="D104" i="7"/>
  <c r="D169" i="7"/>
  <c r="D73" i="8"/>
  <c r="D97" i="8"/>
  <c r="D171" i="6"/>
  <c r="D130" i="9"/>
  <c r="H177" i="12"/>
  <c r="F50" i="12"/>
  <c r="F101" i="12"/>
  <c r="H156" i="12"/>
  <c r="L153" i="12"/>
  <c r="D37" i="9"/>
  <c r="AD153" i="4"/>
  <c r="W79" i="12" s="1"/>
  <c r="E79" i="12"/>
  <c r="R153" i="4"/>
  <c r="R79" i="12" s="1"/>
  <c r="AA153" i="4"/>
  <c r="S79" i="12" s="1"/>
  <c r="L153" i="4"/>
  <c r="P79" i="12" s="1"/>
  <c r="AE153" i="4"/>
  <c r="X79" i="12" s="1"/>
  <c r="Z153" i="4"/>
  <c r="T79" i="12" s="1"/>
  <c r="S153" i="4"/>
  <c r="Q79" i="12" s="1"/>
  <c r="G114" i="12"/>
  <c r="V78" i="4"/>
  <c r="U114" i="12" s="1"/>
  <c r="D103" i="5"/>
  <c r="O142" i="4"/>
  <c r="I14" i="12"/>
  <c r="D77" i="6"/>
  <c r="D128" i="5"/>
  <c r="D69" i="6"/>
  <c r="D108" i="6"/>
  <c r="D91" i="7"/>
  <c r="V16" i="4"/>
  <c r="U184" i="12" s="1"/>
  <c r="G184" i="12"/>
  <c r="D96" i="7"/>
  <c r="F119" i="12"/>
  <c r="D30" i="6"/>
  <c r="D219" i="9"/>
  <c r="D80" i="6"/>
  <c r="D183" i="9"/>
  <c r="F47" i="12"/>
  <c r="E46" i="12"/>
  <c r="L28" i="4"/>
  <c r="P46" i="12" s="1"/>
  <c r="AA28" i="4"/>
  <c r="S46" i="12" s="1"/>
  <c r="Z28" i="4"/>
  <c r="T46" i="12" s="1"/>
  <c r="R28" i="4"/>
  <c r="R46" i="12" s="1"/>
  <c r="AD28" i="4"/>
  <c r="W46" i="12" s="1"/>
  <c r="AE28" i="4"/>
  <c r="X46" i="12" s="1"/>
  <c r="S28" i="4"/>
  <c r="Q46" i="12" s="1"/>
  <c r="H83" i="12"/>
  <c r="D89" i="7"/>
  <c r="L157" i="4"/>
  <c r="P76" i="12" s="1"/>
  <c r="R157" i="4"/>
  <c r="R76" i="12" s="1"/>
  <c r="S157" i="4"/>
  <c r="Q76" i="12" s="1"/>
  <c r="AD157" i="4"/>
  <c r="W76" i="12" s="1"/>
  <c r="AA157" i="4"/>
  <c r="S76" i="12" s="1"/>
  <c r="AE157" i="4"/>
  <c r="X76" i="12" s="1"/>
  <c r="Z157" i="4"/>
  <c r="T76" i="12" s="1"/>
  <c r="E76" i="12"/>
  <c r="D87" i="7"/>
  <c r="D200" i="7"/>
  <c r="S66" i="4"/>
  <c r="Q193" i="12" s="1"/>
  <c r="E193" i="12"/>
  <c r="Z66" i="4"/>
  <c r="T193" i="12" s="1"/>
  <c r="AA66" i="4"/>
  <c r="S193" i="12" s="1"/>
  <c r="AD66" i="4"/>
  <c r="W193" i="12" s="1"/>
  <c r="R66" i="4"/>
  <c r="R193" i="12" s="1"/>
  <c r="L66" i="4"/>
  <c r="P193" i="12" s="1"/>
  <c r="AE66" i="4"/>
  <c r="X193" i="12" s="1"/>
  <c r="H89" i="12"/>
  <c r="F114" i="12"/>
  <c r="D36" i="5"/>
  <c r="H32" i="12"/>
  <c r="H202" i="12"/>
  <c r="D102" i="6"/>
  <c r="D90" i="8"/>
  <c r="H13" i="12"/>
  <c r="D39" i="5"/>
  <c r="D22" i="9"/>
  <c r="D14" i="9"/>
  <c r="H11" i="12"/>
  <c r="D97" i="6"/>
  <c r="D151" i="8"/>
  <c r="O99" i="4"/>
  <c r="Q99" i="4" s="1"/>
  <c r="I201" i="12"/>
  <c r="D86" i="6"/>
  <c r="D20" i="6"/>
  <c r="G35" i="12"/>
  <c r="V97" i="4"/>
  <c r="U35" i="12" s="1"/>
  <c r="O192" i="4"/>
  <c r="Q192" i="4" s="1"/>
  <c r="I20" i="12"/>
  <c r="L169" i="12"/>
  <c r="D210" i="6"/>
  <c r="V52" i="4"/>
  <c r="U38" i="12" s="1"/>
  <c r="G38" i="12"/>
  <c r="D74" i="9"/>
  <c r="D159" i="9"/>
  <c r="D63" i="9"/>
  <c r="D168" i="5"/>
  <c r="D13" i="8"/>
  <c r="C444" i="2"/>
  <c r="F105" i="12"/>
  <c r="O59" i="4"/>
  <c r="I140" i="12"/>
  <c r="D164" i="9"/>
  <c r="AE95" i="4"/>
  <c r="X169" i="12" s="1"/>
  <c r="AD95" i="4"/>
  <c r="W169" i="12" s="1"/>
  <c r="Z95" i="4"/>
  <c r="T169" i="12" s="1"/>
  <c r="L95" i="4"/>
  <c r="P169" i="12" s="1"/>
  <c r="AA95" i="4"/>
  <c r="S169" i="12" s="1"/>
  <c r="S95" i="4"/>
  <c r="Q169" i="12" s="1"/>
  <c r="R95" i="4"/>
  <c r="R169" i="12" s="1"/>
  <c r="E169" i="12"/>
  <c r="O123" i="4"/>
  <c r="I89" i="12"/>
  <c r="L160" i="12"/>
  <c r="H159" i="12"/>
  <c r="L138" i="12"/>
  <c r="F27" i="12"/>
  <c r="D147" i="9"/>
  <c r="C28" i="2"/>
  <c r="H105" i="12"/>
  <c r="I82" i="12"/>
  <c r="O166" i="4"/>
  <c r="Z58" i="4"/>
  <c r="T37" i="12" s="1"/>
  <c r="S58" i="4"/>
  <c r="Q37" i="12" s="1"/>
  <c r="AA58" i="4"/>
  <c r="S37" i="12" s="1"/>
  <c r="AE58" i="4"/>
  <c r="X37" i="12" s="1"/>
  <c r="AD58" i="4"/>
  <c r="W37" i="12" s="1"/>
  <c r="L58" i="4"/>
  <c r="P37" i="12" s="1"/>
  <c r="R58" i="4"/>
  <c r="R37" i="12" s="1"/>
  <c r="E37" i="12"/>
  <c r="D200" i="9"/>
  <c r="D74" i="5"/>
  <c r="D85" i="5"/>
  <c r="C139" i="2"/>
  <c r="F17" i="12"/>
  <c r="H30" i="12"/>
  <c r="D153" i="6"/>
  <c r="O52" i="4"/>
  <c r="I38" i="12"/>
  <c r="F67" i="12"/>
  <c r="D155" i="6"/>
  <c r="D132" i="6"/>
  <c r="D172" i="9"/>
  <c r="D30" i="5"/>
  <c r="C43" i="2"/>
  <c r="D216" i="7"/>
  <c r="H36" i="12"/>
  <c r="D221" i="9"/>
  <c r="L75" i="12"/>
  <c r="V187" i="4"/>
  <c r="U8" i="12" s="1"/>
  <c r="G8" i="12"/>
  <c r="D120" i="9"/>
  <c r="H74" i="12"/>
  <c r="D113" i="6"/>
  <c r="O10" i="4"/>
  <c r="Q10" i="4" s="1"/>
  <c r="I183" i="12"/>
  <c r="D173" i="8"/>
  <c r="C114" i="2"/>
  <c r="D33" i="9"/>
  <c r="F75" i="12"/>
  <c r="D161" i="9"/>
  <c r="C18" i="2"/>
  <c r="I4" i="12"/>
  <c r="O180" i="4"/>
  <c r="Q180" i="4" s="1"/>
  <c r="L23" i="12"/>
  <c r="D164" i="6"/>
  <c r="C78" i="2"/>
  <c r="D204" i="8"/>
  <c r="L130" i="12"/>
  <c r="D213" i="9"/>
  <c r="F142" i="12"/>
  <c r="L33" i="12"/>
  <c r="AA69" i="4"/>
  <c r="S98" i="12" s="1"/>
  <c r="E98" i="12"/>
  <c r="AD69" i="4"/>
  <c r="W98" i="12" s="1"/>
  <c r="S69" i="4"/>
  <c r="Q98" i="12" s="1"/>
  <c r="L69" i="4"/>
  <c r="P98" i="12" s="1"/>
  <c r="AE69" i="4"/>
  <c r="X98" i="12" s="1"/>
  <c r="R69" i="4"/>
  <c r="R98" i="12" s="1"/>
  <c r="Z69" i="4"/>
  <c r="T98" i="12" s="1"/>
  <c r="D92" i="5"/>
  <c r="D133" i="7"/>
  <c r="D146" i="8"/>
  <c r="C217" i="2"/>
  <c r="I158" i="12"/>
  <c r="O13" i="4"/>
  <c r="Q13" i="4" s="1"/>
  <c r="D34" i="9"/>
  <c r="D58" i="5"/>
  <c r="D132" i="5"/>
  <c r="D9" i="9"/>
  <c r="S199" i="4"/>
  <c r="Q196" i="12" s="1"/>
  <c r="R199" i="4"/>
  <c r="R196" i="12" s="1"/>
  <c r="AD199" i="4"/>
  <c r="W196" i="12" s="1"/>
  <c r="L199" i="4"/>
  <c r="P196" i="12" s="1"/>
  <c r="E196" i="12"/>
  <c r="AE199" i="4"/>
  <c r="X196" i="12" s="1"/>
  <c r="AA199" i="4"/>
  <c r="S196" i="12" s="1"/>
  <c r="Z199" i="4"/>
  <c r="T196" i="12" s="1"/>
  <c r="AD127" i="4"/>
  <c r="W127" i="12" s="1"/>
  <c r="AA127" i="4"/>
  <c r="S127" i="12" s="1"/>
  <c r="R127" i="4"/>
  <c r="R127" i="12" s="1"/>
  <c r="S127" i="4"/>
  <c r="Q127" i="12" s="1"/>
  <c r="E127" i="12"/>
  <c r="Z127" i="4"/>
  <c r="T127" i="12" s="1"/>
  <c r="AE127" i="4"/>
  <c r="X127" i="12" s="1"/>
  <c r="L127" i="4"/>
  <c r="P127" i="12" s="1"/>
  <c r="D195" i="8"/>
  <c r="L103" i="12"/>
  <c r="F49" i="12"/>
  <c r="D161" i="5"/>
  <c r="D91" i="6"/>
  <c r="D181" i="5"/>
  <c r="L111" i="12"/>
  <c r="I90" i="12"/>
  <c r="O21" i="4"/>
  <c r="D163" i="6"/>
  <c r="D98" i="6"/>
  <c r="D49" i="6"/>
  <c r="L181" i="12"/>
  <c r="E5" i="2"/>
  <c r="L124" i="12"/>
  <c r="D113" i="5"/>
  <c r="D77" i="7"/>
  <c r="C304" i="2"/>
  <c r="D86" i="9"/>
  <c r="C501" i="2"/>
  <c r="D22" i="5"/>
  <c r="O14" i="4"/>
  <c r="I160" i="12"/>
  <c r="D63" i="6"/>
  <c r="D217" i="8"/>
  <c r="AE162" i="4"/>
  <c r="X181" i="12" s="1"/>
  <c r="S162" i="4"/>
  <c r="Q181" i="12" s="1"/>
  <c r="AA162" i="4"/>
  <c r="S181" i="12" s="1"/>
  <c r="R162" i="4"/>
  <c r="R181" i="12" s="1"/>
  <c r="L162" i="4"/>
  <c r="P181" i="12" s="1"/>
  <c r="E181" i="12"/>
  <c r="AD162" i="4"/>
  <c r="W181" i="12" s="1"/>
  <c r="Z162" i="4"/>
  <c r="T181" i="12" s="1"/>
  <c r="F38" i="12"/>
  <c r="D184" i="5"/>
  <c r="C133" i="2"/>
  <c r="D100" i="5"/>
  <c r="G78" i="12"/>
  <c r="V160" i="4"/>
  <c r="U78" i="12" s="1"/>
  <c r="G57" i="12"/>
  <c r="V113" i="4"/>
  <c r="U57" i="12" s="1"/>
  <c r="V153" i="4"/>
  <c r="U79" i="12" s="1"/>
  <c r="G79" i="12"/>
  <c r="G17" i="12"/>
  <c r="V75" i="4"/>
  <c r="U17" i="12" s="1"/>
  <c r="L53" i="12"/>
  <c r="L73" i="12"/>
  <c r="C110" i="2"/>
  <c r="D21" i="9"/>
  <c r="D146" i="6"/>
  <c r="D202" i="6"/>
  <c r="O195" i="4"/>
  <c r="I26" i="12"/>
  <c r="S87" i="4"/>
  <c r="Q96" i="12" s="1"/>
  <c r="E96" i="12"/>
  <c r="AA87" i="4"/>
  <c r="S96" i="12" s="1"/>
  <c r="AD87" i="4"/>
  <c r="W96" i="12" s="1"/>
  <c r="R87" i="4"/>
  <c r="R96" i="12" s="1"/>
  <c r="Z87" i="4"/>
  <c r="T96" i="12" s="1"/>
  <c r="L87" i="4"/>
  <c r="P96" i="12" s="1"/>
  <c r="AE87" i="4"/>
  <c r="X96" i="12" s="1"/>
  <c r="G201" i="12"/>
  <c r="V99" i="4"/>
  <c r="U201" i="12" s="1"/>
  <c r="L159" i="4"/>
  <c r="P74" i="12" s="1"/>
  <c r="S159" i="4"/>
  <c r="Q74" i="12" s="1"/>
  <c r="AD159" i="4"/>
  <c r="W74" i="12" s="1"/>
  <c r="AE159" i="4"/>
  <c r="X74" i="12" s="1"/>
  <c r="Z159" i="4"/>
  <c r="T74" i="12" s="1"/>
  <c r="AA159" i="4"/>
  <c r="S74" i="12" s="1"/>
  <c r="E74" i="12"/>
  <c r="R159" i="4"/>
  <c r="R74" i="12" s="1"/>
  <c r="D152" i="5"/>
  <c r="C27" i="2"/>
  <c r="D133" i="9"/>
  <c r="I27" i="12"/>
  <c r="O131" i="4"/>
  <c r="L136" i="12"/>
  <c r="D44" i="7"/>
  <c r="D139" i="8"/>
  <c r="AA122" i="4"/>
  <c r="S3" i="12" s="1"/>
  <c r="L122" i="4"/>
  <c r="P3" i="12" s="1"/>
  <c r="S122" i="4"/>
  <c r="Q3" i="12" s="1"/>
  <c r="AE122" i="4"/>
  <c r="X3" i="12" s="1"/>
  <c r="AD122" i="4"/>
  <c r="W3" i="12" s="1"/>
  <c r="R122" i="4"/>
  <c r="R3" i="12" s="1"/>
  <c r="Z122" i="4"/>
  <c r="T3" i="12" s="1"/>
  <c r="E3" i="12"/>
  <c r="V133" i="4"/>
  <c r="U25" i="12" s="1"/>
  <c r="G25" i="12"/>
  <c r="L50" i="4"/>
  <c r="P45" i="12" s="1"/>
  <c r="AA50" i="4"/>
  <c r="S45" i="12" s="1"/>
  <c r="AD50" i="4"/>
  <c r="W45" i="12" s="1"/>
  <c r="S50" i="4"/>
  <c r="Q45" i="12" s="1"/>
  <c r="AE50" i="4"/>
  <c r="X45" i="12" s="1"/>
  <c r="E45" i="12"/>
  <c r="Z50" i="4"/>
  <c r="T45" i="12" s="1"/>
  <c r="R50" i="4"/>
  <c r="R45" i="12" s="1"/>
  <c r="L109" i="12"/>
  <c r="G202" i="12"/>
  <c r="V146" i="4"/>
  <c r="U202" i="12" s="1"/>
  <c r="D55" i="9"/>
  <c r="G106" i="12"/>
  <c r="V167" i="4"/>
  <c r="U106" i="12" s="1"/>
  <c r="H85" i="12"/>
  <c r="D67" i="6"/>
  <c r="C314" i="2"/>
  <c r="L34" i="12"/>
  <c r="D57" i="8"/>
  <c r="D184" i="9"/>
  <c r="D6" i="7"/>
  <c r="D129" i="7"/>
  <c r="H22" i="12"/>
  <c r="C331" i="2"/>
  <c r="D93" i="8"/>
  <c r="V8" i="4"/>
  <c r="U124" i="12" s="1"/>
  <c r="G124" i="12"/>
  <c r="G112" i="12"/>
  <c r="V104" i="4"/>
  <c r="U112" i="12" s="1"/>
  <c r="D167" i="5"/>
  <c r="D146" i="9"/>
  <c r="F36" i="12"/>
  <c r="O179" i="4"/>
  <c r="I191" i="12"/>
  <c r="O17" i="4"/>
  <c r="I135" i="12"/>
  <c r="L56" i="12"/>
  <c r="D216" i="5"/>
  <c r="D141" i="9"/>
  <c r="D192" i="5"/>
  <c r="H143" i="12"/>
  <c r="O65" i="4"/>
  <c r="I146" i="12"/>
  <c r="D178" i="6"/>
  <c r="D138" i="8"/>
  <c r="F88" i="12"/>
  <c r="D94" i="8"/>
  <c r="D141" i="8"/>
  <c r="O97" i="4"/>
  <c r="I35" i="12"/>
  <c r="L167" i="12"/>
  <c r="R4" i="4"/>
  <c r="R13" i="12" s="1"/>
  <c r="AA4" i="4"/>
  <c r="S13" i="12" s="1"/>
  <c r="S4" i="4"/>
  <c r="Q13" i="12" s="1"/>
  <c r="AD4" i="4"/>
  <c r="W13" i="12" s="1"/>
  <c r="Z4" i="4"/>
  <c r="T13" i="12" s="1"/>
  <c r="L4" i="4"/>
  <c r="P13" i="12" s="1"/>
  <c r="AE4" i="4"/>
  <c r="X13" i="12" s="1"/>
  <c r="E13" i="12"/>
  <c r="L183" i="12"/>
  <c r="D8" i="5"/>
  <c r="D50" i="5"/>
  <c r="D98" i="9"/>
  <c r="D102" i="5"/>
  <c r="D105" i="7"/>
  <c r="AD54" i="4"/>
  <c r="W125" i="12" s="1"/>
  <c r="AA54" i="4"/>
  <c r="S125" i="12" s="1"/>
  <c r="AE54" i="4"/>
  <c r="X125" i="12" s="1"/>
  <c r="E125" i="12"/>
  <c r="S54" i="4"/>
  <c r="Q125" i="12" s="1"/>
  <c r="R54" i="4"/>
  <c r="R125" i="12" s="1"/>
  <c r="L54" i="4"/>
  <c r="P125" i="12" s="1"/>
  <c r="Z54" i="4"/>
  <c r="T125" i="12" s="1"/>
  <c r="D13" i="9"/>
  <c r="C409" i="2"/>
  <c r="G134" i="12"/>
  <c r="V182" i="4"/>
  <c r="U134" i="12" s="1"/>
  <c r="D174" i="5"/>
  <c r="C486" i="2"/>
  <c r="O93" i="4"/>
  <c r="Q93" i="4" s="1"/>
  <c r="I41" i="12"/>
  <c r="C197" i="2"/>
  <c r="C498" i="2"/>
  <c r="D119" i="7"/>
  <c r="V33" i="4"/>
  <c r="U58" i="12" s="1"/>
  <c r="G58" i="12"/>
  <c r="C485" i="2"/>
  <c r="D72" i="6"/>
  <c r="D157" i="6"/>
  <c r="D125" i="8"/>
  <c r="G192" i="12"/>
  <c r="V92" i="4"/>
  <c r="U192" i="12" s="1"/>
  <c r="V126" i="4"/>
  <c r="U176" i="12" s="1"/>
  <c r="G176" i="12"/>
  <c r="H48" i="12"/>
  <c r="D49" i="9"/>
  <c r="C55" i="2"/>
  <c r="C160" i="2"/>
  <c r="D212" i="6"/>
  <c r="C312" i="2"/>
  <c r="D181" i="9"/>
  <c r="H64" i="12"/>
  <c r="D127" i="5"/>
  <c r="D62" i="7"/>
  <c r="D218" i="5"/>
  <c r="D8" i="8"/>
  <c r="R90" i="4"/>
  <c r="R36" i="12" s="1"/>
  <c r="Z90" i="4"/>
  <c r="T36" i="12" s="1"/>
  <c r="AE90" i="4"/>
  <c r="X36" i="12" s="1"/>
  <c r="E36" i="12"/>
  <c r="L90" i="4"/>
  <c r="P36" i="12" s="1"/>
  <c r="AD90" i="4"/>
  <c r="W36" i="12" s="1"/>
  <c r="S90" i="4"/>
  <c r="Q36" i="12" s="1"/>
  <c r="AA90" i="4"/>
  <c r="S36" i="12" s="1"/>
  <c r="L33" i="4"/>
  <c r="P58" i="12" s="1"/>
  <c r="R33" i="4"/>
  <c r="R58" i="12" s="1"/>
  <c r="AE33" i="4"/>
  <c r="X58" i="12" s="1"/>
  <c r="AA33" i="4"/>
  <c r="S58" i="12" s="1"/>
  <c r="E58" i="12"/>
  <c r="AD33" i="4"/>
  <c r="W58" i="12" s="1"/>
  <c r="S33" i="4"/>
  <c r="Q58" i="12" s="1"/>
  <c r="Z33" i="4"/>
  <c r="T58" i="12" s="1"/>
  <c r="D207" i="9"/>
  <c r="D166" i="7"/>
  <c r="D70" i="8"/>
  <c r="V115" i="4"/>
  <c r="U137" i="12" s="1"/>
  <c r="G137" i="12"/>
  <c r="D206" i="9"/>
  <c r="C22" i="2"/>
  <c r="D212" i="7"/>
  <c r="D128" i="7"/>
  <c r="O64" i="4"/>
  <c r="Q64" i="4" s="1"/>
  <c r="I50" i="12"/>
  <c r="D92" i="6"/>
  <c r="C383" i="2"/>
  <c r="G182" i="12"/>
  <c r="V31" i="4"/>
  <c r="U182" i="12" s="1"/>
  <c r="D118" i="9"/>
  <c r="C136" i="2"/>
  <c r="D9" i="6"/>
  <c r="D174" i="9"/>
  <c r="D155" i="5"/>
  <c r="C23" i="2"/>
  <c r="H169" i="12"/>
  <c r="C116" i="2"/>
  <c r="D111" i="8"/>
  <c r="F52" i="12"/>
  <c r="AE196" i="4"/>
  <c r="X156" i="12" s="1"/>
  <c r="AD196" i="4"/>
  <c r="W156" i="12" s="1"/>
  <c r="Z196" i="4"/>
  <c r="T156" i="12" s="1"/>
  <c r="R196" i="4"/>
  <c r="R156" i="12" s="1"/>
  <c r="L196" i="4"/>
  <c r="P156" i="12" s="1"/>
  <c r="E156" i="12"/>
  <c r="S196" i="4"/>
  <c r="Q156" i="12" s="1"/>
  <c r="AA196" i="4"/>
  <c r="S156" i="12" s="1"/>
  <c r="O7" i="4"/>
  <c r="I94" i="12"/>
  <c r="C83" i="2"/>
  <c r="S84" i="4"/>
  <c r="Q59" i="12" s="1"/>
  <c r="AE84" i="4"/>
  <c r="X59" i="12" s="1"/>
  <c r="AD84" i="4"/>
  <c r="W59" i="12" s="1"/>
  <c r="E59" i="12"/>
  <c r="L84" i="4"/>
  <c r="P59" i="12" s="1"/>
  <c r="Z84" i="4"/>
  <c r="T59" i="12" s="1"/>
  <c r="R84" i="4"/>
  <c r="R59" i="12" s="1"/>
  <c r="AA84" i="4"/>
  <c r="S59" i="12" s="1"/>
  <c r="C95" i="2"/>
  <c r="L86" i="12"/>
  <c r="H93" i="12"/>
  <c r="F85" i="12"/>
  <c r="D136" i="9"/>
  <c r="L146" i="12"/>
  <c r="D131" i="6"/>
  <c r="R74" i="4"/>
  <c r="R39" i="12" s="1"/>
  <c r="Z74" i="4"/>
  <c r="T39" i="12" s="1"/>
  <c r="L74" i="4"/>
  <c r="P39" i="12" s="1"/>
  <c r="S74" i="4"/>
  <c r="Q39" i="12" s="1"/>
  <c r="AD74" i="4"/>
  <c r="W39" i="12" s="1"/>
  <c r="AE74" i="4"/>
  <c r="X39" i="12" s="1"/>
  <c r="AA74" i="4"/>
  <c r="S39" i="12" s="1"/>
  <c r="E39" i="12"/>
  <c r="C438" i="2"/>
  <c r="I10" i="12"/>
  <c r="O23" i="4"/>
  <c r="Q23" i="4" s="1"/>
  <c r="D27" i="7"/>
  <c r="AA126" i="4"/>
  <c r="S176" i="12" s="1"/>
  <c r="AE126" i="4"/>
  <c r="X176" i="12" s="1"/>
  <c r="E176" i="12"/>
  <c r="Z126" i="4"/>
  <c r="T176" i="12" s="1"/>
  <c r="R126" i="4"/>
  <c r="R176" i="12" s="1"/>
  <c r="AD126" i="4"/>
  <c r="W176" i="12" s="1"/>
  <c r="S126" i="4"/>
  <c r="Q176" i="12" s="1"/>
  <c r="L126" i="4"/>
  <c r="P176" i="12" s="1"/>
  <c r="D70" i="5"/>
  <c r="C369" i="2"/>
  <c r="V84" i="4"/>
  <c r="U59" i="12" s="1"/>
  <c r="G59" i="12"/>
  <c r="H192" i="12"/>
  <c r="F198" i="12"/>
  <c r="H43" i="12"/>
  <c r="D6" i="6"/>
  <c r="C328" i="2"/>
  <c r="V101" i="4"/>
  <c r="U143" i="12" s="1"/>
  <c r="G143" i="12"/>
  <c r="I193" i="12"/>
  <c r="O66" i="4"/>
  <c r="Q66" i="4" s="1"/>
  <c r="D20" i="5"/>
  <c r="I119" i="12"/>
  <c r="O134" i="4"/>
  <c r="C504" i="2"/>
  <c r="H140" i="12"/>
  <c r="L76" i="12"/>
  <c r="L134" i="12"/>
  <c r="G159" i="12"/>
  <c r="V109" i="4"/>
  <c r="U159" i="12" s="1"/>
  <c r="V139" i="4"/>
  <c r="U103" i="12" s="1"/>
  <c r="G103" i="12"/>
  <c r="D43" i="7"/>
  <c r="I93" i="12"/>
  <c r="O141" i="4"/>
  <c r="D156" i="8"/>
  <c r="D51" i="9"/>
  <c r="C59" i="2"/>
  <c r="C321" i="2"/>
  <c r="C459" i="2"/>
  <c r="D192" i="9"/>
  <c r="O87" i="4"/>
  <c r="Q87" i="4" s="1"/>
  <c r="I96" i="12"/>
  <c r="D18" i="7"/>
  <c r="I95" i="12"/>
  <c r="O165" i="4"/>
  <c r="I110" i="12"/>
  <c r="O174" i="4"/>
  <c r="D208" i="7"/>
  <c r="D53" i="9"/>
  <c r="F113" i="12"/>
  <c r="L102" i="12"/>
  <c r="C130" i="2"/>
  <c r="I86" i="12"/>
  <c r="O206" i="4"/>
  <c r="D112" i="9"/>
  <c r="R14" i="4"/>
  <c r="R160" i="12" s="1"/>
  <c r="S14" i="4"/>
  <c r="Q160" i="12" s="1"/>
  <c r="E160" i="12"/>
  <c r="Z14" i="4"/>
  <c r="T160" i="12" s="1"/>
  <c r="AD14" i="4"/>
  <c r="W160" i="12" s="1"/>
  <c r="AE14" i="4"/>
  <c r="X160" i="12" s="1"/>
  <c r="L14" i="4"/>
  <c r="P160" i="12" s="1"/>
  <c r="AA14" i="4"/>
  <c r="S160" i="12" s="1"/>
  <c r="O167" i="4"/>
  <c r="Q167" i="4" s="1"/>
  <c r="I106" i="12"/>
  <c r="D159" i="6"/>
  <c r="G164" i="12"/>
  <c r="V205" i="4"/>
  <c r="U164" i="12" s="1"/>
  <c r="V36" i="4"/>
  <c r="U206" i="12" s="1"/>
  <c r="G206" i="12"/>
  <c r="D69" i="9"/>
  <c r="D182" i="8"/>
  <c r="D172" i="5"/>
  <c r="D199" i="8"/>
  <c r="D204" i="5"/>
  <c r="D114" i="6"/>
  <c r="D188" i="7"/>
  <c r="H99" i="12"/>
  <c r="D85" i="8"/>
  <c r="D80" i="4" l="1"/>
  <c r="D66" i="12" s="1"/>
  <c r="D80" i="24"/>
  <c r="D80" i="25" s="1"/>
  <c r="Q14" i="4"/>
  <c r="P14" i="4"/>
  <c r="M160" i="12" s="1"/>
  <c r="N160" i="12"/>
  <c r="Q128" i="4"/>
  <c r="P128" i="4"/>
  <c r="M80" i="12" s="1"/>
  <c r="N80" i="12"/>
  <c r="Q9" i="4"/>
  <c r="N16" i="12"/>
  <c r="P9" i="4"/>
  <c r="M16" i="12" s="1"/>
  <c r="Q41" i="4"/>
  <c r="N48" i="12"/>
  <c r="P41" i="4"/>
  <c r="M48" i="12" s="1"/>
  <c r="D5" i="2"/>
  <c r="B5" i="6"/>
  <c r="F5" i="2"/>
  <c r="B5" i="5"/>
  <c r="D36" i="24"/>
  <c r="D36" i="25" s="1"/>
  <c r="D36" i="4"/>
  <c r="D206" i="12" s="1"/>
  <c r="B5" i="8"/>
  <c r="B5" i="7"/>
  <c r="B5" i="9"/>
  <c r="Q144" i="4"/>
  <c r="P144" i="4"/>
  <c r="M65" i="12" s="1"/>
  <c r="N65" i="12"/>
  <c r="D166" i="24"/>
  <c r="D166" i="25" s="1"/>
  <c r="D166" i="4"/>
  <c r="D82" i="12" s="1"/>
  <c r="P75" i="4"/>
  <c r="M17" i="12" s="1"/>
  <c r="N17" i="12"/>
  <c r="Q86" i="4"/>
  <c r="P86" i="4"/>
  <c r="M53" i="12" s="1"/>
  <c r="N53" i="12"/>
  <c r="D185" i="24"/>
  <c r="D185" i="25" s="1"/>
  <c r="D185" i="4"/>
  <c r="D69" i="12" s="1"/>
  <c r="P8" i="4"/>
  <c r="M124" i="12" s="1"/>
  <c r="N124" i="12"/>
  <c r="Q126" i="4"/>
  <c r="P126" i="4"/>
  <c r="M176" i="12" s="1"/>
  <c r="N176" i="12"/>
  <c r="Q44" i="4"/>
  <c r="N205" i="12"/>
  <c r="P44" i="4"/>
  <c r="M205" i="12" s="1"/>
  <c r="D40" i="4"/>
  <c r="D153" i="12" s="1"/>
  <c r="D40" i="24"/>
  <c r="D40" i="25" s="1"/>
  <c r="Q72" i="4"/>
  <c r="P72" i="4"/>
  <c r="M165" i="12" s="1"/>
  <c r="N165" i="12"/>
  <c r="D132" i="4"/>
  <c r="D161" i="12" s="1"/>
  <c r="D132" i="24"/>
  <c r="D132" i="25" s="1"/>
  <c r="D165" i="4"/>
  <c r="D95" i="12" s="1"/>
  <c r="D165" i="24"/>
  <c r="D165" i="25" s="1"/>
  <c r="Q153" i="4"/>
  <c r="N79" i="12"/>
  <c r="P153" i="4"/>
  <c r="M79" i="12" s="1"/>
  <c r="D116" i="4"/>
  <c r="D67" i="12" s="1"/>
  <c r="D116" i="24"/>
  <c r="D116" i="25" s="1"/>
  <c r="Q152" i="4"/>
  <c r="N129" i="12"/>
  <c r="P152" i="4"/>
  <c r="M129" i="12" s="1"/>
  <c r="Q25" i="4"/>
  <c r="N43" i="12"/>
  <c r="P25" i="4"/>
  <c r="M43" i="12" s="1"/>
  <c r="D54" i="4"/>
  <c r="D125" i="12" s="1"/>
  <c r="D54" i="24"/>
  <c r="D54" i="25" s="1"/>
  <c r="D133" i="4"/>
  <c r="D25" i="12" s="1"/>
  <c r="D133" i="24"/>
  <c r="D133" i="25" s="1"/>
  <c r="Q11" i="4"/>
  <c r="N171" i="12"/>
  <c r="P11" i="4"/>
  <c r="M171" i="12" s="1"/>
  <c r="Q111" i="4"/>
  <c r="N51" i="12"/>
  <c r="P111" i="4"/>
  <c r="M51" i="12" s="1"/>
  <c r="N106" i="12"/>
  <c r="P167" i="4"/>
  <c r="M106" i="12" s="1"/>
  <c r="Q65" i="4"/>
  <c r="P65" i="4"/>
  <c r="M146" i="12" s="1"/>
  <c r="N146" i="12"/>
  <c r="N4" i="12"/>
  <c r="P180" i="4"/>
  <c r="M4" i="12" s="1"/>
  <c r="Q59" i="4"/>
  <c r="N140" i="12"/>
  <c r="P59" i="4"/>
  <c r="M140" i="12" s="1"/>
  <c r="Q170" i="4"/>
  <c r="P170" i="4"/>
  <c r="M30" i="12" s="1"/>
  <c r="N30" i="12"/>
  <c r="D21" i="24"/>
  <c r="D21" i="25" s="1"/>
  <c r="D21" i="4"/>
  <c r="D90" i="12" s="1"/>
  <c r="Q83" i="4"/>
  <c r="N84" i="12"/>
  <c r="P83" i="4"/>
  <c r="M84" i="12" s="1"/>
  <c r="D78" i="4"/>
  <c r="D114" i="12" s="1"/>
  <c r="D78" i="24"/>
  <c r="D78" i="25" s="1"/>
  <c r="D202" i="24"/>
  <c r="D202" i="25" s="1"/>
  <c r="D202" i="4"/>
  <c r="D186" i="12" s="1"/>
  <c r="Q55" i="4"/>
  <c r="N105" i="12"/>
  <c r="P55" i="4"/>
  <c r="M105" i="12" s="1"/>
  <c r="Q171" i="4"/>
  <c r="P171" i="4"/>
  <c r="M70" i="12" s="1"/>
  <c r="N70" i="12"/>
  <c r="Q181" i="4"/>
  <c r="N5" i="12"/>
  <c r="P181" i="4"/>
  <c r="M5" i="12" s="1"/>
  <c r="D39" i="24"/>
  <c r="D39" i="25" s="1"/>
  <c r="D39" i="4"/>
  <c r="D142" i="12" s="1"/>
  <c r="D30" i="4"/>
  <c r="D131" i="12" s="1"/>
  <c r="D30" i="24"/>
  <c r="D30" i="25" s="1"/>
  <c r="D124" i="4"/>
  <c r="D23" i="12" s="1"/>
  <c r="D124" i="24"/>
  <c r="D124" i="25" s="1"/>
  <c r="Q67" i="4"/>
  <c r="N194" i="12"/>
  <c r="P67" i="4"/>
  <c r="M194" i="12" s="1"/>
  <c r="D86" i="24"/>
  <c r="D86" i="25" s="1"/>
  <c r="D86" i="4"/>
  <c r="D53" i="12" s="1"/>
  <c r="Q34" i="4"/>
  <c r="N28" i="12"/>
  <c r="P34" i="4"/>
  <c r="M28" i="12" s="1"/>
  <c r="D199" i="4"/>
  <c r="D196" i="12" s="1"/>
  <c r="D199" i="24"/>
  <c r="D199" i="25" s="1"/>
  <c r="D189" i="4"/>
  <c r="D52" i="12" s="1"/>
  <c r="D189" i="24"/>
  <c r="D189" i="25" s="1"/>
  <c r="D79" i="24"/>
  <c r="D79" i="25" s="1"/>
  <c r="D79" i="4"/>
  <c r="D118" i="12" s="1"/>
  <c r="D99" i="4"/>
  <c r="D201" i="12" s="1"/>
  <c r="D99" i="24"/>
  <c r="D99" i="25" s="1"/>
  <c r="Q147" i="4"/>
  <c r="P147" i="4"/>
  <c r="M174" i="12" s="1"/>
  <c r="N174" i="12"/>
  <c r="D179" i="24"/>
  <c r="D179" i="25" s="1"/>
  <c r="D179" i="4"/>
  <c r="D191" i="12" s="1"/>
  <c r="D17" i="4"/>
  <c r="D135" i="12" s="1"/>
  <c r="D17" i="24"/>
  <c r="D17" i="25" s="1"/>
  <c r="D151" i="24"/>
  <c r="D151" i="25" s="1"/>
  <c r="D151" i="4"/>
  <c r="D19" i="12" s="1"/>
  <c r="D35" i="4"/>
  <c r="D187" i="12" s="1"/>
  <c r="D35" i="24"/>
  <c r="D35" i="25" s="1"/>
  <c r="Q98" i="4"/>
  <c r="P98" i="4"/>
  <c r="M100" i="12" s="1"/>
  <c r="N100" i="12"/>
  <c r="Q190" i="4"/>
  <c r="P190" i="4"/>
  <c r="M132" i="12" s="1"/>
  <c r="N132" i="12"/>
  <c r="Q40" i="4"/>
  <c r="P40" i="4"/>
  <c r="M153" i="12" s="1"/>
  <c r="N153" i="12"/>
  <c r="D67" i="24"/>
  <c r="D67" i="25" s="1"/>
  <c r="D67" i="4"/>
  <c r="D194" i="12" s="1"/>
  <c r="D136" i="4"/>
  <c r="D190" i="12" s="1"/>
  <c r="D136" i="24"/>
  <c r="D136" i="25" s="1"/>
  <c r="D142" i="4"/>
  <c r="D14" i="12" s="1"/>
  <c r="D142" i="24"/>
  <c r="D142" i="25" s="1"/>
  <c r="D113" i="4"/>
  <c r="D57" i="12" s="1"/>
  <c r="D113" i="24"/>
  <c r="D113" i="25" s="1"/>
  <c r="D111" i="4"/>
  <c r="D51" i="12" s="1"/>
  <c r="D111" i="24"/>
  <c r="D111" i="25" s="1"/>
  <c r="D49" i="4"/>
  <c r="D188" i="12" s="1"/>
  <c r="D49" i="24"/>
  <c r="D49" i="25" s="1"/>
  <c r="D28" i="24"/>
  <c r="D28" i="25" s="1"/>
  <c r="D28" i="4"/>
  <c r="D46" i="12" s="1"/>
  <c r="D101" i="4"/>
  <c r="D143" i="12" s="1"/>
  <c r="D101" i="24"/>
  <c r="D101" i="25" s="1"/>
  <c r="Q49" i="4"/>
  <c r="P49" i="4"/>
  <c r="M188" i="12" s="1"/>
  <c r="N188" i="12"/>
  <c r="P64" i="4"/>
  <c r="M50" i="12" s="1"/>
  <c r="N50" i="12"/>
  <c r="Q7" i="4"/>
  <c r="N94" i="12"/>
  <c r="P7" i="4"/>
  <c r="M94" i="12" s="1"/>
  <c r="Q195" i="4"/>
  <c r="P195" i="4"/>
  <c r="M26" i="12" s="1"/>
  <c r="N26" i="12"/>
  <c r="N10" i="12"/>
  <c r="P23" i="4"/>
  <c r="M10" i="12" s="1"/>
  <c r="D122" i="24"/>
  <c r="D122" i="25" s="1"/>
  <c r="D122" i="4"/>
  <c r="D3" i="12" s="1"/>
  <c r="Q82" i="4"/>
  <c r="P82" i="4"/>
  <c r="M162" i="12" s="1"/>
  <c r="N162" i="12"/>
  <c r="Q172" i="4"/>
  <c r="N88" i="12"/>
  <c r="P172" i="4"/>
  <c r="M88" i="12" s="1"/>
  <c r="Q57" i="4"/>
  <c r="N173" i="12"/>
  <c r="P57" i="4"/>
  <c r="M173" i="12" s="1"/>
  <c r="D196" i="4"/>
  <c r="D156" i="12" s="1"/>
  <c r="D196" i="24"/>
  <c r="D196" i="25" s="1"/>
  <c r="Q146" i="4"/>
  <c r="P146" i="4"/>
  <c r="M202" i="12" s="1"/>
  <c r="N202" i="12"/>
  <c r="Q143" i="4"/>
  <c r="N157" i="12"/>
  <c r="P143" i="4"/>
  <c r="M157" i="12" s="1"/>
  <c r="Q196" i="4"/>
  <c r="N156" i="12"/>
  <c r="P196" i="4"/>
  <c r="M156" i="12" s="1"/>
  <c r="D20" i="24"/>
  <c r="D20" i="25" s="1"/>
  <c r="D20" i="4"/>
  <c r="D177" i="12" s="1"/>
  <c r="N159" i="12"/>
  <c r="P109" i="4"/>
  <c r="M159" i="12" s="1"/>
  <c r="P39" i="4"/>
  <c r="M142" i="12" s="1"/>
  <c r="N142" i="12"/>
  <c r="D191" i="24"/>
  <c r="D191" i="25" s="1"/>
  <c r="D191" i="4"/>
  <c r="D68" i="12" s="1"/>
  <c r="Q51" i="4"/>
  <c r="N7" i="12"/>
  <c r="P51" i="4"/>
  <c r="M7" i="12" s="1"/>
  <c r="N186" i="12"/>
  <c r="P202" i="4"/>
  <c r="M186" i="12" s="1"/>
  <c r="D56" i="24"/>
  <c r="D56" i="25" s="1"/>
  <c r="D56" i="4"/>
  <c r="D128" i="12" s="1"/>
  <c r="D64" i="24"/>
  <c r="D64" i="25" s="1"/>
  <c r="D64" i="4"/>
  <c r="D50" i="12" s="1"/>
  <c r="Q61" i="4"/>
  <c r="P61" i="4"/>
  <c r="M139" i="12" s="1"/>
  <c r="N139" i="12"/>
  <c r="D108" i="4"/>
  <c r="D101" i="12" s="1"/>
  <c r="D108" i="24"/>
  <c r="D108" i="25" s="1"/>
  <c r="D183" i="24"/>
  <c r="D183" i="25" s="1"/>
  <c r="D183" i="4"/>
  <c r="D12" i="12" s="1"/>
  <c r="D161" i="4"/>
  <c r="D154" i="12" s="1"/>
  <c r="D161" i="24"/>
  <c r="D161" i="25" s="1"/>
  <c r="Q105" i="4"/>
  <c r="P105" i="4"/>
  <c r="M116" i="12" s="1"/>
  <c r="N116" i="12"/>
  <c r="D27" i="24"/>
  <c r="D27" i="25" s="1"/>
  <c r="D27" i="4"/>
  <c r="D123" i="12" s="1"/>
  <c r="Q165" i="4"/>
  <c r="P165" i="4"/>
  <c r="M95" i="12" s="1"/>
  <c r="N95" i="12"/>
  <c r="D127" i="24"/>
  <c r="D127" i="25" s="1"/>
  <c r="D127" i="4"/>
  <c r="D127" i="12" s="1"/>
  <c r="D200" i="4"/>
  <c r="D199" i="12" s="1"/>
  <c r="D200" i="24"/>
  <c r="D200" i="25" s="1"/>
  <c r="P99" i="4"/>
  <c r="M201" i="12" s="1"/>
  <c r="N201" i="12"/>
  <c r="D90" i="4"/>
  <c r="D36" i="12" s="1"/>
  <c r="D90" i="24"/>
  <c r="D90" i="25" s="1"/>
  <c r="Q135" i="4"/>
  <c r="P135" i="4"/>
  <c r="M155" i="12" s="1"/>
  <c r="N155" i="12"/>
  <c r="N154" i="12"/>
  <c r="P161" i="4"/>
  <c r="M154" i="12" s="1"/>
  <c r="D134" i="4"/>
  <c r="D119" i="12" s="1"/>
  <c r="D134" i="24"/>
  <c r="D134" i="25" s="1"/>
  <c r="D85" i="4"/>
  <c r="D47" i="12" s="1"/>
  <c r="D85" i="24"/>
  <c r="D85" i="25" s="1"/>
  <c r="D147" i="4"/>
  <c r="D174" i="12" s="1"/>
  <c r="D147" i="24"/>
  <c r="D147" i="25" s="1"/>
  <c r="D154" i="4"/>
  <c r="D9" i="12" s="1"/>
  <c r="D154" i="24"/>
  <c r="D154" i="25" s="1"/>
  <c r="D109" i="24"/>
  <c r="D109" i="25" s="1"/>
  <c r="D109" i="4"/>
  <c r="D159" i="12" s="1"/>
  <c r="D23" i="4"/>
  <c r="D10" i="12" s="1"/>
  <c r="D23" i="24"/>
  <c r="D23" i="25" s="1"/>
  <c r="Q193" i="4"/>
  <c r="N77" i="12"/>
  <c r="P193" i="4"/>
  <c r="M77" i="12" s="1"/>
  <c r="Q19" i="4"/>
  <c r="N197" i="12"/>
  <c r="P19" i="4"/>
  <c r="M197" i="12" s="1"/>
  <c r="P188" i="4"/>
  <c r="M21" i="12" s="1"/>
  <c r="N21" i="12"/>
  <c r="D96" i="4"/>
  <c r="D99" i="12" s="1"/>
  <c r="D96" i="24"/>
  <c r="D96" i="25" s="1"/>
  <c r="D32" i="24"/>
  <c r="D32" i="25" s="1"/>
  <c r="D32" i="4"/>
  <c r="D6" i="12" s="1"/>
  <c r="Q33" i="4"/>
  <c r="P33" i="4"/>
  <c r="M58" i="12" s="1"/>
  <c r="N58" i="12"/>
  <c r="Q122" i="4"/>
  <c r="P122" i="4"/>
  <c r="M3" i="12" s="1"/>
  <c r="N3" i="12"/>
  <c r="Q30" i="4"/>
  <c r="P30" i="4"/>
  <c r="M131" i="12" s="1"/>
  <c r="N131" i="12"/>
  <c r="Q206" i="4"/>
  <c r="N86" i="12"/>
  <c r="P206" i="4"/>
  <c r="M86" i="12" s="1"/>
  <c r="P36" i="4"/>
  <c r="M206" i="12" s="1"/>
  <c r="N206" i="12"/>
  <c r="N92" i="12"/>
  <c r="P140" i="4"/>
  <c r="M92" i="12" s="1"/>
  <c r="N42" i="12"/>
  <c r="P150" i="4"/>
  <c r="M42" i="12" s="1"/>
  <c r="Q155" i="4"/>
  <c r="N102" i="12"/>
  <c r="P155" i="4"/>
  <c r="M102" i="12" s="1"/>
  <c r="N8" i="12"/>
  <c r="P187" i="4"/>
  <c r="M8" i="12" s="1"/>
  <c r="D77" i="24"/>
  <c r="D77" i="25" s="1"/>
  <c r="D77" i="4"/>
  <c r="D204" i="12" s="1"/>
  <c r="D107" i="24"/>
  <c r="D107" i="25" s="1"/>
  <c r="D107" i="4"/>
  <c r="D115" i="12" s="1"/>
  <c r="P20" i="4"/>
  <c r="M177" i="12" s="1"/>
  <c r="N177" i="12"/>
  <c r="D44" i="4"/>
  <c r="D205" i="12" s="1"/>
  <c r="D44" i="24"/>
  <c r="D44" i="25" s="1"/>
  <c r="Q76" i="4"/>
  <c r="P76" i="4"/>
  <c r="M62" i="12" s="1"/>
  <c r="N62" i="12"/>
  <c r="D97" i="4"/>
  <c r="D35" i="12" s="1"/>
  <c r="D97" i="24"/>
  <c r="D97" i="25" s="1"/>
  <c r="Q43" i="4"/>
  <c r="P43" i="4"/>
  <c r="M126" i="12" s="1"/>
  <c r="N126" i="12"/>
  <c r="D159" i="24"/>
  <c r="D159" i="25" s="1"/>
  <c r="D159" i="4"/>
  <c r="D74" i="12" s="1"/>
  <c r="Q60" i="4"/>
  <c r="P60" i="4"/>
  <c r="M200" i="12" s="1"/>
  <c r="N200" i="12"/>
  <c r="Q45" i="4"/>
  <c r="N172" i="12"/>
  <c r="P45" i="4"/>
  <c r="M172" i="12" s="1"/>
  <c r="Q90" i="4"/>
  <c r="P90" i="4"/>
  <c r="M36" i="12" s="1"/>
  <c r="N36" i="12"/>
  <c r="Q141" i="4"/>
  <c r="P141" i="4"/>
  <c r="M93" i="12" s="1"/>
  <c r="N93" i="12"/>
  <c r="Q174" i="4"/>
  <c r="P174" i="4"/>
  <c r="M110" i="12" s="1"/>
  <c r="N110" i="12"/>
  <c r="D60" i="4"/>
  <c r="D200" i="12" s="1"/>
  <c r="D60" i="24"/>
  <c r="D60" i="25" s="1"/>
  <c r="Q123" i="4"/>
  <c r="N89" i="12"/>
  <c r="P123" i="4"/>
  <c r="M89" i="12" s="1"/>
  <c r="D41" i="24"/>
  <c r="D41" i="25" s="1"/>
  <c r="D41" i="4"/>
  <c r="D48" i="12" s="1"/>
  <c r="Q162" i="4"/>
  <c r="P162" i="4"/>
  <c r="M181" i="12" s="1"/>
  <c r="N181" i="12"/>
  <c r="N149" i="12"/>
  <c r="P70" i="4"/>
  <c r="M149" i="12" s="1"/>
  <c r="D53" i="24"/>
  <c r="D53" i="25" s="1"/>
  <c r="D53" i="4"/>
  <c r="D133" i="12" s="1"/>
  <c r="D180" i="24"/>
  <c r="D180" i="25" s="1"/>
  <c r="D180" i="4"/>
  <c r="D4" i="12" s="1"/>
  <c r="Q129" i="4"/>
  <c r="P129" i="4"/>
  <c r="M72" i="12" s="1"/>
  <c r="N72" i="12"/>
  <c r="D38" i="4"/>
  <c r="D109" i="12" s="1"/>
  <c r="D38" i="24"/>
  <c r="D38" i="25" s="1"/>
  <c r="Q89" i="4"/>
  <c r="N189" i="12"/>
  <c r="P89" i="4"/>
  <c r="M189" i="12" s="1"/>
  <c r="Q132" i="4"/>
  <c r="P132" i="4"/>
  <c r="M161" i="12" s="1"/>
  <c r="N161" i="12"/>
  <c r="D68" i="24"/>
  <c r="D68" i="25" s="1"/>
  <c r="D68" i="4"/>
  <c r="D148" i="12" s="1"/>
  <c r="D11" i="24"/>
  <c r="D11" i="25" s="1"/>
  <c r="D11" i="4"/>
  <c r="D171" i="12" s="1"/>
  <c r="D14" i="4"/>
  <c r="D160" i="12" s="1"/>
  <c r="D14" i="24"/>
  <c r="D14" i="25" s="1"/>
  <c r="Q113" i="4"/>
  <c r="P113" i="4"/>
  <c r="M57" i="12" s="1"/>
  <c r="N57" i="12"/>
  <c r="Q38" i="4"/>
  <c r="N109" i="12"/>
  <c r="P38" i="4"/>
  <c r="M109" i="12" s="1"/>
  <c r="Q5" i="4"/>
  <c r="N130" i="12"/>
  <c r="P5" i="4"/>
  <c r="M130" i="12" s="1"/>
  <c r="D58" i="4"/>
  <c r="D37" i="12" s="1"/>
  <c r="D58" i="24"/>
  <c r="D58" i="25" s="1"/>
  <c r="D201" i="24"/>
  <c r="D201" i="25" s="1"/>
  <c r="D201" i="4"/>
  <c r="D147" i="12" s="1"/>
  <c r="N179" i="12"/>
  <c r="P3" i="4"/>
  <c r="M179" i="12" s="1"/>
  <c r="Q78" i="4"/>
  <c r="P78" i="4"/>
  <c r="M114" i="12" s="1"/>
  <c r="N114" i="12"/>
  <c r="D150" i="24"/>
  <c r="D150" i="25" s="1"/>
  <c r="D150" i="4"/>
  <c r="D42" i="12" s="1"/>
  <c r="D105" i="4"/>
  <c r="D116" i="12" s="1"/>
  <c r="D105" i="24"/>
  <c r="D105" i="25" s="1"/>
  <c r="D141" i="4"/>
  <c r="D93" i="12" s="1"/>
  <c r="D141" i="24"/>
  <c r="D141" i="25" s="1"/>
  <c r="P189" i="4"/>
  <c r="M52" i="12" s="1"/>
  <c r="N52" i="12"/>
  <c r="D73" i="24"/>
  <c r="D73" i="25" s="1"/>
  <c r="D73" i="4"/>
  <c r="D63" i="12" s="1"/>
  <c r="D158" i="24"/>
  <c r="D158" i="25" s="1"/>
  <c r="D158" i="4"/>
  <c r="D107" i="12" s="1"/>
  <c r="Q69" i="4"/>
  <c r="P69" i="4"/>
  <c r="M98" i="12" s="1"/>
  <c r="N98" i="12"/>
  <c r="Q159" i="4"/>
  <c r="P159" i="4"/>
  <c r="M74" i="12" s="1"/>
  <c r="N74" i="12"/>
  <c r="Q18" i="4"/>
  <c r="P18" i="4"/>
  <c r="M104" i="12" s="1"/>
  <c r="N104" i="12"/>
  <c r="D130" i="4"/>
  <c r="D54" i="12" s="1"/>
  <c r="D130" i="24"/>
  <c r="D130" i="25" s="1"/>
  <c r="D172" i="24"/>
  <c r="D172" i="25" s="1"/>
  <c r="D172" i="4"/>
  <c r="D88" i="12" s="1"/>
  <c r="D95" i="4"/>
  <c r="D169" i="12" s="1"/>
  <c r="D95" i="24"/>
  <c r="D95" i="25" s="1"/>
  <c r="D18" i="24"/>
  <c r="D18" i="25" s="1"/>
  <c r="D18" i="4"/>
  <c r="D104" i="12" s="1"/>
  <c r="Q108" i="4"/>
  <c r="N101" i="12"/>
  <c r="P108" i="4"/>
  <c r="M101" i="12" s="1"/>
  <c r="Q125" i="4"/>
  <c r="P125" i="4"/>
  <c r="M136" i="12" s="1"/>
  <c r="N136" i="12"/>
  <c r="D198" i="4"/>
  <c r="D195" i="12" s="1"/>
  <c r="D198" i="24"/>
  <c r="D198" i="25" s="1"/>
  <c r="P46" i="4"/>
  <c r="M97" i="12" s="1"/>
  <c r="N97" i="12"/>
  <c r="Q28" i="4"/>
  <c r="N46" i="12"/>
  <c r="P28" i="4"/>
  <c r="M46" i="12" s="1"/>
  <c r="N121" i="12"/>
  <c r="P194" i="4"/>
  <c r="M121" i="12" s="1"/>
  <c r="Q71" i="4"/>
  <c r="N40" i="12"/>
  <c r="P71" i="4"/>
  <c r="M40" i="12" s="1"/>
  <c r="D22" i="4"/>
  <c r="D203" i="12" s="1"/>
  <c r="D22" i="24"/>
  <c r="D22" i="25" s="1"/>
  <c r="Q127" i="4"/>
  <c r="N127" i="12"/>
  <c r="P127" i="4"/>
  <c r="M127" i="12" s="1"/>
  <c r="Q17" i="4"/>
  <c r="P17" i="4"/>
  <c r="M135" i="12" s="1"/>
  <c r="N135" i="12"/>
  <c r="D5" i="4"/>
  <c r="D130" i="12" s="1"/>
  <c r="D5" i="24"/>
  <c r="D5" i="25" s="1"/>
  <c r="D157" i="4"/>
  <c r="D76" i="12" s="1"/>
  <c r="D157" i="24"/>
  <c r="D157" i="25" s="1"/>
  <c r="D48" i="24"/>
  <c r="D48" i="25" s="1"/>
  <c r="D48" i="4"/>
  <c r="D170" i="12" s="1"/>
  <c r="D59" i="4"/>
  <c r="D140" i="12" s="1"/>
  <c r="D59" i="24"/>
  <c r="D59" i="25" s="1"/>
  <c r="D47" i="4"/>
  <c r="D138" i="12" s="1"/>
  <c r="D47" i="24"/>
  <c r="D47" i="25" s="1"/>
  <c r="D182" i="24"/>
  <c r="D182" i="25" s="1"/>
  <c r="D182" i="4"/>
  <c r="D134" i="12" s="1"/>
  <c r="Q94" i="4"/>
  <c r="P94" i="4"/>
  <c r="M108" i="12" s="1"/>
  <c r="N108" i="12"/>
  <c r="Q47" i="4"/>
  <c r="P47" i="4"/>
  <c r="M138" i="12" s="1"/>
  <c r="N138" i="12"/>
  <c r="Q124" i="4"/>
  <c r="P124" i="4"/>
  <c r="M23" i="12" s="1"/>
  <c r="N23" i="12"/>
  <c r="D117" i="4"/>
  <c r="D85" i="12" s="1"/>
  <c r="D117" i="24"/>
  <c r="D117" i="25" s="1"/>
  <c r="D112" i="4"/>
  <c r="D163" i="12" s="1"/>
  <c r="D112" i="24"/>
  <c r="D112" i="25" s="1"/>
  <c r="Q177" i="4"/>
  <c r="N91" i="12"/>
  <c r="P177" i="4"/>
  <c r="M91" i="12" s="1"/>
  <c r="Q173" i="4"/>
  <c r="P173" i="4"/>
  <c r="M32" i="12" s="1"/>
  <c r="N32" i="12"/>
  <c r="Q63" i="4"/>
  <c r="N145" i="12"/>
  <c r="P63" i="4"/>
  <c r="M145" i="12" s="1"/>
  <c r="D65" i="4"/>
  <c r="D146" i="12" s="1"/>
  <c r="D65" i="24"/>
  <c r="D65" i="25" s="1"/>
  <c r="D146" i="24"/>
  <c r="D146" i="25" s="1"/>
  <c r="D146" i="4"/>
  <c r="D202" i="12" s="1"/>
  <c r="D171" i="4"/>
  <c r="D70" i="12" s="1"/>
  <c r="D171" i="24"/>
  <c r="D171" i="25" s="1"/>
  <c r="D137" i="4"/>
  <c r="D64" i="12" s="1"/>
  <c r="D137" i="24"/>
  <c r="D137" i="25" s="1"/>
  <c r="Q198" i="4"/>
  <c r="P198" i="4"/>
  <c r="M195" i="12" s="1"/>
  <c r="N195" i="12"/>
  <c r="D29" i="4"/>
  <c r="D178" i="12" s="1"/>
  <c r="D29" i="24"/>
  <c r="D29" i="25" s="1"/>
  <c r="D139" i="24"/>
  <c r="D139" i="25" s="1"/>
  <c r="D139" i="4"/>
  <c r="D103" i="12" s="1"/>
  <c r="D106" i="4"/>
  <c r="D180" i="12" s="1"/>
  <c r="D106" i="24"/>
  <c r="D106" i="25" s="1"/>
  <c r="D82" i="4"/>
  <c r="D162" i="12" s="1"/>
  <c r="D82" i="24"/>
  <c r="D82" i="25" s="1"/>
  <c r="D120" i="4"/>
  <c r="D44" i="12" s="1"/>
  <c r="D120" i="24"/>
  <c r="D120" i="25" s="1"/>
  <c r="Q131" i="4"/>
  <c r="P131" i="4"/>
  <c r="M27" i="12" s="1"/>
  <c r="N27" i="12"/>
  <c r="Q107" i="4"/>
  <c r="P107" i="4"/>
  <c r="M115" i="12" s="1"/>
  <c r="N115" i="12"/>
  <c r="P26" i="4"/>
  <c r="M151" i="12" s="1"/>
  <c r="N151" i="12"/>
  <c r="D148" i="24"/>
  <c r="D148" i="25" s="1"/>
  <c r="D148" i="4"/>
  <c r="D185" i="12" s="1"/>
  <c r="D61" i="4"/>
  <c r="D139" i="12" s="1"/>
  <c r="D61" i="24"/>
  <c r="D61" i="25" s="1"/>
  <c r="D156" i="4"/>
  <c r="D34" i="12" s="1"/>
  <c r="D156" i="24"/>
  <c r="D156" i="25" s="1"/>
  <c r="Q101" i="4"/>
  <c r="N143" i="12"/>
  <c r="P101" i="4"/>
  <c r="M143" i="12" s="1"/>
  <c r="P50" i="4"/>
  <c r="M45" i="12" s="1"/>
  <c r="N45" i="12"/>
  <c r="N185" i="12"/>
  <c r="P148" i="4"/>
  <c r="M185" i="12" s="1"/>
  <c r="D177" i="4"/>
  <c r="D91" i="12" s="1"/>
  <c r="D177" i="24"/>
  <c r="D177" i="25" s="1"/>
  <c r="D83" i="24"/>
  <c r="D83" i="25" s="1"/>
  <c r="D83" i="4"/>
  <c r="D84" i="12" s="1"/>
  <c r="D88" i="24"/>
  <c r="D88" i="25" s="1"/>
  <c r="D88" i="4"/>
  <c r="D29" i="12" s="1"/>
  <c r="D187" i="24"/>
  <c r="D187" i="25" s="1"/>
  <c r="D187" i="4"/>
  <c r="D8" i="12" s="1"/>
  <c r="Q24" i="4"/>
  <c r="P24" i="4"/>
  <c r="M175" i="12" s="1"/>
  <c r="N175" i="12"/>
  <c r="Q12" i="4"/>
  <c r="N167" i="12"/>
  <c r="P12" i="4"/>
  <c r="M167" i="12" s="1"/>
  <c r="Q204" i="4"/>
  <c r="P204" i="4"/>
  <c r="M150" i="12" s="1"/>
  <c r="N150" i="12"/>
  <c r="D129" i="24"/>
  <c r="D129" i="25" s="1"/>
  <c r="D129" i="4"/>
  <c r="D72" i="12" s="1"/>
  <c r="Q31" i="4"/>
  <c r="P31" i="4"/>
  <c r="M182" i="12" s="1"/>
  <c r="N182" i="12"/>
  <c r="Q100" i="4"/>
  <c r="N56" i="12"/>
  <c r="P100" i="4"/>
  <c r="M56" i="12" s="1"/>
  <c r="Q35" i="4"/>
  <c r="P35" i="4"/>
  <c r="M187" i="12" s="1"/>
  <c r="N187" i="12"/>
  <c r="D126" i="4"/>
  <c r="D176" i="12" s="1"/>
  <c r="D126" i="24"/>
  <c r="D126" i="25" s="1"/>
  <c r="Q81" i="4"/>
  <c r="P81" i="4"/>
  <c r="M11" i="12" s="1"/>
  <c r="N11" i="12"/>
  <c r="Q137" i="4"/>
  <c r="N64" i="12"/>
  <c r="P137" i="4"/>
  <c r="M64" i="12" s="1"/>
  <c r="Q79" i="4"/>
  <c r="P79" i="4"/>
  <c r="M118" i="12" s="1"/>
  <c r="N118" i="12"/>
  <c r="P87" i="4"/>
  <c r="M96" i="12" s="1"/>
  <c r="N96" i="12"/>
  <c r="Q134" i="4"/>
  <c r="P134" i="4"/>
  <c r="M119" i="12" s="1"/>
  <c r="N119" i="12"/>
  <c r="D128" i="4"/>
  <c r="D80" i="12" s="1"/>
  <c r="D128" i="24"/>
  <c r="D128" i="25" s="1"/>
  <c r="D168" i="24"/>
  <c r="D168" i="25" s="1"/>
  <c r="D168" i="4"/>
  <c r="D198" i="12" s="1"/>
  <c r="D71" i="4"/>
  <c r="D40" i="12" s="1"/>
  <c r="D71" i="24"/>
  <c r="D71" i="25" s="1"/>
  <c r="Q97" i="4"/>
  <c r="N35" i="12"/>
  <c r="P97" i="4"/>
  <c r="M35" i="12" s="1"/>
  <c r="P179" i="4"/>
  <c r="M191" i="12" s="1"/>
  <c r="N191" i="12"/>
  <c r="P10" i="4"/>
  <c r="M183" i="12" s="1"/>
  <c r="N183" i="12"/>
  <c r="D46" i="24"/>
  <c r="D46" i="25" s="1"/>
  <c r="D46" i="4"/>
  <c r="D97" i="12" s="1"/>
  <c r="Q37" i="4"/>
  <c r="N168" i="12"/>
  <c r="P37" i="4"/>
  <c r="M168" i="12" s="1"/>
  <c r="Q116" i="4"/>
  <c r="P116" i="4"/>
  <c r="M67" i="12" s="1"/>
  <c r="N67" i="12"/>
  <c r="D178" i="24"/>
  <c r="D178" i="25" s="1"/>
  <c r="D178" i="4"/>
  <c r="D15" i="12" s="1"/>
  <c r="Q121" i="4"/>
  <c r="P121" i="4"/>
  <c r="M83" i="12" s="1"/>
  <c r="N83" i="12"/>
  <c r="Q130" i="4"/>
  <c r="N54" i="12"/>
  <c r="P130" i="4"/>
  <c r="M54" i="12" s="1"/>
  <c r="Q197" i="4"/>
  <c r="N61" i="12"/>
  <c r="P197" i="4"/>
  <c r="M61" i="12" s="1"/>
  <c r="N199" i="12"/>
  <c r="P200" i="4"/>
  <c r="M199" i="12" s="1"/>
  <c r="Q117" i="4"/>
  <c r="N85" i="12"/>
  <c r="P117" i="4"/>
  <c r="M85" i="12" s="1"/>
  <c r="D190" i="4"/>
  <c r="D132" i="12" s="1"/>
  <c r="D190" i="24"/>
  <c r="D190" i="25" s="1"/>
  <c r="N37" i="12"/>
  <c r="P58" i="4"/>
  <c r="M37" i="12" s="1"/>
  <c r="Q22" i="4"/>
  <c r="P22" i="4"/>
  <c r="M203" i="12" s="1"/>
  <c r="N203" i="12"/>
  <c r="P77" i="4"/>
  <c r="M204" i="12" s="1"/>
  <c r="N204" i="12"/>
  <c r="Q96" i="4"/>
  <c r="P96" i="4"/>
  <c r="M99" i="12" s="1"/>
  <c r="N99" i="12"/>
  <c r="D160" i="24"/>
  <c r="D160" i="25" s="1"/>
  <c r="D160" i="4"/>
  <c r="D78" i="12" s="1"/>
  <c r="Q68" i="4"/>
  <c r="N148" i="12"/>
  <c r="P68" i="4"/>
  <c r="M148" i="12" s="1"/>
  <c r="Q183" i="4"/>
  <c r="N12" i="12"/>
  <c r="P183" i="4"/>
  <c r="M12" i="12" s="1"/>
  <c r="D100" i="4"/>
  <c r="D56" i="12" s="1"/>
  <c r="D100" i="24"/>
  <c r="D100" i="25" s="1"/>
  <c r="D103" i="24"/>
  <c r="D103" i="25" s="1"/>
  <c r="D103" i="4"/>
  <c r="D24" i="12" s="1"/>
  <c r="D143" i="24"/>
  <c r="D143" i="25" s="1"/>
  <c r="D143" i="4"/>
  <c r="D157" i="12" s="1"/>
  <c r="D9" i="4"/>
  <c r="D16" i="12" s="1"/>
  <c r="D9" i="24"/>
  <c r="D9" i="25" s="1"/>
  <c r="D140" i="4"/>
  <c r="D92" i="12" s="1"/>
  <c r="D140" i="24"/>
  <c r="D140" i="25" s="1"/>
  <c r="D204" i="4"/>
  <c r="D150" i="12" s="1"/>
  <c r="D204" i="24"/>
  <c r="D204" i="25" s="1"/>
  <c r="D15" i="24"/>
  <c r="D15" i="25" s="1"/>
  <c r="D15" i="4"/>
  <c r="D75" i="12" s="1"/>
  <c r="D74" i="4"/>
  <c r="D39" i="12" s="1"/>
  <c r="D74" i="24"/>
  <c r="D74" i="25" s="1"/>
  <c r="Q175" i="4"/>
  <c r="P175" i="4"/>
  <c r="M166" i="12" s="1"/>
  <c r="N166" i="12"/>
  <c r="P178" i="4"/>
  <c r="M15" i="12" s="1"/>
  <c r="N15" i="12"/>
  <c r="Q176" i="4"/>
  <c r="N71" i="12"/>
  <c r="P176" i="4"/>
  <c r="M71" i="12" s="1"/>
  <c r="Q149" i="4"/>
  <c r="N73" i="12"/>
  <c r="P149" i="4"/>
  <c r="M73" i="12" s="1"/>
  <c r="P88" i="4"/>
  <c r="M29" i="12" s="1"/>
  <c r="N29" i="12"/>
  <c r="D114" i="4"/>
  <c r="D111" i="12" s="1"/>
  <c r="D114" i="24"/>
  <c r="D114" i="25" s="1"/>
  <c r="D33" i="4"/>
  <c r="D58" i="12" s="1"/>
  <c r="D33" i="24"/>
  <c r="D33" i="25" s="1"/>
  <c r="Q95" i="4"/>
  <c r="P95" i="4"/>
  <c r="M169" i="12" s="1"/>
  <c r="N169" i="12"/>
  <c r="Q102" i="4"/>
  <c r="N144" i="12"/>
  <c r="P102" i="4"/>
  <c r="M144" i="12" s="1"/>
  <c r="D118" i="24"/>
  <c r="D118" i="25" s="1"/>
  <c r="D118" i="4"/>
  <c r="D33" i="12" s="1"/>
  <c r="Q163" i="4"/>
  <c r="N122" i="12"/>
  <c r="P163" i="4"/>
  <c r="M122" i="12" s="1"/>
  <c r="Q15" i="4"/>
  <c r="P15" i="4"/>
  <c r="M75" i="12" s="1"/>
  <c r="N75" i="12"/>
  <c r="Q120" i="4"/>
  <c r="P120" i="4"/>
  <c r="M44" i="12" s="1"/>
  <c r="N44" i="12"/>
  <c r="Q48" i="4"/>
  <c r="N170" i="12"/>
  <c r="P48" i="4"/>
  <c r="M170" i="12" s="1"/>
  <c r="Q157" i="4"/>
  <c r="P157" i="4"/>
  <c r="M76" i="12" s="1"/>
  <c r="N76" i="12"/>
  <c r="Q119" i="4"/>
  <c r="P119" i="4"/>
  <c r="M81" i="12" s="1"/>
  <c r="N81" i="12"/>
  <c r="D13" i="4"/>
  <c r="D158" i="12" s="1"/>
  <c r="D13" i="24"/>
  <c r="D13" i="25" s="1"/>
  <c r="D37" i="4"/>
  <c r="D168" i="12" s="1"/>
  <c r="D37" i="24"/>
  <c r="D37" i="25" s="1"/>
  <c r="D69" i="4"/>
  <c r="D98" i="12" s="1"/>
  <c r="D69" i="24"/>
  <c r="D69" i="25" s="1"/>
  <c r="D19" i="4"/>
  <c r="D197" i="12" s="1"/>
  <c r="D19" i="24"/>
  <c r="D19" i="25" s="1"/>
  <c r="D72" i="24"/>
  <c r="D72" i="25" s="1"/>
  <c r="D72" i="4"/>
  <c r="D165" i="12" s="1"/>
  <c r="Q139" i="4"/>
  <c r="P139" i="4"/>
  <c r="M103" i="12" s="1"/>
  <c r="N103" i="12"/>
  <c r="Q114" i="4"/>
  <c r="N111" i="12"/>
  <c r="P114" i="4"/>
  <c r="M111" i="12" s="1"/>
  <c r="D153" i="24"/>
  <c r="D153" i="25" s="1"/>
  <c r="D153" i="4"/>
  <c r="D79" i="12" s="1"/>
  <c r="P191" i="4"/>
  <c r="M68" i="12" s="1"/>
  <c r="N68" i="12"/>
  <c r="D152" i="24"/>
  <c r="D152" i="25" s="1"/>
  <c r="D152" i="4"/>
  <c r="D129" i="12" s="1"/>
  <c r="P93" i="4"/>
  <c r="M41" i="12" s="1"/>
  <c r="N41" i="12"/>
  <c r="D51" i="4"/>
  <c r="D7" i="12" s="1"/>
  <c r="D51" i="24"/>
  <c r="D51" i="25" s="1"/>
  <c r="D169" i="24"/>
  <c r="D169" i="25" s="1"/>
  <c r="D169" i="4"/>
  <c r="D87" i="12" s="1"/>
  <c r="D164" i="24"/>
  <c r="D164" i="25" s="1"/>
  <c r="D164" i="4"/>
  <c r="D113" i="12" s="1"/>
  <c r="Q186" i="4"/>
  <c r="N49" i="12"/>
  <c r="P186" i="4"/>
  <c r="M49" i="12" s="1"/>
  <c r="Q110" i="4"/>
  <c r="N120" i="12"/>
  <c r="P110" i="4"/>
  <c r="M120" i="12" s="1"/>
  <c r="D12" i="4"/>
  <c r="D167" i="12" s="1"/>
  <c r="D12" i="24"/>
  <c r="D12" i="25" s="1"/>
  <c r="Q151" i="4"/>
  <c r="P151" i="4"/>
  <c r="M19" i="12" s="1"/>
  <c r="N19" i="12"/>
  <c r="D173" i="24"/>
  <c r="D173" i="25" s="1"/>
  <c r="D173" i="4"/>
  <c r="D32" i="12" s="1"/>
  <c r="D24" i="4"/>
  <c r="D175" i="12" s="1"/>
  <c r="D24" i="24"/>
  <c r="D24" i="25" s="1"/>
  <c r="D98" i="24"/>
  <c r="D98" i="25" s="1"/>
  <c r="D98" i="4"/>
  <c r="D100" i="12" s="1"/>
  <c r="D193" i="24"/>
  <c r="D193" i="25" s="1"/>
  <c r="D193" i="4"/>
  <c r="D77" i="12" s="1"/>
  <c r="D62" i="24"/>
  <c r="D62" i="25" s="1"/>
  <c r="D62" i="4"/>
  <c r="D141" i="12" s="1"/>
  <c r="D3" i="4"/>
  <c r="D179" i="12" s="1"/>
  <c r="D3" i="24"/>
  <c r="D3" i="25" s="1"/>
  <c r="D125" i="24"/>
  <c r="D125" i="25" s="1"/>
  <c r="D125" i="4"/>
  <c r="D136" i="12" s="1"/>
  <c r="D92" i="4"/>
  <c r="D192" i="12" s="1"/>
  <c r="D92" i="24"/>
  <c r="D92" i="25" s="1"/>
  <c r="D155" i="24"/>
  <c r="D155" i="25" s="1"/>
  <c r="D155" i="4"/>
  <c r="D102" i="12" s="1"/>
  <c r="D123" i="4"/>
  <c r="D89" i="12" s="1"/>
  <c r="D123" i="24"/>
  <c r="D123" i="25" s="1"/>
  <c r="D149" i="4"/>
  <c r="D73" i="12" s="1"/>
  <c r="D149" i="24"/>
  <c r="D149" i="25" s="1"/>
  <c r="D10" i="24"/>
  <c r="D10" i="25" s="1"/>
  <c r="D10" i="4"/>
  <c r="D183" i="12" s="1"/>
  <c r="P115" i="4"/>
  <c r="M137" i="12" s="1"/>
  <c r="N137" i="12"/>
  <c r="N178" i="12"/>
  <c r="P29" i="4"/>
  <c r="M178" i="12" s="1"/>
  <c r="Q56" i="4"/>
  <c r="P56" i="4"/>
  <c r="M128" i="12" s="1"/>
  <c r="N128" i="12"/>
  <c r="Q6" i="4"/>
  <c r="N55" i="12"/>
  <c r="P6" i="4"/>
  <c r="M55" i="12" s="1"/>
  <c r="Q169" i="4"/>
  <c r="P169" i="4"/>
  <c r="M87" i="12" s="1"/>
  <c r="N87" i="12"/>
  <c r="N158" i="12"/>
  <c r="P13" i="4"/>
  <c r="M158" i="12" s="1"/>
  <c r="Q52" i="4"/>
  <c r="P52" i="4"/>
  <c r="M38" i="12" s="1"/>
  <c r="N38" i="12"/>
  <c r="D91" i="24"/>
  <c r="D91" i="25" s="1"/>
  <c r="D91" i="4"/>
  <c r="D152" i="12" s="1"/>
  <c r="Q166" i="4"/>
  <c r="N82" i="12"/>
  <c r="P166" i="4"/>
  <c r="M82" i="12" s="1"/>
  <c r="D205" i="4"/>
  <c r="D164" i="12" s="1"/>
  <c r="D205" i="24"/>
  <c r="D205" i="25" s="1"/>
  <c r="P66" i="4"/>
  <c r="M193" i="12" s="1"/>
  <c r="N193" i="12"/>
  <c r="D181" i="4"/>
  <c r="D5" i="12" s="1"/>
  <c r="D181" i="24"/>
  <c r="D181" i="25" s="1"/>
  <c r="Q21" i="4"/>
  <c r="P21" i="4"/>
  <c r="M90" i="12" s="1"/>
  <c r="N90" i="12"/>
  <c r="D25" i="4"/>
  <c r="D43" i="12" s="1"/>
  <c r="D25" i="24"/>
  <c r="D25" i="25" s="1"/>
  <c r="D104" i="4"/>
  <c r="D112" i="12" s="1"/>
  <c r="D104" i="24"/>
  <c r="D104" i="25" s="1"/>
  <c r="D138" i="24"/>
  <c r="D138" i="25" s="1"/>
  <c r="D138" i="4"/>
  <c r="D31" i="12" s="1"/>
  <c r="D176" i="24"/>
  <c r="D176" i="25" s="1"/>
  <c r="D176" i="4"/>
  <c r="D71" i="12" s="1"/>
  <c r="D102" i="24"/>
  <c r="D102" i="25" s="1"/>
  <c r="D102" i="4"/>
  <c r="D144" i="12" s="1"/>
  <c r="Q145" i="4"/>
  <c r="P145" i="4"/>
  <c r="M18" i="12" s="1"/>
  <c r="N18" i="12"/>
  <c r="Q118" i="4"/>
  <c r="P118" i="4"/>
  <c r="M33" i="12" s="1"/>
  <c r="N33" i="12"/>
  <c r="D203" i="4"/>
  <c r="D117" i="12" s="1"/>
  <c r="D203" i="24"/>
  <c r="D203" i="25" s="1"/>
  <c r="D94" i="24"/>
  <c r="D94" i="25" s="1"/>
  <c r="D94" i="4"/>
  <c r="D108" i="12" s="1"/>
  <c r="P92" i="4"/>
  <c r="M192" i="12" s="1"/>
  <c r="N192" i="12"/>
  <c r="D170" i="24"/>
  <c r="D170" i="25" s="1"/>
  <c r="D170" i="4"/>
  <c r="D30" i="12" s="1"/>
  <c r="Q112" i="4"/>
  <c r="P112" i="4"/>
  <c r="M163" i="12" s="1"/>
  <c r="N163" i="12"/>
  <c r="Q73" i="4"/>
  <c r="N63" i="12"/>
  <c r="P73" i="4"/>
  <c r="M63" i="12" s="1"/>
  <c r="D195" i="4"/>
  <c r="D26" i="12" s="1"/>
  <c r="D195" i="24"/>
  <c r="D195" i="25" s="1"/>
  <c r="D45" i="4"/>
  <c r="D172" i="12" s="1"/>
  <c r="D45" i="24"/>
  <c r="D45" i="25" s="1"/>
  <c r="D55" i="4"/>
  <c r="D105" i="12" s="1"/>
  <c r="D55" i="24"/>
  <c r="D55" i="25" s="1"/>
  <c r="D144" i="4"/>
  <c r="D65" i="12" s="1"/>
  <c r="D144" i="24"/>
  <c r="D144" i="25" s="1"/>
  <c r="D87" i="4"/>
  <c r="D96" i="12" s="1"/>
  <c r="D87" i="24"/>
  <c r="D87" i="25" s="1"/>
  <c r="Q164" i="4"/>
  <c r="N113" i="12"/>
  <c r="P164" i="4"/>
  <c r="M113" i="12" s="1"/>
  <c r="Q156" i="4"/>
  <c r="P156" i="4"/>
  <c r="M34" i="12" s="1"/>
  <c r="N34" i="12"/>
  <c r="Q185" i="4"/>
  <c r="P185" i="4"/>
  <c r="M69" i="12" s="1"/>
  <c r="N69" i="12"/>
  <c r="D121" i="24"/>
  <c r="D121" i="25" s="1"/>
  <c r="D121" i="4"/>
  <c r="D83" i="12" s="1"/>
  <c r="D52" i="4"/>
  <c r="D38" i="12" s="1"/>
  <c r="D52" i="24"/>
  <c r="D52" i="25" s="1"/>
  <c r="D7" i="4"/>
  <c r="D94" i="12" s="1"/>
  <c r="D7" i="24"/>
  <c r="D7" i="25" s="1"/>
  <c r="D16" i="4"/>
  <c r="D184" i="12" s="1"/>
  <c r="D16" i="24"/>
  <c r="D16" i="25" s="1"/>
  <c r="P192" i="4"/>
  <c r="M20" i="12" s="1"/>
  <c r="N20" i="12"/>
  <c r="D43" i="24"/>
  <c r="D43" i="25" s="1"/>
  <c r="D43" i="4"/>
  <c r="D126" i="12" s="1"/>
  <c r="D70" i="4"/>
  <c r="D149" i="12" s="1"/>
  <c r="D70" i="24"/>
  <c r="D70" i="25" s="1"/>
  <c r="D34" i="24"/>
  <c r="D34" i="25" s="1"/>
  <c r="D34" i="4"/>
  <c r="D28" i="12" s="1"/>
  <c r="P80" i="4"/>
  <c r="M66" i="12" s="1"/>
  <c r="N66" i="12"/>
  <c r="D31" i="24"/>
  <c r="D31" i="25" s="1"/>
  <c r="D31" i="4"/>
  <c r="D182" i="12" s="1"/>
  <c r="D84" i="24"/>
  <c r="D84" i="25" s="1"/>
  <c r="D84" i="4"/>
  <c r="D59" i="12" s="1"/>
  <c r="Q179" i="4"/>
  <c r="Q160" i="4"/>
  <c r="P160" i="4"/>
  <c r="M78" i="12" s="1"/>
  <c r="N78" i="12"/>
  <c r="Q136" i="4"/>
  <c r="N190" i="12"/>
  <c r="P136" i="4"/>
  <c r="M190" i="12" s="1"/>
  <c r="Q32" i="4"/>
  <c r="P32" i="4"/>
  <c r="M6" i="12" s="1"/>
  <c r="N6" i="12"/>
  <c r="N196" i="12"/>
  <c r="P199" i="4"/>
  <c r="M196" i="12" s="1"/>
  <c r="Q103" i="4"/>
  <c r="N24" i="12"/>
  <c r="P103" i="4"/>
  <c r="M24" i="12" s="1"/>
  <c r="Q104" i="4"/>
  <c r="P104" i="4"/>
  <c r="M112" i="12" s="1"/>
  <c r="N112" i="12"/>
  <c r="D57" i="24"/>
  <c r="D57" i="25" s="1"/>
  <c r="D57" i="4"/>
  <c r="D173" i="12" s="1"/>
  <c r="N184" i="12"/>
  <c r="P16" i="4"/>
  <c r="M184" i="12" s="1"/>
  <c r="P184" i="4"/>
  <c r="M22" i="12" s="1"/>
  <c r="N22" i="12"/>
  <c r="D175" i="24"/>
  <c r="D175" i="25" s="1"/>
  <c r="D175" i="4"/>
  <c r="D166" i="12" s="1"/>
  <c r="Q42" i="4"/>
  <c r="N60" i="12"/>
  <c r="P42" i="4"/>
  <c r="M60" i="12" s="1"/>
  <c r="Q168" i="4"/>
  <c r="N198" i="12"/>
  <c r="P168" i="4"/>
  <c r="M198" i="12" s="1"/>
  <c r="D186" i="4"/>
  <c r="D49" i="12" s="1"/>
  <c r="D186" i="24"/>
  <c r="D186" i="25" s="1"/>
  <c r="Q54" i="4"/>
  <c r="N125" i="12"/>
  <c r="P54" i="4"/>
  <c r="M125" i="12" s="1"/>
  <c r="Q201" i="4"/>
  <c r="N147" i="12"/>
  <c r="P201" i="4"/>
  <c r="M147" i="12" s="1"/>
  <c r="P138" i="4"/>
  <c r="M31" i="12" s="1"/>
  <c r="N31" i="12"/>
  <c r="D89" i="24"/>
  <c r="D89" i="25" s="1"/>
  <c r="D89" i="4"/>
  <c r="D189" i="12" s="1"/>
  <c r="Q53" i="4"/>
  <c r="N133" i="12"/>
  <c r="P53" i="4"/>
  <c r="M133" i="12" s="1"/>
  <c r="D42" i="24"/>
  <c r="D42" i="25" s="1"/>
  <c r="D42" i="4"/>
  <c r="D60" i="12" s="1"/>
  <c r="Q205" i="4"/>
  <c r="N164" i="12"/>
  <c r="P205" i="4"/>
  <c r="M164" i="12" s="1"/>
  <c r="Q74" i="4"/>
  <c r="P74" i="4"/>
  <c r="M39" i="12" s="1"/>
  <c r="N39" i="12"/>
  <c r="Q84" i="4"/>
  <c r="N59" i="12"/>
  <c r="P84" i="4"/>
  <c r="M59" i="12" s="1"/>
  <c r="D115" i="4"/>
  <c r="D137" i="12" s="1"/>
  <c r="D115" i="24"/>
  <c r="D115" i="25" s="1"/>
  <c r="D206" i="24"/>
  <c r="D206" i="25" s="1"/>
  <c r="D206" i="4"/>
  <c r="D86" i="12" s="1"/>
  <c r="D135" i="24"/>
  <c r="D135" i="25" s="1"/>
  <c r="D135" i="4"/>
  <c r="D155" i="12" s="1"/>
  <c r="D188" i="24"/>
  <c r="D188" i="25" s="1"/>
  <c r="D188" i="4"/>
  <c r="D21" i="12" s="1"/>
  <c r="D4" i="24"/>
  <c r="D4" i="25" s="1"/>
  <c r="D4" i="4"/>
  <c r="D13" i="12" s="1"/>
  <c r="Q142" i="4"/>
  <c r="P142" i="4"/>
  <c r="M14" i="12" s="1"/>
  <c r="N14" i="12"/>
  <c r="D162" i="24"/>
  <c r="D162" i="25" s="1"/>
  <c r="D162" i="4"/>
  <c r="D181" i="12" s="1"/>
  <c r="Q91" i="4"/>
  <c r="N152" i="12"/>
  <c r="P91" i="4"/>
  <c r="M152" i="12" s="1"/>
  <c r="D76" i="24"/>
  <c r="D76" i="25" s="1"/>
  <c r="D76" i="4"/>
  <c r="D62" i="12" s="1"/>
  <c r="N134" i="12"/>
  <c r="P182" i="4"/>
  <c r="M134" i="12" s="1"/>
  <c r="Q85" i="4"/>
  <c r="P85" i="4"/>
  <c r="M47" i="12" s="1"/>
  <c r="N47" i="12"/>
  <c r="D145" i="24"/>
  <c r="D145" i="25" s="1"/>
  <c r="D145" i="4"/>
  <c r="D18" i="12" s="1"/>
  <c r="Q154" i="4"/>
  <c r="P154" i="4"/>
  <c r="M9" i="12" s="1"/>
  <c r="N9" i="12"/>
  <c r="D131" i="4"/>
  <c r="D27" i="12" s="1"/>
  <c r="D131" i="24"/>
  <c r="D131" i="25" s="1"/>
  <c r="Q133" i="4"/>
  <c r="P133" i="4"/>
  <c r="M25" i="12" s="1"/>
  <c r="N25" i="12"/>
  <c r="Q27" i="4"/>
  <c r="P27" i="4"/>
  <c r="M123" i="12" s="1"/>
  <c r="N123" i="12"/>
  <c r="D6" i="24"/>
  <c r="D6" i="25" s="1"/>
  <c r="D6" i="4"/>
  <c r="D55" i="12" s="1"/>
  <c r="D66" i="24"/>
  <c r="D66" i="25" s="1"/>
  <c r="D66" i="4"/>
  <c r="D193" i="12" s="1"/>
  <c r="D167" i="4"/>
  <c r="D106" i="12" s="1"/>
  <c r="D167" i="24"/>
  <c r="D167" i="25" s="1"/>
  <c r="D63" i="24"/>
  <c r="D63" i="25" s="1"/>
  <c r="D63" i="4"/>
  <c r="D145" i="12" s="1"/>
  <c r="Q62" i="4"/>
  <c r="P62" i="4"/>
  <c r="M141" i="12" s="1"/>
  <c r="N141" i="12"/>
  <c r="D119" i="24"/>
  <c r="D119" i="25" s="1"/>
  <c r="D119" i="4"/>
  <c r="D81" i="12" s="1"/>
  <c r="D93" i="4"/>
  <c r="D41" i="12" s="1"/>
  <c r="D93" i="24"/>
  <c r="D93" i="25" s="1"/>
  <c r="D26" i="4"/>
  <c r="D151" i="12" s="1"/>
  <c r="D26" i="24"/>
  <c r="D26" i="25" s="1"/>
  <c r="D184" i="4"/>
  <c r="D22" i="12" s="1"/>
  <c r="D184" i="24"/>
  <c r="D184" i="25" s="1"/>
  <c r="D8" i="4"/>
  <c r="D124" i="12" s="1"/>
  <c r="D8" i="24"/>
  <c r="D8" i="25" s="1"/>
  <c r="Q158" i="4"/>
  <c r="N107" i="12"/>
  <c r="P158" i="4"/>
  <c r="M107" i="12" s="1"/>
  <c r="P106" i="4"/>
  <c r="M180" i="12" s="1"/>
  <c r="N180" i="12"/>
  <c r="D75" i="4"/>
  <c r="D17" i="12" s="1"/>
  <c r="D75" i="24"/>
  <c r="D75" i="25" s="1"/>
  <c r="Q203" i="4"/>
  <c r="P203" i="4"/>
  <c r="M117" i="12" s="1"/>
  <c r="N117" i="12"/>
  <c r="D50" i="24"/>
  <c r="D50" i="25" s="1"/>
  <c r="D50" i="4"/>
  <c r="D45" i="12" s="1"/>
  <c r="D192" i="24"/>
  <c r="D192" i="25" s="1"/>
  <c r="D192" i="4"/>
  <c r="D20" i="12" s="1"/>
  <c r="D197" i="24"/>
  <c r="D197" i="25" s="1"/>
  <c r="D197" i="4"/>
  <c r="D61" i="12" s="1"/>
  <c r="Q4" i="4"/>
  <c r="P4" i="4"/>
  <c r="M13" i="12" s="1"/>
  <c r="N13" i="12"/>
  <c r="D81" i="4"/>
  <c r="D11" i="12" s="1"/>
  <c r="D81" i="24"/>
  <c r="D81" i="25" s="1"/>
  <c r="D174" i="24"/>
  <c r="D174" i="25" s="1"/>
  <c r="D174" i="4"/>
  <c r="D110" i="12" s="1"/>
  <c r="T76" i="4" l="1"/>
  <c r="T179" i="4"/>
  <c r="Y191" i="12" s="1"/>
  <c r="T27" i="4"/>
  <c r="Y27" i="4" s="1"/>
  <c r="Z123" i="12" s="1"/>
  <c r="T42" i="4"/>
  <c r="T106" i="4"/>
  <c r="T62" i="4"/>
  <c r="U62" i="4" s="1"/>
  <c r="T4" i="4"/>
  <c r="Y4" i="4" s="1"/>
  <c r="Z13" i="12" s="1"/>
  <c r="T133" i="4"/>
  <c r="Y133" i="4" s="1"/>
  <c r="Z25" i="12" s="1"/>
  <c r="T156" i="4"/>
  <c r="U156" i="4" s="1"/>
  <c r="T33" i="4"/>
  <c r="U33" i="4" s="1"/>
  <c r="T57" i="4"/>
  <c r="Y173" i="12" s="1"/>
  <c r="T130" i="4"/>
  <c r="Y130" i="4" s="1"/>
  <c r="Z54" i="12" s="1"/>
  <c r="T51" i="4"/>
  <c r="Y51" i="4" s="1"/>
  <c r="Z7" i="12" s="1"/>
  <c r="T41" i="4"/>
  <c r="Y48" i="12" s="1"/>
  <c r="T45" i="4"/>
  <c r="U45" i="4" s="1"/>
  <c r="T31" i="4"/>
  <c r="Y31" i="4" s="1"/>
  <c r="Z182" i="12" s="1"/>
  <c r="T58" i="4"/>
  <c r="U58" i="4" s="1"/>
  <c r="T120" i="4"/>
  <c r="Y44" i="12" s="1"/>
  <c r="T117" i="4"/>
  <c r="U117" i="4" s="1"/>
  <c r="T60" i="4"/>
  <c r="Y60" i="4" s="1"/>
  <c r="Z200" i="12" s="1"/>
  <c r="T30" i="4"/>
  <c r="Y131" i="12" s="1"/>
  <c r="T146" i="4"/>
  <c r="Y146" i="4" s="1"/>
  <c r="Z202" i="12" s="1"/>
  <c r="T149" i="4"/>
  <c r="Y149" i="4" s="1"/>
  <c r="Z73" i="12" s="1"/>
  <c r="T127" i="4"/>
  <c r="Y127" i="4" s="1"/>
  <c r="Z127" i="12" s="1"/>
  <c r="T84" i="4"/>
  <c r="Y84" i="4" s="1"/>
  <c r="Z59" i="12" s="1"/>
  <c r="T152" i="4"/>
  <c r="U152" i="4" s="1"/>
  <c r="T160" i="4"/>
  <c r="Y78" i="12" s="1"/>
  <c r="T48" i="4"/>
  <c r="Y48" i="4" s="1"/>
  <c r="Z170" i="12" s="1"/>
  <c r="T202" i="4"/>
  <c r="U202" i="4" s="1"/>
  <c r="T142" i="4"/>
  <c r="Y14" i="12" s="1"/>
  <c r="T111" i="4"/>
  <c r="U111" i="4" s="1"/>
  <c r="T78" i="4"/>
  <c r="Y78" i="4" s="1"/>
  <c r="Z114" i="12" s="1"/>
  <c r="T14" i="4"/>
  <c r="Y160" i="12" s="1"/>
  <c r="T189" i="4"/>
  <c r="Y189" i="4" s="1"/>
  <c r="Z52" i="12" s="1"/>
  <c r="T147" i="4"/>
  <c r="U147" i="4" s="1"/>
  <c r="T20" i="4"/>
  <c r="U20" i="4" s="1"/>
  <c r="T162" i="4"/>
  <c r="Y181" i="12" s="1"/>
  <c r="T90" i="4"/>
  <c r="Y36" i="12" s="1"/>
  <c r="T86" i="4"/>
  <c r="Y86" i="4" s="1"/>
  <c r="Z53" i="12" s="1"/>
  <c r="T8" i="4"/>
  <c r="Y8" i="4" s="1"/>
  <c r="Z124" i="12" s="1"/>
  <c r="T22" i="4"/>
  <c r="U22" i="4" s="1"/>
  <c r="T198" i="4"/>
  <c r="Y195" i="12" s="1"/>
  <c r="T201" i="4"/>
  <c r="U201" i="4" s="1"/>
  <c r="T159" i="4"/>
  <c r="U159" i="4" s="1"/>
  <c r="T167" i="4"/>
  <c r="Y167" i="4" s="1"/>
  <c r="Z106" i="12" s="1"/>
  <c r="T71" i="4"/>
  <c r="Y71" i="4" s="1"/>
  <c r="Z40" i="12" s="1"/>
  <c r="T103" i="4"/>
  <c r="U103" i="4" s="1"/>
  <c r="T158" i="4"/>
  <c r="Y107" i="12" s="1"/>
  <c r="T28" i="4"/>
  <c r="Y46" i="12" s="1"/>
  <c r="T66" i="4"/>
  <c r="Y193" i="12" s="1"/>
  <c r="T102" i="4"/>
  <c r="Y102" i="4" s="1"/>
  <c r="Z144" i="12" s="1"/>
  <c r="T9" i="4"/>
  <c r="Y16" i="12" s="1"/>
  <c r="T24" i="4"/>
  <c r="U24" i="4" s="1"/>
  <c r="T206" i="4"/>
  <c r="Y206" i="4" s="1"/>
  <c r="Z86" i="12" s="1"/>
  <c r="T187" i="4"/>
  <c r="U187" i="4" s="1"/>
  <c r="T44" i="4"/>
  <c r="U44" i="4" s="1"/>
  <c r="T63" i="4"/>
  <c r="U63" i="4" s="1"/>
  <c r="T47" i="4"/>
  <c r="Y138" i="12" s="1"/>
  <c r="T79" i="4"/>
  <c r="Y79" i="4" s="1"/>
  <c r="Z118" i="12" s="1"/>
  <c r="T118" i="4"/>
  <c r="Y118" i="4" s="1"/>
  <c r="Z33" i="12" s="1"/>
  <c r="T17" i="4"/>
  <c r="U17" i="4" s="1"/>
  <c r="T132" i="4"/>
  <c r="U132" i="4" s="1"/>
  <c r="T193" i="4"/>
  <c r="Y193" i="4" s="1"/>
  <c r="Z77" i="12" s="1"/>
  <c r="T136" i="4"/>
  <c r="U136" i="4" s="1"/>
  <c r="T114" i="4"/>
  <c r="U114" i="4" s="1"/>
  <c r="T204" i="4"/>
  <c r="U204" i="4" s="1"/>
  <c r="T140" i="4"/>
  <c r="U140" i="4" s="1"/>
  <c r="T23" i="4"/>
  <c r="Y23" i="4" s="1"/>
  <c r="Z10" i="12" s="1"/>
  <c r="T93" i="4"/>
  <c r="Y41" i="12" s="1"/>
  <c r="T108" i="4"/>
  <c r="U108" i="4" s="1"/>
  <c r="T73" i="4"/>
  <c r="Y73" i="4" s="1"/>
  <c r="Z63" i="12" s="1"/>
  <c r="T141" i="4"/>
  <c r="Y93" i="12" s="1"/>
  <c r="T172" i="4"/>
  <c r="Y88" i="12" s="1"/>
  <c r="T181" i="4"/>
  <c r="Y181" i="4" s="1"/>
  <c r="Z5" i="12" s="1"/>
  <c r="T176" i="4"/>
  <c r="Y71" i="12" s="1"/>
  <c r="T85" i="4"/>
  <c r="Y85" i="4" s="1"/>
  <c r="Z47" i="12" s="1"/>
  <c r="T55" i="4"/>
  <c r="U55" i="4" s="1"/>
  <c r="T173" i="4"/>
  <c r="Y173" i="4" s="1"/>
  <c r="Z32" i="12" s="1"/>
  <c r="T80" i="4"/>
  <c r="Y66" i="12" s="1"/>
  <c r="T74" i="4"/>
  <c r="U74" i="4" s="1"/>
  <c r="T166" i="4"/>
  <c r="U166" i="4" s="1"/>
  <c r="T94" i="4"/>
  <c r="U94" i="4" s="1"/>
  <c r="T34" i="4"/>
  <c r="Y28" i="12" s="1"/>
  <c r="T35" i="4"/>
  <c r="U35" i="4" s="1"/>
  <c r="T89" i="4"/>
  <c r="Y189" i="12" s="1"/>
  <c r="T123" i="4"/>
  <c r="Y123" i="4" s="1"/>
  <c r="Z89" i="12" s="1"/>
  <c r="T186" i="4"/>
  <c r="Y186" i="4" s="1"/>
  <c r="Z49" i="12" s="1"/>
  <c r="T65" i="4"/>
  <c r="Y146" i="12" s="1"/>
  <c r="T68" i="4"/>
  <c r="U68" i="4" s="1"/>
  <c r="T97" i="4"/>
  <c r="Y35" i="12" s="1"/>
  <c r="T25" i="4"/>
  <c r="Y43" i="12" s="1"/>
  <c r="T164" i="4"/>
  <c r="Y164" i="4" s="1"/>
  <c r="Z113" i="12" s="1"/>
  <c r="T169" i="4"/>
  <c r="Y87" i="12" s="1"/>
  <c r="T124" i="4"/>
  <c r="U124" i="4" s="1"/>
  <c r="T26" i="4"/>
  <c r="U26" i="4" s="1"/>
  <c r="T199" i="4"/>
  <c r="Y199" i="4" s="1"/>
  <c r="Z196" i="12" s="1"/>
  <c r="T75" i="4"/>
  <c r="Y75" i="4" s="1"/>
  <c r="Z17" i="12" s="1"/>
  <c r="T59" i="4"/>
  <c r="U59" i="4" s="1"/>
  <c r="T205" i="4"/>
  <c r="Y205" i="4" s="1"/>
  <c r="Z164" i="12" s="1"/>
  <c r="T196" i="4"/>
  <c r="U196" i="4" s="1"/>
  <c r="T54" i="4"/>
  <c r="U54" i="4" s="1"/>
  <c r="T157" i="4"/>
  <c r="Y157" i="4" s="1"/>
  <c r="Z76" i="12" s="1"/>
  <c r="T134" i="4"/>
  <c r="U134" i="4" s="1"/>
  <c r="T82" i="4"/>
  <c r="Y162" i="12" s="1"/>
  <c r="T185" i="4"/>
  <c r="Y69" i="12" s="1"/>
  <c r="T56" i="4"/>
  <c r="Y128" i="12" s="1"/>
  <c r="T87" i="4"/>
  <c r="Y87" i="4" s="1"/>
  <c r="Z96" i="12" s="1"/>
  <c r="T105" i="4"/>
  <c r="Y116" i="12" s="1"/>
  <c r="T171" i="4"/>
  <c r="Y70" i="12" s="1"/>
  <c r="T29" i="4"/>
  <c r="U29" i="4" s="1"/>
  <c r="T121" i="4"/>
  <c r="Y83" i="12" s="1"/>
  <c r="T36" i="4"/>
  <c r="Y206" i="12" s="1"/>
  <c r="T40" i="4"/>
  <c r="U40" i="4" s="1"/>
  <c r="T153" i="4"/>
  <c r="Y153" i="4" s="1"/>
  <c r="Z79" i="12" s="1"/>
  <c r="T126" i="4"/>
  <c r="Y126" i="4" s="1"/>
  <c r="Z176" i="12" s="1"/>
  <c r="T104" i="4"/>
  <c r="U104" i="4" s="1"/>
  <c r="T131" i="4"/>
  <c r="Y27" i="12" s="1"/>
  <c r="T91" i="4"/>
  <c r="Y91" i="4" s="1"/>
  <c r="Z152" i="12" s="1"/>
  <c r="T191" i="4"/>
  <c r="Y68" i="12" s="1"/>
  <c r="T178" i="4"/>
  <c r="U178" i="4" s="1"/>
  <c r="T116" i="4"/>
  <c r="Y116" i="4" s="1"/>
  <c r="Z67" i="12" s="1"/>
  <c r="T101" i="4"/>
  <c r="U101" i="4" s="1"/>
  <c r="T177" i="4"/>
  <c r="U177" i="4" s="1"/>
  <c r="T174" i="4"/>
  <c r="Y174" i="4" s="1"/>
  <c r="Z110" i="12" s="1"/>
  <c r="T128" i="4"/>
  <c r="U128" i="4" s="1"/>
  <c r="T21" i="4"/>
  <c r="U21" i="4" s="1"/>
  <c r="T52" i="4"/>
  <c r="Y38" i="12" s="1"/>
  <c r="T110" i="4"/>
  <c r="Y110" i="4" s="1"/>
  <c r="Z120" i="12" s="1"/>
  <c r="T100" i="4"/>
  <c r="Y100" i="4" s="1"/>
  <c r="Z56" i="12" s="1"/>
  <c r="T190" i="4"/>
  <c r="U190" i="4" s="1"/>
  <c r="T98" i="4"/>
  <c r="Y100" i="12" s="1"/>
  <c r="T154" i="4"/>
  <c r="Y154" i="4" s="1"/>
  <c r="Z9" i="12" s="1"/>
  <c r="T197" i="4"/>
  <c r="Y197" i="4" s="1"/>
  <c r="Z61" i="12" s="1"/>
  <c r="T137" i="4"/>
  <c r="U137" i="4" s="1"/>
  <c r="T5" i="4"/>
  <c r="Y5" i="4" s="1"/>
  <c r="Z130" i="12" s="1"/>
  <c r="T43" i="4"/>
  <c r="Y43" i="4" s="1"/>
  <c r="Z126" i="12" s="1"/>
  <c r="T195" i="4"/>
  <c r="Y26" i="12" s="1"/>
  <c r="T112" i="4"/>
  <c r="Y163" i="12" s="1"/>
  <c r="T175" i="4"/>
  <c r="Y175" i="4" s="1"/>
  <c r="Z166" i="12" s="1"/>
  <c r="T184" i="4"/>
  <c r="Y22" i="12" s="1"/>
  <c r="T38" i="4"/>
  <c r="U38" i="4" s="1"/>
  <c r="T19" i="4"/>
  <c r="Y19" i="4" s="1"/>
  <c r="Z197" i="12" s="1"/>
  <c r="T7" i="4"/>
  <c r="Y7" i="4" s="1"/>
  <c r="Z94" i="12" s="1"/>
  <c r="T155" i="4"/>
  <c r="Y155" i="4" s="1"/>
  <c r="Z102" i="12" s="1"/>
  <c r="T161" i="4"/>
  <c r="U161" i="4" s="1"/>
  <c r="T83" i="4"/>
  <c r="Y83" i="4" s="1"/>
  <c r="Z84" i="12" s="1"/>
  <c r="T182" i="4"/>
  <c r="Y134" i="12" s="1"/>
  <c r="T6" i="4"/>
  <c r="Y55" i="12" s="1"/>
  <c r="T163" i="4"/>
  <c r="U163" i="4" s="1"/>
  <c r="T10" i="4"/>
  <c r="U10" i="4" s="1"/>
  <c r="T69" i="4"/>
  <c r="Y98" i="12" s="1"/>
  <c r="T129" i="4"/>
  <c r="Y72" i="12" s="1"/>
  <c r="U76" i="4"/>
  <c r="Y62" i="12"/>
  <c r="Y76" i="4"/>
  <c r="Z62" i="12" s="1"/>
  <c r="T95" i="4"/>
  <c r="T194" i="4"/>
  <c r="T188" i="4"/>
  <c r="T99" i="4"/>
  <c r="T144" i="4"/>
  <c r="T53" i="4"/>
  <c r="T16" i="4"/>
  <c r="T32" i="4"/>
  <c r="T145" i="4"/>
  <c r="T151" i="4"/>
  <c r="T119" i="4"/>
  <c r="T15" i="4"/>
  <c r="T81" i="4"/>
  <c r="T203" i="4"/>
  <c r="T139" i="4"/>
  <c r="T96" i="4"/>
  <c r="T150" i="4"/>
  <c r="T168" i="4"/>
  <c r="T13" i="4"/>
  <c r="T70" i="4"/>
  <c r="T122" i="4"/>
  <c r="T143" i="4"/>
  <c r="T67" i="4"/>
  <c r="T170" i="4"/>
  <c r="T72" i="4"/>
  <c r="U179" i="4"/>
  <c r="T92" i="4"/>
  <c r="T115" i="4"/>
  <c r="T138" i="4"/>
  <c r="T88" i="4"/>
  <c r="T77" i="4"/>
  <c r="T200" i="4"/>
  <c r="T46" i="4"/>
  <c r="T165" i="4"/>
  <c r="T61" i="4"/>
  <c r="T64" i="4"/>
  <c r="T113" i="4"/>
  <c r="T39" i="4"/>
  <c r="T183" i="4"/>
  <c r="T12" i="4"/>
  <c r="T148" i="4"/>
  <c r="T3" i="4"/>
  <c r="T135" i="4"/>
  <c r="T49" i="4"/>
  <c r="T11" i="4"/>
  <c r="AF165" i="24"/>
  <c r="Y165" i="24" s="1"/>
  <c r="Z165" i="25" s="1"/>
  <c r="AF92" i="24"/>
  <c r="Y92" i="24" s="1"/>
  <c r="Z92" i="25" s="1"/>
  <c r="AF119" i="24"/>
  <c r="Y119" i="24" s="1"/>
  <c r="Z119" i="25" s="1"/>
  <c r="AF141" i="24"/>
  <c r="Y141" i="24" s="1"/>
  <c r="Z141" i="25" s="1"/>
  <c r="AF149" i="24"/>
  <c r="Y149" i="24" s="1"/>
  <c r="Z149" i="25" s="1"/>
  <c r="AF32" i="24"/>
  <c r="Y32" i="24" s="1"/>
  <c r="Z32" i="25" s="1"/>
  <c r="AF91" i="24"/>
  <c r="Y91" i="24" s="1"/>
  <c r="Z91" i="25" s="1"/>
  <c r="AF140" i="24"/>
  <c r="Y140" i="24" s="1"/>
  <c r="Z140" i="25" s="1"/>
  <c r="AF132" i="24"/>
  <c r="Y132" i="24" s="1"/>
  <c r="Z132" i="25" s="1"/>
  <c r="AF38" i="24"/>
  <c r="Y38" i="24" s="1"/>
  <c r="Z38" i="25" s="1"/>
  <c r="AF88" i="24"/>
  <c r="Y88" i="24" s="1"/>
  <c r="Z88" i="25" s="1"/>
  <c r="AF110" i="24"/>
  <c r="Y110" i="24" s="1"/>
  <c r="Z110" i="25" s="1"/>
  <c r="AF172" i="24"/>
  <c r="Y172" i="24" s="1"/>
  <c r="Z172" i="25" s="1"/>
  <c r="AF181" i="24"/>
  <c r="Y181" i="24" s="1"/>
  <c r="Z181" i="25" s="1"/>
  <c r="AF98" i="24"/>
  <c r="Y98" i="24" s="1"/>
  <c r="Z98" i="25" s="1"/>
  <c r="AF202" i="24"/>
  <c r="Y202" i="24" s="1"/>
  <c r="Z202" i="25" s="1"/>
  <c r="AF180" i="24"/>
  <c r="Y180" i="24" s="1"/>
  <c r="Z180" i="25" s="1"/>
  <c r="AF184" i="24"/>
  <c r="Y184" i="24" s="1"/>
  <c r="Z184" i="25" s="1"/>
  <c r="AF46" i="24"/>
  <c r="Y46" i="24" s="1"/>
  <c r="Z46" i="25" s="1"/>
  <c r="AF147" i="24"/>
  <c r="Y147" i="24" s="1"/>
  <c r="Z147" i="25" s="1"/>
  <c r="AF21" i="24"/>
  <c r="Y21" i="24" s="1"/>
  <c r="Z21" i="25" s="1"/>
  <c r="AF66" i="24"/>
  <c r="Y66" i="24" s="1"/>
  <c r="Z66" i="25" s="1"/>
  <c r="AF170" i="24"/>
  <c r="Y170" i="24" s="1"/>
  <c r="Z170" i="25" s="1"/>
  <c r="AF175" i="24"/>
  <c r="Y175" i="24" s="1"/>
  <c r="Z175" i="25" s="1"/>
  <c r="AF177" i="24"/>
  <c r="Y177" i="24" s="1"/>
  <c r="Z177" i="25" s="1"/>
  <c r="AF89" i="24"/>
  <c r="Y89" i="24" s="1"/>
  <c r="Z89" i="25" s="1"/>
  <c r="AF3" i="24"/>
  <c r="Y3" i="24" s="1"/>
  <c r="Z3" i="25" s="1"/>
  <c r="AF113" i="24"/>
  <c r="Y113" i="24" s="1"/>
  <c r="Z113" i="25" s="1"/>
  <c r="AF16" i="24"/>
  <c r="Y16" i="24" s="1"/>
  <c r="Z16" i="25" s="1"/>
  <c r="AF49" i="24"/>
  <c r="Y49" i="24" s="1"/>
  <c r="Z49" i="25" s="1"/>
  <c r="AF111" i="24"/>
  <c r="Y111" i="24" s="1"/>
  <c r="Z111" i="25" s="1"/>
  <c r="AF182" i="24"/>
  <c r="Y182" i="24" s="1"/>
  <c r="Z182" i="25" s="1"/>
  <c r="AF189" i="24"/>
  <c r="Y189" i="24" s="1"/>
  <c r="Z189" i="25" s="1"/>
  <c r="AF27" i="24"/>
  <c r="Y27" i="24" s="1"/>
  <c r="Z27" i="25" s="1"/>
  <c r="AF125" i="24"/>
  <c r="Y125" i="24" s="1"/>
  <c r="Z125" i="25" s="1"/>
  <c r="AF93" i="24"/>
  <c r="Y93" i="24" s="1"/>
  <c r="Z93" i="25" s="1"/>
  <c r="AF78" i="24"/>
  <c r="Y78" i="24" s="1"/>
  <c r="Z78" i="25" s="1"/>
  <c r="AF108" i="24"/>
  <c r="Y108" i="24" s="1"/>
  <c r="Z108" i="25" s="1"/>
  <c r="AF146" i="24"/>
  <c r="Y146" i="24" s="1"/>
  <c r="Z146" i="25" s="1"/>
  <c r="AF159" i="24"/>
  <c r="Y159" i="24" s="1"/>
  <c r="Z159" i="25" s="1"/>
  <c r="AF84" i="24"/>
  <c r="Y84" i="24" s="1"/>
  <c r="Z84" i="25" s="1"/>
  <c r="AF176" i="24"/>
  <c r="Y176" i="24" s="1"/>
  <c r="Z176" i="25" s="1"/>
  <c r="AF76" i="24"/>
  <c r="Y76" i="24" s="1"/>
  <c r="Z76" i="25" s="1"/>
  <c r="AF126" i="24"/>
  <c r="Y126" i="24" s="1"/>
  <c r="Z126" i="25" s="1"/>
  <c r="AF143" i="24"/>
  <c r="Y143" i="24" s="1"/>
  <c r="Z143" i="25" s="1"/>
  <c r="AF75" i="24"/>
  <c r="Y75" i="24" s="1"/>
  <c r="Z75" i="25" s="1"/>
  <c r="AF55" i="24"/>
  <c r="Y55" i="24" s="1"/>
  <c r="Z55" i="25" s="1"/>
  <c r="AF106" i="24"/>
  <c r="Y106" i="24" s="1"/>
  <c r="Z106" i="25" s="1"/>
  <c r="AF67" i="24"/>
  <c r="Y67" i="24" s="1"/>
  <c r="Z67" i="25" s="1"/>
  <c r="AF57" i="24"/>
  <c r="Y57" i="24" s="1"/>
  <c r="Z57" i="25" s="1"/>
  <c r="AF156" i="24"/>
  <c r="Y156" i="24" s="1"/>
  <c r="Z156" i="25" s="1"/>
  <c r="AF197" i="24"/>
  <c r="Y197" i="24" s="1"/>
  <c r="Z197" i="25" s="1"/>
  <c r="AF206" i="24"/>
  <c r="Y206" i="24" s="1"/>
  <c r="Z206" i="25" s="1"/>
  <c r="AF157" i="24"/>
  <c r="Y157" i="24" s="1"/>
  <c r="Z157" i="25" s="1"/>
  <c r="AF115" i="24"/>
  <c r="Y115" i="24" s="1"/>
  <c r="Z115" i="25" s="1"/>
  <c r="AF124" i="24"/>
  <c r="Y124" i="24" s="1"/>
  <c r="Z124" i="25" s="1"/>
  <c r="AF152" i="24"/>
  <c r="Y152" i="24" s="1"/>
  <c r="Z152" i="25" s="1"/>
  <c r="AF56" i="24"/>
  <c r="Y56" i="24" s="1"/>
  <c r="Z56" i="25" s="1"/>
  <c r="AF44" i="24"/>
  <c r="Y44" i="24" s="1"/>
  <c r="Z44" i="25" s="1"/>
  <c r="AF203" i="24"/>
  <c r="Y203" i="24" s="1"/>
  <c r="Z203" i="25" s="1"/>
  <c r="AF6" i="24"/>
  <c r="Y6" i="24" s="1"/>
  <c r="Z6" i="25" s="1"/>
  <c r="AF35" i="24"/>
  <c r="Y35" i="24" s="1"/>
  <c r="Z35" i="25" s="1"/>
  <c r="AF173" i="24"/>
  <c r="Y173" i="24" s="1"/>
  <c r="Z173" i="25" s="1"/>
  <c r="AF71" i="24"/>
  <c r="Y71" i="24" s="1"/>
  <c r="Z71" i="25" s="1"/>
  <c r="AF86" i="24"/>
  <c r="Y86" i="24" s="1"/>
  <c r="Z86" i="25" s="1"/>
  <c r="AF118" i="24"/>
  <c r="Y118" i="24" s="1"/>
  <c r="Z118" i="25" s="1"/>
  <c r="AF166" i="24"/>
  <c r="Y166" i="24" s="1"/>
  <c r="Z166" i="25" s="1"/>
  <c r="AF25" i="24"/>
  <c r="Y25" i="24" s="1"/>
  <c r="Z25" i="25" s="1"/>
  <c r="AF79" i="24"/>
  <c r="Y79" i="24" s="1"/>
  <c r="Z79" i="25" s="1"/>
  <c r="AF43" i="24"/>
  <c r="Y43" i="24" s="1"/>
  <c r="Z43" i="25" s="1"/>
  <c r="AF63" i="24"/>
  <c r="Y63" i="24" s="1"/>
  <c r="Z63" i="25" s="1"/>
  <c r="AF97" i="24"/>
  <c r="Y97" i="24" s="1"/>
  <c r="Z97" i="25" s="1"/>
  <c r="AF95" i="24"/>
  <c r="Y95" i="24" s="1"/>
  <c r="Z95" i="25" s="1"/>
  <c r="AF105" i="24"/>
  <c r="Y105" i="24" s="1"/>
  <c r="Z105" i="25" s="1"/>
  <c r="AF190" i="24"/>
  <c r="Y190" i="24" s="1"/>
  <c r="Z190" i="25" s="1"/>
  <c r="AF121" i="24"/>
  <c r="Y121" i="24" s="1"/>
  <c r="Z121" i="25" s="1"/>
  <c r="AF99" i="24"/>
  <c r="Y99" i="24" s="1"/>
  <c r="Z99" i="25" s="1"/>
  <c r="AF60" i="24"/>
  <c r="Y60" i="24" s="1"/>
  <c r="Z60" i="25" s="1"/>
  <c r="AF112" i="24"/>
  <c r="Y112" i="24" s="1"/>
  <c r="Z112" i="25" s="1"/>
  <c r="AF30" i="24"/>
  <c r="Y30" i="24" s="1"/>
  <c r="Z30" i="25" s="1"/>
  <c r="AF150" i="24"/>
  <c r="Y150" i="24" s="1"/>
  <c r="Z150" i="25" s="1"/>
  <c r="AF23" i="24"/>
  <c r="Y23" i="24" s="1"/>
  <c r="Z23" i="25" s="1"/>
  <c r="AF82" i="24"/>
  <c r="Y82" i="24" s="1"/>
  <c r="Z82" i="25" s="1"/>
  <c r="AF171" i="24"/>
  <c r="Y171" i="24" s="1"/>
  <c r="Z171" i="25" s="1"/>
  <c r="AF31" i="24"/>
  <c r="Y31" i="24" s="1"/>
  <c r="Z31" i="25" s="1"/>
  <c r="AF144" i="24"/>
  <c r="Y144" i="24" s="1"/>
  <c r="Z144" i="25" s="1"/>
  <c r="AF28" i="24"/>
  <c r="Y28" i="24" s="1"/>
  <c r="Z28" i="25" s="1"/>
  <c r="AF13" i="24"/>
  <c r="Y13" i="24" s="1"/>
  <c r="Z13" i="25" s="1"/>
  <c r="AF109" i="24"/>
  <c r="Y109" i="24" s="1"/>
  <c r="Z109" i="25" s="1"/>
  <c r="AF145" i="24"/>
  <c r="Y145" i="24" s="1"/>
  <c r="Z145" i="25" s="1"/>
  <c r="AF51" i="24"/>
  <c r="Y51" i="24" s="1"/>
  <c r="Z51" i="25" s="1"/>
  <c r="AF138" i="24"/>
  <c r="Y138" i="24" s="1"/>
  <c r="Z138" i="25" s="1"/>
  <c r="AF101" i="24"/>
  <c r="Y101" i="24" s="1"/>
  <c r="Z101" i="25" s="1"/>
  <c r="AF151" i="24"/>
  <c r="Y151" i="24" s="1"/>
  <c r="Z151" i="25" s="1"/>
  <c r="AF192" i="24"/>
  <c r="Y192" i="24" s="1"/>
  <c r="Z192" i="25" s="1"/>
  <c r="AF77" i="24"/>
  <c r="Y77" i="24" s="1"/>
  <c r="Z77" i="25" s="1"/>
  <c r="AF162" i="24"/>
  <c r="Y162" i="24" s="1"/>
  <c r="Z162" i="25" s="1"/>
  <c r="AF179" i="24"/>
  <c r="Y179" i="24" s="1"/>
  <c r="Z179" i="25" s="1"/>
  <c r="AF205" i="24"/>
  <c r="Y205" i="24" s="1"/>
  <c r="Z205" i="25" s="1"/>
  <c r="AF64" i="24"/>
  <c r="Y64" i="24" s="1"/>
  <c r="Z64" i="25" s="1"/>
  <c r="AF185" i="24"/>
  <c r="Y185" i="24" s="1"/>
  <c r="Z185" i="25" s="1"/>
  <c r="AF69" i="24"/>
  <c r="Y69" i="24" s="1"/>
  <c r="Z69" i="25" s="1"/>
  <c r="AF37" i="24"/>
  <c r="Y37" i="24" s="1"/>
  <c r="Z37" i="25" s="1"/>
  <c r="AF62" i="24"/>
  <c r="Y62" i="24" s="1"/>
  <c r="Z62" i="25" s="1"/>
  <c r="AF20" i="24"/>
  <c r="Y20" i="24" s="1"/>
  <c r="Z20" i="25" s="1"/>
  <c r="AF200" i="24"/>
  <c r="Y200" i="24" s="1"/>
  <c r="Z200" i="25" s="1"/>
  <c r="AF58" i="24"/>
  <c r="Y58" i="24" s="1"/>
  <c r="Z58" i="25" s="1"/>
  <c r="AF114" i="24"/>
  <c r="Y114" i="24" s="1"/>
  <c r="Z114" i="25" s="1"/>
  <c r="AF8" i="24"/>
  <c r="Y8" i="24" s="1"/>
  <c r="Z8" i="25" s="1"/>
  <c r="AF48" i="24"/>
  <c r="Y48" i="24" s="1"/>
  <c r="Z48" i="25" s="1"/>
  <c r="AF74" i="24"/>
  <c r="Y74" i="24" s="1"/>
  <c r="Z74" i="25" s="1"/>
  <c r="AF5" i="24"/>
  <c r="Y5" i="24" s="1"/>
  <c r="Z5" i="25" s="1"/>
  <c r="AF107" i="24"/>
  <c r="Y107" i="24" s="1"/>
  <c r="Z107" i="25" s="1"/>
  <c r="AF22" i="24"/>
  <c r="Y22" i="24" s="1"/>
  <c r="Z22" i="25" s="1"/>
  <c r="AF100" i="24"/>
  <c r="Y100" i="24" s="1"/>
  <c r="Z100" i="25" s="1"/>
  <c r="AF127" i="24"/>
  <c r="Y127" i="24" s="1"/>
  <c r="Z127" i="25" s="1"/>
  <c r="AF52" i="24"/>
  <c r="Y52" i="24" s="1"/>
  <c r="Z52" i="25" s="1"/>
  <c r="AF81" i="24"/>
  <c r="Y81" i="24" s="1"/>
  <c r="Z81" i="25" s="1"/>
  <c r="AF42" i="24"/>
  <c r="Y42" i="24" s="1"/>
  <c r="Z42" i="25" s="1"/>
  <c r="AF24" i="24"/>
  <c r="Y24" i="24" s="1"/>
  <c r="Z24" i="25" s="1"/>
  <c r="AF15" i="24"/>
  <c r="Y15" i="24" s="1"/>
  <c r="Z15" i="25" s="1"/>
  <c r="AF196" i="24"/>
  <c r="Y196" i="24" s="1"/>
  <c r="Z196" i="25" s="1"/>
  <c r="AF94" i="24"/>
  <c r="Y94" i="24" s="1"/>
  <c r="Z94" i="25" s="1"/>
  <c r="AF154" i="24"/>
  <c r="Y154" i="24" s="1"/>
  <c r="Z154" i="25" s="1"/>
  <c r="AF153" i="24"/>
  <c r="Y153" i="24" s="1"/>
  <c r="Z153" i="25" s="1"/>
  <c r="AF167" i="24"/>
  <c r="Y167" i="24" s="1"/>
  <c r="Z167" i="25" s="1"/>
  <c r="AF129" i="24"/>
  <c r="Y129" i="24" s="1"/>
  <c r="Z129" i="25" s="1"/>
  <c r="AF133" i="24"/>
  <c r="Y133" i="24" s="1"/>
  <c r="Z133" i="25" s="1"/>
  <c r="AF85" i="24"/>
  <c r="Y85" i="24" s="1"/>
  <c r="Z85" i="25" s="1"/>
  <c r="AF137" i="24"/>
  <c r="Y137" i="24" s="1"/>
  <c r="Z137" i="25" s="1"/>
  <c r="AF39" i="24"/>
  <c r="Y39" i="24" s="1"/>
  <c r="Z39" i="25" s="1"/>
  <c r="AF183" i="24"/>
  <c r="Y183" i="24" s="1"/>
  <c r="Z183" i="25" s="1"/>
  <c r="AF199" i="24"/>
  <c r="Y199" i="24" s="1"/>
  <c r="Z199" i="25" s="1"/>
  <c r="AF169" i="24"/>
  <c r="Y169" i="24" s="1"/>
  <c r="Z169" i="25" s="1"/>
  <c r="AF136" i="24"/>
  <c r="Y136" i="24" s="1"/>
  <c r="Z136" i="25" s="1"/>
  <c r="AF168" i="24"/>
  <c r="Y168" i="24" s="1"/>
  <c r="Z168" i="25" s="1"/>
  <c r="AF96" i="24"/>
  <c r="Y96" i="24" s="1"/>
  <c r="Z96" i="25" s="1"/>
  <c r="AF90" i="24"/>
  <c r="Y90" i="24" s="1"/>
  <c r="Z90" i="25" s="1"/>
  <c r="AF174" i="24"/>
  <c r="Y174" i="24" s="1"/>
  <c r="Z174" i="25" s="1"/>
  <c r="AF148" i="24"/>
  <c r="Y148" i="24" s="1"/>
  <c r="Z148" i="25" s="1"/>
  <c r="AF80" i="24"/>
  <c r="Y80" i="24" s="1"/>
  <c r="Z80" i="25" s="1"/>
  <c r="AF17" i="24"/>
  <c r="Y17" i="24" s="1"/>
  <c r="Z17" i="25" s="1"/>
  <c r="AF163" i="24"/>
  <c r="Y163" i="24" s="1"/>
  <c r="Z163" i="25" s="1"/>
  <c r="AF54" i="24"/>
  <c r="Y54" i="24" s="1"/>
  <c r="Z54" i="25" s="1"/>
  <c r="AF122" i="24"/>
  <c r="Y122" i="24" s="1"/>
  <c r="Z122" i="25" s="1"/>
  <c r="AF116" i="24"/>
  <c r="Y116" i="24" s="1"/>
  <c r="Z116" i="25" s="1"/>
  <c r="AF83" i="24"/>
  <c r="Y83" i="24" s="1"/>
  <c r="Z83" i="25" s="1"/>
  <c r="AF161" i="24"/>
  <c r="Y161" i="24" s="1"/>
  <c r="Z161" i="25" s="1"/>
  <c r="AF68" i="24"/>
  <c r="Y68" i="24" s="1"/>
  <c r="Z68" i="25" s="1"/>
  <c r="AF178" i="24"/>
  <c r="Y178" i="24" s="1"/>
  <c r="Z178" i="25" s="1"/>
  <c r="AF204" i="24"/>
  <c r="Y204" i="24" s="1"/>
  <c r="Z204" i="25" s="1"/>
  <c r="AF29" i="24"/>
  <c r="Y29" i="24" s="1"/>
  <c r="Z29" i="25" s="1"/>
  <c r="AF187" i="24"/>
  <c r="Y187" i="24" s="1"/>
  <c r="Z187" i="25" s="1"/>
  <c r="AF102" i="24"/>
  <c r="Y102" i="24" s="1"/>
  <c r="Z102" i="25" s="1"/>
  <c r="AF87" i="24"/>
  <c r="Y87" i="24" s="1"/>
  <c r="Z87" i="25" s="1"/>
  <c r="AF128" i="24"/>
  <c r="Y128" i="24" s="1"/>
  <c r="Z128" i="25" s="1"/>
  <c r="AF19" i="24"/>
  <c r="Y19" i="24" s="1"/>
  <c r="Z19" i="25" s="1"/>
  <c r="AF50" i="24"/>
  <c r="Y50" i="24" s="1"/>
  <c r="Z50" i="25" s="1"/>
  <c r="AF193" i="24"/>
  <c r="Y193" i="24" s="1"/>
  <c r="Z193" i="25" s="1"/>
  <c r="AF198" i="24"/>
  <c r="Y198" i="24" s="1"/>
  <c r="Z198" i="25" s="1"/>
  <c r="AF11" i="24"/>
  <c r="Y11" i="24" s="1"/>
  <c r="Z11" i="25" s="1"/>
  <c r="AF45" i="24"/>
  <c r="Y45" i="24" s="1"/>
  <c r="Z45" i="25" s="1"/>
  <c r="AF194" i="24"/>
  <c r="Y194" i="24" s="1"/>
  <c r="Z194" i="25" s="1"/>
  <c r="AF72" i="24"/>
  <c r="Y72" i="24" s="1"/>
  <c r="Z72" i="25" s="1"/>
  <c r="AF123" i="24"/>
  <c r="Y123" i="24" s="1"/>
  <c r="Z123" i="25" s="1"/>
  <c r="AF70" i="24"/>
  <c r="Y70" i="24" s="1"/>
  <c r="Z70" i="25" s="1"/>
  <c r="AF36" i="24"/>
  <c r="Y36" i="24" s="1"/>
  <c r="Z36" i="25" s="1"/>
  <c r="AF135" i="24"/>
  <c r="Y135" i="24" s="1"/>
  <c r="Z135" i="25" s="1"/>
  <c r="AF139" i="24"/>
  <c r="Y139" i="24" s="1"/>
  <c r="Z139" i="25" s="1"/>
  <c r="AF10" i="24"/>
  <c r="Y10" i="24" s="1"/>
  <c r="Z10" i="25" s="1"/>
  <c r="AF104" i="24"/>
  <c r="Y104" i="24" s="1"/>
  <c r="Z104" i="25" s="1"/>
  <c r="AF103" i="24"/>
  <c r="Y103" i="24" s="1"/>
  <c r="Z103" i="25" s="1"/>
  <c r="AF26" i="24"/>
  <c r="Y26" i="24" s="1"/>
  <c r="Z26" i="25" s="1"/>
  <c r="AF186" i="24"/>
  <c r="Y186" i="24" s="1"/>
  <c r="Z186" i="25" s="1"/>
  <c r="AF34" i="24"/>
  <c r="Y34" i="24" s="1"/>
  <c r="Z34" i="25" s="1"/>
  <c r="AF12" i="24"/>
  <c r="Y12" i="24" s="1"/>
  <c r="Z12" i="25" s="1"/>
  <c r="AF18" i="24"/>
  <c r="Y18" i="24" s="1"/>
  <c r="Z18" i="25" s="1"/>
  <c r="AF14" i="24"/>
  <c r="Y14" i="24" s="1"/>
  <c r="Z14" i="25" s="1"/>
  <c r="AF117" i="24"/>
  <c r="Y117" i="24" s="1"/>
  <c r="Z117" i="25" s="1"/>
  <c r="AF41" i="24"/>
  <c r="Y41" i="24" s="1"/>
  <c r="Z41" i="25" s="1"/>
  <c r="AF201" i="24"/>
  <c r="Y201" i="24" s="1"/>
  <c r="Z201" i="25" s="1"/>
  <c r="AF142" i="24"/>
  <c r="Y142" i="24" s="1"/>
  <c r="Z142" i="25" s="1"/>
  <c r="AF134" i="24"/>
  <c r="Y134" i="24" s="1"/>
  <c r="Z134" i="25" s="1"/>
  <c r="AF131" i="24"/>
  <c r="Y131" i="24" s="1"/>
  <c r="Z131" i="25" s="1"/>
  <c r="AF160" i="24"/>
  <c r="Y160" i="24" s="1"/>
  <c r="Z160" i="25" s="1"/>
  <c r="AF47" i="24"/>
  <c r="Y47" i="24" s="1"/>
  <c r="Z47" i="25" s="1"/>
  <c r="AF130" i="24"/>
  <c r="Y130" i="24" s="1"/>
  <c r="Z130" i="25" s="1"/>
  <c r="AF53" i="24"/>
  <c r="Y53" i="24" s="1"/>
  <c r="Z53" i="25" s="1"/>
  <c r="AF164" i="24"/>
  <c r="Y164" i="24" s="1"/>
  <c r="Z164" i="25" s="1"/>
  <c r="AF188" i="24"/>
  <c r="Y188" i="24" s="1"/>
  <c r="Z188" i="25" s="1"/>
  <c r="AF195" i="24"/>
  <c r="Y195" i="24" s="1"/>
  <c r="Z195" i="25" s="1"/>
  <c r="AF7" i="24"/>
  <c r="Y7" i="24" s="1"/>
  <c r="Z7" i="25" s="1"/>
  <c r="AF40" i="24"/>
  <c r="Y40" i="24" s="1"/>
  <c r="Z40" i="25" s="1"/>
  <c r="AF158" i="24"/>
  <c r="Y158" i="24" s="1"/>
  <c r="Z158" i="25" s="1"/>
  <c r="AF155" i="24"/>
  <c r="Y155" i="24" s="1"/>
  <c r="Z155" i="25" s="1"/>
  <c r="AF33" i="24"/>
  <c r="Y33" i="24" s="1"/>
  <c r="Z33" i="25" s="1"/>
  <c r="AF9" i="24"/>
  <c r="Y9" i="24" s="1"/>
  <c r="Z9" i="25" s="1"/>
  <c r="AF65" i="24"/>
  <c r="Y65" i="24" s="1"/>
  <c r="Z65" i="25" s="1"/>
  <c r="AF120" i="24"/>
  <c r="Y120" i="24" s="1"/>
  <c r="Z120" i="25" s="1"/>
  <c r="AF59" i="24"/>
  <c r="Y59" i="24" s="1"/>
  <c r="Z59" i="25" s="1"/>
  <c r="AF4" i="24"/>
  <c r="Y4" i="24" s="1"/>
  <c r="Z4" i="25" s="1"/>
  <c r="AF191" i="24"/>
  <c r="Y191" i="24" s="1"/>
  <c r="Z191" i="25" s="1"/>
  <c r="AF61" i="24"/>
  <c r="Y61" i="24" s="1"/>
  <c r="Z61" i="25" s="1"/>
  <c r="AF73" i="24"/>
  <c r="Y73" i="24" s="1"/>
  <c r="Z73" i="25" s="1"/>
  <c r="Y156" i="4"/>
  <c r="Z34" i="12" s="1"/>
  <c r="Y34" i="12"/>
  <c r="T192" i="4"/>
  <c r="T109" i="4"/>
  <c r="T37" i="4"/>
  <c r="T50" i="4"/>
  <c r="T107" i="4"/>
  <c r="T125" i="4"/>
  <c r="T18" i="4"/>
  <c r="T180" i="4"/>
  <c r="Y106" i="4"/>
  <c r="Z180" i="12" s="1"/>
  <c r="U106" i="4"/>
  <c r="Y180" i="12"/>
  <c r="Y60" i="12"/>
  <c r="Y42" i="4"/>
  <c r="Z60" i="12" s="1"/>
  <c r="U42" i="4"/>
  <c r="Y205" i="12" l="1"/>
  <c r="Y25" i="12"/>
  <c r="U133" i="4"/>
  <c r="Y44" i="4"/>
  <c r="Z205" i="12" s="1"/>
  <c r="U160" i="4"/>
  <c r="Y160" i="4"/>
  <c r="Z78" i="12" s="1"/>
  <c r="Y179" i="4"/>
  <c r="Z191" i="12" s="1"/>
  <c r="Y158" i="4"/>
  <c r="Z107" i="12" s="1"/>
  <c r="Y47" i="4"/>
  <c r="Z138" i="12" s="1"/>
  <c r="U47" i="4"/>
  <c r="U158" i="4"/>
  <c r="Y117" i="4"/>
  <c r="Z85" i="12" s="1"/>
  <c r="U149" i="4"/>
  <c r="Y73" i="12"/>
  <c r="Y129" i="12"/>
  <c r="Y62" i="4"/>
  <c r="Z141" i="12" s="1"/>
  <c r="Y141" i="12"/>
  <c r="U112" i="4"/>
  <c r="Y123" i="12"/>
  <c r="U48" i="4"/>
  <c r="Y33" i="4"/>
  <c r="Z58" i="12" s="1"/>
  <c r="Y97" i="4"/>
  <c r="Z35" i="12" s="1"/>
  <c r="Y152" i="4"/>
  <c r="Z129" i="12" s="1"/>
  <c r="Y202" i="12"/>
  <c r="U27" i="4"/>
  <c r="Y186" i="12"/>
  <c r="Y202" i="4"/>
  <c r="Z186" i="12" s="1"/>
  <c r="Y170" i="12"/>
  <c r="Y58" i="12"/>
  <c r="Y54" i="12"/>
  <c r="Y13" i="12"/>
  <c r="Y197" i="12"/>
  <c r="U130" i="4"/>
  <c r="U51" i="4"/>
  <c r="U4" i="4"/>
  <c r="Y7" i="12"/>
  <c r="U97" i="4"/>
  <c r="U71" i="4"/>
  <c r="Y40" i="12"/>
  <c r="Y111" i="4"/>
  <c r="Z51" i="12" s="1"/>
  <c r="Y51" i="12"/>
  <c r="Y34" i="4"/>
  <c r="Z28" i="12" s="1"/>
  <c r="U57" i="4"/>
  <c r="Y85" i="12"/>
  <c r="Y112" i="4"/>
  <c r="Z163" i="12" s="1"/>
  <c r="Y114" i="4"/>
  <c r="Z111" i="12" s="1"/>
  <c r="Y178" i="12"/>
  <c r="U60" i="4"/>
  <c r="Y111" i="12"/>
  <c r="Y57" i="4"/>
  <c r="Z173" i="12" s="1"/>
  <c r="U41" i="4"/>
  <c r="Y58" i="4"/>
  <c r="Z37" i="12" s="1"/>
  <c r="Y41" i="4"/>
  <c r="Z48" i="12" s="1"/>
  <c r="Y184" i="4"/>
  <c r="Z22" i="12" s="1"/>
  <c r="U184" i="4"/>
  <c r="Y74" i="4"/>
  <c r="Z39" i="12" s="1"/>
  <c r="Y39" i="12"/>
  <c r="Y172" i="12"/>
  <c r="U31" i="4"/>
  <c r="Y29" i="4"/>
  <c r="Z178" i="12" s="1"/>
  <c r="U19" i="4"/>
  <c r="Y45" i="4"/>
  <c r="Z172" i="12" s="1"/>
  <c r="Y182" i="12"/>
  <c r="Y120" i="4"/>
  <c r="Z44" i="12" s="1"/>
  <c r="U120" i="4"/>
  <c r="Y37" i="12"/>
  <c r="Y127" i="12"/>
  <c r="U127" i="4"/>
  <c r="Y200" i="12"/>
  <c r="U90" i="4"/>
  <c r="Y90" i="4"/>
  <c r="Z36" i="12" s="1"/>
  <c r="U34" i="4"/>
  <c r="Y30" i="4"/>
  <c r="Z131" i="12" s="1"/>
  <c r="U146" i="4"/>
  <c r="U30" i="4"/>
  <c r="Y147" i="4"/>
  <c r="Z174" i="12" s="1"/>
  <c r="Y10" i="4"/>
  <c r="Z183" i="12" s="1"/>
  <c r="U176" i="4"/>
  <c r="U5" i="4"/>
  <c r="Y130" i="12"/>
  <c r="Y183" i="12"/>
  <c r="Y190" i="12"/>
  <c r="Y136" i="4"/>
  <c r="Z190" i="12" s="1"/>
  <c r="U78" i="4"/>
  <c r="Y114" i="12"/>
  <c r="Y174" i="12"/>
  <c r="Y79" i="12"/>
  <c r="Y124" i="4"/>
  <c r="Z23" i="12" s="1"/>
  <c r="Y23" i="12"/>
  <c r="Y56" i="4"/>
  <c r="Z128" i="12" s="1"/>
  <c r="U56" i="4"/>
  <c r="U199" i="4"/>
  <c r="Y24" i="12"/>
  <c r="Y103" i="4"/>
  <c r="Z24" i="12" s="1"/>
  <c r="U142" i="4"/>
  <c r="Y142" i="4"/>
  <c r="Z14" i="12" s="1"/>
  <c r="Y52" i="4"/>
  <c r="Z38" i="12" s="1"/>
  <c r="Y59" i="12"/>
  <c r="U84" i="4"/>
  <c r="U189" i="4"/>
  <c r="Y52" i="12"/>
  <c r="U80" i="4"/>
  <c r="Y80" i="4"/>
  <c r="Z66" i="12" s="1"/>
  <c r="U28" i="4"/>
  <c r="Y175" i="12"/>
  <c r="Y24" i="4"/>
  <c r="Z175" i="12" s="1"/>
  <c r="U14" i="4"/>
  <c r="U154" i="4"/>
  <c r="Y162" i="4"/>
  <c r="Z181" i="12" s="1"/>
  <c r="U162" i="4"/>
  <c r="Y28" i="4"/>
  <c r="Z46" i="12" s="1"/>
  <c r="U206" i="4"/>
  <c r="Y177" i="12"/>
  <c r="Y20" i="4"/>
  <c r="Z177" i="12" s="1"/>
  <c r="Y14" i="4"/>
  <c r="Z160" i="12" s="1"/>
  <c r="Y187" i="4"/>
  <c r="Z8" i="12" s="1"/>
  <c r="U69" i="4"/>
  <c r="Y69" i="4"/>
  <c r="Z98" i="12" s="1"/>
  <c r="Y93" i="4"/>
  <c r="Z41" i="12" s="1"/>
  <c r="Y22" i="4"/>
  <c r="Z203" i="12" s="1"/>
  <c r="Y198" i="4"/>
  <c r="Z195" i="12" s="1"/>
  <c r="U198" i="4"/>
  <c r="Y124" i="12"/>
  <c r="U181" i="4"/>
  <c r="Y38" i="4"/>
  <c r="Z109" i="12" s="1"/>
  <c r="Y5" i="12"/>
  <c r="Y109" i="12"/>
  <c r="Y203" i="12"/>
  <c r="Y17" i="4"/>
  <c r="Z135" i="12" s="1"/>
  <c r="U167" i="4"/>
  <c r="Y106" i="12"/>
  <c r="Y159" i="4"/>
  <c r="Z74" i="12" s="1"/>
  <c r="Y74" i="12"/>
  <c r="Y143" i="12"/>
  <c r="Y53" i="12"/>
  <c r="U8" i="4"/>
  <c r="U86" i="4"/>
  <c r="Y8" i="12"/>
  <c r="Y201" i="4"/>
  <c r="Z147" i="12" s="1"/>
  <c r="Y147" i="12"/>
  <c r="Y80" i="12"/>
  <c r="Y128" i="4"/>
  <c r="Z80" i="12" s="1"/>
  <c r="U93" i="4"/>
  <c r="U185" i="4"/>
  <c r="Y171" i="4"/>
  <c r="Z70" i="12" s="1"/>
  <c r="Y101" i="4"/>
  <c r="Z143" i="12" s="1"/>
  <c r="Y77" i="12"/>
  <c r="U193" i="4"/>
  <c r="Y151" i="12"/>
  <c r="Y26" i="4"/>
  <c r="Z151" i="12" s="1"/>
  <c r="Y32" i="12"/>
  <c r="Y135" i="12"/>
  <c r="U173" i="4"/>
  <c r="Y89" i="4"/>
  <c r="Z189" i="12" s="1"/>
  <c r="U9" i="4"/>
  <c r="Y140" i="4"/>
  <c r="Z92" i="12" s="1"/>
  <c r="Y105" i="12"/>
  <c r="Y55" i="4"/>
  <c r="Z105" i="12" s="1"/>
  <c r="U110" i="4"/>
  <c r="Y126" i="12"/>
  <c r="U73" i="4"/>
  <c r="Y129" i="4"/>
  <c r="Z72" i="12" s="1"/>
  <c r="U129" i="4"/>
  <c r="U105" i="4"/>
  <c r="Y178" i="4"/>
  <c r="Z15" i="12" s="1"/>
  <c r="U66" i="4"/>
  <c r="Y66" i="4"/>
  <c r="Z193" i="12" s="1"/>
  <c r="Y86" i="12"/>
  <c r="Y108" i="4"/>
  <c r="Z101" i="12" s="1"/>
  <c r="Y101" i="12"/>
  <c r="U100" i="4"/>
  <c r="Y63" i="12"/>
  <c r="U102" i="4"/>
  <c r="Y144" i="12"/>
  <c r="U89" i="4"/>
  <c r="Y134" i="4"/>
  <c r="Z119" i="12" s="1"/>
  <c r="Y125" i="12"/>
  <c r="Y65" i="4"/>
  <c r="Z146" i="12" s="1"/>
  <c r="Y120" i="12"/>
  <c r="Y56" i="12"/>
  <c r="U65" i="4"/>
  <c r="Y61" i="12"/>
  <c r="U197" i="4"/>
  <c r="U172" i="4"/>
  <c r="Y9" i="4"/>
  <c r="Z16" i="12" s="1"/>
  <c r="Y163" i="4"/>
  <c r="Z122" i="12" s="1"/>
  <c r="Y122" i="12"/>
  <c r="Y6" i="4"/>
  <c r="Z55" i="12" s="1"/>
  <c r="U6" i="4"/>
  <c r="Y164" i="12"/>
  <c r="U186" i="4"/>
  <c r="Y141" i="4"/>
  <c r="Z93" i="12" s="1"/>
  <c r="Y191" i="4"/>
  <c r="Z68" i="12" s="1"/>
  <c r="U191" i="4"/>
  <c r="Y49" i="12"/>
  <c r="U43" i="4"/>
  <c r="U87" i="4"/>
  <c r="U79" i="4"/>
  <c r="Y96" i="12"/>
  <c r="Y118" i="12"/>
  <c r="U141" i="4"/>
  <c r="Y176" i="4"/>
  <c r="Z71" i="12" s="1"/>
  <c r="Y68" i="4"/>
  <c r="Z148" i="12" s="1"/>
  <c r="Y148" i="12"/>
  <c r="Y145" i="12"/>
  <c r="Y63" i="4"/>
  <c r="Z145" i="12" s="1"/>
  <c r="U116" i="4"/>
  <c r="Y67" i="12"/>
  <c r="Y166" i="12"/>
  <c r="Y119" i="12"/>
  <c r="U7" i="4"/>
  <c r="U175" i="4"/>
  <c r="U195" i="4"/>
  <c r="Y172" i="4"/>
  <c r="Z88" i="12" s="1"/>
  <c r="Y195" i="4"/>
  <c r="Z26" i="12" s="1"/>
  <c r="Y91" i="12"/>
  <c r="Y82" i="12"/>
  <c r="Y166" i="4"/>
  <c r="Z82" i="12" s="1"/>
  <c r="U75" i="4"/>
  <c r="Y90" i="12"/>
  <c r="Y21" i="4"/>
  <c r="Z90" i="12" s="1"/>
  <c r="Y17" i="12"/>
  <c r="U164" i="4"/>
  <c r="Y47" i="12"/>
  <c r="Y132" i="4"/>
  <c r="Z161" i="12" s="1"/>
  <c r="U171" i="4"/>
  <c r="Y161" i="12"/>
  <c r="U169" i="4"/>
  <c r="Y40" i="4"/>
  <c r="Z153" i="12" s="1"/>
  <c r="Y9" i="12"/>
  <c r="U85" i="4"/>
  <c r="Y108" i="12"/>
  <c r="Y204" i="4"/>
  <c r="Z150" i="12" s="1"/>
  <c r="Y94" i="4"/>
  <c r="Z108" i="12" s="1"/>
  <c r="Y10" i="12"/>
  <c r="U23" i="4"/>
  <c r="Y150" i="12"/>
  <c r="Y112" i="12"/>
  <c r="Y104" i="4"/>
  <c r="Z112" i="12" s="1"/>
  <c r="Y105" i="4"/>
  <c r="Z116" i="12" s="1"/>
  <c r="U205" i="4"/>
  <c r="Y33" i="12"/>
  <c r="Y177" i="4"/>
  <c r="Z91" i="12" s="1"/>
  <c r="U118" i="4"/>
  <c r="U98" i="4"/>
  <c r="Y161" i="4"/>
  <c r="Z154" i="12" s="1"/>
  <c r="Y98" i="4"/>
  <c r="Z100" i="12" s="1"/>
  <c r="Y154" i="12"/>
  <c r="Y169" i="4"/>
  <c r="Z87" i="12" s="1"/>
  <c r="Y92" i="12"/>
  <c r="Y113" i="12"/>
  <c r="Y94" i="12"/>
  <c r="Y190" i="4"/>
  <c r="Z132" i="12" s="1"/>
  <c r="Y76" i="12"/>
  <c r="Y131" i="4"/>
  <c r="Z27" i="12" s="1"/>
  <c r="U157" i="4"/>
  <c r="U131" i="4"/>
  <c r="Y196" i="4"/>
  <c r="Z156" i="12" s="1"/>
  <c r="Y156" i="12"/>
  <c r="U91" i="4"/>
  <c r="Y35" i="4"/>
  <c r="Z187" i="12" s="1"/>
  <c r="U182" i="4"/>
  <c r="Y152" i="12"/>
  <c r="Y187" i="12"/>
  <c r="U52" i="4"/>
  <c r="Y182" i="4"/>
  <c r="Z134" i="12" s="1"/>
  <c r="Y176" i="12"/>
  <c r="Y59" i="4"/>
  <c r="Z140" i="12" s="1"/>
  <c r="U126" i="4"/>
  <c r="Y64" i="12"/>
  <c r="Y196" i="12"/>
  <c r="Y140" i="12"/>
  <c r="Y89" i="12"/>
  <c r="Y137" i="4"/>
  <c r="Z64" i="12" s="1"/>
  <c r="Y102" i="12"/>
  <c r="U123" i="4"/>
  <c r="U155" i="4"/>
  <c r="Y153" i="12"/>
  <c r="Y185" i="4"/>
  <c r="Z69" i="12" s="1"/>
  <c r="Y82" i="4"/>
  <c r="Z162" i="12" s="1"/>
  <c r="Y25" i="4"/>
  <c r="Z43" i="12" s="1"/>
  <c r="U82" i="4"/>
  <c r="U25" i="4"/>
  <c r="Y54" i="4"/>
  <c r="Z125" i="12" s="1"/>
  <c r="Y15" i="12"/>
  <c r="U174" i="4"/>
  <c r="Y110" i="12"/>
  <c r="Y36" i="4"/>
  <c r="Z206" i="12" s="1"/>
  <c r="Y84" i="12"/>
  <c r="U83" i="4"/>
  <c r="U121" i="4"/>
  <c r="Y132" i="12"/>
  <c r="U153" i="4"/>
  <c r="Y121" i="4"/>
  <c r="Z83" i="12" s="1"/>
  <c r="Y183" i="4"/>
  <c r="Z12" i="12" s="1"/>
  <c r="U183" i="4"/>
  <c r="Y12" i="12"/>
  <c r="Y70" i="4"/>
  <c r="Z149" i="12" s="1"/>
  <c r="U70" i="4"/>
  <c r="Y149" i="12"/>
  <c r="U96" i="4"/>
  <c r="Y99" i="12"/>
  <c r="Y96" i="4"/>
  <c r="Z99" i="12" s="1"/>
  <c r="Y121" i="12"/>
  <c r="U194" i="4"/>
  <c r="Y194" i="4"/>
  <c r="Z121" i="12" s="1"/>
  <c r="U13" i="4"/>
  <c r="Y13" i="4"/>
  <c r="Z158" i="12" s="1"/>
  <c r="Y158" i="12"/>
  <c r="Y103" i="12"/>
  <c r="Y139" i="4"/>
  <c r="Z103" i="12" s="1"/>
  <c r="U139" i="4"/>
  <c r="U125" i="4"/>
  <c r="Y125" i="4"/>
  <c r="Z136" i="12" s="1"/>
  <c r="Y136" i="12"/>
  <c r="U192" i="4"/>
  <c r="Y20" i="12"/>
  <c r="Y192" i="4"/>
  <c r="Z20" i="12" s="1"/>
  <c r="Y198" i="12"/>
  <c r="U168" i="4"/>
  <c r="Y168" i="4"/>
  <c r="Z198" i="12" s="1"/>
  <c r="Y104" i="12"/>
  <c r="Y18" i="4"/>
  <c r="Z104" i="12" s="1"/>
  <c r="U18" i="4"/>
  <c r="U107" i="4"/>
  <c r="Y115" i="12"/>
  <c r="Y107" i="4"/>
  <c r="Z115" i="12" s="1"/>
  <c r="Y171" i="12"/>
  <c r="Y11" i="4"/>
  <c r="Z171" i="12" s="1"/>
  <c r="U11" i="4"/>
  <c r="U180" i="4"/>
  <c r="Y180" i="4"/>
  <c r="Z4" i="12" s="1"/>
  <c r="Y4" i="12"/>
  <c r="U50" i="4"/>
  <c r="Y45" i="12"/>
  <c r="Y50" i="4"/>
  <c r="Z45" i="12" s="1"/>
  <c r="Y188" i="12"/>
  <c r="U49" i="4"/>
  <c r="Y49" i="4"/>
  <c r="Z188" i="12" s="1"/>
  <c r="Y117" i="12"/>
  <c r="Y203" i="4"/>
  <c r="Z117" i="12" s="1"/>
  <c r="U203" i="4"/>
  <c r="Y81" i="4"/>
  <c r="Z11" i="12" s="1"/>
  <c r="U81" i="4"/>
  <c r="Y11" i="12"/>
  <c r="U135" i="4"/>
  <c r="Y135" i="4"/>
  <c r="Z155" i="12" s="1"/>
  <c r="Y155" i="12"/>
  <c r="Y15" i="4"/>
  <c r="Z75" i="12" s="1"/>
  <c r="U15" i="4"/>
  <c r="Y75" i="12"/>
  <c r="Y37" i="4"/>
  <c r="Z168" i="12" s="1"/>
  <c r="U37" i="4"/>
  <c r="Y168" i="12"/>
  <c r="Y3" i="4"/>
  <c r="Z179" i="12" s="1"/>
  <c r="U3" i="4"/>
  <c r="Y179" i="12"/>
  <c r="Y97" i="12"/>
  <c r="U46" i="4"/>
  <c r="Y46" i="4"/>
  <c r="Z97" i="12" s="1"/>
  <c r="U119" i="4"/>
  <c r="Y81" i="12"/>
  <c r="Y119" i="4"/>
  <c r="Z81" i="12" s="1"/>
  <c r="Y50" i="12"/>
  <c r="U64" i="4"/>
  <c r="Y64" i="4"/>
  <c r="Z50" i="12" s="1"/>
  <c r="U200" i="4"/>
  <c r="Y200" i="4"/>
  <c r="Z199" i="12" s="1"/>
  <c r="Y199" i="12"/>
  <c r="Y151" i="4"/>
  <c r="Z19" i="12" s="1"/>
  <c r="Y19" i="12"/>
  <c r="U151" i="4"/>
  <c r="U61" i="4"/>
  <c r="Y139" i="12"/>
  <c r="Y61" i="4"/>
  <c r="Z139" i="12" s="1"/>
  <c r="U77" i="4"/>
  <c r="Y204" i="12"/>
  <c r="Y77" i="4"/>
  <c r="Z204" i="12" s="1"/>
  <c r="U150" i="4"/>
  <c r="Y150" i="4"/>
  <c r="Z42" i="12" s="1"/>
  <c r="Y42" i="12"/>
  <c r="U145" i="4"/>
  <c r="Y18" i="12"/>
  <c r="Y145" i="4"/>
  <c r="Z18" i="12" s="1"/>
  <c r="Y39" i="4"/>
  <c r="Z142" i="12" s="1"/>
  <c r="Y142" i="12"/>
  <c r="U39" i="4"/>
  <c r="Y95" i="12"/>
  <c r="Y165" i="4"/>
  <c r="Z95" i="12" s="1"/>
  <c r="U165" i="4"/>
  <c r="Y88" i="4"/>
  <c r="Z29" i="12" s="1"/>
  <c r="Y29" i="12"/>
  <c r="U88" i="4"/>
  <c r="Y6" i="12"/>
  <c r="Y32" i="4"/>
  <c r="Z6" i="12" s="1"/>
  <c r="U32" i="4"/>
  <c r="Y169" i="12"/>
  <c r="Y95" i="4"/>
  <c r="Z169" i="12" s="1"/>
  <c r="U95" i="4"/>
  <c r="Y185" i="12"/>
  <c r="Y148" i="4"/>
  <c r="Z185" i="12" s="1"/>
  <c r="U148" i="4"/>
  <c r="Y31" i="12"/>
  <c r="Y138" i="4"/>
  <c r="Z31" i="12" s="1"/>
  <c r="U138" i="4"/>
  <c r="Y72" i="4"/>
  <c r="Z165" i="12" s="1"/>
  <c r="U72" i="4"/>
  <c r="Y165" i="12"/>
  <c r="Y16" i="4"/>
  <c r="Z184" i="12" s="1"/>
  <c r="U16" i="4"/>
  <c r="Y184" i="12"/>
  <c r="U12" i="4"/>
  <c r="Y12" i="4"/>
  <c r="Z167" i="12" s="1"/>
  <c r="Y167" i="12"/>
  <c r="U115" i="4"/>
  <c r="Y115" i="4"/>
  <c r="Z137" i="12" s="1"/>
  <c r="Y137" i="12"/>
  <c r="U170" i="4"/>
  <c r="Y30" i="12"/>
  <c r="Y170" i="4"/>
  <c r="Z30" i="12" s="1"/>
  <c r="Y53" i="4"/>
  <c r="Z133" i="12" s="1"/>
  <c r="Y133" i="12"/>
  <c r="U53" i="4"/>
  <c r="Y159" i="12"/>
  <c r="Y109" i="4"/>
  <c r="Z159" i="12" s="1"/>
  <c r="U109" i="4"/>
  <c r="Y92" i="4"/>
  <c r="Z192" i="12" s="1"/>
  <c r="U92" i="4"/>
  <c r="Y192" i="12"/>
  <c r="Y67" i="4"/>
  <c r="Z194" i="12" s="1"/>
  <c r="Y194" i="12"/>
  <c r="U67" i="4"/>
  <c r="Y144" i="4"/>
  <c r="Z65" i="12" s="1"/>
  <c r="U144" i="4"/>
  <c r="Y65" i="12"/>
  <c r="U113" i="4"/>
  <c r="Y113" i="4"/>
  <c r="Z57" i="12" s="1"/>
  <c r="Y57" i="12"/>
  <c r="Y157" i="12"/>
  <c r="U143" i="4"/>
  <c r="Y143" i="4"/>
  <c r="Z157" i="12" s="1"/>
  <c r="U99" i="4"/>
  <c r="Y99" i="4"/>
  <c r="Z201" i="12" s="1"/>
  <c r="Y201" i="12"/>
  <c r="Y122" i="4"/>
  <c r="Z3" i="12" s="1"/>
  <c r="Y3" i="12"/>
  <c r="U122" i="4"/>
  <c r="Y21" i="12"/>
  <c r="U188" i="4"/>
  <c r="Y188" i="4"/>
  <c r="Z21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A1" authorId="0" shapeId="0" xr:uid="{00000000-0006-0000-0300-000001000000}">
      <text>
        <r>
          <rPr>
            <sz val="11"/>
            <color theme="1"/>
            <rFont val="ＭＳ Ｐゴシック"/>
            <family val="2"/>
            <scheme val="minor"/>
          </rPr>
          <t xml:space="preserve">分析シートの見方
ステップ1：最終シグナル（Y列）で絞り込む
▼フィルターで：
★強い買い
◎押し目買い
○買い候補
★逆張り候補
をチェックして絞り込む
ステップ2：絞り込んだ銘柄を確認
列確認内容良い状態ADEMAトレンドパーフェクト▲AE押し目判定25日押し目★O出来高倍率2倍以上T総合スコア5点以上WRSI30〜50（割安）Z前日比プラス
ステップ3：株探で詳細確認
A列の**「株探」リンク**をクリックして：
📈 チャートを確認
📰 ニュースを確認
💰 決算情報を確認
最強の買いサイン
★強い買い
　＋パーフェクト▲
　＋25日押し目★
　＋出来高2倍以上
　＋RSI50以下
　→ 強く購入検討！
注意点
TOPIX下落▼の日は見送りが基本
★逆張り候補はリスクが高いので少額で
</t>
        </r>
      </text>
    </comment>
    <comment ref="T2" authorId="0" shapeId="0" xr:uid="{817649D7-C581-40B9-95C2-3DCDA0F2F29F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26点満点（従来23点＋AI列「相対力スコア」最大3点）。対TOPIX超過リターンを加点。</t>
        </r>
      </text>
    </comment>
    <comment ref="Y2" authorId="0" shapeId="0" xr:uid="{00000000-0006-0000-0300-000002000000}">
      <text>
        <r>
          <rPr>
            <sz val="11"/>
            <color theme="1"/>
            <rFont val="ＭＳ Ｐゴシック"/>
            <family val="2"/>
            <scheme val="minor"/>
          </rPr>
          <t xml:space="preserve">ステップ1：最終シグナル（Y列）で絞り込む
▼フィルターで：
★強い買い
◎押し目買い
○買い候補
★逆張り候補
</t>
        </r>
      </text>
    </comment>
    <comment ref="AF2" authorId="0" shapeId="0" xr:uid="{9E371818-30D4-45DC-9A7D-94021A1381E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基準期間（AL2）の騰落率。期間はTOPIX履歴に合わせ最大25日で自動伸長。</t>
        </r>
      </text>
    </comment>
    <comment ref="AI2" authorId="0" shapeId="0" xr:uid="{4D0C501B-59DF-4B1A-BE1B-F28A70F9EF0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対TOPIX超過リターンで加減点。&gt;5%→+3 / &gt;0%→+1 / -3～0%→-1 / -3%以下→-2。市場に負ける銘柄を押し下げて絞り込む。</t>
        </r>
      </text>
    </comment>
    <comment ref="AL2" authorId="0" shapeId="0" xr:uid="{11882E5A-F470-416C-B1B8-CE6319BF449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相対力計算の基準期間（営業日）。TOPIX履歴が25日未満の間は有効日数、以降は25で固定。毎日自動で伸びる。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T2" authorId="0" shapeId="0" xr:uid="{A39E123C-FF8F-4CB5-985B-F173921D32C3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AL列「相対力スコア」を加減点。売り側は市場に負ける弱い銘柄ほど加点（買い側と逆）。</t>
        </r>
      </text>
    </comment>
    <comment ref="AL2" authorId="0" shapeId="0" xr:uid="{E3D80261-601F-4AA2-B916-D5A8F427C888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売り用：市場に負ける弱い銘柄を加点。&lt;-5%→+3 / &lt;0%→+1 / 0～3%→-1 / &gt;3%→-2。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O3" authorId="0" shapeId="0" xr:uid="{0483AFF0-E882-441E-8228-08E90EE6B713}">
      <text>
        <r>
          <rPr>
            <b/>
            <sz val="9"/>
            <color indexed="81"/>
            <rFont val="MS P ゴシック"/>
            <family val="3"/>
            <charset val="128"/>
          </rPr>
          <t>条件判断現在値 &gt;= 購入価格×1.07🟢利確推奨現在値 &gt;= 購入価格×1.06🟡利確&amp;STOP検討現在値 &lt;= 購入価格×0.96🔴損切推奨現在値 &lt;= 購入価格×0.965🔴損切間近現在値 &lt;= 購入価格×0.97⚠️-3%注意現在値 &lt;= トレーリングSTOP🟡STOP推奨それ以外保持継続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<sst xmlns="http://schemas.openxmlformats.org/spreadsheetml/2006/main" count="3490" uniqueCount="1010">
  <si>
    <t xml:space="preserve">  📊  株価管理システム｜銘柄管理マスター</t>
  </si>
  <si>
    <t xml:space="preserve">  最終更新: ―</t>
  </si>
  <si>
    <t>コード</t>
  </si>
  <si>
    <t>銘 柄 名</t>
  </si>
  <si>
    <t>株探</t>
  </si>
  <si>
    <t>TOPX</t>
  </si>
  <si>
    <t>メモ</t>
  </si>
  <si>
    <t>銘柄コード</t>
  </si>
  <si>
    <t>銘柄名称</t>
  </si>
  <si>
    <t>現在値</t>
  </si>
  <si>
    <t>高値</t>
  </si>
  <si>
    <t>安値</t>
  </si>
  <si>
    <t>出来高</t>
  </si>
  <si>
    <t>RSI(14)</t>
  </si>
  <si>
    <t>EMAトレンド</t>
  </si>
  <si>
    <t>押し目判定</t>
  </si>
  <si>
    <t>出来高倍率</t>
  </si>
  <si>
    <t>MACD</t>
  </si>
  <si>
    <t>高値更新</t>
  </si>
  <si>
    <t>利確ライン</t>
  </si>
  <si>
    <t>損切りライン</t>
  </si>
  <si>
    <t>総合スコア</t>
  </si>
  <si>
    <t>シグナル内容</t>
  </si>
  <si>
    <t>株リンク</t>
  </si>
  <si>
    <t>始値</t>
  </si>
  <si>
    <t>前日終値</t>
  </si>
  <si>
    <t>年初来高値</t>
  </si>
  <si>
    <t>高値距離(%)</t>
  </si>
  <si>
    <t>出来高5日平均</t>
  </si>
  <si>
    <t>出来高25日平均</t>
  </si>
  <si>
    <t>出来高トレンド</t>
  </si>
  <si>
    <t>エントリー判定</t>
  </si>
  <si>
    <t>ダマシ除外</t>
  </si>
  <si>
    <t>最終シグナル</t>
  </si>
  <si>
    <t>前日比(%)</t>
  </si>
  <si>
    <t>ステータス</t>
  </si>
  <si>
    <t>5日EMA</t>
  </si>
  <si>
    <t>25日EMA</t>
  </si>
  <si>
    <t>RSS 始値</t>
  </si>
  <si>
    <t>差  分</t>
  </si>
  <si>
    <t>日  付</t>
  </si>
  <si>
    <t xml:space="preserve">  📈  高値シート｜60日履歴</t>
  </si>
  <si>
    <t>RSS 高値</t>
  </si>
  <si>
    <t xml:space="preserve">  📈  安値シート｜60日履歴</t>
  </si>
  <si>
    <t>RSS 安値</t>
  </si>
  <si>
    <t xml:space="preserve">  📈  終値シート｜60日履歴</t>
  </si>
  <si>
    <t>RSS 現値</t>
  </si>
  <si>
    <t>RSS 出来高</t>
  </si>
  <si>
    <t xml:space="preserve">買い抽出　結果 </t>
    <rPh sb="0" eb="1">
      <t>カ</t>
    </rPh>
    <rPh sb="2" eb="4">
      <t>チュウシュツ</t>
    </rPh>
    <rPh sb="5" eb="7">
      <t>ケッカ</t>
    </rPh>
    <phoneticPr fontId="16"/>
  </si>
  <si>
    <t>出来高</t>
    <rPh sb="0" eb="3">
      <t>デキダカ</t>
    </rPh>
    <phoneticPr fontId="16"/>
  </si>
  <si>
    <t>→</t>
  </si>
  <si>
    <t>信越化学</t>
    <phoneticPr fontId="16"/>
  </si>
  <si>
    <t>三菱電機</t>
    <phoneticPr fontId="16"/>
  </si>
  <si>
    <t>味の素</t>
    <phoneticPr fontId="16"/>
  </si>
  <si>
    <t>参天製薬</t>
    <phoneticPr fontId="16"/>
  </si>
  <si>
    <t>デクセリアルズ</t>
    <phoneticPr fontId="16"/>
  </si>
  <si>
    <t>日本通信</t>
    <phoneticPr fontId="16"/>
  </si>
  <si>
    <t>アイル</t>
    <phoneticPr fontId="16"/>
  </si>
  <si>
    <t>弁護士ドットコム</t>
    <phoneticPr fontId="16"/>
  </si>
  <si>
    <t>ＭＴＧ</t>
    <phoneticPr fontId="16"/>
  </si>
  <si>
    <t>ＡＮＡホールディングス</t>
    <phoneticPr fontId="16"/>
  </si>
  <si>
    <t>パイロットコーポレーション</t>
    <phoneticPr fontId="16"/>
  </si>
  <si>
    <t>トヨタ自動車</t>
    <phoneticPr fontId="16"/>
  </si>
  <si>
    <t>ファナック</t>
    <phoneticPr fontId="16"/>
  </si>
  <si>
    <t>ミネベアミツミ</t>
    <phoneticPr fontId="16"/>
  </si>
  <si>
    <t>奥村組</t>
    <phoneticPr fontId="16"/>
  </si>
  <si>
    <t>古河電工</t>
    <phoneticPr fontId="16"/>
  </si>
  <si>
    <t>安川電機</t>
    <phoneticPr fontId="16"/>
  </si>
  <si>
    <t>双日</t>
    <phoneticPr fontId="16"/>
  </si>
  <si>
    <t>日立建機</t>
    <phoneticPr fontId="16"/>
  </si>
  <si>
    <t>豊田通商</t>
    <phoneticPr fontId="16"/>
  </si>
  <si>
    <t>ソニーグループ</t>
    <phoneticPr fontId="16"/>
  </si>
  <si>
    <t>日本郵船</t>
    <phoneticPr fontId="16"/>
  </si>
  <si>
    <t>三菱重工業</t>
    <phoneticPr fontId="16"/>
  </si>
  <si>
    <t>鹿島建設</t>
    <phoneticPr fontId="16"/>
  </si>
  <si>
    <t>ハーモニック・ドライブ・シス</t>
    <phoneticPr fontId="16"/>
  </si>
  <si>
    <t>ＳＭＣ</t>
    <phoneticPr fontId="16"/>
  </si>
  <si>
    <t>武田薬品</t>
    <phoneticPr fontId="16"/>
  </si>
  <si>
    <t>レゾナック・ホールディング</t>
    <phoneticPr fontId="16"/>
  </si>
  <si>
    <t>レノバ</t>
    <phoneticPr fontId="16"/>
  </si>
  <si>
    <t>パナソニックホールディンク</t>
    <phoneticPr fontId="16"/>
  </si>
  <si>
    <t>ダイヘン</t>
    <phoneticPr fontId="16"/>
  </si>
  <si>
    <t>ウエストホールディングス</t>
    <phoneticPr fontId="16"/>
  </si>
  <si>
    <t>東京製鐵</t>
    <phoneticPr fontId="16"/>
  </si>
  <si>
    <t>住友鉱山</t>
    <phoneticPr fontId="16"/>
  </si>
  <si>
    <t>三菱マテリアル</t>
    <phoneticPr fontId="16"/>
  </si>
  <si>
    <t>ＤＯＷＡホールディングス</t>
    <phoneticPr fontId="16"/>
  </si>
  <si>
    <t>日本電気</t>
    <phoneticPr fontId="16"/>
  </si>
  <si>
    <t>ＩＮＰＥＸ</t>
    <phoneticPr fontId="16"/>
  </si>
  <si>
    <t>日本軽金属ＨＤ</t>
    <phoneticPr fontId="16"/>
  </si>
  <si>
    <t>丸紅</t>
    <phoneticPr fontId="16"/>
  </si>
  <si>
    <t>コスモエネルギーＨＬＤＧＳ</t>
    <phoneticPr fontId="16"/>
  </si>
  <si>
    <t>三菱商事</t>
    <phoneticPr fontId="16"/>
  </si>
  <si>
    <t>ＮＧＫ</t>
    <phoneticPr fontId="16"/>
  </si>
  <si>
    <t>石油資源開発</t>
    <phoneticPr fontId="16"/>
  </si>
  <si>
    <t>みずほフィナンシャルＧ</t>
    <phoneticPr fontId="16"/>
  </si>
  <si>
    <t>大平洋金属</t>
    <phoneticPr fontId="16"/>
  </si>
  <si>
    <t>ＴＯＴＯ</t>
    <phoneticPr fontId="16"/>
  </si>
  <si>
    <t>ＭＳ＆ＡＤ</t>
    <phoneticPr fontId="16"/>
  </si>
  <si>
    <t>Ｔ＆Ｄホールディングス</t>
    <phoneticPr fontId="16"/>
  </si>
  <si>
    <t>出光興産</t>
    <phoneticPr fontId="16"/>
  </si>
  <si>
    <t>住友商事</t>
    <phoneticPr fontId="16"/>
  </si>
  <si>
    <t>オリックス</t>
    <phoneticPr fontId="16"/>
  </si>
  <si>
    <t>帝人</t>
    <phoneticPr fontId="16"/>
  </si>
  <si>
    <t>ＳＵＭＣＯ</t>
    <phoneticPr fontId="16"/>
  </si>
  <si>
    <t>ＥＮＥＯＳホールディングス</t>
    <phoneticPr fontId="16"/>
  </si>
  <si>
    <t>野村マイクロ・サイエンス</t>
    <phoneticPr fontId="16"/>
  </si>
  <si>
    <t>三井住友トラストグルー</t>
    <phoneticPr fontId="16"/>
  </si>
  <si>
    <t>日本製紙</t>
    <phoneticPr fontId="16"/>
  </si>
  <si>
    <t>大和証券Ｇ本社</t>
    <phoneticPr fontId="16"/>
  </si>
  <si>
    <t>太平洋セメント</t>
    <phoneticPr fontId="16"/>
  </si>
  <si>
    <t>りそなホールディングス</t>
    <phoneticPr fontId="16"/>
  </si>
  <si>
    <t>ＬＩＸＩＬ</t>
    <phoneticPr fontId="16"/>
  </si>
  <si>
    <t>イオンフィナンシャルサービス</t>
    <phoneticPr fontId="16"/>
  </si>
  <si>
    <t>神戸製鋼所</t>
    <phoneticPr fontId="16"/>
  </si>
  <si>
    <t>三菱ＨＣキャピタル</t>
    <phoneticPr fontId="16"/>
  </si>
  <si>
    <t>野村ホールディングス</t>
    <phoneticPr fontId="16"/>
  </si>
  <si>
    <t>王子ホールディングス</t>
    <phoneticPr fontId="16"/>
  </si>
  <si>
    <t>リンナイ</t>
    <phoneticPr fontId="16"/>
  </si>
  <si>
    <t>第一ライフグループ</t>
    <phoneticPr fontId="16"/>
  </si>
  <si>
    <t>東レ</t>
    <phoneticPr fontId="16"/>
  </si>
  <si>
    <t>三菱ＵＦＪフィナンシャルＧ</t>
    <phoneticPr fontId="16"/>
  </si>
  <si>
    <t>日本製鉄</t>
    <phoneticPr fontId="16"/>
  </si>
  <si>
    <t>アコム</t>
    <phoneticPr fontId="16"/>
  </si>
  <si>
    <t>レンゴー</t>
    <phoneticPr fontId="16"/>
  </si>
  <si>
    <t>三和ホールディングス</t>
    <phoneticPr fontId="16"/>
  </si>
  <si>
    <t>三井住友フィナンシャルＧ</t>
    <phoneticPr fontId="16"/>
  </si>
  <si>
    <t>大阪製鐵</t>
    <phoneticPr fontId="16"/>
  </si>
  <si>
    <t>東京海上ＨＤ</t>
    <phoneticPr fontId="16"/>
  </si>
  <si>
    <t>ＡＧＣ</t>
    <phoneticPr fontId="16"/>
  </si>
  <si>
    <t>ＳＯＭＰＯホールディングス</t>
    <phoneticPr fontId="16"/>
  </si>
  <si>
    <t>東洋製罐グループＨＤ</t>
    <phoneticPr fontId="16"/>
  </si>
  <si>
    <t>スカパーＪＳＡＴ</t>
    <phoneticPr fontId="16"/>
  </si>
  <si>
    <t>豊和工業</t>
    <phoneticPr fontId="16"/>
  </si>
  <si>
    <t>フジ・メディア・ＨＤ</t>
    <phoneticPr fontId="16"/>
  </si>
  <si>
    <t>三機工業</t>
    <phoneticPr fontId="16"/>
  </si>
  <si>
    <t>ダイワボウＨＤ</t>
    <phoneticPr fontId="16"/>
  </si>
  <si>
    <t>東亞合成</t>
    <phoneticPr fontId="16"/>
  </si>
  <si>
    <t>ＡＲＥホールディングス</t>
    <phoneticPr fontId="16"/>
  </si>
  <si>
    <t>ゼビオホールディングス</t>
    <phoneticPr fontId="16"/>
  </si>
  <si>
    <t>ツムラ</t>
    <phoneticPr fontId="16"/>
  </si>
  <si>
    <t>ソフトバンクグループ</t>
    <phoneticPr fontId="16"/>
  </si>
  <si>
    <t>横河電機</t>
    <phoneticPr fontId="16"/>
  </si>
  <si>
    <t>めぶきフィナンシャルＧ</t>
    <phoneticPr fontId="16"/>
  </si>
  <si>
    <t>大和ハウス</t>
    <phoneticPr fontId="16"/>
  </si>
  <si>
    <t>ＪＦＥホールディングス</t>
    <phoneticPr fontId="16"/>
  </si>
  <si>
    <t>ゆうちょ銀行</t>
    <phoneticPr fontId="16"/>
  </si>
  <si>
    <t>日揮ホールディングス</t>
    <phoneticPr fontId="16"/>
  </si>
  <si>
    <t>日本たばこ産業</t>
    <phoneticPr fontId="16"/>
  </si>
  <si>
    <t>ヒューリック</t>
    <phoneticPr fontId="16"/>
  </si>
  <si>
    <t>ＹＵＴＯＲＩ</t>
    <phoneticPr fontId="16"/>
  </si>
  <si>
    <t>ローツェ</t>
    <phoneticPr fontId="16"/>
  </si>
  <si>
    <t>日立</t>
    <phoneticPr fontId="16"/>
  </si>
  <si>
    <t>ＦＵＪＩ</t>
    <phoneticPr fontId="16"/>
  </si>
  <si>
    <t>岡本硝子</t>
    <phoneticPr fontId="16"/>
  </si>
  <si>
    <t>旭化成</t>
    <phoneticPr fontId="16"/>
  </si>
  <si>
    <t>住友精化</t>
    <phoneticPr fontId="16"/>
  </si>
  <si>
    <t>イビデン</t>
    <phoneticPr fontId="16"/>
  </si>
  <si>
    <t>三菱瓦斯化学</t>
    <phoneticPr fontId="16"/>
  </si>
  <si>
    <t>三菱ケミカルグループ</t>
    <phoneticPr fontId="16"/>
  </si>
  <si>
    <t>エーザイ</t>
    <phoneticPr fontId="16"/>
  </si>
  <si>
    <t>小野薬品</t>
    <phoneticPr fontId="16"/>
  </si>
  <si>
    <t>オリエンタルランド</t>
    <phoneticPr fontId="16"/>
  </si>
  <si>
    <t>住友電工</t>
    <phoneticPr fontId="16"/>
  </si>
  <si>
    <t>フジクラ</t>
    <phoneticPr fontId="16"/>
  </si>
  <si>
    <t>日本郵政</t>
    <phoneticPr fontId="16"/>
  </si>
  <si>
    <t>ウシオ電機</t>
    <phoneticPr fontId="16"/>
  </si>
  <si>
    <t>ニッチツ</t>
    <phoneticPr fontId="16"/>
  </si>
  <si>
    <t>東京精密</t>
    <phoneticPr fontId="16"/>
  </si>
  <si>
    <t>芙蓉総合リース</t>
    <phoneticPr fontId="16"/>
  </si>
  <si>
    <t>東日本旅客鉄道</t>
    <phoneticPr fontId="16"/>
  </si>
  <si>
    <t>センコーグループＨＬＤＧＳ</t>
    <phoneticPr fontId="16"/>
  </si>
  <si>
    <t>マイクロ波化学</t>
    <phoneticPr fontId="16"/>
  </si>
  <si>
    <t>ｉｓｐａｃｅ</t>
    <phoneticPr fontId="16"/>
  </si>
  <si>
    <t>ＧＭＯインターネットグループ</t>
    <phoneticPr fontId="16"/>
  </si>
  <si>
    <t>東京電力ＨＤ</t>
    <phoneticPr fontId="16"/>
  </si>
  <si>
    <t>東京瓦斯</t>
    <phoneticPr fontId="16"/>
  </si>
  <si>
    <t>イエローハット</t>
    <phoneticPr fontId="16"/>
  </si>
  <si>
    <t>楽天銀行</t>
    <phoneticPr fontId="16"/>
  </si>
  <si>
    <t>京都フィナンシャルＧ</t>
    <phoneticPr fontId="16"/>
  </si>
  <si>
    <t>日本テレビＨＬＤＳ</t>
    <phoneticPr fontId="16"/>
  </si>
  <si>
    <t>能美防災</t>
    <phoneticPr fontId="16"/>
  </si>
  <si>
    <t>ＢＵＹＳＥＬＬＴＥＣＨ</t>
    <phoneticPr fontId="16"/>
  </si>
  <si>
    <t>群馬銀行</t>
    <phoneticPr fontId="16"/>
  </si>
  <si>
    <t>八十二長野銀行</t>
    <phoneticPr fontId="16"/>
  </si>
  <si>
    <t>三井不動産</t>
    <phoneticPr fontId="16"/>
  </si>
  <si>
    <t>サンフロンティア不動産</t>
    <phoneticPr fontId="16"/>
  </si>
  <si>
    <t>ビジョン</t>
    <phoneticPr fontId="16"/>
  </si>
  <si>
    <t>大阪瓦斯</t>
    <phoneticPr fontId="16"/>
  </si>
  <si>
    <t>東洋エンジニア</t>
    <phoneticPr fontId="16"/>
  </si>
  <si>
    <t>第一稀元素化学工</t>
    <phoneticPr fontId="16"/>
  </si>
  <si>
    <t>中外製薬</t>
    <phoneticPr fontId="16"/>
  </si>
  <si>
    <t>ジーエヌアイグループ</t>
    <phoneticPr fontId="16"/>
  </si>
  <si>
    <t>ＡＩメカテック</t>
    <phoneticPr fontId="16"/>
  </si>
  <si>
    <t>北川精機</t>
    <phoneticPr fontId="16"/>
  </si>
  <si>
    <t>日東紡績</t>
    <phoneticPr fontId="16"/>
  </si>
  <si>
    <t>ＡＣＳＬ</t>
    <phoneticPr fontId="16"/>
  </si>
  <si>
    <t>イーディーピー</t>
    <phoneticPr fontId="16"/>
  </si>
  <si>
    <t>アーキテクツＳＪ</t>
    <phoneticPr fontId="16"/>
  </si>
  <si>
    <t>ユニチカ</t>
    <phoneticPr fontId="16"/>
  </si>
  <si>
    <t>ＶＡＬＵＥＮＥＸ</t>
    <phoneticPr fontId="16"/>
  </si>
  <si>
    <t>ジャパンディスプレイ</t>
    <phoneticPr fontId="16"/>
  </si>
  <si>
    <t>ＱＤレーザ</t>
    <phoneticPr fontId="16"/>
  </si>
  <si>
    <t>アスタリスク</t>
    <phoneticPr fontId="16"/>
  </si>
  <si>
    <t>ＳＡＮＴＥＣＨＯＬＤＩＮＧＳ</t>
    <phoneticPr fontId="16"/>
  </si>
  <si>
    <t>メイコー</t>
    <phoneticPr fontId="16"/>
  </si>
  <si>
    <t>ステラファーマ</t>
    <phoneticPr fontId="16"/>
  </si>
  <si>
    <t>サムコ</t>
    <phoneticPr fontId="16"/>
  </si>
  <si>
    <t>多摩川ホールディングス</t>
    <phoneticPr fontId="16"/>
  </si>
  <si>
    <t>リファインバースグループ</t>
    <phoneticPr fontId="16"/>
  </si>
  <si>
    <t>野村総合研究所</t>
    <phoneticPr fontId="16"/>
  </si>
  <si>
    <t>山洋電気</t>
    <phoneticPr fontId="16"/>
  </si>
  <si>
    <t>ＣＣＩグループ</t>
    <phoneticPr fontId="16"/>
  </si>
  <si>
    <t>グローバルセキュ</t>
    <phoneticPr fontId="16"/>
  </si>
  <si>
    <t>村田製作所</t>
    <phoneticPr fontId="16"/>
  </si>
  <si>
    <t>アンリツ</t>
    <phoneticPr fontId="16"/>
  </si>
  <si>
    <t>エア・ウォーター</t>
    <phoneticPr fontId="16"/>
  </si>
  <si>
    <t>日本酸素ＨＬＤＧＳ</t>
    <phoneticPr fontId="16"/>
  </si>
  <si>
    <t>アドバンテスト</t>
    <phoneticPr fontId="16"/>
  </si>
  <si>
    <t>ニッポン高度紙工業</t>
    <phoneticPr fontId="16"/>
  </si>
  <si>
    <t>シンプレクスＨＤ</t>
    <phoneticPr fontId="16"/>
  </si>
  <si>
    <t>エスコン</t>
    <phoneticPr fontId="16"/>
  </si>
  <si>
    <t>ＫＳＫ</t>
    <phoneticPr fontId="16"/>
  </si>
  <si>
    <t>北陸電気工事</t>
    <phoneticPr fontId="16"/>
  </si>
  <si>
    <t>トレイダーズＨＬＤＧＳ</t>
    <phoneticPr fontId="16"/>
  </si>
  <si>
    <t>オービックビジネスＣ</t>
    <phoneticPr fontId="16"/>
  </si>
  <si>
    <t>ナガセ</t>
    <phoneticPr fontId="16"/>
  </si>
  <si>
    <t>メタウォーター</t>
    <phoneticPr fontId="16"/>
  </si>
  <si>
    <t>コア</t>
    <phoneticPr fontId="16"/>
  </si>
  <si>
    <t>明和産業</t>
    <phoneticPr fontId="16"/>
  </si>
  <si>
    <t>ＩＤホールディングス</t>
    <phoneticPr fontId="16"/>
  </si>
  <si>
    <t>タカラスタンダ－ド</t>
    <phoneticPr fontId="16"/>
  </si>
  <si>
    <t>ＳＢＩ新生銀行</t>
    <phoneticPr fontId="16"/>
  </si>
  <si>
    <t>ＨＥＲＯＺ</t>
    <phoneticPr fontId="16"/>
  </si>
  <si>
    <t>日鉄ソリューションズ</t>
    <phoneticPr fontId="16"/>
  </si>
  <si>
    <t>関電工</t>
    <phoneticPr fontId="16"/>
  </si>
  <si>
    <t>日本リーテック</t>
    <phoneticPr fontId="16"/>
  </si>
  <si>
    <t>ティラド</t>
    <phoneticPr fontId="16"/>
  </si>
  <si>
    <t>アマノ</t>
    <phoneticPr fontId="16"/>
  </si>
  <si>
    <t>合同製鐵</t>
    <phoneticPr fontId="16"/>
  </si>
  <si>
    <t>共英製鋼</t>
    <phoneticPr fontId="16"/>
  </si>
  <si>
    <t>北陸電力</t>
    <phoneticPr fontId="16"/>
  </si>
  <si>
    <t>ニチモウ</t>
    <phoneticPr fontId="16"/>
  </si>
  <si>
    <t>シンフォニアテクノロジー</t>
    <phoneticPr fontId="16"/>
  </si>
  <si>
    <t>東海旅客鉄道</t>
    <phoneticPr fontId="16"/>
  </si>
  <si>
    <t>西部ガスＨＬＤＧＳ</t>
    <phoneticPr fontId="16"/>
  </si>
  <si>
    <t>東北電力</t>
    <phoneticPr fontId="16"/>
  </si>
  <si>
    <t>日本Ｍ＆Ａセンターホールデ</t>
    <phoneticPr fontId="16"/>
  </si>
  <si>
    <t>シャープ</t>
    <phoneticPr fontId="16"/>
  </si>
  <si>
    <t>サワイグループＨＤ</t>
    <phoneticPr fontId="16"/>
  </si>
  <si>
    <t>ＮＯＴＥ</t>
    <phoneticPr fontId="16"/>
  </si>
  <si>
    <t>日本マクドナルドＨＬＤＧ</t>
    <phoneticPr fontId="16"/>
  </si>
  <si>
    <t>フェローテック</t>
    <phoneticPr fontId="16"/>
  </si>
  <si>
    <t>上村工業</t>
    <phoneticPr fontId="16"/>
  </si>
  <si>
    <t>ディスコ</t>
    <phoneticPr fontId="16"/>
  </si>
  <si>
    <t>東京エレクトロン</t>
    <phoneticPr fontId="16"/>
  </si>
  <si>
    <t>レーザーテック</t>
    <phoneticPr fontId="16"/>
  </si>
  <si>
    <t>285A</t>
  </si>
  <si>
    <t>141A</t>
  </si>
  <si>
    <t>QPS研究所</t>
    <phoneticPr fontId="16"/>
  </si>
  <si>
    <t>285A</t>
    <phoneticPr fontId="16"/>
  </si>
  <si>
    <t>141A</t>
    <phoneticPr fontId="16"/>
  </si>
  <si>
    <t>464A</t>
    <phoneticPr fontId="16"/>
  </si>
  <si>
    <t>5706</t>
    <phoneticPr fontId="16"/>
  </si>
  <si>
    <t>5423</t>
    <phoneticPr fontId="16"/>
  </si>
  <si>
    <t>5713</t>
    <phoneticPr fontId="16"/>
  </si>
  <si>
    <t>5711</t>
    <phoneticPr fontId="16"/>
  </si>
  <si>
    <t>5714</t>
    <phoneticPr fontId="16"/>
  </si>
  <si>
    <t>6701</t>
    <phoneticPr fontId="16"/>
  </si>
  <si>
    <t>1605</t>
    <phoneticPr fontId="16"/>
  </si>
  <si>
    <t>5703</t>
    <phoneticPr fontId="16"/>
  </si>
  <si>
    <t>8002</t>
    <phoneticPr fontId="16"/>
  </si>
  <si>
    <t>5021</t>
    <phoneticPr fontId="16"/>
  </si>
  <si>
    <t>8058</t>
    <phoneticPr fontId="16"/>
  </si>
  <si>
    <t>5333</t>
    <phoneticPr fontId="16"/>
  </si>
  <si>
    <t>1662</t>
    <phoneticPr fontId="16"/>
  </si>
  <si>
    <t>8411</t>
    <phoneticPr fontId="16"/>
  </si>
  <si>
    <t>5541</t>
    <phoneticPr fontId="16"/>
  </si>
  <si>
    <t>5332</t>
    <phoneticPr fontId="16"/>
  </si>
  <si>
    <t>8725</t>
    <phoneticPr fontId="16"/>
  </si>
  <si>
    <t>8795</t>
    <phoneticPr fontId="16"/>
  </si>
  <si>
    <t>5019</t>
    <phoneticPr fontId="16"/>
  </si>
  <si>
    <t>8053</t>
    <phoneticPr fontId="16"/>
  </si>
  <si>
    <t>8591</t>
    <phoneticPr fontId="16"/>
  </si>
  <si>
    <t>3401</t>
    <phoneticPr fontId="16"/>
  </si>
  <si>
    <t>3436</t>
    <phoneticPr fontId="16"/>
  </si>
  <si>
    <t>5020</t>
    <phoneticPr fontId="16"/>
  </si>
  <si>
    <t>6254</t>
    <phoneticPr fontId="16"/>
  </si>
  <si>
    <t>8309</t>
    <phoneticPr fontId="16"/>
  </si>
  <si>
    <t>3863</t>
    <phoneticPr fontId="16"/>
  </si>
  <si>
    <t>8601</t>
    <phoneticPr fontId="16"/>
  </si>
  <si>
    <t>5233</t>
    <phoneticPr fontId="16"/>
  </si>
  <si>
    <t>8308</t>
    <phoneticPr fontId="16"/>
  </si>
  <si>
    <t>5938</t>
    <phoneticPr fontId="16"/>
  </si>
  <si>
    <t>8570</t>
    <phoneticPr fontId="16"/>
  </si>
  <si>
    <t>5406</t>
    <phoneticPr fontId="16"/>
  </si>
  <si>
    <t>8593</t>
    <phoneticPr fontId="16"/>
  </si>
  <si>
    <t>8604</t>
    <phoneticPr fontId="16"/>
  </si>
  <si>
    <t>3861</t>
    <phoneticPr fontId="16"/>
  </si>
  <si>
    <t>5947</t>
    <phoneticPr fontId="16"/>
  </si>
  <si>
    <t>8750</t>
    <phoneticPr fontId="16"/>
  </si>
  <si>
    <t>3402</t>
    <phoneticPr fontId="16"/>
  </si>
  <si>
    <t>8306</t>
    <phoneticPr fontId="16"/>
  </si>
  <si>
    <t>5401</t>
    <phoneticPr fontId="16"/>
  </si>
  <si>
    <t>8572</t>
    <phoneticPr fontId="16"/>
  </si>
  <si>
    <t>3941</t>
    <phoneticPr fontId="16"/>
  </si>
  <si>
    <t>5929</t>
    <phoneticPr fontId="16"/>
  </si>
  <si>
    <t>8316</t>
    <phoneticPr fontId="16"/>
  </si>
  <si>
    <t>5449</t>
    <phoneticPr fontId="16"/>
  </si>
  <si>
    <t>8766</t>
    <phoneticPr fontId="16"/>
  </si>
  <si>
    <t>5201</t>
    <phoneticPr fontId="16"/>
  </si>
  <si>
    <t>8630</t>
    <phoneticPr fontId="16"/>
  </si>
  <si>
    <t>5901</t>
    <phoneticPr fontId="16"/>
  </si>
  <si>
    <t>9412</t>
    <phoneticPr fontId="16"/>
  </si>
  <si>
    <t>6203</t>
    <phoneticPr fontId="16"/>
  </si>
  <si>
    <t>4676</t>
    <phoneticPr fontId="16"/>
  </si>
  <si>
    <t>1961</t>
    <phoneticPr fontId="16"/>
  </si>
  <si>
    <t>3107</t>
    <phoneticPr fontId="16"/>
  </si>
  <si>
    <t>4045</t>
    <phoneticPr fontId="16"/>
  </si>
  <si>
    <t>5857</t>
    <phoneticPr fontId="16"/>
  </si>
  <si>
    <t>8281</t>
    <phoneticPr fontId="16"/>
  </si>
  <si>
    <t>4540</t>
    <phoneticPr fontId="16"/>
  </si>
  <si>
    <t>9984</t>
    <phoneticPr fontId="16"/>
  </si>
  <si>
    <t>4063</t>
    <phoneticPr fontId="16"/>
  </si>
  <si>
    <t>4536</t>
    <phoneticPr fontId="16"/>
  </si>
  <si>
    <t>6503</t>
    <phoneticPr fontId="16"/>
  </si>
  <si>
    <t>4980</t>
    <phoneticPr fontId="16"/>
  </si>
  <si>
    <t>9424</t>
    <phoneticPr fontId="16"/>
  </si>
  <si>
    <t>3854</t>
    <phoneticPr fontId="16"/>
  </si>
  <si>
    <t>6027</t>
    <phoneticPr fontId="16"/>
  </si>
  <si>
    <t>7806</t>
    <phoneticPr fontId="16"/>
  </si>
  <si>
    <t>9202</t>
    <phoneticPr fontId="16"/>
  </si>
  <si>
    <t>7846</t>
    <phoneticPr fontId="16"/>
  </si>
  <si>
    <t>2802</t>
    <phoneticPr fontId="16"/>
  </si>
  <si>
    <t>7203</t>
    <phoneticPr fontId="16"/>
  </si>
  <si>
    <t>6954</t>
    <phoneticPr fontId="16"/>
  </si>
  <si>
    <t>6479</t>
    <phoneticPr fontId="16"/>
  </si>
  <si>
    <t>1833</t>
    <phoneticPr fontId="16"/>
  </si>
  <si>
    <t>6841</t>
    <phoneticPr fontId="16"/>
  </si>
  <si>
    <t>7167</t>
    <phoneticPr fontId="16"/>
  </si>
  <si>
    <t>1925</t>
    <phoneticPr fontId="16"/>
  </si>
  <si>
    <t>5411</t>
    <phoneticPr fontId="16"/>
  </si>
  <si>
    <t>7182</t>
    <phoneticPr fontId="16"/>
  </si>
  <si>
    <t>1963</t>
    <phoneticPr fontId="16"/>
  </si>
  <si>
    <t>2914</t>
    <phoneticPr fontId="16"/>
  </si>
  <si>
    <t>3003</t>
    <phoneticPr fontId="16"/>
  </si>
  <si>
    <t>5892</t>
    <phoneticPr fontId="16"/>
  </si>
  <si>
    <t>6323</t>
    <phoneticPr fontId="16"/>
  </si>
  <si>
    <t>6501</t>
    <phoneticPr fontId="16"/>
  </si>
  <si>
    <t>6134</t>
    <phoneticPr fontId="16"/>
  </si>
  <si>
    <t>7746</t>
    <phoneticPr fontId="16"/>
  </si>
  <si>
    <t>3407</t>
    <phoneticPr fontId="16"/>
  </si>
  <si>
    <t>4008</t>
    <phoneticPr fontId="16"/>
  </si>
  <si>
    <t>4062</t>
    <phoneticPr fontId="16"/>
  </si>
  <si>
    <t>4182</t>
    <phoneticPr fontId="16"/>
  </si>
  <si>
    <t>4188</t>
    <phoneticPr fontId="16"/>
  </si>
  <si>
    <t>4523</t>
    <phoneticPr fontId="16"/>
  </si>
  <si>
    <t>4528</t>
    <phoneticPr fontId="16"/>
  </si>
  <si>
    <t>4661</t>
    <phoneticPr fontId="16"/>
  </si>
  <si>
    <t>5802</t>
    <phoneticPr fontId="16"/>
  </si>
  <si>
    <t>5803</t>
    <phoneticPr fontId="16"/>
  </si>
  <si>
    <t>6178</t>
    <phoneticPr fontId="16"/>
  </si>
  <si>
    <t>6925</t>
    <phoneticPr fontId="16"/>
  </si>
  <si>
    <t>7021</t>
    <phoneticPr fontId="16"/>
  </si>
  <si>
    <t>7729</t>
    <phoneticPr fontId="16"/>
  </si>
  <si>
    <t>8424</t>
    <phoneticPr fontId="16"/>
  </si>
  <si>
    <t>9020</t>
    <phoneticPr fontId="16"/>
  </si>
  <si>
    <t>9069</t>
    <phoneticPr fontId="16"/>
  </si>
  <si>
    <t>9227</t>
    <phoneticPr fontId="16"/>
  </si>
  <si>
    <t>9348</t>
    <phoneticPr fontId="16"/>
  </si>
  <si>
    <t>9449</t>
    <phoneticPr fontId="16"/>
  </si>
  <si>
    <t>9501</t>
    <phoneticPr fontId="16"/>
  </si>
  <si>
    <t>9531</t>
    <phoneticPr fontId="16"/>
  </si>
  <si>
    <t>9882</t>
    <phoneticPr fontId="16"/>
  </si>
  <si>
    <t>5838</t>
    <phoneticPr fontId="16"/>
  </si>
  <si>
    <t>5844</t>
    <phoneticPr fontId="16"/>
  </si>
  <si>
    <t>9404</t>
    <phoneticPr fontId="16"/>
  </si>
  <si>
    <t>6744</t>
    <phoneticPr fontId="16"/>
  </si>
  <si>
    <t>7685</t>
    <phoneticPr fontId="16"/>
  </si>
  <si>
    <t>8334</t>
    <phoneticPr fontId="16"/>
  </si>
  <si>
    <t>8359</t>
    <phoneticPr fontId="16"/>
  </si>
  <si>
    <t>8801</t>
    <phoneticPr fontId="16"/>
  </si>
  <si>
    <t>8934</t>
    <phoneticPr fontId="16"/>
  </si>
  <si>
    <t>9416</t>
    <phoneticPr fontId="16"/>
  </si>
  <si>
    <t>9532</t>
    <phoneticPr fontId="16"/>
  </si>
  <si>
    <t>6330</t>
    <phoneticPr fontId="16"/>
  </si>
  <si>
    <t>4082</t>
    <phoneticPr fontId="16"/>
  </si>
  <si>
    <t>4519</t>
    <phoneticPr fontId="16"/>
  </si>
  <si>
    <t>2160</t>
    <phoneticPr fontId="16"/>
  </si>
  <si>
    <t>6227</t>
    <phoneticPr fontId="16"/>
  </si>
  <si>
    <t>6327</t>
    <phoneticPr fontId="16"/>
  </si>
  <si>
    <t>3110</t>
    <phoneticPr fontId="16"/>
  </si>
  <si>
    <t>6232</t>
    <phoneticPr fontId="16"/>
  </si>
  <si>
    <t>7794</t>
    <phoneticPr fontId="16"/>
  </si>
  <si>
    <t>6085</t>
    <phoneticPr fontId="16"/>
  </si>
  <si>
    <t>3103</t>
    <phoneticPr fontId="16"/>
  </si>
  <si>
    <t>4422</t>
    <phoneticPr fontId="16"/>
  </si>
  <si>
    <t>6740</t>
    <phoneticPr fontId="16"/>
  </si>
  <si>
    <t>6613</t>
    <phoneticPr fontId="16"/>
  </si>
  <si>
    <t>6522</t>
    <phoneticPr fontId="16"/>
  </si>
  <si>
    <t>6777</t>
    <phoneticPr fontId="16"/>
  </si>
  <si>
    <t>6787</t>
    <phoneticPr fontId="16"/>
  </si>
  <si>
    <t>4888</t>
    <phoneticPr fontId="16"/>
  </si>
  <si>
    <t>6387</t>
    <phoneticPr fontId="16"/>
  </si>
  <si>
    <t>6838</t>
    <phoneticPr fontId="16"/>
  </si>
  <si>
    <t>7375</t>
    <phoneticPr fontId="16"/>
  </si>
  <si>
    <t>4307</t>
    <phoneticPr fontId="16"/>
  </si>
  <si>
    <t>6516</t>
    <phoneticPr fontId="16"/>
  </si>
  <si>
    <t>7381</t>
    <phoneticPr fontId="16"/>
  </si>
  <si>
    <t>4417</t>
    <phoneticPr fontId="16"/>
  </si>
  <si>
    <t>6981</t>
    <phoneticPr fontId="16"/>
  </si>
  <si>
    <t>6754</t>
    <phoneticPr fontId="16"/>
  </si>
  <si>
    <t>4088</t>
    <phoneticPr fontId="16"/>
  </si>
  <si>
    <t>4091</t>
    <phoneticPr fontId="16"/>
  </si>
  <si>
    <t>6857</t>
    <phoneticPr fontId="16"/>
  </si>
  <si>
    <t>3891</t>
    <phoneticPr fontId="16"/>
  </si>
  <si>
    <t>4373</t>
    <phoneticPr fontId="16"/>
  </si>
  <si>
    <t>8892</t>
    <phoneticPr fontId="16"/>
  </si>
  <si>
    <t>9687</t>
    <phoneticPr fontId="16"/>
  </si>
  <si>
    <t>1930</t>
    <phoneticPr fontId="16"/>
  </si>
  <si>
    <t>8704</t>
    <phoneticPr fontId="16"/>
  </si>
  <si>
    <t>4733</t>
    <phoneticPr fontId="16"/>
  </si>
  <si>
    <t>9733</t>
    <phoneticPr fontId="16"/>
  </si>
  <si>
    <t>9551</t>
    <phoneticPr fontId="16"/>
  </si>
  <si>
    <t>2359</t>
    <phoneticPr fontId="16"/>
  </si>
  <si>
    <t>8103</t>
    <phoneticPr fontId="16"/>
  </si>
  <si>
    <t>4709</t>
    <phoneticPr fontId="16"/>
  </si>
  <si>
    <t>7981</t>
    <phoneticPr fontId="16"/>
  </si>
  <si>
    <t>8303</t>
    <phoneticPr fontId="16"/>
  </si>
  <si>
    <t>4382</t>
    <phoneticPr fontId="16"/>
  </si>
  <si>
    <t>2327</t>
    <phoneticPr fontId="16"/>
  </si>
  <si>
    <t>1942</t>
    <phoneticPr fontId="16"/>
  </si>
  <si>
    <t>1938</t>
    <phoneticPr fontId="16"/>
  </si>
  <si>
    <t>7236</t>
    <phoneticPr fontId="16"/>
  </si>
  <si>
    <t>6436</t>
    <phoneticPr fontId="16"/>
  </si>
  <si>
    <t>5410</t>
    <phoneticPr fontId="16"/>
  </si>
  <si>
    <t>5440</t>
    <phoneticPr fontId="16"/>
  </si>
  <si>
    <t>9505</t>
    <phoneticPr fontId="16"/>
  </si>
  <si>
    <t>8091</t>
    <phoneticPr fontId="16"/>
  </si>
  <si>
    <t>6507</t>
    <phoneticPr fontId="16"/>
  </si>
  <si>
    <t>9022</t>
    <phoneticPr fontId="16"/>
  </si>
  <si>
    <t>9536</t>
    <phoneticPr fontId="16"/>
  </si>
  <si>
    <t>9506</t>
    <phoneticPr fontId="16"/>
  </si>
  <si>
    <t>2127</t>
    <phoneticPr fontId="16"/>
  </si>
  <si>
    <t>6753</t>
    <phoneticPr fontId="16"/>
  </si>
  <si>
    <t>7181</t>
    <phoneticPr fontId="16"/>
  </si>
  <si>
    <t>4887</t>
    <phoneticPr fontId="16"/>
  </si>
  <si>
    <t>5243</t>
    <phoneticPr fontId="16"/>
  </si>
  <si>
    <t>2702</t>
    <phoneticPr fontId="16"/>
  </si>
  <si>
    <t>6890</t>
    <phoneticPr fontId="16"/>
  </si>
  <si>
    <t>4966</t>
    <phoneticPr fontId="16"/>
  </si>
  <si>
    <t>6146</t>
    <phoneticPr fontId="16"/>
  </si>
  <si>
    <t>8035</t>
    <phoneticPr fontId="16"/>
  </si>
  <si>
    <t>6920</t>
    <phoneticPr fontId="16"/>
  </si>
  <si>
    <t>5801</t>
    <phoneticPr fontId="16"/>
  </si>
  <si>
    <t>6506</t>
    <phoneticPr fontId="16"/>
  </si>
  <si>
    <t>2768</t>
    <phoneticPr fontId="16"/>
  </si>
  <si>
    <t>6305</t>
    <phoneticPr fontId="16"/>
  </si>
  <si>
    <t>8015</t>
    <phoneticPr fontId="16"/>
  </si>
  <si>
    <t>6758</t>
    <phoneticPr fontId="16"/>
  </si>
  <si>
    <t>9101</t>
    <phoneticPr fontId="16"/>
  </si>
  <si>
    <t>7011</t>
    <phoneticPr fontId="16"/>
  </si>
  <si>
    <t>1812</t>
    <phoneticPr fontId="16"/>
  </si>
  <si>
    <t>6324</t>
    <phoneticPr fontId="16"/>
  </si>
  <si>
    <t>6273</t>
    <phoneticPr fontId="16"/>
  </si>
  <si>
    <t>4502</t>
    <phoneticPr fontId="16"/>
  </si>
  <si>
    <t>4004</t>
    <phoneticPr fontId="16"/>
  </si>
  <si>
    <t>9519</t>
    <phoneticPr fontId="16"/>
  </si>
  <si>
    <t>6752</t>
    <phoneticPr fontId="16"/>
  </si>
  <si>
    <t>6622</t>
    <phoneticPr fontId="16"/>
  </si>
  <si>
    <t>1407</t>
    <phoneticPr fontId="16"/>
  </si>
  <si>
    <t>トライアルホールディングス</t>
    <phoneticPr fontId="16"/>
  </si>
  <si>
    <t>485A</t>
  </si>
  <si>
    <t>485A</t>
    <phoneticPr fontId="16"/>
  </si>
  <si>
    <t>パワーエックス</t>
    <phoneticPr fontId="16"/>
  </si>
  <si>
    <t>QPSホールディングス</t>
    <phoneticPr fontId="16"/>
  </si>
  <si>
    <t>6862</t>
  </si>
  <si>
    <t>三井金属</t>
  </si>
  <si>
    <t>9064</t>
  </si>
  <si>
    <t>7181</t>
  </si>
  <si>
    <t>かんぽ生命保険</t>
  </si>
  <si>
    <t>6485</t>
  </si>
  <si>
    <t>◆  打ち出の無限こづち  ◆  買い候補ダッシュボード  ◆</t>
  </si>
  <si>
    <t>No</t>
  </si>
  <si>
    <t>高値距離%</t>
  </si>
  <si>
    <t>損切ライン</t>
  </si>
  <si>
    <t>前日比%</t>
  </si>
  <si>
    <t>4568</t>
  </si>
  <si>
    <t>6861</t>
  </si>
  <si>
    <t>6135</t>
  </si>
  <si>
    <t>1570</t>
  </si>
  <si>
    <t>2267</t>
  </si>
  <si>
    <t>1618</t>
  </si>
  <si>
    <t>3696</t>
  </si>
  <si>
    <t>4222</t>
  </si>
  <si>
    <t>打ち出のこづち　トレード管理シート</t>
  </si>
  <si>
    <t>保有銘柄数：</t>
  </si>
  <si>
    <t>損切推奨：</t>
  </si>
  <si>
    <t>銘柄</t>
  </si>
  <si>
    <t>購入日</t>
  </si>
  <si>
    <t>購入価格</t>
  </si>
  <si>
    <t>購入数量</t>
  </si>
  <si>
    <t>利益</t>
  </si>
  <si>
    <t>利益率</t>
  </si>
  <si>
    <t>直近10日高値</t>
  </si>
  <si>
    <t>トレーリングSTOP</t>
  </si>
  <si>
    <t>売却日</t>
  </si>
  <si>
    <t>売却価格</t>
  </si>
  <si>
    <t>確定損益</t>
  </si>
  <si>
    <t>保有日数</t>
  </si>
  <si>
    <t>備考</t>
  </si>
  <si>
    <t>判断</t>
    <rPh sb="0" eb="2">
      <t>ハンダン</t>
    </rPh>
    <phoneticPr fontId="16"/>
  </si>
  <si>
    <t>3563</t>
  </si>
  <si>
    <t>7013</t>
  </si>
  <si>
    <t>3563</t>
    <phoneticPr fontId="16"/>
  </si>
  <si>
    <t>7013</t>
    <phoneticPr fontId="16"/>
  </si>
  <si>
    <t>8793</t>
  </si>
  <si>
    <t>9962</t>
  </si>
  <si>
    <t>6762</t>
  </si>
  <si>
    <t>4392</t>
  </si>
  <si>
    <t>8005</t>
  </si>
  <si>
    <t>2326</t>
  </si>
  <si>
    <t>6809</t>
  </si>
  <si>
    <t>3984</t>
  </si>
  <si>
    <t>7609</t>
  </si>
  <si>
    <t>7972</t>
  </si>
  <si>
    <t>6521</t>
  </si>
  <si>
    <t>9165</t>
  </si>
  <si>
    <t>6902</t>
  </si>
  <si>
    <t>3936</t>
  </si>
  <si>
    <t>本日</t>
  </si>
  <si>
    <t>本日</t>
    <rPh sb="0" eb="2">
      <t>ホンジツ</t>
    </rPh>
    <phoneticPr fontId="16"/>
  </si>
  <si>
    <t>終値</t>
  </si>
  <si>
    <t>コード →</t>
  </si>
  <si>
    <t>市場名称</t>
  </si>
  <si>
    <t>日付</t>
  </si>
  <si>
    <t>時刻</t>
  </si>
  <si>
    <t>移動平均1</t>
  </si>
  <si>
    <t>移動平均2</t>
  </si>
  <si>
    <t>本数</t>
  </si>
  <si>
    <t/>
  </si>
  <si>
    <t>6135</t>
    <phoneticPr fontId="16"/>
  </si>
  <si>
    <r>
      <t xml:space="preserve">  </t>
    </r>
    <r>
      <rPr>
        <b/>
        <sz val="13"/>
        <color rgb="FFFFFFFF"/>
        <rFont val="Segoe UI Emoji"/>
        <family val="2"/>
      </rPr>
      <t>📈</t>
    </r>
    <r>
      <rPr>
        <b/>
        <sz val="13"/>
        <color rgb="FFFFFFFF"/>
        <rFont val="Meiryo UI"/>
        <family val="3"/>
        <charset val="128"/>
      </rPr>
      <t xml:space="preserve">  出来高シート｜60日履歴</t>
    </r>
    <phoneticPr fontId="16"/>
  </si>
  <si>
    <t>→ 株探(過去データ)</t>
  </si>
  <si>
    <t>開始日(YYYYMMDD)</t>
    <phoneticPr fontId="16"/>
  </si>
  <si>
    <t>前日差</t>
    <rPh sb="0" eb="2">
      <t>ゼンジツ</t>
    </rPh>
    <rPh sb="2" eb="3">
      <t>サ</t>
    </rPh>
    <phoneticPr fontId="16"/>
  </si>
  <si>
    <t>6055</t>
  </si>
  <si>
    <t>6928</t>
  </si>
  <si>
    <t>5632</t>
  </si>
  <si>
    <t>6098</t>
  </si>
  <si>
    <t>6361</t>
  </si>
  <si>
    <t>155A</t>
  </si>
  <si>
    <t>278A</t>
  </si>
  <si>
    <t>300A</t>
  </si>
  <si>
    <t>4776</t>
  </si>
  <si>
    <t>4704</t>
  </si>
  <si>
    <t>6370</t>
  </si>
  <si>
    <t>7014</t>
  </si>
  <si>
    <t>9880</t>
  </si>
  <si>
    <t>5253</t>
  </si>
  <si>
    <t>9104</t>
  </si>
  <si>
    <t>6366</t>
  </si>
  <si>
    <t>6140</t>
  </si>
  <si>
    <t>1514</t>
  </si>
  <si>
    <t>5631</t>
  </si>
  <si>
    <t>6674</t>
  </si>
  <si>
    <t>6955</t>
  </si>
  <si>
    <t>281A</t>
  </si>
  <si>
    <t>6356</t>
  </si>
  <si>
    <t>7711</t>
  </si>
  <si>
    <t>6376</t>
  </si>
  <si>
    <t>9115</t>
  </si>
  <si>
    <t>3864</t>
  </si>
  <si>
    <t>6997</t>
  </si>
  <si>
    <t>4544</t>
  </si>
  <si>
    <t>6848</t>
  </si>
  <si>
    <t>5702</t>
  </si>
  <si>
    <t>7952</t>
  </si>
  <si>
    <t>3002</t>
  </si>
  <si>
    <t>8871</t>
  </si>
  <si>
    <t>6488</t>
  </si>
  <si>
    <t>8007</t>
  </si>
  <si>
    <t>4218</t>
  </si>
  <si>
    <t>6918</t>
  </si>
  <si>
    <t>7735</t>
  </si>
  <si>
    <t>3905</t>
  </si>
  <si>
    <t>3397</t>
  </si>
  <si>
    <t>7270</t>
  </si>
  <si>
    <t>6736</t>
  </si>
  <si>
    <t>2933</t>
  </si>
  <si>
    <t>4047</t>
  </si>
  <si>
    <t>6482</t>
  </si>
  <si>
    <t>6706</t>
  </si>
  <si>
    <t>8141</t>
  </si>
  <si>
    <t>8344</t>
  </si>
  <si>
    <t>7414</t>
  </si>
  <si>
    <t>6407</t>
  </si>
  <si>
    <t>7048</t>
  </si>
  <si>
    <t>1808</t>
  </si>
  <si>
    <t>「発注可」の設定は毎回確認</t>
  </si>
  <si>
    <t>項目</t>
    <phoneticPr fontId="90"/>
  </si>
  <si>
    <t>設定値</t>
  </si>
  <si>
    <t>説明</t>
  </si>
  <si>
    <t>4桁銘柄コード（青字＝手入力）</t>
  </si>
  <si>
    <t>銘柄名</t>
  </si>
  <si>
    <t>自動取得</t>
  </si>
  <si>
    <t>市場</t>
  </si>
  <si>
    <t>口座区分</t>
  </si>
  <si>
    <t>0：特定口座　1：一般口座</t>
  </si>
  <si>
    <t>購入株数</t>
  </si>
  <si>
    <t>買い建てする株数（青字＝手入力）</t>
  </si>
  <si>
    <t>■信用区分</t>
  </si>
  <si>
    <t>信用区分</t>
  </si>
  <si>
    <t>1：一般信用（無期限・スイング向き）　0：制度信用（6ヶ月）</t>
  </si>
  <si>
    <t>建値（建単価）</t>
  </si>
  <si>
    <t>信用建玉一覧から取得</t>
  </si>
  <si>
    <t>建日</t>
  </si>
  <si>
    <t>建玉市場</t>
  </si>
  <si>
    <t>建玉市場区分</t>
  </si>
  <si>
    <t>市場名を区分コードに変換</t>
  </si>
  <si>
    <t>保有株数</t>
  </si>
  <si>
    <t>■決済パラメータ設定（青字＝手入力）</t>
  </si>
  <si>
    <t>ストップロス%</t>
  </si>
  <si>
    <t>建値からの損切り％</t>
  </si>
  <si>
    <t>利確%</t>
  </si>
  <si>
    <t>建値からの利確％</t>
  </si>
  <si>
    <t>トレーリング開始%</t>
  </si>
  <si>
    <t>建値から＋％到達でトレーリング開始</t>
  </si>
  <si>
    <t>トレーリング幅%</t>
  </si>
  <si>
    <t>高値からの引き下げ％（ストップ発動）</t>
  </si>
  <si>
    <t>最大保有日数</t>
  </si>
  <si>
    <t>建日からN日後に強制決済</t>
  </si>
  <si>
    <t>GU率上限%</t>
  </si>
  <si>
    <t>この%超のGUは見送り（例：3%超なら過熱と判断）</t>
  </si>
  <si>
    <t>VWAP比較</t>
  </si>
  <si>
    <t>■監視情報（自動更新）</t>
  </si>
  <si>
    <t>RSS自動取得</t>
  </si>
  <si>
    <t>建日からの経過日数</t>
  </si>
  <si>
    <t>含山益率</t>
  </si>
  <si>
    <t>（現在値−建値）÷建値×100</t>
  </si>
  <si>
    <t>高値記録（VBA）</t>
  </si>
  <si>
    <t>VBAマクロが自動更新</t>
  </si>
  <si>
    <t>トレーリングフラグ（VBA）</t>
  </si>
  <si>
    <t>0：トレーリング未開始、1：トレーリング中（VBA自動更新）</t>
  </si>
  <si>
    <t>GU率</t>
  </si>
  <si>
    <t>（始値−前日終値）÷前日終値×100</t>
  </si>
  <si>
    <t>VWAP</t>
  </si>
  <si>
    <t>GU率≦上限％　かつ　始値＞VWAP（VWAP比較＝1の時）</t>
  </si>
  <si>
    <t>■決済条件判定</t>
  </si>
  <si>
    <t>ストップロス価格</t>
  </si>
  <si>
    <t>建値×（1−ストップロス％）</t>
  </si>
  <si>
    <t>利確価格</t>
  </si>
  <si>
    <t>建値×（1＋利確％）</t>
  </si>
  <si>
    <t>トレーリング開始価格</t>
  </si>
  <si>
    <t>建値×（1＋トレーリング開始％）</t>
  </si>
  <si>
    <t>トレーリングストップ価格</t>
  </si>
  <si>
    <t>高値記録×（1−トレーリング幅％） VBA高値が入れば自動計算</t>
  </si>
  <si>
    <t>決済期限日</t>
  </si>
  <si>
    <t>建日＋N日</t>
  </si>
  <si>
    <t>■トリガー判定</t>
  </si>
  <si>
    <t>トリガーフェーズ</t>
  </si>
  <si>
    <t>VBAがフェーズを切り替え</t>
  </si>
  <si>
    <t>決済トリガー</t>
  </si>
  <si>
    <t>①利確+6% ②ストップロス-4% ③日数期限 ④トレーリング発動　一つでも成立で１</t>
  </si>
  <si>
    <t>決済事由</t>
  </si>
  <si>
    <t>決済事由をテキストで表示</t>
  </si>
  <si>
    <t>■発注情報</t>
  </si>
  <si>
    <t>発注ID</t>
  </si>
  <si>
    <t>コード+市場区分+株数先頭+建値末尾2桁</t>
  </si>
  <si>
    <t>RSS決済注文</t>
  </si>
  <si>
    <t>RssMarginCloseOrder（発注ID,トリガー,コード,...）</t>
  </si>
  <si>
    <t>■エントリー（買い建て）</t>
  </si>
  <si>
    <t>エントリー時刻（参考）</t>
  </si>
  <si>
    <t>参考表示のみ。時刻制御なし・条件成立時に即発注</t>
  </si>
  <si>
    <t>エントリートリガー</t>
  </si>
  <si>
    <t>GU率≦上限%　かつ　始値&gt;VWAP（C22=1の時）　かつ　未建玉の時に1</t>
  </si>
  <si>
    <t>発注ID（買い）</t>
  </si>
  <si>
    <t>RSS買い注文</t>
  </si>
  <si>
    <t>スイング自動売買システム　取扱説明書</t>
  </si>
  <si>
    <t>対象シート：スイング決済　／　対応ツール：楽天RSS＋マーケットスピード</t>
  </si>
  <si>
    <t>━━━━━━━━━━━━━━━━━━━━━━━━━━━━━━━━━━</t>
  </si>
  <si>
    <t>【１】起動前の準備チェックリスト</t>
  </si>
  <si>
    <t>□ マーケットスピードを起動してログイン済みか</t>
  </si>
  <si>
    <t>□ マーケットスピードの「RSS発注」→「発注可」に切り替えているか</t>
  </si>
  <si>
    <t>□ このExcelファイルを起動後、各シートの1行目が「配信中」になっているか</t>
  </si>
  <si>
    <t>　</t>
    <phoneticPr fontId="90"/>
  </si>
  <si>
    <t>□ 他のExcelファイルを同時に開いていないか（開くと発注不可に切り替わる）</t>
  </si>
  <si>
    <t>□ 取引暗証番号の入力は不要（マーケットスピードのログインで認証済み）</t>
  </si>
  <si>
    <t>【２】パラメータ設定（スイング決済シート）</t>
  </si>
  <si>
    <t>セル</t>
  </si>
  <si>
    <t>項目</t>
  </si>
  <si>
    <t>内容・目安</t>
  </si>
  <si>
    <t>C3</t>
  </si>
  <si>
    <t>4桁の銘柄コードを入力</t>
  </si>
  <si>
    <t>例：1570（NF日経レバ）</t>
  </si>
  <si>
    <t>C6</t>
  </si>
  <si>
    <t>通常は0（特定口座）</t>
  </si>
  <si>
    <t>C7</t>
  </si>
  <si>
    <t>買い建てする株数</t>
  </si>
  <si>
    <t>例：100株</t>
  </si>
  <si>
    <t>C9</t>
  </si>
  <si>
    <t>スイングなら　1推奨</t>
  </si>
  <si>
    <t>C17</t>
  </si>
  <si>
    <t>建値からこの%以上上昇したら利確決済</t>
  </si>
  <si>
    <t>目安：5～8%　現在：6%</t>
  </si>
  <si>
    <t>C16</t>
  </si>
  <si>
    <t>建値からこの%以上下落したら損切り決済</t>
  </si>
  <si>
    <t>目安：3～5%　現在：4%</t>
  </si>
  <si>
    <t>C18</t>
  </si>
  <si>
    <t>建値からこの%に達したらトレーリング開始</t>
  </si>
  <si>
    <t>目安：3～5%　現在：5%</t>
  </si>
  <si>
    <t>C19</t>
  </si>
  <si>
    <t>高値からこの%下落でストップ発動</t>
  </si>
  <si>
    <t>目安：2～4%　現在：3%</t>
  </si>
  <si>
    <t>C20</t>
  </si>
  <si>
    <t>建日からこの日数を超えたら強制決済</t>
  </si>
  <si>
    <t>目安：5～10日　現在：7日</t>
  </si>
  <si>
    <t>C21</t>
  </si>
  <si>
    <t>この%を超えるGUの日はエントリーしない</t>
  </si>
  <si>
    <t>C22</t>
  </si>
  <si>
    <t>1：始値＞VWAPの日のみエントリー　0：フィルターなし</t>
  </si>
  <si>
    <t>1推奨（涵益安定）</t>
  </si>
  <si>
    <r>
      <rPr>
        <sz val="11"/>
        <color theme="1"/>
        <rFont val="ＭＳ Ｐゴシック"/>
        <family val="2"/>
        <scheme val="minor"/>
      </rPr>
      <t>【３】注文の仕組み（自動売買の流れ）</t>
    </r>
  </si>
  <si>
    <r>
      <rPr>
        <sz val="11"/>
        <color theme="1"/>
        <rFont val="ＭＳ Ｐゴシック"/>
        <family val="2"/>
        <scheme val="minor"/>
      </rPr>
      <t>▶</t>
    </r>
    <r>
      <rPr>
        <sz val="14"/>
        <color theme="1"/>
        <rFont val="ＭＳ Ｐゴシック"/>
        <family val="3"/>
        <charset val="128"/>
        <scheme val="minor"/>
      </rPr>
      <t xml:space="preserve"> </t>
    </r>
    <r>
      <rPr>
        <sz val="11"/>
        <color theme="1"/>
        <rFont val="ＭＳ Ｐゴシック"/>
        <family val="2"/>
        <scheme val="minor"/>
      </rPr>
      <t>エントリー（買い建て）の流れ</t>
    </r>
  </si>
  <si>
    <r>
      <t>　① RSSが小</t>
    </r>
    <r>
      <rPr>
        <sz val="12"/>
        <color theme="1"/>
        <rFont val="ＭＳ Ｐゴシック"/>
        <family val="2"/>
        <charset val="128"/>
        <scheme val="minor"/>
      </rPr>
      <t>处</t>
    </r>
    <r>
      <rPr>
        <sz val="12"/>
        <color theme="1"/>
        <rFont val="ＭＳ Ｐゴシック"/>
        <family val="3"/>
        <charset val="128"/>
        <scheme val="minor"/>
      </rPr>
      <t>情報を常時監視（現在値・VWAP・始値・GU率）</t>
    </r>
  </si>
  <si>
    <t>　② 「GU率≤3%」かつ「始値＞VWAP」かつ「未建玉」の3条件が全て成立</t>
  </si>
  <si>
    <t>　③ C54エントリートリガーが「1」に変わり、C56が自動発注</t>
  </si>
  <si>
    <t>　④ 約定後、信用建玉一覧に建値・建日・株数が自動反映（動作済みの場合）</t>
  </si>
  <si>
    <t>▶ 保有中の監視（VBAマクロが5秒ごと自動実行）</t>
  </si>
  <si>
    <t>　・ 建値+5%に達した瞬間 → C30トレーリングフラグが「1」に変わりトレーリング開始</t>
  </si>
  <si>
    <t>　・ 高値を更新するたびに → C29高値記録が切り上がり、C39ストップ価格も自動上昇</t>
  </si>
  <si>
    <t>▶ 決済の流れ（下記のどれか1つが発動した時点で自動決済）</t>
  </si>
  <si>
    <t>条件</t>
  </si>
  <si>
    <t>発動価格</t>
  </si>
  <si>
    <r>
      <rPr>
        <b/>
        <sz val="12"/>
        <color theme="1"/>
        <rFont val="ＭＳ Ｐゴシック"/>
        <family val="2"/>
        <charset val="128"/>
        <scheme val="minor"/>
      </rPr>
      <t>备</t>
    </r>
    <r>
      <rPr>
        <b/>
        <sz val="12"/>
        <color theme="1"/>
        <rFont val="ＭＳ Ｐゴシック"/>
        <family val="3"/>
        <charset val="128"/>
        <scheme val="minor"/>
      </rPr>
      <t>考</t>
    </r>
  </si>
  <si>
    <t>①利確</t>
  </si>
  <si>
    <t>建値 × 1.06以上</t>
  </si>
  <si>
    <t>全フェーズ共通。成行決済</t>
  </si>
  <si>
    <t>②ストップロス</t>
  </si>
  <si>
    <t>建値 × 0.96以下</t>
  </si>
  <si>
    <t>トレーリング開始前・後共通。成行決済</t>
  </si>
  <si>
    <t>③トレーリングストップ</t>
  </si>
  <si>
    <t>高値 × 0.97以下（+5%到達後）</t>
  </si>
  <si>
    <t>VBAが高値を追従。建値+5%到達後に有効</t>
  </si>
  <si>
    <t>④日数期限</t>
  </si>
  <si>
    <t>建日から7日経過</t>
  </si>
  <si>
    <t>上記どれも発動しない時の安全網</t>
  </si>
  <si>
    <t>【４】決済後のリセット手順（必須！）</t>
  </si>
  <si>
    <t>決済後は必ず「リセットボタン」を押してください。押さないと次回の建玉時に高値記録・トレーリングフラグが残ったままになり、誤発注の原因になります。</t>
  </si>
  <si>
    <t>　手順：Alt+F8 → 「ResetSwingTracking」を選択 → 実行</t>
  </si>
  <si>
    <t>　またはスイング決済シートの「リセットボタン」をクリックすると同じ効果があります。</t>
  </si>
  <si>
    <t>【５】注意事項</t>
  </si>
  <si>
    <t>① 他のExcelファイルを起動すると発注「発注不可」に切り替わる（楽天RSSの仕様）</t>
  </si>
  <si>
    <t>② 銘柄コード（C3）の変更は必ず平日取引時間外（9:00～15:30以外）に行う</t>
  </si>
  <si>
    <t>③ VBAマクロ「CheckSwingTrailing」が動いているか確認（C29：高値記録が定期的に変化するか確認）</t>
  </si>
  <si>
    <t>④ このシートは1銘柄専用。複数銘柄を管理する場合はシートをコピーして「スイング決済2」等の名前で追加</t>
  </si>
  <si>
    <t>建玉数量</t>
  </si>
  <si>
    <t>建値</t>
  </si>
  <si>
    <t>評価損益</t>
  </si>
  <si>
    <t>建玉No</t>
  </si>
  <si>
    <t>末尾の番号（現在3）は手動で戻す必要があります → 翌日は1に戻す</t>
  </si>
  <si>
    <t>C23（VWAP比較）を1に戻すかどうか判断</t>
  </si>
  <si>
    <r>
      <rPr>
        <b/>
        <sz val="14"/>
        <color theme="1"/>
        <rFont val="ＭＳ Ｐゴシック"/>
        <family val="3"/>
        <charset val="128"/>
        <scheme val="minor"/>
      </rPr>
      <t>　2：.無期限（スイング向け）</t>
    </r>
    <r>
      <rPr>
        <sz val="12"/>
        <color theme="1"/>
        <rFont val="ＭＳ Ｐゴシック"/>
        <family val="3"/>
        <charset val="128"/>
        <scheme val="minor"/>
      </rPr>
      <t>　1：一般信用（１日・）　0：制度信用（6ヶ月）</t>
    </r>
    <rPh sb="12" eb="13">
      <t>ム</t>
    </rPh>
    <rPh sb="24" eb="25">
      <t>ニチ</t>
    </rPh>
    <phoneticPr fontId="16"/>
  </si>
  <si>
    <r>
      <t>1：始値＞VWAPの時のみエントリー可</t>
    </r>
    <r>
      <rPr>
        <b/>
        <u/>
        <sz val="14"/>
        <color theme="7"/>
        <rFont val="ＭＳ Ｐゴシック"/>
        <family val="3"/>
        <charset val="128"/>
        <scheme val="minor"/>
      </rPr>
      <t>（0：無効）</t>
    </r>
    <phoneticPr fontId="16"/>
  </si>
  <si>
    <t>銘柄コード＋TODAY("mmdd")＋連番（例：570305191）</t>
  </si>
  <si>
    <t>C55の末尾を "9" → "1" に戻す</t>
  </si>
  <si>
    <t>明日（5/19）になれば 570305191 になり、毎日自動リセットされます。</t>
  </si>
  <si>
    <t>あとは何もしなくていいです。</t>
  </si>
  <si>
    <t>利確ライン</t>
    <phoneticPr fontId="16"/>
  </si>
  <si>
    <t>VWAP</t>
    <phoneticPr fontId="16"/>
  </si>
  <si>
    <t>4208</t>
  </si>
  <si>
    <t>銘柄名称</t>
    <rPh sb="0" eb="4">
      <t>メイガラメイショウ</t>
    </rPh>
    <phoneticPr fontId="16"/>
  </si>
  <si>
    <t>186A</t>
  </si>
  <si>
    <t>6965</t>
  </si>
  <si>
    <t>株価分析システム  |  売り候補分析シート</t>
  </si>
  <si>
    <t>安値更新</t>
  </si>
  <si>
    <t>戻り判定</t>
  </si>
  <si>
    <t>◆  売り候補ダッシュボード  ◆  空売り・下落候補  ◆</t>
  </si>
  <si>
    <t>シグナルWD</t>
  </si>
  <si>
    <t>パーフェクト▲</t>
  </si>
  <si>
    <t>★</t>
  </si>
  <si>
    <t>前日比</t>
  </si>
  <si>
    <t>時間</t>
  </si>
  <si>
    <t>やること</t>
  </si>
  <si>
    <t>朝一番</t>
  </si>
  <si>
    <t>マーケットスピード起動</t>
  </si>
  <si>
    <t>必ず</t>
  </si>
  <si>
    <t>そのまま放置</t>
  </si>
  <si>
    <t>Excelを開いたまま → 自動発注・自動決済</t>
  </si>
  <si>
    <t>発注可をON（毎回必要）</t>
    <phoneticPr fontId="16"/>
  </si>
  <si>
    <t>シートNo</t>
  </si>
  <si>
    <t>（重複防止用）</t>
  </si>
  <si>
    <r>
      <rPr>
        <b/>
        <sz val="22"/>
        <color theme="9" tint="-0.249977111117893"/>
        <rFont val="ＭＳ Ｐゴシック"/>
        <family val="3"/>
        <charset val="128"/>
        <scheme val="minor"/>
      </rPr>
      <t>発注可をON（毎回必要）</t>
    </r>
    <r>
      <rPr>
        <b/>
        <sz val="16"/>
        <color rgb="FFFFFFFF"/>
        <rFont val="ＭＳ Ｐゴシック"/>
        <family val="3"/>
        <charset val="128"/>
        <scheme val="minor"/>
      </rPr>
      <t>　　　　　　　■スイング決済ルール</t>
    </r>
    <phoneticPr fontId="16"/>
  </si>
  <si>
    <t>6331</t>
  </si>
  <si>
    <t>通常</t>
  </si>
  <si>
    <t>7741</t>
  </si>
  <si>
    <t>対TOPIX超過</t>
  </si>
  <si>
    <t>相対力スコア</t>
  </si>
  <si>
    <t>TOPIX有効日数</t>
  </si>
  <si>
    <t>基準列オフセット</t>
  </si>
  <si>
    <t>銘柄騰落率</t>
  </si>
  <si>
    <t>TOPIX騰落率</t>
  </si>
  <si>
    <t>スコア26点満点</t>
    <rPh sb="5" eb="6">
      <t>テン</t>
    </rPh>
    <rPh sb="6" eb="8">
      <t>マンテン</t>
    </rPh>
    <phoneticPr fontId="16"/>
  </si>
  <si>
    <t>特定</t>
  </si>
  <si>
    <t>ローソク足形</t>
  </si>
  <si>
    <t>足加減点</t>
  </si>
  <si>
    <t>前日始値</t>
  </si>
  <si>
    <t>前日高値</t>
  </si>
  <si>
    <t>前日安値</t>
  </si>
  <si>
    <t>前日足形</t>
  </si>
  <si>
    <t>前日足加減点</t>
  </si>
  <si>
    <t>指値価格</t>
  </si>
  <si>
    <t>逆指値価格</t>
  </si>
  <si>
    <r>
      <t>価格で買い注文　</t>
    </r>
    <r>
      <rPr>
        <b/>
        <sz val="12"/>
        <color theme="1"/>
        <rFont val="ＭＳ Ｐゴシック"/>
        <family val="3"/>
        <charset val="128"/>
        <scheme val="minor"/>
      </rPr>
      <t>今より下の価格</t>
    </r>
    <rPh sb="8" eb="9">
      <t>イマ</t>
    </rPh>
    <rPh sb="11" eb="12">
      <t>シタ</t>
    </rPh>
    <rPh sb="13" eb="15">
      <t>カカク</t>
    </rPh>
    <phoneticPr fontId="16"/>
  </si>
  <si>
    <r>
      <t>この価格に達したら買い注文を入れる　</t>
    </r>
    <r>
      <rPr>
        <b/>
        <sz val="12"/>
        <color theme="1"/>
        <rFont val="ＭＳ Ｐゴシック"/>
        <family val="3"/>
        <charset val="128"/>
        <scheme val="minor"/>
      </rPr>
      <t>今より上の価格</t>
    </r>
    <rPh sb="18" eb="19">
      <t>イマ</t>
    </rPh>
    <rPh sb="21" eb="22">
      <t>ウエ</t>
    </rPh>
    <rPh sb="23" eb="25">
      <t>カカク</t>
    </rPh>
    <phoneticPr fontId="16"/>
  </si>
  <si>
    <t>下降トレンド▼</t>
  </si>
  <si>
    <t>実運用上の注意： スコアは昨日終値で計算されているため、「今日の寄り付き後に状況が大きく変わった銘柄」は反映されません。あくまで前日終値ベースでスクリーニングした候補を、リアルタイム価格で確認するという使い方になっています。</t>
  </si>
  <si>
    <t>コード</t>
    <phoneticPr fontId="16"/>
  </si>
  <si>
    <t>売買</t>
  </si>
  <si>
    <t>買</t>
  </si>
  <si>
    <t>利確(買:+6% / 売:-6%)</t>
  </si>
  <si>
    <t>損切(買:-4% / 売:+4%)</t>
  </si>
  <si>
    <t>売</t>
  </si>
  <si>
    <t>直近10日安値</t>
  </si>
  <si>
    <t>京都フィナンシャルＧ</t>
  </si>
  <si>
    <t>制度</t>
  </si>
  <si>
    <t>上昇トレンド▲</t>
  </si>
  <si>
    <t>-</t>
  </si>
  <si>
    <t>フジ・メディア・ＨＤ</t>
  </si>
  <si>
    <t>売り抽出　結果</t>
    <phoneticPr fontId="16"/>
  </si>
  <si>
    <t>EMAトレンド</t>
    <phoneticPr fontId="16"/>
  </si>
  <si>
    <t>戻り売り判定</t>
    <phoneticPr fontId="16"/>
  </si>
  <si>
    <t>出来高倍率</t>
    <phoneticPr fontId="16"/>
  </si>
  <si>
    <t>安値更新</t>
    <phoneticPr fontId="16"/>
  </si>
  <si>
    <t>シグナル内容</t>
    <phoneticPr fontId="16"/>
  </si>
  <si>
    <t>一般</t>
  </si>
  <si>
    <t>株探</t>
    <phoneticPr fontId="16"/>
  </si>
  <si>
    <t>メモ</t>
    <phoneticPr fontId="16"/>
  </si>
  <si>
    <t>銘柄コード</t>
    <phoneticPr fontId="16"/>
  </si>
  <si>
    <t>銘柄名称</t>
    <phoneticPr fontId="16"/>
  </si>
  <si>
    <t>現在値</t>
    <phoneticPr fontId="16"/>
  </si>
  <si>
    <t>高値</t>
    <phoneticPr fontId="16"/>
  </si>
  <si>
    <t>安値</t>
    <phoneticPr fontId="16"/>
  </si>
  <si>
    <t>出来高</t>
    <phoneticPr fontId="16"/>
  </si>
  <si>
    <t>RSI(14)</t>
    <phoneticPr fontId="16"/>
  </si>
  <si>
    <t>MACD</t>
    <phoneticPr fontId="16"/>
  </si>
  <si>
    <t>損切ライン</t>
    <phoneticPr fontId="16"/>
  </si>
  <si>
    <t>スコア</t>
    <phoneticPr fontId="16"/>
  </si>
  <si>
    <t>なし</t>
  </si>
  <si>
    <t>年初来高値更新●</t>
  </si>
  <si>
    <t>株価分析システム  |  買い候補分析シート</t>
    <phoneticPr fontId="16"/>
  </si>
  <si>
    <t>5日EMA</t>
    <phoneticPr fontId="16"/>
  </si>
  <si>
    <t>25日EMA</t>
    <phoneticPr fontId="16"/>
  </si>
  <si>
    <t>EMAトレンド</t>
    <phoneticPr fontId="16"/>
  </si>
  <si>
    <t>押し目判定</t>
    <phoneticPr fontId="16"/>
  </si>
  <si>
    <t>7741</t>
    <phoneticPr fontId="16"/>
  </si>
  <si>
    <t>三菱商事</t>
  </si>
  <si>
    <t>0.86倍</t>
  </si>
  <si>
    <t>🌏 海外指標・先物データ（日次蓄積）</t>
  </si>
  <si>
    <t>指標名</t>
  </si>
  <si>
    <t>最新値</t>
  </si>
  <si>
    <t>NYダウ</t>
  </si>
  <si>
    <t>S&amp;P500</t>
  </si>
  <si>
    <t>NASDAQ</t>
  </si>
  <si>
    <t>VIX恐怖指数</t>
  </si>
  <si>
    <t>ドル円</t>
  </si>
  <si>
    <t>WTI原油</t>
  </si>
  <si>
    <t>米10年金利</t>
  </si>
  <si>
    <t>📌 読み方</t>
  </si>
  <si>
    <t>※ VIXが20以上 = 相場が荒れるサイン。新規購入は慣重に。</t>
  </si>
  <si>
    <t>※ VIXが15以下 = 安定相場。積極的に動ける。</t>
  </si>
  <si>
    <t>※ ドル円が円安方向（数字が大きい）= 輸出我に有利。</t>
  </si>
  <si>
    <t>※ NYダウが前日比-1%以下 = 翌朝の日本株は下がりやすい。</t>
  </si>
  <si>
    <t>🔧 使い方</t>
  </si>
  <si>
    <t>① 初回のみ「海外指標_過去60日取得」を実行（数十秒かかる）</t>
  </si>
  <si>
    <t>② 毎日夜（22時以降）「海外指標_今日のデータ追加」を実行</t>
  </si>
  <si>
    <t>③ D列に今日のデータが追加され、旧データは右列に順次移動される</t>
  </si>
  <si>
    <t>--------</t>
  </si>
  <si>
    <t>日本郵政</t>
  </si>
  <si>
    <t>ナガセ</t>
  </si>
  <si>
    <t>1.26倍</t>
  </si>
  <si>
    <t>住石ホールディングス</t>
  </si>
  <si>
    <t>2026/03/10</t>
    <phoneticPr fontId="16"/>
  </si>
  <si>
    <t>2026/03/11</t>
    <phoneticPr fontId="16"/>
  </si>
  <si>
    <t>2026/03/12</t>
    <phoneticPr fontId="16"/>
  </si>
  <si>
    <t>2026/03/13</t>
    <phoneticPr fontId="16"/>
  </si>
  <si>
    <t>2026/03/16</t>
    <phoneticPr fontId="16"/>
  </si>
  <si>
    <t>2026/03/17</t>
    <phoneticPr fontId="16"/>
  </si>
  <si>
    <t>2026/03/18</t>
    <phoneticPr fontId="16"/>
  </si>
  <si>
    <t>2026/03/19</t>
    <phoneticPr fontId="16"/>
  </si>
  <si>
    <t>2026/03/20</t>
    <phoneticPr fontId="16"/>
  </si>
  <si>
    <t>2026/03/23</t>
    <phoneticPr fontId="16"/>
  </si>
  <si>
    <t>2026/03/24</t>
    <phoneticPr fontId="16"/>
  </si>
  <si>
    <t>2026/03/25</t>
    <phoneticPr fontId="16"/>
  </si>
  <si>
    <t>2026/03/26</t>
    <phoneticPr fontId="16"/>
  </si>
  <si>
    <t>2026/03/27</t>
    <phoneticPr fontId="16"/>
  </si>
  <si>
    <t>2026/03/30</t>
    <phoneticPr fontId="16"/>
  </si>
  <si>
    <t>2026/03/31</t>
    <phoneticPr fontId="16"/>
  </si>
  <si>
    <t>2026/04/01</t>
    <phoneticPr fontId="16"/>
  </si>
  <si>
    <t>2026/04/02</t>
    <phoneticPr fontId="16"/>
  </si>
  <si>
    <t>2026/04/06</t>
    <phoneticPr fontId="16"/>
  </si>
  <si>
    <t>2026/04/07</t>
    <phoneticPr fontId="16"/>
  </si>
  <si>
    <t>2026/04/08</t>
    <phoneticPr fontId="16"/>
  </si>
  <si>
    <t>2026/04/09</t>
    <phoneticPr fontId="16"/>
  </si>
  <si>
    <t>2026/04/10</t>
    <phoneticPr fontId="16"/>
  </si>
  <si>
    <t>2026/04/13</t>
    <phoneticPr fontId="16"/>
  </si>
  <si>
    <t>2026/04/14</t>
    <phoneticPr fontId="16"/>
  </si>
  <si>
    <t>2026/04/15</t>
    <phoneticPr fontId="16"/>
  </si>
  <si>
    <t>2026/04/16</t>
    <phoneticPr fontId="16"/>
  </si>
  <si>
    <t>2026/04/17</t>
    <phoneticPr fontId="16"/>
  </si>
  <si>
    <t>2026/04/20</t>
    <phoneticPr fontId="16"/>
  </si>
  <si>
    <t>2026/04/21</t>
    <phoneticPr fontId="16"/>
  </si>
  <si>
    <t>2026/04/22</t>
    <phoneticPr fontId="16"/>
  </si>
  <si>
    <t>2026/04/23</t>
    <phoneticPr fontId="16"/>
  </si>
  <si>
    <t>2026/04/24</t>
    <phoneticPr fontId="16"/>
  </si>
  <si>
    <t>2026/04/27</t>
    <phoneticPr fontId="16"/>
  </si>
  <si>
    <t>2026/04/28</t>
    <phoneticPr fontId="16"/>
  </si>
  <si>
    <t>2026/04/29</t>
    <phoneticPr fontId="16"/>
  </si>
  <si>
    <t>2026/04/30</t>
    <phoneticPr fontId="16"/>
  </si>
  <si>
    <t>2026/05/01</t>
    <phoneticPr fontId="16"/>
  </si>
  <si>
    <t>2026/05/04</t>
    <phoneticPr fontId="16"/>
  </si>
  <si>
    <t>2026/05/05</t>
    <phoneticPr fontId="16"/>
  </si>
  <si>
    <t>2026/05/06</t>
    <phoneticPr fontId="16"/>
  </si>
  <si>
    <t>2026/05/07</t>
    <phoneticPr fontId="16"/>
  </si>
  <si>
    <t>2026/05/08</t>
    <phoneticPr fontId="16"/>
  </si>
  <si>
    <t>2026/05/11</t>
    <phoneticPr fontId="16"/>
  </si>
  <si>
    <t>2026/05/12</t>
    <phoneticPr fontId="16"/>
  </si>
  <si>
    <t>2026/05/13</t>
    <phoneticPr fontId="16"/>
  </si>
  <si>
    <t>2026/05/14</t>
    <phoneticPr fontId="16"/>
  </si>
  <si>
    <t>2026/05/15</t>
    <phoneticPr fontId="16"/>
  </si>
  <si>
    <t>2026/05/18</t>
    <phoneticPr fontId="16"/>
  </si>
  <si>
    <t>2026/05/19</t>
    <phoneticPr fontId="16"/>
  </si>
  <si>
    <t>2026/05/20</t>
    <phoneticPr fontId="16"/>
  </si>
  <si>
    <t>2026/05/21</t>
    <phoneticPr fontId="16"/>
  </si>
  <si>
    <t>2026/05/22</t>
    <phoneticPr fontId="16"/>
  </si>
  <si>
    <t>2026/05/26</t>
    <phoneticPr fontId="16"/>
  </si>
  <si>
    <t>2026/05/27</t>
    <phoneticPr fontId="16"/>
  </si>
  <si>
    <t>2026/05/28</t>
    <phoneticPr fontId="16"/>
  </si>
  <si>
    <t>2026/05/29</t>
    <phoneticPr fontId="16"/>
  </si>
  <si>
    <t>2026/06/01</t>
    <phoneticPr fontId="16"/>
  </si>
  <si>
    <t>2026/06/02</t>
    <phoneticPr fontId="16"/>
  </si>
  <si>
    <t>2026/06/03</t>
    <phoneticPr fontId="16"/>
  </si>
  <si>
    <t>2026/06/04</t>
    <phoneticPr fontId="16"/>
  </si>
  <si>
    <t>2026/06/05</t>
    <phoneticPr fontId="16"/>
  </si>
  <si>
    <t>2026/06/08</t>
    <phoneticPr fontId="16"/>
  </si>
  <si>
    <t>2026/06/09</t>
    <phoneticPr fontId="16"/>
  </si>
  <si>
    <t>2026/06/10</t>
    <phoneticPr fontId="16"/>
  </si>
  <si>
    <t>2026/06/11</t>
    <phoneticPr fontId="16"/>
  </si>
  <si>
    <t>2026/06/12</t>
    <phoneticPr fontId="16"/>
  </si>
  <si>
    <t>2026/06/15</t>
    <phoneticPr fontId="16"/>
  </si>
  <si>
    <t>2026/06/16</t>
    <phoneticPr fontId="16"/>
  </si>
  <si>
    <t>--------</t>
    <phoneticPr fontId="16"/>
  </si>
  <si>
    <t>ＨＯＹＡ</t>
    <phoneticPr fontId="16"/>
  </si>
  <si>
    <t>東証</t>
    <phoneticPr fontId="16"/>
  </si>
  <si>
    <t>2026/03/03</t>
    <phoneticPr fontId="16"/>
  </si>
  <si>
    <t>2026/03/04</t>
    <phoneticPr fontId="16"/>
  </si>
  <si>
    <t>2026/03/05</t>
    <phoneticPr fontId="16"/>
  </si>
  <si>
    <t>2026/03/06</t>
    <phoneticPr fontId="16"/>
  </si>
  <si>
    <t>2026/03/09</t>
    <phoneticPr fontId="16"/>
  </si>
  <si>
    <t>2026/04/03</t>
    <phoneticPr fontId="16"/>
  </si>
  <si>
    <t>2026/05/25</t>
    <phoneticPr fontId="16"/>
  </si>
  <si>
    <t>0.85倍</t>
  </si>
  <si>
    <t>もみ合い→</t>
  </si>
  <si>
    <t>ニッポン高度紙工業</t>
  </si>
  <si>
    <t>高値圏</t>
  </si>
  <si>
    <t>レーザーテック</t>
  </si>
  <si>
    <t>0.81倍</t>
  </si>
  <si>
    <t>下降トレンド▼ MACD- [完全下降] EMA12&lt;26 MACD&lt;Sig RSI&lt;50 [◎売りモメンタム完全] [長い上ヒゲ+1] [前日:大陰線▼+2] [対TOPIX弱]</t>
  </si>
  <si>
    <t>大阪製鐵</t>
  </si>
  <si>
    <t>1.89倍</t>
  </si>
  <si>
    <t>下降トレンド▼ 出来高増(1.9倍) MACD- [完全下降] [Hist悪化] EMA12&lt;26 MACD&lt;Sig RSI&lt;50 [◎売りモメンタム完全] [大陰線▼+2] [対TOPIX弱]</t>
  </si>
  <si>
    <t>アイル</t>
  </si>
  <si>
    <t>1.14倍</t>
  </si>
  <si>
    <t>下降トレンド▼ MACD- [DC直近5日] [完全下降] [ADX=26] [Hist悪化] EMA12&lt;26 MACD&lt;Sig RSI&lt;50 [◎売りモメンタム完全] [対TOPIX弱]</t>
  </si>
  <si>
    <t>東京電力ＨＤ</t>
  </si>
  <si>
    <t>0.72倍</t>
  </si>
  <si>
    <t>MACD- [完全下降] EMA12&lt;26 MACD&lt;Sig RSI&lt;50 [◎売りモメンタム完全] [大陰線▼+2] [前日:大陰線▼+2] [対TOPIX弱]</t>
  </si>
  <si>
    <t>東京瓦斯</t>
  </si>
  <si>
    <t>下降トレンド▼ MACD- [完全下降] [ADX=31] EMA12&lt;26 RSI&lt;50 [○売りモメンタム部分] [大陰線▼+2] [対TOPIX弱]</t>
  </si>
  <si>
    <t>1.12倍</t>
  </si>
  <si>
    <t>下降トレンド▼ MACD- [完全下降] [ADX=32] EMA12&lt;26 RSI&lt;50 [○売りモメンタム部分] [大陰線▼+2] [前日:大陰線▼+2] [対TOPIX弱]</t>
  </si>
  <si>
    <t>パワーエックス</t>
  </si>
  <si>
    <t>0.97倍</t>
  </si>
  <si>
    <t>下降トレンド▼ MACD- [完全下降] [Vol急増陰線] [ADX=37] EMA12&lt;26 MACD&lt;Sig RSI&lt;50 [◎売りモメンタム完全] [大陰線▼+2] [対TOPIX弱]</t>
  </si>
  <si>
    <t>1.51倍</t>
  </si>
  <si>
    <t>下降トレンド▼ 出来高増(1.5倍) MACD- [完全下降] [ADX=40] EMA12&lt;26 RSI&lt;50 [○売りモメンタム部分] [長い上ヒゲ+1] [前日:大陰線▼+2]</t>
  </si>
  <si>
    <t>トリドールホールディングス</t>
  </si>
  <si>
    <t>1.81倍</t>
  </si>
  <si>
    <t>下降トレンド▼ 出来高増(1.8倍) MACD- [完全下降] [Vol急増陰線] [ADX=27] EMA12&lt;26 RSI&lt;50 [○売りモメンタム部分] [大陰線▼+2] [対TOPIX弱]</t>
  </si>
  <si>
    <t>1.04倍</t>
  </si>
  <si>
    <t>パーフェクト▲ MACD+ EMA12&gt;26 MACD&gt;Sig RSI&gt;50 [◎モメンタム完全] [Perfect5&gt;25&gt;75] [Vol急増陽線] [ADX=44] [Hist拡大] [対TOPIX勝 +11.33%] [大陽線▲+2]</t>
  </si>
  <si>
    <t>シンフォニアテクノロジー</t>
  </si>
  <si>
    <t>パーフェクト▲ MACD+ EMA12&gt;26 MACD&gt;Sig RSI&gt;50 [◎モメンタム完全] [GC直近5日] [Perfect5&gt;25&gt;75] [Hist拡大] [対TOPIX勝 +5.97%] [大陽線▲+2] [前日:大陽線▲+2]</t>
  </si>
  <si>
    <t>1.78倍</t>
  </si>
  <si>
    <t>パーフェクト▲ 出来高増(1.8倍) MACD+ 年初来高値更新● EMA12&gt;26 MACD&gt;Sig RSI&gt;50 [◎モメンタム完全] [Perfect5&gt;25&gt;75] [Vol急増陽線] [Hist拡大] [対TOPIX勝 +12.61%] [大陽線▲+2]</t>
  </si>
  <si>
    <t>ＮＧＫ</t>
  </si>
  <si>
    <t>更新△(ダマシ警戒)</t>
  </si>
  <si>
    <t>上昇▲ MACD+ 高値更新ダマシ警戒 EMA12&gt;26 MACD&gt;Sig RSI&gt;50 [◎モメンタム完全] [Perfect5&gt;25&gt;75] [ADX=36] [Hist拡大] [対TOPIX勝 +2.78%] [大陽線▲+2]</t>
  </si>
  <si>
    <t>りそなホールディングス</t>
  </si>
  <si>
    <t>パーフェクト▲ MACD+ EMA12&gt;26 MACD&gt;Sig RSI&gt;50 [◎モメンタム完全] [Perfect5&gt;25&gt;75] [ADX=27] [Hist拡大] [対TOPIX勝 +0.24%] [前日:長い下ヒゲ+1]</t>
  </si>
  <si>
    <t>ローツェ</t>
  </si>
  <si>
    <t>1.03倍</t>
  </si>
  <si>
    <t>パーフェクト▲ MACD+ EMA12&gt;26 MACD&gt;Sig RSI&gt;50 [◎モメンタム完全] [Perfect5&gt;25&gt;75] [Hist拡大] [対TOPIX勝 +2.71%] [大陽線▲+2]</t>
  </si>
  <si>
    <t>村田製作所</t>
  </si>
  <si>
    <t>0.71倍</t>
  </si>
  <si>
    <t>上昇▲ MACD+ EMA12&gt;26 MACD&gt;Sig RSI&gt;50 [◎モメンタム完全] [Perfect5&gt;25&gt;75] [ADX=52] [Hist拡大] [対TOPIX勝 +2.63%] [大陽線▲+2]</t>
  </si>
  <si>
    <t>フェローテック</t>
  </si>
  <si>
    <t>パーフェクト▲ EMA12&gt;26 MACD&gt;Sig RSI&gt;50 [◎モメンタム完全] [GC直近5日] [Perfect5&gt;25&gt;75] [Hist拡大] [対TOPIX勝 +0.95%] [大陽線▲+2]</t>
  </si>
  <si>
    <t>TOPIX: 上昇▲ (+0.55%) 【通常】　　最終更新: 2026/06/17 15:35　　買い抽出(スコア11以上・中程度)</t>
    <phoneticPr fontId="16"/>
  </si>
  <si>
    <t>TOPIX: 上昇▲ (+0.55%) 【通常】　最終更新: 2026/06/17 15:38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</si>
</sst>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76" formatCode="\+#,##0;\-#,##0;\-"/>
    <numFmt numFmtId="177" formatCode="0000"/>
    <numFmt numFmtId="178" formatCode="m/d"/>
    <numFmt numFmtId="179" formatCode="0.0"/>
    <numFmt numFmtId="180" formatCode="0.0&quot;%&quot;"/>
    <numFmt numFmtId="181" formatCode="0.00&quot;倍&quot;"/>
    <numFmt numFmtId="182" formatCode="0.00&quot;%&quot;"/>
    <numFmt numFmtId="183" formatCode="m/d;@"/>
    <numFmt numFmtId="184" formatCode="#,##0.0"/>
    <numFmt numFmtId="185" formatCode="#,##0;\-#,##0;0"/>
    <numFmt numFmtId="186" formatCode="yyyy/m/d;@"/>
    <numFmt numFmtId="187" formatCode="0_);[Red]\(0\)"/>
    <numFmt numFmtId="188" formatCode="0&quot;日&quot;"/>
    <numFmt numFmtId="189" formatCode="yyyy/mm/dd"/>
    <numFmt numFmtId="190" formatCode="0_ "/>
    <numFmt numFmtId="191" formatCode="h:mm;@"/>
    <numFmt numFmtId="192" formatCode="\+0.0&quot;%&quot;;\-0.0&quot;%&quot;;0.0&quot;%&quot;"/>
    <numFmt numFmtId="193" formatCode="\+0;\-0;0"/>
  </numFmts>
  <fonts count="167">
    <font>
      <sz val="11"/>
      <color theme="1"/>
      <name val="ＭＳ Ｐゴシック"/>
      <family val="2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16"/>
      <color rgb="FFFFFFFF"/>
      <name val="Meiryo UI"/>
      <family val="3"/>
      <charset val="128"/>
    </font>
    <font>
      <sz val="9"/>
      <color rgb="FFFFFFFF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b/>
      <sz val="10"/>
      <color rgb="FF595959"/>
      <name val="Meiryo UI"/>
      <family val="3"/>
      <charset val="128"/>
    </font>
    <font>
      <b/>
      <sz val="13"/>
      <color rgb="FFFFFFFF"/>
      <name val="Meiryo UI"/>
      <family val="3"/>
      <charset val="128"/>
    </font>
    <font>
      <b/>
      <sz val="9"/>
      <color rgb="FFFFFFFF"/>
      <name val="Meiryo UI"/>
      <family val="3"/>
      <charset val="128"/>
    </font>
    <font>
      <sz val="7"/>
      <color rgb="FFFFFFFF"/>
      <name val="Meiryo UI"/>
      <family val="3"/>
      <charset val="128"/>
    </font>
    <font>
      <b/>
      <sz val="8"/>
      <color rgb="FF595959"/>
      <name val="Meiryo UI"/>
      <family val="3"/>
      <charset val="128"/>
    </font>
    <font>
      <sz val="8"/>
      <color rgb="FF595959"/>
      <name val="Meiryo UI"/>
      <family val="3"/>
      <charset val="128"/>
    </font>
    <font>
      <sz val="9"/>
      <color rgb="FF595959"/>
      <name val="Meiryo UI"/>
      <family val="3"/>
      <charset val="128"/>
    </font>
    <font>
      <sz val="8"/>
      <color rgb="FF404040"/>
      <name val="Meiryo UI"/>
      <family val="3"/>
      <charset val="128"/>
    </font>
    <font>
      <b/>
      <sz val="10"/>
      <color rgb="FFC00000"/>
      <name val="Consolas"/>
      <family val="3"/>
    </font>
    <font>
      <b/>
      <sz val="10"/>
      <color rgb="FF375623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b/>
      <sz val="20"/>
      <color rgb="FF000000"/>
      <name val="Meiryo UI"/>
      <family val="3"/>
      <charset val="128"/>
    </font>
    <font>
      <u/>
      <sz val="11"/>
      <color theme="10"/>
      <name val="ＭＳ Ｐゴシック"/>
      <family val="2"/>
      <scheme val="minor"/>
    </font>
    <font>
      <b/>
      <sz val="14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7"/>
      <color rgb="FFFFFFFF"/>
      <name val="Meiryo UI"/>
      <family val="3"/>
      <charset val="128"/>
    </font>
    <font>
      <b/>
      <sz val="9"/>
      <color rgb="FF595959"/>
      <name val="Meiryo UI"/>
      <family val="3"/>
      <charset val="128"/>
    </font>
    <font>
      <b/>
      <sz val="8"/>
      <color rgb="FF404040"/>
      <name val="Meiryo UI"/>
      <family val="3"/>
      <charset val="128"/>
    </font>
    <font>
      <sz val="11"/>
      <color theme="1" tint="4.9989318521683403E-2"/>
      <name val="ＭＳ Ｐゴシック"/>
      <family val="2"/>
      <scheme val="minor"/>
    </font>
    <font>
      <b/>
      <sz val="16"/>
      <color theme="1"/>
      <name val="ＭＳ Ｐゴシック"/>
      <family val="2"/>
      <scheme val="minor"/>
    </font>
    <font>
      <sz val="14"/>
      <color rgb="FF595959"/>
      <name val="Meiryo UI"/>
      <family val="3"/>
      <charset val="128"/>
    </font>
    <font>
      <b/>
      <sz val="16"/>
      <color rgb="FFD4AF37"/>
      <name val="Meiryo UI"/>
      <family val="3"/>
      <charset val="128"/>
    </font>
    <font>
      <b/>
      <sz val="9"/>
      <color rgb="FF202020"/>
      <name val="Meiryo UI"/>
      <family val="3"/>
      <charset val="128"/>
    </font>
    <font>
      <b/>
      <sz val="11"/>
      <color rgb="FF333333"/>
      <name val="ＭＳ Ｐゴシック"/>
      <family val="3"/>
      <charset val="128"/>
    </font>
    <font>
      <sz val="11"/>
      <color rgb="FF333333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20"/>
      <color rgb="FFFFFFFF"/>
      <name val="Meiryo UI"/>
      <family val="3"/>
      <charset val="128"/>
    </font>
    <font>
      <sz val="18"/>
      <color theme="1"/>
      <name val="ＭＳ Ｐゴシック"/>
      <family val="3"/>
      <charset val="128"/>
      <scheme val="minor"/>
    </font>
    <font>
      <b/>
      <sz val="9"/>
      <color theme="1"/>
      <name val="Meiryo UI"/>
      <family val="3"/>
      <charset val="128"/>
    </font>
    <font>
      <sz val="14"/>
      <color theme="1"/>
      <name val="ＭＳ Ｐゴシック"/>
      <family val="2"/>
      <scheme val="minor"/>
    </font>
    <font>
      <sz val="16"/>
      <color theme="1"/>
      <name val="ＭＳ Ｐゴシック"/>
      <family val="2"/>
      <scheme val="minor"/>
    </font>
    <font>
      <b/>
      <i/>
      <sz val="16"/>
      <color rgb="FFFFFFFF"/>
      <name val="Meiryo UI"/>
      <family val="3"/>
      <charset val="128"/>
    </font>
    <font>
      <sz val="11"/>
      <color theme="3" tint="-0.249977111117893"/>
      <name val="ＭＳ Ｐゴシック"/>
      <family val="2"/>
      <scheme val="minor"/>
    </font>
    <font>
      <sz val="18"/>
      <color theme="2" tint="-0.499984740745262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  <font>
      <sz val="8"/>
      <color rgb="FF333333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14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theme="1"/>
      <name val="Arial Unicode MS"/>
      <family val="2"/>
    </font>
    <font>
      <b/>
      <sz val="11"/>
      <color rgb="FFC00000"/>
      <name val="ＭＳ Ｐゴシック"/>
      <family val="3"/>
      <charset val="128"/>
      <scheme val="minor"/>
    </font>
    <font>
      <sz val="20"/>
      <color theme="1"/>
      <name val="ＭＳ Ｐゴシック"/>
      <family val="2"/>
      <scheme val="minor"/>
    </font>
    <font>
      <sz val="10"/>
      <color rgb="FF333333"/>
      <name val="ＭＳ Ｐゴシック"/>
      <family val="3"/>
      <charset val="128"/>
      <scheme val="minor"/>
    </font>
    <font>
      <sz val="10"/>
      <color rgb="FF40404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rgb="FF595959"/>
      <name val="ＭＳ Ｐゴシック"/>
      <family val="3"/>
      <charset val="128"/>
      <scheme val="minor"/>
    </font>
    <font>
      <b/>
      <sz val="11"/>
      <color rgb="FFFFFFFF"/>
      <name val="Meiryo UI"/>
      <family val="3"/>
      <charset val="128"/>
    </font>
    <font>
      <sz val="12"/>
      <color theme="1"/>
      <name val="Meiryo UI"/>
      <family val="3"/>
      <charset val="128"/>
    </font>
    <font>
      <b/>
      <u/>
      <sz val="12"/>
      <color rgb="FF004494"/>
      <name val="Meiryo UI"/>
      <family val="3"/>
      <charset val="128"/>
    </font>
    <font>
      <b/>
      <sz val="12"/>
      <color rgb="FFC00000"/>
      <name val="Meiryo UI"/>
      <family val="3"/>
      <charset val="128"/>
    </font>
    <font>
      <b/>
      <sz val="12"/>
      <color rgb="FF595959"/>
      <name val="Meiryo UI"/>
      <family val="3"/>
      <charset val="128"/>
    </font>
    <font>
      <sz val="9"/>
      <name val="Meiryo UI"/>
      <family val="3"/>
      <charset val="128"/>
    </font>
    <font>
      <u/>
      <sz val="9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b/>
      <sz val="11"/>
      <name val="ＭＳ Ｐゴシック"/>
      <family val="3"/>
      <charset val="128"/>
      <scheme val="minor"/>
    </font>
    <font>
      <sz val="10"/>
      <color rgb="FF375623"/>
      <name val="Meiryo UI"/>
      <family val="3"/>
      <charset val="128"/>
    </font>
    <font>
      <b/>
      <sz val="18"/>
      <color rgb="FFFFFFFF"/>
      <name val="Meiryo UI"/>
      <family val="3"/>
      <charset val="128"/>
    </font>
    <font>
      <b/>
      <sz val="10"/>
      <color rgb="FFFFD700"/>
      <name val="Meiryo UI"/>
      <family val="3"/>
      <charset val="128"/>
    </font>
    <font>
      <b/>
      <u/>
      <sz val="10"/>
      <color rgb="FFFFFFFF"/>
      <name val="Meiryo UI"/>
      <family val="3"/>
      <charset val="128"/>
    </font>
    <font>
      <sz val="10"/>
      <color theme="1"/>
      <name val="Meiryo UI"/>
      <family val="3"/>
      <charset val="128"/>
    </font>
    <font>
      <u/>
      <sz val="10"/>
      <color rgb="FF0066CC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rgb="FF646464"/>
      <name val="ＭＳ Ｐゴシック"/>
      <family val="3"/>
      <charset val="128"/>
      <scheme val="minor"/>
    </font>
    <font>
      <b/>
      <sz val="12"/>
      <color theme="1"/>
      <name val="ＭＳ Ｐゴシック"/>
      <family val="2"/>
      <scheme val="minor"/>
    </font>
    <font>
      <b/>
      <sz val="12"/>
      <color rgb="FFC00000"/>
      <name val="ＭＳ Ｐゴシック"/>
      <family val="3"/>
      <charset val="128"/>
      <scheme val="minor"/>
    </font>
    <font>
      <b/>
      <sz val="14"/>
      <color rgb="FFC00000"/>
      <name val="Consolas"/>
      <family val="3"/>
    </font>
    <font>
      <b/>
      <sz val="14"/>
      <color rgb="FFC00000"/>
      <name val="ＭＳ Ｐゴシック"/>
      <family val="3"/>
      <charset val="128"/>
      <scheme val="minor"/>
    </font>
    <font>
      <sz val="10"/>
      <color rgb="FFFFFFFF"/>
      <name val="Meiryo UI"/>
      <family val="3"/>
      <charset val="128"/>
    </font>
    <font>
      <b/>
      <sz val="14"/>
      <color rgb="FFFFFFFF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3"/>
      <color rgb="FFFFFFFF"/>
      <name val="Segoe UI Emoji"/>
      <family val="2"/>
    </font>
    <font>
      <sz val="11"/>
      <color theme="1"/>
      <name val="Meiryo UI"/>
      <family val="3"/>
      <charset val="128"/>
    </font>
    <font>
      <b/>
      <sz val="11"/>
      <color rgb="FFFFFFFF"/>
      <name val="ＭＳ Ｐゴシック"/>
      <family val="2"/>
      <scheme val="minor"/>
    </font>
    <font>
      <sz val="10"/>
      <color theme="1"/>
      <name val="ＭＳ Ｐゴシック"/>
      <family val="2"/>
      <scheme val="minor"/>
    </font>
    <font>
      <b/>
      <sz val="18"/>
      <color theme="1"/>
      <name val="ＭＳ Ｐゴシック"/>
      <family val="2"/>
      <scheme val="minor"/>
    </font>
    <font>
      <b/>
      <sz val="14"/>
      <color rgb="FFFFFFFF"/>
      <name val="ＭＳ Ｐゴシック"/>
      <family val="2"/>
      <scheme val="minor"/>
    </font>
    <font>
      <sz val="10"/>
      <color rgb="FF595959"/>
      <name val="ＭＳ Ｐゴシック"/>
      <family val="2"/>
      <scheme val="minor"/>
    </font>
    <font>
      <b/>
      <sz val="22"/>
      <color rgb="FF1F4E79"/>
      <name val="ＭＳ Ｐゴシック"/>
      <family val="2"/>
      <scheme val="minor"/>
    </font>
    <font>
      <u/>
      <sz val="10"/>
      <color rgb="FFFFFFFF"/>
      <name val="Meiryo UI"/>
      <family val="3"/>
      <charset val="128"/>
    </font>
    <font>
      <b/>
      <sz val="16"/>
      <color rgb="FFFFFFFF"/>
      <name val="ＭＳ Ｐゴシック"/>
      <family val="3"/>
      <charset val="128"/>
      <scheme val="minor"/>
    </font>
    <font>
      <b/>
      <sz val="13"/>
      <color rgb="FFFFFFFF"/>
      <name val="ＭＳ Ｐゴシック"/>
      <family val="3"/>
      <charset val="128"/>
      <scheme val="minor"/>
    </font>
    <font>
      <sz val="7"/>
      <name val="ＭＳ Ｐゴシック"/>
      <family val="2"/>
      <charset val="128"/>
      <scheme val="minor"/>
    </font>
    <font>
      <sz val="13"/>
      <color theme="1"/>
      <name val="ＭＳ Ｐゴシック"/>
      <family val="3"/>
      <charset val="128"/>
      <scheme val="minor"/>
    </font>
    <font>
      <b/>
      <sz val="13"/>
      <color rgb="FF0000FF"/>
      <name val="ＭＳ Ｐゴシック"/>
      <family val="3"/>
      <charset val="128"/>
      <scheme val="minor"/>
    </font>
    <font>
      <b/>
      <sz val="13"/>
      <color rgb="FF008000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b/>
      <sz val="13"/>
      <color rgb="FFFF0000"/>
      <name val="ＭＳ Ｐゴシック"/>
      <family val="3"/>
      <charset val="128"/>
      <scheme val="minor"/>
    </font>
    <font>
      <b/>
      <sz val="13"/>
      <color rgb="FF000000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sz val="13"/>
      <color rgb="FF888888"/>
      <name val="ＭＳ Ｐゴシック"/>
      <family val="3"/>
      <charset val="128"/>
      <scheme val="minor"/>
    </font>
    <font>
      <sz val="12"/>
      <color rgb="FF888888"/>
      <name val="ＭＳ Ｐゴシック"/>
      <family val="3"/>
      <charset val="128"/>
      <scheme val="minor"/>
    </font>
    <font>
      <b/>
      <sz val="18"/>
      <color rgb="FFFFFFFF"/>
      <name val="ＭＳ Ｐゴシック"/>
      <family val="3"/>
      <charset val="128"/>
      <scheme val="minor"/>
    </font>
    <font>
      <sz val="11"/>
      <color rgb="FF666666"/>
      <name val="ＭＳ Ｐゴシック"/>
      <family val="3"/>
      <charset val="128"/>
      <scheme val="minor"/>
    </font>
    <font>
      <sz val="14"/>
      <color rgb="FFAAAAAA"/>
      <name val="ＭＳ Ｐゴシック"/>
      <family val="2"/>
      <charset val="128"/>
      <scheme val="minor"/>
    </font>
    <font>
      <sz val="12"/>
      <color rgb="FF9C0006"/>
      <name val="ＭＳ Ｐゴシック"/>
      <family val="3"/>
      <charset val="128"/>
      <scheme val="minor"/>
    </font>
    <font>
      <sz val="12"/>
      <color rgb="FF27622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2"/>
      <color rgb="FF0000FF"/>
      <name val="Courier New"/>
      <family val="3"/>
    </font>
    <font>
      <sz val="11"/>
      <color rgb="FF276221"/>
      <name val="ＭＳ Ｐゴシック"/>
      <family val="3"/>
      <charset val="128"/>
      <scheme val="minor"/>
    </font>
    <font>
      <b/>
      <sz val="14"/>
      <color rgb="FFFFFFFF"/>
      <name val="游ゴシック"/>
      <family val="3"/>
      <charset val="128"/>
    </font>
    <font>
      <b/>
      <sz val="12"/>
      <color rgb="FF375623"/>
      <name val="游ゴシック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rgb="FF4A235A"/>
      <name val="ＭＳ Ｐゴシック"/>
      <family val="3"/>
      <charset val="128"/>
      <scheme val="minor"/>
    </font>
    <font>
      <b/>
      <sz val="12"/>
      <color rgb="FF7B2C2C"/>
      <name val="ＭＳ Ｐゴシック"/>
      <family val="3"/>
      <charset val="128"/>
      <scheme val="minor"/>
    </font>
    <font>
      <b/>
      <sz val="12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2"/>
      <color rgb="FF9C0006"/>
      <name val="ＭＳ Ｐゴシック"/>
      <family val="3"/>
      <charset val="128"/>
      <scheme val="minor"/>
    </font>
    <font>
      <b/>
      <u/>
      <sz val="14"/>
      <color theme="7"/>
      <name val="ＭＳ Ｐゴシック"/>
      <family val="3"/>
      <charset val="128"/>
      <scheme val="minor"/>
    </font>
    <font>
      <b/>
      <sz val="20"/>
      <color theme="2"/>
      <name val="ＭＳ Ｐゴシック"/>
      <family val="2"/>
      <scheme val="minor"/>
    </font>
    <font>
      <b/>
      <sz val="16"/>
      <color rgb="FFD4AF37"/>
      <name val="ＭＳ Ｐゴシック"/>
      <family val="2"/>
      <scheme val="minor"/>
    </font>
    <font>
      <b/>
      <sz val="9"/>
      <color rgb="FFFFFFFF"/>
      <name val="ＭＳ Ｐゴシック"/>
      <family val="2"/>
      <scheme val="minor"/>
    </font>
    <font>
      <b/>
      <sz val="18"/>
      <color rgb="FFFFFFFF"/>
      <name val="ＭＳ Ｐゴシック"/>
      <family val="2"/>
      <scheme val="minor"/>
    </font>
    <font>
      <b/>
      <sz val="10"/>
      <color rgb="FFFFFFFF"/>
      <name val="ＭＳ Ｐゴシック"/>
      <family val="2"/>
      <scheme val="minor"/>
    </font>
    <font>
      <sz val="14"/>
      <color rgb="FFFF0000"/>
      <name val="ＭＳ Ｐゴシック"/>
      <family val="2"/>
      <charset val="128"/>
      <scheme val="minor"/>
    </font>
    <font>
      <sz val="14"/>
      <color rgb="FFFF0000"/>
      <name val="ＭＳ Ｐゴシック"/>
      <family val="3"/>
      <charset val="128"/>
      <scheme val="minor"/>
    </font>
    <font>
      <b/>
      <sz val="14"/>
      <color rgb="FF0000FF"/>
      <name val="ＭＳ Ｐゴシック"/>
      <family val="2"/>
      <charset val="128"/>
      <scheme val="minor"/>
    </font>
    <font>
      <b/>
      <sz val="14"/>
      <color rgb="FF0000FF"/>
      <name val="ＭＳ Ｐゴシック"/>
      <family val="3"/>
      <charset val="128"/>
      <scheme val="minor"/>
    </font>
    <font>
      <sz val="14"/>
      <color rgb="FF888888"/>
      <name val="ＭＳ Ｐゴシック"/>
      <family val="3"/>
      <charset val="128"/>
      <scheme val="minor"/>
    </font>
    <font>
      <b/>
      <sz val="22"/>
      <color theme="9" tint="-0.249977111117893"/>
      <name val="ＭＳ Ｐゴシック"/>
      <family val="3"/>
      <charset val="128"/>
      <scheme val="minor"/>
    </font>
    <font>
      <sz val="18"/>
      <name val="Meiryo UI"/>
      <family val="3"/>
      <charset val="128"/>
    </font>
    <font>
      <u/>
      <sz val="18"/>
      <name val="Meiryo UI"/>
      <family val="3"/>
      <charset val="128"/>
    </font>
    <font>
      <b/>
      <u/>
      <sz val="18"/>
      <color rgb="FFFFFFFF"/>
      <name val="Meiryo UI"/>
      <family val="3"/>
      <charset val="128"/>
    </font>
    <font>
      <sz val="18"/>
      <color rgb="FF202020"/>
      <name val="Meiryo UI"/>
      <family val="3"/>
      <charset val="128"/>
    </font>
    <font>
      <b/>
      <sz val="18"/>
      <color rgb="FF202020"/>
      <name val="Meiryo UI"/>
      <family val="3"/>
      <charset val="128"/>
    </font>
    <font>
      <sz val="16"/>
      <name val="Meiryo UI"/>
      <family val="3"/>
      <charset val="128"/>
    </font>
    <font>
      <sz val="16"/>
      <name val="ＭＳ Ｐゴシック"/>
      <family val="2"/>
      <scheme val="minor"/>
    </font>
    <font>
      <b/>
      <sz val="8"/>
      <color rgb="FFFFFFFF"/>
      <name val="Meiryo UI"/>
      <family val="3"/>
      <charset val="128"/>
    </font>
    <font>
      <sz val="14"/>
      <color indexed="81"/>
      <name val="MS P ゴシック"/>
      <family val="3"/>
      <charset val="128"/>
    </font>
    <font>
      <b/>
      <sz val="14"/>
      <color indexed="81"/>
      <name val="MS P ゴシック"/>
      <family val="3"/>
      <charset val="128"/>
    </font>
    <font>
      <b/>
      <sz val="9"/>
      <color rgb="FFFFFFFF"/>
      <name val="ＭＳ Ｐ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0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20"/>
      <color rgb="FF993366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b/>
      <sz val="12"/>
      <color rgb="FFC00000"/>
      <name val="Consolas"/>
      <family val="3"/>
    </font>
    <font>
      <b/>
      <sz val="14"/>
      <color rgb="FF9C0006"/>
      <name val="ＭＳ Ｐゴシック"/>
      <family val="3"/>
      <charset val="128"/>
      <scheme val="minor"/>
    </font>
    <font>
      <b/>
      <sz val="18"/>
      <name val="Meiryo UI"/>
      <family val="3"/>
      <charset val="128"/>
    </font>
    <font>
      <sz val="11"/>
      <name val="ＭＳ Ｐゴシック"/>
      <family val="2"/>
      <scheme val="minor"/>
    </font>
    <font>
      <b/>
      <sz val="26"/>
      <color rgb="FFD4AF37"/>
      <name val="ＭＳ Ｐゴシック"/>
      <family val="3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u/>
      <sz val="11"/>
      <color rgb="FFFFD700"/>
      <name val="Meiryo UI"/>
      <family val="3"/>
      <charset val="128"/>
    </font>
    <font>
      <b/>
      <sz val="14"/>
      <color rgb="FFFFFFFF"/>
      <name val="Meiryo UI"/>
      <family val="3"/>
      <charset val="128"/>
    </font>
    <font>
      <sz val="12"/>
      <name val="Meiryo UI"/>
      <family val="3"/>
      <charset val="128"/>
    </font>
    <font>
      <sz val="12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b/>
      <sz val="18"/>
      <color rgb="FFC00000"/>
      <name val="Meiryo UI"/>
      <family val="3"/>
      <charset val="128"/>
    </font>
    <font>
      <b/>
      <sz val="13"/>
      <color rgb="FFFFFFFF"/>
      <name val="ＭＳ Ｐゴシック"/>
      <family val="2"/>
      <scheme val="minor"/>
    </font>
    <font>
      <b/>
      <sz val="11"/>
      <color rgb="FFAACCFF"/>
      <name val="ＭＳ Ｐゴシック"/>
      <family val="2"/>
      <scheme val="minor"/>
    </font>
    <font>
      <b/>
      <sz val="11"/>
      <color rgb="FF856404"/>
      <name val="ＭＳ Ｐゴシック"/>
      <family val="2"/>
      <scheme val="minor"/>
    </font>
    <font>
      <b/>
      <sz val="11"/>
      <color rgb="FFCC0000"/>
      <name val="ＭＳ Ｐゴシック"/>
      <family val="2"/>
      <scheme val="minor"/>
    </font>
    <font>
      <sz val="11"/>
      <color rgb="FF007700"/>
      <name val="ＭＳ Ｐゴシック"/>
      <family val="2"/>
      <scheme val="minor"/>
    </font>
    <font>
      <sz val="11"/>
      <color rgb="FF005599"/>
      <name val="ＭＳ Ｐゴシック"/>
      <family val="2"/>
      <scheme val="minor"/>
    </font>
    <font>
      <sz val="11"/>
      <color rgb="FF993300"/>
      <name val="ＭＳ Ｐゴシック"/>
      <family val="2"/>
      <scheme val="minor"/>
    </font>
    <font>
      <b/>
      <sz val="11"/>
      <color rgb="FF155724"/>
      <name val="ＭＳ Ｐゴシック"/>
      <family val="2"/>
      <scheme val="minor"/>
    </font>
    <font>
      <b/>
      <sz val="18"/>
      <color rgb="FFED7D31"/>
      <name val="Meiryo UI"/>
      <family val="3"/>
      <charset val="128"/>
    </font>
  </fonts>
  <fills count="68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4472C4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C00000"/>
      </patternFill>
    </fill>
    <fill>
      <patternFill patternType="solid">
        <fgColor rgb="FFDCE6F1"/>
      </patternFill>
    </fill>
    <fill>
      <patternFill patternType="solid">
        <fgColor rgb="FF375623"/>
      </patternFill>
    </fill>
    <fill>
      <patternFill patternType="solid">
        <fgColor rgb="FF7030A0"/>
      </patternFill>
    </fill>
    <fill>
      <patternFill patternType="solid">
        <fgColor rgb="FF59595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467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0C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1F4E79"/>
        <bgColor indexed="64"/>
      </patternFill>
    </fill>
    <fill>
      <gradientFill degree="90">
        <stop position="0">
          <color rgb="FF002040"/>
        </stop>
        <stop position="0.5">
          <color rgb="FF0070C0"/>
        </stop>
        <stop position="1">
          <color rgb="FF002040"/>
        </stop>
      </gradientFill>
    </fill>
    <fill>
      <patternFill patternType="solid">
        <fgColor rgb="FF14285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295F91"/>
        <bgColor indexed="64"/>
      </patternFill>
    </fill>
    <fill>
      <patternFill patternType="solid">
        <fgColor rgb="FF3370A8"/>
        <bgColor indexed="64"/>
      </patternFill>
    </fill>
    <fill>
      <patternFill patternType="solid">
        <fgColor rgb="FF3D82C0"/>
        <bgColor indexed="64"/>
      </patternFill>
    </fill>
    <fill>
      <patternFill patternType="solid">
        <fgColor rgb="FF009688"/>
        <bgColor indexed="64"/>
      </patternFill>
    </fill>
    <fill>
      <patternFill patternType="solid">
        <fgColor rgb="FFC05A00"/>
        <bgColor indexed="64"/>
      </patternFill>
    </fill>
    <fill>
      <gradientFill>
        <stop position="0">
          <color rgb="FFC00000"/>
        </stop>
        <stop position="1">
          <color rgb="FFFF8C00"/>
        </stop>
      </gradientFill>
    </fill>
    <fill>
      <patternFill patternType="solid">
        <fgColor rgb="FFEBF3FF"/>
        <bgColor indexed="64"/>
      </patternFill>
    </fill>
    <fill>
      <gradientFill>
        <stop position="0">
          <color rgb="FF323232"/>
        </stop>
        <stop position="1">
          <color rgb="FF5A5A5A"/>
        </stop>
      </gradientFill>
    </fill>
    <fill>
      <patternFill patternType="solid">
        <fgColor rgb="FF4472C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7B2C2C"/>
        <bgColor indexed="64"/>
      </patternFill>
    </fill>
    <fill>
      <patternFill patternType="solid">
        <fgColor rgb="FF4A235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B00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5C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28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E8F4E8"/>
        <bgColor indexed="64"/>
      </patternFill>
    </fill>
    <fill>
      <patternFill patternType="solid">
        <fgColor rgb="FFF5F9FF"/>
        <bgColor indexed="64"/>
      </patternFill>
    </fill>
  </fills>
  <borders count="67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 style="thin">
        <color rgb="FFC8C8C8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D700"/>
      </bottom>
      <diagonal/>
    </border>
    <border>
      <left style="thin">
        <color rgb="FF808080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80808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double">
        <color rgb="FFFFD700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double">
        <color rgb="FFFFD700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thin">
        <color rgb="FFB4B4B4"/>
      </top>
      <bottom style="thin">
        <color rgb="FFB4B4B4"/>
      </bottom>
      <diagonal/>
    </border>
    <border>
      <left style="thin">
        <color rgb="FF2E75B6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2E75B6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2E75B6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D4AF37"/>
      </bottom>
      <diagonal/>
    </border>
  </borders>
  <cellStyleXfs count="4">
    <xf numFmtId="0" fontId="0" fillId="0" borderId="0"/>
    <xf numFmtId="0" fontId="18" fillId="0" borderId="0"/>
    <xf numFmtId="0" fontId="2" fillId="0" borderId="0">
      <alignment vertical="center"/>
    </xf>
    <xf numFmtId="38" fontId="145" fillId="0" borderId="0" applyFont="0" applyFill="0" applyBorder="0" applyAlignment="0" applyProtection="0">
      <alignment vertical="center"/>
    </xf>
  </cellStyleXfs>
  <cellXfs count="674">
    <xf numFmtId="0" fontId="0" fillId="0" borderId="0" xfId="0"/>
    <xf numFmtId="0" fontId="0" fillId="0" borderId="0" xfId="0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21" fillId="0" borderId="0" xfId="0" applyFont="1" applyProtection="1">
      <protection locked="0"/>
    </xf>
    <xf numFmtId="177" fontId="61" fillId="0" borderId="3" xfId="0" applyNumberFormat="1" applyFont="1" applyBorder="1" applyProtection="1">
      <protection locked="0"/>
    </xf>
    <xf numFmtId="176" fontId="23" fillId="7" borderId="3" xfId="0" applyNumberFormat="1" applyFont="1" applyFill="1" applyBorder="1" applyAlignment="1" applyProtection="1">
      <alignment horizontal="right" vertical="center"/>
      <protection locked="0"/>
    </xf>
    <xf numFmtId="179" fontId="23" fillId="19" borderId="3" xfId="0" applyNumberFormat="1" applyFont="1" applyFill="1" applyBorder="1" applyAlignment="1" applyProtection="1">
      <alignment horizontal="right" vertical="center"/>
      <protection locked="0"/>
    </xf>
    <xf numFmtId="176" fontId="23" fillId="5" borderId="3" xfId="0" applyNumberFormat="1" applyFont="1" applyFill="1" applyBorder="1" applyAlignment="1" applyProtection="1">
      <alignment horizontal="right" vertical="center"/>
      <protection locked="0"/>
    </xf>
    <xf numFmtId="3" fontId="31" fillId="17" borderId="0" xfId="0" applyNumberFormat="1" applyFont="1" applyFill="1" applyAlignment="1" applyProtection="1">
      <alignment horizontal="right" vertical="center" wrapText="1"/>
      <protection locked="0"/>
    </xf>
    <xf numFmtId="3" fontId="24" fillId="5" borderId="0" xfId="0" applyNumberFormat="1" applyFont="1" applyFill="1" applyAlignment="1" applyProtection="1">
      <alignment horizontal="right" vertical="center"/>
      <protection locked="0"/>
    </xf>
    <xf numFmtId="3" fontId="30" fillId="0" borderId="0" xfId="0" applyNumberFormat="1" applyFont="1" applyAlignment="1" applyProtection="1">
      <alignment horizontal="right" vertical="center" wrapText="1"/>
      <protection locked="0"/>
    </xf>
    <xf numFmtId="3" fontId="45" fillId="0" borderId="0" xfId="0" applyNumberFormat="1" applyFont="1" applyAlignment="1" applyProtection="1">
      <alignment horizontal="center" vertical="center"/>
      <protection locked="0"/>
    </xf>
    <xf numFmtId="3" fontId="24" fillId="0" borderId="0" xfId="0" applyNumberFormat="1" applyFont="1" applyAlignment="1" applyProtection="1">
      <alignment horizontal="right" vertical="center"/>
      <protection locked="0"/>
    </xf>
    <xf numFmtId="3" fontId="41" fillId="0" borderId="0" xfId="0" applyNumberFormat="1" applyFont="1" applyAlignment="1" applyProtection="1">
      <alignment horizontal="right" vertical="center" wrapText="1"/>
      <protection locked="0"/>
    </xf>
    <xf numFmtId="184" fontId="23" fillId="0" borderId="3" xfId="0" applyNumberFormat="1" applyFont="1" applyBorder="1" applyAlignment="1" applyProtection="1">
      <alignment horizontal="right" vertical="center"/>
      <protection locked="0"/>
    </xf>
    <xf numFmtId="185" fontId="0" fillId="0" borderId="0" xfId="0" applyNumberFormat="1" applyProtection="1">
      <protection locked="0"/>
    </xf>
    <xf numFmtId="0" fontId="12" fillId="5" borderId="0" xfId="0" applyFont="1" applyFill="1" applyAlignment="1" applyProtection="1">
      <alignment horizontal="left" vertical="center"/>
      <protection locked="0"/>
    </xf>
    <xf numFmtId="3" fontId="15" fillId="19" borderId="0" xfId="0" applyNumberFormat="1" applyFont="1" applyFill="1" applyAlignment="1" applyProtection="1">
      <alignment horizontal="right" vertical="center"/>
      <protection locked="0"/>
    </xf>
    <xf numFmtId="176" fontId="12" fillId="5" borderId="0" xfId="0" applyNumberFormat="1" applyFont="1" applyFill="1" applyAlignment="1" applyProtection="1">
      <alignment horizontal="right" vertical="center"/>
      <protection locked="0"/>
    </xf>
    <xf numFmtId="3" fontId="13" fillId="5" borderId="0" xfId="0" applyNumberFormat="1" applyFont="1" applyFill="1" applyAlignment="1" applyProtection="1">
      <alignment horizontal="right" vertical="center"/>
      <protection locked="0"/>
    </xf>
    <xf numFmtId="3" fontId="31" fillId="0" borderId="0" xfId="0" applyNumberFormat="1" applyFont="1" applyAlignment="1" applyProtection="1">
      <alignment horizontal="right" vertical="center" wrapText="1"/>
      <protection locked="0"/>
    </xf>
    <xf numFmtId="3" fontId="13" fillId="0" borderId="0" xfId="0" applyNumberFormat="1" applyFont="1" applyAlignment="1" applyProtection="1">
      <alignment horizontal="right" vertical="center"/>
      <protection locked="0"/>
    </xf>
    <xf numFmtId="3" fontId="32" fillId="0" borderId="0" xfId="0" applyNumberFormat="1" applyFont="1" applyAlignment="1" applyProtection="1">
      <alignment horizontal="right" vertical="center" wrapText="1"/>
      <protection locked="0"/>
    </xf>
    <xf numFmtId="184" fontId="15" fillId="19" borderId="0" xfId="0" applyNumberFormat="1" applyFont="1" applyFill="1" applyAlignment="1" applyProtection="1">
      <alignment horizontal="right" vertical="center"/>
      <protection locked="0"/>
    </xf>
    <xf numFmtId="185" fontId="46" fillId="0" borderId="0" xfId="0" applyNumberFormat="1" applyFont="1" applyProtection="1">
      <protection locked="0"/>
    </xf>
    <xf numFmtId="184" fontId="15" fillId="0" borderId="0" xfId="0" applyNumberFormat="1" applyFont="1" applyAlignment="1" applyProtection="1">
      <alignment horizontal="right" vertical="center"/>
      <protection locked="0"/>
    </xf>
    <xf numFmtId="177" fontId="14" fillId="5" borderId="1" xfId="0" applyNumberFormat="1" applyFont="1" applyFill="1" applyBorder="1" applyAlignment="1" applyProtection="1">
      <alignment horizontal="center" vertical="center"/>
      <protection locked="0"/>
    </xf>
    <xf numFmtId="0" fontId="52" fillId="5" borderId="1" xfId="0" applyFont="1" applyFill="1" applyBorder="1" applyAlignment="1" applyProtection="1">
      <alignment horizontal="left" vertical="center"/>
      <protection locked="0"/>
    </xf>
    <xf numFmtId="0" fontId="51" fillId="19" borderId="0" xfId="0" applyFont="1" applyFill="1" applyProtection="1">
      <protection locked="0"/>
    </xf>
    <xf numFmtId="176" fontId="52" fillId="5" borderId="1" xfId="0" applyNumberFormat="1" applyFont="1" applyFill="1" applyBorder="1" applyAlignment="1" applyProtection="1">
      <alignment horizontal="right" vertical="center"/>
      <protection locked="0"/>
    </xf>
    <xf numFmtId="3" fontId="49" fillId="0" borderId="7" xfId="0" applyNumberFormat="1" applyFont="1" applyBorder="1" applyAlignment="1" applyProtection="1">
      <alignment horizontal="right" vertical="center" wrapText="1"/>
      <protection locked="0"/>
    </xf>
    <xf numFmtId="3" fontId="50" fillId="0" borderId="2" xfId="0" applyNumberFormat="1" applyFont="1" applyBorder="1" applyAlignment="1" applyProtection="1">
      <alignment horizontal="right" vertical="center"/>
      <protection locked="0"/>
    </xf>
    <xf numFmtId="3" fontId="13" fillId="0" borderId="2" xfId="0" applyNumberFormat="1" applyFont="1" applyBorder="1" applyAlignment="1" applyProtection="1">
      <alignment horizontal="right" vertical="center"/>
      <protection locked="0"/>
    </xf>
    <xf numFmtId="0" fontId="51" fillId="0" borderId="0" xfId="0" applyFont="1" applyProtection="1">
      <protection locked="0"/>
    </xf>
    <xf numFmtId="3" fontId="49" fillId="0" borderId="0" xfId="0" applyNumberFormat="1" applyFont="1" applyAlignment="1" applyProtection="1">
      <alignment horizontal="right" vertical="center" wrapText="1"/>
      <protection locked="0"/>
    </xf>
    <xf numFmtId="3" fontId="50" fillId="0" borderId="0" xfId="0" applyNumberFormat="1" applyFont="1" applyAlignment="1" applyProtection="1">
      <alignment horizontal="right" vertical="center"/>
      <protection locked="0"/>
    </xf>
    <xf numFmtId="3" fontId="50" fillId="0" borderId="6" xfId="0" applyNumberFormat="1" applyFont="1" applyBorder="1" applyAlignment="1" applyProtection="1">
      <alignment horizontal="right" vertical="center"/>
      <protection locked="0"/>
    </xf>
    <xf numFmtId="3" fontId="51" fillId="0" borderId="0" xfId="0" applyNumberFormat="1" applyFont="1" applyAlignment="1" applyProtection="1">
      <alignment horizontal="right" vertical="center" wrapText="1"/>
      <protection locked="0"/>
    </xf>
    <xf numFmtId="3" fontId="50" fillId="0" borderId="5" xfId="0" applyNumberFormat="1" applyFont="1" applyBorder="1" applyAlignment="1" applyProtection="1">
      <alignment horizontal="right" vertical="center"/>
      <protection locked="0"/>
    </xf>
    <xf numFmtId="184" fontId="51" fillId="19" borderId="0" xfId="0" applyNumberFormat="1" applyFont="1" applyFill="1" applyProtection="1">
      <protection locked="0"/>
    </xf>
    <xf numFmtId="185" fontId="51" fillId="0" borderId="0" xfId="0" applyNumberFormat="1" applyFont="1" applyProtection="1">
      <protection locked="0"/>
    </xf>
    <xf numFmtId="184" fontId="51" fillId="0" borderId="0" xfId="0" applyNumberFormat="1" applyFont="1" applyProtection="1">
      <protection locked="0"/>
    </xf>
    <xf numFmtId="3" fontId="50" fillId="5" borderId="2" xfId="0" applyNumberFormat="1" applyFont="1" applyFill="1" applyBorder="1" applyAlignment="1" applyProtection="1">
      <alignment horizontal="right" vertical="center"/>
      <protection locked="0"/>
    </xf>
    <xf numFmtId="0" fontId="12" fillId="5" borderId="1" xfId="0" applyFont="1" applyFill="1" applyBorder="1" applyAlignment="1" applyProtection="1">
      <alignment horizontal="left" vertical="center"/>
      <protection locked="0"/>
    </xf>
    <xf numFmtId="3" fontId="15" fillId="19" borderId="1" xfId="0" applyNumberFormat="1" applyFont="1" applyFill="1" applyBorder="1" applyAlignment="1" applyProtection="1">
      <alignment horizontal="right" vertical="center"/>
      <protection locked="0"/>
    </xf>
    <xf numFmtId="176" fontId="12" fillId="5" borderId="8" xfId="0" applyNumberFormat="1" applyFont="1" applyFill="1" applyBorder="1" applyAlignment="1" applyProtection="1">
      <alignment horizontal="right" vertical="center"/>
      <protection locked="0"/>
    </xf>
    <xf numFmtId="184" fontId="15" fillId="19" borderId="1" xfId="0" applyNumberFormat="1" applyFont="1" applyFill="1" applyBorder="1" applyAlignment="1" applyProtection="1">
      <alignment horizontal="right" vertical="center"/>
      <protection locked="0"/>
    </xf>
    <xf numFmtId="184" fontId="15" fillId="0" borderId="1" xfId="0" applyNumberFormat="1" applyFont="1" applyBorder="1" applyAlignment="1" applyProtection="1">
      <alignment horizontal="right" vertical="center"/>
      <protection locked="0"/>
    </xf>
    <xf numFmtId="0" fontId="27" fillId="5" borderId="0" xfId="0" applyFont="1" applyFill="1" applyAlignment="1" applyProtection="1">
      <alignment horizontal="left" vertical="center"/>
      <protection locked="0"/>
    </xf>
    <xf numFmtId="3" fontId="6" fillId="19" borderId="0" xfId="0" applyNumberFormat="1" applyFont="1" applyFill="1" applyAlignment="1" applyProtection="1">
      <alignment horizontal="right" vertical="center"/>
      <protection locked="0"/>
    </xf>
    <xf numFmtId="3" fontId="13" fillId="5" borderId="2" xfId="0" applyNumberFormat="1" applyFont="1" applyFill="1" applyBorder="1" applyAlignment="1" applyProtection="1">
      <alignment horizontal="right" vertical="center"/>
      <protection locked="0"/>
    </xf>
    <xf numFmtId="3" fontId="31" fillId="17" borderId="7" xfId="0" applyNumberFormat="1" applyFont="1" applyFill="1" applyBorder="1" applyAlignment="1" applyProtection="1">
      <alignment horizontal="right" vertical="center" wrapText="1"/>
      <protection locked="0"/>
    </xf>
    <xf numFmtId="3" fontId="6" fillId="0" borderId="0" xfId="0" applyNumberFormat="1" applyFont="1" applyAlignment="1" applyProtection="1">
      <alignment horizontal="right" vertical="center"/>
      <protection locked="0"/>
    </xf>
    <xf numFmtId="3" fontId="11" fillId="0" borderId="0" xfId="0" applyNumberFormat="1" applyFont="1" applyAlignment="1" applyProtection="1">
      <alignment horizontal="right" vertical="center"/>
      <protection locked="0"/>
    </xf>
    <xf numFmtId="3" fontId="42" fillId="0" borderId="0" xfId="0" applyNumberFormat="1" applyFont="1" applyAlignment="1" applyProtection="1">
      <alignment horizontal="right" vertical="center" wrapText="1"/>
      <protection locked="0"/>
    </xf>
    <xf numFmtId="3" fontId="43" fillId="0" borderId="0" xfId="0" applyNumberFormat="1" applyFont="1" applyAlignment="1" applyProtection="1">
      <alignment horizontal="right" vertical="center" wrapText="1"/>
      <protection locked="0"/>
    </xf>
    <xf numFmtId="184" fontId="0" fillId="0" borderId="0" xfId="0" applyNumberFormat="1" applyProtection="1">
      <protection locked="0"/>
    </xf>
    <xf numFmtId="184" fontId="21" fillId="0" borderId="0" xfId="0" applyNumberFormat="1" applyFont="1" applyProtection="1">
      <protection locked="0"/>
    </xf>
    <xf numFmtId="185" fontId="21" fillId="0" borderId="0" xfId="0" applyNumberFormat="1" applyFont="1" applyProtection="1">
      <protection locked="0"/>
    </xf>
    <xf numFmtId="49" fontId="56" fillId="0" borderId="16" xfId="0" applyNumberFormat="1" applyFont="1" applyBorder="1" applyAlignment="1" applyProtection="1">
      <alignment horizontal="center" vertical="center"/>
      <protection locked="0"/>
    </xf>
    <xf numFmtId="49" fontId="56" fillId="0" borderId="18" xfId="0" applyNumberFormat="1" applyFont="1" applyBorder="1" applyAlignment="1" applyProtection="1">
      <alignment horizontal="center" vertical="center"/>
      <protection locked="0"/>
    </xf>
    <xf numFmtId="49" fontId="56" fillId="0" borderId="18" xfId="0" applyNumberFormat="1" applyFont="1" applyBorder="1" applyAlignment="1" applyProtection="1">
      <alignment horizontal="center"/>
      <protection locked="0"/>
    </xf>
    <xf numFmtId="49" fontId="56" fillId="0" borderId="21" xfId="0" applyNumberFormat="1" applyFont="1" applyBorder="1" applyAlignment="1" applyProtection="1">
      <alignment horizontal="center"/>
      <protection locked="0"/>
    </xf>
    <xf numFmtId="49" fontId="47" fillId="0" borderId="3" xfId="0" applyNumberFormat="1" applyFont="1" applyBorder="1" applyProtection="1">
      <protection locked="0"/>
    </xf>
    <xf numFmtId="49" fontId="47" fillId="0" borderId="0" xfId="0" applyNumberFormat="1" applyFont="1" applyProtection="1">
      <protection locked="0"/>
    </xf>
    <xf numFmtId="49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49" fontId="14" fillId="5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3" fontId="21" fillId="0" borderId="0" xfId="0" applyNumberFormat="1" applyFont="1" applyProtection="1">
      <protection locked="0"/>
    </xf>
    <xf numFmtId="186" fontId="0" fillId="0" borderId="0" xfId="0" applyNumberFormat="1" applyProtection="1">
      <protection locked="0"/>
    </xf>
    <xf numFmtId="3" fontId="51" fillId="0" borderId="0" xfId="0" applyNumberFormat="1" applyFont="1" applyProtection="1">
      <protection locked="0"/>
    </xf>
    <xf numFmtId="187" fontId="62" fillId="0" borderId="0" xfId="0" applyNumberFormat="1" applyFont="1" applyAlignment="1" applyProtection="1">
      <alignment horizontal="right" vertical="center"/>
      <protection locked="0"/>
    </xf>
    <xf numFmtId="187" fontId="13" fillId="0" borderId="0" xfId="0" applyNumberFormat="1" applyFont="1" applyAlignment="1" applyProtection="1">
      <alignment horizontal="right" vertical="center"/>
      <protection locked="0"/>
    </xf>
    <xf numFmtId="187" fontId="0" fillId="0" borderId="0" xfId="0" applyNumberFormat="1" applyProtection="1">
      <protection locked="0"/>
    </xf>
    <xf numFmtId="3" fontId="62" fillId="0" borderId="0" xfId="0" applyNumberFormat="1" applyFont="1" applyAlignment="1" applyProtection="1">
      <alignment horizontal="right" vertical="center"/>
      <protection locked="0"/>
    </xf>
    <xf numFmtId="49" fontId="71" fillId="0" borderId="0" xfId="0" applyNumberFormat="1" applyFont="1" applyProtection="1">
      <protection locked="0"/>
    </xf>
    <xf numFmtId="49" fontId="70" fillId="0" borderId="0" xfId="0" applyNumberFormat="1" applyFont="1" applyProtection="1">
      <protection locked="0"/>
    </xf>
    <xf numFmtId="0" fontId="70" fillId="0" borderId="0" xfId="0" applyFont="1" applyProtection="1">
      <protection locked="0"/>
    </xf>
    <xf numFmtId="177" fontId="72" fillId="5" borderId="0" xfId="0" applyNumberFormat="1" applyFont="1" applyFill="1" applyAlignment="1" applyProtection="1">
      <alignment horizontal="center" vertical="center"/>
      <protection locked="0"/>
    </xf>
    <xf numFmtId="49" fontId="72" fillId="5" borderId="0" xfId="0" applyNumberFormat="1" applyFont="1" applyFill="1" applyAlignment="1" applyProtection="1">
      <alignment horizontal="center" vertical="center"/>
      <protection locked="0"/>
    </xf>
    <xf numFmtId="49" fontId="73" fillId="0" borderId="0" xfId="0" applyNumberFormat="1" applyFont="1" applyAlignment="1" applyProtection="1">
      <alignment horizontal="center" vertical="center"/>
      <protection locked="0"/>
    </xf>
    <xf numFmtId="0" fontId="78" fillId="0" borderId="0" xfId="0" applyFont="1" applyProtection="1">
      <protection locked="0"/>
    </xf>
    <xf numFmtId="3" fontId="78" fillId="0" borderId="0" xfId="0" applyNumberFormat="1" applyFont="1" applyProtection="1">
      <protection locked="0"/>
    </xf>
    <xf numFmtId="185" fontId="78" fillId="0" borderId="0" xfId="0" applyNumberFormat="1" applyFont="1" applyProtection="1">
      <protection locked="0"/>
    </xf>
    <xf numFmtId="0" fontId="0" fillId="20" borderId="0" xfId="0" applyFill="1" applyProtection="1">
      <protection locked="0"/>
    </xf>
    <xf numFmtId="0" fontId="70" fillId="11" borderId="0" xfId="0" applyFont="1" applyFill="1" applyProtection="1">
      <protection locked="0"/>
    </xf>
    <xf numFmtId="0" fontId="0" fillId="11" borderId="0" xfId="0" applyFill="1" applyProtection="1">
      <protection locked="0"/>
    </xf>
    <xf numFmtId="0" fontId="70" fillId="0" borderId="3" xfId="0" applyFont="1" applyBorder="1" applyProtection="1">
      <protection locked="0"/>
    </xf>
    <xf numFmtId="0" fontId="33" fillId="2" borderId="4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70" fillId="5" borderId="4" xfId="0" applyFont="1" applyFill="1" applyBorder="1" applyProtection="1">
      <protection locked="0"/>
    </xf>
    <xf numFmtId="0" fontId="34" fillId="18" borderId="4" xfId="0" applyFont="1" applyFill="1" applyBorder="1" applyProtection="1">
      <protection locked="0"/>
    </xf>
    <xf numFmtId="0" fontId="54" fillId="18" borderId="4" xfId="0" applyFont="1" applyFill="1" applyBorder="1" applyAlignment="1" applyProtection="1">
      <alignment horizontal="center"/>
      <protection locked="0"/>
    </xf>
    <xf numFmtId="0" fontId="40" fillId="18" borderId="13" xfId="0" applyFont="1" applyFill="1" applyBorder="1" applyProtection="1">
      <protection locked="0"/>
    </xf>
    <xf numFmtId="0" fontId="40" fillId="20" borderId="3" xfId="0" applyFont="1" applyFill="1" applyBorder="1" applyProtection="1">
      <protection locked="0"/>
    </xf>
    <xf numFmtId="0" fontId="69" fillId="0" borderId="15" xfId="0" applyFont="1" applyBorder="1" applyAlignment="1" applyProtection="1">
      <alignment horizontal="center"/>
      <protection locked="0"/>
    </xf>
    <xf numFmtId="0" fontId="57" fillId="0" borderId="16" xfId="0" applyFont="1" applyBorder="1" applyAlignment="1" applyProtection="1">
      <alignment horizontal="left" vertical="center"/>
      <protection locked="0"/>
    </xf>
    <xf numFmtId="0" fontId="55" fillId="0" borderId="19" xfId="0" applyFont="1" applyBorder="1" applyAlignment="1" applyProtection="1">
      <alignment horizontal="center"/>
      <protection locked="0"/>
    </xf>
    <xf numFmtId="0" fontId="0" fillId="15" borderId="0" xfId="0" applyFill="1" applyProtection="1">
      <protection locked="0"/>
    </xf>
    <xf numFmtId="0" fontId="69" fillId="0" borderId="17" xfId="0" applyFont="1" applyBorder="1" applyAlignment="1" applyProtection="1">
      <alignment horizontal="center"/>
      <protection locked="0"/>
    </xf>
    <xf numFmtId="0" fontId="25" fillId="15" borderId="0" xfId="0" applyFont="1" applyFill="1" applyProtection="1">
      <protection locked="0"/>
    </xf>
    <xf numFmtId="0" fontId="55" fillId="0" borderId="19" xfId="1" applyFont="1" applyBorder="1" applyAlignment="1" applyProtection="1">
      <alignment horizontal="center"/>
      <protection locked="0"/>
    </xf>
    <xf numFmtId="0" fontId="69" fillId="0" borderId="20" xfId="0" applyFont="1" applyBorder="1" applyAlignment="1" applyProtection="1">
      <alignment horizontal="center"/>
      <protection locked="0"/>
    </xf>
    <xf numFmtId="0" fontId="55" fillId="0" borderId="22" xfId="0" applyFont="1" applyBorder="1" applyAlignment="1" applyProtection="1">
      <alignment horizontal="center"/>
      <protection locked="0"/>
    </xf>
    <xf numFmtId="0" fontId="36" fillId="0" borderId="0" xfId="0" applyFont="1" applyProtection="1">
      <protection locked="0"/>
    </xf>
    <xf numFmtId="0" fontId="36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center"/>
      <protection locked="0"/>
    </xf>
    <xf numFmtId="0" fontId="36" fillId="21" borderId="0" xfId="0" applyFont="1" applyFill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0" fontId="29" fillId="0" borderId="3" xfId="0" applyFont="1" applyBorder="1" applyAlignment="1" applyProtection="1">
      <alignment horizontal="left" vertical="center"/>
      <protection locked="0"/>
    </xf>
    <xf numFmtId="0" fontId="74" fillId="34" borderId="0" xfId="0" applyFont="1" applyFill="1" applyProtection="1">
      <protection locked="0"/>
    </xf>
    <xf numFmtId="3" fontId="74" fillId="34" borderId="0" xfId="0" applyNumberFormat="1" applyFont="1" applyFill="1" applyProtection="1">
      <protection locked="0"/>
    </xf>
    <xf numFmtId="0" fontId="5" fillId="16" borderId="23" xfId="0" applyFont="1" applyFill="1" applyBorder="1" applyAlignment="1" applyProtection="1">
      <alignment horizontal="center" wrapText="1"/>
      <protection locked="0"/>
    </xf>
    <xf numFmtId="0" fontId="5" fillId="35" borderId="23" xfId="0" applyFont="1" applyFill="1" applyBorder="1" applyAlignment="1" applyProtection="1">
      <alignment horizontal="center" wrapText="1"/>
      <protection locked="0"/>
    </xf>
    <xf numFmtId="0" fontId="19" fillId="0" borderId="23" xfId="0" applyFont="1" applyBorder="1" applyProtection="1">
      <protection locked="0"/>
    </xf>
    <xf numFmtId="183" fontId="19" fillId="0" borderId="23" xfId="0" applyNumberFormat="1" applyFont="1" applyBorder="1" applyProtection="1">
      <protection locked="0"/>
    </xf>
    <xf numFmtId="3" fontId="19" fillId="0" borderId="23" xfId="0" applyNumberFormat="1" applyFont="1" applyBorder="1" applyProtection="1">
      <protection locked="0"/>
    </xf>
    <xf numFmtId="10" fontId="19" fillId="0" borderId="23" xfId="0" applyNumberFormat="1" applyFont="1" applyBorder="1" applyProtection="1">
      <protection locked="0"/>
    </xf>
    <xf numFmtId="0" fontId="19" fillId="0" borderId="23" xfId="0" applyFont="1" applyBorder="1" applyAlignment="1" applyProtection="1">
      <alignment horizontal="center"/>
      <protection locked="0"/>
    </xf>
    <xf numFmtId="188" fontId="19" fillId="0" borderId="23" xfId="0" applyNumberFormat="1" applyFont="1" applyBorder="1" applyProtection="1">
      <protection locked="0"/>
    </xf>
    <xf numFmtId="0" fontId="5" fillId="24" borderId="23" xfId="0" applyFont="1" applyFill="1" applyBorder="1" applyAlignment="1" applyProtection="1">
      <alignment horizontal="center" vertical="center" wrapText="1"/>
      <protection locked="0"/>
    </xf>
    <xf numFmtId="0" fontId="5" fillId="25" borderId="23" xfId="0" applyFont="1" applyFill="1" applyBorder="1" applyAlignment="1" applyProtection="1">
      <alignment horizontal="center" vertical="center" wrapText="1"/>
      <protection locked="0"/>
    </xf>
    <xf numFmtId="0" fontId="5" fillId="22" borderId="23" xfId="0" applyFont="1" applyFill="1" applyBorder="1" applyAlignment="1" applyProtection="1">
      <alignment horizontal="center" vertical="center" wrapText="1"/>
      <protection locked="0"/>
    </xf>
    <xf numFmtId="0" fontId="5" fillId="26" borderId="23" xfId="0" applyFont="1" applyFill="1" applyBorder="1" applyAlignment="1" applyProtection="1">
      <alignment horizontal="center" vertical="center" wrapText="1"/>
      <protection locked="0"/>
    </xf>
    <xf numFmtId="0" fontId="5" fillId="27" borderId="23" xfId="0" applyFont="1" applyFill="1" applyBorder="1" applyAlignment="1" applyProtection="1">
      <alignment horizontal="center" vertical="center" wrapText="1"/>
      <protection locked="0"/>
    </xf>
    <xf numFmtId="0" fontId="5" fillId="28" borderId="23" xfId="0" applyFont="1" applyFill="1" applyBorder="1" applyAlignment="1" applyProtection="1">
      <alignment horizontal="center" vertical="center" wrapText="1"/>
      <protection locked="0"/>
    </xf>
    <xf numFmtId="0" fontId="5" fillId="29" borderId="23" xfId="0" applyFont="1" applyFill="1" applyBorder="1" applyAlignment="1" applyProtection="1">
      <alignment horizontal="center" vertical="center" wrapText="1"/>
      <protection locked="0"/>
    </xf>
    <xf numFmtId="0" fontId="5" fillId="29" borderId="24" xfId="0" applyFont="1" applyFill="1" applyBorder="1" applyAlignment="1" applyProtection="1">
      <alignment horizontal="center" vertical="center" wrapText="1"/>
      <protection locked="0"/>
    </xf>
    <xf numFmtId="0" fontId="5" fillId="30" borderId="27" xfId="0" applyFont="1" applyFill="1" applyBorder="1" applyAlignment="1" applyProtection="1">
      <alignment horizontal="center" vertical="center" wrapText="1"/>
      <protection locked="0"/>
    </xf>
    <xf numFmtId="0" fontId="53" fillId="31" borderId="25" xfId="0" applyFont="1" applyFill="1" applyBorder="1" applyAlignment="1" applyProtection="1">
      <alignment horizontal="center" vertical="center" wrapText="1"/>
      <protection locked="0"/>
    </xf>
    <xf numFmtId="0" fontId="64" fillId="33" borderId="23" xfId="0" applyFont="1" applyFill="1" applyBorder="1" applyAlignment="1" applyProtection="1">
      <alignment horizontal="center"/>
      <protection locked="0"/>
    </xf>
    <xf numFmtId="0" fontId="65" fillId="33" borderId="23" xfId="0" applyFont="1" applyFill="1" applyBorder="1" applyAlignment="1" applyProtection="1">
      <alignment horizontal="center"/>
      <protection locked="0"/>
    </xf>
    <xf numFmtId="177" fontId="5" fillId="33" borderId="23" xfId="0" applyNumberFormat="1" applyFont="1" applyFill="1" applyBorder="1" applyAlignment="1" applyProtection="1">
      <alignment horizontal="center"/>
      <protection locked="0"/>
    </xf>
    <xf numFmtId="0" fontId="5" fillId="33" borderId="23" xfId="0" applyFont="1" applyFill="1" applyBorder="1" applyProtection="1">
      <protection locked="0"/>
    </xf>
    <xf numFmtId="3" fontId="5" fillId="33" borderId="23" xfId="0" applyNumberFormat="1" applyFont="1" applyFill="1" applyBorder="1" applyProtection="1">
      <protection locked="0"/>
    </xf>
    <xf numFmtId="0" fontId="5" fillId="33" borderId="23" xfId="0" applyFont="1" applyFill="1" applyBorder="1" applyAlignment="1" applyProtection="1">
      <alignment horizontal="center"/>
      <protection locked="0"/>
    </xf>
    <xf numFmtId="181" fontId="5" fillId="33" borderId="23" xfId="0" applyNumberFormat="1" applyFont="1" applyFill="1" applyBorder="1" applyAlignment="1" applyProtection="1">
      <alignment horizontal="center"/>
      <protection locked="0"/>
    </xf>
    <xf numFmtId="2" fontId="5" fillId="33" borderId="23" xfId="0" applyNumberFormat="1" applyFont="1" applyFill="1" applyBorder="1" applyProtection="1">
      <protection locked="0"/>
    </xf>
    <xf numFmtId="180" fontId="5" fillId="33" borderId="23" xfId="0" applyNumberFormat="1" applyFont="1" applyFill="1" applyBorder="1" applyProtection="1">
      <protection locked="0"/>
    </xf>
    <xf numFmtId="182" fontId="5" fillId="33" borderId="23" xfId="0" applyNumberFormat="1" applyFont="1" applyFill="1" applyBorder="1" applyProtection="1">
      <protection locked="0"/>
    </xf>
    <xf numFmtId="179" fontId="5" fillId="33" borderId="23" xfId="0" applyNumberFormat="1" applyFont="1" applyFill="1" applyBorder="1" applyProtection="1">
      <protection locked="0"/>
    </xf>
    <xf numFmtId="0" fontId="5" fillId="33" borderId="24" xfId="0" applyFont="1" applyFill="1" applyBorder="1" applyAlignment="1" applyProtection="1">
      <alignment horizontal="center"/>
      <protection locked="0"/>
    </xf>
    <xf numFmtId="0" fontId="5" fillId="33" borderId="28" xfId="0" applyFont="1" applyFill="1" applyBorder="1" applyAlignment="1" applyProtection="1">
      <alignment horizontal="center"/>
      <protection locked="0"/>
    </xf>
    <xf numFmtId="0" fontId="5" fillId="33" borderId="26" xfId="0" applyFont="1" applyFill="1" applyBorder="1" applyAlignment="1" applyProtection="1">
      <alignment horizontal="center"/>
      <protection locked="0"/>
    </xf>
    <xf numFmtId="0" fontId="66" fillId="32" borderId="23" xfId="0" applyFont="1" applyFill="1" applyBorder="1" applyAlignment="1" applyProtection="1">
      <alignment horizontal="center"/>
      <protection locked="0"/>
    </xf>
    <xf numFmtId="0" fontId="67" fillId="32" borderId="23" xfId="0" applyFont="1" applyFill="1" applyBorder="1" applyAlignment="1" applyProtection="1">
      <alignment horizontal="center"/>
      <protection locked="0"/>
    </xf>
    <xf numFmtId="177" fontId="66" fillId="32" borderId="23" xfId="0" applyNumberFormat="1" applyFont="1" applyFill="1" applyBorder="1" applyAlignment="1" applyProtection="1">
      <alignment horizontal="center"/>
      <protection locked="0"/>
    </xf>
    <xf numFmtId="0" fontId="66" fillId="32" borderId="23" xfId="0" applyFont="1" applyFill="1" applyBorder="1" applyProtection="1">
      <protection locked="0"/>
    </xf>
    <xf numFmtId="3" fontId="68" fillId="32" borderId="23" xfId="0" applyNumberFormat="1" applyFont="1" applyFill="1" applyBorder="1" applyProtection="1">
      <protection locked="0"/>
    </xf>
    <xf numFmtId="3" fontId="66" fillId="32" borderId="23" xfId="0" applyNumberFormat="1" applyFont="1" applyFill="1" applyBorder="1" applyProtection="1">
      <protection locked="0"/>
    </xf>
    <xf numFmtId="181" fontId="66" fillId="32" borderId="23" xfId="0" applyNumberFormat="1" applyFont="1" applyFill="1" applyBorder="1" applyAlignment="1" applyProtection="1">
      <alignment horizontal="center"/>
      <protection locked="0"/>
    </xf>
    <xf numFmtId="2" fontId="66" fillId="32" borderId="23" xfId="0" applyNumberFormat="1" applyFont="1" applyFill="1" applyBorder="1" applyProtection="1">
      <protection locked="0"/>
    </xf>
    <xf numFmtId="180" fontId="66" fillId="32" borderId="23" xfId="0" applyNumberFormat="1" applyFont="1" applyFill="1" applyBorder="1" applyProtection="1">
      <protection locked="0"/>
    </xf>
    <xf numFmtId="182" fontId="66" fillId="32" borderId="23" xfId="0" applyNumberFormat="1" applyFont="1" applyFill="1" applyBorder="1" applyProtection="1">
      <protection locked="0"/>
    </xf>
    <xf numFmtId="179" fontId="66" fillId="32" borderId="23" xfId="0" applyNumberFormat="1" applyFont="1" applyFill="1" applyBorder="1" applyProtection="1">
      <protection locked="0"/>
    </xf>
    <xf numFmtId="0" fontId="68" fillId="32" borderId="23" xfId="0" applyFont="1" applyFill="1" applyBorder="1" applyAlignment="1" applyProtection="1">
      <alignment horizontal="center"/>
      <protection locked="0"/>
    </xf>
    <xf numFmtId="0" fontId="68" fillId="32" borderId="24" xfId="0" applyFont="1" applyFill="1" applyBorder="1" applyAlignment="1" applyProtection="1">
      <alignment horizontal="center"/>
      <protection locked="0"/>
    </xf>
    <xf numFmtId="0" fontId="68" fillId="32" borderId="28" xfId="0" applyFont="1" applyFill="1" applyBorder="1" applyAlignment="1" applyProtection="1">
      <alignment horizontal="center"/>
      <protection locked="0"/>
    </xf>
    <xf numFmtId="0" fontId="68" fillId="17" borderId="26" xfId="0" applyFont="1" applyFill="1" applyBorder="1" applyAlignment="1" applyProtection="1">
      <alignment horizontal="center"/>
      <protection locked="0"/>
    </xf>
    <xf numFmtId="0" fontId="66" fillId="0" borderId="23" xfId="0" applyFont="1" applyBorder="1" applyAlignment="1" applyProtection="1">
      <alignment horizontal="center"/>
      <protection locked="0"/>
    </xf>
    <xf numFmtId="0" fontId="67" fillId="0" borderId="23" xfId="0" applyFont="1" applyBorder="1" applyAlignment="1" applyProtection="1">
      <alignment horizontal="center"/>
      <protection locked="0"/>
    </xf>
    <xf numFmtId="177" fontId="66" fillId="0" borderId="23" xfId="0" applyNumberFormat="1" applyFont="1" applyBorder="1" applyAlignment="1" applyProtection="1">
      <alignment horizontal="center"/>
      <protection locked="0"/>
    </xf>
    <xf numFmtId="0" fontId="66" fillId="0" borderId="23" xfId="0" applyFont="1" applyBorder="1" applyProtection="1">
      <protection locked="0"/>
    </xf>
    <xf numFmtId="3" fontId="68" fillId="0" borderId="23" xfId="0" applyNumberFormat="1" applyFont="1" applyBorder="1" applyProtection="1">
      <protection locked="0"/>
    </xf>
    <xf numFmtId="3" fontId="66" fillId="0" borderId="23" xfId="0" applyNumberFormat="1" applyFont="1" applyBorder="1" applyProtection="1">
      <protection locked="0"/>
    </xf>
    <xf numFmtId="181" fontId="66" fillId="0" borderId="23" xfId="0" applyNumberFormat="1" applyFont="1" applyBorder="1" applyAlignment="1" applyProtection="1">
      <alignment horizontal="center"/>
      <protection locked="0"/>
    </xf>
    <xf numFmtId="2" fontId="66" fillId="0" borderId="23" xfId="0" applyNumberFormat="1" applyFont="1" applyBorder="1" applyProtection="1">
      <protection locked="0"/>
    </xf>
    <xf numFmtId="180" fontId="66" fillId="0" borderId="23" xfId="0" applyNumberFormat="1" applyFont="1" applyBorder="1" applyProtection="1">
      <protection locked="0"/>
    </xf>
    <xf numFmtId="182" fontId="66" fillId="0" borderId="23" xfId="0" applyNumberFormat="1" applyFont="1" applyBorder="1" applyProtection="1">
      <protection locked="0"/>
    </xf>
    <xf numFmtId="179" fontId="66" fillId="0" borderId="23" xfId="0" applyNumberFormat="1" applyFont="1" applyBorder="1" applyProtection="1">
      <protection locked="0"/>
    </xf>
    <xf numFmtId="0" fontId="68" fillId="0" borderId="23" xfId="0" applyFont="1" applyBorder="1" applyAlignment="1" applyProtection="1">
      <alignment horizontal="center"/>
      <protection locked="0"/>
    </xf>
    <xf numFmtId="0" fontId="68" fillId="0" borderId="24" xfId="0" applyFont="1" applyBorder="1" applyAlignment="1" applyProtection="1">
      <alignment horizontal="center"/>
      <protection locked="0"/>
    </xf>
    <xf numFmtId="0" fontId="68" fillId="0" borderId="28" xfId="0" applyFont="1" applyBorder="1" applyAlignment="1" applyProtection="1">
      <alignment horizontal="center"/>
      <protection locked="0"/>
    </xf>
    <xf numFmtId="0" fontId="2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9" fillId="20" borderId="0" xfId="0" applyFont="1" applyFill="1" applyProtection="1">
      <protection locked="0"/>
    </xf>
    <xf numFmtId="0" fontId="8" fillId="12" borderId="9" xfId="0" applyFont="1" applyFill="1" applyBorder="1" applyAlignment="1" applyProtection="1">
      <alignment horizontal="center" vertical="center" wrapText="1"/>
      <protection locked="0"/>
    </xf>
    <xf numFmtId="0" fontId="8" fillId="12" borderId="10" xfId="0" applyFont="1" applyFill="1" applyBorder="1" applyAlignment="1" applyProtection="1">
      <alignment horizontal="center" vertical="center" wrapText="1"/>
      <protection locked="0"/>
    </xf>
    <xf numFmtId="0" fontId="8" fillId="12" borderId="11" xfId="0" applyFont="1" applyFill="1" applyBorder="1" applyAlignment="1" applyProtection="1">
      <alignment horizontal="center" vertical="center" wrapText="1"/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9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3" fontId="29" fillId="0" borderId="3" xfId="0" applyNumberFormat="1" applyFont="1" applyBorder="1" applyProtection="1">
      <protection locked="0"/>
    </xf>
    <xf numFmtId="180" fontId="29" fillId="0" borderId="3" xfId="0" applyNumberFormat="1" applyFont="1" applyBorder="1" applyAlignment="1" applyProtection="1">
      <alignment horizontal="center"/>
      <protection locked="0"/>
    </xf>
    <xf numFmtId="181" fontId="29" fillId="0" borderId="3" xfId="0" applyNumberFormat="1" applyFont="1" applyBorder="1" applyAlignment="1" applyProtection="1">
      <alignment horizontal="center"/>
      <protection locked="0"/>
    </xf>
    <xf numFmtId="179" fontId="29" fillId="0" borderId="3" xfId="0" applyNumberFormat="1" applyFont="1" applyBorder="1" applyAlignment="1" applyProtection="1">
      <alignment horizontal="center"/>
      <protection locked="0"/>
    </xf>
    <xf numFmtId="2" fontId="29" fillId="0" borderId="3" xfId="0" applyNumberFormat="1" applyFont="1" applyBorder="1" applyAlignment="1" applyProtection="1">
      <alignment horizontal="center"/>
      <protection locked="0"/>
    </xf>
    <xf numFmtId="182" fontId="29" fillId="0" borderId="3" xfId="0" applyNumberFormat="1" applyFont="1" applyBorder="1" applyAlignment="1" applyProtection="1">
      <alignment horizontal="center"/>
      <protection locked="0"/>
    </xf>
    <xf numFmtId="3" fontId="35" fillId="0" borderId="3" xfId="0" applyNumberFormat="1" applyFont="1" applyBorder="1" applyProtection="1">
      <protection locked="0"/>
    </xf>
    <xf numFmtId="0" fontId="35" fillId="0" borderId="3" xfId="0" applyFont="1" applyBorder="1" applyAlignment="1" applyProtection="1">
      <alignment horizontal="center"/>
      <protection locked="0"/>
    </xf>
    <xf numFmtId="0" fontId="19" fillId="0" borderId="0" xfId="0" applyFont="1" applyProtection="1">
      <protection locked="0"/>
    </xf>
    <xf numFmtId="0" fontId="8" fillId="9" borderId="1" xfId="0" applyFont="1" applyFill="1" applyBorder="1" applyAlignment="1" applyProtection="1">
      <alignment horizontal="center" vertical="center"/>
      <protection locked="0"/>
    </xf>
    <xf numFmtId="0" fontId="9" fillId="9" borderId="1" xfId="0" applyFont="1" applyFill="1" applyBorder="1" applyAlignment="1" applyProtection="1">
      <alignment horizontal="center" vertical="center"/>
      <protection locked="0"/>
    </xf>
    <xf numFmtId="183" fontId="10" fillId="4" borderId="0" xfId="0" applyNumberFormat="1" applyFont="1" applyFill="1" applyAlignment="1" applyProtection="1">
      <alignment horizontal="center" vertical="center"/>
      <protection locked="0"/>
    </xf>
    <xf numFmtId="183" fontId="11" fillId="4" borderId="0" xfId="0" applyNumberFormat="1" applyFont="1" applyFill="1" applyAlignment="1" applyProtection="1">
      <alignment horizontal="center" vertical="center"/>
      <protection locked="0"/>
    </xf>
    <xf numFmtId="178" fontId="11" fillId="4" borderId="0" xfId="0" applyNumberFormat="1" applyFont="1" applyFill="1" applyAlignment="1" applyProtection="1">
      <alignment horizontal="center" vertical="center"/>
      <protection locked="0"/>
    </xf>
    <xf numFmtId="0" fontId="0" fillId="14" borderId="0" xfId="0" applyFill="1" applyProtection="1">
      <protection locked="0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8" fillId="3" borderId="3" xfId="0" applyFont="1" applyFill="1" applyBorder="1" applyAlignment="1" applyProtection="1">
      <alignment horizontal="center" vertical="center"/>
      <protection locked="0"/>
    </xf>
    <xf numFmtId="0" fontId="22" fillId="3" borderId="3" xfId="0" applyFont="1" applyFill="1" applyBorder="1" applyAlignment="1" applyProtection="1">
      <alignment horizontal="center" vertical="center"/>
      <protection locked="0"/>
    </xf>
    <xf numFmtId="0" fontId="10" fillId="13" borderId="3" xfId="0" applyFont="1" applyFill="1" applyBorder="1" applyAlignment="1" applyProtection="1">
      <alignment horizontal="center" vertical="center"/>
      <protection locked="0"/>
    </xf>
    <xf numFmtId="178" fontId="10" fillId="13" borderId="3" xfId="0" applyNumberFormat="1" applyFont="1" applyFill="1" applyBorder="1" applyAlignment="1" applyProtection="1">
      <alignment horizontal="center" vertical="center"/>
      <protection locked="0"/>
    </xf>
    <xf numFmtId="0" fontId="21" fillId="13" borderId="0" xfId="0" applyFont="1" applyFill="1" applyProtection="1">
      <protection locked="0"/>
    </xf>
    <xf numFmtId="0" fontId="21" fillId="14" borderId="3" xfId="0" applyFont="1" applyFill="1" applyBorder="1" applyProtection="1">
      <protection locked="0"/>
    </xf>
    <xf numFmtId="0" fontId="21" fillId="14" borderId="4" xfId="0" applyFont="1" applyFill="1" applyBorder="1" applyProtection="1">
      <protection locked="0"/>
    </xf>
    <xf numFmtId="0" fontId="8" fillId="10" borderId="1" xfId="0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8" fillId="10" borderId="1" xfId="0" applyFont="1" applyFill="1" applyBorder="1" applyAlignment="1" applyProtection="1">
      <alignment vertical="center"/>
      <protection locked="0"/>
    </xf>
    <xf numFmtId="0" fontId="11" fillId="4" borderId="0" xfId="0" applyFont="1" applyFill="1" applyAlignment="1" applyProtection="1">
      <alignment vertical="center"/>
      <protection locked="0"/>
    </xf>
    <xf numFmtId="178" fontId="11" fillId="4" borderId="0" xfId="0" applyNumberFormat="1" applyFont="1" applyFill="1" applyAlignment="1" applyProtection="1">
      <alignment vertical="center"/>
      <protection locked="0"/>
    </xf>
    <xf numFmtId="176" fontId="12" fillId="5" borderId="0" xfId="0" applyNumberFormat="1" applyFont="1" applyFill="1" applyAlignment="1" applyProtection="1">
      <alignment vertical="center"/>
      <protection locked="0"/>
    </xf>
    <xf numFmtId="3" fontId="13" fillId="5" borderId="6" xfId="0" applyNumberFormat="1" applyFont="1" applyFill="1" applyBorder="1" applyAlignment="1" applyProtection="1">
      <alignment vertical="center"/>
      <protection locked="0"/>
    </xf>
    <xf numFmtId="3" fontId="13" fillId="0" borderId="0" xfId="0" applyNumberFormat="1" applyFont="1" applyAlignment="1" applyProtection="1">
      <alignment vertical="center"/>
      <protection locked="0"/>
    </xf>
    <xf numFmtId="0" fontId="0" fillId="11" borderId="0" xfId="0" applyFill="1" applyAlignment="1" applyProtection="1">
      <alignment vertical="center"/>
      <protection locked="0"/>
    </xf>
    <xf numFmtId="185" fontId="0" fillId="0" borderId="0" xfId="0" applyNumberFormat="1" applyAlignment="1" applyProtection="1">
      <alignment vertical="center"/>
      <protection locked="0"/>
    </xf>
    <xf numFmtId="3" fontId="0" fillId="0" borderId="0" xfId="0" applyNumberFormat="1" applyAlignment="1" applyProtection="1">
      <alignment vertical="center"/>
      <protection locked="0"/>
    </xf>
    <xf numFmtId="56" fontId="9" fillId="10" borderId="1" xfId="0" applyNumberFormat="1" applyFont="1" applyFill="1" applyBorder="1" applyAlignment="1" applyProtection="1">
      <alignment vertical="center"/>
      <protection locked="0"/>
    </xf>
    <xf numFmtId="183" fontId="11" fillId="36" borderId="0" xfId="0" applyNumberFormat="1" applyFont="1" applyFill="1" applyAlignment="1" applyProtection="1">
      <alignment horizontal="center" vertical="center"/>
      <protection locked="0"/>
    </xf>
    <xf numFmtId="0" fontId="10" fillId="36" borderId="3" xfId="0" applyFont="1" applyFill="1" applyBorder="1" applyAlignment="1" applyProtection="1">
      <alignment horizontal="center" vertical="center"/>
      <protection locked="0"/>
    </xf>
    <xf numFmtId="0" fontId="81" fillId="34" borderId="0" xfId="0" applyFont="1" applyFill="1" applyAlignment="1">
      <alignment horizontal="center"/>
    </xf>
    <xf numFmtId="4" fontId="82" fillId="0" borderId="0" xfId="0" applyNumberFormat="1" applyFont="1" applyProtection="1">
      <protection locked="0"/>
    </xf>
    <xf numFmtId="186" fontId="66" fillId="0" borderId="0" xfId="0" applyNumberFormat="1" applyFont="1" applyProtection="1">
      <protection locked="0"/>
    </xf>
    <xf numFmtId="4" fontId="66" fillId="0" borderId="0" xfId="0" applyNumberFormat="1" applyFont="1" applyProtection="1">
      <protection locked="0"/>
    </xf>
    <xf numFmtId="0" fontId="66" fillId="0" borderId="0" xfId="0" applyFont="1" applyProtection="1">
      <protection locked="0"/>
    </xf>
    <xf numFmtId="0" fontId="0" fillId="17" borderId="0" xfId="0" applyFill="1"/>
    <xf numFmtId="0" fontId="84" fillId="22" borderId="0" xfId="0" applyFont="1" applyFill="1" applyAlignment="1">
      <alignment horizontal="center"/>
    </xf>
    <xf numFmtId="0" fontId="85" fillId="36" borderId="0" xfId="0" applyFont="1" applyFill="1" applyAlignment="1">
      <alignment horizontal="center"/>
    </xf>
    <xf numFmtId="0" fontId="70" fillId="38" borderId="0" xfId="0" applyFont="1" applyFill="1" applyAlignment="1">
      <alignment horizontal="center"/>
    </xf>
    <xf numFmtId="0" fontId="85" fillId="36" borderId="0" xfId="0" applyFont="1" applyFill="1" applyAlignment="1" applyProtection="1">
      <alignment horizontal="center"/>
      <protection locked="0"/>
    </xf>
    <xf numFmtId="0" fontId="81" fillId="39" borderId="30" xfId="0" applyFont="1" applyFill="1" applyBorder="1" applyAlignment="1">
      <alignment horizontal="center"/>
    </xf>
    <xf numFmtId="0" fontId="81" fillId="39" borderId="31" xfId="0" applyFont="1" applyFill="1" applyBorder="1" applyAlignment="1">
      <alignment horizontal="center"/>
    </xf>
    <xf numFmtId="0" fontId="80" fillId="17" borderId="33" xfId="0" applyFont="1" applyFill="1" applyBorder="1" applyAlignment="1">
      <alignment horizontal="right"/>
    </xf>
    <xf numFmtId="0" fontId="80" fillId="17" borderId="34" xfId="0" applyFont="1" applyFill="1" applyBorder="1" applyAlignment="1">
      <alignment horizontal="right"/>
    </xf>
    <xf numFmtId="0" fontId="80" fillId="40" borderId="33" xfId="0" applyFont="1" applyFill="1" applyBorder="1" applyAlignment="1">
      <alignment horizontal="right"/>
    </xf>
    <xf numFmtId="0" fontId="80" fillId="40" borderId="34" xfId="0" applyFont="1" applyFill="1" applyBorder="1" applyAlignment="1">
      <alignment horizontal="right"/>
    </xf>
    <xf numFmtId="4" fontId="80" fillId="17" borderId="33" xfId="0" applyNumberFormat="1" applyFont="1" applyFill="1" applyBorder="1" applyAlignment="1" applyProtection="1">
      <alignment horizontal="right"/>
      <protection locked="0"/>
    </xf>
    <xf numFmtId="3" fontId="80" fillId="17" borderId="33" xfId="0" applyNumberFormat="1" applyFont="1" applyFill="1" applyBorder="1" applyAlignment="1" applyProtection="1">
      <alignment horizontal="right"/>
      <protection locked="0"/>
    </xf>
    <xf numFmtId="3" fontId="80" fillId="17" borderId="34" xfId="0" applyNumberFormat="1" applyFont="1" applyFill="1" applyBorder="1" applyAlignment="1" applyProtection="1">
      <alignment horizontal="right"/>
      <protection locked="0"/>
    </xf>
    <xf numFmtId="4" fontId="80" fillId="40" borderId="33" xfId="0" applyNumberFormat="1" applyFont="1" applyFill="1" applyBorder="1" applyAlignment="1" applyProtection="1">
      <alignment horizontal="right"/>
      <protection locked="0"/>
    </xf>
    <xf numFmtId="3" fontId="80" fillId="40" borderId="33" xfId="0" applyNumberFormat="1" applyFont="1" applyFill="1" applyBorder="1" applyAlignment="1" applyProtection="1">
      <alignment horizontal="right"/>
      <protection locked="0"/>
    </xf>
    <xf numFmtId="3" fontId="80" fillId="40" borderId="34" xfId="0" applyNumberFormat="1" applyFont="1" applyFill="1" applyBorder="1" applyAlignment="1" applyProtection="1">
      <alignment horizontal="right"/>
      <protection locked="0"/>
    </xf>
    <xf numFmtId="0" fontId="80" fillId="17" borderId="33" xfId="0" applyFont="1" applyFill="1" applyBorder="1" applyAlignment="1" applyProtection="1">
      <alignment horizontal="right"/>
      <protection locked="0"/>
    </xf>
    <xf numFmtId="0" fontId="80" fillId="40" borderId="33" xfId="0" applyFont="1" applyFill="1" applyBorder="1" applyAlignment="1" applyProtection="1">
      <alignment horizontal="right"/>
      <protection locked="0"/>
    </xf>
    <xf numFmtId="4" fontId="80" fillId="17" borderId="36" xfId="0" quotePrefix="1" applyNumberFormat="1" applyFont="1" applyFill="1" applyBorder="1" applyAlignment="1" applyProtection="1">
      <alignment horizontal="right"/>
      <protection locked="0"/>
    </xf>
    <xf numFmtId="0" fontId="80" fillId="17" borderId="36" xfId="0" quotePrefix="1" applyFont="1" applyFill="1" applyBorder="1" applyAlignment="1" applyProtection="1">
      <alignment horizontal="right"/>
      <protection locked="0"/>
    </xf>
    <xf numFmtId="3" fontId="80" fillId="17" borderId="36" xfId="0" quotePrefix="1" applyNumberFormat="1" applyFont="1" applyFill="1" applyBorder="1" applyAlignment="1" applyProtection="1">
      <alignment horizontal="right"/>
      <protection locked="0"/>
    </xf>
    <xf numFmtId="3" fontId="80" fillId="17" borderId="37" xfId="0" quotePrefix="1" applyNumberFormat="1" applyFont="1" applyFill="1" applyBorder="1" applyAlignment="1" applyProtection="1">
      <alignment horizontal="right"/>
      <protection locked="0"/>
    </xf>
    <xf numFmtId="0" fontId="80" fillId="17" borderId="33" xfId="0" applyFont="1" applyFill="1" applyBorder="1" applyAlignment="1">
      <alignment horizontal="left"/>
    </xf>
    <xf numFmtId="0" fontId="80" fillId="40" borderId="33" xfId="0" applyFont="1" applyFill="1" applyBorder="1" applyAlignment="1">
      <alignment horizontal="left"/>
    </xf>
    <xf numFmtId="4" fontId="80" fillId="17" borderId="33" xfId="0" applyNumberFormat="1" applyFont="1" applyFill="1" applyBorder="1" applyAlignment="1" applyProtection="1">
      <alignment horizontal="left"/>
      <protection locked="0"/>
    </xf>
    <xf numFmtId="4" fontId="80" fillId="40" borderId="33" xfId="0" applyNumberFormat="1" applyFont="1" applyFill="1" applyBorder="1" applyAlignment="1" applyProtection="1">
      <alignment horizontal="left"/>
      <protection locked="0"/>
    </xf>
    <xf numFmtId="4" fontId="80" fillId="17" borderId="36" xfId="0" quotePrefix="1" applyNumberFormat="1" applyFont="1" applyFill="1" applyBorder="1" applyAlignment="1" applyProtection="1">
      <alignment horizontal="left"/>
      <protection locked="0"/>
    </xf>
    <xf numFmtId="0" fontId="80" fillId="17" borderId="32" xfId="0" applyFont="1" applyFill="1" applyBorder="1" applyAlignment="1">
      <alignment horizontal="left"/>
    </xf>
    <xf numFmtId="0" fontId="80" fillId="40" borderId="32" xfId="0" applyFont="1" applyFill="1" applyBorder="1" applyAlignment="1">
      <alignment horizontal="left"/>
    </xf>
    <xf numFmtId="4" fontId="80" fillId="17" borderId="32" xfId="0" applyNumberFormat="1" applyFont="1" applyFill="1" applyBorder="1" applyAlignment="1" applyProtection="1">
      <alignment horizontal="left"/>
      <protection locked="0"/>
    </xf>
    <xf numFmtId="4" fontId="80" fillId="40" borderId="32" xfId="0" applyNumberFormat="1" applyFont="1" applyFill="1" applyBorder="1" applyAlignment="1" applyProtection="1">
      <alignment horizontal="left"/>
      <protection locked="0"/>
    </xf>
    <xf numFmtId="4" fontId="80" fillId="17" borderId="35" xfId="0" quotePrefix="1" applyNumberFormat="1" applyFont="1" applyFill="1" applyBorder="1" applyAlignment="1" applyProtection="1">
      <alignment horizontal="left"/>
      <protection locked="0"/>
    </xf>
    <xf numFmtId="0" fontId="87" fillId="17" borderId="0" xfId="1" applyFont="1" applyFill="1"/>
    <xf numFmtId="0" fontId="83" fillId="38" borderId="0" xfId="0" applyFont="1" applyFill="1" applyAlignment="1" applyProtection="1">
      <alignment horizontal="center"/>
      <protection locked="0"/>
    </xf>
    <xf numFmtId="0" fontId="19" fillId="41" borderId="0" xfId="2" applyFont="1" applyFill="1">
      <alignment vertical="center"/>
    </xf>
    <xf numFmtId="0" fontId="2" fillId="0" borderId="0" xfId="2">
      <alignment vertical="center"/>
    </xf>
    <xf numFmtId="0" fontId="19" fillId="0" borderId="0" xfId="2" applyFont="1">
      <alignment vertical="center"/>
    </xf>
    <xf numFmtId="0" fontId="89" fillId="39" borderId="0" xfId="2" applyFont="1" applyFill="1" applyAlignment="1">
      <alignment horizontal="center" vertical="center"/>
    </xf>
    <xf numFmtId="0" fontId="91" fillId="0" borderId="38" xfId="2" applyFont="1" applyBorder="1" applyAlignment="1">
      <alignment horizontal="center" vertical="center"/>
    </xf>
    <xf numFmtId="0" fontId="92" fillId="42" borderId="39" xfId="2" applyFont="1" applyFill="1" applyBorder="1" applyAlignment="1">
      <alignment horizontal="center" vertical="center"/>
    </xf>
    <xf numFmtId="0" fontId="91" fillId="0" borderId="40" xfId="2" applyFont="1" applyBorder="1" applyAlignment="1">
      <alignment horizontal="center" vertical="center"/>
    </xf>
    <xf numFmtId="0" fontId="91" fillId="0" borderId="3" xfId="2" applyFont="1" applyBorder="1" applyAlignment="1">
      <alignment horizontal="center" vertical="center"/>
    </xf>
    <xf numFmtId="0" fontId="78" fillId="0" borderId="41" xfId="2" applyFont="1" applyBorder="1">
      <alignment vertical="center"/>
    </xf>
    <xf numFmtId="0" fontId="92" fillId="42" borderId="3" xfId="2" applyFont="1" applyFill="1" applyBorder="1" applyAlignment="1">
      <alignment horizontal="center" vertical="center"/>
    </xf>
    <xf numFmtId="0" fontId="89" fillId="43" borderId="40" xfId="2" applyFont="1" applyFill="1" applyBorder="1" applyAlignment="1">
      <alignment horizontal="center" vertical="center"/>
    </xf>
    <xf numFmtId="0" fontId="2" fillId="0" borderId="3" xfId="2" applyBorder="1">
      <alignment vertical="center"/>
    </xf>
    <xf numFmtId="0" fontId="2" fillId="0" borderId="41" xfId="2" applyBorder="1">
      <alignment vertical="center"/>
    </xf>
    <xf numFmtId="184" fontId="93" fillId="0" borderId="3" xfId="2" applyNumberFormat="1" applyFont="1" applyBorder="1" applyAlignment="1">
      <alignment horizontal="center" vertical="center"/>
    </xf>
    <xf numFmtId="0" fontId="93" fillId="0" borderId="3" xfId="2" applyFont="1" applyBorder="1" applyAlignment="1">
      <alignment horizontal="center" vertical="center"/>
    </xf>
    <xf numFmtId="0" fontId="2" fillId="0" borderId="40" xfId="2" applyBorder="1">
      <alignment vertical="center"/>
    </xf>
    <xf numFmtId="0" fontId="89" fillId="44" borderId="40" xfId="2" applyFont="1" applyFill="1" applyBorder="1" applyAlignment="1">
      <alignment horizontal="center" vertical="center"/>
    </xf>
    <xf numFmtId="180" fontId="92" fillId="42" borderId="3" xfId="2" applyNumberFormat="1" applyFont="1" applyFill="1" applyBorder="1" applyAlignment="1">
      <alignment horizontal="center" vertical="center"/>
    </xf>
    <xf numFmtId="188" fontId="92" fillId="42" borderId="3" xfId="2" applyNumberFormat="1" applyFont="1" applyFill="1" applyBorder="1" applyAlignment="1">
      <alignment horizontal="center" vertical="center"/>
    </xf>
    <xf numFmtId="190" fontId="92" fillId="42" borderId="3" xfId="2" applyNumberFormat="1" applyFont="1" applyFill="1" applyBorder="1" applyAlignment="1">
      <alignment horizontal="center" vertical="center"/>
    </xf>
    <xf numFmtId="0" fontId="89" fillId="45" borderId="40" xfId="2" applyFont="1" applyFill="1" applyBorder="1" applyAlignment="1">
      <alignment horizontal="center" vertical="center"/>
    </xf>
    <xf numFmtId="3" fontId="94" fillId="0" borderId="3" xfId="2" applyNumberFormat="1" applyFont="1" applyBorder="1" applyAlignment="1">
      <alignment horizontal="center" vertical="center"/>
    </xf>
    <xf numFmtId="188" fontId="94" fillId="0" borderId="3" xfId="2" applyNumberFormat="1" applyFont="1" applyBorder="1" applyAlignment="1">
      <alignment horizontal="center" vertical="center"/>
    </xf>
    <xf numFmtId="182" fontId="94" fillId="0" borderId="3" xfId="2" applyNumberFormat="1" applyFont="1" applyBorder="1" applyAlignment="1">
      <alignment horizontal="center" vertical="center"/>
    </xf>
    <xf numFmtId="3" fontId="95" fillId="37" borderId="3" xfId="2" applyNumberFormat="1" applyFont="1" applyFill="1" applyBorder="1" applyAlignment="1">
      <alignment horizontal="center" vertical="center"/>
    </xf>
    <xf numFmtId="0" fontId="95" fillId="37" borderId="3" xfId="2" applyFont="1" applyFill="1" applyBorder="1" applyAlignment="1">
      <alignment horizontal="center" vertical="center"/>
    </xf>
    <xf numFmtId="182" fontId="95" fillId="37" borderId="3" xfId="2" applyNumberFormat="1" applyFont="1" applyFill="1" applyBorder="1" applyAlignment="1">
      <alignment horizontal="center" vertical="center"/>
    </xf>
    <xf numFmtId="184" fontId="96" fillId="17" borderId="3" xfId="2" applyNumberFormat="1" applyFont="1" applyFill="1" applyBorder="1" applyAlignment="1">
      <alignment horizontal="center" vertical="center"/>
    </xf>
    <xf numFmtId="0" fontId="94" fillId="37" borderId="3" xfId="2" applyFont="1" applyFill="1" applyBorder="1" applyAlignment="1">
      <alignment horizontal="center" vertical="center"/>
    </xf>
    <xf numFmtId="0" fontId="89" fillId="22" borderId="40" xfId="2" applyFont="1" applyFill="1" applyBorder="1" applyAlignment="1">
      <alignment horizontal="center" vertical="center"/>
    </xf>
    <xf numFmtId="3" fontId="94" fillId="37" borderId="3" xfId="2" applyNumberFormat="1" applyFont="1" applyFill="1" applyBorder="1" applyAlignment="1">
      <alignment horizontal="center" vertical="center"/>
    </xf>
    <xf numFmtId="189" fontId="94" fillId="0" borderId="3" xfId="2" applyNumberFormat="1" applyFont="1" applyBorder="1" applyAlignment="1">
      <alignment horizontal="center" vertical="center"/>
    </xf>
    <xf numFmtId="0" fontId="94" fillId="0" borderId="3" xfId="2" applyFont="1" applyBorder="1" applyAlignment="1">
      <alignment horizontal="center" vertical="center"/>
    </xf>
    <xf numFmtId="1" fontId="97" fillId="37" borderId="3" xfId="2" applyNumberFormat="1" applyFont="1" applyFill="1" applyBorder="1" applyAlignment="1">
      <alignment horizontal="center" vertical="center"/>
    </xf>
    <xf numFmtId="0" fontId="93" fillId="42" borderId="3" xfId="2" applyFont="1" applyFill="1" applyBorder="1" applyAlignment="1">
      <alignment horizontal="center" vertical="center"/>
    </xf>
    <xf numFmtId="0" fontId="98" fillId="0" borderId="40" xfId="2" applyFont="1" applyBorder="1" applyAlignment="1">
      <alignment horizontal="center" vertical="center"/>
    </xf>
    <xf numFmtId="0" fontId="99" fillId="0" borderId="41" xfId="2" applyFont="1" applyBorder="1">
      <alignment vertical="center"/>
    </xf>
    <xf numFmtId="0" fontId="91" fillId="0" borderId="42" xfId="2" applyFont="1" applyBorder="1" applyAlignment="1">
      <alignment horizontal="center" vertical="center"/>
    </xf>
    <xf numFmtId="0" fontId="78" fillId="0" borderId="44" xfId="2" applyFont="1" applyBorder="1">
      <alignment vertical="center"/>
    </xf>
    <xf numFmtId="0" fontId="100" fillId="22" borderId="0" xfId="2" applyFont="1" applyFill="1" applyAlignment="1">
      <alignment vertical="center" wrapText="1"/>
    </xf>
    <xf numFmtId="0" fontId="101" fillId="0" borderId="0" xfId="2" applyFont="1" applyAlignment="1">
      <alignment vertical="center" wrapText="1"/>
    </xf>
    <xf numFmtId="0" fontId="102" fillId="0" borderId="0" xfId="2" applyFont="1" applyAlignment="1">
      <alignment vertical="center" wrapText="1"/>
    </xf>
    <xf numFmtId="0" fontId="75" fillId="43" borderId="0" xfId="2" applyFont="1" applyFill="1" applyAlignment="1">
      <alignment vertical="center" wrapText="1"/>
    </xf>
    <xf numFmtId="0" fontId="2" fillId="0" borderId="0" xfId="2" applyAlignment="1">
      <alignment horizontal="center" vertical="center"/>
    </xf>
    <xf numFmtId="0" fontId="78" fillId="0" borderId="0" xfId="2" applyFont="1" applyAlignment="1">
      <alignment vertical="center" wrapText="1"/>
    </xf>
    <xf numFmtId="0" fontId="103" fillId="0" borderId="0" xfId="2" applyFont="1" applyAlignment="1">
      <alignment horizontal="left" vertical="center" wrapText="1"/>
    </xf>
    <xf numFmtId="0" fontId="104" fillId="0" borderId="0" xfId="2" applyFont="1" applyAlignment="1">
      <alignment horizontal="center" vertical="center" wrapText="1"/>
    </xf>
    <xf numFmtId="0" fontId="75" fillId="44" borderId="0" xfId="2" applyFont="1" applyFill="1" applyAlignment="1">
      <alignment vertical="center" wrapText="1"/>
    </xf>
    <xf numFmtId="0" fontId="105" fillId="46" borderId="0" xfId="2" applyFont="1" applyFill="1" applyAlignment="1">
      <alignment horizontal="center" vertical="center" wrapText="1"/>
    </xf>
    <xf numFmtId="0" fontId="105" fillId="46" borderId="0" xfId="2" applyFont="1" applyFill="1">
      <alignment vertical="center"/>
    </xf>
    <xf numFmtId="0" fontId="106" fillId="42" borderId="0" xfId="2" applyFont="1" applyFill="1" applyAlignment="1">
      <alignment horizontal="center" vertical="center" wrapText="1"/>
    </xf>
    <xf numFmtId="0" fontId="78" fillId="0" borderId="0" xfId="2" applyFont="1">
      <alignment vertical="center"/>
    </xf>
    <xf numFmtId="0" fontId="101" fillId="0" borderId="0" xfId="2" applyFont="1">
      <alignment vertical="center"/>
    </xf>
    <xf numFmtId="0" fontId="107" fillId="0" borderId="0" xfId="2" applyFont="1">
      <alignment vertical="center"/>
    </xf>
    <xf numFmtId="0" fontId="108" fillId="45" borderId="0" xfId="2" applyFont="1" applyFill="1" applyAlignment="1">
      <alignment horizontal="center" vertical="center" wrapText="1"/>
    </xf>
    <xf numFmtId="0" fontId="109" fillId="42" borderId="0" xfId="2" applyFont="1" applyFill="1" applyAlignment="1">
      <alignment horizontal="center" vertical="center" wrapText="1"/>
    </xf>
    <xf numFmtId="0" fontId="112" fillId="0" borderId="0" xfId="2" applyFont="1" applyAlignment="1">
      <alignment vertical="center" wrapText="1"/>
    </xf>
    <xf numFmtId="0" fontId="113" fillId="0" borderId="0" xfId="2" applyFont="1" applyAlignment="1">
      <alignment vertical="center" wrapText="1"/>
    </xf>
    <xf numFmtId="0" fontId="115" fillId="0" borderId="0" xfId="2" applyFont="1">
      <alignment vertical="center"/>
    </xf>
    <xf numFmtId="0" fontId="116" fillId="0" borderId="0" xfId="2" applyFont="1" applyAlignment="1">
      <alignment vertical="center" wrapText="1"/>
    </xf>
    <xf numFmtId="0" fontId="75" fillId="22" borderId="0" xfId="2" applyFont="1" applyFill="1" applyAlignment="1">
      <alignment vertical="center" wrapText="1"/>
    </xf>
    <xf numFmtId="0" fontId="103" fillId="0" borderId="0" xfId="2" applyFont="1" applyAlignment="1">
      <alignment vertical="center" wrapText="1"/>
    </xf>
    <xf numFmtId="0" fontId="2" fillId="0" borderId="0" xfId="2" applyAlignment="1">
      <alignment vertical="center" wrapText="1"/>
    </xf>
    <xf numFmtId="0" fontId="2" fillId="0" borderId="0" xfId="2" quotePrefix="1">
      <alignment vertical="center"/>
    </xf>
    <xf numFmtId="191" fontId="92" fillId="0" borderId="3" xfId="2" applyNumberFormat="1" applyFont="1" applyBorder="1" applyAlignment="1">
      <alignment horizontal="center" vertical="center"/>
    </xf>
    <xf numFmtId="4" fontId="0" fillId="0" borderId="0" xfId="0" quotePrefix="1" applyNumberFormat="1" applyProtection="1">
      <protection locked="0"/>
    </xf>
    <xf numFmtId="0" fontId="0" fillId="0" borderId="0" xfId="0" quotePrefix="1" applyProtection="1">
      <protection locked="0"/>
    </xf>
    <xf numFmtId="3" fontId="0" fillId="0" borderId="0" xfId="0" quotePrefix="1" applyNumberFormat="1" applyProtection="1">
      <protection locked="0"/>
    </xf>
    <xf numFmtId="0" fontId="81" fillId="39" borderId="30" xfId="0" applyFont="1" applyFill="1" applyBorder="1" applyAlignment="1" applyProtection="1">
      <alignment horizontal="center"/>
      <protection hidden="1"/>
    </xf>
    <xf numFmtId="0" fontId="80" fillId="17" borderId="33" xfId="0" applyFont="1" applyFill="1" applyBorder="1" applyAlignment="1" applyProtection="1">
      <alignment horizontal="left"/>
      <protection hidden="1"/>
    </xf>
    <xf numFmtId="0" fontId="60" fillId="22" borderId="0" xfId="0" applyFont="1" applyFill="1" applyAlignment="1" applyProtection="1">
      <alignment horizontal="center"/>
      <protection locked="0"/>
    </xf>
    <xf numFmtId="49" fontId="86" fillId="37" borderId="0" xfId="0" applyNumberFormat="1" applyFont="1" applyFill="1" applyAlignment="1" applyProtection="1">
      <alignment horizontal="center" vertical="center"/>
      <protection locked="0"/>
    </xf>
    <xf numFmtId="0" fontId="80" fillId="40" borderId="32" xfId="0" applyFont="1" applyFill="1" applyBorder="1" applyAlignment="1" applyProtection="1">
      <alignment horizontal="left"/>
      <protection locked="0"/>
    </xf>
    <xf numFmtId="0" fontId="81" fillId="39" borderId="29" xfId="0" applyFont="1" applyFill="1" applyBorder="1" applyAlignment="1">
      <alignment horizontal="center"/>
    </xf>
    <xf numFmtId="0" fontId="118" fillId="20" borderId="0" xfId="0" applyFont="1" applyFill="1" applyAlignment="1">
      <alignment vertical="center"/>
    </xf>
    <xf numFmtId="0" fontId="119" fillId="47" borderId="0" xfId="0" applyFont="1" applyFill="1" applyAlignment="1">
      <alignment horizontal="center"/>
    </xf>
    <xf numFmtId="0" fontId="120" fillId="47" borderId="0" xfId="0" applyFont="1" applyFill="1" applyAlignment="1">
      <alignment horizontal="center"/>
    </xf>
    <xf numFmtId="0" fontId="120" fillId="48" borderId="0" xfId="0" applyFont="1" applyFill="1" applyAlignment="1">
      <alignment horizontal="center"/>
    </xf>
    <xf numFmtId="0" fontId="120" fillId="22" borderId="0" xfId="0" applyFont="1" applyFill="1" applyAlignment="1">
      <alignment horizontal="center"/>
    </xf>
    <xf numFmtId="0" fontId="120" fillId="26" borderId="0" xfId="0" applyFont="1" applyFill="1" applyAlignment="1">
      <alignment horizontal="center"/>
    </xf>
    <xf numFmtId="0" fontId="120" fillId="27" borderId="0" xfId="0" applyFont="1" applyFill="1" applyAlignment="1">
      <alignment horizontal="center"/>
    </xf>
    <xf numFmtId="0" fontId="120" fillId="28" borderId="0" xfId="0" applyFont="1" applyFill="1" applyAlignment="1">
      <alignment horizontal="center"/>
    </xf>
    <xf numFmtId="0" fontId="81" fillId="47" borderId="0" xfId="0" applyFont="1" applyFill="1" applyAlignment="1">
      <alignment horizontal="center"/>
    </xf>
    <xf numFmtId="0" fontId="120" fillId="29" borderId="0" xfId="0" applyFont="1" applyFill="1" applyAlignment="1">
      <alignment horizontal="center"/>
    </xf>
    <xf numFmtId="0" fontId="18" fillId="49" borderId="0" xfId="1" applyFill="1"/>
    <xf numFmtId="0" fontId="0" fillId="49" borderId="0" xfId="0" applyFill="1"/>
    <xf numFmtId="3" fontId="0" fillId="49" borderId="0" xfId="0" applyNumberFormat="1" applyFill="1"/>
    <xf numFmtId="180" fontId="0" fillId="49" borderId="0" xfId="0" applyNumberFormat="1" applyFill="1"/>
    <xf numFmtId="181" fontId="0" fillId="49" borderId="0" xfId="0" applyNumberFormat="1" applyFill="1"/>
    <xf numFmtId="179" fontId="0" fillId="49" borderId="0" xfId="0" applyNumberFormat="1" applyFill="1"/>
    <xf numFmtId="2" fontId="0" fillId="49" borderId="0" xfId="0" applyNumberFormat="1" applyFill="1"/>
    <xf numFmtId="182" fontId="0" fillId="49" borderId="0" xfId="0" applyNumberFormat="1" applyFill="1"/>
    <xf numFmtId="0" fontId="18" fillId="17" borderId="0" xfId="1" applyFill="1"/>
    <xf numFmtId="3" fontId="0" fillId="17" borderId="0" xfId="0" applyNumberFormat="1" applyFill="1"/>
    <xf numFmtId="180" fontId="0" fillId="17" borderId="0" xfId="0" applyNumberFormat="1" applyFill="1"/>
    <xf numFmtId="181" fontId="0" fillId="17" borderId="0" xfId="0" applyNumberFormat="1" applyFill="1"/>
    <xf numFmtId="179" fontId="0" fillId="17" borderId="0" xfId="0" applyNumberFormat="1" applyFill="1"/>
    <xf numFmtId="2" fontId="0" fillId="17" borderId="0" xfId="0" applyNumberFormat="1" applyFill="1"/>
    <xf numFmtId="182" fontId="0" fillId="17" borderId="0" xfId="0" applyNumberFormat="1" applyFill="1"/>
    <xf numFmtId="0" fontId="122" fillId="50" borderId="0" xfId="0" applyFont="1" applyFill="1"/>
    <xf numFmtId="177" fontId="0" fillId="49" borderId="0" xfId="0" applyNumberFormat="1" applyFill="1"/>
    <xf numFmtId="177" fontId="0" fillId="17" borderId="0" xfId="0" applyNumberFormat="1" applyFill="1"/>
    <xf numFmtId="0" fontId="1" fillId="0" borderId="0" xfId="2" applyFont="1">
      <alignment vertical="center"/>
    </xf>
    <xf numFmtId="0" fontId="123" fillId="42" borderId="45" xfId="2" applyFont="1" applyFill="1" applyBorder="1">
      <alignment vertical="center"/>
    </xf>
    <xf numFmtId="0" fontId="123" fillId="42" borderId="46" xfId="2" applyFont="1" applyFill="1" applyBorder="1">
      <alignment vertical="center"/>
    </xf>
    <xf numFmtId="0" fontId="124" fillId="42" borderId="47" xfId="2" applyFont="1" applyFill="1" applyBorder="1">
      <alignment vertical="center"/>
    </xf>
    <xf numFmtId="0" fontId="124" fillId="42" borderId="48" xfId="2" applyFont="1" applyFill="1" applyBorder="1">
      <alignment vertical="center"/>
    </xf>
    <xf numFmtId="0" fontId="124" fillId="42" borderId="0" xfId="2" applyFont="1" applyFill="1">
      <alignment vertical="center"/>
    </xf>
    <xf numFmtId="0" fontId="124" fillId="42" borderId="49" xfId="2" quotePrefix="1" applyFont="1" applyFill="1" applyBorder="1">
      <alignment vertical="center"/>
    </xf>
    <xf numFmtId="0" fontId="124" fillId="42" borderId="49" xfId="2" applyFont="1" applyFill="1" applyBorder="1">
      <alignment vertical="center"/>
    </xf>
    <xf numFmtId="0" fontId="124" fillId="42" borderId="50" xfId="2" applyFont="1" applyFill="1" applyBorder="1">
      <alignment vertical="center"/>
    </xf>
    <xf numFmtId="0" fontId="124" fillId="42" borderId="51" xfId="2" applyFont="1" applyFill="1" applyBorder="1">
      <alignment vertical="center"/>
    </xf>
    <xf numFmtId="0" fontId="124" fillId="42" borderId="52" xfId="2" applyFont="1" applyFill="1" applyBorder="1">
      <alignment vertical="center"/>
    </xf>
    <xf numFmtId="0" fontId="78" fillId="0" borderId="53" xfId="2" applyFont="1" applyBorder="1">
      <alignment vertical="center"/>
    </xf>
    <xf numFmtId="0" fontId="78" fillId="0" borderId="54" xfId="2" applyFont="1" applyBorder="1">
      <alignment vertical="center"/>
    </xf>
    <xf numFmtId="0" fontId="125" fillId="42" borderId="55" xfId="2" applyFont="1" applyFill="1" applyBorder="1" applyAlignment="1">
      <alignment horizontal="center" vertical="center"/>
    </xf>
    <xf numFmtId="0" fontId="126" fillId="42" borderId="56" xfId="2" applyFont="1" applyFill="1" applyBorder="1" applyAlignment="1">
      <alignment horizontal="center" vertical="center"/>
    </xf>
    <xf numFmtId="0" fontId="127" fillId="0" borderId="57" xfId="2" applyFont="1" applyBorder="1" applyAlignment="1">
      <alignment horizontal="center" vertical="center"/>
    </xf>
    <xf numFmtId="0" fontId="88" fillId="22" borderId="0" xfId="2" applyFont="1" applyFill="1" applyAlignment="1">
      <alignment vertical="center" wrapText="1"/>
    </xf>
    <xf numFmtId="0" fontId="96" fillId="17" borderId="43" xfId="2" applyFont="1" applyFill="1" applyBorder="1" applyAlignment="1">
      <alignment horizontal="center" vertical="center"/>
    </xf>
    <xf numFmtId="0" fontId="93" fillId="17" borderId="3" xfId="2" applyFont="1" applyFill="1" applyBorder="1" applyAlignment="1">
      <alignment horizontal="center" vertical="center"/>
    </xf>
    <xf numFmtId="189" fontId="93" fillId="17" borderId="3" xfId="2" applyNumberFormat="1" applyFont="1" applyFill="1" applyBorder="1" applyAlignment="1">
      <alignment horizontal="center" vertical="center"/>
    </xf>
    <xf numFmtId="0" fontId="34" fillId="0" borderId="0" xfId="0" applyFont="1"/>
    <xf numFmtId="0" fontId="63" fillId="12" borderId="0" xfId="0" applyFont="1" applyFill="1" applyAlignment="1" applyProtection="1">
      <alignment horizontal="center" vertical="center" wrapText="1"/>
      <protection locked="0"/>
    </xf>
    <xf numFmtId="0" fontId="63" fillId="12" borderId="0" xfId="0" applyFont="1" applyFill="1" applyAlignment="1" applyProtection="1">
      <alignment horizontal="left" vertical="center" wrapText="1"/>
      <protection locked="0"/>
    </xf>
    <xf numFmtId="0" fontId="63" fillId="12" borderId="0" xfId="0" applyFont="1" applyFill="1" applyAlignment="1" applyProtection="1">
      <alignment vertical="center" wrapText="1"/>
      <protection locked="0"/>
    </xf>
    <xf numFmtId="0" fontId="63" fillId="12" borderId="0" xfId="0" applyFont="1" applyFill="1" applyAlignment="1" applyProtection="1">
      <alignment horizontal="right" vertical="center" wrapText="1"/>
      <protection locked="0"/>
    </xf>
    <xf numFmtId="0" fontId="36" fillId="0" borderId="0" xfId="0" applyFont="1" applyAlignment="1" applyProtection="1">
      <alignment horizontal="right"/>
      <protection locked="0"/>
    </xf>
    <xf numFmtId="0" fontId="131" fillId="16" borderId="0" xfId="1" applyFont="1" applyFill="1" applyAlignment="1">
      <alignment horizontal="center"/>
    </xf>
    <xf numFmtId="0" fontId="63" fillId="52" borderId="3" xfId="0" applyFont="1" applyFill="1" applyBorder="1" applyAlignment="1" applyProtection="1">
      <alignment horizontal="center"/>
      <protection locked="0"/>
    </xf>
    <xf numFmtId="0" fontId="132" fillId="32" borderId="3" xfId="0" applyFont="1" applyFill="1" applyBorder="1" applyAlignment="1" applyProtection="1">
      <alignment horizontal="center"/>
      <protection locked="0"/>
    </xf>
    <xf numFmtId="0" fontId="132" fillId="32" borderId="3" xfId="0" applyFont="1" applyFill="1" applyBorder="1" applyProtection="1">
      <protection locked="0"/>
    </xf>
    <xf numFmtId="3" fontId="132" fillId="32" borderId="3" xfId="0" applyNumberFormat="1" applyFont="1" applyFill="1" applyBorder="1" applyProtection="1">
      <protection locked="0"/>
    </xf>
    <xf numFmtId="0" fontId="37" fillId="21" borderId="0" xfId="0" applyFont="1" applyFill="1" applyProtection="1">
      <protection locked="0"/>
    </xf>
    <xf numFmtId="0" fontId="3" fillId="12" borderId="0" xfId="0" applyFont="1" applyFill="1" applyAlignment="1" applyProtection="1">
      <alignment horizontal="center" vertical="center" wrapText="1"/>
      <protection locked="0"/>
    </xf>
    <xf numFmtId="0" fontId="8" fillId="12" borderId="0" xfId="0" applyFont="1" applyFill="1" applyAlignment="1" applyProtection="1">
      <alignment horizontal="center"/>
      <protection locked="0"/>
    </xf>
    <xf numFmtId="0" fontId="8" fillId="53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/>
      <protection locked="0"/>
    </xf>
    <xf numFmtId="180" fontId="35" fillId="0" borderId="0" xfId="0" applyNumberFormat="1" applyFont="1" applyAlignment="1" applyProtection="1">
      <alignment horizontal="center"/>
      <protection locked="0"/>
    </xf>
    <xf numFmtId="192" fontId="35" fillId="0" borderId="0" xfId="0" applyNumberFormat="1" applyFont="1" applyAlignment="1" applyProtection="1">
      <alignment horizontal="center"/>
      <protection locked="0"/>
    </xf>
    <xf numFmtId="0" fontId="136" fillId="54" borderId="0" xfId="0" applyFont="1" applyFill="1" applyAlignment="1" applyProtection="1">
      <alignment horizontal="center"/>
      <protection locked="0"/>
    </xf>
    <xf numFmtId="0" fontId="68" fillId="0" borderId="0" xfId="0" applyFont="1" applyAlignment="1" applyProtection="1">
      <alignment horizontal="center"/>
      <protection locked="0"/>
    </xf>
    <xf numFmtId="0" fontId="8" fillId="22" borderId="0" xfId="0" applyFont="1" applyFill="1" applyAlignment="1">
      <alignment horizontal="center"/>
    </xf>
    <xf numFmtId="0" fontId="8" fillId="53" borderId="0" xfId="0" applyFont="1" applyFill="1" applyAlignment="1">
      <alignment horizontal="center"/>
    </xf>
    <xf numFmtId="0" fontId="136" fillId="54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180" fontId="35" fillId="0" borderId="0" xfId="0" applyNumberFormat="1" applyFont="1" applyAlignment="1">
      <alignment horizontal="center"/>
    </xf>
    <xf numFmtId="192" fontId="35" fillId="0" borderId="0" xfId="0" applyNumberFormat="1" applyFont="1" applyAlignment="1">
      <alignment horizontal="center"/>
    </xf>
    <xf numFmtId="0" fontId="139" fillId="30" borderId="0" xfId="0" applyFont="1" applyFill="1" applyAlignment="1">
      <alignment horizontal="center"/>
    </xf>
    <xf numFmtId="0" fontId="140" fillId="0" borderId="0" xfId="0" applyFont="1" applyAlignment="1">
      <alignment horizontal="center"/>
    </xf>
    <xf numFmtId="193" fontId="140" fillId="0" borderId="0" xfId="0" applyNumberFormat="1" applyFont="1" applyAlignment="1">
      <alignment horizontal="center"/>
    </xf>
    <xf numFmtId="0" fontId="91" fillId="0" borderId="58" xfId="2" applyFont="1" applyBorder="1" applyAlignment="1">
      <alignment horizontal="center" vertical="center"/>
    </xf>
    <xf numFmtId="0" fontId="78" fillId="0" borderId="59" xfId="2" applyFont="1" applyBorder="1">
      <alignment vertical="center"/>
    </xf>
    <xf numFmtId="0" fontId="91" fillId="0" borderId="0" xfId="2" applyFont="1" applyAlignment="1">
      <alignment horizontal="center" vertical="center"/>
    </xf>
    <xf numFmtId="0" fontId="96" fillId="17" borderId="0" xfId="2" applyFont="1" applyFill="1" applyAlignment="1">
      <alignment horizontal="center" vertical="center"/>
    </xf>
    <xf numFmtId="0" fontId="91" fillId="0" borderId="60" xfId="2" applyFont="1" applyBorder="1" applyAlignment="1">
      <alignment horizontal="center" vertical="center"/>
    </xf>
    <xf numFmtId="0" fontId="78" fillId="0" borderId="62" xfId="2" applyFont="1" applyBorder="1">
      <alignment vertical="center"/>
    </xf>
    <xf numFmtId="0" fontId="96" fillId="42" borderId="61" xfId="2" applyFont="1" applyFill="1" applyBorder="1" applyAlignment="1">
      <alignment horizontal="center" vertical="center"/>
    </xf>
    <xf numFmtId="0" fontId="96" fillId="42" borderId="4" xfId="2" applyFont="1" applyFill="1" applyBorder="1" applyAlignment="1">
      <alignment horizontal="center" vertical="center"/>
    </xf>
    <xf numFmtId="0" fontId="18" fillId="0" borderId="0" xfId="1"/>
    <xf numFmtId="0" fontId="75" fillId="50" borderId="0" xfId="0" applyFont="1" applyFill="1" applyAlignment="1">
      <alignment horizontal="center"/>
    </xf>
    <xf numFmtId="0" fontId="19" fillId="4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60" fillId="10" borderId="1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177" fontId="146" fillId="5" borderId="0" xfId="0" applyNumberFormat="1" applyFont="1" applyFill="1" applyAlignment="1" applyProtection="1">
      <alignment horizontal="center" vertical="center"/>
      <protection locked="0"/>
    </xf>
    <xf numFmtId="49" fontId="146" fillId="5" borderId="0" xfId="0" applyNumberFormat="1" applyFont="1" applyFill="1" applyAlignment="1" applyProtection="1">
      <alignment horizontal="center" vertical="center"/>
      <protection locked="0"/>
    </xf>
    <xf numFmtId="49" fontId="71" fillId="0" borderId="0" xfId="0" applyNumberFormat="1" applyFont="1" applyAlignment="1" applyProtection="1">
      <alignment horizontal="center" vertical="center"/>
      <protection locked="0"/>
    </xf>
    <xf numFmtId="177" fontId="70" fillId="11" borderId="0" xfId="0" applyNumberFormat="1" applyFont="1" applyFill="1" applyAlignment="1" applyProtection="1">
      <alignment horizontal="center" vertical="center"/>
      <protection locked="0"/>
    </xf>
    <xf numFmtId="49" fontId="70" fillId="0" borderId="0" xfId="0" applyNumberFormat="1" applyFont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 vertical="center"/>
      <protection locked="0"/>
    </xf>
    <xf numFmtId="0" fontId="147" fillId="55" borderId="23" xfId="0" applyFont="1" applyFill="1" applyBorder="1" applyAlignment="1" applyProtection="1">
      <alignment horizontal="center"/>
      <protection locked="0"/>
    </xf>
    <xf numFmtId="0" fontId="5" fillId="56" borderId="23" xfId="0" applyFont="1" applyFill="1" applyBorder="1" applyAlignment="1" applyProtection="1">
      <alignment horizontal="center" wrapText="1"/>
      <protection locked="0"/>
    </xf>
    <xf numFmtId="0" fontId="5" fillId="57" borderId="23" xfId="0" applyFont="1" applyFill="1" applyBorder="1" applyAlignment="1" applyProtection="1">
      <alignment horizontal="center" wrapText="1"/>
      <protection locked="0"/>
    </xf>
    <xf numFmtId="38" fontId="74" fillId="34" borderId="0" xfId="3" applyFont="1" applyFill="1" applyAlignment="1" applyProtection="1">
      <protection locked="0"/>
    </xf>
    <xf numFmtId="38" fontId="5" fillId="16" borderId="23" xfId="3" applyFont="1" applyFill="1" applyBorder="1" applyAlignment="1" applyProtection="1">
      <alignment horizontal="center" wrapText="1"/>
      <protection locked="0"/>
    </xf>
    <xf numFmtId="38" fontId="19" fillId="0" borderId="23" xfId="3" applyFont="1" applyBorder="1" applyAlignment="1" applyProtection="1">
      <protection locked="0"/>
    </xf>
    <xf numFmtId="38" fontId="0" fillId="0" borderId="0" xfId="3" applyFont="1" applyAlignment="1" applyProtection="1">
      <protection locked="0"/>
    </xf>
    <xf numFmtId="0" fontId="63" fillId="58" borderId="3" xfId="0" applyFont="1" applyFill="1" applyBorder="1" applyAlignment="1" applyProtection="1">
      <alignment horizontal="center"/>
      <protection hidden="1"/>
    </xf>
    <xf numFmtId="0" fontId="131" fillId="52" borderId="0" xfId="1" applyFont="1" applyFill="1" applyAlignment="1">
      <alignment horizontal="center"/>
    </xf>
    <xf numFmtId="0" fontId="0" fillId="0" borderId="0" xfId="0" applyAlignment="1">
      <alignment vertical="center"/>
    </xf>
    <xf numFmtId="0" fontId="34" fillId="0" borderId="0" xfId="0" applyFont="1" applyAlignment="1">
      <alignment vertical="center"/>
    </xf>
    <xf numFmtId="0" fontId="131" fillId="59" borderId="0" xfId="1" applyFont="1" applyFill="1" applyAlignment="1">
      <alignment horizontal="center" wrapText="1"/>
    </xf>
    <xf numFmtId="0" fontId="63" fillId="59" borderId="3" xfId="0" applyFont="1" applyFill="1" applyBorder="1" applyAlignment="1" applyProtection="1">
      <alignment horizontal="center" wrapText="1"/>
      <protection hidden="1"/>
    </xf>
    <xf numFmtId="0" fontId="63" fillId="58" borderId="3" xfId="0" applyFont="1" applyFill="1" applyBorder="1" applyAlignment="1">
      <alignment horizontal="center"/>
    </xf>
    <xf numFmtId="0" fontId="129" fillId="17" borderId="3" xfId="0" applyFont="1" applyFill="1" applyBorder="1"/>
    <xf numFmtId="0" fontId="129" fillId="60" borderId="3" xfId="0" applyFont="1" applyFill="1" applyBorder="1"/>
    <xf numFmtId="0" fontId="63" fillId="52" borderId="3" xfId="0" applyFont="1" applyFill="1" applyBorder="1" applyAlignment="1">
      <alignment horizontal="center"/>
    </xf>
    <xf numFmtId="0" fontId="63" fillId="58" borderId="3" xfId="0" applyFont="1" applyFill="1" applyBorder="1" applyAlignment="1">
      <alignment horizontal="center" wrapText="1"/>
    </xf>
    <xf numFmtId="0" fontId="129" fillId="17" borderId="3" xfId="0" applyFont="1" applyFill="1" applyBorder="1" applyAlignment="1">
      <alignment horizontal="center" wrapText="1"/>
    </xf>
    <xf numFmtId="177" fontId="129" fillId="17" borderId="3" xfId="0" applyNumberFormat="1" applyFont="1" applyFill="1" applyBorder="1" applyAlignment="1">
      <alignment horizontal="right"/>
    </xf>
    <xf numFmtId="3" fontId="129" fillId="17" borderId="3" xfId="0" applyNumberFormat="1" applyFont="1" applyFill="1" applyBorder="1" applyAlignment="1">
      <alignment horizontal="right"/>
    </xf>
    <xf numFmtId="0" fontId="129" fillId="17" borderId="3" xfId="0" applyFont="1" applyFill="1" applyBorder="1" applyAlignment="1">
      <alignment horizontal="right"/>
    </xf>
    <xf numFmtId="0" fontId="63" fillId="58" borderId="3" xfId="0" applyFont="1" applyFill="1" applyBorder="1" applyAlignment="1">
      <alignment horizontal="right"/>
    </xf>
    <xf numFmtId="177" fontId="129" fillId="60" borderId="3" xfId="0" applyNumberFormat="1" applyFont="1" applyFill="1" applyBorder="1" applyAlignment="1">
      <alignment horizontal="right"/>
    </xf>
    <xf numFmtId="3" fontId="129" fillId="60" borderId="3" xfId="0" applyNumberFormat="1" applyFont="1" applyFill="1" applyBorder="1" applyAlignment="1">
      <alignment horizontal="right"/>
    </xf>
    <xf numFmtId="0" fontId="129" fillId="60" borderId="3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148" fillId="17" borderId="3" xfId="0" applyFont="1" applyFill="1" applyBorder="1" applyAlignment="1">
      <alignment horizontal="left"/>
    </xf>
    <xf numFmtId="0" fontId="148" fillId="60" borderId="3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36" fillId="0" borderId="0" xfId="0" applyFont="1" applyAlignment="1">
      <alignment horizontal="left"/>
    </xf>
    <xf numFmtId="0" fontId="37" fillId="0" borderId="0" xfId="0" applyFont="1" applyAlignment="1">
      <alignment horizontal="right"/>
    </xf>
    <xf numFmtId="0" fontId="37" fillId="0" borderId="0" xfId="0" applyFont="1" applyAlignment="1">
      <alignment horizontal="right" vertical="center"/>
    </xf>
    <xf numFmtId="0" fontId="63" fillId="59" borderId="3" xfId="0" applyFont="1" applyFill="1" applyBorder="1" applyAlignment="1">
      <alignment horizontal="center"/>
    </xf>
    <xf numFmtId="3" fontId="129" fillId="17" borderId="3" xfId="0" applyNumberFormat="1" applyFont="1" applyFill="1" applyBorder="1" applyAlignment="1">
      <alignment horizontal="right" vertical="center"/>
    </xf>
    <xf numFmtId="0" fontId="129" fillId="17" borderId="3" xfId="0" applyFont="1" applyFill="1" applyBorder="1" applyAlignment="1">
      <alignment horizontal="left"/>
    </xf>
    <xf numFmtId="3" fontId="129" fillId="60" borderId="3" xfId="0" applyNumberFormat="1" applyFont="1" applyFill="1" applyBorder="1" applyAlignment="1">
      <alignment horizontal="right" vertical="center"/>
    </xf>
    <xf numFmtId="0" fontId="129" fillId="60" borderId="3" xfId="0" applyFont="1" applyFill="1" applyBorder="1" applyAlignment="1">
      <alignment horizontal="left"/>
    </xf>
    <xf numFmtId="0" fontId="153" fillId="12" borderId="0" xfId="0" applyFont="1" applyFill="1" applyAlignment="1" applyProtection="1">
      <alignment horizontal="center" vertical="center" wrapText="1"/>
      <protection locked="0"/>
    </xf>
    <xf numFmtId="0" fontId="60" fillId="12" borderId="0" xfId="0" applyFont="1" applyFill="1" applyAlignment="1" applyProtection="1">
      <alignment horizontal="center" vertical="center" wrapText="1"/>
      <protection locked="0"/>
    </xf>
    <xf numFmtId="3" fontId="132" fillId="32" borderId="3" xfId="0" applyNumberFormat="1" applyFont="1" applyFill="1" applyBorder="1" applyAlignment="1" applyProtection="1">
      <alignment vertical="center"/>
      <protection locked="0"/>
    </xf>
    <xf numFmtId="177" fontId="63" fillId="59" borderId="3" xfId="0" applyNumberFormat="1" applyFont="1" applyFill="1" applyBorder="1" applyAlignment="1" applyProtection="1">
      <alignment horizontal="center" wrapText="1"/>
      <protection hidden="1"/>
    </xf>
    <xf numFmtId="3" fontId="63" fillId="59" borderId="3" xfId="0" applyNumberFormat="1" applyFont="1" applyFill="1" applyBorder="1" applyAlignment="1" applyProtection="1">
      <alignment horizontal="center" wrapText="1"/>
      <protection hidden="1"/>
    </xf>
    <xf numFmtId="3" fontId="63" fillId="59" borderId="3" xfId="0" applyNumberFormat="1" applyFont="1" applyFill="1" applyBorder="1" applyAlignment="1" applyProtection="1">
      <alignment horizontal="center" vertical="center" wrapText="1"/>
      <protection hidden="1"/>
    </xf>
    <xf numFmtId="179" fontId="63" fillId="59" borderId="3" xfId="0" applyNumberFormat="1" applyFont="1" applyFill="1" applyBorder="1" applyAlignment="1" applyProtection="1">
      <alignment horizontal="center" wrapText="1"/>
      <protection hidden="1"/>
    </xf>
    <xf numFmtId="2" fontId="63" fillId="59" borderId="3" xfId="0" applyNumberFormat="1" applyFont="1" applyFill="1" applyBorder="1" applyAlignment="1" applyProtection="1">
      <alignment horizontal="center" wrapText="1"/>
      <protection hidden="1"/>
    </xf>
    <xf numFmtId="177" fontId="129" fillId="17" borderId="3" xfId="0" applyNumberFormat="1" applyFont="1" applyFill="1" applyBorder="1" applyAlignment="1">
      <alignment horizontal="center" wrapText="1"/>
    </xf>
    <xf numFmtId="0" fontId="148" fillId="17" borderId="3" xfId="0" applyFont="1" applyFill="1" applyBorder="1" applyAlignment="1">
      <alignment horizontal="center" wrapText="1"/>
    </xf>
    <xf numFmtId="3" fontId="129" fillId="17" borderId="3" xfId="0" applyNumberFormat="1" applyFont="1" applyFill="1" applyBorder="1" applyAlignment="1">
      <alignment horizontal="center" wrapText="1"/>
    </xf>
    <xf numFmtId="3" fontId="129" fillId="17" borderId="3" xfId="0" applyNumberFormat="1" applyFont="1" applyFill="1" applyBorder="1" applyAlignment="1">
      <alignment horizontal="center" vertical="center" wrapText="1"/>
    </xf>
    <xf numFmtId="0" fontId="36" fillId="0" borderId="0" xfId="0" applyFont="1" applyAlignment="1" applyProtection="1">
      <alignment vertical="center"/>
      <protection locked="0"/>
    </xf>
    <xf numFmtId="0" fontId="156" fillId="0" borderId="0" xfId="0" applyFont="1" applyProtection="1">
      <protection locked="0"/>
    </xf>
    <xf numFmtId="177" fontId="132" fillId="32" borderId="3" xfId="0" applyNumberFormat="1" applyFont="1" applyFill="1" applyBorder="1" applyAlignment="1" applyProtection="1">
      <alignment horizontal="center"/>
      <protection locked="0"/>
    </xf>
    <xf numFmtId="0" fontId="133" fillId="32" borderId="3" xfId="0" applyFont="1" applyFill="1" applyBorder="1" applyAlignment="1" applyProtection="1">
      <alignment horizontal="left"/>
      <protection locked="0"/>
    </xf>
    <xf numFmtId="3" fontId="132" fillId="32" borderId="3" xfId="0" applyNumberFormat="1" applyFont="1" applyFill="1" applyBorder="1" applyAlignment="1" applyProtection="1">
      <alignment horizontal="right"/>
      <protection locked="0"/>
    </xf>
    <xf numFmtId="0" fontId="132" fillId="63" borderId="3" xfId="0" applyFont="1" applyFill="1" applyBorder="1" applyAlignment="1" applyProtection="1">
      <alignment horizontal="center"/>
      <protection locked="0"/>
    </xf>
    <xf numFmtId="0" fontId="8" fillId="12" borderId="66" xfId="0" applyFont="1" applyFill="1" applyBorder="1" applyAlignment="1" applyProtection="1">
      <alignment horizontal="center" vertical="center" wrapText="1"/>
      <protection locked="0"/>
    </xf>
    <xf numFmtId="3" fontId="35" fillId="17" borderId="65" xfId="0" applyNumberFormat="1" applyFont="1" applyFill="1" applyBorder="1" applyProtection="1">
      <protection locked="0"/>
    </xf>
    <xf numFmtId="0" fontId="35" fillId="17" borderId="65" xfId="0" applyFont="1" applyFill="1" applyBorder="1" applyAlignment="1" applyProtection="1">
      <alignment horizontal="center"/>
      <protection locked="0"/>
    </xf>
    <xf numFmtId="3" fontId="35" fillId="32" borderId="3" xfId="0" applyNumberFormat="1" applyFont="1" applyFill="1" applyBorder="1" applyProtection="1">
      <protection locked="0"/>
    </xf>
    <xf numFmtId="0" fontId="35" fillId="32" borderId="3" xfId="0" applyFont="1" applyFill="1" applyBorder="1" applyAlignment="1" applyProtection="1">
      <alignment horizontal="center"/>
      <protection locked="0"/>
    </xf>
    <xf numFmtId="3" fontId="35" fillId="17" borderId="3" xfId="0" applyNumberFormat="1" applyFont="1" applyFill="1" applyBorder="1" applyProtection="1">
      <protection locked="0"/>
    </xf>
    <xf numFmtId="0" fontId="35" fillId="17" borderId="3" xfId="0" applyFont="1" applyFill="1" applyBorder="1" applyAlignment="1" applyProtection="1">
      <alignment horizontal="center"/>
      <protection locked="0"/>
    </xf>
    <xf numFmtId="0" fontId="157" fillId="32" borderId="3" xfId="0" applyFont="1" applyFill="1" applyBorder="1" applyAlignment="1" applyProtection="1">
      <alignment horizontal="center"/>
      <protection locked="0"/>
    </xf>
    <xf numFmtId="0" fontId="158" fillId="12" borderId="0" xfId="0" applyFont="1" applyFill="1"/>
    <xf numFmtId="0" fontId="159" fillId="64" borderId="0" xfId="0" applyFont="1" applyFill="1" applyAlignment="1">
      <alignment horizontal="center"/>
    </xf>
    <xf numFmtId="0" fontId="160" fillId="65" borderId="0" xfId="0" applyFont="1" applyFill="1"/>
    <xf numFmtId="0" fontId="161" fillId="0" borderId="0" xfId="0" applyFont="1"/>
    <xf numFmtId="0" fontId="162" fillId="0" borderId="0" xfId="0" applyFont="1"/>
    <xf numFmtId="0" fontId="163" fillId="0" borderId="0" xfId="0" applyFont="1"/>
    <xf numFmtId="0" fontId="164" fillId="0" borderId="0" xfId="0" applyFont="1"/>
    <xf numFmtId="0" fontId="165" fillId="66" borderId="0" xfId="0" applyFont="1" applyFill="1"/>
    <xf numFmtId="0" fontId="0" fillId="12" borderId="0" xfId="0" applyFill="1"/>
    <xf numFmtId="0" fontId="81" fillId="12" borderId="3" xfId="0" applyFont="1" applyFill="1" applyBorder="1" applyAlignment="1">
      <alignment horizontal="center"/>
    </xf>
    <xf numFmtId="0" fontId="21" fillId="67" borderId="3" xfId="0" applyFont="1" applyFill="1" applyBorder="1"/>
    <xf numFmtId="0" fontId="0" fillId="67" borderId="3" xfId="0" applyFill="1" applyBorder="1"/>
    <xf numFmtId="0" fontId="21" fillId="17" borderId="3" xfId="0" applyFont="1" applyFill="1" applyBorder="1"/>
    <xf numFmtId="0" fontId="0" fillId="17" borderId="3" xfId="0" applyFill="1" applyBorder="1"/>
    <xf numFmtId="0" fontId="0" fillId="65" borderId="0" xfId="0" applyFill="1"/>
    <xf numFmtId="0" fontId="0" fillId="66" borderId="0" xfId="0" applyFill="1"/>
    <xf numFmtId="0" fontId="0" fillId="0" borderId="0" xfId="0" quotePrefix="1"/>
    <xf numFmtId="0" fontId="129" fillId="60" borderId="3" xfId="0" applyFont="1" applyFill="1" applyBorder="1" applyAlignment="1">
      <alignment horizontal="center" wrapText="1"/>
    </xf>
    <xf numFmtId="177" fontId="129" fillId="60" borderId="3" xfId="0" applyNumberFormat="1" applyFont="1" applyFill="1" applyBorder="1" applyAlignment="1">
      <alignment horizontal="center" wrapText="1"/>
    </xf>
    <xf numFmtId="0" fontId="148" fillId="60" borderId="3" xfId="0" applyFont="1" applyFill="1" applyBorder="1" applyAlignment="1">
      <alignment horizontal="center" wrapText="1"/>
    </xf>
    <xf numFmtId="3" fontId="129" fillId="60" borderId="3" xfId="0" applyNumberFormat="1" applyFont="1" applyFill="1" applyBorder="1" applyAlignment="1">
      <alignment horizontal="center" wrapText="1"/>
    </xf>
    <xf numFmtId="3" fontId="129" fillId="60" borderId="3" xfId="0" applyNumberFormat="1" applyFont="1" applyFill="1" applyBorder="1" applyAlignment="1">
      <alignment horizontal="center" vertical="center" wrapText="1"/>
    </xf>
    <xf numFmtId="0" fontId="74" fillId="20" borderId="0" xfId="0" applyFont="1" applyFill="1" applyProtection="1">
      <protection locked="0"/>
    </xf>
    <xf numFmtId="0" fontId="5" fillId="20" borderId="23" xfId="0" applyFont="1" applyFill="1" applyBorder="1" applyAlignment="1" applyProtection="1">
      <alignment horizontal="center" wrapText="1"/>
      <protection locked="0"/>
    </xf>
    <xf numFmtId="0" fontId="19" fillId="20" borderId="23" xfId="0" applyFont="1" applyFill="1" applyBorder="1" applyAlignment="1" applyProtection="1">
      <alignment horizontal="center"/>
      <protection locked="0"/>
    </xf>
    <xf numFmtId="0" fontId="7" fillId="3" borderId="3" xfId="0" applyFont="1" applyFill="1" applyBorder="1" applyAlignment="1" applyProtection="1">
      <alignment horizontal="left" vertical="center"/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4" fillId="3" borderId="0" xfId="0" applyFont="1" applyFill="1" applyAlignment="1" applyProtection="1">
      <alignment horizontal="left" vertical="center"/>
      <protection locked="0"/>
    </xf>
    <xf numFmtId="0" fontId="28" fillId="16" borderId="0" xfId="0" applyFont="1" applyFill="1" applyAlignment="1" applyProtection="1">
      <alignment horizontal="center" vertical="center"/>
      <protection locked="0"/>
    </xf>
    <xf numFmtId="0" fontId="36" fillId="0" borderId="0" xfId="0" applyFont="1" applyProtection="1">
      <protection locked="0"/>
    </xf>
    <xf numFmtId="0" fontId="36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center"/>
      <protection locked="0"/>
    </xf>
    <xf numFmtId="0" fontId="38" fillId="12" borderId="0" xfId="0" applyFont="1" applyFill="1" applyAlignment="1" applyProtection="1">
      <alignment horizontal="center" vertical="center"/>
      <protection locked="0"/>
    </xf>
    <xf numFmtId="0" fontId="63" fillId="23" borderId="14" xfId="0" applyFont="1" applyFill="1" applyBorder="1" applyAlignment="1" applyProtection="1">
      <alignment horizontal="center" vertical="center"/>
      <protection locked="0"/>
    </xf>
    <xf numFmtId="0" fontId="63" fillId="23" borderId="0" xfId="0" applyFont="1" applyFill="1" applyAlignment="1" applyProtection="1">
      <alignment horizontal="center" vertical="center"/>
      <protection locked="0"/>
    </xf>
    <xf numFmtId="0" fontId="2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121" fillId="47" borderId="0" xfId="0" applyFont="1" applyFill="1"/>
    <xf numFmtId="0" fontId="150" fillId="61" borderId="3" xfId="0" applyFont="1" applyFill="1" applyBorder="1" applyAlignment="1" applyProtection="1">
      <alignment horizontal="center" vertical="center"/>
      <protection hidden="1"/>
    </xf>
    <xf numFmtId="0" fontId="151" fillId="61" borderId="3" xfId="0" applyFont="1" applyFill="1" applyBorder="1" applyAlignment="1" applyProtection="1">
      <alignment horizontal="center" vertical="center"/>
      <protection hidden="1"/>
    </xf>
    <xf numFmtId="0" fontId="152" fillId="62" borderId="63" xfId="1" applyFont="1" applyFill="1" applyBorder="1" applyAlignment="1">
      <alignment horizontal="right" vertical="center" wrapText="1"/>
    </xf>
    <xf numFmtId="0" fontId="152" fillId="62" borderId="64" xfId="1" applyFont="1" applyFill="1" applyBorder="1" applyAlignment="1">
      <alignment horizontal="right" vertical="center" wrapText="1"/>
    </xf>
    <xf numFmtId="0" fontId="33" fillId="9" borderId="0" xfId="0" applyFont="1" applyFill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7" fillId="6" borderId="0" xfId="0" applyFont="1" applyFill="1" applyAlignment="1" applyProtection="1">
      <alignment horizontal="left" vertical="center"/>
      <protection locked="0"/>
    </xf>
    <xf numFmtId="0" fontId="7" fillId="8" borderId="0" xfId="0" applyFont="1" applyFill="1" applyAlignment="1" applyProtection="1">
      <alignment horizontal="left" vertical="center"/>
      <protection locked="0"/>
    </xf>
    <xf numFmtId="0" fontId="7" fillId="10" borderId="0" xfId="0" applyFont="1" applyFill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32" fillId="0" borderId="3" xfId="0" applyFont="1" applyFill="1" applyBorder="1" applyProtection="1">
      <protection locked="0"/>
    </xf>
    <xf numFmtId="177" fontId="132" fillId="0" borderId="3" xfId="0" applyNumberFormat="1" applyFont="1" applyFill="1" applyBorder="1" applyAlignment="1" applyProtection="1">
      <alignment horizontal="center"/>
      <protection locked="0"/>
    </xf>
    <xf numFmtId="0" fontId="133" fillId="0" borderId="3" xfId="0" applyFont="1" applyFill="1" applyBorder="1" applyAlignment="1" applyProtection="1">
      <alignment horizontal="left"/>
      <protection locked="0"/>
    </xf>
    <xf numFmtId="3" fontId="132" fillId="0" borderId="3" xfId="0" applyNumberFormat="1" applyFont="1" applyFill="1" applyBorder="1" applyProtection="1">
      <protection locked="0"/>
    </xf>
    <xf numFmtId="3" fontId="132" fillId="0" borderId="3" xfId="0" applyNumberFormat="1" applyFont="1" applyFill="1" applyBorder="1" applyAlignment="1" applyProtection="1">
      <alignment vertical="center"/>
      <protection locked="0"/>
    </xf>
    <xf numFmtId="3" fontId="132" fillId="0" borderId="3" xfId="0" applyNumberFormat="1" applyFont="1" applyFill="1" applyBorder="1" applyAlignment="1" applyProtection="1">
      <alignment horizontal="right"/>
      <protection locked="0"/>
    </xf>
    <xf numFmtId="0" fontId="132" fillId="0" borderId="3" xfId="0" applyFont="1" applyFill="1" applyBorder="1" applyAlignment="1" applyProtection="1">
      <alignment horizontal="center"/>
      <protection locked="0"/>
    </xf>
    <xf numFmtId="0" fontId="157" fillId="0" borderId="3" xfId="0" applyFont="1" applyFill="1" applyBorder="1" applyAlignment="1" applyProtection="1">
      <alignment horizontal="center"/>
      <protection locked="0"/>
    </xf>
    <xf numFmtId="0" fontId="130" fillId="0" borderId="0" xfId="1" applyFont="1" applyFill="1" applyAlignment="1">
      <alignment horizontal="center"/>
    </xf>
    <xf numFmtId="0" fontId="129" fillId="0" borderId="3" xfId="0" applyFont="1" applyFill="1" applyBorder="1" applyProtection="1">
      <protection locked="0"/>
    </xf>
    <xf numFmtId="177" fontId="129" fillId="0" borderId="3" xfId="0" applyNumberFormat="1" applyFont="1" applyFill="1" applyBorder="1" applyAlignment="1" applyProtection="1">
      <alignment horizontal="center"/>
      <protection locked="0"/>
    </xf>
    <xf numFmtId="0" fontId="129" fillId="0" borderId="3" xfId="0" applyFont="1" applyFill="1" applyBorder="1" applyAlignment="1" applyProtection="1">
      <alignment horizontal="left"/>
      <protection locked="0"/>
    </xf>
    <xf numFmtId="3" fontId="129" fillId="0" borderId="3" xfId="0" applyNumberFormat="1" applyFont="1" applyFill="1" applyBorder="1" applyProtection="1">
      <protection locked="0"/>
    </xf>
    <xf numFmtId="3" fontId="129" fillId="0" borderId="3" xfId="0" applyNumberFormat="1" applyFont="1" applyFill="1" applyBorder="1" applyAlignment="1" applyProtection="1">
      <alignment vertical="center"/>
      <protection locked="0"/>
    </xf>
    <xf numFmtId="3" fontId="129" fillId="0" borderId="3" xfId="0" applyNumberFormat="1" applyFont="1" applyFill="1" applyBorder="1" applyAlignment="1" applyProtection="1">
      <alignment horizontal="right"/>
      <protection locked="0"/>
    </xf>
    <xf numFmtId="0" fontId="129" fillId="0" borderId="3" xfId="0" applyFont="1" applyFill="1" applyBorder="1" applyAlignment="1" applyProtection="1">
      <alignment horizontal="center"/>
      <protection locked="0"/>
    </xf>
    <xf numFmtId="0" fontId="129" fillId="0" borderId="3" xfId="0" applyFont="1" applyFill="1" applyBorder="1" applyAlignment="1" applyProtection="1">
      <alignment horizontal="left" vertical="center"/>
      <protection locked="0"/>
    </xf>
    <xf numFmtId="177" fontId="129" fillId="0" borderId="3" xfId="0" applyNumberFormat="1" applyFont="1" applyFill="1" applyBorder="1" applyAlignment="1" applyProtection="1">
      <alignment horizontal="center" vertical="center"/>
      <protection locked="0"/>
    </xf>
    <xf numFmtId="3" fontId="129" fillId="0" borderId="3" xfId="0" applyNumberFormat="1" applyFont="1" applyFill="1" applyBorder="1" applyAlignment="1" applyProtection="1">
      <alignment horizontal="right" vertical="center"/>
      <protection locked="0"/>
    </xf>
    <xf numFmtId="0" fontId="129" fillId="0" borderId="3" xfId="0" applyFont="1" applyFill="1" applyBorder="1" applyAlignment="1" applyProtection="1">
      <alignment horizontal="center" vertical="center"/>
      <protection locked="0"/>
    </xf>
    <xf numFmtId="0" fontId="154" fillId="0" borderId="3" xfId="0" applyFont="1" applyFill="1" applyBorder="1" applyAlignment="1" applyProtection="1">
      <alignment horizontal="center"/>
      <protection locked="0"/>
    </xf>
    <xf numFmtId="0" fontId="129" fillId="0" borderId="0" xfId="0" applyFont="1" applyFill="1" applyProtection="1">
      <protection locked="0"/>
    </xf>
    <xf numFmtId="3" fontId="129" fillId="0" borderId="3" xfId="0" applyNumberFormat="1" applyFont="1" applyFill="1" applyBorder="1" applyAlignment="1" applyProtection="1">
      <alignment horizontal="left" vertical="center"/>
      <protection locked="0"/>
    </xf>
    <xf numFmtId="0" fontId="134" fillId="0" borderId="3" xfId="0" applyFont="1" applyFill="1" applyBorder="1" applyProtection="1">
      <protection locked="0"/>
    </xf>
    <xf numFmtId="0" fontId="59" fillId="0" borderId="0" xfId="1" applyFont="1" applyFill="1" applyAlignment="1">
      <alignment horizontal="center"/>
    </xf>
    <xf numFmtId="0" fontId="58" fillId="0" borderId="0" xfId="0" applyFont="1" applyFill="1" applyProtection="1">
      <protection locked="0"/>
    </xf>
    <xf numFmtId="177" fontId="58" fillId="0" borderId="0" xfId="0" applyNumberFormat="1" applyFont="1" applyFill="1" applyAlignment="1" applyProtection="1">
      <alignment horizontal="center"/>
      <protection locked="0"/>
    </xf>
    <xf numFmtId="0" fontId="58" fillId="0" borderId="0" xfId="0" applyFont="1" applyFill="1" applyAlignment="1" applyProtection="1">
      <alignment horizontal="left"/>
      <protection locked="0"/>
    </xf>
    <xf numFmtId="3" fontId="58" fillId="0" borderId="0" xfId="0" applyNumberFormat="1" applyFont="1" applyFill="1" applyProtection="1">
      <protection locked="0"/>
    </xf>
    <xf numFmtId="3" fontId="58" fillId="0" borderId="0" xfId="0" applyNumberFormat="1" applyFont="1" applyFill="1" applyAlignment="1" applyProtection="1">
      <alignment vertical="center"/>
      <protection locked="0"/>
    </xf>
    <xf numFmtId="3" fontId="58" fillId="0" borderId="0" xfId="0" applyNumberFormat="1" applyFont="1" applyFill="1" applyAlignment="1" applyProtection="1">
      <alignment horizontal="right"/>
      <protection locked="0"/>
    </xf>
    <xf numFmtId="0" fontId="58" fillId="0" borderId="0" xfId="0" applyFont="1" applyFill="1" applyAlignment="1" applyProtection="1">
      <alignment horizontal="center"/>
      <protection locked="0"/>
    </xf>
    <xf numFmtId="0" fontId="154" fillId="0" borderId="0" xfId="0" applyFont="1" applyFill="1" applyAlignment="1" applyProtection="1">
      <alignment horizontal="center"/>
      <protection locked="0"/>
    </xf>
    <xf numFmtId="0" fontId="134" fillId="0" borderId="0" xfId="0" applyFont="1" applyFill="1" applyProtection="1">
      <protection locked="0"/>
    </xf>
    <xf numFmtId="0" fontId="58" fillId="0" borderId="0" xfId="0" applyFont="1" applyFill="1" applyAlignment="1" applyProtection="1">
      <alignment horizontal="left" vertical="center"/>
      <protection locked="0"/>
    </xf>
    <xf numFmtId="177" fontId="58" fillId="0" borderId="0" xfId="0" applyNumberFormat="1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right" vertical="center"/>
      <protection locked="0"/>
    </xf>
    <xf numFmtId="0" fontId="58" fillId="0" borderId="0" xfId="0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left" vertical="center"/>
      <protection locked="0"/>
    </xf>
    <xf numFmtId="0" fontId="154" fillId="0" borderId="0" xfId="0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center"/>
      <protection locked="0"/>
    </xf>
    <xf numFmtId="0" fontId="44" fillId="0" borderId="0" xfId="0" applyFont="1" applyFill="1" applyProtection="1">
      <protection locked="0"/>
    </xf>
    <xf numFmtId="0" fontId="44" fillId="0" borderId="0" xfId="0" applyFont="1" applyFill="1" applyAlignment="1" applyProtection="1">
      <alignment horizontal="center"/>
      <protection locked="0"/>
    </xf>
    <xf numFmtId="0" fontId="44" fillId="0" borderId="0" xfId="0" applyFont="1" applyFill="1" applyAlignment="1" applyProtection="1">
      <alignment horizontal="left"/>
      <protection locked="0"/>
    </xf>
    <xf numFmtId="0" fontId="44" fillId="0" borderId="0" xfId="0" applyFont="1" applyFill="1" applyAlignment="1" applyProtection="1">
      <alignment vertical="center"/>
      <protection locked="0"/>
    </xf>
    <xf numFmtId="0" fontId="44" fillId="0" borderId="0" xfId="0" applyFont="1" applyFill="1" applyAlignment="1" applyProtection="1">
      <alignment horizontal="right"/>
      <protection locked="0"/>
    </xf>
    <xf numFmtId="0" fontId="155" fillId="0" borderId="0" xfId="0" applyFont="1" applyFill="1" applyProtection="1">
      <protection locked="0"/>
    </xf>
    <xf numFmtId="0" fontId="135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47" fillId="0" borderId="0" xfId="0" applyFont="1" applyFill="1" applyAlignment="1" applyProtection="1">
      <alignment horizontal="center"/>
      <protection locked="0"/>
    </xf>
    <xf numFmtId="0" fontId="129" fillId="0" borderId="3" xfId="0" applyFont="1" applyFill="1" applyBorder="1"/>
    <xf numFmtId="177" fontId="129" fillId="0" borderId="3" xfId="0" applyNumberFormat="1" applyFont="1" applyFill="1" applyBorder="1" applyAlignment="1">
      <alignment horizontal="right"/>
    </xf>
    <xf numFmtId="3" fontId="129" fillId="0" borderId="3" xfId="0" applyNumberFormat="1" applyFont="1" applyFill="1" applyBorder="1" applyAlignment="1">
      <alignment horizontal="right"/>
    </xf>
    <xf numFmtId="3" fontId="129" fillId="0" borderId="3" xfId="0" applyNumberFormat="1" applyFont="1" applyFill="1" applyBorder="1" applyAlignment="1">
      <alignment horizontal="right" vertical="center"/>
    </xf>
    <xf numFmtId="0" fontId="129" fillId="0" borderId="3" xfId="0" applyFont="1" applyFill="1" applyBorder="1" applyAlignment="1">
      <alignment horizontal="right"/>
    </xf>
    <xf numFmtId="0" fontId="129" fillId="0" borderId="3" xfId="0" applyFont="1" applyFill="1" applyBorder="1" applyAlignment="1">
      <alignment horizontal="center"/>
    </xf>
    <xf numFmtId="0" fontId="129" fillId="0" borderId="3" xfId="0" applyFont="1" applyFill="1" applyBorder="1" applyAlignment="1">
      <alignment horizontal="left"/>
    </xf>
    <xf numFmtId="0" fontId="129" fillId="0" borderId="3" xfId="0" applyFont="1" applyFill="1" applyBorder="1" applyAlignment="1">
      <alignment horizontal="center" wrapText="1"/>
    </xf>
    <xf numFmtId="177" fontId="129" fillId="0" borderId="3" xfId="0" applyNumberFormat="1" applyFont="1" applyFill="1" applyBorder="1" applyAlignment="1">
      <alignment horizontal="center" wrapText="1"/>
    </xf>
    <xf numFmtId="3" fontId="129" fillId="0" borderId="3" xfId="0" applyNumberFormat="1" applyFont="1" applyFill="1" applyBorder="1" applyAlignment="1">
      <alignment horizontal="center" wrapText="1"/>
    </xf>
    <xf numFmtId="3" fontId="129" fillId="0" borderId="3" xfId="0" applyNumberFormat="1" applyFont="1" applyFill="1" applyBorder="1" applyAlignment="1">
      <alignment horizontal="center" vertical="center" wrapText="1"/>
    </xf>
    <xf numFmtId="0" fontId="129" fillId="0" borderId="3" xfId="0" applyFont="1" applyFill="1" applyBorder="1" applyProtection="1">
      <protection hidden="1"/>
    </xf>
    <xf numFmtId="177" fontId="129" fillId="0" borderId="3" xfId="0" applyNumberFormat="1" applyFont="1" applyFill="1" applyBorder="1" applyAlignment="1" applyProtection="1">
      <alignment horizontal="right"/>
      <protection hidden="1"/>
    </xf>
    <xf numFmtId="3" fontId="129" fillId="0" borderId="3" xfId="0" applyNumberFormat="1" applyFont="1" applyFill="1" applyBorder="1" applyAlignment="1" applyProtection="1">
      <alignment horizontal="right"/>
      <protection hidden="1"/>
    </xf>
    <xf numFmtId="3" fontId="129" fillId="0" borderId="3" xfId="0" applyNumberFormat="1" applyFont="1" applyFill="1" applyBorder="1" applyAlignment="1" applyProtection="1">
      <alignment horizontal="right" vertical="center"/>
      <protection hidden="1"/>
    </xf>
    <xf numFmtId="179" fontId="129" fillId="0" borderId="3" xfId="0" applyNumberFormat="1" applyFont="1" applyFill="1" applyBorder="1" applyAlignment="1" applyProtection="1">
      <alignment horizontal="right"/>
      <protection hidden="1"/>
    </xf>
    <xf numFmtId="0" fontId="129" fillId="0" borderId="3" xfId="0" applyFont="1" applyFill="1" applyBorder="1" applyAlignment="1" applyProtection="1">
      <alignment horizontal="center"/>
      <protection hidden="1"/>
    </xf>
    <xf numFmtId="0" fontId="129" fillId="0" borderId="3" xfId="0" applyFont="1" applyFill="1" applyBorder="1" applyAlignment="1" applyProtection="1">
      <alignment horizontal="right"/>
      <protection hidden="1"/>
    </xf>
    <xf numFmtId="2" fontId="129" fillId="0" borderId="3" xfId="0" applyNumberFormat="1" applyFont="1" applyFill="1" applyBorder="1" applyAlignment="1" applyProtection="1">
      <alignment horizontal="right"/>
      <protection hidden="1"/>
    </xf>
    <xf numFmtId="0" fontId="129" fillId="0" borderId="3" xfId="0" applyFont="1" applyFill="1" applyBorder="1" applyAlignment="1" applyProtection="1">
      <alignment horizontal="left"/>
      <protection hidden="1"/>
    </xf>
    <xf numFmtId="0" fontId="129" fillId="0" borderId="3" xfId="0" applyFont="1" applyFill="1" applyBorder="1" applyAlignment="1" applyProtection="1">
      <alignment horizontal="center" wrapText="1"/>
      <protection hidden="1"/>
    </xf>
    <xf numFmtId="177" fontId="129" fillId="0" borderId="3" xfId="0" applyNumberFormat="1" applyFont="1" applyFill="1" applyBorder="1" applyAlignment="1" applyProtection="1">
      <alignment horizontal="center" wrapText="1"/>
      <protection hidden="1"/>
    </xf>
    <xf numFmtId="3" fontId="129" fillId="0" borderId="3" xfId="0" applyNumberFormat="1" applyFont="1" applyFill="1" applyBorder="1" applyAlignment="1" applyProtection="1">
      <alignment horizontal="center" wrapText="1"/>
      <protection hidden="1"/>
    </xf>
    <xf numFmtId="3" fontId="129" fillId="0" borderId="3" xfId="0" applyNumberFormat="1" applyFont="1" applyFill="1" applyBorder="1" applyAlignment="1" applyProtection="1">
      <alignment horizontal="center" vertical="center" wrapText="1"/>
      <protection hidden="1"/>
    </xf>
    <xf numFmtId="179" fontId="129" fillId="0" borderId="3" xfId="0" applyNumberFormat="1" applyFont="1" applyFill="1" applyBorder="1" applyAlignment="1" applyProtection="1">
      <alignment horizontal="center" wrapText="1"/>
      <protection hidden="1"/>
    </xf>
    <xf numFmtId="2" fontId="129" fillId="0" borderId="3" xfId="0" applyNumberFormat="1" applyFont="1" applyFill="1" applyBorder="1" applyAlignment="1" applyProtection="1">
      <alignment horizontal="center" wrapText="1"/>
      <protection hidden="1"/>
    </xf>
    <xf numFmtId="0" fontId="129" fillId="0" borderId="0" xfId="0" applyFont="1" applyFill="1"/>
    <xf numFmtId="177" fontId="129" fillId="0" borderId="0" xfId="0" applyNumberFormat="1" applyFont="1" applyFill="1" applyAlignment="1">
      <alignment horizontal="right"/>
    </xf>
    <xf numFmtId="0" fontId="129" fillId="0" borderId="0" xfId="0" applyFont="1" applyFill="1" applyAlignment="1">
      <alignment horizontal="left"/>
    </xf>
    <xf numFmtId="3" fontId="129" fillId="0" borderId="0" xfId="0" applyNumberFormat="1" applyFont="1" applyFill="1" applyAlignment="1">
      <alignment horizontal="right"/>
    </xf>
    <xf numFmtId="3" fontId="129" fillId="0" borderId="0" xfId="0" applyNumberFormat="1" applyFont="1" applyFill="1" applyAlignment="1">
      <alignment horizontal="right" vertical="center"/>
    </xf>
    <xf numFmtId="0" fontId="129" fillId="0" borderId="0" xfId="0" applyFont="1" applyFill="1" applyAlignment="1">
      <alignment horizontal="right"/>
    </xf>
    <xf numFmtId="0" fontId="129" fillId="0" borderId="0" xfId="0" applyFont="1" applyFill="1" applyAlignment="1">
      <alignment horizontal="center"/>
    </xf>
    <xf numFmtId="0" fontId="129" fillId="0" borderId="0" xfId="0" applyFont="1" applyFill="1" applyAlignment="1">
      <alignment horizontal="center" wrapText="1"/>
    </xf>
    <xf numFmtId="177" fontId="129" fillId="0" borderId="0" xfId="0" applyNumberFormat="1" applyFont="1" applyFill="1" applyAlignment="1">
      <alignment horizontal="right" wrapText="1"/>
    </xf>
    <xf numFmtId="0" fontId="129" fillId="0" borderId="0" xfId="0" applyFont="1" applyFill="1" applyAlignment="1">
      <alignment horizontal="left" wrapText="1"/>
    </xf>
    <xf numFmtId="3" fontId="129" fillId="0" borderId="0" xfId="0" applyNumberFormat="1" applyFont="1" applyFill="1" applyAlignment="1">
      <alignment horizontal="right" wrapText="1"/>
    </xf>
    <xf numFmtId="3" fontId="129" fillId="0" borderId="0" xfId="0" applyNumberFormat="1" applyFont="1" applyFill="1" applyAlignment="1">
      <alignment horizontal="right" vertical="center" wrapText="1"/>
    </xf>
    <xf numFmtId="0" fontId="129" fillId="0" borderId="0" xfId="0" applyFont="1" applyFill="1" applyAlignment="1">
      <alignment horizontal="right" wrapText="1"/>
    </xf>
    <xf numFmtId="0" fontId="129" fillId="0" borderId="0" xfId="0" applyFont="1" applyFill="1" applyAlignment="1" applyProtection="1">
      <alignment horizontal="left" wrapText="1"/>
      <protection hidden="1"/>
    </xf>
    <xf numFmtId="0" fontId="149" fillId="0" borderId="0" xfId="0" applyFont="1" applyFill="1"/>
    <xf numFmtId="0" fontId="149" fillId="0" borderId="0" xfId="0" applyFont="1" applyFill="1" applyAlignment="1">
      <alignment horizontal="right"/>
    </xf>
    <xf numFmtId="0" fontId="149" fillId="0" borderId="0" xfId="0" applyFont="1" applyFill="1" applyAlignment="1">
      <alignment horizontal="left"/>
    </xf>
    <xf numFmtId="0" fontId="135" fillId="0" borderId="0" xfId="0" applyFont="1" applyFill="1" applyAlignment="1">
      <alignment horizontal="right"/>
    </xf>
    <xf numFmtId="0" fontId="135" fillId="0" borderId="0" xfId="0" applyFont="1" applyFill="1" applyAlignment="1">
      <alignment horizontal="right" vertical="center"/>
    </xf>
    <xf numFmtId="0" fontId="44" fillId="0" borderId="0" xfId="0" applyFont="1" applyFill="1" applyAlignment="1">
      <alignment horizontal="left"/>
    </xf>
    <xf numFmtId="0" fontId="129" fillId="17" borderId="3" xfId="0" applyFont="1" applyFill="1" applyBorder="1" applyProtection="1">
      <protection hidden="1"/>
    </xf>
    <xf numFmtId="177" fontId="129" fillId="17" borderId="3" xfId="0" applyNumberFormat="1" applyFont="1" applyFill="1" applyBorder="1" applyAlignment="1" applyProtection="1">
      <alignment horizontal="right"/>
      <protection hidden="1"/>
    </xf>
    <xf numFmtId="0" fontId="148" fillId="17" borderId="3" xfId="0" applyFont="1" applyFill="1" applyBorder="1" applyAlignment="1" applyProtection="1">
      <alignment horizontal="left"/>
      <protection hidden="1"/>
    </xf>
    <xf numFmtId="3" fontId="129" fillId="17" borderId="3" xfId="0" applyNumberFormat="1" applyFont="1" applyFill="1" applyBorder="1" applyAlignment="1" applyProtection="1">
      <alignment horizontal="right"/>
      <protection hidden="1"/>
    </xf>
    <xf numFmtId="3" fontId="129" fillId="17" borderId="3" xfId="0" applyNumberFormat="1" applyFont="1" applyFill="1" applyBorder="1" applyAlignment="1" applyProtection="1">
      <alignment horizontal="right" vertical="center"/>
      <protection hidden="1"/>
    </xf>
    <xf numFmtId="179" fontId="129" fillId="17" borderId="3" xfId="0" applyNumberFormat="1" applyFont="1" applyFill="1" applyBorder="1" applyAlignment="1" applyProtection="1">
      <alignment horizontal="right"/>
      <protection hidden="1"/>
    </xf>
    <xf numFmtId="0" fontId="129" fillId="17" borderId="3" xfId="0" applyFont="1" applyFill="1" applyBorder="1" applyAlignment="1" applyProtection="1">
      <alignment horizontal="right"/>
      <protection hidden="1"/>
    </xf>
    <xf numFmtId="2" fontId="129" fillId="17" borderId="3" xfId="0" applyNumberFormat="1" applyFont="1" applyFill="1" applyBorder="1" applyAlignment="1" applyProtection="1">
      <alignment horizontal="right"/>
      <protection hidden="1"/>
    </xf>
    <xf numFmtId="0" fontId="129" fillId="17" borderId="3" xfId="0" applyFont="1" applyFill="1" applyBorder="1" applyAlignment="1" applyProtection="1">
      <alignment horizontal="left"/>
      <protection hidden="1"/>
    </xf>
    <xf numFmtId="0" fontId="63" fillId="52" borderId="3" xfId="0" applyFont="1" applyFill="1" applyBorder="1" applyAlignment="1">
      <alignment horizontal="center" wrapText="1"/>
    </xf>
    <xf numFmtId="0" fontId="129" fillId="0" borderId="0" xfId="0" applyFont="1" applyFill="1" applyBorder="1" applyAlignment="1" applyProtection="1">
      <alignment horizontal="center"/>
      <protection hidden="1"/>
    </xf>
    <xf numFmtId="0" fontId="63" fillId="51" borderId="3" xfId="0" applyFont="1" applyFill="1" applyBorder="1" applyAlignment="1" applyProtection="1">
      <alignment horizontal="center"/>
      <protection locked="0"/>
    </xf>
    <xf numFmtId="0" fontId="166" fillId="0" borderId="3" xfId="0" applyFont="1" applyFill="1" applyBorder="1" applyAlignment="1" applyProtection="1">
      <alignment horizontal="center"/>
      <protection locked="0"/>
    </xf>
    <xf numFmtId="0" fontId="166" fillId="32" borderId="3" xfId="0" applyFont="1" applyFill="1" applyBorder="1" applyAlignment="1" applyProtection="1">
      <alignment horizontal="center"/>
      <protection locked="0"/>
    </xf>
    <xf numFmtId="0" fontId="132" fillId="0" borderId="3" xfId="0" applyFont="1" applyFill="1" applyBorder="1" applyAlignment="1" applyProtection="1">
      <alignment horizontal="left" vertical="center"/>
      <protection locked="0"/>
    </xf>
    <xf numFmtId="177" fontId="132" fillId="0" borderId="3" xfId="0" applyNumberFormat="1" applyFont="1" applyFill="1" applyBorder="1" applyAlignment="1" applyProtection="1">
      <alignment horizontal="center" vertical="center"/>
      <protection locked="0"/>
    </xf>
    <xf numFmtId="0" fontId="133" fillId="0" borderId="3" xfId="0" applyFont="1" applyFill="1" applyBorder="1" applyAlignment="1" applyProtection="1">
      <alignment horizontal="left" vertical="center"/>
      <protection locked="0"/>
    </xf>
    <xf numFmtId="3" fontId="132" fillId="0" borderId="3" xfId="0" applyNumberFormat="1" applyFont="1" applyFill="1" applyBorder="1" applyAlignment="1" applyProtection="1">
      <alignment horizontal="right" vertical="center"/>
      <protection locked="0"/>
    </xf>
    <xf numFmtId="0" fontId="132" fillId="0" borderId="3" xfId="0" applyFont="1" applyFill="1" applyBorder="1" applyAlignment="1" applyProtection="1">
      <alignment horizontal="center" vertical="center"/>
      <protection locked="0"/>
    </xf>
    <xf numFmtId="0" fontId="132" fillId="32" borderId="3" xfId="0" applyFont="1" applyFill="1" applyBorder="1" applyAlignment="1" applyProtection="1">
      <alignment horizontal="left" vertical="center"/>
      <protection locked="0"/>
    </xf>
    <xf numFmtId="177" fontId="132" fillId="32" borderId="3" xfId="0" applyNumberFormat="1" applyFont="1" applyFill="1" applyBorder="1" applyAlignment="1" applyProtection="1">
      <alignment horizontal="center" vertical="center"/>
      <protection locked="0"/>
    </xf>
    <xf numFmtId="0" fontId="133" fillId="32" borderId="3" xfId="0" applyFont="1" applyFill="1" applyBorder="1" applyAlignment="1" applyProtection="1">
      <alignment horizontal="left" vertical="center"/>
      <protection locked="0"/>
    </xf>
    <xf numFmtId="3" fontId="132" fillId="32" borderId="3" xfId="0" applyNumberFormat="1" applyFont="1" applyFill="1" applyBorder="1" applyAlignment="1" applyProtection="1">
      <alignment horizontal="right" vertical="center"/>
      <protection locked="0"/>
    </xf>
    <xf numFmtId="0" fontId="132" fillId="32" borderId="3" xfId="0" applyFont="1" applyFill="1" applyBorder="1" applyAlignment="1" applyProtection="1">
      <alignment horizontal="center" vertical="center"/>
      <protection locked="0"/>
    </xf>
  </cellXfs>
  <cellStyles count="4">
    <cellStyle name="ハイパーリンク" xfId="1" builtinId="8"/>
    <cellStyle name="桁区切り" xfId="3" builtinId="6"/>
    <cellStyle name="標準" xfId="0" builtinId="0"/>
    <cellStyle name="標準 2" xfId="2" xr:uid="{37802D3C-E2B1-4549-9780-2CA4574AB3FE}"/>
  </cellStyles>
  <dxfs count="42">
    <dxf>
      <font>
        <color rgb="FF646464"/>
      </font>
      <fill>
        <patternFill>
          <bgColor rgb="FFDCDCDC"/>
        </patternFill>
      </fill>
    </dxf>
    <dxf>
      <font>
        <color rgb="FF9C5700"/>
      </font>
      <fill>
        <patternFill>
          <bgColor rgb="FFFFF3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276221"/>
      </font>
      <fill>
        <patternFill patternType="solid">
          <fgColor indexed="64"/>
          <bgColor rgb="FFC6EFCE"/>
        </patternFill>
      </fill>
    </dxf>
    <dxf>
      <font>
        <b/>
        <i val="0"/>
      </font>
      <fill>
        <patternFill>
          <bgColor rgb="FFFFF3CC"/>
        </patternFill>
      </fill>
    </dxf>
    <dxf>
      <font>
        <b/>
        <i val="0"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</font>
      <fill>
        <patternFill>
          <bgColor rgb="FFFFF3CC"/>
        </patternFill>
      </fill>
    </dxf>
    <dxf>
      <font>
        <b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</font>
      <fill>
        <patternFill>
          <bgColor rgb="FF92D050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color rgb="FFFF0000"/>
      </font>
    </dxf>
    <dxf>
      <font>
        <b/>
        <color rgb="FF00B050"/>
      </font>
    </dxf>
    <dxf>
      <font>
        <color rgb="FFFF0000"/>
      </font>
    </dxf>
    <dxf>
      <font>
        <b/>
        <color rgb="FF00B050"/>
      </font>
    </dxf>
    <dxf>
      <font>
        <b/>
      </font>
      <fill>
        <patternFill>
          <bgColor rgb="FFFFF3CC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b/>
        <i val="0"/>
        <color rgb="FF008000"/>
      </font>
    </dxf>
    <dxf>
      <font>
        <b/>
        <i val="0"/>
        <color rgb="FFC00000"/>
      </font>
    </dxf>
    <dxf>
      <font>
        <b/>
        <i val="0"/>
        <color rgb="FF008000"/>
      </font>
    </dxf>
    <dxf>
      <font>
        <color rgb="FF808080"/>
      </font>
      <fill>
        <patternFill>
          <bgColor rgb="FFD9D9D9"/>
        </patternFill>
      </fill>
    </dxf>
    <dxf>
      <font>
        <color rgb="FF595959"/>
      </font>
      <fill>
        <patternFill>
          <bgColor rgb="FFF0F0F0"/>
        </patternFill>
      </fill>
    </dxf>
    <dxf>
      <font>
        <color rgb="FF9C6500"/>
      </font>
      <fill>
        <patternFill>
          <bgColor rgb="FFFFFFCC"/>
        </patternFill>
      </fill>
    </dxf>
    <dxf>
      <font>
        <color rgb="FF9C5700"/>
      </font>
      <fill>
        <patternFill>
          <bgColor rgb="FFFFD9B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bgColor rgb="FFFFD700"/>
        </patternFill>
      </fill>
    </dxf>
    <dxf>
      <font>
        <b/>
        <i val="0"/>
        <color rgb="FF000000"/>
      </font>
      <fill>
        <patternFill>
          <bgColor rgb="FFFFD700"/>
        </patternFill>
      </fill>
    </dxf>
    <dxf>
      <font>
        <color rgb="FF808080"/>
      </font>
    </dxf>
    <dxf>
      <font>
        <b/>
        <i val="0"/>
        <color rgb="FFC80000"/>
      </font>
    </dxf>
    <dxf>
      <font>
        <b/>
        <i val="0"/>
        <color rgb="FF008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a92272bbb794b2789e42afd4cc513d6">
      <tp t="s">
        <v/>
        <stp/>
        <stp>ChartPast</stp>
        <stp>1722432820032,3,3,8,8</stp>
        <stp>DJIA</stp>
        <stp>D</stp>
        <stp>20260310</stp>
        <stp>100</stp>
        <tr r="I4" s="27"/>
      </tp>
    </main>
    <main first="rtdsrv.8a92272bbb794b2789e42afd4cc513d6">
      <tp>
        <v>3275</v>
        <stp/>
        <stp>Market</stp>
        <stp>STOCK</stp>
        <stp>69280.T</stp>
        <stp>始値</stp>
        <tr r="C246" s="5"/>
      </tp>
      <tp>
        <v>3265</v>
        <stp/>
        <stp>Market</stp>
        <stp>STOCK</stp>
        <stp>69180.T</stp>
        <stp>始値</stp>
        <tr r="C279" s="5"/>
      </tp>
      <tp>
        <v>856</v>
        <stp/>
        <stp>Market</stp>
        <stp>STOCK</stp>
        <stp>68480.T</stp>
        <stp>始値</stp>
        <tr r="C274" s="5"/>
      </tp>
      <tp>
        <v>2230</v>
        <stp/>
        <stp>Market</stp>
        <stp>STOCK</stp>
        <stp>68380.T</stp>
        <stp>始値</stp>
        <tr r="C148" s="5"/>
        <tr r="F6" s="4"/>
        <tr r="F6" s="24"/>
      </tp>
      <tp>
        <v>2272</v>
        <stp/>
        <stp>Market</stp>
        <stp>STOCK</stp>
        <stp>61780.T</stp>
        <stp>始値</stp>
        <tr r="C104" s="5"/>
        <tr r="F59" s="4"/>
        <tr r="F59" s="24"/>
      </tp>
      <tp>
        <v>10640</v>
        <stp/>
        <stp>Market</stp>
        <stp>STOCK</stp>
        <stp>60980.T</stp>
        <stp>始値</stp>
        <tr r="C248" s="5"/>
      </tp>
      <tp>
        <v>920</v>
        <stp/>
        <stp>Market</stp>
        <stp>STOCK</stp>
        <stp>64880.T</stp>
        <stp>始値</stp>
        <tr r="C280" s="5"/>
      </tp>
      <tp>
        <v>3297</v>
        <stp/>
        <stp>Market</stp>
        <stp>STOCK</stp>
        <stp>67580.T</stp>
        <stp>始値</stp>
        <tr r="F86" s="4"/>
        <tr r="C205" s="5"/>
        <tr r="F86" s="24"/>
      </tp>
    </main>
    <main first="rtdsrv.8a92272bbb794b2789e42afd4cc513d6">
      <tp>
        <v>124</v>
        <stp/>
        <stp>Market</stp>
        <stp>STOCK</stp>
        <stp>70480.T</stp>
        <stp>始値</stp>
        <tr r="C296" s="5"/>
      </tp>
    </main>
    <main first="rtdsrv.8a92272bbb794b2789e42afd4cc513d6">
      <tp>
        <v>333</v>
        <stp/>
        <stp>Market</stp>
        <stp>STOCK</stp>
        <stp>48880.T</stp>
        <stp>始値</stp>
        <tr r="C146" s="5"/>
        <tr r="F131" s="4"/>
        <tr r="F131" s="24"/>
      </tp>
      <tp>
        <v>1098</v>
        <stp/>
        <stp>Market</stp>
        <stp>STOCK</stp>
        <stp>41880.T</stp>
        <stp>始値</stp>
        <tr r="C98" s="5"/>
        <tr r="F145" s="4"/>
        <tr r="F145" s="24"/>
      </tp>
      <tp>
        <v>2500</v>
        <stp/>
        <stp>Market</stp>
        <stp>STOCK</stp>
        <stp>40880.T</stp>
        <stp>始値</stp>
        <tr r="F132" s="4"/>
        <tr r="C156" s="5"/>
        <tr r="F132" s="24"/>
      </tp>
      <tp>
        <v>1322</v>
        <stp/>
        <stp>Market</stp>
        <stp>STOCK</stp>
        <stp>40080.T</stp>
        <stp>始値</stp>
        <tr r="F127" s="4"/>
        <tr r="C95" s="5"/>
        <tr r="F127" s="24"/>
      </tp>
      <tp>
        <v>1835</v>
        <stp/>
        <stp>Market</stp>
        <stp>STOCK</stp>
        <stp>42180.T</stp>
        <stp>始値</stp>
        <tr r="C282" s="5"/>
      </tp>
      <tp>
        <v>3197</v>
        <stp/>
        <stp>Market</stp>
        <stp>STOCK</stp>
        <stp>42080.T</stp>
        <stp>始値</stp>
        <tr r="C298" s="5"/>
      </tp>
      <tp>
        <v>2550</v>
        <stp/>
        <stp>Market</stp>
        <stp>STOCK</stp>
        <stp>45680.T</stp>
        <stp>始値</stp>
        <tr r="F110" s="4"/>
        <tr r="C142" s="5"/>
        <tr r="F110" s="24"/>
      </tp>
      <tp>
        <v>2259</v>
        <stp/>
        <stp>Market</stp>
        <stp>STOCK</stp>
        <stp>45280.T</stp>
        <stp>始値</stp>
        <tr r="F17" s="4"/>
        <tr r="C100" s="5"/>
        <tr r="F17" s="24"/>
      </tp>
    </main>
    <main first="rtdsrv.8a92272bbb794b2789e42afd4cc513d6">
      <tp>
        <v>1728</v>
        <stp/>
        <stp>Market</stp>
        <stp>STOCK</stp>
        <stp>59380.T</stp>
        <stp>始値</stp>
        <tr r="F93" s="4"/>
        <tr r="C36" s="5"/>
        <tr r="F93" s="24"/>
      </tp>
      <tp>
        <v>5250</v>
        <stp/>
        <stp>Market</stp>
        <stp>STOCK</stp>
        <stp>58380.T</stp>
        <stp>始値</stp>
        <tr r="C117" s="5"/>
        <tr r="F147" s="4"/>
        <tr r="F147" s="24"/>
      </tp>
    </main>
    <main first="rtdsrv.8a92272bbb794b2789e42afd4cc513d6">
      <tp>
        <v>5366</v>
        <stp/>
        <stp>Market</stp>
        <stp>STOCK</stp>
        <stp>27680.T</stp>
        <stp>始値</stp>
        <tr r="C202" s="5"/>
        <tr r="F206" s="4"/>
        <tr r="F206" s="24"/>
      </tp>
    </main>
    <main first="rtdsrv.8a92272bbb794b2789e42afd4cc513d6">
      <tp>
        <v>2804</v>
        <stp/>
        <stp>Market</stp>
        <stp>STOCK</stp>
        <stp>19380.T</stp>
        <stp>始値</stp>
        <tr r="C176" s="5"/>
        <tr r="F117" s="4"/>
        <tr r="F117" s="24"/>
      </tp>
      <tp>
        <v>2730</v>
        <stp/>
        <stp>Market</stp>
        <stp>STOCK</stp>
        <stp>18080.T</stp>
        <stp>始値</stp>
        <tr r="C297" s="5"/>
      </tp>
      <tp>
        <v>32080</v>
        <stp/>
        <stp>Market</stp>
        <stp>STOCK</stp>
        <stp>16180.T</stp>
        <stp>始値</stp>
        <tr r="C227" s="5"/>
      </tp>
    </main>
    <main first="rtdsrv.8a92272bbb794b2789e42afd4cc513d6">
      <tp>
        <v>4628</v>
        <stp/>
        <stp>Market</stp>
        <stp>STOCK</stp>
        <stp>80580.T</stp>
        <stp>始値</stp>
        <tr r="F89" s="4"/>
        <tr r="C16" s="5"/>
        <tr r="F89" s="24"/>
      </tp>
      <tp>
        <v>2222.5</v>
        <stp/>
        <stp>Market</stp>
        <stp>STOCK</stp>
        <stp>83080.T</stp>
        <stp>始値</stp>
        <tr r="C35" s="5"/>
        <tr r="F92" s="4"/>
        <tr r="F92" s="24"/>
      </tp>
    </main>
    <main first="rtdsrv.8a92272bbb794b2789e42afd4cc513d6">
      <tp>
        <v>471</v>
        <stp/>
        <stp>Market</stp>
        <stp>STOCK</stp>
        <stp>93480.T</stp>
        <stp>始値</stp>
        <tr r="C112" s="5"/>
        <tr r="F8" s="4"/>
        <tr r="F8" s="24"/>
      </tp>
    </main>
    <main first="rtdsrv.8a92272bbb794b2789e42afd4cc513d6">
      <tp>
        <v>1565</v>
        <stp/>
        <stp>Market</stp>
        <stp>STOCK</stp>
        <stp>68090.T</stp>
        <stp>始値</stp>
        <tr r="C238" s="5"/>
      </tp>
      <tp>
        <v>4618</v>
        <stp/>
        <stp>Market</stp>
        <stp>STOCK</stp>
        <stp>64790.T</stp>
        <stp>始値</stp>
        <tr r="C79" s="5"/>
        <tr r="F24" s="4"/>
        <tr r="F24" s="24"/>
      </tp>
    </main>
    <main first="rtdsrv.8a92272bbb794b2789e42afd4cc513d6">
      <tp>
        <v>18490</v>
        <stp/>
        <stp>Market</stp>
        <stp>STOCK</stp>
        <stp>77290.T</stp>
        <stp>始値</stp>
        <tr r="F18" s="4"/>
        <tr r="C107" s="5"/>
        <tr r="F18" s="24"/>
      </tp>
      <tp>
        <v>3525</v>
        <stp/>
        <stp>Market</stp>
        <stp>STOCK</stp>
        <stp>76090.T</stp>
        <stp>始値</stp>
        <tr r="C240" s="5"/>
      </tp>
    </main>
    <main first="rtdsrv.8a92272bbb794b2789e42afd4cc513d6">
      <tp>
        <v>7532</v>
        <stp/>
        <stp>Market</stp>
        <stp>STOCK</stp>
        <stp>45190.T</stp>
        <stp>始値</stp>
        <tr r="F205" s="4"/>
        <tr r="C130" s="5"/>
        <tr r="F205" s="24"/>
      </tp>
      <tp>
        <v>1112</v>
        <stp/>
        <stp>Market</stp>
        <stp>STOCK</stp>
        <stp>47090.T</stp>
        <stp>始値</stp>
        <tr r="C170" s="5"/>
        <tr r="F115" s="4"/>
        <tr r="F115" s="24"/>
      </tp>
    </main>
    <main first="rtdsrv.8a92272bbb794b2789e42afd4cc513d6">
      <tp>
        <v>3750</v>
        <stp/>
        <stp>Market</stp>
        <stp>STOCK</stp>
        <stp>59290.T</stp>
        <stp>始値</stp>
        <tr r="C49" s="5"/>
        <tr r="F69" s="4"/>
        <tr r="F69" s="24"/>
      </tp>
      <tp>
        <v>1284.5</v>
        <stp/>
        <stp>Market</stp>
        <stp>STOCK</stp>
        <stp>50190.T</stp>
        <stp>始値</stp>
        <tr r="C24" s="5"/>
        <tr r="F140" s="4"/>
        <tr r="F140" s="24"/>
      </tp>
      <tp>
        <v>2380</v>
        <stp/>
        <stp>Market</stp>
        <stp>STOCK</stp>
        <stp>54490.T</stp>
        <stp>始値</stp>
        <tr r="F97" s="4"/>
        <tr r="C51" s="5"/>
        <tr r="F97" s="24"/>
      </tp>
    </main>
    <main first="rtdsrv.8a92272bbb794b2789e42afd4cc513d6">
      <tp>
        <v>2010</v>
        <stp/>
        <stp>Market</stp>
        <stp>STOCK</stp>
        <stp>23590.T</stp>
        <stp>始値</stp>
        <tr r="F135" s="4"/>
        <tr r="C168" s="5"/>
        <tr r="F135" s="24"/>
      </tp>
    </main>
    <main first="rtdsrv.8a92272bbb794b2789e42afd4cc513d6">
      <tp>
        <v>2372</v>
        <stp/>
        <stp>Market</stp>
        <stp>STOCK</stp>
        <stp>83590.T</stp>
        <stp>始値</stp>
        <tr r="F26" s="4"/>
        <tr r="C123" s="5"/>
        <tr r="F26" s="24"/>
      </tp>
      <tp>
        <v>6039</v>
        <stp/>
        <stp>Market</stp>
        <stp>STOCK</stp>
        <stp>83090.T</stp>
        <stp>始値</stp>
        <tr r="C31" s="5"/>
        <tr r="F68" s="4"/>
        <tr r="F68" s="24"/>
      </tp>
    </main>
    <main first="rtdsrv.8a92272bbb794b2789e42afd4cc513d6">
      <tp>
        <v>1940</v>
        <stp/>
        <stp>Market</stp>
        <stp>STOCK</stp>
        <stp>90690.T</stp>
        <stp>始値</stp>
        <tr r="F60" s="4"/>
        <tr r="C110" s="5"/>
        <tr r="F60" s="24"/>
      </tp>
      <tp>
        <v>875</v>
        <stp/>
        <stp>Market</stp>
        <stp>STOCK</stp>
        <stp>95190.T</stp>
        <stp>始値</stp>
        <tr r="C214" s="5"/>
      </tp>
      <tp>
        <v>3100</v>
        <stp/>
        <stp>Market</stp>
        <stp>STOCK</stp>
        <stp>94490.T</stp>
        <stp>始値</stp>
        <tr r="F77" s="4"/>
        <tr r="C113" s="5"/>
        <tr r="F77" s="24"/>
      </tp>
    </main>
    <main first="rtdsrv.8a92272bbb794b2789e42afd4cc513d6">
      <tp>
        <v>333</v>
        <stp/>
        <stp>Market</stp>
        <stp>STOCK</stp>
        <stp>48880.T</stp>
        <stp>安値</stp>
        <tr r="I131" s="4"/>
        <tr r="C146" s="7"/>
        <tr r="I131" s="24"/>
      </tp>
      <tp>
        <v>1093</v>
        <stp/>
        <stp>Market</stp>
        <stp>STOCK</stp>
        <stp>41880.T</stp>
        <stp>安値</stp>
        <tr r="I145" s="4"/>
        <tr r="C98" s="7"/>
        <tr r="I145" s="24"/>
      </tp>
      <tp>
        <v>2478</v>
        <stp/>
        <stp>Market</stp>
        <stp>STOCK</stp>
        <stp>40880.T</stp>
        <stp>安値</stp>
        <tr r="C156" s="7"/>
        <tr r="I132" s="4"/>
        <tr r="I132" s="24"/>
      </tp>
      <tp>
        <v>1317</v>
        <stp/>
        <stp>Market</stp>
        <stp>STOCK</stp>
        <stp>40080.T</stp>
        <stp>安値</stp>
        <tr r="C95" s="7"/>
        <tr r="I127" s="4"/>
        <tr r="I127" s="24"/>
      </tp>
      <tp>
        <v>1834</v>
        <stp/>
        <stp>Market</stp>
        <stp>STOCK</stp>
        <stp>42180.T</stp>
        <stp>安値</stp>
        <tr r="C282" s="7"/>
      </tp>
      <tp>
        <v>3148</v>
        <stp/>
        <stp>Market</stp>
        <stp>STOCK</stp>
        <stp>42080.T</stp>
        <stp>安値</stp>
        <tr r="C298" s="7"/>
      </tp>
      <tp>
        <v>2545</v>
        <stp/>
        <stp>Market</stp>
        <stp>STOCK</stp>
        <stp>45680.T</stp>
        <stp>安値</stp>
        <tr r="I110" s="4"/>
        <tr r="C142" s="7"/>
        <tr r="I110" s="24"/>
      </tp>
      <tp>
        <v>2240</v>
        <stp/>
        <stp>Market</stp>
        <stp>STOCK</stp>
        <stp>45280.T</stp>
        <stp>安値</stp>
        <tr r="I17" s="4"/>
        <tr r="C100" s="7"/>
        <tr r="I17" s="24"/>
      </tp>
    </main>
    <main first="rtdsrv.8a92272bbb794b2789e42afd4cc513d6">
      <tp>
        <v>1717</v>
        <stp/>
        <stp>Market</stp>
        <stp>STOCK</stp>
        <stp>59380.T</stp>
        <stp>安値</stp>
        <tr r="I93" s="4"/>
        <tr r="C36" s="7"/>
        <tr r="I93" s="24"/>
      </tp>
      <tp>
        <v>5158</v>
        <stp/>
        <stp>Market</stp>
        <stp>STOCK</stp>
        <stp>58380.T</stp>
        <stp>安値</stp>
        <tr r="I147" s="4"/>
        <tr r="C117" s="7"/>
        <tr r="I147" s="24"/>
      </tp>
    </main>
    <main first="rtdsrv.8a92272bbb794b2789e42afd4cc513d6">
      <tp>
        <v>3275</v>
        <stp/>
        <stp>Market</stp>
        <stp>STOCK</stp>
        <stp>69280.T</stp>
        <stp>安値</stp>
        <tr r="C246" s="7"/>
      </tp>
      <tp>
        <v>3190</v>
        <stp/>
        <stp>Market</stp>
        <stp>STOCK</stp>
        <stp>69180.T</stp>
        <stp>安値</stp>
        <tr r="C279" s="7"/>
      </tp>
      <tp>
        <v>855</v>
        <stp/>
        <stp>Market</stp>
        <stp>STOCK</stp>
        <stp>68480.T</stp>
        <stp>安値</stp>
        <tr r="C274" s="7"/>
      </tp>
      <tp>
        <v>2122</v>
        <stp/>
        <stp>Market</stp>
        <stp>STOCK</stp>
        <stp>68380.T</stp>
        <stp>安値</stp>
        <tr r="I6" s="4"/>
        <tr r="C148" s="7"/>
        <tr r="I6" s="24"/>
      </tp>
      <tp>
        <v>2196.5</v>
        <stp/>
        <stp>Market</stp>
        <stp>STOCK</stp>
        <stp>61780.T</stp>
        <stp>安値</stp>
        <tr r="C104" s="7"/>
        <tr r="I59" s="4"/>
        <tr r="I59" s="24"/>
      </tp>
      <tp>
        <v>10505</v>
        <stp/>
        <stp>Market</stp>
        <stp>STOCK</stp>
        <stp>60980.T</stp>
        <stp>安値</stp>
        <tr r="C248" s="7"/>
      </tp>
      <tp>
        <v>920</v>
        <stp/>
        <stp>Market</stp>
        <stp>STOCK</stp>
        <stp>64880.T</stp>
        <stp>安値</stp>
        <tr r="C280" s="7"/>
      </tp>
      <tp>
        <v>3258</v>
        <stp/>
        <stp>Market</stp>
        <stp>STOCK</stp>
        <stp>67580.T</stp>
        <stp>安値</stp>
        <tr r="I86" s="4"/>
        <tr r="C205" s="7"/>
        <tr r="I86" s="24"/>
      </tp>
    </main>
    <main first="rtdsrv.8a92272bbb794b2789e42afd4cc513d6">
      <tp>
        <v>124</v>
        <stp/>
        <stp>Market</stp>
        <stp>STOCK</stp>
        <stp>70480.T</stp>
        <stp>安値</stp>
        <tr r="C296" s="7"/>
      </tp>
    </main>
    <main first="rtdsrv.8a92272bbb794b2789e42afd4cc513d6">
      <tp>
        <v>2767</v>
        <stp/>
        <stp>Market</stp>
        <stp>STOCK</stp>
        <stp>19380.T</stp>
        <stp>安値</stp>
        <tr r="C176" s="7"/>
        <tr r="I117" s="4"/>
        <tr r="I117" s="24"/>
      </tp>
      <tp>
        <v>2695.5</v>
        <stp/>
        <stp>Market</stp>
        <stp>STOCK</stp>
        <stp>18080.T</stp>
        <stp>安値</stp>
        <tr r="C297" s="7"/>
      </tp>
      <tp>
        <v>31780</v>
        <stp/>
        <stp>Market</stp>
        <stp>STOCK</stp>
        <stp>16180.T</stp>
        <stp>安値</stp>
        <tr r="C227" s="7"/>
      </tp>
    </main>
    <main first="rtdsrv.8a92272bbb794b2789e42afd4cc513d6">
      <tp>
        <v>5239</v>
        <stp/>
        <stp>Market</stp>
        <stp>STOCK</stp>
        <stp>27680.T</stp>
        <stp>安値</stp>
        <tr r="I206" s="4"/>
        <tr r="C202" s="7"/>
        <tr r="I206" s="24"/>
      </tp>
    </main>
    <main first="rtdsrv.8a92272bbb794b2789e42afd4cc513d6">
      <tp>
        <v>4595</v>
        <stp/>
        <stp>Market</stp>
        <stp>STOCK</stp>
        <stp>80580.T</stp>
        <stp>安値</stp>
        <tr r="C16" s="7"/>
        <tr r="I89" s="4"/>
        <tr r="I89" s="24"/>
      </tp>
      <tp>
        <v>2160.5</v>
        <stp/>
        <stp>Market</stp>
        <stp>STOCK</stp>
        <stp>83080.T</stp>
        <stp>安値</stp>
        <tr r="C35" s="7"/>
        <tr r="I92" s="4"/>
        <tr r="I92" s="24"/>
      </tp>
    </main>
    <main first="rtdsrv.8a92272bbb794b2789e42afd4cc513d6">
      <tp>
        <v>468</v>
        <stp/>
        <stp>Market</stp>
        <stp>STOCK</stp>
        <stp>93480.T</stp>
        <stp>安値</stp>
        <tr r="C112" s="7"/>
        <tr r="I8" s="4"/>
        <tr r="I8" s="24"/>
      </tp>
    </main>
    <main first="rtdsrv.8a92272bbb794b2789e42afd4cc513d6">
      <tp>
        <v>7532</v>
        <stp/>
        <stp>Market</stp>
        <stp>STOCK</stp>
        <stp>45190.T</stp>
        <stp>安値</stp>
        <tr r="I205" s="4"/>
        <tr r="C130" s="7"/>
        <tr r="I205" s="24"/>
      </tp>
      <tp>
        <v>1091</v>
        <stp/>
        <stp>Market</stp>
        <stp>STOCK</stp>
        <stp>47090.T</stp>
        <stp>安値</stp>
        <tr r="I115" s="4"/>
        <tr r="C170" s="7"/>
        <tr r="I115" s="24"/>
      </tp>
    </main>
    <main first="rtdsrv.8a92272bbb794b2789e42afd4cc513d6">
      <tp>
        <v>3698</v>
        <stp/>
        <stp>Market</stp>
        <stp>STOCK</stp>
        <stp>59290.T</stp>
        <stp>安値</stp>
        <tr r="C49" s="7"/>
        <tr r="I69" s="4"/>
        <tr r="I69" s="24"/>
      </tp>
      <tp>
        <v>1251</v>
        <stp/>
        <stp>Market</stp>
        <stp>STOCK</stp>
        <stp>50190.T</stp>
        <stp>安値</stp>
        <tr r="C24" s="7"/>
        <tr r="I140" s="4"/>
        <tr r="I140" s="24"/>
      </tp>
      <tp>
        <v>2238</v>
        <stp/>
        <stp>Market</stp>
        <stp>STOCK</stp>
        <stp>54490.T</stp>
        <stp>安値</stp>
        <tr r="C51" s="7"/>
        <tr r="I97" s="4"/>
        <tr r="I97" s="24"/>
      </tp>
    </main>
    <main first="rtdsrv.8a92272bbb794b2789e42afd4cc513d6">
      <tp>
        <v>1563</v>
        <stp/>
        <stp>Market</stp>
        <stp>STOCK</stp>
        <stp>68090.T</stp>
        <stp>安値</stp>
        <tr r="C238" s="7"/>
      </tp>
      <tp>
        <v>4553</v>
        <stp/>
        <stp>Market</stp>
        <stp>STOCK</stp>
        <stp>64790.T</stp>
        <stp>安値</stp>
        <tr r="I24" s="4"/>
        <tr r="C79" s="7"/>
        <tr r="I24" s="24"/>
      </tp>
    </main>
    <main first="rtdsrv.8a92272bbb794b2789e42afd4cc513d6">
      <tp>
        <v>18485</v>
        <stp/>
        <stp>Market</stp>
        <stp>STOCK</stp>
        <stp>77290.T</stp>
        <stp>安値</stp>
        <tr r="I18" s="4"/>
        <tr r="C107" s="7"/>
        <tr r="I18" s="24"/>
      </tp>
      <tp>
        <v>3525</v>
        <stp/>
        <stp>Market</stp>
        <stp>STOCK</stp>
        <stp>76090.T</stp>
        <stp>安値</stp>
        <tr r="C240" s="7"/>
      </tp>
    </main>
    <main first="rtdsrv.8a92272bbb794b2789e42afd4cc513d6">
      <tp>
        <v>2007</v>
        <stp/>
        <stp>Market</stp>
        <stp>STOCK</stp>
        <stp>23590.T</stp>
        <stp>安値</stp>
        <tr r="C168" s="7"/>
        <tr r="I135" s="4"/>
        <tr r="I135" s="24"/>
      </tp>
    </main>
    <main first="rtdsrv.8a92272bbb794b2789e42afd4cc513d6">
      <tp>
        <v>2287</v>
        <stp/>
        <stp>Market</stp>
        <stp>STOCK</stp>
        <stp>83590.T</stp>
        <stp>安値</stp>
        <tr r="C123" s="7"/>
        <tr r="I26" s="4"/>
        <tr r="I26" s="24"/>
      </tp>
      <tp>
        <v>6002</v>
        <stp/>
        <stp>Market</stp>
        <stp>STOCK</stp>
        <stp>83090.T</stp>
        <stp>安値</stp>
        <tr r="C31" s="7"/>
        <tr r="I68" s="4"/>
        <tr r="I68" s="24"/>
      </tp>
    </main>
    <main first="rtdsrv.8a92272bbb794b2789e42afd4cc513d6">
      <tp>
        <v>1898</v>
        <stp/>
        <stp>Market</stp>
        <stp>STOCK</stp>
        <stp>90690.T</stp>
        <stp>安値</stp>
        <tr r="C110" s="7"/>
        <tr r="I60" s="4"/>
        <tr r="I60" s="24"/>
      </tp>
      <tp>
        <v>857</v>
        <stp/>
        <stp>Market</stp>
        <stp>STOCK</stp>
        <stp>95190.T</stp>
        <stp>安値</stp>
        <tr r="C214" s="7"/>
      </tp>
      <tp>
        <v>3063</v>
        <stp/>
        <stp>Market</stp>
        <stp>STOCK</stp>
        <stp>94490.T</stp>
        <stp>安値</stp>
        <tr r="I77" s="4"/>
        <tr r="C113" s="7"/>
        <tr r="I77" s="24"/>
      </tp>
    </main>
    <main first="rtdsrv.8a92272bbb794b2789e42afd4cc513d6">
      <tp>
        <v>4592.3045000000002</v>
        <stp/>
        <stp>Market</stp>
        <stp>STOCK</stp>
        <stp>58440.T</stp>
        <stp>出来高加重平均</stp>
        <tr r="I4" s="19"/>
        <tr r="I5" s="19"/>
        <tr r="I6" s="19"/>
      </tp>
    </main>
    <main first="rtdsrv.8a92272bbb794b2789e42afd4cc513d6">
      <tp>
        <v>45870</v>
        <stp/>
        <stp>Market</stp>
        <stp>STOCK</stp>
        <stp>69200.T</stp>
        <stp>始値</stp>
        <tr r="F84" s="4"/>
        <tr r="C199" s="5"/>
        <tr r="F84" s="24"/>
      </tp>
      <tp>
        <v>9020</v>
        <stp/>
        <stp>Market</stp>
        <stp>STOCK</stp>
        <stp>68900.T</stp>
        <stp>始値</stp>
        <tr r="F33" s="4"/>
        <tr r="C195" s="5"/>
        <tr r="F33" s="24"/>
      </tp>
      <tp>
        <v>1284</v>
        <stp/>
        <stp>Market</stp>
        <stp>STOCK</stp>
        <stp>61400.T</stp>
        <stp>始値</stp>
        <tr r="C261" s="5"/>
      </tp>
      <tp>
        <v>9335</v>
        <stp/>
        <stp>Market</stp>
        <stp>STOCK</stp>
        <stp>63700.T</stp>
        <stp>始値</stp>
        <tr r="C255" s="5"/>
      </tp>
      <tp>
        <v>2091</v>
        <stp/>
        <stp>Market</stp>
        <stp>STOCK</stp>
        <stp>63300.T</stp>
        <stp>始値</stp>
        <tr r="C128" s="5"/>
        <tr r="F186" s="4"/>
        <tr r="F186" s="24"/>
      </tp>
      <tp>
        <v>45</v>
        <stp/>
        <stp>Market</stp>
        <stp>STOCK</stp>
        <stp>67400.T</stp>
        <stp>始値</stp>
        <tr r="C140" s="5"/>
        <tr r="F189" s="4"/>
        <tr r="F189" s="24"/>
      </tp>
    </main>
    <main first="rtdsrv.8a92272bbb794b2789e42afd4cc513d6">
      <tp>
        <v>2570</v>
        <stp/>
        <stp>Market</stp>
        <stp>STOCK</stp>
        <stp>72700.T</stp>
        <stp>始値</stp>
        <tr r="C286" s="5"/>
      </tp>
    </main>
    <main first="rtdsrv.8a92272bbb794b2789e42afd4cc513d6">
      <tp>
        <v>4428</v>
        <stp/>
        <stp>Market</stp>
        <stp>STOCK</stp>
        <stp>49800.T</stp>
        <stp>始値</stp>
        <tr r="C69" s="5"/>
        <tr r="F72" s="4"/>
        <tr r="F72" s="24"/>
      </tp>
      <tp>
        <v>3776</v>
        <stp/>
        <stp>Market</stp>
        <stp>STOCK</stp>
        <stp>45400.T</stp>
        <stp>始値</stp>
        <tr r="C64" s="5"/>
        <tr r="F124" s="4"/>
        <tr r="F124" s="24"/>
      </tp>
    </main>
    <main first="rtdsrv.8a92272bbb794b2789e42afd4cc513d6">
      <tp>
        <v>1240</v>
        <stp/>
        <stp>Market</stp>
        <stp>STOCK</stp>
        <stp>50200.T</stp>
        <stp>始値</stp>
        <tr r="F141" s="4"/>
        <tr r="C29" s="5"/>
        <tr r="F141" s="24"/>
      </tp>
      <tp>
        <v>1744</v>
        <stp/>
        <stp>Market</stp>
        <stp>STOCK</stp>
        <stp>54400.T</stp>
        <stp>始値</stp>
        <tr r="C180" s="5"/>
        <tr r="F156" s="4"/>
        <tr r="F156" s="24"/>
      </tp>
      <tp>
        <v>2610</v>
        <stp/>
        <stp>Market</stp>
        <stp>STOCK</stp>
        <stp>54100.T</stp>
        <stp>始値</stp>
        <tr r="F118" s="4"/>
        <tr r="C179" s="5"/>
        <tr r="F118" s="24"/>
      </tp>
    </main>
    <main first="rtdsrv.8a92272bbb794b2789e42afd4cc513d6">
      <tp>
        <v>2500</v>
        <stp/>
        <stp>Market</stp>
        <stp>STOCK</stp>
        <stp>21600.T</stp>
        <stp>始値</stp>
        <tr r="C131" s="5"/>
        <tr r="F187" s="4"/>
        <tr r="F187" s="24"/>
      </tp>
    </main>
    <main first="rtdsrv.8a92272bbb794b2789e42afd4cc513d6">
      <tp>
        <v>20690</v>
        <stp/>
        <stp>Market</stp>
        <stp>STOCK</stp>
        <stp>31100.T</stp>
        <stp>始値</stp>
        <tr r="F109" s="4"/>
        <tr r="C134" s="5"/>
        <tr r="F109" s="24"/>
      </tp>
      <tp>
        <v>1664</v>
        <stp/>
        <stp>Market</stp>
        <stp>STOCK</stp>
        <stp>19300.T</stp>
        <stp>始値</stp>
        <tr r="C163" s="5"/>
        <tr r="F83" s="4"/>
        <tr r="F83" s="24"/>
      </tp>
      <tp>
        <v>76910</v>
        <stp/>
        <stp>Market</stp>
        <stp>STOCK</stp>
        <stp>15700.T</stp>
        <stp>始値</stp>
        <tr r="C222" s="5"/>
      </tp>
    </main>
    <main first="rtdsrv.8a92272bbb794b2789e42afd4cc513d6">
      <tp>
        <v>1514</v>
        <stp/>
        <stp>Market</stp>
        <stp>STOCK</stp>
        <stp>85700.T</stp>
        <stp>始値</stp>
        <tr r="C37" s="5"/>
        <tr r="F94" s="4"/>
        <tr r="F94" s="24"/>
      </tp>
      <tp>
        <v>1820</v>
        <stp/>
        <stp>Market</stp>
        <stp>STOCK</stp>
        <stp>87500.T</stp>
        <stp>始値</stp>
        <tr r="F200" s="4"/>
        <tr r="C43" s="5"/>
        <tr r="F200" s="24"/>
      </tp>
      <tp>
        <v>6330</v>
        <stp/>
        <stp>Market</stp>
        <stp>STOCK</stp>
        <stp>86300.T</stp>
        <stp>始値</stp>
        <tr r="C54" s="5"/>
        <tr r="F176" s="4"/>
        <tr r="F176" s="24"/>
      </tp>
    </main>
    <main first="rtdsrv.8a92272bbb794b2789e42afd4cc513d6">
      <tp>
        <v>3900</v>
        <stp/>
        <stp>Market</stp>
        <stp>STOCK</stp>
        <stp>98800.T</stp>
        <stp>始値</stp>
        <tr r="C257" s="5"/>
      </tp>
      <tp>
        <v>3445</v>
        <stp/>
        <stp>Market</stp>
        <stp>STOCK</stp>
        <stp>90200.T</stp>
        <stp>始値</stp>
        <tr r="C109" s="5"/>
        <tr r="F104" s="4"/>
        <tr r="F104" s="24"/>
      </tp>
    </main>
    <main first="rtdsrv.8a92272bbb794b2789e42afd4cc513d6">
      <tp>
        <v>4945</v>
        <stp/>
        <stp>Market</stp>
        <stp>STOCK</stp>
        <stp>41820.T</stp>
        <stp>安値</stp>
        <tr r="C97" s="7"/>
        <tr r="I75" s="4"/>
        <tr r="I75" s="24"/>
      </tp>
      <tp>
        <v>1941</v>
        <stp/>
        <stp>Market</stp>
        <stp>STOCK</stp>
        <stp>40820.T</stp>
        <stp>安値</stp>
        <tr r="I9" s="4"/>
        <tr r="C129" s="7"/>
        <tr r="I9" s="24"/>
      </tp>
      <tp>
        <v>21860</v>
        <stp/>
        <stp>Market</stp>
        <stp>STOCK</stp>
        <stp>40620.T</stp>
        <stp>安値</stp>
        <tr r="I56" s="4"/>
        <tr r="C96" s="7"/>
        <tr r="I56" s="24"/>
      </tp>
      <tp>
        <v>1210</v>
        <stp/>
        <stp>Market</stp>
        <stp>STOCK</stp>
        <stp>43920.T</stp>
        <stp>安値</stp>
        <tr r="C235" s="7"/>
      </tp>
      <tp>
        <v>781</v>
        <stp/>
        <stp>Market</stp>
        <stp>STOCK</stp>
        <stp>43820.T</stp>
        <stp>安値</stp>
        <tr r="I192" s="4"/>
        <tr r="C173" s="7"/>
        <tr r="I192" s="24"/>
      </tp>
      <tp>
        <v>683</v>
        <stp/>
        <stp>Market</stp>
        <stp>STOCK</stp>
        <stp>42220.T</stp>
        <stp>安値</stp>
        <tr r="C229" s="7"/>
      </tp>
      <tp>
        <v>4938</v>
        <stp/>
        <stp>Market</stp>
        <stp>STOCK</stp>
        <stp>45020.T</stp>
        <stp>安値</stp>
        <tr r="C212" s="7"/>
      </tp>
      <tp>
        <v>632</v>
        <stp/>
        <stp>Market</stp>
        <stp>STOCK</stp>
        <stp>44220.T</stp>
        <stp>安値</stp>
        <tr r="I188" s="4"/>
        <tr r="C139" s="7"/>
        <tr r="I188" s="24"/>
      </tp>
      <tp>
        <v>2046</v>
        <stp/>
        <stp>Market</stp>
        <stp>STOCK</stp>
        <stp>58920.T</stp>
        <stp>安値</stp>
        <tr r="I74" s="4"/>
        <tr r="C89" s="7"/>
        <tr r="I74" s="24"/>
      </tp>
      <tp>
        <v>11935</v>
        <stp/>
        <stp>Market</stp>
        <stp>STOCK</stp>
        <stp>58020.T</stp>
        <stp>安値</stp>
        <tr r="I57" s="4"/>
        <tr r="C102" s="7"/>
        <tr r="I57" s="24"/>
      </tp>
      <tp>
        <v>7938</v>
        <stp/>
        <stp>Market</stp>
        <stp>STOCK</stp>
        <stp>53320.T</stp>
        <stp>安値</stp>
        <tr r="C21" s="7"/>
        <tr r="I12" s="4"/>
        <tr r="I12" s="24"/>
      </tp>
      <tp>
        <v>1701</v>
        <stp/>
        <stp>Market</stp>
        <stp>STOCK</stp>
        <stp>57020.T</stp>
        <stp>安値</stp>
        <tr r="C275" s="7"/>
      </tp>
      <tp>
        <v>2141</v>
        <stp/>
        <stp>Market</stp>
        <stp>STOCK</stp>
        <stp>56320.T</stp>
        <stp>安値</stp>
        <tr r="C247" s="7"/>
      </tp>
      <tp>
        <v>1900.5</v>
        <stp/>
        <stp>Market</stp>
        <stp>STOCK</stp>
        <stp>69020.T</stp>
        <stp>安値</stp>
        <tr r="C244" s="7"/>
      </tp>
      <tp>
        <v>2050</v>
        <stp/>
        <stp>Market</stp>
        <stp>STOCK</stp>
        <stp>68620.T</stp>
        <stp>安値</stp>
        <tr r="C225" s="7"/>
      </tp>
      <tp>
        <v>1761</v>
        <stp/>
        <stp>Market</stp>
        <stp>STOCK</stp>
        <stp>62320.T</stp>
        <stp>安値</stp>
        <tr r="I28" s="4"/>
        <tr r="C135" s="7"/>
        <tr r="I28" s="24"/>
      </tp>
      <tp>
        <v>716</v>
        <stp/>
        <stp>Market</stp>
        <stp>STOCK</stp>
        <stp>65220.T</stp>
        <stp>安値</stp>
        <tr r="I111" s="4"/>
        <tr r="C143" s="7"/>
        <tr r="I111" s="24"/>
      </tp>
      <tp>
        <v>714</v>
        <stp/>
        <stp>Market</stp>
        <stp>STOCK</stp>
        <stp>64820.T</stp>
        <stp>安値</stp>
        <tr r="C290" s="7"/>
      </tp>
      <tp>
        <v>3728</v>
        <stp/>
        <stp>Market</stp>
        <stp>STOCK</stp>
        <stp>67620.T</stp>
        <stp>安値</stp>
        <tr r="C234" s="7"/>
      </tp>
      <tp>
        <v>4152</v>
        <stp/>
        <stp>Market</stp>
        <stp>STOCK</stp>
        <stp>67520.T</stp>
        <stp>安値</stp>
        <tr r="C215" s="7"/>
      </tp>
      <tp>
        <v>16030</v>
        <stp/>
        <stp>Market</stp>
        <stp>STOCK</stp>
        <stp>66220.T</stp>
        <stp>安値</stp>
        <tr r="C216" s="7"/>
      </tp>
      <tp>
        <v>2429</v>
        <stp/>
        <stp>Market</stp>
        <stp>STOCK</stp>
        <stp>79720.T</stp>
        <stp>安値</stp>
        <tr r="C241" s="7"/>
      </tp>
      <tp>
        <v>3175</v>
        <stp/>
        <stp>Market</stp>
        <stp>STOCK</stp>
        <stp>79520.T</stp>
        <stp>安値</stp>
        <tr r="C276" s="7"/>
      </tp>
      <tp>
        <v>3125</v>
        <stp/>
        <stp>Market</stp>
        <stp>STOCK</stp>
        <stp>71820.T</stp>
        <stp>安値</stp>
        <tr r="C85" s="7"/>
        <tr r="I102" s="4"/>
        <tr r="I102" s="24"/>
      </tp>
      <tp>
        <v>6388</v>
        <stp/>
        <stp>Market</stp>
        <stp>STOCK</stp>
        <stp>19420.T</stp>
        <stp>安値</stp>
        <tr r="I32" s="4"/>
        <tr r="C175" s="7"/>
        <tr r="I32" s="24"/>
      </tp>
      <tp>
        <v>5871</v>
        <stp/>
        <stp>Market</stp>
        <stp>STOCK</stp>
        <stp>18120.T</stp>
        <stp>安値</stp>
        <tr r="I121" s="4"/>
        <tr r="C208" s="7"/>
        <tr r="I121" s="24"/>
      </tp>
      <tp>
        <v>1621</v>
        <stp/>
        <stp>Market</stp>
        <stp>STOCK</stp>
        <stp>16620.T</stp>
        <stp>安値</stp>
        <tr r="I122" s="4"/>
        <tr r="C18" s="7"/>
        <tr r="I122" s="24"/>
      </tp>
      <tp>
        <v>5084</v>
        <stp/>
        <stp>Market</stp>
        <stp>STOCK</stp>
        <stp>28020.T</stp>
        <stp>安値</stp>
        <tr r="C76" s="7"/>
        <tr r="I23" s="4"/>
        <tr r="I23" s="24"/>
      </tp>
      <tp>
        <v>7350</v>
        <stp/>
        <stp>Market</stp>
        <stp>STOCK</stp>
        <stp>27020.T</stp>
        <stp>安値</stp>
        <tr r="C194" s="7"/>
        <tr r="I196" s="4"/>
        <tr r="I196" s="24"/>
      </tp>
      <tp>
        <v>3795</v>
        <stp/>
        <stp>Market</stp>
        <stp>STOCK</stp>
        <stp>30020.T</stp>
        <stp>安値</stp>
        <tr r="C277" s="7"/>
      </tp>
      <tp>
        <v>1170</v>
        <stp/>
        <stp>Market</stp>
        <stp>STOCK</stp>
        <stp>34020.T</stp>
        <stp>安値</stp>
        <tr r="I172" s="4"/>
        <tr r="C44" s="7"/>
        <tr r="I172" s="24"/>
      </tp>
      <tp>
        <v>1077</v>
        <stp/>
        <stp>Market</stp>
        <stp>STOCK</stp>
        <stp>88920.T</stp>
        <stp>安値</stp>
        <tr r="I114" s="4"/>
        <tr r="C161" s="7"/>
        <tr r="I114" s="24"/>
      </tp>
      <tp>
        <v>4886</v>
        <stp/>
        <stp>Market</stp>
        <stp>STOCK</stp>
        <stp>80020.T</stp>
        <stp>安値</stp>
        <tr r="C14" s="7"/>
        <tr r="I167" s="4"/>
        <tr r="I167" s="24"/>
      </tp>
      <tp>
        <v>449</v>
        <stp/>
        <stp>Market</stp>
        <stp>STOCK</stp>
        <stp>85720.T</stp>
        <stp>安値</stp>
        <tr r="C47" s="7"/>
        <tr r="I38" s="4"/>
        <tr r="I38" s="24"/>
      </tp>
      <tp>
        <v>3832</v>
        <stp/>
        <stp>Market</stp>
        <stp>STOCK</stp>
        <stp>99620.T</stp>
        <stp>安値</stp>
        <tr r="C233" s="7"/>
      </tp>
      <tp>
        <v>1735</v>
        <stp/>
        <stp>Market</stp>
        <stp>STOCK</stp>
        <stp>98820.T</stp>
        <stp>安値</stp>
        <tr r="I128" s="4"/>
        <tr r="C116" s="7"/>
        <tr r="I128" s="24"/>
      </tp>
      <tp>
        <v>3284</v>
        <stp/>
        <stp>Market</stp>
        <stp>STOCK</stp>
        <stp>90220.T</stp>
        <stp>安値</stp>
        <tr r="C184" s="7"/>
        <tr r="I159" s="4"/>
        <tr r="I159" s="24"/>
      </tp>
      <tp>
        <v>3026</v>
        <stp/>
        <stp>Market</stp>
        <stp>STOCK</stp>
        <stp>92020.T</stp>
        <stp>安値</stp>
        <tr r="I99" s="4"/>
        <tr r="C74" s="7"/>
        <tr r="I99" s="24"/>
      </tp>
      <tp>
        <v>5420</v>
        <stp/>
        <stp>Market</stp>
        <stp>STOCK</stp>
        <stp>95320.T</stp>
        <stp>安値</stp>
        <tr r="C127" s="7"/>
        <tr r="I79" s="4"/>
        <tr r="I79" s="24"/>
      </tp>
      <tp>
        <v>3295</v>
        <stp/>
        <stp>Market</stp>
        <stp>STOCK</stp>
        <stp>94120.T</stp>
        <stp>安値</stp>
        <tr r="C56" s="7"/>
        <tr r="I22" s="4"/>
        <tr r="I22" s="24"/>
      </tp>
      <tp>
        <v>10230</v>
        <stp/>
        <stp>Market</stp>
        <stp>STOCK</stp>
        <stp>69810.T</stp>
        <stp>始値</stp>
        <tr r="F30" s="4"/>
        <tr r="C154" s="5"/>
        <tr r="F30" s="24"/>
      </tp>
      <tp>
        <v>73710</v>
        <stp/>
        <stp>Market</stp>
        <stp>STOCK</stp>
        <stp>68610.T</stp>
        <stp>始値</stp>
        <tr r="C209" s="5"/>
      </tp>
      <tp>
        <v>5151</v>
        <stp/>
        <stp>Market</stp>
        <stp>STOCK</stp>
        <stp>68410.T</stp>
        <stp>始値</stp>
        <tr r="F100" s="4"/>
        <tr r="C81" s="5"/>
        <tr r="F100" s="24"/>
      </tp>
      <tp>
        <v>6093</v>
        <stp/>
        <stp>Market</stp>
        <stp>STOCK</stp>
        <stp>63610.T</stp>
        <stp>始値</stp>
        <tr r="C249" s="5"/>
      </tp>
      <tp>
        <v>3900</v>
        <stp/>
        <stp>Market</stp>
        <stp>STOCK</stp>
        <stp>63310.T</stp>
        <stp>始値</stp>
        <tr r="C301" s="5"/>
      </tp>
      <tp>
        <v>4555</v>
        <stp/>
        <stp>Market</stp>
        <stp>STOCK</stp>
        <stp>65210.T</stp>
        <stp>始値</stp>
        <tr r="C242" s="5"/>
      </tp>
      <tp>
        <v>4692</v>
        <stp/>
        <stp>Market</stp>
        <stp>STOCK</stp>
        <stp>65010.T</stp>
        <stp>始値</stp>
        <tr r="F126" s="4"/>
        <tr r="C91" s="5"/>
        <tr r="F126" s="24"/>
      </tp>
      <tp>
        <v>3877</v>
        <stp/>
        <stp>Market</stp>
        <stp>STOCK</stp>
        <stp>67010.T</stp>
        <stp>始値</stp>
        <tr r="C11" s="5"/>
        <tr r="F139" s="4"/>
        <tr r="F139" s="24"/>
      </tp>
    </main>
    <main first="rtdsrv.8a92272bbb794b2789e42afd4cc513d6">
      <tp>
        <v>3010</v>
        <stp/>
        <stp>Market</stp>
        <stp>STOCK</stp>
        <stp>79810.T</stp>
        <stp>始値</stp>
        <tr r="C171" s="5"/>
        <tr r="F116" s="4"/>
        <tr r="F116" s="24"/>
      </tp>
      <tp>
        <v>1580</v>
        <stp/>
        <stp>Market</stp>
        <stp>STOCK</stp>
        <stp>71810.T</stp>
        <stp>始値</stp>
        <tr r="C190" s="5"/>
        <tr r="F119" s="4"/>
        <tr r="F119" s="24"/>
      </tp>
      <tp>
        <v>1809</v>
        <stp/>
        <stp>Market</stp>
        <stp>STOCK</stp>
        <stp>70210.T</stp>
        <stp>始値</stp>
        <tr r="C106" s="5"/>
        <tr r="F76" s="4"/>
        <tr r="F76" s="24"/>
      </tp>
      <tp>
        <v>3810</v>
        <stp/>
        <stp>Market</stp>
        <stp>STOCK</stp>
        <stp>70110.T</stp>
        <stp>始値</stp>
        <tr r="F197" s="4"/>
        <tr r="C207" s="5"/>
        <tr r="F197" s="24"/>
      </tp>
      <tp>
        <v>1004</v>
        <stp/>
        <stp>Market</stp>
        <stp>STOCK</stp>
        <stp>73810.T</stp>
        <stp>始値</stp>
        <tr r="F63" s="4"/>
        <tr r="C152" s="5"/>
        <tr r="F63" s="24"/>
      </tp>
      <tp>
        <v>27025</v>
        <stp/>
        <stp>Market</stp>
        <stp>STOCK</stp>
        <stp>77410.T</stp>
        <stp>始値</stp>
        <tr r="C302" s="5"/>
      </tp>
      <tp>
        <v>5200</v>
        <stp/>
        <stp>Market</stp>
        <stp>STOCK</stp>
        <stp>77110.T</stp>
        <stp>始値</stp>
        <tr r="C268" s="5"/>
      </tp>
    </main>
    <main first="rtdsrv.8a92272bbb794b2789e42afd4cc513d6">
      <tp>
        <v>5561</v>
        <stp/>
        <stp>Market</stp>
        <stp>STOCK</stp>
        <stp>40910.T</stp>
        <stp>始値</stp>
        <tr r="C157" s="5"/>
        <tr r="F152" s="4"/>
        <tr r="F152" s="24"/>
      </tp>
      <tp>
        <v>2290</v>
        <stp/>
        <stp>Market</stp>
        <stp>STOCK</stp>
        <stp>46610.T</stp>
        <stp>始値</stp>
        <tr r="F103" s="4"/>
        <tr r="C101" s="5"/>
        <tr r="F103" s="24"/>
      </tp>
    </main>
    <main first="rtdsrv.8a92272bbb794b2789e42afd4cc513d6">
      <tp>
        <v>4004</v>
        <stp/>
        <stp>Market</stp>
        <stp>STOCK</stp>
        <stp>59010.T</stp>
        <stp>始値</stp>
        <tr r="F71" s="4"/>
        <tr r="C55" s="5"/>
        <tr r="F71" s="24"/>
      </tp>
      <tp>
        <v>44900</v>
        <stp/>
        <stp>Market</stp>
        <stp>STOCK</stp>
        <stp>58010.T</stp>
        <stp>始値</stp>
        <tr r="F45" s="4"/>
        <tr r="C200" s="5"/>
        <tr r="F45" s="24"/>
      </tp>
      <tp>
        <v>3690</v>
        <stp/>
        <stp>Market</stp>
        <stp>STOCK</stp>
        <stp>50210.T</stp>
        <stp>始値</stp>
        <tr r="C15" s="5"/>
        <tr r="F88" s="4"/>
        <tr r="F88" s="24"/>
      </tp>
      <tp>
        <v>7224</v>
        <stp/>
        <stp>Market</stp>
        <stp>STOCK</stp>
        <stp>52010.T</stp>
        <stp>始値</stp>
        <tr r="C53" s="5"/>
        <tr r="F175" s="4"/>
        <tr r="F175" s="24"/>
      </tp>
      <tp>
        <v>2260</v>
        <stp/>
        <stp>Market</stp>
        <stp>STOCK</stp>
        <stp>55410.T</stp>
        <stp>始値</stp>
        <tr r="F90" s="4"/>
        <tr r="C20" s="5"/>
        <tr r="F90" s="24"/>
      </tp>
      <tp>
        <v>1652</v>
        <stp/>
        <stp>Market</stp>
        <stp>STOCK</stp>
        <stp>54110.T</stp>
        <stp>始値</stp>
        <tr r="C84" s="5"/>
        <tr r="F7" s="4"/>
        <tr r="F7" s="24"/>
      </tp>
      <tp>
        <v>566</v>
        <stp/>
        <stp>Market</stp>
        <stp>STOCK</stp>
        <stp>54010.T</stp>
        <stp>始値</stp>
        <tr r="C46" s="5"/>
        <tr r="F173" s="4"/>
        <tr r="F173" s="24"/>
      </tp>
      <tp>
        <v>4870</v>
        <stp/>
        <stp>Market</stp>
        <stp>STOCK</stp>
        <stp>57110.T</stp>
        <stp>始値</stp>
        <tr r="F87" s="4"/>
        <tr r="C9" s="5"/>
        <tr r="F87" s="24"/>
      </tp>
      <tp>
        <v>7850</v>
        <stp/>
        <stp>Market</stp>
        <stp>STOCK</stp>
        <stp>56310.T</stp>
        <stp>始値</stp>
        <tr r="C263" s="5"/>
      </tp>
    </main>
    <main first="rtdsrv.8a92272bbb794b2789e42afd4cc513d6">
      <tp>
        <v>1416.5</v>
        <stp/>
        <stp>Market</stp>
        <stp>STOCK</stp>
        <stp>39410.T</stp>
        <stp>始値</stp>
        <tr r="F142" s="4"/>
        <tr r="C48" s="5"/>
        <tr r="F142" s="24"/>
      </tp>
      <tp>
        <v>8830</v>
        <stp/>
        <stp>Market</stp>
        <stp>STOCK</stp>
        <stp>38910.T</stp>
        <stp>始値</stp>
        <tr r="C159" s="5"/>
        <tr r="F43" s="4"/>
        <tr r="F43" s="24"/>
      </tp>
      <tp>
        <v>800.6</v>
        <stp/>
        <stp>Market</stp>
        <stp>STOCK</stp>
        <stp>38610.T</stp>
        <stp>始値</stp>
        <tr r="F123" s="4"/>
        <tr r="C41" s="5"/>
        <tr r="F123" s="24"/>
      </tp>
      <tp>
        <v>1648.5</v>
        <stp/>
        <stp>Market</stp>
        <stp>STOCK</stp>
        <stp>34010.T</stp>
        <stp>始値</stp>
        <tr r="F169" s="4"/>
        <tr r="C27" s="5"/>
        <tr r="F169" s="24"/>
      </tp>
      <tp>
        <v>2650</v>
        <stp/>
        <stp>Market</stp>
        <stp>STOCK</stp>
        <stp>19610.T</stp>
        <stp>始値</stp>
        <tr r="C59" s="5"/>
        <tr r="F51" s="4"/>
        <tr r="F51" s="24"/>
      </tp>
      <tp>
        <v>3305</v>
        <stp/>
        <stp>Market</stp>
        <stp>STOCK</stp>
        <stp>88710.T</stp>
        <stp>始値</stp>
        <tr r="C278" s="5"/>
      </tp>
      <tp>
        <v>1544.5</v>
        <stp/>
        <stp>Market</stp>
        <stp>STOCK</stp>
        <stp>88010.T</stp>
        <stp>始値</stp>
        <tr r="F129" s="4"/>
        <tr r="C124" s="5"/>
        <tr r="F129" s="24"/>
      </tp>
      <tp>
        <v>1581</v>
        <stp/>
        <stp>Market</stp>
        <stp>STOCK</stp>
        <stp>81410.T</stp>
        <stp>始値</stp>
        <tr r="C292" s="5"/>
      </tp>
      <tp>
        <v>2219</v>
        <stp/>
        <stp>Market</stp>
        <stp>STOCK</stp>
        <stp>80910.T</stp>
        <stp>始値</stp>
        <tr r="C182" s="5"/>
        <tr r="F158" s="4"/>
        <tr r="F158" s="24"/>
      </tp>
      <tp>
        <v>1056</v>
        <stp/>
        <stp>Market</stp>
        <stp>STOCK</stp>
        <stp>82810.T</stp>
        <stp>始値</stp>
        <tr r="C63" s="5"/>
        <tr r="F179" s="4"/>
        <tr r="F179" s="24"/>
      </tp>
      <tp>
        <v>6403</v>
        <stp/>
        <stp>Market</stp>
        <stp>STOCK</stp>
        <stp>85910.T</stp>
        <stp>始値</stp>
        <tr r="F67" s="4"/>
        <tr r="C26" s="5"/>
        <tr r="F67" s="24"/>
      </tp>
      <tp>
        <v>7907</v>
        <stp/>
        <stp>Market</stp>
        <stp>STOCK</stp>
        <stp>84110.T</stp>
        <stp>始値</stp>
        <tr r="C19" s="5"/>
        <tr r="F66" s="4"/>
        <tr r="F66" s="24"/>
      </tp>
      <tp>
        <v>1614</v>
        <stp/>
        <stp>Market</stp>
        <stp>STOCK</stp>
        <stp>86010.T</stp>
        <stp>始値</stp>
        <tr r="C33" s="5"/>
        <tr r="F198" s="4"/>
        <tr r="F198" s="24"/>
      </tp>
    </main>
    <main first="rtdsrv.8a92272bbb794b2789e42afd4cc513d6">
      <tp>
        <v>5409</v>
        <stp/>
        <stp>Market</stp>
        <stp>STOCK</stp>
        <stp>91010.T</stp>
        <stp>始値</stp>
        <tr r="C206" s="5"/>
        <tr r="F164" s="4"/>
        <tr r="F164" s="24"/>
      </tp>
      <tp>
        <v>3365</v>
        <stp/>
        <stp>Market</stp>
        <stp>STOCK</stp>
        <stp>95510.T</stp>
        <stp>始値</stp>
        <tr r="F134" s="4"/>
        <tr r="C167" s="5"/>
        <tr r="F134" s="24"/>
      </tp>
      <tp>
        <v>6300</v>
        <stp/>
        <stp>Market</stp>
        <stp>STOCK</stp>
        <stp>95310.T</stp>
        <stp>始値</stp>
        <tr r="F203" s="4"/>
        <tr r="C115" s="5"/>
        <tr r="F203" s="24"/>
      </tp>
      <tp>
        <v>523.20000000000005</v>
        <stp/>
        <stp>Market</stp>
        <stp>STOCK</stp>
        <stp>95010.T</stp>
        <stp>始値</stp>
        <tr r="C114" s="5"/>
        <tr r="F105" s="4"/>
        <tr r="F105" s="24"/>
      </tp>
    </main>
    <main first="rtdsrv.8a92272bbb794b2789e42afd4cc513d6">
      <tp>
        <v>7372</v>
        <stp/>
        <stp>Market</stp>
        <stp>STOCK</stp>
        <stp>40630.T</stp>
        <stp>安値</stp>
        <tr r="C66" s="7"/>
        <tr r="I14" s="4"/>
        <tr r="I14" s="24"/>
      </tp>
      <tp>
        <v>950</v>
        <stp/>
        <stp>Market</stp>
        <stp>STOCK</stp>
        <stp>43730.T</stp>
        <stp>安値</stp>
        <tr r="I82" s="4"/>
        <tr r="C160" s="7"/>
        <tr r="I82" s="24"/>
      </tp>
      <tp>
        <v>3813</v>
        <stp/>
        <stp>Market</stp>
        <stp>STOCK</stp>
        <stp>45230.T</stp>
        <stp>安値</stp>
        <tr r="C99" s="7"/>
        <tr r="I184" s="4"/>
        <tr r="I184" s="24"/>
      </tp>
      <tp>
        <v>5824</v>
        <stp/>
        <stp>Market</stp>
        <stp>STOCK</stp>
        <stp>47330.T</stp>
        <stp>安値</stp>
        <tr r="I133" s="4"/>
        <tr r="C165" s="7"/>
        <tr r="I133" s="24"/>
      </tp>
      <tp>
        <v>4562</v>
        <stp/>
        <stp>Market</stp>
        <stp>STOCK</stp>
        <stp>58030.T</stp>
        <stp>安値</stp>
        <tr r="C103" s="7"/>
        <tr r="I58" s="4"/>
        <tr r="I58" s="24"/>
      </tp>
      <tp>
        <v>6706</v>
        <stp/>
        <stp>Market</stp>
        <stp>STOCK</stp>
        <stp>53330.T</stp>
        <stp>安値</stp>
        <tr r="C17" s="7"/>
        <tr r="I37" s="4"/>
        <tr r="I37" s="24"/>
      </tp>
      <tp>
        <v>1403</v>
        <stp/>
        <stp>Market</stp>
        <stp>STOCK</stp>
        <stp>52530.T</stp>
        <stp>安値</stp>
        <tr r="C258" s="7"/>
      </tp>
      <tp>
        <v>1720</v>
        <stp/>
        <stp>Market</stp>
        <stp>STOCK</stp>
        <stp>52430.T</stp>
        <stp>安値</stp>
        <tr r="I138" s="4"/>
        <tr r="C193" s="7"/>
        <tr r="I138" s="24"/>
      </tp>
      <tp>
        <v>4302</v>
        <stp/>
        <stp>Market</stp>
        <stp>STOCK</stp>
        <stp>52330.T</stp>
        <stp>安値</stp>
        <tr r="C34" s="7"/>
        <tr r="I170" s="4"/>
        <tr r="I170" s="24"/>
      </tp>
      <tp>
        <v>1749</v>
        <stp/>
        <stp>Market</stp>
        <stp>STOCK</stp>
        <stp>54230.T</stp>
        <stp>安値</stp>
        <tr r="C7" s="7"/>
        <tr r="I165" s="4"/>
        <tr r="I165" s="24"/>
      </tp>
      <tp>
        <v>8779</v>
        <stp/>
        <stp>Market</stp>
        <stp>STOCK</stp>
        <stp>57130.T</stp>
        <stp>安値</stp>
        <tr r="C8" s="7"/>
        <tr r="I46" s="4"/>
        <tr r="I46" s="24"/>
      </tp>
      <tp>
        <v>2945</v>
        <stp/>
        <stp>Market</stp>
        <stp>STOCK</stp>
        <stp>57030.T</stp>
        <stp>安値</stp>
        <tr r="I48" s="4"/>
        <tr r="C13" s="7"/>
        <tr r="I48" s="24"/>
      </tp>
      <tp>
        <v>4305</v>
        <stp/>
        <stp>Market</stp>
        <stp>STOCK</stp>
        <stp>63230.T</stp>
        <stp>安値</stp>
        <tr r="C90" s="7"/>
        <tr r="I41" s="4"/>
        <tr r="I41" s="24"/>
      </tp>
      <tp>
        <v>70450</v>
        <stp/>
        <stp>Market</stp>
        <stp>STOCK</stp>
        <stp>62730.T</stp>
        <stp>安値</stp>
        <tr r="C211" s="7"/>
      </tp>
      <tp>
        <v>1570</v>
        <stp/>
        <stp>Market</stp>
        <stp>STOCK</stp>
        <stp>62030.T</stp>
        <stp>安値</stp>
        <tr r="C57" s="7"/>
        <tr r="I50" s="4"/>
        <tr r="I50" s="24"/>
      </tp>
      <tp>
        <v>5790</v>
        <stp/>
        <stp>Market</stp>
        <stp>STOCK</stp>
        <stp>65030.T</stp>
        <stp>安値</stp>
        <tr r="I39" s="4"/>
        <tr r="C68" s="7"/>
        <tr r="I39" s="24"/>
      </tp>
      <tp>
        <v>589</v>
        <stp/>
        <stp>Market</stp>
        <stp>STOCK</stp>
        <stp>67530.T</stp>
        <stp>安値</stp>
        <tr r="I162" s="4"/>
        <tr r="C188" s="7"/>
        <tr r="I162" s="24"/>
      </tp>
      <tp>
        <v>2335</v>
        <stp/>
        <stp>Market</stp>
        <stp>STOCK</stp>
        <stp>66130.T</stp>
        <stp>安値</stp>
        <tr r="I3" s="4"/>
        <tr r="C141" s="7"/>
        <tr r="I3" s="24"/>
      </tp>
      <tp>
        <v>2800</v>
        <stp/>
        <stp>Market</stp>
        <stp>STOCK</stp>
        <stp>70130.T</stp>
        <stp>安値</stp>
        <tr r="C231" s="7"/>
      </tp>
      <tp>
        <v>2803.5</v>
        <stp/>
        <stp>Market</stp>
        <stp>STOCK</stp>
        <stp>72030.T</stp>
        <stp>安値</stp>
        <tr r="I73" s="4"/>
        <tr r="C77" s="7"/>
        <tr r="I73" s="24"/>
      </tp>
      <tp>
        <v>2673.5</v>
        <stp/>
        <stp>Market</stp>
        <stp>STOCK</stp>
        <stp>19630.T</stp>
        <stp>安値</stp>
        <tr r="C86" s="7"/>
        <tr r="I40" s="4"/>
        <tr r="I40" s="24"/>
      </tp>
      <tp>
        <v>5700</v>
        <stp/>
        <stp>Market</stp>
        <stp>STOCK</stp>
        <stp>18330.T</stp>
        <stp>安値</stp>
        <tr r="I180" s="4"/>
        <tr r="C80" s="7"/>
        <tr r="I180" s="24"/>
      </tp>
      <tp>
        <v>1050</v>
        <stp/>
        <stp>Market</stp>
        <stp>STOCK</stp>
        <stp>29330.T</stp>
        <stp>安値</stp>
        <tr r="C288" s="7"/>
      </tp>
      <tp>
        <v>1241</v>
        <stp/>
        <stp>Market</stp>
        <stp>STOCK</stp>
        <stp>38630.T</stp>
        <stp>安値</stp>
        <tr r="I21" s="4"/>
        <tr r="C32" s="7"/>
        <tr r="I21" s="24"/>
      </tp>
      <tp>
        <v>1125</v>
        <stp/>
        <stp>Market</stp>
        <stp>STOCK</stp>
        <stp>31030.T</stp>
        <stp>安値</stp>
        <tr r="C138" s="7"/>
        <tr r="I81" s="4"/>
        <tr r="I81" s="24"/>
      </tp>
      <tp>
        <v>1702.5</v>
        <stp/>
        <stp>Market</stp>
        <stp>STOCK</stp>
        <stp>30030.T</stp>
        <stp>安値</stp>
        <tr r="I143" s="4"/>
        <tr r="C88" s="7"/>
        <tr r="I143" s="24"/>
      </tp>
      <tp>
        <v>9625</v>
        <stp/>
        <stp>Market</stp>
        <stp>STOCK</stp>
        <stp>35630.T</stp>
        <stp>安値</stp>
        <tr r="C230" s="7"/>
      </tp>
      <tp>
        <v>872</v>
        <stp/>
        <stp>Market</stp>
        <stp>STOCK</stp>
        <stp>81030.T</stp>
        <stp>安値</stp>
        <tr r="I136" s="4"/>
        <tr r="C169" s="7"/>
        <tr r="I136" s="24"/>
      </tp>
      <tp>
        <v>6478</v>
        <stp/>
        <stp>Market</stp>
        <stp>STOCK</stp>
        <stp>80530.T</stp>
        <stp>安値</stp>
        <tr r="I49" s="4"/>
        <tr r="C25" s="7"/>
        <tr r="I49" s="24"/>
      </tp>
      <tp>
        <v>1445</v>
        <stp/>
        <stp>Market</stp>
        <stp>STOCK</stp>
        <stp>83030.T</stp>
        <stp>安値</stp>
        <tr r="C172" s="7"/>
        <tr r="I191" s="4"/>
        <tr r="I191" s="24"/>
      </tp>
      <tp>
        <v>1318.5</v>
        <stp/>
        <stp>Market</stp>
        <stp>STOCK</stp>
        <stp>85930.T</stp>
        <stp>安値</stp>
        <tr r="C39" s="7"/>
        <tr r="I171" s="4"/>
        <tr r="I171" s="24"/>
      </tp>
      <tp>
        <v>4100</v>
        <stp/>
        <stp>Market</stp>
        <stp>STOCK</stp>
        <stp>87930.T</stp>
        <stp>安値</stp>
        <tr r="C232" s="7"/>
      </tp>
      <tp>
        <v>2201</v>
        <stp/>
        <stp>Market</stp>
        <stp>STOCK</stp>
        <stp>97330.T</stp>
        <stp>安値</stp>
        <tr r="I153" s="4"/>
        <tr r="C166" s="7"/>
        <tr r="I153" s="24"/>
      </tp>
      <tp>
        <v>3997.71</v>
        <stp/>
        <stp>Market</stp>
        <stp>INDEX</stp>
        <stp>TOPX</stp>
        <stp>始値</stp>
        <tr r="C5" s="5"/>
      </tp>
      <tp>
        <v>1920</v>
        <stp/>
        <stp>Market</stp>
        <stp>STOCK</stp>
        <stp>69020.T</stp>
        <stp>始値</stp>
        <tr r="C244" s="5"/>
      </tp>
      <tp>
        <v>2100</v>
        <stp/>
        <stp>Market</stp>
        <stp>STOCK</stp>
        <stp>68620.T</stp>
        <stp>始値</stp>
        <tr r="C225" s="5"/>
      </tp>
      <tp>
        <v>1865</v>
        <stp/>
        <stp>Market</stp>
        <stp>STOCK</stp>
        <stp>62320.T</stp>
        <stp>始値</stp>
        <tr r="F28" s="4"/>
        <tr r="C135" s="5"/>
        <tr r="F28" s="24"/>
      </tp>
      <tp>
        <v>720</v>
        <stp/>
        <stp>Market</stp>
        <stp>STOCK</stp>
        <stp>65220.T</stp>
        <stp>始値</stp>
        <tr r="F111" s="4"/>
        <tr r="C143" s="5"/>
        <tr r="F111" s="24"/>
      </tp>
      <tp>
        <v>714</v>
        <stp/>
        <stp>Market</stp>
        <stp>STOCK</stp>
        <stp>64820.T</stp>
        <stp>始値</stp>
        <tr r="C290" s="5"/>
      </tp>
      <tp>
        <v>3732</v>
        <stp/>
        <stp>Market</stp>
        <stp>STOCK</stp>
        <stp>67620.T</stp>
        <stp>始値</stp>
        <tr r="C234" s="5"/>
      </tp>
      <tp>
        <v>4184</v>
        <stp/>
        <stp>Market</stp>
        <stp>STOCK</stp>
        <stp>67520.T</stp>
        <stp>始値</stp>
        <tr r="C215" s="5"/>
      </tp>
      <tp>
        <v>16170</v>
        <stp/>
        <stp>Market</stp>
        <stp>STOCK</stp>
        <stp>66220.T</stp>
        <stp>始値</stp>
        <tr r="C216" s="5"/>
      </tp>
      <tp>
        <v>2455</v>
        <stp/>
        <stp>Market</stp>
        <stp>STOCK</stp>
        <stp>79720.T</stp>
        <stp>始値</stp>
        <tr r="C241" s="5"/>
      </tp>
      <tp>
        <v>3250</v>
        <stp/>
        <stp>Market</stp>
        <stp>STOCK</stp>
        <stp>79520.T</stp>
        <stp>始値</stp>
        <tr r="C276" s="5"/>
      </tp>
      <tp>
        <v>3188</v>
        <stp/>
        <stp>Market</stp>
        <stp>STOCK</stp>
        <stp>71820.T</stp>
        <stp>始値</stp>
        <tr r="F102" s="4"/>
        <tr r="C85" s="5"/>
        <tr r="F102" s="24"/>
      </tp>
      <tp>
        <v>5000</v>
        <stp/>
        <stp>Market</stp>
        <stp>STOCK</stp>
        <stp>41820.T</stp>
        <stp>始値</stp>
        <tr r="C97" s="5"/>
        <tr r="F75" s="4"/>
        <tr r="F75" s="24"/>
      </tp>
      <tp>
        <v>1990</v>
        <stp/>
        <stp>Market</stp>
        <stp>STOCK</stp>
        <stp>40820.T</stp>
        <stp>始値</stp>
        <tr r="C129" s="5"/>
        <tr r="F9" s="4"/>
        <tr r="F9" s="24"/>
      </tp>
      <tp>
        <v>21945</v>
        <stp/>
        <stp>Market</stp>
        <stp>STOCK</stp>
        <stp>40620.T</stp>
        <stp>始値</stp>
        <tr r="F56" s="4"/>
        <tr r="C96" s="5"/>
        <tr r="F56" s="24"/>
      </tp>
      <tp>
        <v>1230</v>
        <stp/>
        <stp>Market</stp>
        <stp>STOCK</stp>
        <stp>43920.T</stp>
        <stp>始値</stp>
        <tr r="C235" s="5"/>
      </tp>
      <tp>
        <v>792</v>
        <stp/>
        <stp>Market</stp>
        <stp>STOCK</stp>
        <stp>43820.T</stp>
        <stp>始値</stp>
        <tr r="C173" s="5"/>
        <tr r="F192" s="4"/>
        <tr r="F192" s="24"/>
      </tp>
      <tp>
        <v>687</v>
        <stp/>
        <stp>Market</stp>
        <stp>STOCK</stp>
        <stp>42220.T</stp>
        <stp>始値</stp>
        <tr r="C229" s="5"/>
      </tp>
      <tp>
        <v>5018</v>
        <stp/>
        <stp>Market</stp>
        <stp>STOCK</stp>
        <stp>45020.T</stp>
        <stp>始値</stp>
        <tr r="C212" s="5"/>
      </tp>
      <tp>
        <v>665</v>
        <stp/>
        <stp>Market</stp>
        <stp>STOCK</stp>
        <stp>44220.T</stp>
        <stp>始値</stp>
        <tr r="C139" s="5"/>
        <tr r="F188" s="4"/>
        <tr r="F188" s="24"/>
      </tp>
      <tp>
        <v>2046</v>
        <stp/>
        <stp>Market</stp>
        <stp>STOCK</stp>
        <stp>58920.T</stp>
        <stp>始値</stp>
        <tr r="F74" s="4"/>
        <tr r="C89" s="5"/>
        <tr r="F74" s="24"/>
      </tp>
      <tp>
        <v>12000</v>
        <stp/>
        <stp>Market</stp>
        <stp>STOCK</stp>
        <stp>58020.T</stp>
        <stp>始値</stp>
        <tr r="F57" s="4"/>
        <tr r="C102" s="5"/>
        <tr r="F57" s="24"/>
      </tp>
      <tp>
        <v>8102</v>
        <stp/>
        <stp>Market</stp>
        <stp>STOCK</stp>
        <stp>53320.T</stp>
        <stp>始値</stp>
        <tr r="F12" s="4"/>
        <tr r="C21" s="5"/>
        <tr r="F12" s="24"/>
      </tp>
      <tp>
        <v>1745</v>
        <stp/>
        <stp>Market</stp>
        <stp>STOCK</stp>
        <stp>57020.T</stp>
        <stp>始値</stp>
        <tr r="C275" s="5"/>
      </tp>
      <tp>
        <v>2162</v>
        <stp/>
        <stp>Market</stp>
        <stp>STOCK</stp>
        <stp>56320.T</stp>
        <stp>始値</stp>
        <tr r="C247" s="5"/>
      </tp>
      <tp>
        <v>5187</v>
        <stp/>
        <stp>Market</stp>
        <stp>STOCK</stp>
        <stp>28020.T</stp>
        <stp>始値</stp>
        <tr r="F23" s="4"/>
        <tr r="C76" s="5"/>
        <tr r="F23" s="24"/>
      </tp>
      <tp>
        <v>7380</v>
        <stp/>
        <stp>Market</stp>
        <stp>STOCK</stp>
        <stp>27020.T</stp>
        <stp>始値</stp>
        <tr r="C194" s="5"/>
        <tr r="F196" s="4"/>
        <tr r="F196" s="24"/>
      </tp>
      <tp>
        <v>3810</v>
        <stp/>
        <stp>Market</stp>
        <stp>STOCK</stp>
        <stp>30020.T</stp>
        <stp>始値</stp>
        <tr r="C277" s="5"/>
      </tp>
      <tp>
        <v>1170.5</v>
        <stp/>
        <stp>Market</stp>
        <stp>STOCK</stp>
        <stp>34020.T</stp>
        <stp>始値</stp>
        <tr r="C44" s="5"/>
        <tr r="F172" s="4"/>
        <tr r="F172" s="24"/>
      </tp>
      <tp>
        <v>6400</v>
        <stp/>
        <stp>Market</stp>
        <stp>STOCK</stp>
        <stp>19420.T</stp>
        <stp>始値</stp>
        <tr r="C175" s="5"/>
        <tr r="F32" s="4"/>
        <tr r="F32" s="24"/>
      </tp>
      <tp>
        <v>5968</v>
        <stp/>
        <stp>Market</stp>
        <stp>STOCK</stp>
        <stp>18120.T</stp>
        <stp>始値</stp>
        <tr r="F121" s="4"/>
        <tr r="C208" s="5"/>
        <tr r="F121" s="24"/>
      </tp>
      <tp>
        <v>1636</v>
        <stp/>
        <stp>Market</stp>
        <stp>STOCK</stp>
        <stp>16620.T</stp>
        <stp>始値</stp>
        <tr r="F122" s="4"/>
        <tr r="C18" s="5"/>
        <tr r="F122" s="24"/>
      </tp>
      <tp>
        <v>1105</v>
        <stp/>
        <stp>Market</stp>
        <stp>STOCK</stp>
        <stp>88920.T</stp>
        <stp>始値</stp>
        <tr r="F114" s="4"/>
        <tr r="C161" s="5"/>
        <tr r="F114" s="24"/>
      </tp>
      <tp>
        <v>4981</v>
        <stp/>
        <stp>Market</stp>
        <stp>STOCK</stp>
        <stp>80020.T</stp>
        <stp>始値</stp>
        <tr r="C14" s="5"/>
        <tr r="F167" s="4"/>
        <tr r="F167" s="24"/>
      </tp>
      <tp>
        <v>453.3</v>
        <stp/>
        <stp>Market</stp>
        <stp>STOCK</stp>
        <stp>85720.T</stp>
        <stp>始値</stp>
        <tr r="C47" s="5"/>
        <tr r="F38" s="4"/>
        <tr r="F38" s="24"/>
      </tp>
      <tp>
        <v>3883</v>
        <stp/>
        <stp>Market</stp>
        <stp>STOCK</stp>
        <stp>99620.T</stp>
        <stp>始値</stp>
        <tr r="C233" s="5"/>
      </tp>
      <tp>
        <v>1743</v>
        <stp/>
        <stp>Market</stp>
        <stp>STOCK</stp>
        <stp>98820.T</stp>
        <stp>始値</stp>
        <tr r="C116" s="5"/>
        <tr r="F128" s="4"/>
        <tr r="F128" s="24"/>
      </tp>
      <tp>
        <v>3364</v>
        <stp/>
        <stp>Market</stp>
        <stp>STOCK</stp>
        <stp>90220.T</stp>
        <stp>始値</stp>
        <tr r="F159" s="4"/>
        <tr r="C184" s="5"/>
        <tr r="F159" s="24"/>
      </tp>
      <tp>
        <v>3050</v>
        <stp/>
        <stp>Market</stp>
        <stp>STOCK</stp>
        <stp>92020.T</stp>
        <stp>始値</stp>
        <tr r="F99" s="4"/>
        <tr r="C74" s="5"/>
        <tr r="F99" s="24"/>
      </tp>
      <tp>
        <v>5527</v>
        <stp/>
        <stp>Market</stp>
        <stp>STOCK</stp>
        <stp>95320.T</stp>
        <stp>始値</stp>
        <tr r="F79" s="4"/>
        <tr r="C127" s="5"/>
        <tr r="F79" s="24"/>
      </tp>
      <tp>
        <v>3300</v>
        <stp/>
        <stp>Market</stp>
        <stp>STOCK</stp>
        <stp>94120.T</stp>
        <stp>始値</stp>
        <tr r="C56" s="5"/>
        <tr r="F22" s="4"/>
        <tr r="F22" s="24"/>
      </tp>
      <tp>
        <v>4361</v>
        <stp/>
        <stp>Market</stp>
        <stp>STOCK</stp>
        <stp>49800.T</stp>
        <stp>安値</stp>
        <tr r="C69" s="7"/>
        <tr r="I72" s="4"/>
        <tr r="I72" s="24"/>
      </tp>
      <tp>
        <v>3703</v>
        <stp/>
        <stp>Market</stp>
        <stp>STOCK</stp>
        <stp>45400.T</stp>
        <stp>安値</stp>
        <tr r="C64" s="7"/>
        <tr r="I124" s="4"/>
        <tr r="I124" s="24"/>
      </tp>
    </main>
    <main first="rtdsrv.8a92272bbb794b2789e42afd4cc513d6">
      <tp>
        <v>1228.5</v>
        <stp/>
        <stp>Market</stp>
        <stp>STOCK</stp>
        <stp>50200.T</stp>
        <stp>安値</stp>
        <tr r="C29" s="7"/>
        <tr r="I141" s="4"/>
        <tr r="I141" s="24"/>
      </tp>
      <tp>
        <v>1742</v>
        <stp/>
        <stp>Market</stp>
        <stp>STOCK</stp>
        <stp>54400.T</stp>
        <stp>安値</stp>
        <tr r="C180" s="7"/>
        <tr r="I156" s="4"/>
        <tr r="I156" s="24"/>
      </tp>
      <tp>
        <v>2609</v>
        <stp/>
        <stp>Market</stp>
        <stp>STOCK</stp>
        <stp>54100.T</stp>
        <stp>安値</stp>
        <tr r="I118" s="4"/>
        <tr r="C179" s="7"/>
        <tr r="I118" s="24"/>
      </tp>
    </main>
    <main first="rtdsrv.8a92272bbb794b2789e42afd4cc513d6">
      <tp>
        <v>45770</v>
        <stp/>
        <stp>Market</stp>
        <stp>STOCK</stp>
        <stp>69200.T</stp>
        <stp>安値</stp>
        <tr r="I84" s="4"/>
        <tr r="C199" s="7"/>
        <tr r="I84" s="24"/>
      </tp>
      <tp>
        <v>8990</v>
        <stp/>
        <stp>Market</stp>
        <stp>STOCK</stp>
        <stp>68900.T</stp>
        <stp>安値</stp>
        <tr r="I33" s="4"/>
        <tr r="C195" s="7"/>
        <tr r="I33" s="24"/>
      </tp>
      <tp>
        <v>1281</v>
        <stp/>
        <stp>Market</stp>
        <stp>STOCK</stp>
        <stp>61400.T</stp>
        <stp>安値</stp>
        <tr r="C261" s="7"/>
      </tp>
      <tp>
        <v>9206</v>
        <stp/>
        <stp>Market</stp>
        <stp>STOCK</stp>
        <stp>63700.T</stp>
        <stp>安値</stp>
        <tr r="C255" s="7"/>
      </tp>
      <tp>
        <v>2091</v>
        <stp/>
        <stp>Market</stp>
        <stp>STOCK</stp>
        <stp>63300.T</stp>
        <stp>安値</stp>
        <tr r="I186" s="4"/>
        <tr r="C128" s="7"/>
        <tr r="I186" s="24"/>
      </tp>
      <tp>
        <v>44</v>
        <stp/>
        <stp>Market</stp>
        <stp>STOCK</stp>
        <stp>67400.T</stp>
        <stp>安値</stp>
        <tr r="I189" s="4"/>
        <tr r="C140" s="7"/>
        <tr r="I189" s="24"/>
      </tp>
    </main>
    <main first="rtdsrv.8a92272bbb794b2789e42afd4cc513d6">
      <tp>
        <v>2569</v>
        <stp/>
        <stp>Market</stp>
        <stp>STOCK</stp>
        <stp>72700.T</stp>
        <stp>安値</stp>
        <tr r="C286" s="7"/>
      </tp>
    </main>
    <main first="rtdsrv.8a92272bbb794b2789e42afd4cc513d6">
      <tp>
        <v>1664</v>
        <stp/>
        <stp>Market</stp>
        <stp>STOCK</stp>
        <stp>19300.T</stp>
        <stp>安値</stp>
        <tr r="C163" s="7"/>
        <tr r="I83" s="4"/>
        <tr r="I83" s="24"/>
      </tp>
      <tp>
        <v>76880</v>
        <stp/>
        <stp>Market</stp>
        <stp>STOCK</stp>
        <stp>15700.T</stp>
        <stp>安値</stp>
        <tr r="C222" s="7"/>
      </tp>
    </main>
    <main first="rtdsrv.8a92272bbb794b2789e42afd4cc513d6">
      <tp>
        <v>2500</v>
        <stp/>
        <stp>Market</stp>
        <stp>STOCK</stp>
        <stp>21600.T</stp>
        <stp>安値</stp>
        <tr r="C131" s="7"/>
        <tr r="I187" s="4"/>
        <tr r="I187" s="24"/>
      </tp>
    </main>
    <main first="rtdsrv.8a92272bbb794b2789e42afd4cc513d6">
      <tp>
        <v>20600</v>
        <stp/>
        <stp>Market</stp>
        <stp>STOCK</stp>
        <stp>31100.T</stp>
        <stp>安値</stp>
        <tr r="C134" s="7"/>
        <tr r="I109" s="4"/>
        <tr r="I109" s="24"/>
      </tp>
      <tp>
        <v>1491.5</v>
        <stp/>
        <stp>Market</stp>
        <stp>STOCK</stp>
        <stp>85700.T</stp>
        <stp>安値</stp>
        <tr r="C37" s="7"/>
        <tr r="I94" s="4"/>
        <tr r="I94" s="24"/>
      </tp>
      <tp>
        <v>1788.5</v>
        <stp/>
        <stp>Market</stp>
        <stp>STOCK</stp>
        <stp>87500.T</stp>
        <stp>安値</stp>
        <tr r="I200" s="4"/>
        <tr r="C43" s="7"/>
        <tr r="I200" s="24"/>
      </tp>
      <tp>
        <v>6194</v>
        <stp/>
        <stp>Market</stp>
        <stp>STOCK</stp>
        <stp>86300.T</stp>
        <stp>安値</stp>
        <tr r="I176" s="4"/>
        <tr r="C54" s="7"/>
        <tr r="I176" s="24"/>
      </tp>
    </main>
    <main first="rtdsrv.8a92272bbb794b2789e42afd4cc513d6">
      <tp>
        <v>3840</v>
        <stp/>
        <stp>Market</stp>
        <stp>STOCK</stp>
        <stp>98800.T</stp>
        <stp>安値</stp>
        <tr r="C257" s="7"/>
      </tp>
      <tp>
        <v>3336</v>
        <stp/>
        <stp>Market</stp>
        <stp>STOCK</stp>
        <stp>90200.T</stp>
        <stp>安値</stp>
        <tr r="I104" s="4"/>
        <tr r="C109" s="7"/>
        <tr r="I104" s="24"/>
      </tp>
    </main>
    <main first="rtdsrv.8a92272bbb794b2789e42afd4cc513d6">
      <tp>
        <v>4309</v>
        <stp/>
        <stp>Market</stp>
        <stp>STOCK</stp>
        <stp>63230.T</stp>
        <stp>始値</stp>
        <tr r="C90" s="5"/>
        <tr r="F41" s="4"/>
        <tr r="F41" s="24"/>
      </tp>
      <tp>
        <v>70450</v>
        <stp/>
        <stp>Market</stp>
        <stp>STOCK</stp>
        <stp>62730.T</stp>
        <stp>始値</stp>
        <tr r="C211" s="5"/>
      </tp>
      <tp>
        <v>1573</v>
        <stp/>
        <stp>Market</stp>
        <stp>STOCK</stp>
        <stp>62030.T</stp>
        <stp>始値</stp>
        <tr r="C57" s="5"/>
        <tr r="F50" s="4"/>
        <tr r="F50" s="24"/>
      </tp>
      <tp>
        <v>5853</v>
        <stp/>
        <stp>Market</stp>
        <stp>STOCK</stp>
        <stp>65030.T</stp>
        <stp>始値</stp>
        <tr r="C68" s="5"/>
        <tr r="F39" s="4"/>
        <tr r="F39" s="24"/>
      </tp>
      <tp>
        <v>594</v>
        <stp/>
        <stp>Market</stp>
        <stp>STOCK</stp>
        <stp>67530.T</stp>
        <stp>始値</stp>
        <tr r="F162" s="4"/>
        <tr r="C188" s="5"/>
        <tr r="F162" s="24"/>
      </tp>
      <tp>
        <v>2520</v>
        <stp/>
        <stp>Market</stp>
        <stp>STOCK</stp>
        <stp>66130.T</stp>
        <stp>始値</stp>
        <tr r="C141" s="5"/>
        <tr r="F3" s="4"/>
        <tr r="F3" s="24"/>
      </tp>
      <tp>
        <v>2808</v>
        <stp/>
        <stp>Market</stp>
        <stp>STOCK</stp>
        <stp>70130.T</stp>
        <stp>始値</stp>
        <tr r="C231" s="5"/>
      </tp>
      <tp>
        <v>2862.5</v>
        <stp/>
        <stp>Market</stp>
        <stp>STOCK</stp>
        <stp>72030.T</stp>
        <stp>始値</stp>
        <tr r="C77" s="5"/>
        <tr r="F73" s="4"/>
        <tr r="F73" s="24"/>
      </tp>
      <tp>
        <v>7447</v>
        <stp/>
        <stp>Market</stp>
        <stp>STOCK</stp>
        <stp>40630.T</stp>
        <stp>始値</stp>
        <tr r="C66" s="5"/>
        <tr r="F14" s="4"/>
        <tr r="F14" s="24"/>
      </tp>
      <tp>
        <v>966</v>
        <stp/>
        <stp>Market</stp>
        <stp>STOCK</stp>
        <stp>43730.T</stp>
        <stp>始値</stp>
        <tr r="C160" s="5"/>
        <tr r="F82" s="4"/>
        <tr r="F82" s="24"/>
      </tp>
      <tp>
        <v>3857</v>
        <stp/>
        <stp>Market</stp>
        <stp>STOCK</stp>
        <stp>45230.T</stp>
        <stp>始値</stp>
        <tr r="F184" s="4"/>
        <tr r="C99" s="5"/>
        <tr r="F184" s="24"/>
      </tp>
      <tp>
        <v>5844</v>
        <stp/>
        <stp>Market</stp>
        <stp>STOCK</stp>
        <stp>47330.T</stp>
        <stp>始値</stp>
        <tr r="C165" s="5"/>
        <tr r="F133" s="4"/>
        <tr r="F133" s="24"/>
      </tp>
      <tp>
        <v>4600</v>
        <stp/>
        <stp>Market</stp>
        <stp>STOCK</stp>
        <stp>58030.T</stp>
        <stp>始値</stp>
        <tr r="F58" s="4"/>
        <tr r="C103" s="5"/>
        <tr r="F58" s="24"/>
      </tp>
      <tp>
        <v>6735</v>
        <stp/>
        <stp>Market</stp>
        <stp>STOCK</stp>
        <stp>53330.T</stp>
        <stp>始値</stp>
        <tr r="C17" s="5"/>
        <tr r="F37" s="4"/>
        <tr r="F37" s="24"/>
      </tp>
      <tp>
        <v>1415</v>
        <stp/>
        <stp>Market</stp>
        <stp>STOCK</stp>
        <stp>52530.T</stp>
        <stp>始値</stp>
        <tr r="C258" s="5"/>
      </tp>
      <tp>
        <v>1749</v>
        <stp/>
        <stp>Market</stp>
        <stp>STOCK</stp>
        <stp>52430.T</stp>
        <stp>始値</stp>
        <tr r="C193" s="5"/>
        <tr r="F138" s="4"/>
        <tr r="F138" s="24"/>
      </tp>
      <tp>
        <v>4367</v>
        <stp/>
        <stp>Market</stp>
        <stp>STOCK</stp>
        <stp>52330.T</stp>
        <stp>始値</stp>
        <tr r="C34" s="5"/>
        <tr r="F170" s="4"/>
        <tr r="F170" s="24"/>
      </tp>
      <tp>
        <v>1755</v>
        <stp/>
        <stp>Market</stp>
        <stp>STOCK</stp>
        <stp>54230.T</stp>
        <stp>始値</stp>
        <tr r="C7" s="5"/>
        <tr r="F165" s="4"/>
        <tr r="F165" s="24"/>
      </tp>
      <tp>
        <v>8899</v>
        <stp/>
        <stp>Market</stp>
        <stp>STOCK</stp>
        <stp>57130.T</stp>
        <stp>始値</stp>
        <tr r="F46" s="4"/>
        <tr r="C8" s="5"/>
        <tr r="F46" s="24"/>
      </tp>
      <tp>
        <v>3035</v>
        <stp/>
        <stp>Market</stp>
        <stp>STOCK</stp>
        <stp>57030.T</stp>
        <stp>始値</stp>
        <tr r="F48" s="4"/>
        <tr r="C13" s="5"/>
        <tr r="F48" s="24"/>
      </tp>
      <tp>
        <v>1050</v>
        <stp/>
        <stp>Market</stp>
        <stp>STOCK</stp>
        <stp>29330.T</stp>
        <stp>始値</stp>
        <tr r="C288" s="5"/>
      </tp>
      <tp>
        <v>1245</v>
        <stp/>
        <stp>Market</stp>
        <stp>STOCK</stp>
        <stp>38630.T</stp>
        <stp>始値</stp>
        <tr r="F21" s="4"/>
        <tr r="C32" s="5"/>
        <tr r="F21" s="24"/>
      </tp>
      <tp>
        <v>1125</v>
        <stp/>
        <stp>Market</stp>
        <stp>STOCK</stp>
        <stp>31030.T</stp>
        <stp>始値</stp>
        <tr r="C138" s="5"/>
        <tr r="F81" s="4"/>
        <tr r="F81" s="24"/>
      </tp>
      <tp>
        <v>1733</v>
        <stp/>
        <stp>Market</stp>
        <stp>STOCK</stp>
        <stp>30030.T</stp>
        <stp>始値</stp>
        <tr r="F143" s="4"/>
        <tr r="C88" s="5"/>
        <tr r="F143" s="24"/>
      </tp>
      <tp>
        <v>10300</v>
        <stp/>
        <stp>Market</stp>
        <stp>STOCK</stp>
        <stp>35630.T</stp>
        <stp>始値</stp>
        <tr r="C230" s="5"/>
      </tp>
      <tp>
        <v>2680</v>
        <stp/>
        <stp>Market</stp>
        <stp>STOCK</stp>
        <stp>19630.T</stp>
        <stp>始値</stp>
        <tr r="F40" s="4"/>
        <tr r="C86" s="5"/>
        <tr r="F40" s="24"/>
      </tp>
      <tp>
        <v>5760</v>
        <stp/>
        <stp>Market</stp>
        <stp>STOCK</stp>
        <stp>18330.T</stp>
        <stp>始値</stp>
        <tr r="C80" s="5"/>
        <tr r="F180" s="4"/>
        <tr r="F180" s="24"/>
      </tp>
      <tp>
        <v>876</v>
        <stp/>
        <stp>Market</stp>
        <stp>STOCK</stp>
        <stp>81030.T</stp>
        <stp>始値</stp>
        <tr r="C169" s="5"/>
        <tr r="F136" s="4"/>
        <tr r="F136" s="24"/>
      </tp>
      <tp>
        <v>6601</v>
        <stp/>
        <stp>Market</stp>
        <stp>STOCK</stp>
        <stp>80530.T</stp>
        <stp>始値</stp>
        <tr r="F49" s="4"/>
        <tr r="C25" s="5"/>
        <tr r="F49" s="24"/>
      </tp>
      <tp>
        <v>1470</v>
        <stp/>
        <stp>Market</stp>
        <stp>STOCK</stp>
        <stp>83030.T</stp>
        <stp>始値</stp>
        <tr r="F191" s="4"/>
        <tr r="C172" s="5"/>
        <tr r="F191" s="24"/>
      </tp>
      <tp>
        <v>1330</v>
        <stp/>
        <stp>Market</stp>
        <stp>STOCK</stp>
        <stp>85930.T</stp>
        <stp>始値</stp>
        <tr r="F171" s="4"/>
        <tr r="C39" s="5"/>
        <tr r="F171" s="24"/>
      </tp>
      <tp>
        <v>4160</v>
        <stp/>
        <stp>Market</stp>
        <stp>STOCK</stp>
        <stp>87930.T</stp>
        <stp>始値</stp>
        <tr r="C232" s="5"/>
      </tp>
      <tp>
        <v>2234</v>
        <stp/>
        <stp>Market</stp>
        <stp>STOCK</stp>
        <stp>97330.T</stp>
        <stp>始値</stp>
        <tr r="C166" s="5"/>
        <tr r="F153" s="4"/>
        <tr r="F153" s="24"/>
      </tp>
      <tp>
        <v>3989.06</v>
        <stp/>
        <stp>Market</stp>
        <stp>INDEX</stp>
        <stp>TOPX</stp>
        <stp>安値</stp>
        <tr r="C5" s="7"/>
      </tp>
      <tp t="s">
        <v/>
        <stp/>
        <stp>Market</stp>
        <stp>STOCK</stp>
        <stp/>
        <stp>前日比</stp>
        <tr r="J177" s="19"/>
        <tr r="J120" s="19"/>
        <tr r="J60" s="19"/>
        <tr r="J96" s="19"/>
        <tr r="J202" s="19"/>
        <tr r="J59" s="19"/>
        <tr r="J117" s="19"/>
        <tr r="J67" s="19"/>
        <tr r="J196" s="19"/>
        <tr r="J168" s="19"/>
        <tr r="J47" s="19"/>
        <tr r="J105" s="19"/>
        <tr r="J178" s="19"/>
        <tr r="J24" s="19"/>
        <tr r="J103" s="19"/>
        <tr r="J110" s="19"/>
        <tr r="J125" s="19"/>
        <tr r="J89" s="19"/>
        <tr r="J170" s="19"/>
        <tr r="J171" s="19"/>
        <tr r="J192" s="19"/>
        <tr r="J148" s="19"/>
        <tr r="J86" s="19"/>
        <tr r="J144" s="19"/>
        <tr r="J72" s="19"/>
        <tr r="J127" s="19"/>
        <tr r="J115" s="19"/>
        <tr r="J18" s="19"/>
        <tr r="J159" s="19"/>
        <tr r="J180" s="19"/>
        <tr r="J80" s="19"/>
        <tr r="J74" s="19"/>
        <tr r="J16" s="19"/>
        <tr r="J129" s="19"/>
        <tr r="J199" s="19"/>
        <tr r="J91" s="19"/>
        <tr r="J84" s="19"/>
        <tr r="J56" s="19"/>
        <tr r="J109" s="19"/>
        <tr r="J174" s="19"/>
        <tr r="J190" s="19"/>
        <tr r="J20" s="19"/>
        <tr r="J207" s="19"/>
        <tr r="J97" s="19"/>
        <tr r="J104" s="19"/>
        <tr r="J149" s="19"/>
        <tr r="J150" s="19"/>
        <tr r="J167" s="19"/>
        <tr r="J71" s="19"/>
        <tr r="J51" s="19"/>
        <tr r="J66" s="19"/>
        <tr r="J111" s="19"/>
        <tr r="J31" s="19"/>
        <tr r="J157" s="19"/>
        <tr r="J165" s="19"/>
        <tr r="J62" s="19"/>
        <tr r="J154" s="19"/>
        <tr r="J79" s="19"/>
        <tr r="J134" s="19"/>
        <tr r="J37" s="19"/>
        <tr r="J106" s="19"/>
        <tr r="J98" s="19"/>
        <tr r="J101" s="19"/>
        <tr r="J186" s="19"/>
        <tr r="J33" s="19"/>
        <tr r="J208" s="19"/>
        <tr r="J38" s="19"/>
        <tr r="J32" s="19"/>
        <tr r="J75" s="19"/>
        <tr r="J108" s="19"/>
        <tr r="J169" s="19"/>
        <tr r="J68" s="19"/>
        <tr r="J34" s="19"/>
        <tr r="J118" s="19"/>
        <tr r="J128" s="19"/>
        <tr r="J147" s="19"/>
        <tr r="J30" s="19"/>
        <tr r="J133" s="19"/>
        <tr r="J187" s="19"/>
        <tr r="J93" s="19"/>
        <tr r="J70" s="19"/>
        <tr r="J152" s="19"/>
        <tr r="J140" s="19"/>
        <tr r="J123" s="19"/>
        <tr r="J14" s="19"/>
        <tr r="J21" s="19"/>
        <tr r="J10" s="19"/>
        <tr r="J136" s="19"/>
        <tr r="J44" s="19"/>
        <tr r="J175" s="19"/>
        <tr r="J78" s="19"/>
        <tr r="J130" s="19"/>
        <tr r="J90" s="19"/>
        <tr r="J107" s="19"/>
        <tr r="J122" s="19"/>
        <tr r="J13" s="19"/>
        <tr r="J143" s="19"/>
        <tr r="J40" s="19"/>
        <tr r="J26" s="19"/>
        <tr r="J25" s="19"/>
        <tr r="J188" s="19"/>
        <tr r="J95" s="19"/>
        <tr r="J64" s="19"/>
        <tr r="J17" s="19"/>
        <tr r="J65" s="19"/>
        <tr r="J185" s="19"/>
        <tr r="J114" s="19"/>
        <tr r="J206" s="19"/>
        <tr r="J191" s="19"/>
        <tr r="J137" s="19"/>
        <tr r="J146" s="19"/>
        <tr r="J182" s="19"/>
        <tr r="J69" s="19"/>
        <tr r="J41" s="19"/>
        <tr r="J162" s="19"/>
        <tr r="J82" s="19"/>
        <tr r="J156" s="19"/>
        <tr r="J50" s="19"/>
        <tr r="J121" s="19"/>
        <tr r="J203" s="19"/>
        <tr r="J116" s="19"/>
        <tr r="J163" s="19"/>
        <tr r="J54" s="19"/>
        <tr r="J197" s="19"/>
        <tr r="J189" s="19"/>
        <tr r="J142" s="19"/>
        <tr r="J27" s="19"/>
        <tr r="J181" s="19"/>
        <tr r="J184" s="19"/>
        <tr r="J193" s="19"/>
        <tr r="J205" s="19"/>
        <tr r="J119" s="19"/>
        <tr r="J9" s="19"/>
        <tr r="J183" s="19"/>
        <tr r="J198" s="19"/>
        <tr r="J28" s="19"/>
        <tr r="J179" s="19"/>
        <tr r="J8" s="19"/>
        <tr r="J19" s="19"/>
        <tr r="J88" s="19"/>
        <tr r="J161" s="19"/>
        <tr r="J57" s="19"/>
        <tr r="J195" s="19"/>
        <tr r="J81" s="19"/>
        <tr r="J194" s="19"/>
        <tr r="J73" s="19"/>
        <tr r="J151" s="19"/>
        <tr r="J145" s="19"/>
        <tr r="J131" s="19"/>
        <tr r="J42" s="19"/>
        <tr r="J132" s="19"/>
        <tr r="J99" s="19"/>
        <tr r="J46" s="19"/>
        <tr r="J83" s="19"/>
        <tr r="J53" s="19"/>
        <tr r="J158" s="19"/>
        <tr r="J23" s="19"/>
        <tr r="J201" s="19"/>
        <tr r="J176" s="19"/>
        <tr r="J55" s="19"/>
        <tr r="J135" s="19"/>
        <tr r="J58" s="19"/>
        <tr r="J45" s="19"/>
        <tr r="J49" s="19"/>
        <tr r="J76" s="19"/>
        <tr r="J204" s="19"/>
        <tr r="J124" s="19"/>
        <tr r="J138" s="19"/>
        <tr r="J153" s="19"/>
        <tr r="J160" s="19"/>
        <tr r="J87" s="19"/>
        <tr r="J113" s="19"/>
        <tr r="J36" s="19"/>
        <tr r="J164" s="19"/>
        <tr r="J11" s="19"/>
        <tr r="J12" s="19"/>
        <tr r="J102" s="19"/>
        <tr r="J61" s="19"/>
        <tr r="J200" s="19"/>
        <tr r="J22" s="19"/>
        <tr r="J139" s="19"/>
        <tr r="J100" s="19"/>
        <tr r="J172" s="19"/>
        <tr r="J7" s="19"/>
        <tr r="J141" s="19"/>
        <tr r="J39" s="19"/>
        <tr r="J63" s="19"/>
        <tr r="J35" s="19"/>
        <tr r="J112" s="19"/>
        <tr r="J173" s="19"/>
        <tr r="J85" s="19"/>
        <tr r="J43" s="19"/>
        <tr r="J166" s="19"/>
        <tr r="J92" s="19"/>
        <tr r="J52" s="19"/>
        <tr r="J155" s="19"/>
        <tr r="J77" s="19"/>
        <tr r="J29" s="19"/>
        <tr r="J15" s="19"/>
        <tr r="J94" s="19"/>
        <tr r="J48" s="19"/>
        <tr r="J126" s="19"/>
      </tp>
    </main>
    <main first="rtdsrv.8a92272bbb794b2789e42afd4cc513d6">
      <tp>
        <v>5480</v>
        <stp/>
        <stp>Market</stp>
        <stp>STOCK</stp>
        <stp>40910.T</stp>
        <stp>安値</stp>
        <tr r="C157" s="7"/>
        <tr r="I152" s="4"/>
        <tr r="I152" s="24"/>
      </tp>
      <tp>
        <v>2260.5</v>
        <stp/>
        <stp>Market</stp>
        <stp>STOCK</stp>
        <stp>46610.T</stp>
        <stp>安値</stp>
        <tr r="C101" s="7"/>
        <tr r="I103" s="4"/>
        <tr r="I103" s="24"/>
      </tp>
    </main>
    <main first="rtdsrv.8a92272bbb794b2789e42afd4cc513d6">
      <tp>
        <v>3964</v>
        <stp/>
        <stp>Market</stp>
        <stp>STOCK</stp>
        <stp>59010.T</stp>
        <stp>安値</stp>
        <tr r="C55" s="7"/>
        <tr r="I71" s="4"/>
        <tr r="I71" s="24"/>
      </tp>
      <tp>
        <v>44900</v>
        <stp/>
        <stp>Market</stp>
        <stp>STOCK</stp>
        <stp>58010.T</stp>
        <stp>安値</stp>
        <tr r="I45" s="4"/>
        <tr r="C200" s="7"/>
        <tr r="I45" s="24"/>
      </tp>
      <tp>
        <v>3617</v>
        <stp/>
        <stp>Market</stp>
        <stp>STOCK</stp>
        <stp>50210.T</stp>
        <stp>安値</stp>
        <tr r="I88" s="4"/>
        <tr r="C15" s="7"/>
        <tr r="I88" s="24"/>
      </tp>
      <tp>
        <v>7190</v>
        <stp/>
        <stp>Market</stp>
        <stp>STOCK</stp>
        <stp>52010.T</stp>
        <stp>安値</stp>
        <tr r="C53" s="7"/>
        <tr r="I175" s="4"/>
        <tr r="I175" s="24"/>
      </tp>
      <tp>
        <v>2257</v>
        <stp/>
        <stp>Market</stp>
        <stp>STOCK</stp>
        <stp>55410.T</stp>
        <stp>安値</stp>
        <tr r="C20" s="7"/>
        <tr r="I90" s="4"/>
        <tr r="I90" s="24"/>
      </tp>
      <tp>
        <v>1630.5</v>
        <stp/>
        <stp>Market</stp>
        <stp>STOCK</stp>
        <stp>54110.T</stp>
        <stp>安値</stp>
        <tr r="C84" s="7"/>
        <tr r="I7" s="4"/>
        <tr r="I7" s="24"/>
      </tp>
      <tp>
        <v>556.6</v>
        <stp/>
        <stp>Market</stp>
        <stp>STOCK</stp>
        <stp>54010.T</stp>
        <stp>安値</stp>
        <tr r="C46" s="7"/>
        <tr r="I173" s="4"/>
        <tr r="I173" s="24"/>
      </tp>
      <tp>
        <v>4842</v>
        <stp/>
        <stp>Market</stp>
        <stp>STOCK</stp>
        <stp>57110.T</stp>
        <stp>安値</stp>
        <tr r="I87" s="4"/>
        <tr r="C9" s="7"/>
        <tr r="I87" s="24"/>
      </tp>
      <tp>
        <v>7839</v>
        <stp/>
        <stp>Market</stp>
        <stp>STOCK</stp>
        <stp>56310.T</stp>
        <stp>安値</stp>
        <tr r="C263" s="7"/>
      </tp>
    </main>
    <main first="rtdsrv.8a92272bbb794b2789e42afd4cc513d6">
      <tp>
        <v>10200</v>
        <stp/>
        <stp>Market</stp>
        <stp>STOCK</stp>
        <stp>69810.T</stp>
        <stp>安値</stp>
        <tr r="C154" s="7"/>
        <tr r="I30" s="4"/>
        <tr r="I30" s="24"/>
      </tp>
      <tp>
        <v>73490</v>
        <stp/>
        <stp>Market</stp>
        <stp>STOCK</stp>
        <stp>68610.T</stp>
        <stp>安値</stp>
        <tr r="C209" s="7"/>
      </tp>
      <tp>
        <v>5150</v>
        <stp/>
        <stp>Market</stp>
        <stp>STOCK</stp>
        <stp>68410.T</stp>
        <stp>安値</stp>
        <tr r="I100" s="4"/>
        <tr r="C81" s="7"/>
        <tr r="I100" s="24"/>
      </tp>
      <tp>
        <v>6089</v>
        <stp/>
        <stp>Market</stp>
        <stp>STOCK</stp>
        <stp>63610.T</stp>
        <stp>安値</stp>
        <tr r="C249" s="7"/>
      </tp>
      <tp>
        <v>3900</v>
        <stp/>
        <stp>Market</stp>
        <stp>STOCK</stp>
        <stp>63310.T</stp>
        <stp>安値</stp>
        <tr r="C301" s="7"/>
      </tp>
      <tp>
        <v>4455</v>
        <stp/>
        <stp>Market</stp>
        <stp>STOCK</stp>
        <stp>65210.T</stp>
        <stp>安値</stp>
        <tr r="C242" s="7"/>
      </tp>
      <tp>
        <v>4670</v>
        <stp/>
        <stp>Market</stp>
        <stp>STOCK</stp>
        <stp>65010.T</stp>
        <stp>安値</stp>
        <tr r="I126" s="4"/>
        <tr r="C91" s="7"/>
        <tr r="I126" s="24"/>
      </tp>
      <tp>
        <v>3796</v>
        <stp/>
        <stp>Market</stp>
        <stp>STOCK</stp>
        <stp>67010.T</stp>
        <stp>安値</stp>
        <tr r="I139" s="4"/>
        <tr r="C11" s="7"/>
        <tr r="I139" s="24"/>
      </tp>
    </main>
    <main first="rtdsrv.8a92272bbb794b2789e42afd4cc513d6">
      <tp>
        <v>2994</v>
        <stp/>
        <stp>Market</stp>
        <stp>STOCK</stp>
        <stp>79810.T</stp>
        <stp>安値</stp>
        <tr r="C171" s="7"/>
        <tr r="I116" s="4"/>
        <tr r="I116" s="24"/>
      </tp>
      <tp>
        <v>1516</v>
        <stp/>
        <stp>Market</stp>
        <stp>STOCK</stp>
        <stp>71810.T</stp>
        <stp>安値</stp>
        <tr r="I119" s="4"/>
        <tr r="C190" s="7"/>
        <tr r="I119" s="24"/>
      </tp>
      <tp>
        <v>1800</v>
        <stp/>
        <stp>Market</stp>
        <stp>STOCK</stp>
        <stp>70210.T</stp>
        <stp>安値</stp>
        <tr r="I76" s="4"/>
        <tr r="C106" s="7"/>
        <tr r="I76" s="24"/>
      </tp>
      <tp>
        <v>3796</v>
        <stp/>
        <stp>Market</stp>
        <stp>STOCK</stp>
        <stp>70110.T</stp>
        <stp>安値</stp>
        <tr r="C207" s="7"/>
        <tr r="I197" s="4"/>
        <tr r="I197" s="24"/>
      </tp>
      <tp>
        <v>975</v>
        <stp/>
        <stp>Market</stp>
        <stp>STOCK</stp>
        <stp>73810.T</stp>
        <stp>安値</stp>
        <tr r="I63" s="4"/>
        <tr r="C152" s="7"/>
        <tr r="I63" s="24"/>
      </tp>
      <tp>
        <v>26900</v>
        <stp/>
        <stp>Market</stp>
        <stp>STOCK</stp>
        <stp>77410.T</stp>
        <stp>安値</stp>
        <tr r="C302" s="7"/>
      </tp>
      <tp>
        <v>5160</v>
        <stp/>
        <stp>Market</stp>
        <stp>STOCK</stp>
        <stp>77110.T</stp>
        <stp>安値</stp>
        <tr r="C268" s="7"/>
      </tp>
    </main>
    <main first="rtdsrv.8a92272bbb794b2789e42afd4cc513d6">
      <tp>
        <v>2639</v>
        <stp/>
        <stp>Market</stp>
        <stp>STOCK</stp>
        <stp>19610.T</stp>
        <stp>安値</stp>
        <tr r="C59" s="7"/>
        <tr r="I51" s="4"/>
        <tr r="I51" s="24"/>
      </tp>
    </main>
    <main first="rtdsrv.8a92272bbb794b2789e42afd4cc513d6">
      <tp>
        <v>1400</v>
        <stp/>
        <stp>Market</stp>
        <stp>STOCK</stp>
        <stp>39410.T</stp>
        <stp>安値</stp>
        <tr r="C48" s="7"/>
        <tr r="I142" s="4"/>
        <tr r="I142" s="24"/>
      </tp>
      <tp>
        <v>8780</v>
        <stp/>
        <stp>Market</stp>
        <stp>STOCK</stp>
        <stp>38910.T</stp>
        <stp>安値</stp>
        <tr r="I43" s="4"/>
        <tr r="C159" s="7"/>
        <tr r="I43" s="24"/>
      </tp>
      <tp>
        <v>796.8</v>
        <stp/>
        <stp>Market</stp>
        <stp>STOCK</stp>
        <stp>38610.T</stp>
        <stp>安値</stp>
        <tr r="C41" s="7"/>
        <tr r="I123" s="4"/>
        <tr r="I123" s="24"/>
      </tp>
      <tp>
        <v>1628</v>
        <stp/>
        <stp>Market</stp>
        <stp>STOCK</stp>
        <stp>34010.T</stp>
        <stp>安値</stp>
        <tr r="I169" s="4"/>
        <tr r="C27" s="7"/>
        <tr r="I169" s="24"/>
      </tp>
      <tp>
        <v>3245</v>
        <stp/>
        <stp>Market</stp>
        <stp>STOCK</stp>
        <stp>88710.T</stp>
        <stp>安値</stp>
        <tr r="C278" s="7"/>
      </tp>
      <tp>
        <v>1516.5</v>
        <stp/>
        <stp>Market</stp>
        <stp>STOCK</stp>
        <stp>88010.T</stp>
        <stp>安値</stp>
        <tr r="C124" s="7"/>
        <tr r="I129" s="4"/>
        <tr r="I129" s="24"/>
      </tp>
      <tp>
        <v>1580</v>
        <stp/>
        <stp>Market</stp>
        <stp>STOCK</stp>
        <stp>81410.T</stp>
        <stp>安値</stp>
        <tr r="C292" s="7"/>
      </tp>
      <tp>
        <v>2211</v>
        <stp/>
        <stp>Market</stp>
        <stp>STOCK</stp>
        <stp>80910.T</stp>
        <stp>安値</stp>
        <tr r="I158" s="4"/>
        <tr r="C182" s="7"/>
        <tr r="I158" s="24"/>
      </tp>
      <tp>
        <v>1050</v>
        <stp/>
        <stp>Market</stp>
        <stp>STOCK</stp>
        <stp>82810.T</stp>
        <stp>安値</stp>
        <tr r="I179" s="4"/>
        <tr r="C63" s="7"/>
        <tr r="I179" s="24"/>
      </tp>
      <tp>
        <v>6280</v>
        <stp/>
        <stp>Market</stp>
        <stp>STOCK</stp>
        <stp>85910.T</stp>
        <stp>安値</stp>
        <tr r="C26" s="7"/>
        <tr r="I67" s="4"/>
        <tr r="I67" s="24"/>
      </tp>
      <tp>
        <v>7902</v>
        <stp/>
        <stp>Market</stp>
        <stp>STOCK</stp>
        <stp>84110.T</stp>
        <stp>安値</stp>
        <tr r="I66" s="4"/>
        <tr r="C19" s="7"/>
        <tr r="I66" s="24"/>
      </tp>
      <tp>
        <v>1593</v>
        <stp/>
        <stp>Market</stp>
        <stp>STOCK</stp>
        <stp>86010.T</stp>
        <stp>安値</stp>
        <tr r="C33" s="7"/>
        <tr r="I198" s="4"/>
        <tr r="I198" s="24"/>
      </tp>
    </main>
    <main first="rtdsrv.8a92272bbb794b2789e42afd4cc513d6">
      <tp>
        <v>5281</v>
        <stp/>
        <stp>Market</stp>
        <stp>STOCK</stp>
        <stp>91010.T</stp>
        <stp>安値</stp>
        <tr r="I164" s="4"/>
        <tr r="C206" s="7"/>
        <tr r="I164" s="24"/>
      </tp>
      <tp>
        <v>3350</v>
        <stp/>
        <stp>Market</stp>
        <stp>STOCK</stp>
        <stp>95510.T</stp>
        <stp>安値</stp>
        <tr r="I134" s="4"/>
        <tr r="C167" s="7"/>
        <tr r="I134" s="24"/>
      </tp>
      <tp>
        <v>6138</v>
        <stp/>
        <stp>Market</stp>
        <stp>STOCK</stp>
        <stp>95310.T</stp>
        <stp>安値</stp>
        <tr r="I203" s="4"/>
        <tr r="C115" s="7"/>
        <tr r="I203" s="24"/>
      </tp>
      <tp>
        <v>507.4</v>
        <stp/>
        <stp>Market</stp>
        <stp>STOCK</stp>
        <stp>95010.T</stp>
        <stp>安値</stp>
        <tr r="C114" s="7"/>
        <tr r="I105" s="4"/>
        <tr r="I105" s="24"/>
      </tp>
    </main>
    <main first="rtdsrv.8a92272bbb794b2789e42afd4cc513d6">
      <tp>
        <v>7270</v>
        <stp/>
        <stp>Market</stp>
        <stp>STOCK</stp>
        <stp>69540.T</stp>
        <stp>始値</stp>
        <tr r="F16" s="4"/>
        <tr r="C78" s="5"/>
        <tr r="F16" s="24"/>
      </tp>
      <tp>
        <v>8217</v>
        <stp/>
        <stp>Market</stp>
        <stp>STOCK</stp>
        <stp>61340.T</stp>
        <stp>始値</stp>
        <tr r="F25" s="4"/>
        <tr r="C92" s="5"/>
        <tr r="F25" s="24"/>
      </tp>
      <tp>
        <v>7280</v>
        <stp/>
        <stp>Market</stp>
        <stp>STOCK</stp>
        <stp>63240.T</stp>
        <stp>始値</stp>
        <tr r="C210" s="5"/>
      </tp>
      <tp>
        <v>4500</v>
        <stp/>
        <stp>Market</stp>
        <stp>STOCK</stp>
        <stp>62540.T</stp>
        <stp>始値</stp>
        <tr r="F5" s="4"/>
        <tr r="C30" s="5"/>
        <tr r="F5" s="24"/>
      </tp>
      <tp>
        <v>4001</v>
        <stp/>
        <stp>Market</stp>
        <stp>STOCK</stp>
        <stp>67540.T</stp>
        <stp>始値</stp>
        <tr r="F31" s="4"/>
        <tr r="C155" s="5"/>
        <tr r="F31" s="24"/>
      </tp>
      <tp>
        <v>4200</v>
        <stp/>
        <stp>Market</stp>
        <stp>STOCK</stp>
        <stp>67440.T</stp>
        <stp>始値</stp>
        <tr r="C120" s="5"/>
        <tr r="F106" s="4"/>
        <tr r="F106" s="24"/>
      </tp>
      <tp>
        <v>6668</v>
        <stp/>
        <stp>Market</stp>
        <stp>STOCK</stp>
        <stp>66740.T</stp>
        <stp>始値</stp>
        <tr r="C264" s="5"/>
      </tp>
      <tp>
        <v>3755</v>
        <stp/>
        <stp>Market</stp>
        <stp>STOCK</stp>
        <stp>70140.T</stp>
        <stp>始値</stp>
        <tr r="C256" s="5"/>
      </tp>
      <tp>
        <v>1330</v>
        <stp/>
        <stp>Market</stp>
        <stp>STOCK</stp>
        <stp>74140.T</stp>
        <stp>始値</stp>
        <tr r="C294" s="5"/>
      </tp>
      <tp>
        <v>1074</v>
        <stp/>
        <stp>Market</stp>
        <stp>STOCK</stp>
        <stp>77940.T</stp>
        <stp>始値</stp>
        <tr r="F80" s="4"/>
        <tr r="C136" s="5"/>
        <tr r="F80" s="24"/>
      </tp>
      <tp>
        <v>17735</v>
        <stp/>
        <stp>Market</stp>
        <stp>STOCK</stp>
        <stp>40040.T</stp>
        <stp>始値</stp>
        <tr r="C213" s="5"/>
      </tp>
      <tp>
        <v>3251</v>
        <stp/>
        <stp>Market</stp>
        <stp>STOCK</stp>
        <stp>45440.T</stp>
        <stp>始値</stp>
        <tr r="C273" s="5"/>
      </tp>
      <tp>
        <v>5771</v>
        <stp/>
        <stp>Market</stp>
        <stp>STOCK</stp>
        <stp>47040.T</stp>
        <stp>始値</stp>
        <tr r="C254" s="5"/>
      </tp>
      <tp>
        <v>4726</v>
        <stp/>
        <stp>Market</stp>
        <stp>STOCK</stp>
        <stp>58440.T</stp>
        <stp>始値</stp>
        <tr r="F61" s="4"/>
        <tr r="C118" s="5"/>
        <tr r="F61" s="24"/>
      </tp>
      <tp>
        <v>9770</v>
        <stp/>
        <stp>Market</stp>
        <stp>STOCK</stp>
        <stp>57140.T</stp>
        <stp>始値</stp>
        <tr r="F47" s="4"/>
        <tr r="C10" s="5"/>
        <tr r="F47" s="24"/>
      </tp>
      <tp>
        <v>6133</v>
        <stp/>
        <stp>Market</stp>
        <stp>STOCK</stp>
        <stp>29140.T</stp>
        <stp>始値</stp>
        <tr r="C87" s="5"/>
        <tr r="F182" s="4"/>
        <tr r="F182" s="24"/>
      </tp>
      <tp>
        <v>1775</v>
        <stp/>
        <stp>Market</stp>
        <stp>STOCK</stp>
        <stp>39840.T</stp>
        <stp>始値</stp>
        <tr r="C239" s="5"/>
      </tp>
      <tp>
        <v>1076</v>
        <stp/>
        <stp>Market</stp>
        <stp>STOCK</stp>
        <stp>38640.T</stp>
        <stp>始値</stp>
        <tr r="C271" s="5"/>
      </tp>
      <tp>
        <v>2170</v>
        <stp/>
        <stp>Market</stp>
        <stp>STOCK</stp>
        <stp>38540.T</stp>
        <stp>始値</stp>
        <tr r="F54" s="4"/>
        <tr r="C71" s="5"/>
        <tr r="F54" s="24"/>
      </tp>
      <tp>
        <v>544</v>
        <stp/>
        <stp>Market</stp>
        <stp>STOCK</stp>
        <stp>15140.T</stp>
        <stp>始値</stp>
        <tr r="C262" s="5"/>
      </tp>
      <tp>
        <v>2388</v>
        <stp/>
        <stp>Market</stp>
        <stp>STOCK</stp>
        <stp>89340.T</stp>
        <stp>始値</stp>
        <tr r="F149" s="4"/>
        <tr r="C125" s="5"/>
        <tr r="F149" s="24"/>
      </tp>
      <tp>
        <v>3580</v>
        <stp/>
        <stp>Market</stp>
        <stp>STOCK</stp>
        <stp>83440.T</stp>
        <stp>始値</stp>
        <tr r="C293" s="5"/>
      </tp>
      <tp>
        <v>2360</v>
        <stp/>
        <stp>Market</stp>
        <stp>STOCK</stp>
        <stp>83340.T</stp>
        <stp>始値</stp>
        <tr r="C122" s="5"/>
        <tr r="F204" s="4"/>
        <tr r="F204" s="24"/>
      </tp>
      <tp>
        <v>4302</v>
        <stp/>
        <stp>Market</stp>
        <stp>STOCK</stp>
        <stp>84240.T</stp>
        <stp>始値</stp>
        <tr r="F185" s="4"/>
        <tr r="C108" s="5"/>
        <tr r="F185" s="24"/>
      </tp>
      <tp>
        <v>1146</v>
        <stp/>
        <stp>Market</stp>
        <stp>STOCK</stp>
        <stp>87040.T</stp>
        <stp>始値</stp>
        <tr r="F19" s="4"/>
        <tr r="C164" s="5"/>
        <tr r="F19" s="24"/>
      </tp>
      <tp>
        <v>1430</v>
        <stp/>
        <stp>Market</stp>
        <stp>STOCK</stp>
        <stp>86040.T</stp>
        <stp>始値</stp>
        <tr r="C40" s="5"/>
        <tr r="F199" s="4"/>
        <tr r="F199" s="24"/>
      </tp>
      <tp>
        <v>6920</v>
        <stp/>
        <stp>Market</stp>
        <stp>STOCK</stp>
        <stp>99840.T</stp>
        <stp>始値</stp>
        <tr r="C65" s="5"/>
        <tr r="F53" s="4"/>
        <tr r="F53" s="24"/>
      </tp>
      <tp>
        <v>5459</v>
        <stp/>
        <stp>Market</stp>
        <stp>STOCK</stp>
        <stp>91040.T</stp>
        <stp>始値</stp>
        <tr r="C259" s="5"/>
      </tp>
      <tp>
        <v>1770</v>
        <stp/>
        <stp>Market</stp>
        <stp>STOCK</stp>
        <stp>90640.T</stp>
        <stp>始値</stp>
        <tr r="F163" s="4"/>
        <tr r="C189" s="5"/>
        <tr r="F163" s="24"/>
      </tp>
      <tp>
        <v>113</v>
        <stp/>
        <stp>Market</stp>
        <stp>STOCK</stp>
        <stp>94240.T</stp>
        <stp>始値</stp>
        <tr r="F15" s="4"/>
        <tr r="C70" s="5"/>
        <tr r="F15" s="24"/>
      </tp>
      <tp>
        <v>2897.5</v>
        <stp/>
        <stp>Market</stp>
        <stp>STOCK</stp>
        <stp>94040.T</stp>
        <stp>始値</stp>
        <tr r="C119" s="5"/>
        <tr r="F78" s="4"/>
        <tr r="F78" s="24"/>
      </tp>
      <tp>
        <v>25750</v>
        <stp/>
        <stp>Market</stp>
        <stp>STOCK</stp>
        <stp>49660.T</stp>
        <stp>安値</stp>
        <tr r="C196" s="7"/>
        <tr r="I34" s="4"/>
        <tr r="I34" s="24"/>
      </tp>
      <tp>
        <v>1863.5</v>
        <stp/>
        <stp>Market</stp>
        <stp>STOCK</stp>
        <stp>45360.T</stp>
        <stp>安値</stp>
        <tr r="C67" s="7"/>
        <tr r="I125" s="4"/>
        <tr r="I125" s="24"/>
      </tp>
      <tp>
        <v>2266</v>
        <stp/>
        <stp>Market</stp>
        <stp>STOCK</stp>
        <stp>47760.T</stp>
        <stp>安値</stp>
        <tr r="C253" s="7"/>
      </tp>
      <tp>
        <v>3999</v>
        <stp/>
        <stp>Market</stp>
        <stp>STOCK</stp>
        <stp>46760.T</stp>
        <stp>安値</stp>
        <tr r="C58" s="7"/>
        <tr r="I177" s="4"/>
        <tr r="I177" s="24"/>
      </tp>
      <tp>
        <v>1973</v>
        <stp/>
        <stp>Market</stp>
        <stp>STOCK</stp>
        <stp>54060.T</stp>
        <stp>安値</stp>
        <tr r="C38" s="7"/>
        <tr r="I95" s="4"/>
        <tr r="I95" s="24"/>
      </tp>
      <tp>
        <v>46090</v>
        <stp/>
        <stp>Market</stp>
        <stp>STOCK</stp>
        <stp>57060.T</stp>
        <stp>安値</stp>
        <tr r="I11" s="4"/>
        <tr r="C6" s="7"/>
        <tr r="I11" s="24"/>
      </tp>
      <tp>
        <v>80000</v>
        <stp/>
        <stp>Market</stp>
        <stp>STOCK</stp>
        <stp>61460.T</stp>
        <stp>安値</stp>
        <tr r="I120" s="4"/>
        <tr r="C197" s="7"/>
        <tr r="I120" s="24"/>
      </tp>
      <tp>
        <v>3715</v>
        <stp/>
        <stp>Market</stp>
        <stp>STOCK</stp>
        <stp>63760.T</stp>
        <stp>安値</stp>
        <tr r="C269" s="7"/>
      </tp>
      <tp>
        <v>773</v>
        <stp/>
        <stp>Market</stp>
        <stp>STOCK</stp>
        <stp>63660.T</stp>
        <stp>安値</stp>
        <tr r="C260" s="7"/>
      </tp>
      <tp>
        <v>1393</v>
        <stp/>
        <stp>Market</stp>
        <stp>STOCK</stp>
        <stp>63560.T</stp>
        <stp>安値</stp>
        <tr r="C267" s="7"/>
      </tp>
      <tp>
        <v>6430</v>
        <stp/>
        <stp>Market</stp>
        <stp>STOCK</stp>
        <stp>65160.T</stp>
        <stp>安値</stp>
        <tr r="C151" s="7"/>
        <tr r="I29" s="4"/>
        <tr r="I29" s="24"/>
      </tp>
      <tp>
        <v>6718</v>
        <stp/>
        <stp>Market</stp>
        <stp>STOCK</stp>
        <stp>65060.T</stp>
        <stp>安値</stp>
        <tr r="C201" s="7"/>
        <tr r="I20" s="4"/>
        <tr r="I20" s="24"/>
      </tp>
      <tp>
        <v>3546</v>
        <stp/>
        <stp>Market</stp>
        <stp>STOCK</stp>
        <stp>64360.T</stp>
        <stp>安値</stp>
        <tr r="I155" s="4"/>
        <tr r="C178" s="7"/>
        <tr r="I155" s="24"/>
      </tp>
      <tp>
        <v>9030</v>
        <stp/>
        <stp>Market</stp>
        <stp>STOCK</stp>
        <stp>67360.T</stp>
        <stp>安値</stp>
        <tr r="C287" s="7"/>
      </tp>
      <tp>
        <v>3105</v>
        <stp/>
        <stp>Market</stp>
        <stp>STOCK</stp>
        <stp>67060.T</stp>
        <stp>安値</stp>
        <tr r="C291" s="7"/>
      </tp>
      <tp>
        <v>4964</v>
        <stp/>
        <stp>Market</stp>
        <stp>STOCK</stp>
        <stp>78460.T</stp>
        <stp>安値</stp>
        <tr r="I202" s="4"/>
        <tr r="C75" s="7"/>
        <tr r="I202" s="24"/>
      </tp>
      <tp>
        <v>7150</v>
        <stp/>
        <stp>Market</stp>
        <stp>STOCK</stp>
        <stp>78060.T</stp>
        <stp>安値</stp>
        <tr r="C73" s="7"/>
        <tr r="I55" s="4"/>
        <tr r="I55" s="24"/>
      </tp>
      <tp>
        <v>14110</v>
        <stp/>
        <stp>Market</stp>
        <stp>STOCK</stp>
        <stp>72360.T</stp>
        <stp>安値</stp>
        <tr r="C177" s="7"/>
        <tr r="I137" s="4"/>
        <tr r="I137" s="24"/>
      </tp>
      <tp>
        <v>811</v>
        <stp/>
        <stp>Market</stp>
        <stp>STOCK</stp>
        <stp>77460.T</stp>
        <stp>安値</stp>
        <tr r="I144" s="4"/>
        <tr r="C93" s="7"/>
        <tr r="I144" s="24"/>
      </tp>
      <tp>
        <v>3585</v>
        <stp/>
        <stp>Market</stp>
        <stp>STOCK</stp>
        <stp>23260.T</stp>
        <stp>安値</stp>
        <tr r="C237" s="7"/>
      </tp>
      <tp>
        <v>152</v>
        <stp/>
        <stp>Market</stp>
        <stp>STOCK</stp>
        <stp>39360.T</stp>
        <stp>安値</stp>
        <tr r="C245" s="7"/>
      </tp>
      <tp>
        <v>3978</v>
        <stp/>
        <stp>Market</stp>
        <stp>STOCK</stp>
        <stp>34360.T</stp>
        <stp>安値</stp>
        <tr r="C28" s="7"/>
        <tr r="I4" s="4"/>
        <tr r="I4" s="24"/>
      </tp>
      <tp>
        <v>1794</v>
        <stp/>
        <stp>Market</stp>
        <stp>STOCK</stp>
        <stp>36960.T</stp>
        <stp>安値</stp>
        <tr r="C228" s="7"/>
      </tp>
      <tp>
        <v>6450</v>
        <stp/>
        <stp>Market</stp>
        <stp>STOCK</stp>
        <stp>83160.T</stp>
        <stp>安値</stp>
        <tr r="C50" s="7"/>
        <tr r="I70" s="4"/>
        <tr r="I70" s="24"/>
      </tp>
      <tp>
        <v>3260</v>
        <stp/>
        <stp>Market</stp>
        <stp>STOCK</stp>
        <stp>83060.T</stp>
        <stp>安値</stp>
        <tr r="I201" s="4"/>
        <tr r="C45" s="7"/>
        <tr r="I201" s="24"/>
      </tp>
      <tp>
        <v>7252</v>
        <stp/>
        <stp>Market</stp>
        <stp>STOCK</stp>
        <stp>87660.T</stp>
        <stp>安値</stp>
        <tr r="C52" s="7"/>
        <tr r="I174" s="4"/>
        <tr r="I174" s="24"/>
      </tp>
      <tp>
        <v>2237</v>
        <stp/>
        <stp>Market</stp>
        <stp>STOCK</stp>
        <stp>95360.T</stp>
        <stp>安値</stp>
        <tr r="C185" s="7"/>
        <tr r="I160" s="4"/>
        <tr r="I160" s="24"/>
      </tp>
      <tp>
        <v>1032.5</v>
        <stp/>
        <stp>Market</stp>
        <stp>STOCK</stp>
        <stp>95060.T</stp>
        <stp>安値</stp>
        <tr r="C186" s="7"/>
        <tr r="I193" s="4"/>
        <tr r="I193" s="24"/>
      </tp>
      <tp>
        <v>1012</v>
        <stp/>
        <stp>Market</stp>
        <stp>STOCK</stp>
        <stp>94160.T</stp>
        <stp>安値</stp>
        <tr r="I107" s="4"/>
        <tr r="C126" s="7"/>
        <tr r="I107" s="24"/>
      </tp>
    </main>
    <main first="rtdsrv.8a92272bbb794b2789e42afd4cc513d6">
      <tp>
        <v>2634.5</v>
        <stp/>
        <stp>Market</stp>
        <stp>STOCK</stp>
        <stp>69650.T</stp>
        <stp>始値</stp>
        <tr r="C300" s="5"/>
      </tp>
      <tp>
        <v>502</v>
        <stp/>
        <stp>Market</stp>
        <stp>STOCK</stp>
        <stp>69550.T</stp>
        <stp>始値</stp>
        <tr r="C265" s="5"/>
      </tp>
      <tp>
        <v>4478</v>
        <stp/>
        <stp>Market</stp>
        <stp>STOCK</stp>
        <stp>69250.T</stp>
        <stp>始値</stp>
        <tr r="F42" s="4"/>
        <tr r="C105" s="5"/>
        <tr r="F42" s="24"/>
      </tp>
      <tp>
        <v>14480</v>
        <stp/>
        <stp>Market</stp>
        <stp>STOCK</stp>
        <stp>61350.T</stp>
        <stp>始値</stp>
        <tr r="C223" s="5"/>
      </tp>
      <tp>
        <v>321</v>
        <stp/>
        <stp>Market</stp>
        <stp>STOCK</stp>
        <stp>60850.T</stp>
        <stp>始値</stp>
        <tr r="F150" s="4"/>
        <tr r="C137" s="5"/>
        <tr r="F150" s="24"/>
      </tp>
      <tp>
        <v>2331</v>
        <stp/>
        <stp>Market</stp>
        <stp>STOCK</stp>
        <stp>60550.T</stp>
        <stp>始値</stp>
        <tr r="C224" s="5"/>
      </tp>
      <tp>
        <v>5350</v>
        <stp/>
        <stp>Market</stp>
        <stp>STOCK</stp>
        <stp>63050.T</stp>
        <stp>始値</stp>
        <tr r="C203" s="5"/>
        <tr r="F85" s="4"/>
        <tr r="F85" s="24"/>
      </tp>
      <tp>
        <v>1458</v>
        <stp/>
        <stp>Market</stp>
        <stp>STOCK</stp>
        <stp>64850.T</stp>
        <stp>始値</stp>
        <tr r="F194" s="4"/>
        <tr r="C191" s="5"/>
        <tr r="F194" s="24"/>
      </tp>
      <tp>
        <v>1312</v>
        <stp/>
        <stp>Market</stp>
        <stp>STOCK</stp>
        <stp>73750.T</stp>
        <stp>始値</stp>
        <tr r="F190" s="4"/>
        <tr r="C149" s="5"/>
        <tr r="F190" s="24"/>
      </tp>
      <tp>
        <v>14600</v>
        <stp/>
        <stp>Market</stp>
        <stp>STOCK</stp>
        <stp>77350.T</stp>
        <stp>始値</stp>
        <tr r="C283" s="5"/>
      </tp>
      <tp>
        <v>3505</v>
        <stp/>
        <stp>Market</stp>
        <stp>STOCK</stp>
        <stp>76850.T</stp>
        <stp>始値</stp>
        <tr r="F148" s="4"/>
        <tr r="C121" s="5"/>
        <tr r="F148" s="24"/>
      </tp>
      <tp>
        <v>1758.5</v>
        <stp/>
        <stp>Market</stp>
        <stp>STOCK</stp>
        <stp>40450.T</stp>
        <stp>始値</stp>
        <tr r="C61" s="5"/>
        <tr r="F178" s="4"/>
        <tr r="F178" s="24"/>
      </tp>
      <tp>
        <v>5000</v>
        <stp/>
        <stp>Market</stp>
        <stp>STOCK</stp>
        <stp>39050.T</stp>
        <stp>始値</stp>
        <tr r="C284" s="5"/>
      </tp>
      <tp>
        <v>4400</v>
        <stp/>
        <stp>Market</stp>
        <stp>STOCK</stp>
        <stp>19250.T</stp>
        <stp>始値</stp>
        <tr r="C83" s="5"/>
        <tr r="F181" s="4"/>
        <tr r="F181" s="24"/>
      </tp>
      <tp>
        <v>3328</v>
        <stp/>
        <stp>Market</stp>
        <stp>STOCK</stp>
        <stp>16050.T</stp>
        <stp>始値</stp>
        <tr r="C12" s="5"/>
        <tr r="F166" s="4"/>
        <tr r="F166" s="24"/>
      </tp>
      <tp>
        <v>69970</v>
        <stp/>
        <stp>Market</stp>
        <stp>STOCK</stp>
        <stp>80350.T</stp>
        <stp>始値</stp>
        <tr r="F35" s="4"/>
        <tr r="C198" s="5"/>
        <tr r="F35" s="24"/>
      </tp>
      <tp>
        <v>6426</v>
        <stp/>
        <stp>Market</stp>
        <stp>STOCK</stp>
        <stp>80150.T</stp>
        <stp>始値</stp>
        <tr r="F65" s="4"/>
        <tr r="C204" s="5"/>
        <tr r="F65" s="24"/>
      </tp>
      <tp>
        <v>1640</v>
        <stp/>
        <stp>Market</stp>
        <stp>STOCK</stp>
        <stp>80050.T</stp>
        <stp>始値</stp>
        <tr r="C236" s="5"/>
      </tp>
      <tp>
        <v>4945</v>
        <stp/>
        <stp>Market</stp>
        <stp>STOCK</stp>
        <stp>87950.T</stp>
        <stp>始値</stp>
        <tr r="F91" s="4"/>
        <tr r="C23" s="5"/>
        <tr r="F91" s="24"/>
      </tp>
      <tp>
        <v>4656</v>
        <stp/>
        <stp>Market</stp>
        <stp>STOCK</stp>
        <stp>87250.T</stp>
        <stp>始値</stp>
        <tr r="C22" s="5"/>
        <tr r="F168" s="4"/>
        <tr r="F168" s="24"/>
      </tp>
      <tp>
        <v>1686</v>
        <stp/>
        <stp>Market</stp>
        <stp>STOCK</stp>
        <stp>91650.T</stp>
        <stp>始値</stp>
        <tr r="C243" s="5"/>
      </tp>
      <tp>
        <v>826</v>
        <stp/>
        <stp>Market</stp>
        <stp>STOCK</stp>
        <stp>91150.T</stp>
        <stp>始値</stp>
        <tr r="C270" s="5"/>
      </tp>
      <tp>
        <v>849</v>
        <stp/>
        <stp>Market</stp>
        <stp>STOCK</stp>
        <stp>95050.T</stp>
        <stp>始値</stp>
        <tr r="F157" s="4"/>
        <tr r="C181" s="5"/>
        <tr r="F157" s="24"/>
      </tp>
      <tp>
        <v>1646.5</v>
        <stp/>
        <stp>Market</stp>
        <stp>STOCK</stp>
        <stp>48870.T</stp>
        <stp>安値</stp>
        <tr r="I195" s="4"/>
        <tr r="C192" s="7"/>
        <tr r="I195" s="24"/>
      </tp>
      <tp>
        <v>3610</v>
        <stp/>
        <stp>Market</stp>
        <stp>STOCK</stp>
        <stp>40470.T</stp>
        <stp>安値</stp>
        <tr r="C289" s="7"/>
      </tp>
      <tp>
        <v>4475</v>
        <stp/>
        <stp>Market</stp>
        <stp>STOCK</stp>
        <stp>43070.T</stp>
        <stp>安値</stp>
        <tr r="C150" s="7"/>
        <tr r="I151" s="4"/>
        <tr r="I151" s="24"/>
      </tp>
      <tp>
        <v>3070</v>
        <stp/>
        <stp>Market</stp>
        <stp>STOCK</stp>
        <stp>44170.T</stp>
        <stp>安値</stp>
        <tr r="C153" s="7"/>
        <tr r="I112" s="4"/>
        <tr r="I112" s="24"/>
      </tp>
      <tp>
        <v>3428</v>
        <stp/>
        <stp>Market</stp>
        <stp>STOCK</stp>
        <stp>59470.T</stp>
        <stp>安値</stp>
        <tr r="C42" s="7"/>
        <tr r="I96" s="4"/>
        <tr r="I96" s="24"/>
      </tp>
      <tp>
        <v>3190</v>
        <stp/>
        <stp>Market</stp>
        <stp>STOCK</stp>
        <stp>58570.T</stp>
        <stp>安値</stp>
        <tr r="I52" s="4"/>
        <tr r="C62" s="7"/>
        <tr r="I52" s="24"/>
      </tp>
      <tp>
        <v>4350</v>
        <stp/>
        <stp>Market</stp>
        <stp>STOCK</stp>
        <stp>69970.T</stp>
        <stp>安値</stp>
        <tr r="C272" s="7"/>
      </tp>
      <tp>
        <v>29585</v>
        <stp/>
        <stp>Market</stp>
        <stp>STOCK</stp>
        <stp>68570.T</stp>
        <stp>安値</stp>
        <tr r="I113" s="4"/>
        <tr r="C158" s="7"/>
        <tr r="I113" s="24"/>
      </tp>
      <tp>
        <v>2097</v>
        <stp/>
        <stp>Market</stp>
        <stp>STOCK</stp>
        <stp>60270.T</stp>
        <stp>安値</stp>
        <tr r="I98" s="4"/>
        <tr r="C72" s="7"/>
        <tr r="I98" s="24"/>
      </tp>
      <tp>
        <v>14700</v>
        <stp/>
        <stp>Market</stp>
        <stp>STOCK</stp>
        <stp>63870.T</stp>
        <stp>安値</stp>
        <tr r="I62" s="4"/>
        <tr r="C147" s="7"/>
        <tr r="I62" s="24"/>
      </tp>
      <tp>
        <v>4450</v>
        <stp/>
        <stp>Market</stp>
        <stp>STOCK</stp>
        <stp>63270.T</stp>
        <stp>安値</stp>
        <tr r="I27" s="4"/>
        <tr r="C133" s="7"/>
        <tr r="I27" s="24"/>
      </tp>
      <tp>
        <v>7920</v>
        <stp/>
        <stp>Market</stp>
        <stp>STOCK</stp>
        <stp>62270.T</stp>
        <stp>安値</stp>
        <tr r="C132" s="7"/>
        <tr r="I108" s="4"/>
        <tr r="I108" s="24"/>
      </tp>
      <tp>
        <v>14590</v>
        <stp/>
        <stp>Market</stp>
        <stp>STOCK</stp>
        <stp>65070.T</stp>
        <stp>安値</stp>
        <tr r="C183" s="7"/>
        <tr r="I64" s="4"/>
        <tr r="I64" s="24"/>
      </tp>
      <tp>
        <v>7290</v>
        <stp/>
        <stp>Market</stp>
        <stp>STOCK</stp>
        <stp>64070.T</stp>
        <stp>安値</stp>
        <tr r="C295" s="7"/>
      </tp>
      <tp>
        <v>33600</v>
        <stp/>
        <stp>Market</stp>
        <stp>STOCK</stp>
        <stp>67870.T</stp>
        <stp>安値</stp>
        <tr r="I10" s="4"/>
        <tr r="C145" s="7"/>
        <tr r="I10" s="24"/>
      </tp>
      <tp>
        <v>25600</v>
        <stp/>
        <stp>Market</stp>
        <stp>STOCK</stp>
        <stp>67770.T</stp>
        <stp>安値</stp>
        <tr r="C144" s="7"/>
        <tr r="I130" s="4"/>
        <tr r="I130" s="24"/>
      </tp>
      <tp>
        <v>1388.5</v>
        <stp/>
        <stp>Market</stp>
        <stp>STOCK</stp>
        <stp>71670.T</stp>
        <stp>安値</stp>
        <tr r="C82" s="7"/>
        <tr r="I101" s="4"/>
        <tr r="I101" s="24"/>
      </tp>
      <tp>
        <v>2220</v>
        <stp/>
        <stp>Market</stp>
        <stp>STOCK</stp>
        <stp>14070.T</stp>
        <stp>安値</stp>
        <tr r="C217" s="7"/>
      </tp>
      <tp>
        <v>640.79999999999995</v>
        <stp/>
        <stp>Market</stp>
        <stp>STOCK</stp>
        <stp>21270.T</stp>
        <stp>安値</stp>
        <tr r="C187" s="7"/>
        <tr r="I161" s="4"/>
        <tr r="I161" s="24"/>
      </tp>
      <tp>
        <v>3086</v>
        <stp/>
        <stp>Market</stp>
        <stp>STOCK</stp>
        <stp>23270.T</stp>
        <stp>安値</stp>
        <tr r="C174" s="7"/>
        <tr r="I154" s="4"/>
        <tr r="I154" s="24"/>
      </tp>
      <tp>
        <v>2612.5</v>
        <stp/>
        <stp>Market</stp>
        <stp>STOCK</stp>
        <stp>22670.T</stp>
        <stp>安値</stp>
        <tr r="C226" s="7"/>
      </tp>
      <tp>
        <v>3325</v>
        <stp/>
        <stp>Market</stp>
        <stp>STOCK</stp>
        <stp>31070.T</stp>
        <stp>安値</stp>
        <tr r="I13" s="4"/>
        <tr r="C60" s="7"/>
        <tr r="I13" s="24"/>
      </tp>
      <tp>
        <v>3650</v>
        <stp/>
        <stp>Market</stp>
        <stp>STOCK</stp>
        <stp>33970.T</stp>
        <stp>安値</stp>
        <tr r="C285" s="7"/>
      </tp>
      <tp>
        <v>1750</v>
        <stp/>
        <stp>Market</stp>
        <stp>STOCK</stp>
        <stp>34070.T</stp>
        <stp>安値</stp>
        <tr r="C94" s="7"/>
        <tr r="I183" s="4"/>
        <tr r="I183" s="24"/>
      </tp>
      <tp>
        <v>746</v>
        <stp/>
        <stp>Market</stp>
        <stp>STOCK</stp>
        <stp>80070.T</stp>
        <stp>安値</stp>
        <tr r="C281" s="7"/>
      </tp>
      <tp>
        <v>868</v>
        <stp/>
        <stp>Market</stp>
        <stp>STOCK</stp>
        <stp>92270.T</stp>
        <stp>安値</stp>
        <tr r="C111" s="7"/>
        <tr r="I146" s="4"/>
        <tr r="I146" s="24"/>
      </tp>
      <tp>
        <v>4325</v>
        <stp/>
        <stp>Market</stp>
        <stp>STOCK</stp>
        <stp>96870.T</stp>
        <stp>安値</stp>
        <tr r="I44" s="4"/>
        <tr r="C162" s="7"/>
        <tr r="I44" s="24"/>
      </tp>
      <tp>
        <v>80050</v>
        <stp/>
        <stp>Market</stp>
        <stp>STOCK</stp>
        <stp>61460.T</stp>
        <stp>始値</stp>
        <tr r="F120" s="4"/>
        <tr r="C197" s="5"/>
        <tr r="F120" s="24"/>
      </tp>
      <tp>
        <v>3715</v>
        <stp/>
        <stp>Market</stp>
        <stp>STOCK</stp>
        <stp>63760.T</stp>
        <stp>始値</stp>
        <tr r="C269" s="5"/>
      </tp>
      <tp>
        <v>776</v>
        <stp/>
        <stp>Market</stp>
        <stp>STOCK</stp>
        <stp>63660.T</stp>
        <stp>始値</stp>
        <tr r="C260" s="5"/>
      </tp>
      <tp>
        <v>1420</v>
        <stp/>
        <stp>Market</stp>
        <stp>STOCK</stp>
        <stp>63560.T</stp>
        <stp>始値</stp>
        <tr r="C267" s="5"/>
      </tp>
      <tp>
        <v>6450</v>
        <stp/>
        <stp>Market</stp>
        <stp>STOCK</stp>
        <stp>65160.T</stp>
        <stp>始値</stp>
        <tr r="C151" s="5"/>
        <tr r="F29" s="4"/>
        <tr r="F29" s="24"/>
      </tp>
      <tp>
        <v>6745</v>
        <stp/>
        <stp>Market</stp>
        <stp>STOCK</stp>
        <stp>65060.T</stp>
        <stp>始値</stp>
        <tr r="F20" s="4"/>
        <tr r="C201" s="5"/>
        <tr r="F20" s="24"/>
      </tp>
      <tp>
        <v>3595</v>
        <stp/>
        <stp>Market</stp>
        <stp>STOCK</stp>
        <stp>64360.T</stp>
        <stp>始値</stp>
        <tr r="F155" s="4"/>
        <tr r="C178" s="5"/>
        <tr r="F155" s="24"/>
      </tp>
      <tp>
        <v>9250</v>
        <stp/>
        <stp>Market</stp>
        <stp>STOCK</stp>
        <stp>67360.T</stp>
        <stp>始値</stp>
        <tr r="C287" s="5"/>
      </tp>
      <tp>
        <v>3160</v>
        <stp/>
        <stp>Market</stp>
        <stp>STOCK</stp>
        <stp>67060.T</stp>
        <stp>始値</stp>
        <tr r="C291" s="5"/>
      </tp>
      <tp>
        <v>4981</v>
        <stp/>
        <stp>Market</stp>
        <stp>STOCK</stp>
        <stp>78460.T</stp>
        <stp>始値</stp>
        <tr r="C75" s="5"/>
        <tr r="F202" s="4"/>
        <tr r="F202" s="24"/>
      </tp>
      <tp>
        <v>7260</v>
        <stp/>
        <stp>Market</stp>
        <stp>STOCK</stp>
        <stp>78060.T</stp>
        <stp>始値</stp>
        <tr r="C73" s="5"/>
        <tr r="F55" s="4"/>
        <tr r="F55" s="24"/>
      </tp>
      <tp>
        <v>14220</v>
        <stp/>
        <stp>Market</stp>
        <stp>STOCK</stp>
        <stp>72360.T</stp>
        <stp>始値</stp>
        <tr r="C177" s="5"/>
        <tr r="F137" s="4"/>
        <tr r="F137" s="24"/>
      </tp>
      <tp>
        <v>852</v>
        <stp/>
        <stp>Market</stp>
        <stp>STOCK</stp>
        <stp>77460.T</stp>
        <stp>始値</stp>
        <tr r="C93" s="5"/>
        <tr r="F144" s="4"/>
        <tr r="F144" s="24"/>
      </tp>
      <tp>
        <v>26000</v>
        <stp/>
        <stp>Market</stp>
        <stp>STOCK</stp>
        <stp>49660.T</stp>
        <stp>始値</stp>
        <tr r="F34" s="4"/>
        <tr r="C196" s="5"/>
        <tr r="F34" s="24"/>
      </tp>
      <tp>
        <v>1935.5</v>
        <stp/>
        <stp>Market</stp>
        <stp>STOCK</stp>
        <stp>45360.T</stp>
        <stp>始値</stp>
        <tr r="C67" s="5"/>
        <tr r="F125" s="4"/>
        <tr r="F125" s="24"/>
      </tp>
      <tp>
        <v>2321</v>
        <stp/>
        <stp>Market</stp>
        <stp>STOCK</stp>
        <stp>47760.T</stp>
        <stp>始値</stp>
        <tr r="C253" s="5"/>
      </tp>
      <tp>
        <v>4050</v>
        <stp/>
        <stp>Market</stp>
        <stp>STOCK</stp>
        <stp>46760.T</stp>
        <stp>始値</stp>
        <tr r="F177" s="4"/>
        <tr r="C58" s="5"/>
        <tr r="F177" s="24"/>
      </tp>
      <tp>
        <v>1989.5</v>
        <stp/>
        <stp>Market</stp>
        <stp>STOCK</stp>
        <stp>54060.T</stp>
        <stp>始値</stp>
        <tr r="C38" s="5"/>
        <tr r="F95" s="4"/>
        <tr r="F95" s="24"/>
      </tp>
      <tp>
        <v>47100</v>
        <stp/>
        <stp>Market</stp>
        <stp>STOCK</stp>
        <stp>57060.T</stp>
        <stp>始値</stp>
        <tr r="F11" s="4"/>
        <tr r="C6" s="5"/>
        <tr r="F11" s="24"/>
      </tp>
      <tp>
        <v>3615</v>
        <stp/>
        <stp>Market</stp>
        <stp>STOCK</stp>
        <stp>23260.T</stp>
        <stp>始値</stp>
        <tr r="C237" s="5"/>
      </tp>
      <tp>
        <v>156</v>
        <stp/>
        <stp>Market</stp>
        <stp>STOCK</stp>
        <stp>39360.T</stp>
        <stp>始値</stp>
        <tr r="C245" s="5"/>
      </tp>
      <tp>
        <v>4015</v>
        <stp/>
        <stp>Market</stp>
        <stp>STOCK</stp>
        <stp>34360.T</stp>
        <stp>始値</stp>
        <tr r="C28" s="5"/>
        <tr r="F4" s="4"/>
        <tr r="F4" s="24"/>
      </tp>
      <tp>
        <v>1794</v>
        <stp/>
        <stp>Market</stp>
        <stp>STOCK</stp>
        <stp>36960.T</stp>
        <stp>始値</stp>
        <tr r="C228" s="5"/>
      </tp>
      <tp>
        <v>6544</v>
        <stp/>
        <stp>Market</stp>
        <stp>STOCK</stp>
        <stp>83160.T</stp>
        <stp>始値</stp>
        <tr r="F70" s="4"/>
        <tr r="C50" s="5"/>
        <tr r="F70" s="24"/>
      </tp>
      <tp>
        <v>3266</v>
        <stp/>
        <stp>Market</stp>
        <stp>STOCK</stp>
        <stp>83060.T</stp>
        <stp>始値</stp>
        <tr r="F201" s="4"/>
        <tr r="C45" s="5"/>
        <tr r="F201" s="24"/>
      </tp>
      <tp>
        <v>7408</v>
        <stp/>
        <stp>Market</stp>
        <stp>STOCK</stp>
        <stp>87660.T</stp>
        <stp>始値</stp>
        <tr r="F174" s="4"/>
        <tr r="C52" s="5"/>
        <tr r="F174" s="24"/>
      </tp>
      <tp>
        <v>2242</v>
        <stp/>
        <stp>Market</stp>
        <stp>STOCK</stp>
        <stp>95360.T</stp>
        <stp>始値</stp>
        <tr r="F160" s="4"/>
        <tr r="C185" s="5"/>
        <tr r="F160" s="24"/>
      </tp>
      <tp>
        <v>1043.5</v>
        <stp/>
        <stp>Market</stp>
        <stp>STOCK</stp>
        <stp>95060.T</stp>
        <stp>始値</stp>
        <tr r="F193" s="4"/>
        <tr r="C186" s="5"/>
        <tr r="F193" s="24"/>
      </tp>
      <tp>
        <v>1020</v>
        <stp/>
        <stp>Market</stp>
        <stp>STOCK</stp>
        <stp>94160.T</stp>
        <stp>始値</stp>
        <tr r="C126" s="5"/>
        <tr r="F107" s="4"/>
        <tr r="F107" s="24"/>
      </tp>
      <tp>
        <v>17630</v>
        <stp/>
        <stp>Market</stp>
        <stp>STOCK</stp>
        <stp>40040.T</stp>
        <stp>安値</stp>
        <tr r="C213" s="7"/>
      </tp>
      <tp>
        <v>3170</v>
        <stp/>
        <stp>Market</stp>
        <stp>STOCK</stp>
        <stp>45440.T</stp>
        <stp>安値</stp>
        <tr r="C273" s="7"/>
      </tp>
      <tp>
        <v>5717</v>
        <stp/>
        <stp>Market</stp>
        <stp>STOCK</stp>
        <stp>47040.T</stp>
        <stp>安値</stp>
        <tr r="C254" s="7"/>
      </tp>
      <tp>
        <v>4519</v>
        <stp/>
        <stp>Market</stp>
        <stp>STOCK</stp>
        <stp>58440.T</stp>
        <stp>安値</stp>
        <tr r="I61" s="4"/>
        <tr r="C118" s="7"/>
        <tr r="I61" s="24"/>
      </tp>
      <tp>
        <v>9615</v>
        <stp/>
        <stp>Market</stp>
        <stp>STOCK</stp>
        <stp>57140.T</stp>
        <stp>安値</stp>
        <tr r="C10" s="7"/>
        <tr r="I47" s="4"/>
        <tr r="I47" s="24"/>
      </tp>
      <tp>
        <v>7223</v>
        <stp/>
        <stp>Market</stp>
        <stp>STOCK</stp>
        <stp>69540.T</stp>
        <stp>安値</stp>
        <tr r="I16" s="4"/>
        <tr r="C78" s="7"/>
        <tr r="I16" s="24"/>
      </tp>
      <tp>
        <v>8162</v>
        <stp/>
        <stp>Market</stp>
        <stp>STOCK</stp>
        <stp>61340.T</stp>
        <stp>安値</stp>
        <tr r="C92" s="7"/>
        <tr r="I25" s="4"/>
        <tr r="I25" s="24"/>
      </tp>
      <tp>
        <v>7190</v>
        <stp/>
        <stp>Market</stp>
        <stp>STOCK</stp>
        <stp>63240.T</stp>
        <stp>安値</stp>
        <tr r="C210" s="7"/>
      </tp>
      <tp>
        <v>4495</v>
        <stp/>
        <stp>Market</stp>
        <stp>STOCK</stp>
        <stp>62540.T</stp>
        <stp>安値</stp>
        <tr r="I5" s="4"/>
        <tr r="C30" s="7"/>
        <tr r="I5" s="24"/>
      </tp>
      <tp>
        <v>3968</v>
        <stp/>
        <stp>Market</stp>
        <stp>STOCK</stp>
        <stp>67540.T</stp>
        <stp>安値</stp>
        <tr r="C155" s="7"/>
        <tr r="I31" s="4"/>
        <tr r="I31" s="24"/>
      </tp>
      <tp>
        <v>4155</v>
        <stp/>
        <stp>Market</stp>
        <stp>STOCK</stp>
        <stp>67440.T</stp>
        <stp>安値</stp>
        <tr r="C120" s="7"/>
        <tr r="I106" s="4"/>
        <tr r="I106" s="24"/>
      </tp>
      <tp>
        <v>6580</v>
        <stp/>
        <stp>Market</stp>
        <stp>STOCK</stp>
        <stp>66740.T</stp>
        <stp>安値</stp>
        <tr r="C264" s="7"/>
      </tp>
      <tp>
        <v>3750</v>
        <stp/>
        <stp>Market</stp>
        <stp>STOCK</stp>
        <stp>70140.T</stp>
        <stp>安値</stp>
        <tr r="C256" s="7"/>
      </tp>
      <tp>
        <v>1329</v>
        <stp/>
        <stp>Market</stp>
        <stp>STOCK</stp>
        <stp>74140.T</stp>
        <stp>安値</stp>
        <tr r="C294" s="7"/>
      </tp>
      <tp>
        <v>1062</v>
        <stp/>
        <stp>Market</stp>
        <stp>STOCK</stp>
        <stp>77940.T</stp>
        <stp>安値</stp>
        <tr r="I80" s="4"/>
        <tr r="C136" s="7"/>
        <tr r="I80" s="24"/>
      </tp>
      <tp>
        <v>541</v>
        <stp/>
        <stp>Market</stp>
        <stp>STOCK</stp>
        <stp>15140.T</stp>
        <stp>安値</stp>
        <tr r="C262" s="7"/>
      </tp>
      <tp>
        <v>6071</v>
        <stp/>
        <stp>Market</stp>
        <stp>STOCK</stp>
        <stp>29140.T</stp>
        <stp>安値</stp>
        <tr r="I182" s="4"/>
        <tr r="C87" s="7"/>
        <tr r="I182" s="24"/>
      </tp>
      <tp>
        <v>1763</v>
        <stp/>
        <stp>Market</stp>
        <stp>STOCK</stp>
        <stp>39840.T</stp>
        <stp>安値</stp>
        <tr r="C239" s="7"/>
      </tp>
      <tp>
        <v>1058</v>
        <stp/>
        <stp>Market</stp>
        <stp>STOCK</stp>
        <stp>38640.T</stp>
        <stp>安値</stp>
        <tr r="C271" s="7"/>
      </tp>
      <tp>
        <v>2159</v>
        <stp/>
        <stp>Market</stp>
        <stp>STOCK</stp>
        <stp>38540.T</stp>
        <stp>安値</stp>
        <tr r="I54" s="4"/>
        <tr r="C71" s="7"/>
        <tr r="I54" s="24"/>
      </tp>
      <tp>
        <v>2353</v>
        <stp/>
        <stp>Market</stp>
        <stp>STOCK</stp>
        <stp>89340.T</stp>
        <stp>安値</stp>
        <tr r="C125" s="7"/>
        <tr r="I149" s="4"/>
        <tr r="I149" s="24"/>
      </tp>
      <tp>
        <v>3440</v>
        <stp/>
        <stp>Market</stp>
        <stp>STOCK</stp>
        <stp>83440.T</stp>
        <stp>安値</stp>
        <tr r="C293" s="7"/>
      </tp>
      <tp>
        <v>2307</v>
        <stp/>
        <stp>Market</stp>
        <stp>STOCK</stp>
        <stp>83340.T</stp>
        <stp>安値</stp>
        <tr r="I204" s="4"/>
        <tr r="C122" s="7"/>
        <tr r="I204" s="24"/>
      </tp>
      <tp>
        <v>4236</v>
        <stp/>
        <stp>Market</stp>
        <stp>STOCK</stp>
        <stp>84240.T</stp>
        <stp>安値</stp>
        <tr r="C108" s="7"/>
        <tr r="I185" s="4"/>
        <tr r="I185" s="24"/>
      </tp>
      <tp>
        <v>1145</v>
        <stp/>
        <stp>Market</stp>
        <stp>STOCK</stp>
        <stp>87040.T</stp>
        <stp>安値</stp>
        <tr r="I19" s="4"/>
        <tr r="C164" s="7"/>
        <tr r="I19" s="24"/>
      </tp>
      <tp>
        <v>1428.5</v>
        <stp/>
        <stp>Market</stp>
        <stp>STOCK</stp>
        <stp>86040.T</stp>
        <stp>安値</stp>
        <tr r="I199" s="4"/>
        <tr r="C40" s="7"/>
        <tr r="I199" s="24"/>
      </tp>
      <tp>
        <v>6730</v>
        <stp/>
        <stp>Market</stp>
        <stp>STOCK</stp>
        <stp>99840.T</stp>
        <stp>安値</stp>
        <tr r="C65" s="7"/>
        <tr r="I53" s="4"/>
        <tr r="I53" s="24"/>
      </tp>
      <tp>
        <v>5372</v>
        <stp/>
        <stp>Market</stp>
        <stp>STOCK</stp>
        <stp>91040.T</stp>
        <stp>安値</stp>
        <tr r="C259" s="7"/>
      </tp>
      <tp>
        <v>1763</v>
        <stp/>
        <stp>Market</stp>
        <stp>STOCK</stp>
        <stp>90640.T</stp>
        <stp>安値</stp>
        <tr r="I163" s="4"/>
        <tr r="C189" s="7"/>
        <tr r="I163" s="24"/>
      </tp>
      <tp>
        <v>113</v>
        <stp/>
        <stp>Market</stp>
        <stp>STOCK</stp>
        <stp>94240.T</stp>
        <stp>安値</stp>
        <tr r="I15" s="4"/>
        <tr r="C70" s="7"/>
        <tr r="I15" s="24"/>
      </tp>
      <tp>
        <v>2834</v>
        <stp/>
        <stp>Market</stp>
        <stp>STOCK</stp>
        <stp>94040.T</stp>
        <stp>安値</stp>
        <tr r="I78" s="4"/>
        <tr r="C119" s="7"/>
        <tr r="I78" s="24"/>
      </tp>
      <tp>
        <v>4480</v>
        <stp/>
        <stp>Market</stp>
        <stp>STOCK</stp>
        <stp>69970.T</stp>
        <stp>始値</stp>
        <tr r="C272" s="5"/>
      </tp>
      <tp>
        <v>29640</v>
        <stp/>
        <stp>Market</stp>
        <stp>STOCK</stp>
        <stp>68570.T</stp>
        <stp>始値</stp>
        <tr r="F113" s="4"/>
        <tr r="C158" s="5"/>
        <tr r="F113" s="24"/>
      </tp>
      <tp>
        <v>2110</v>
        <stp/>
        <stp>Market</stp>
        <stp>STOCK</stp>
        <stp>60270.T</stp>
        <stp>始値</stp>
        <tr r="C72" s="5"/>
        <tr r="F98" s="4"/>
        <tr r="F98" s="24"/>
      </tp>
      <tp>
        <v>15420</v>
        <stp/>
        <stp>Market</stp>
        <stp>STOCK</stp>
        <stp>63870.T</stp>
        <stp>始値</stp>
        <tr r="F62" s="4"/>
        <tr r="C147" s="5"/>
        <tr r="F62" s="24"/>
      </tp>
      <tp>
        <v>4720</v>
        <stp/>
        <stp>Market</stp>
        <stp>STOCK</stp>
        <stp>63270.T</stp>
        <stp>始値</stp>
        <tr r="C133" s="5"/>
        <tr r="F27" s="4"/>
        <tr r="F27" s="24"/>
      </tp>
      <tp>
        <v>7930</v>
        <stp/>
        <stp>Market</stp>
        <stp>STOCK</stp>
        <stp>62270.T</stp>
        <stp>始値</stp>
        <tr r="F108" s="4"/>
        <tr r="C132" s="5"/>
        <tr r="F108" s="24"/>
      </tp>
      <tp>
        <v>14720</v>
        <stp/>
        <stp>Market</stp>
        <stp>STOCK</stp>
        <stp>65070.T</stp>
        <stp>始値</stp>
        <tr r="C183" s="5"/>
        <tr r="F64" s="4"/>
        <tr r="F64" s="24"/>
      </tp>
      <tp>
        <v>7400</v>
        <stp/>
        <stp>Market</stp>
        <stp>STOCK</stp>
        <stp>64070.T</stp>
        <stp>始値</stp>
        <tr r="C295" s="5"/>
      </tp>
      <tp>
        <v>33850</v>
        <stp/>
        <stp>Market</stp>
        <stp>STOCK</stp>
        <stp>67870.T</stp>
        <stp>始値</stp>
        <tr r="F10" s="4"/>
        <tr r="C145" s="5"/>
        <tr r="F10" s="24"/>
      </tp>
      <tp>
        <v>26230</v>
        <stp/>
        <stp>Market</stp>
        <stp>STOCK</stp>
        <stp>67770.T</stp>
        <stp>始値</stp>
        <tr r="F130" s="4"/>
        <tr r="C144" s="5"/>
        <tr r="F130" s="24"/>
      </tp>
      <tp>
        <v>1429</v>
        <stp/>
        <stp>Market</stp>
        <stp>STOCK</stp>
        <stp>71670.T</stp>
        <stp>始値</stp>
        <tr r="F101" s="4"/>
        <tr r="C82" s="5"/>
        <tr r="F101" s="24"/>
      </tp>
      <tp>
        <v>1662.5</v>
        <stp/>
        <stp>Market</stp>
        <stp>STOCK</stp>
        <stp>48870.T</stp>
        <stp>始値</stp>
        <tr r="F195" s="4"/>
        <tr r="C192" s="5"/>
        <tr r="F195" s="24"/>
      </tp>
      <tp>
        <v>3750</v>
        <stp/>
        <stp>Market</stp>
        <stp>STOCK</stp>
        <stp>40470.T</stp>
        <stp>始値</stp>
        <tr r="C289" s="5"/>
      </tp>
      <tp>
        <v>4550</v>
        <stp/>
        <stp>Market</stp>
        <stp>STOCK</stp>
        <stp>43070.T</stp>
        <stp>始値</stp>
        <tr r="C150" s="5"/>
        <tr r="F151" s="4"/>
        <tr r="F151" s="24"/>
      </tp>
      <tp>
        <v>3070</v>
        <stp/>
        <stp>Market</stp>
        <stp>STOCK</stp>
        <stp>44170.T</stp>
        <stp>始値</stp>
        <tr r="F112" s="4"/>
        <tr r="C153" s="5"/>
        <tr r="F112" s="24"/>
      </tp>
      <tp>
        <v>3428</v>
        <stp/>
        <stp>Market</stp>
        <stp>STOCK</stp>
        <stp>59470.T</stp>
        <stp>始値</stp>
        <tr r="C42" s="5"/>
        <tr r="F96" s="4"/>
        <tr r="F96" s="24"/>
      </tp>
      <tp>
        <v>3205</v>
        <stp/>
        <stp>Market</stp>
        <stp>STOCK</stp>
        <stp>58570.T</stp>
        <stp>始値</stp>
        <tr r="C62" s="5"/>
        <tr r="F52" s="4"/>
        <tr r="F52" s="24"/>
      </tp>
      <tp>
        <v>645</v>
        <stp/>
        <stp>Market</stp>
        <stp>STOCK</stp>
        <stp>21270.T</stp>
        <stp>始値</stp>
        <tr r="F161" s="4"/>
        <tr r="C187" s="5"/>
        <tr r="F161" s="24"/>
      </tp>
      <tp>
        <v>3133</v>
        <stp/>
        <stp>Market</stp>
        <stp>STOCK</stp>
        <stp>23270.T</stp>
        <stp>始値</stp>
        <tr r="F154" s="4"/>
        <tr r="C174" s="5"/>
        <tr r="F154" s="24"/>
      </tp>
      <tp>
        <v>2647</v>
        <stp/>
        <stp>Market</stp>
        <stp>STOCK</stp>
        <stp>22670.T</stp>
        <stp>始値</stp>
        <tr r="C226" s="5"/>
      </tp>
      <tp>
        <v>3419</v>
        <stp/>
        <stp>Market</stp>
        <stp>STOCK</stp>
        <stp>31070.T</stp>
        <stp>始値</stp>
        <tr r="F13" s="4"/>
        <tr r="C60" s="5"/>
        <tr r="F13" s="24"/>
      </tp>
      <tp>
        <v>3728</v>
        <stp/>
        <stp>Market</stp>
        <stp>STOCK</stp>
        <stp>33970.T</stp>
        <stp>始値</stp>
        <tr r="C285" s="5"/>
      </tp>
      <tp>
        <v>1765</v>
        <stp/>
        <stp>Market</stp>
        <stp>STOCK</stp>
        <stp>34070.T</stp>
        <stp>始値</stp>
        <tr r="F183" s="4"/>
        <tr r="C94" s="5"/>
        <tr r="F183" s="24"/>
      </tp>
      <tp>
        <v>2220</v>
        <stp/>
        <stp>Market</stp>
        <stp>STOCK</stp>
        <stp>14070.T</stp>
        <stp>始値</stp>
        <tr r="C217" s="5"/>
      </tp>
      <tp>
        <v>754</v>
        <stp/>
        <stp>Market</stp>
        <stp>STOCK</stp>
        <stp>80070.T</stp>
        <stp>始値</stp>
        <tr r="C281" s="5"/>
      </tp>
      <tp>
        <v>877</v>
        <stp/>
        <stp>Market</stp>
        <stp>STOCK</stp>
        <stp>92270.T</stp>
        <stp>始値</stp>
        <tr r="C111" s="5"/>
        <tr r="F146" s="4"/>
        <tr r="F146" s="24"/>
      </tp>
      <tp>
        <v>4325</v>
        <stp/>
        <stp>Market</stp>
        <stp>STOCK</stp>
        <stp>96870.T</stp>
        <stp>始値</stp>
        <tr r="C162" s="5"/>
        <tr r="F44" s="4"/>
        <tr r="F44" s="24"/>
      </tp>
      <tp>
        <v>1749</v>
        <stp/>
        <stp>Market</stp>
        <stp>STOCK</stp>
        <stp>40450.T</stp>
        <stp>安値</stp>
        <tr r="C61" s="7"/>
        <tr r="I178" s="4"/>
        <tr r="I178" s="24"/>
      </tp>
      <tp>
        <v>2594</v>
        <stp/>
        <stp>Market</stp>
        <stp>STOCK</stp>
        <stp>69650.T</stp>
        <stp>安値</stp>
        <tr r="C300" s="7"/>
      </tp>
      <tp>
        <v>488</v>
        <stp/>
        <stp>Market</stp>
        <stp>STOCK</stp>
        <stp>69550.T</stp>
        <stp>安値</stp>
        <tr r="C265" s="7"/>
      </tp>
      <tp>
        <v>4405</v>
        <stp/>
        <stp>Market</stp>
        <stp>STOCK</stp>
        <stp>69250.T</stp>
        <stp>安値</stp>
        <tr r="I42" s="4"/>
        <tr r="C105" s="7"/>
        <tr r="I42" s="24"/>
      </tp>
      <tp>
        <v>14110</v>
        <stp/>
        <stp>Market</stp>
        <stp>STOCK</stp>
        <stp>61350.T</stp>
        <stp>安値</stp>
        <tr r="C223" s="7"/>
      </tp>
      <tp>
        <v>308</v>
        <stp/>
        <stp>Market</stp>
        <stp>STOCK</stp>
        <stp>60850.T</stp>
        <stp>安値</stp>
        <tr r="C137" s="7"/>
        <tr r="I150" s="4"/>
        <tr r="I150" s="24"/>
      </tp>
      <tp>
        <v>2325</v>
        <stp/>
        <stp>Market</stp>
        <stp>STOCK</stp>
        <stp>60550.T</stp>
        <stp>安値</stp>
        <tr r="C224" s="7"/>
      </tp>
      <tp>
        <v>5306</v>
        <stp/>
        <stp>Market</stp>
        <stp>STOCK</stp>
        <stp>63050.T</stp>
        <stp>安値</stp>
        <tr r="C203" s="7"/>
        <tr r="I85" s="4"/>
        <tr r="I85" s="24"/>
      </tp>
      <tp>
        <v>1454</v>
        <stp/>
        <stp>Market</stp>
        <stp>STOCK</stp>
        <stp>64850.T</stp>
        <stp>安値</stp>
        <tr r="I194" s="4"/>
        <tr r="C191" s="7"/>
        <tr r="I194" s="24"/>
      </tp>
      <tp>
        <v>1312</v>
        <stp/>
        <stp>Market</stp>
        <stp>STOCK</stp>
        <stp>73750.T</stp>
        <stp>安値</stp>
        <tr r="I190" s="4"/>
        <tr r="C149" s="7"/>
        <tr r="I190" s="24"/>
      </tp>
      <tp>
        <v>14550</v>
        <stp/>
        <stp>Market</stp>
        <stp>STOCK</stp>
        <stp>77350.T</stp>
        <stp>安値</stp>
        <tr r="C283" s="7"/>
      </tp>
      <tp>
        <v>3500</v>
        <stp/>
        <stp>Market</stp>
        <stp>STOCK</stp>
        <stp>76850.T</stp>
        <stp>安値</stp>
        <tr r="C121" s="7"/>
        <tr r="I148" s="4"/>
        <tr r="I148" s="24"/>
      </tp>
      <tp>
        <v>4358</v>
        <stp/>
        <stp>Market</stp>
        <stp>STOCK</stp>
        <stp>19250.T</stp>
        <stp>安値</stp>
        <tr r="I181" s="4"/>
        <tr r="C83" s="7"/>
        <tr r="I181" s="24"/>
      </tp>
      <tp>
        <v>3293</v>
        <stp/>
        <stp>Market</stp>
        <stp>STOCK</stp>
        <stp>16050.T</stp>
        <stp>安値</stp>
        <tr r="C12" s="7"/>
        <tr r="I166" s="4"/>
        <tr r="I166" s="24"/>
      </tp>
      <tp>
        <v>4780</v>
        <stp/>
        <stp>Market</stp>
        <stp>STOCK</stp>
        <stp>39050.T</stp>
        <stp>安値</stp>
        <tr r="C284" s="7"/>
      </tp>
      <tp>
        <v>69850</v>
        <stp/>
        <stp>Market</stp>
        <stp>STOCK</stp>
        <stp>80350.T</stp>
        <stp>安値</stp>
        <tr r="I35" s="4"/>
        <tr r="C198" s="7"/>
        <tr r="I35" s="24"/>
      </tp>
      <tp>
        <v>6295</v>
        <stp/>
        <stp>Market</stp>
        <stp>STOCK</stp>
        <stp>80150.T</stp>
        <stp>安値</stp>
        <tr r="C204" s="7"/>
        <tr r="I65" s="4"/>
        <tr r="I65" s="24"/>
      </tp>
      <tp>
        <v>1639</v>
        <stp/>
        <stp>Market</stp>
        <stp>STOCK</stp>
        <stp>80050.T</stp>
        <stp>安値</stp>
        <tr r="C236" s="7"/>
      </tp>
      <tp>
        <v>4718</v>
        <stp/>
        <stp>Market</stp>
        <stp>STOCK</stp>
        <stp>87950.T</stp>
        <stp>安値</stp>
        <tr r="C23" s="7"/>
        <tr r="I91" s="4"/>
        <tr r="I91" s="24"/>
      </tp>
      <tp>
        <v>4554</v>
        <stp/>
        <stp>Market</stp>
        <stp>STOCK</stp>
        <stp>87250.T</stp>
        <stp>安値</stp>
        <tr r="I168" s="4"/>
        <tr r="C22" s="7"/>
        <tr r="I168" s="24"/>
      </tp>
      <tp>
        <v>1686</v>
        <stp/>
        <stp>Market</stp>
        <stp>STOCK</stp>
        <stp>91650.T</stp>
        <stp>安値</stp>
        <tr r="C243" s="7"/>
      </tp>
      <tp>
        <v>790</v>
        <stp/>
        <stp>Market</stp>
        <stp>STOCK</stp>
        <stp>91150.T</stp>
        <stp>安値</stp>
        <tr r="C270" s="7"/>
      </tp>
      <tp>
        <v>840.1</v>
        <stp/>
        <stp>Market</stp>
        <stp>STOCK</stp>
        <stp>95050.T</stp>
        <stp>安値</stp>
        <tr r="I157" s="4"/>
        <tr r="C181" s="7"/>
        <tr r="I157" s="24"/>
      </tp>
    </main>
    <main first="rtdsrv.8a92272bbb794b2789e42afd4cc513d6">
      <tp>
        <v>-121</v>
        <stp/>
        <stp>Market</stp>
        <stp>STOCK</stp>
        <stp>58440.T</stp>
        <stp>前日比</stp>
        <tr r="J4" s="19"/>
      </tp>
    </main>
    <main first="rtdsrv.8a92272bbb794b2789e42afd4cc513d6">
      <tp>
        <v>-14</v>
        <stp/>
        <stp>Market</stp>
        <stp>STOCK</stp>
        <stp>46760.T</stp>
        <stp>前日比</stp>
        <tr r="J5" s="19"/>
      </tp>
    </main>
    <main first="rtdsrv.8a92272bbb794b2789e42afd4cc513d6">
      <tp>
        <v>-68</v>
        <stp/>
        <stp>Market</stp>
        <stp>STOCK</stp>
        <stp>61780.T</stp>
        <stp>前日比</stp>
        <tr r="J6" s="19"/>
      </tp>
    </main>
    <main first="rtdsrv.8a92272bbb794b2789e42afd4cc513d6">
      <tp t="s">
        <v/>
        <stp/>
        <stp>Market</stp>
        <stp>STOCK</stp>
        <stp/>
        <stp>出来高加重平均</stp>
        <tr r="C33" s="21"/>
        <tr r="I38" s="19"/>
        <tr r="I152" s="19"/>
        <tr r="I182" s="19"/>
        <tr r="I27" s="19"/>
        <tr r="I53" s="19"/>
        <tr r="I199" s="19"/>
        <tr r="I118" s="19"/>
        <tr r="I23" s="19"/>
        <tr r="I79" s="19"/>
        <tr r="I63" s="19"/>
        <tr r="I186" s="19"/>
        <tr r="I196" s="19"/>
        <tr r="I209" s="19"/>
        <tr r="I37" s="19"/>
        <tr r="I93" s="19"/>
        <tr r="I103" s="19"/>
        <tr r="I16" s="19"/>
        <tr r="I211" s="19"/>
        <tr r="I107" s="19"/>
        <tr r="I194" s="19"/>
        <tr r="I36" s="19"/>
        <tr r="I31" s="19"/>
        <tr r="I114" s="19"/>
        <tr r="I198" s="19"/>
        <tr r="I148" s="19"/>
        <tr r="I140" s="19"/>
        <tr r="I8" s="19"/>
        <tr r="I84" s="19"/>
        <tr r="I55" s="19"/>
        <tr r="I136" s="19"/>
        <tr r="I190" s="19"/>
        <tr r="I56" s="19"/>
        <tr r="I50" s="19"/>
        <tr r="I97" s="19"/>
        <tr r="I29" s="19"/>
        <tr r="I35" s="19"/>
        <tr r="I108" s="19"/>
        <tr r="I22" s="19"/>
        <tr r="I120" s="19"/>
        <tr r="I34" s="19"/>
        <tr r="I172" s="19"/>
        <tr r="I185" s="19"/>
        <tr r="I59" s="19"/>
        <tr r="I110" s="19"/>
        <tr r="I86" s="19"/>
        <tr r="I144" s="19"/>
        <tr r="I65" s="19"/>
        <tr r="I207" s="19"/>
        <tr r="I123" s="19"/>
        <tr r="I14" s="19"/>
        <tr r="I98" s="19"/>
        <tr r="I203" s="19"/>
        <tr r="I151" s="19"/>
        <tr r="I170" s="19"/>
        <tr r="I87" s="19"/>
        <tr r="I77" s="19"/>
        <tr r="I145" s="19"/>
        <tr r="I183" s="19"/>
        <tr r="I69" s="19"/>
        <tr r="I126" s="19"/>
        <tr r="I187" s="19"/>
        <tr r="I150" s="19"/>
        <tr r="I212" s="19"/>
        <tr r="I17" s="19"/>
        <tr r="I40" s="19"/>
        <tr r="I102" s="19"/>
        <tr r="I100" s="19"/>
        <tr r="I49" s="19"/>
        <tr r="I200" s="19"/>
        <tr r="I158" s="19"/>
        <tr r="I142" s="19"/>
        <tr r="I21" s="19"/>
        <tr r="I101" s="19"/>
        <tr r="I99" s="19"/>
        <tr r="I82" s="19"/>
        <tr r="I175" s="19"/>
        <tr r="I160" s="19"/>
        <tr r="I62" s="19"/>
        <tr r="I91" s="19"/>
        <tr r="I116" s="19"/>
        <tr r="I54" s="19"/>
        <tr r="I127" s="19"/>
        <tr r="I134" s="19"/>
        <tr r="I133" s="19"/>
        <tr r="I109" s="19"/>
        <tr r="I95" s="19"/>
        <tr r="I201" s="19"/>
        <tr r="I70" s="19"/>
        <tr r="I71" s="19"/>
        <tr r="I206" s="19"/>
        <tr r="I72" s="19"/>
        <tr r="I181" s="19"/>
        <tr r="I122" s="19"/>
        <tr r="I106" s="19"/>
        <tr r="I80" s="19"/>
        <tr r="I30" s="19"/>
        <tr r="I105" s="19"/>
        <tr r="I42" s="19"/>
        <tr r="I33" s="19"/>
        <tr r="I141" s="19"/>
        <tr r="I44" s="19"/>
        <tr r="I90" s="19"/>
        <tr r="I13" s="19"/>
        <tr r="I117" s="19"/>
        <tr r="I48" s="19"/>
        <tr r="I57" s="19"/>
        <tr r="I9" s="19"/>
        <tr r="I46" s="19"/>
        <tr r="I210" s="19"/>
        <tr r="I32" s="19"/>
        <tr r="I67" s="19"/>
        <tr r="I128" s="19"/>
        <tr r="I213" s="19"/>
        <tr r="I10" s="19"/>
        <tr r="I119" s="19"/>
        <tr r="I164" s="19"/>
        <tr r="I115" s="19"/>
        <tr r="I188" s="19"/>
        <tr r="I11" s="19"/>
        <tr r="I135" s="19"/>
        <tr r="I161" s="19"/>
        <tr r="I113" s="19"/>
        <tr r="I26" s="19"/>
        <tr r="I165" s="19"/>
        <tr r="I74" s="19"/>
        <tr r="I143" s="19"/>
        <tr r="I168" s="19"/>
        <tr r="I125" s="19"/>
        <tr r="I15" s="19"/>
        <tr r="I189" s="19"/>
        <tr r="I94" s="19"/>
        <tr r="I162" s="19"/>
        <tr r="I43" s="19"/>
        <tr r="I156" s="19"/>
        <tr r="I112" s="19"/>
        <tr r="I60" s="19"/>
        <tr r="I208" s="19"/>
        <tr r="I174" s="19"/>
        <tr r="I205" s="19"/>
        <tr r="I137" s="19"/>
        <tr r="I104" s="19"/>
        <tr r="I89" s="19"/>
        <tr r="I28" s="19"/>
        <tr r="I192" s="19"/>
        <tr r="I155" s="19"/>
        <tr r="I147" s="19"/>
        <tr r="I124" s="19"/>
        <tr r="I166" s="19"/>
        <tr r="I7" s="19"/>
        <tr r="I178" s="19"/>
        <tr r="I52" s="19"/>
        <tr r="I121" s="19"/>
        <tr r="I88" s="19"/>
        <tr r="I66" s="19"/>
        <tr r="I19" s="19"/>
        <tr r="I24" s="19"/>
        <tr r="I157" s="19"/>
        <tr r="I51" s="19"/>
        <tr r="I81" s="19"/>
        <tr r="I179" s="19"/>
        <tr r="I41" s="19"/>
        <tr r="I78" s="19"/>
        <tr r="I138" s="19"/>
        <tr r="I83" s="19"/>
        <tr r="I202" s="19"/>
        <tr r="I163" s="19"/>
        <tr r="I171" s="19"/>
        <tr r="I169" s="19"/>
        <tr r="I197" s="19"/>
        <tr r="I132" s="19"/>
        <tr r="I180" s="19"/>
        <tr r="I176" s="19"/>
        <tr r="I167" s="19"/>
        <tr r="I149" s="19"/>
        <tr r="I184" s="19"/>
        <tr r="I191" s="19"/>
        <tr r="I193" s="19"/>
        <tr r="I39" s="19"/>
        <tr r="I61" s="19"/>
        <tr r="I131" s="19"/>
        <tr r="I111" s="19"/>
        <tr r="I64" s="19"/>
        <tr r="I129" s="19"/>
        <tr r="I12" s="19"/>
        <tr r="I153" s="19"/>
        <tr r="I73" s="19"/>
        <tr r="I177" s="19"/>
        <tr r="I45" s="19"/>
        <tr r="I85" s="19"/>
        <tr r="I146" s="19"/>
        <tr r="I68" s="19"/>
        <tr r="I75" s="19"/>
        <tr r="I25" s="19"/>
        <tr r="I130" s="19"/>
        <tr r="I18" s="19"/>
        <tr r="I47" s="19"/>
        <tr r="I204" s="19"/>
        <tr r="I76" s="19"/>
        <tr r="I20" s="19"/>
        <tr r="I173" s="19"/>
        <tr r="I159" s="19"/>
        <tr r="I195" s="19"/>
        <tr r="I96" s="19"/>
        <tr r="I139" s="19"/>
        <tr r="I154" s="19"/>
        <tr r="I92" s="19"/>
        <tr r="I58" s="19"/>
      </tp>
    </main>
    <main first="rtdsrv.8a92272bbb794b2789e42afd4cc513d6">
      <tp t="s">
        <v/>
        <stp/>
        <stp>MarginPositionList</stp>
        <stp>1722432811920,1,1,5,5</stp>
        <stp/>
        <stp>A</stp>
        <stp>0</stp>
        <stp>0</stp>
        <stp>0</stp>
        <tr r="F2" s="21"/>
      </tp>
    </main>
    <main first="rtdsrv.8a92272bbb794b2789e42afd4cc513d6">
      <tp t="s">
        <v/>
        <stp/>
        <stp>Market</stp>
        <stp>STOCK</stp>
        <stp/>
        <stp>始値</stp>
        <tr r="C31" s="21"/>
      </tp>
    </main>
    <main first="rtdsrv.8a92272bbb794b2789e42afd4cc513d6">
      <tp t="s">
        <v/>
        <stp/>
        <stp>ChartPast</stp>
        <stp>1722432822736,2,2,0,0</stp>
        <stp>7741</stp>
        <stp>D</stp>
        <stp>20260303</stp>
        <stp>80</stp>
        <tr r="A3" s="10"/>
      </tp>
    </main>
    <main first="rtdsrv.8a92272bbb794b2789e42afd4cc513d6">
      <tp>
        <v>2441</v>
        <stp/>
        <stp>Market</stp>
        <stp>STOCK</stp>
        <stp>485A0.T</stp>
        <stp>始値</stp>
        <tr r="C221" s="5"/>
      </tp>
      <tp>
        <v>2380</v>
        <stp/>
        <stp>Market</stp>
        <stp>STOCK</stp>
        <stp>464A0.T</stp>
        <stp>始値</stp>
        <tr r="C220" s="5"/>
      </tp>
      <tp>
        <v>93500</v>
        <stp/>
        <stp>Market</stp>
        <stp>STOCK</stp>
        <stp>285A0.T</stp>
        <stp>始値</stp>
        <tr r="C218" s="5"/>
      </tp>
      <tp>
        <v>605</v>
        <stp/>
        <stp>Market</stp>
        <stp>STOCK</stp>
        <stp>281A0.T</stp>
        <stp>始値</stp>
        <tr r="C266" s="5"/>
      </tp>
      <tp>
        <v>9550</v>
        <stp/>
        <stp>Market</stp>
        <stp>STOCK</stp>
        <stp>278A0.T</stp>
        <stp>始値</stp>
        <tr r="C251" s="5"/>
      </tp>
      <tp>
        <v>2810</v>
        <stp/>
        <stp>Market</stp>
        <stp>STOCK</stp>
        <stp>300A0.T</stp>
        <stp>始値</stp>
        <tr r="C252" s="5"/>
      </tp>
      <tp>
        <v>1450</v>
        <stp/>
        <stp>Market</stp>
        <stp>STOCK</stp>
        <stp>186A0.T</stp>
        <stp>始値</stp>
        <tr r="C299" s="5"/>
      </tp>
      <tp>
        <v>830</v>
        <stp/>
        <stp>Market</stp>
        <stp>STOCK</stp>
        <stp>155A0.T</stp>
        <stp>始値</stp>
        <tr r="C250" s="5"/>
      </tp>
      <tp>
        <v>2791</v>
        <stp/>
        <stp>Market</stp>
        <stp>STOCK</stp>
        <stp>141A0.T</stp>
        <stp>始値</stp>
        <tr r="C219" s="5"/>
      </tp>
    </main>
    <main first="rtdsrv.8a92272bbb794b2789e42afd4cc513d6">
      <tp>
        <v>2291</v>
        <stp/>
        <stp>Market</stp>
        <stp>STOCK</stp>
        <stp>485A0.T</stp>
        <stp>安値</stp>
        <tr r="C221" s="7"/>
      </tp>
      <tp>
        <v>2166</v>
        <stp/>
        <stp>Market</stp>
        <stp>STOCK</stp>
        <stp>464A0.T</stp>
        <stp>安値</stp>
        <tr r="C220" s="7"/>
      </tp>
      <tp>
        <v>1304</v>
        <stp/>
        <stp>Market</stp>
        <stp>STOCK</stp>
        <stp>186A0.T</stp>
        <stp>安値</stp>
        <tr r="C299" s="7"/>
      </tp>
      <tp>
        <v>830</v>
        <stp/>
        <stp>Market</stp>
        <stp>STOCK</stp>
        <stp>155A0.T</stp>
        <stp>安値</stp>
        <tr r="C250" s="7"/>
      </tp>
      <tp>
        <v>2768</v>
        <stp/>
        <stp>Market</stp>
        <stp>STOCK</stp>
        <stp>141A0.T</stp>
        <stp>安値</stp>
        <tr r="C219" s="7"/>
      </tp>
      <tp>
        <v>92320</v>
        <stp/>
        <stp>Market</stp>
        <stp>STOCK</stp>
        <stp>285A0.T</stp>
        <stp>安値</stp>
        <tr r="C218" s="7"/>
      </tp>
      <tp>
        <v>602</v>
        <stp/>
        <stp>Market</stp>
        <stp>STOCK</stp>
        <stp>281A0.T</stp>
        <stp>安値</stp>
        <tr r="C266" s="7"/>
      </tp>
      <tp>
        <v>7940</v>
        <stp/>
        <stp>Market</stp>
        <stp>STOCK</stp>
        <stp>278A0.T</stp>
        <stp>安値</stp>
        <tr r="C251" s="7"/>
      </tp>
      <tp>
        <v>2810</v>
        <stp/>
        <stp>Market</stp>
        <stp>STOCK</stp>
        <stp>300A0.T</stp>
        <stp>安値</stp>
        <tr r="C252" s="7"/>
      </tp>
    </main>
    <main first="rtdsrv.8a92272bbb794b2789e42afd4cc513d6">
      <tp t="s">
        <v/>
        <stp/>
        <stp>Market</stp>
        <stp>STOCK</stp>
        <stp>TOPX0.T</stp>
        <stp>始値</stp>
        <tr r="F36" s="4"/>
        <tr r="F36" s="24"/>
      </tp>
      <tp t="s">
        <v/>
        <stp/>
        <stp>Market</stp>
        <stp>STOCK</stp>
        <stp>TOPX0.T</stp>
        <stp>安値</stp>
        <tr r="I36" s="4"/>
        <tr r="I36" s="24"/>
      </tp>
      <tp t="s">
        <v/>
        <stp/>
        <stp>MarginOpenOrder</stp>
        <stp>1722432811920,55,55,2,2</stp>
        <stp>6171</stp>
        <stp>1</stp>
        <stp/>
        <stp>3</stp>
        <stp>0</stp>
        <stp>1</stp>
        <stp>4164</stp>
        <stp>100</stp>
        <stp>0</stp>
        <stp/>
        <stp>1</stp>
        <stp/>
        <stp>0</stp>
        <stp/>
        <stp/>
        <stp/>
        <stp/>
        <stp>0</stp>
        <stp/>
        <stp/>
        <stp/>
        <stp/>
        <tr r="C56" s="21"/>
      </tp>
    </main>
    <main first="rtdsrv.8a92272bbb794b2789e42afd4cc513d6">
      <tp>
        <v>1154600</v>
        <stp/>
        <stp>Market</stp>
        <stp>STOCK</stp>
        <stp>16620.T</stp>
        <stp>出来高</stp>
        <tr r="J122" s="4"/>
        <tr r="C18" s="9"/>
        <tr r="J122" s="24"/>
      </tp>
      <tp>
        <v>968</v>
        <stp/>
        <stp>Market</stp>
        <stp>STOCK</stp>
        <stp>16180.T</stp>
        <stp>出来高</stp>
        <tr r="C227" s="9"/>
      </tp>
      <tp>
        <v>7587200</v>
        <stp/>
        <stp>Market</stp>
        <stp>STOCK</stp>
        <stp>16050.T</stp>
        <stp>出来高</stp>
        <tr r="C12" s="9"/>
        <tr r="J166" s="4"/>
        <tr r="J166" s="24"/>
      </tp>
      <tp>
        <v>725000</v>
        <stp/>
        <stp>Market</stp>
        <stp>STOCK</stp>
        <stp>141A0.T</stp>
        <stp>出来高</stp>
        <tr r="C219" s="9"/>
      </tp>
      <tp>
        <v>332800</v>
        <stp/>
        <stp>Market</stp>
        <stp>STOCK</stp>
        <stp>14070.T</stp>
        <stp>出来高</stp>
        <tr r="C217" s="9"/>
      </tp>
      <tp>
        <v>3531747</v>
        <stp/>
        <stp>Market</stp>
        <stp>STOCK</stp>
        <stp>15700.T</stp>
        <stp>出来高</stp>
        <tr r="C222" s="9"/>
      </tp>
      <tp>
        <v>58200</v>
        <stp/>
        <stp>Market</stp>
        <stp>STOCK</stp>
        <stp>155A0.T</stp>
        <stp>出来高</stp>
        <tr r="C250" s="9"/>
      </tp>
      <tp>
        <v>445300</v>
        <stp/>
        <stp>Market</stp>
        <stp>STOCK</stp>
        <stp>15140.T</stp>
        <stp>出来高</stp>
        <tr r="C262" s="9"/>
      </tp>
      <tp>
        <v>13573100</v>
        <stp/>
        <stp>Market</stp>
        <stp>STOCK</stp>
        <stp>186A0.T</stp>
        <stp>出来高</stp>
        <tr r="C299" s="9"/>
      </tp>
      <tp>
        <v>53400</v>
        <stp/>
        <stp>Market</stp>
        <stp>STOCK</stp>
        <stp>18330.T</stp>
        <stp>出来高</stp>
        <tr r="C80" s="9"/>
        <tr r="J180" s="4"/>
        <tr r="J180" s="24"/>
      </tp>
      <tp>
        <v>2120900</v>
        <stp/>
        <stp>Market</stp>
        <stp>STOCK</stp>
        <stp>18120.T</stp>
        <stp>出来高</stp>
        <tr r="C208" s="9"/>
        <tr r="J121" s="4"/>
        <tr r="J121" s="24"/>
      </tp>
      <tp>
        <v>1091500</v>
        <stp/>
        <stp>Market</stp>
        <stp>STOCK</stp>
        <stp>18080.T</stp>
        <stp>出来高</stp>
        <tr r="C297" s="9"/>
      </tp>
      <tp>
        <v>376500</v>
        <stp/>
        <stp>Market</stp>
        <stp>STOCK</stp>
        <stp>19610.T</stp>
        <stp>出来高</stp>
        <tr r="J51" s="4"/>
        <tr r="C59" s="9"/>
        <tr r="J51" s="24"/>
      </tp>
      <tp>
        <v>1864000</v>
        <stp/>
        <stp>Market</stp>
        <stp>STOCK</stp>
        <stp>19630.T</stp>
        <stp>出来高</stp>
        <tr r="J40" s="4"/>
        <tr r="C86" s="9"/>
        <tr r="J40" s="24"/>
      </tp>
      <tp>
        <v>836500</v>
        <stp/>
        <stp>Market</stp>
        <stp>STOCK</stp>
        <stp>19420.T</stp>
        <stp>出来高</stp>
        <tr r="C175" s="9"/>
        <tr r="J32" s="4"/>
        <tr r="J32" s="24"/>
      </tp>
      <tp>
        <v>65400</v>
        <stp/>
        <stp>Market</stp>
        <stp>STOCK</stp>
        <stp>19300.T</stp>
        <stp>出来高</stp>
        <tr r="C163" s="9"/>
        <tr r="J83" s="4"/>
        <tr r="J83" s="24"/>
      </tp>
      <tp>
        <v>67700</v>
        <stp/>
        <stp>Market</stp>
        <stp>STOCK</stp>
        <stp>19380.T</stp>
        <stp>出来高</stp>
        <tr r="C176" s="9"/>
        <tr r="J117" s="4"/>
        <tr r="J117" s="24"/>
      </tp>
      <tp>
        <v>2281300</v>
        <stp/>
        <stp>Market</stp>
        <stp>STOCK</stp>
        <stp>19250.T</stp>
        <stp>出来高</stp>
        <tr r="J181" s="4"/>
        <tr r="C83" s="9"/>
        <tr r="J181" s="24"/>
      </tp>
    </main>
    <main first="rtdsrv.8a92272bbb794b2789e42afd4cc513d6">
      <tp>
        <v>1082900</v>
        <stp/>
        <stp>Market</stp>
        <stp>STOCK</stp>
        <stp>22670.T</stp>
        <stp>出来高</stp>
        <tr r="C226" s="9"/>
      </tp>
      <tp>
        <v>13800</v>
        <stp/>
        <stp>Market</stp>
        <stp>STOCK</stp>
        <stp>23590.T</stp>
        <stp>出来高</stp>
        <tr r="C168" s="9"/>
        <tr r="J135" s="4"/>
        <tr r="J135" s="24"/>
      </tp>
      <tp>
        <v>325900</v>
        <stp/>
        <stp>Market</stp>
        <stp>STOCK</stp>
        <stp>23270.T</stp>
        <stp>出来高</stp>
        <tr r="J154" s="4"/>
        <tr r="C174" s="9"/>
        <tr r="J154" s="24"/>
      </tp>
      <tp>
        <v>139200</v>
        <stp/>
        <stp>Market</stp>
        <stp>STOCK</stp>
        <stp>23260.T</stp>
        <stp>出来高</stp>
        <tr r="C237" s="9"/>
      </tp>
      <tp>
        <v>850200</v>
        <stp/>
        <stp>Market</stp>
        <stp>STOCK</stp>
        <stp>21600.T</stp>
        <stp>出来高</stp>
        <tr r="C131" s="9"/>
        <tr r="J187" s="4"/>
        <tr r="J187" s="24"/>
      </tp>
      <tp>
        <v>1269200</v>
        <stp/>
        <stp>Market</stp>
        <stp>STOCK</stp>
        <stp>21270.T</stp>
        <stp>出来高</stp>
        <tr r="C187" s="9"/>
        <tr r="J161" s="4"/>
        <tr r="J161" s="24"/>
      </tp>
      <tp>
        <v>845400</v>
        <stp/>
        <stp>Market</stp>
        <stp>STOCK</stp>
        <stp>27680.T</stp>
        <stp>出来高</stp>
        <tr r="C202" s="9"/>
        <tr r="J206" s="4"/>
        <tr r="J206" s="24"/>
      </tp>
      <tp>
        <v>918600</v>
        <stp/>
        <stp>Market</stp>
        <stp>STOCK</stp>
        <stp>27020.T</stp>
        <stp>出来高</stp>
        <tr r="J196" s="4"/>
        <tr r="C194" s="9"/>
        <tr r="J196" s="24"/>
      </tp>
      <tp>
        <v>2099300</v>
        <stp/>
        <stp>Market</stp>
        <stp>STOCK</stp>
        <stp>278A0.T</stp>
        <stp>出来高</stp>
        <tr r="C251" s="9"/>
      </tp>
      <tp>
        <v>28043300</v>
        <stp/>
        <stp>Market</stp>
        <stp>STOCK</stp>
        <stp>285A0.T</stp>
        <stp>出来高</stp>
        <tr r="C218" s="9"/>
      </tp>
      <tp>
        <v>614500</v>
        <stp/>
        <stp>Market</stp>
        <stp>STOCK</stp>
        <stp>281A0.T</stp>
        <stp>出来高</stp>
        <tr r="C266" s="9"/>
      </tp>
      <tp>
        <v>7021300</v>
        <stp/>
        <stp>Market</stp>
        <stp>STOCK</stp>
        <stp>28020.T</stp>
        <stp>出来高</stp>
        <tr r="C76" s="9"/>
        <tr r="J23" s="4"/>
        <tr r="J23" s="24"/>
      </tp>
      <tp>
        <v>24600</v>
        <stp/>
        <stp>Market</stp>
        <stp>STOCK</stp>
        <stp>29330.T</stp>
        <stp>出来高</stp>
        <tr r="C288" s="9"/>
      </tp>
      <tp>
        <v>3469400</v>
        <stp/>
        <stp>Market</stp>
        <stp>STOCK</stp>
        <stp>29140.T</stp>
        <stp>出来高</stp>
        <tr r="C87" s="9"/>
        <tr r="J182" s="4"/>
        <tr r="J182" s="24"/>
      </tp>
    </main>
    <main first="rtdsrv.8a92272bbb794b2789e42afd4cc513d6">
      <tp>
        <v>688400</v>
        <stp/>
        <stp>Market</stp>
        <stp>STOCK</stp>
        <stp>33970.T</stp>
        <stp>出来高</stp>
        <tr r="C285" s="9"/>
      </tp>
      <tp>
        <v>1869700</v>
        <stp/>
        <stp>Market</stp>
        <stp>STOCK</stp>
        <stp>30030.T</stp>
        <stp>出来高</stp>
        <tr r="C88" s="9"/>
        <tr r="J143" s="4"/>
        <tr r="J143" s="24"/>
      </tp>
      <tp>
        <v>150300</v>
        <stp/>
        <stp>Market</stp>
        <stp>STOCK</stp>
        <stp>30020.T</stp>
        <stp>出来高</stp>
        <tr r="C277" s="9"/>
      </tp>
      <tp>
        <v>5400</v>
        <stp/>
        <stp>Market</stp>
        <stp>STOCK</stp>
        <stp>300A0.T</stp>
        <stp>出来高</stp>
        <tr r="C252" s="9"/>
      </tp>
      <tp>
        <v>1745900</v>
        <stp/>
        <stp>Market</stp>
        <stp>STOCK</stp>
        <stp>31100.T</stp>
        <stp>出来高</stp>
        <tr r="J109" s="4"/>
        <tr r="C134" s="9"/>
        <tr r="J109" s="24"/>
      </tp>
      <tp>
        <v>6382500</v>
        <stp/>
        <stp>Market</stp>
        <stp>STOCK</stp>
        <stp>31030.T</stp>
        <stp>出来高</stp>
        <tr r="J81" s="4"/>
        <tr r="C138" s="9"/>
        <tr r="J81" s="24"/>
      </tp>
      <tp>
        <v>294100</v>
        <stp/>
        <stp>Market</stp>
        <stp>STOCK</stp>
        <stp>31070.T</stp>
        <stp>出来高</stp>
        <tr r="C60" s="9"/>
        <tr r="J13" s="4"/>
        <tr r="J13" s="24"/>
      </tp>
      <tp>
        <v>80300</v>
        <stp/>
        <stp>Market</stp>
        <stp>STOCK</stp>
        <stp>36960.T</stp>
        <stp>出来高</stp>
        <tr r="C228" s="9"/>
      </tp>
      <tp>
        <v>8223600</v>
        <stp/>
        <stp>Market</stp>
        <stp>STOCK</stp>
        <stp>34360.T</stp>
        <stp>出来高</stp>
        <tr r="J4" s="4"/>
        <tr r="C28" s="9"/>
        <tr r="J4" s="24"/>
      </tp>
      <tp>
        <v>982500</v>
        <stp/>
        <stp>Market</stp>
        <stp>STOCK</stp>
        <stp>34010.T</stp>
        <stp>出来高</stp>
        <tr r="J169" s="4"/>
        <tr r="C27" s="9"/>
        <tr r="J169" s="24"/>
      </tp>
      <tp>
        <v>2949300</v>
        <stp/>
        <stp>Market</stp>
        <stp>STOCK</stp>
        <stp>34020.T</stp>
        <stp>出来高</stp>
        <tr r="C44" s="9"/>
        <tr r="J172" s="4"/>
        <tr r="J172" s="24"/>
      </tp>
      <tp>
        <v>3657500</v>
        <stp/>
        <stp>Market</stp>
        <stp>STOCK</stp>
        <stp>34070.T</stp>
        <stp>出来高</stp>
        <tr r="C94" s="9"/>
        <tr r="J183" s="4"/>
        <tr r="J183" s="24"/>
      </tp>
      <tp>
        <v>1649700</v>
        <stp/>
        <stp>Market</stp>
        <stp>STOCK</stp>
        <stp>35630.T</stp>
        <stp>出来高</stp>
        <tr r="C230" s="9"/>
      </tp>
      <tp>
        <v>3088900</v>
        <stp/>
        <stp>Market</stp>
        <stp>STOCK</stp>
        <stp>38610.T</stp>
        <stp>出来高</stp>
        <tr r="C41" s="9"/>
        <tr r="J123" s="4"/>
        <tr r="J123" s="24"/>
      </tp>
      <tp>
        <v>606200</v>
        <stp/>
        <stp>Market</stp>
        <stp>STOCK</stp>
        <stp>38630.T</stp>
        <stp>出来高</stp>
        <tr r="C32" s="9"/>
        <tr r="J21" s="4"/>
        <tr r="J21" s="24"/>
      </tp>
      <tp>
        <v>126500</v>
        <stp/>
        <stp>Market</stp>
        <stp>STOCK</stp>
        <stp>38640.T</stp>
        <stp>出来高</stp>
        <tr r="C271" s="9"/>
      </tp>
      <tp>
        <v>125700</v>
        <stp/>
        <stp>Market</stp>
        <stp>STOCK</stp>
        <stp>38540.T</stp>
        <stp>出来高</stp>
        <tr r="J54" s="4"/>
        <tr r="C71" s="9"/>
        <tr r="J54" s="24"/>
      </tp>
      <tp>
        <v>456000</v>
        <stp/>
        <stp>Market</stp>
        <stp>STOCK</stp>
        <stp>38910.T</stp>
        <stp>出来高</stp>
        <tr r="J43" s="4"/>
        <tr r="C159" s="9"/>
        <tr r="J43" s="24"/>
      </tp>
      <tp>
        <v>825300</v>
        <stp/>
        <stp>Market</stp>
        <stp>STOCK</stp>
        <stp>39410.T</stp>
        <stp>出来高</stp>
        <tr r="C48" s="9"/>
        <tr r="J142" s="4"/>
        <tr r="J142" s="24"/>
      </tp>
      <tp>
        <v>687300</v>
        <stp/>
        <stp>Market</stp>
        <stp>STOCK</stp>
        <stp>39360.T</stp>
        <stp>出来高</stp>
        <tr r="C245" s="9"/>
      </tp>
      <tp>
        <v>1545200</v>
        <stp/>
        <stp>Market</stp>
        <stp>STOCK</stp>
        <stp>39050.T</stp>
        <stp>出来高</stp>
        <tr r="C284" s="9"/>
      </tp>
      <tp>
        <v>73600</v>
        <stp/>
        <stp>Market</stp>
        <stp>STOCK</stp>
        <stp>39840.T</stp>
        <stp>出来高</stp>
        <tr r="C239" s="9"/>
      </tp>
    </main>
    <main first="rtdsrv.8a92272bbb794b2789e42afd4cc513d6">
      <tp>
        <v>197200</v>
        <stp/>
        <stp>Market</stp>
        <stp>STOCK</stp>
        <stp>42220.T</stp>
        <stp>出来高</stp>
        <tr r="C229" s="9"/>
      </tp>
      <tp>
        <v>13500</v>
        <stp/>
        <stp>Market</stp>
        <stp>STOCK</stp>
        <stp>42180.T</stp>
        <stp>出来高</stp>
        <tr r="C282" s="9"/>
      </tp>
      <tp>
        <v>582200</v>
        <stp/>
        <stp>Market</stp>
        <stp>STOCK</stp>
        <stp>42080.T</stp>
        <stp>出来高</stp>
        <tr r="C298" s="9"/>
      </tp>
      <tp>
        <v>621300</v>
        <stp/>
        <stp>Market</stp>
        <stp>STOCK</stp>
        <stp>43730.T</stp>
        <stp>出来高</stp>
        <tr r="C160" s="9"/>
        <tr r="J82" s="4"/>
        <tr r="J82" s="24"/>
      </tp>
      <tp>
        <v>1885500</v>
        <stp/>
        <stp>Market</stp>
        <stp>STOCK</stp>
        <stp>43070.T</stp>
        <stp>出来高</stp>
        <tr r="C150" s="9"/>
        <tr r="J151" s="4"/>
        <tr r="J151" s="24"/>
      </tp>
      <tp>
        <v>2463300</v>
        <stp/>
        <stp>Market</stp>
        <stp>STOCK</stp>
        <stp>43920.T</stp>
        <stp>出来高</stp>
        <tr r="C235" s="9"/>
      </tp>
      <tp>
        <v>27300</v>
        <stp/>
        <stp>Market</stp>
        <stp>STOCK</stp>
        <stp>43820.T</stp>
        <stp>出来高</stp>
        <tr r="C173" s="9"/>
        <tr r="J192" s="4"/>
        <tr r="J192" s="24"/>
      </tp>
      <tp>
        <v>4866300</v>
        <stp/>
        <stp>Market</stp>
        <stp>STOCK</stp>
        <stp>40630.T</stp>
        <stp>出来高</stp>
        <tr r="C66" s="9"/>
        <tr r="J14" s="4"/>
        <tr r="J14" s="24"/>
      </tp>
      <tp>
        <v>9058100</v>
        <stp/>
        <stp>Market</stp>
        <stp>STOCK</stp>
        <stp>40620.T</stp>
        <stp>出来高</stp>
        <tr r="J56" s="4"/>
        <tr r="C96" s="9"/>
        <tr r="J56" s="24"/>
      </tp>
      <tp>
        <v>170600</v>
        <stp/>
        <stp>Market</stp>
        <stp>STOCK</stp>
        <stp>40450.T</stp>
        <stp>出来高</stp>
        <tr r="C61" s="9"/>
        <tr r="J178" s="4"/>
        <tr r="J178" s="24"/>
      </tp>
      <tp>
        <v>953400</v>
        <stp/>
        <stp>Market</stp>
        <stp>STOCK</stp>
        <stp>40470.T</stp>
        <stp>出来高</stp>
        <tr r="C289" s="9"/>
      </tp>
      <tp>
        <v>2611900</v>
        <stp/>
        <stp>Market</stp>
        <stp>STOCK</stp>
        <stp>40040.T</stp>
        <stp>出来高</stp>
        <tr r="C213" s="9"/>
      </tp>
      <tp>
        <v>131300</v>
        <stp/>
        <stp>Market</stp>
        <stp>STOCK</stp>
        <stp>40080.T</stp>
        <stp>出来高</stp>
        <tr r="J127" s="4"/>
        <tr r="C95" s="9"/>
        <tr r="J127" s="24"/>
      </tp>
      <tp>
        <v>375300</v>
        <stp/>
        <stp>Market</stp>
        <stp>STOCK</stp>
        <stp>40910.T</stp>
        <stp>出来高</stp>
        <tr r="J152" s="4"/>
        <tr r="C157" s="9"/>
        <tr r="J152" s="24"/>
      </tp>
      <tp>
        <v>270500</v>
        <stp/>
        <stp>Market</stp>
        <stp>STOCK</stp>
        <stp>40820.T</stp>
        <stp>出来高</stp>
        <tr r="C129" s="9"/>
        <tr r="J9" s="4"/>
        <tr r="J9" s="24"/>
      </tp>
      <tp>
        <v>546500</v>
        <stp/>
        <stp>Market</stp>
        <stp>STOCK</stp>
        <stp>40880.T</stp>
        <stp>出来高</stp>
        <tr r="J132" s="4"/>
        <tr r="C156" s="9"/>
        <tr r="J132" s="24"/>
      </tp>
      <tp>
        <v>1114200</v>
        <stp/>
        <stp>Market</stp>
        <stp>STOCK</stp>
        <stp>41820.T</stp>
        <stp>出来高</stp>
        <tr r="C97" s="9"/>
        <tr r="J75" s="4"/>
        <tr r="J75" s="24"/>
      </tp>
      <tp>
        <v>7563000</v>
        <stp/>
        <stp>Market</stp>
        <stp>STOCK</stp>
        <stp>41880.T</stp>
        <stp>出来高</stp>
        <tr r="J145" s="4"/>
        <tr r="C98" s="9"/>
        <tr r="J145" s="24"/>
      </tp>
      <tp>
        <v>435200</v>
        <stp/>
        <stp>Market</stp>
        <stp>STOCK</stp>
        <stp>46760.T</stp>
        <stp>出来高</stp>
        <tr r="J177" s="4"/>
        <tr r="C58" s="9"/>
        <tr r="J177" s="24"/>
      </tp>
      <tp>
        <v>4234100</v>
        <stp/>
        <stp>Market</stp>
        <stp>STOCK</stp>
        <stp>46610.T</stp>
        <stp>出来高</stp>
        <tr r="J103" s="4"/>
        <tr r="C101" s="9"/>
        <tr r="J103" s="24"/>
      </tp>
      <tp>
        <v>2611600</v>
        <stp/>
        <stp>Market</stp>
        <stp>STOCK</stp>
        <stp>464A0.T</stp>
        <stp>出来高</stp>
        <tr r="C220" s="9"/>
      </tp>
      <tp>
        <v>294200</v>
        <stp/>
        <stp>Market</stp>
        <stp>STOCK</stp>
        <stp>47760.T</stp>
        <stp>出来高</stp>
        <tr r="C253" s="9"/>
      </tp>
      <tp>
        <v>292500</v>
        <stp/>
        <stp>Market</stp>
        <stp>STOCK</stp>
        <stp>47330.T</stp>
        <stp>出来高</stp>
        <tr r="C165" s="9"/>
        <tr r="J133" s="4"/>
        <tr r="J133" s="24"/>
      </tp>
      <tp>
        <v>914000</v>
        <stp/>
        <stp>Market</stp>
        <stp>STOCK</stp>
        <stp>47040.T</stp>
        <stp>出来高</stp>
        <tr r="C254" s="9"/>
      </tp>
      <tp>
        <v>132900</v>
        <stp/>
        <stp>Market</stp>
        <stp>STOCK</stp>
        <stp>47090.T</stp>
        <stp>出来高</stp>
        <tr r="J115" s="4"/>
        <tr r="C170" s="9"/>
        <tr r="J115" s="24"/>
      </tp>
      <tp>
        <v>243000</v>
        <stp/>
        <stp>Market</stp>
        <stp>STOCK</stp>
        <stp>44220.T</stp>
        <stp>出来高</stp>
        <tr r="J188" s="4"/>
        <tr r="C139" s="9"/>
        <tr r="J188" s="24"/>
      </tp>
      <tp>
        <v>49100</v>
        <stp/>
        <stp>Market</stp>
        <stp>STOCK</stp>
        <stp>44170.T</stp>
        <stp>出来高</stp>
        <tr r="C153" s="9"/>
        <tr r="J112" s="4"/>
        <tr r="J112" s="24"/>
      </tp>
      <tp>
        <v>7992100</v>
        <stp/>
        <stp>Market</stp>
        <stp>STOCK</stp>
        <stp>45680.T</stp>
        <stp>出来高</stp>
        <tr r="J110" s="4"/>
        <tr r="C142" s="9"/>
        <tr r="J110" s="24"/>
      </tp>
      <tp>
        <v>162100</v>
        <stp/>
        <stp>Market</stp>
        <stp>STOCK</stp>
        <stp>45400.T</stp>
        <stp>出来高</stp>
        <tr r="C64" s="9"/>
        <tr r="J124" s="4"/>
        <tr r="J124" s="24"/>
      </tp>
      <tp>
        <v>302800</v>
        <stp/>
        <stp>Market</stp>
        <stp>STOCK</stp>
        <stp>45440.T</stp>
        <stp>出来高</stp>
        <tr r="C273" s="9"/>
      </tp>
      <tp>
        <v>896900</v>
        <stp/>
        <stp>Market</stp>
        <stp>STOCK</stp>
        <stp>45360.T</stp>
        <stp>出来高</stp>
        <tr r="C67" s="9"/>
        <tr r="J125" s="4"/>
        <tr r="J125" s="24"/>
      </tp>
      <tp>
        <v>1988700</v>
        <stp/>
        <stp>Market</stp>
        <stp>STOCK</stp>
        <stp>45230.T</stp>
        <stp>出来高</stp>
        <tr r="C99" s="9"/>
        <tr r="J184" s="4"/>
        <tr r="J184" s="24"/>
      </tp>
      <tp>
        <v>1121900</v>
        <stp/>
        <stp>Market</stp>
        <stp>STOCK</stp>
        <stp>45280.T</stp>
        <stp>出来高</stp>
        <tr r="C100" s="9"/>
        <tr r="J17" s="4"/>
        <tr r="J17" s="24"/>
      </tp>
      <tp>
        <v>1745000</v>
        <stp/>
        <stp>Market</stp>
        <stp>STOCK</stp>
        <stp>45190.T</stp>
        <stp>出来高</stp>
        <tr r="J205" s="4"/>
        <tr r="C130" s="9"/>
        <tr r="J205" s="24"/>
      </tp>
      <tp>
        <v>3890400</v>
        <stp/>
        <stp>Market</stp>
        <stp>STOCK</stp>
        <stp>45020.T</stp>
        <stp>出来高</stp>
        <tr r="C212" s="9"/>
      </tp>
      <tp>
        <v>4976500</v>
        <stp/>
        <stp>Market</stp>
        <stp>STOCK</stp>
        <stp>485A0.T</stp>
        <stp>出来高</stp>
        <tr r="C221" s="9"/>
      </tp>
      <tp>
        <v>653900</v>
        <stp/>
        <stp>Market</stp>
        <stp>STOCK</stp>
        <stp>48870.T</stp>
        <stp>出来高</stp>
        <tr r="J195" s="4"/>
        <tr r="C192" s="9"/>
        <tr r="J195" s="24"/>
      </tp>
      <tp>
        <v>331200</v>
        <stp/>
        <stp>Market</stp>
        <stp>STOCK</stp>
        <stp>48880.T</stp>
        <stp>出来高</stp>
        <tr r="J131" s="4"/>
        <tr r="C146" s="9"/>
        <tr r="J131" s="24"/>
      </tp>
      <tp>
        <v>32600</v>
        <stp/>
        <stp>Market</stp>
        <stp>STOCK</stp>
        <stp>49660.T</stp>
        <stp>出来高</stp>
        <tr r="J34" s="4"/>
        <tr r="C196" s="9"/>
        <tr r="J34" s="24"/>
      </tp>
      <tp>
        <v>2442300</v>
        <stp/>
        <stp>Market</stp>
        <stp>STOCK</stp>
        <stp>49800.T</stp>
        <stp>出来高</stp>
        <tr r="J72" s="4"/>
        <tr r="C69" s="9"/>
        <tr r="J72" s="24"/>
      </tp>
    </main>
    <main first="rtdsrv.8a92272bbb794b2789e42afd4cc513d6">
      <tp>
        <v>639100</v>
        <stp/>
        <stp>Market</stp>
        <stp>STOCK</stp>
        <stp>52530.T</stp>
        <stp>出来高</stp>
        <tr r="C258" s="9"/>
      </tp>
      <tp>
        <v>265800</v>
        <stp/>
        <stp>Market</stp>
        <stp>STOCK</stp>
        <stp>52430.T</stp>
        <stp>出来高</stp>
        <tr r="C193" s="9"/>
        <tr r="J138" s="4"/>
        <tr r="J138" s="24"/>
      </tp>
      <tp>
        <v>606300</v>
        <stp/>
        <stp>Market</stp>
        <stp>STOCK</stp>
        <stp>52330.T</stp>
        <stp>出来高</stp>
        <tr r="J170" s="4"/>
        <tr r="C34" s="9"/>
        <tr r="J170" s="24"/>
      </tp>
      <tp>
        <v>1363900</v>
        <stp/>
        <stp>Market</stp>
        <stp>STOCK</stp>
        <stp>52010.T</stp>
        <stp>出来高</stp>
        <tr r="J175" s="4"/>
        <tr r="C53" s="9"/>
        <tr r="J175" s="24"/>
      </tp>
      <tp>
        <v>1474400</v>
        <stp/>
        <stp>Market</stp>
        <stp>STOCK</stp>
        <stp>53330.T</stp>
        <stp>出来高</stp>
        <tr r="J37" s="4"/>
        <tr r="C17" s="9"/>
        <tr r="J37" s="24"/>
      </tp>
      <tp>
        <v>1293200</v>
        <stp/>
        <stp>Market</stp>
        <stp>STOCK</stp>
        <stp>53320.T</stp>
        <stp>出来高</stp>
        <tr r="J12" s="4"/>
        <tr r="C21" s="9"/>
        <tr r="J12" s="24"/>
      </tp>
      <tp>
        <v>524700</v>
        <stp/>
        <stp>Market</stp>
        <stp>STOCK</stp>
        <stp>50210.T</stp>
        <stp>出来高</stp>
        <tr r="C15" s="9"/>
        <tr r="J88" s="4"/>
        <tr r="J88" s="24"/>
      </tp>
      <tp>
        <v>6788300</v>
        <stp/>
        <stp>Market</stp>
        <stp>STOCK</stp>
        <stp>50200.T</stp>
        <stp>出来高</stp>
        <tr r="C29" s="9"/>
        <tr r="J141" s="4"/>
        <tr r="J141" s="24"/>
      </tp>
      <tp>
        <v>4040400</v>
        <stp/>
        <stp>Market</stp>
        <stp>STOCK</stp>
        <stp>50190.T</stp>
        <stp>出来高</stp>
        <tr r="C24" s="9"/>
        <tr r="J140" s="4"/>
        <tr r="J140" s="24"/>
      </tp>
      <tp>
        <v>1676600</v>
        <stp/>
        <stp>Market</stp>
        <stp>STOCK</stp>
        <stp>56310.T</stp>
        <stp>出来高</stp>
        <tr r="C263" s="9"/>
      </tp>
      <tp>
        <v>28900</v>
        <stp/>
        <stp>Market</stp>
        <stp>STOCK</stp>
        <stp>56320.T</stp>
        <stp>出来高</stp>
        <tr r="C247" s="9"/>
      </tp>
      <tp>
        <v>659400</v>
        <stp/>
        <stp>Market</stp>
        <stp>STOCK</stp>
        <stp>57110.T</stp>
        <stp>出来高</stp>
        <tr r="C9" s="9"/>
        <tr r="J87" s="4"/>
        <tr r="J87" s="24"/>
      </tp>
      <tp>
        <v>2551700</v>
        <stp/>
        <stp>Market</stp>
        <stp>STOCK</stp>
        <stp>57130.T</stp>
        <stp>出来高</stp>
        <tr r="J46" s="4"/>
        <tr r="C8" s="9"/>
        <tr r="J46" s="24"/>
      </tp>
      <tp>
        <v>365500</v>
        <stp/>
        <stp>Market</stp>
        <stp>STOCK</stp>
        <stp>57140.T</stp>
        <stp>出来高</stp>
        <tr r="C10" s="9"/>
        <tr r="J47" s="4"/>
        <tr r="J47" s="24"/>
      </tp>
      <tp>
        <v>315700</v>
        <stp/>
        <stp>Market</stp>
        <stp>STOCK</stp>
        <stp>57030.T</stp>
        <stp>出来高</stp>
        <tr r="J48" s="4"/>
        <tr r="C13" s="9"/>
        <tr r="J48" s="24"/>
      </tp>
      <tp>
        <v>308800</v>
        <stp/>
        <stp>Market</stp>
        <stp>STOCK</stp>
        <stp>57020.T</stp>
        <stp>出来高</stp>
        <tr r="C275" s="9"/>
      </tp>
      <tp>
        <v>1716800</v>
        <stp/>
        <stp>Market</stp>
        <stp>STOCK</stp>
        <stp>57060.T</stp>
        <stp>出来高</stp>
        <tr r="J11" s="4"/>
        <tr r="C6" s="9"/>
        <tr r="J11" s="24"/>
      </tp>
      <tp>
        <v>113000</v>
        <stp/>
        <stp>Market</stp>
        <stp>STOCK</stp>
        <stp>54400.T</stp>
        <stp>出来高</stp>
        <tr r="C180" s="9"/>
        <tr r="J156" s="4"/>
        <tr r="J156" s="24"/>
      </tp>
      <tp>
        <v>91100</v>
        <stp/>
        <stp>Market</stp>
        <stp>STOCK</stp>
        <stp>54490.T</stp>
        <stp>出来高</stp>
        <tr r="J97" s="4"/>
        <tr r="C51" s="9"/>
        <tr r="J97" s="24"/>
      </tp>
      <tp>
        <v>385700</v>
        <stp/>
        <stp>Market</stp>
        <stp>STOCK</stp>
        <stp>54230.T</stp>
        <stp>出来高</stp>
        <tr r="J165" s="4"/>
        <tr r="C7" s="9"/>
        <tr r="J165" s="24"/>
      </tp>
      <tp>
        <v>2749000</v>
        <stp/>
        <stp>Market</stp>
        <stp>STOCK</stp>
        <stp>54110.T</stp>
        <stp>出来高</stp>
        <tr r="C84" s="9"/>
        <tr r="J7" s="4"/>
        <tr r="J7" s="24"/>
      </tp>
      <tp>
        <v>101300</v>
        <stp/>
        <stp>Market</stp>
        <stp>STOCK</stp>
        <stp>54100.T</stp>
        <stp>出来高</stp>
        <tr r="J118" s="4"/>
        <tr r="C179" s="9"/>
        <tr r="J118" s="24"/>
      </tp>
      <tp>
        <v>23078200</v>
        <stp/>
        <stp>Market</stp>
        <stp>STOCK</stp>
        <stp>54010.T</stp>
        <stp>出来高</stp>
        <tr r="C46" s="9"/>
        <tr r="J173" s="4"/>
        <tr r="J173" s="24"/>
      </tp>
      <tp>
        <v>1310000</v>
        <stp/>
        <stp>Market</stp>
        <stp>STOCK</stp>
        <stp>54060.T</stp>
        <stp>出来高</stp>
        <tr r="C38" s="9"/>
        <tr r="J95" s="4"/>
        <tr r="J95" s="24"/>
      </tp>
      <tp>
        <v>138100</v>
        <stp/>
        <stp>Market</stp>
        <stp>STOCK</stp>
        <stp>55410.T</stp>
        <stp>出来高</stp>
        <tr r="J90" s="4"/>
        <tr r="C20" s="9"/>
        <tr r="J90" s="24"/>
      </tp>
      <tp>
        <v>574600</v>
        <stp/>
        <stp>Market</stp>
        <stp>STOCK</stp>
        <stp>58570.T</stp>
        <stp>出来高</stp>
        <tr r="C62" s="9"/>
        <tr r="J52" s="4"/>
        <tr r="J52" s="24"/>
      </tp>
      <tp>
        <v>1291700</v>
        <stp/>
        <stp>Market</stp>
        <stp>STOCK</stp>
        <stp>58440.T</stp>
        <stp>出来高</stp>
        <tr r="J61" s="4"/>
        <tr r="C118" s="9"/>
        <tr r="J61" s="24"/>
      </tp>
      <tp>
        <v>1008700</v>
        <stp/>
        <stp>Market</stp>
        <stp>STOCK</stp>
        <stp>58380.T</stp>
        <stp>出来高</stp>
        <tr r="J147" s="4"/>
        <tr r="C117" s="9"/>
        <tr r="J147" s="24"/>
      </tp>
      <tp>
        <v>2674600</v>
        <stp/>
        <stp>Market</stp>
        <stp>STOCK</stp>
        <stp>58010.T</stp>
        <stp>出来高</stp>
        <tr r="J45" s="4"/>
        <tr r="C200" s="9"/>
        <tr r="J45" s="24"/>
      </tp>
      <tp>
        <v>35504300</v>
        <stp/>
        <stp>Market</stp>
        <stp>STOCK</stp>
        <stp>58030.T</stp>
        <stp>出来高</stp>
        <tr r="C103" s="9"/>
        <tr r="J58" s="4"/>
        <tr r="J58" s="24"/>
      </tp>
      <tp>
        <v>4673200</v>
        <stp/>
        <stp>Market</stp>
        <stp>STOCK</stp>
        <stp>58020.T</stp>
        <stp>出来高</stp>
        <tr r="C102" s="9"/>
        <tr r="J57" s="4"/>
        <tr r="J57" s="24"/>
      </tp>
      <tp>
        <v>109600</v>
        <stp/>
        <stp>Market</stp>
        <stp>STOCK</stp>
        <stp>58920.T</stp>
        <stp>出来高</stp>
        <tr r="J74" s="4"/>
        <tr r="C89" s="9"/>
        <tr r="J74" s="24"/>
      </tp>
      <tp>
        <v>423300</v>
        <stp/>
        <stp>Market</stp>
        <stp>STOCK</stp>
        <stp>59470.T</stp>
        <stp>出来高</stp>
        <tr r="C42" s="9"/>
        <tr r="J96" s="4"/>
        <tr r="J96" s="24"/>
      </tp>
      <tp>
        <v>1721200</v>
        <stp/>
        <stp>Market</stp>
        <stp>STOCK</stp>
        <stp>59380.T</stp>
        <stp>出来高</stp>
        <tr r="C36" s="9"/>
        <tr r="J93" s="4"/>
        <tr r="J93" s="24"/>
      </tp>
      <tp>
        <v>424400</v>
        <stp/>
        <stp>Market</stp>
        <stp>STOCK</stp>
        <stp>59290.T</stp>
        <stp>出来高</stp>
        <tr r="J69" s="4"/>
        <tr r="C49" s="9"/>
        <tr r="J69" s="24"/>
      </tp>
      <tp>
        <v>249600</v>
        <stp/>
        <stp>Market</stp>
        <stp>STOCK</stp>
        <stp>59010.T</stp>
        <stp>出来高</stp>
        <tr r="J71" s="4"/>
        <tr r="C55" s="9"/>
        <tr r="J71" s="24"/>
      </tp>
    </main>
    <main first="rtdsrv.8a92272bbb794b2789e42afd4cc513d6">
      <tp>
        <v>330200</v>
        <stp/>
        <stp>Market</stp>
        <stp>STOCK</stp>
        <stp>62730.T</stp>
        <stp>出来高</stp>
        <tr r="C211" s="9"/>
      </tp>
      <tp>
        <v>1015700</v>
        <stp/>
        <stp>Market</stp>
        <stp>STOCK</stp>
        <stp>62540.T</stp>
        <stp>出来高</stp>
        <tr r="C30" s="9"/>
        <tr r="J5" s="4"/>
        <tr r="J5" s="24"/>
      </tp>
      <tp>
        <v>921600</v>
        <stp/>
        <stp>Market</stp>
        <stp>STOCK</stp>
        <stp>62320.T</stp>
        <stp>出来高</stp>
        <tr r="J28" s="4"/>
        <tr r="C135" s="9"/>
        <tr r="J28" s="24"/>
      </tp>
      <tp>
        <v>1363100</v>
        <stp/>
        <stp>Market</stp>
        <stp>STOCK</stp>
        <stp>62270.T</stp>
        <stp>出来高</stp>
        <tr r="C132" s="9"/>
        <tr r="J108" s="4"/>
        <tr r="J108" s="24"/>
      </tp>
      <tp>
        <v>533500</v>
        <stp/>
        <stp>Market</stp>
        <stp>STOCK</stp>
        <stp>62030.T</stp>
        <stp>出来高</stp>
        <tr r="C57" s="9"/>
        <tr r="J50" s="4"/>
        <tr r="J50" s="24"/>
      </tp>
      <tp>
        <v>701100</v>
        <stp/>
        <stp>Market</stp>
        <stp>STOCK</stp>
        <stp>63700.T</stp>
        <stp>出来高</stp>
        <tr r="C255" s="9"/>
      </tp>
      <tp>
        <v>723000</v>
        <stp/>
        <stp>Market</stp>
        <stp>STOCK</stp>
        <stp>63760.T</stp>
        <stp>出来高</stp>
        <tr r="C269" s="9"/>
      </tp>
      <tp>
        <v>3437000</v>
        <stp/>
        <stp>Market</stp>
        <stp>STOCK</stp>
        <stp>63610.T</stp>
        <stp>出来高</stp>
        <tr r="C249" s="9"/>
      </tp>
      <tp>
        <v>6059600</v>
        <stp/>
        <stp>Market</stp>
        <stp>STOCK</stp>
        <stp>63660.T</stp>
        <stp>出来高</stp>
        <tr r="C260" s="9"/>
      </tp>
      <tp>
        <v>1265900</v>
        <stp/>
        <stp>Market</stp>
        <stp>STOCK</stp>
        <stp>63560.T</stp>
        <stp>出来高</stp>
        <tr r="C267" s="9"/>
      </tp>
      <tp>
        <v>266000</v>
        <stp/>
        <stp>Market</stp>
        <stp>STOCK</stp>
        <stp>63310.T</stp>
        <stp>出来高</stp>
        <tr r="C301" s="9"/>
      </tp>
      <tp>
        <v>1837600</v>
        <stp/>
        <stp>Market</stp>
        <stp>STOCK</stp>
        <stp>63300.T</stp>
        <stp>出来高</stp>
        <tr r="C128" s="9"/>
        <tr r="J186" s="4"/>
        <tr r="J186" s="24"/>
      </tp>
      <tp>
        <v>1602600</v>
        <stp/>
        <stp>Market</stp>
        <stp>STOCK</stp>
        <stp>63230.T</stp>
        <stp>出来高</stp>
        <tr r="C90" s="9"/>
        <tr r="J41" s="4"/>
        <tr r="J41" s="24"/>
      </tp>
      <tp>
        <v>1930000</v>
        <stp/>
        <stp>Market</stp>
        <stp>STOCK</stp>
        <stp>63240.T</stp>
        <stp>出来高</stp>
        <tr r="C210" s="9"/>
      </tp>
      <tp>
        <v>918200</v>
        <stp/>
        <stp>Market</stp>
        <stp>STOCK</stp>
        <stp>63270.T</stp>
        <stp>出来高</stp>
        <tr r="J27" s="4"/>
        <tr r="C133" s="9"/>
        <tr r="J27" s="24"/>
      </tp>
      <tp>
        <v>1061100</v>
        <stp/>
        <stp>Market</stp>
        <stp>STOCK</stp>
        <stp>63050.T</stp>
        <stp>出来高</stp>
        <tr r="C203" s="9"/>
        <tr r="J85" s="4"/>
        <tr r="J85" s="24"/>
      </tp>
      <tp>
        <v>321300</v>
        <stp/>
        <stp>Market</stp>
        <stp>STOCK</stp>
        <stp>63870.T</stp>
        <stp>出来高</stp>
        <tr r="J62" s="4"/>
        <tr r="C147" s="9"/>
        <tr r="J62" s="24"/>
      </tp>
      <tp>
        <v>721200</v>
        <stp/>
        <stp>Market</stp>
        <stp>STOCK</stp>
        <stp>60550.T</stp>
        <stp>出来高</stp>
        <tr r="C224" s="9"/>
      </tp>
      <tp>
        <v>110400</v>
        <stp/>
        <stp>Market</stp>
        <stp>STOCK</stp>
        <stp>60270.T</stp>
        <stp>出来高</stp>
        <tr r="C72" s="9"/>
        <tr r="J98" s="4"/>
        <tr r="J98" s="24"/>
      </tp>
      <tp>
        <v>3628100</v>
        <stp/>
        <stp>Market</stp>
        <stp>STOCK</stp>
        <stp>60980.T</stp>
        <stp>出来高</stp>
        <tr r="C248" s="9"/>
      </tp>
      <tp>
        <v>1747900</v>
        <stp/>
        <stp>Market</stp>
        <stp>STOCK</stp>
        <stp>60850.T</stp>
        <stp>出来高</stp>
        <tr r="C137" s="9"/>
        <tr r="J150" s="4"/>
        <tr r="J150" s="24"/>
      </tp>
      <tp>
        <v>5707300</v>
        <stp/>
        <stp>Market</stp>
        <stp>STOCK</stp>
        <stp>61780.T</stp>
        <stp>出来高</stp>
        <tr r="C104" s="9"/>
        <tr r="J59" s="4"/>
        <tr r="J59" s="24"/>
      </tp>
      <tp>
        <v>524100</v>
        <stp/>
        <stp>Market</stp>
        <stp>STOCK</stp>
        <stp>61400.T</stp>
        <stp>出来高</stp>
        <tr r="C261" s="9"/>
      </tp>
      <tp>
        <v>2169600</v>
        <stp/>
        <stp>Market</stp>
        <stp>STOCK</stp>
        <stp>61460.T</stp>
        <stp>出来高</stp>
        <tr r="C197" s="9"/>
        <tr r="J120" s="4"/>
        <tr r="J120" s="24"/>
      </tp>
      <tp>
        <v>117000</v>
        <stp/>
        <stp>Market</stp>
        <stp>STOCK</stp>
        <stp>61350.T</stp>
        <stp>出来高</stp>
        <tr r="C223" s="9"/>
      </tp>
      <tp>
        <v>460000</v>
        <stp/>
        <stp>Market</stp>
        <stp>STOCK</stp>
        <stp>61340.T</stp>
        <stp>出来高</stp>
        <tr r="J25" s="4"/>
        <tr r="C92" s="9"/>
        <tr r="J25" s="24"/>
      </tp>
      <tp>
        <v>766500</v>
        <stp/>
        <stp>Market</stp>
        <stp>STOCK</stp>
        <stp>66740.T</stp>
        <stp>出来高</stp>
        <tr r="C264" s="9"/>
      </tp>
      <tp>
        <v>210700</v>
        <stp/>
        <stp>Market</stp>
        <stp>STOCK</stp>
        <stp>66220.T</stp>
        <stp>出来高</stp>
        <tr r="C216" s="9"/>
      </tp>
      <tp>
        <v>4464000</v>
        <stp/>
        <stp>Market</stp>
        <stp>STOCK</stp>
        <stp>66130.T</stp>
        <stp>出来高</stp>
        <tr r="J3" s="4"/>
        <tr r="C141" s="9"/>
        <tr r="J3" s="24"/>
      </tp>
      <tp>
        <v>118600</v>
        <stp/>
        <stp>Market</stp>
        <stp>STOCK</stp>
        <stp>67770.T</stp>
        <stp>出来高</stp>
        <tr r="C144" s="9"/>
        <tr r="J130" s="4"/>
        <tr r="J130" s="24"/>
      </tp>
      <tp>
        <v>11642300</v>
        <stp/>
        <stp>Market</stp>
        <stp>STOCK</stp>
        <stp>67620.T</stp>
        <stp>出来高</stp>
        <tr r="C234" s="9"/>
      </tp>
      <tp>
        <v>2353100</v>
        <stp/>
        <stp>Market</stp>
        <stp>STOCK</stp>
        <stp>67530.T</stp>
        <stp>出来高</stp>
        <tr r="C188" s="9"/>
        <tr r="J162" s="4"/>
        <tr r="J162" s="24"/>
      </tp>
      <tp>
        <v>12296100</v>
        <stp/>
        <stp>Market</stp>
        <stp>STOCK</stp>
        <stp>67520.T</stp>
        <stp>出来高</stp>
        <tr r="C215" s="9"/>
      </tp>
      <tp>
        <v>1091000</v>
        <stp/>
        <stp>Market</stp>
        <stp>STOCK</stp>
        <stp>67540.T</stp>
        <stp>出来高</stp>
        <tr r="C155" s="9"/>
        <tr r="J31" s="4"/>
        <tr r="J31" s="24"/>
      </tp>
      <tp>
        <v>13386100</v>
        <stp/>
        <stp>Market</stp>
        <stp>STOCK</stp>
        <stp>67580.T</stp>
        <stp>出来高</stp>
        <tr r="C205" s="9"/>
        <tr r="J86" s="4"/>
        <tr r="J86" s="24"/>
      </tp>
      <tp>
        <v>38359900</v>
        <stp/>
        <stp>Market</stp>
        <stp>STOCK</stp>
        <stp>67400.T</stp>
        <stp>出来高</stp>
        <tr r="C140" s="9"/>
        <tr r="J189" s="4"/>
        <tr r="J189" s="24"/>
      </tp>
      <tp>
        <v>65600</v>
        <stp/>
        <stp>Market</stp>
        <stp>STOCK</stp>
        <stp>67440.T</stp>
        <stp>出来高</stp>
        <tr r="J106" s="4"/>
        <tr r="C120" s="9"/>
        <tr r="J106" s="24"/>
      </tp>
      <tp>
        <v>15500</v>
        <stp/>
        <stp>Market</stp>
        <stp>STOCK</stp>
        <stp>67360.T</stp>
        <stp>出来高</stp>
        <tr r="C287" s="9"/>
      </tp>
      <tp>
        <v>5022300</v>
        <stp/>
        <stp>Market</stp>
        <stp>STOCK</stp>
        <stp>67010.T</stp>
        <stp>出来高</stp>
        <tr r="J139" s="4"/>
        <tr r="C11" s="9"/>
        <tr r="J139" s="24"/>
      </tp>
      <tp>
        <v>34000</v>
        <stp/>
        <stp>Market</stp>
        <stp>STOCK</stp>
        <stp>67060.T</stp>
        <stp>出来高</stp>
        <tr r="C291" s="9"/>
      </tp>
      <tp>
        <v>512700</v>
        <stp/>
        <stp>Market</stp>
        <stp>STOCK</stp>
        <stp>67870.T</stp>
        <stp>出来高</stp>
        <tr r="C145" s="9"/>
        <tr r="J10" s="4"/>
        <tr r="J10" s="24"/>
      </tp>
      <tp>
        <v>3190800</v>
        <stp/>
        <stp>Market</stp>
        <stp>STOCK</stp>
        <stp>64790.T</stp>
        <stp>出来高</stp>
        <tr r="J24" s="4"/>
        <tr r="C79" s="9"/>
        <tr r="J24" s="24"/>
      </tp>
      <tp>
        <v>212400</v>
        <stp/>
        <stp>Market</stp>
        <stp>STOCK</stp>
        <stp>64360.T</stp>
        <stp>出来高</stp>
        <tr r="C178" s="9"/>
        <tr r="J155" s="4"/>
        <tr r="J155" s="24"/>
      </tp>
      <tp>
        <v>460000</v>
        <stp/>
        <stp>Market</stp>
        <stp>STOCK</stp>
        <stp>64070.T</stp>
        <stp>出来高</stp>
        <tr r="C295" s="9"/>
      </tp>
      <tp>
        <v>155300</v>
        <stp/>
        <stp>Market</stp>
        <stp>STOCK</stp>
        <stp>64820.T</stp>
        <stp>出来高</stp>
        <tr r="C290" s="9"/>
      </tp>
      <tp>
        <v>17700</v>
        <stp/>
        <stp>Market</stp>
        <stp>STOCK</stp>
        <stp>64850.T</stp>
        <stp>出来高</stp>
        <tr r="J194" s="4"/>
        <tr r="C191" s="9"/>
        <tr r="J194" s="24"/>
      </tp>
      <tp>
        <v>1400</v>
        <stp/>
        <stp>Market</stp>
        <stp>STOCK</stp>
        <stp>64880.T</stp>
        <stp>出来高</stp>
        <tr r="C280" s="9"/>
      </tp>
      <tp>
        <v>346300</v>
        <stp/>
        <stp>Market</stp>
        <stp>STOCK</stp>
        <stp>65210.T</stp>
        <stp>出来高</stp>
        <tr r="C242" s="9"/>
      </tp>
      <tp>
        <v>95600</v>
        <stp/>
        <stp>Market</stp>
        <stp>STOCK</stp>
        <stp>65220.T</stp>
        <stp>出来高</stp>
        <tr r="J111" s="4"/>
        <tr r="C143" s="9"/>
        <tr r="J111" s="24"/>
      </tp>
      <tp>
        <v>107700</v>
        <stp/>
        <stp>Market</stp>
        <stp>STOCK</stp>
        <stp>65160.T</stp>
        <stp>出来高</stp>
        <tr r="J29" s="4"/>
        <tr r="C151" s="9"/>
        <tr r="J29" s="24"/>
      </tp>
      <tp>
        <v>11385900</v>
        <stp/>
        <stp>Market</stp>
        <stp>STOCK</stp>
        <stp>65010.T</stp>
        <stp>出来高</stp>
        <tr r="C91" s="9"/>
        <tr r="J126" s="4"/>
        <tr r="J126" s="24"/>
      </tp>
      <tp>
        <v>4255000</v>
        <stp/>
        <stp>Market</stp>
        <stp>STOCK</stp>
        <stp>65030.T</stp>
        <stp>出来高</stp>
        <tr r="C68" s="9"/>
        <tr r="J39" s="4"/>
        <tr r="J39" s="24"/>
      </tp>
      <tp>
        <v>248900</v>
        <stp/>
        <stp>Market</stp>
        <stp>STOCK</stp>
        <stp>65070.T</stp>
        <stp>出来高</stp>
        <tr r="C183" s="9"/>
        <tr r="J64" s="4"/>
        <tr r="J64" s="24"/>
      </tp>
      <tp>
        <v>3737200</v>
        <stp/>
        <stp>Market</stp>
        <stp>STOCK</stp>
        <stp>65060.T</stp>
        <stp>出来高</stp>
        <tr r="J20" s="4"/>
        <tr r="C201" s="9"/>
        <tr r="J20" s="24"/>
      </tp>
      <tp>
        <v>659800</v>
        <stp/>
        <stp>Market</stp>
        <stp>STOCK</stp>
        <stp>68610.T</stp>
        <stp>出来高</stp>
        <tr r="C209" s="9"/>
      </tp>
      <tp>
        <v>393000</v>
        <stp/>
        <stp>Market</stp>
        <stp>STOCK</stp>
        <stp>68620.T</stp>
        <stp>出来高</stp>
        <tr r="C225" s="9"/>
      </tp>
      <tp>
        <v>7837500</v>
        <stp/>
        <stp>Market</stp>
        <stp>STOCK</stp>
        <stp>68570.T</stp>
        <stp>出来高</stp>
        <tr r="J113" s="4"/>
        <tr r="C158" s="9"/>
        <tr r="J113" s="24"/>
      </tp>
      <tp>
        <v>1378800</v>
        <stp/>
        <stp>Market</stp>
        <stp>STOCK</stp>
        <stp>68410.T</stp>
        <stp>出来高</stp>
        <tr r="J100" s="4"/>
        <tr r="C81" s="9"/>
        <tr r="J100" s="24"/>
      </tp>
      <tp>
        <v>3800</v>
        <stp/>
        <stp>Market</stp>
        <stp>STOCK</stp>
        <stp>68480.T</stp>
        <stp>出来高</stp>
        <tr r="C274" s="9"/>
      </tp>
      <tp>
        <v>1705200</v>
        <stp/>
        <stp>Market</stp>
        <stp>STOCK</stp>
        <stp>68380.T</stp>
        <stp>出来高</stp>
        <tr r="J6" s="4"/>
        <tr r="C148" s="9"/>
        <tr r="J6" s="24"/>
      </tp>
      <tp>
        <v>78500</v>
        <stp/>
        <stp>Market</stp>
        <stp>STOCK</stp>
        <stp>68090.T</stp>
        <stp>出来高</stp>
        <tr r="C238" s="9"/>
      </tp>
      <tp>
        <v>602200</v>
        <stp/>
        <stp>Market</stp>
        <stp>STOCK</stp>
        <stp>68900.T</stp>
        <stp>出来高</stp>
        <tr r="C195" s="9"/>
        <tr r="J33" s="4"/>
        <tr r="J33" s="24"/>
      </tp>
      <tp>
        <v>4570500</v>
        <stp/>
        <stp>Market</stp>
        <stp>STOCK</stp>
        <stp>69650.T</stp>
        <stp>出来高</stp>
        <tr r="C300" s="9"/>
      </tp>
      <tp>
        <v>397100</v>
        <stp/>
        <stp>Market</stp>
        <stp>STOCK</stp>
        <stp>69550.T</stp>
        <stp>出来高</stp>
        <tr r="C265" s="9"/>
      </tp>
      <tp>
        <v>5209500</v>
        <stp/>
        <stp>Market</stp>
        <stp>STOCK</stp>
        <stp>69540.T</stp>
        <stp>出来高</stp>
        <tr r="C78" s="9"/>
        <tr r="J16" s="4"/>
        <tr r="J16" s="24"/>
      </tp>
      <tp>
        <v>7716500</v>
        <stp/>
        <stp>Market</stp>
        <stp>STOCK</stp>
        <stp>69200.T</stp>
        <stp>出来高</stp>
        <tr r="J84" s="4"/>
        <tr r="C199" s="9"/>
        <tr r="J84" s="24"/>
      </tp>
      <tp>
        <v>591100</v>
        <stp/>
        <stp>Market</stp>
        <stp>STOCK</stp>
        <stp>69250.T</stp>
        <stp>出来高</stp>
        <tr r="J42" s="4"/>
        <tr r="C105" s="9"/>
        <tr r="J42" s="24"/>
      </tp>
      <tp>
        <v>15200</v>
        <stp/>
        <stp>Market</stp>
        <stp>STOCK</stp>
        <stp>69280.T</stp>
        <stp>出来高</stp>
        <tr r="C246" s="9"/>
      </tp>
      <tp>
        <v>26700</v>
        <stp/>
        <stp>Market</stp>
        <stp>STOCK</stp>
        <stp>69180.T</stp>
        <stp>出来高</stp>
        <tr r="C279" s="9"/>
      </tp>
      <tp>
        <v>7011600</v>
        <stp/>
        <stp>Market</stp>
        <stp>STOCK</stp>
        <stp>69020.T</stp>
        <stp>出来高</stp>
        <tr r="C244" s="9"/>
      </tp>
      <tp>
        <v>1138700</v>
        <stp/>
        <stp>Market</stp>
        <stp>STOCK</stp>
        <stp>69970.T</stp>
        <stp>出来高</stp>
        <tr r="C272" s="9"/>
      </tp>
      <tp>
        <v>31784100</v>
        <stp/>
        <stp>Market</stp>
        <stp>STOCK</stp>
        <stp>69810.T</stp>
        <stp>出来高</stp>
        <tr r="J30" s="4"/>
        <tr r="C154" s="9"/>
        <tr r="J30" s="24"/>
      </tp>
    </main>
    <main first="rtdsrv.8a92272bbb794b2789e42afd4cc513d6">
      <tp>
        <v>4323900</v>
        <stp/>
        <stp>Market</stp>
        <stp>STOCK</stp>
        <stp>72700.T</stp>
        <stp>出来高</stp>
        <tr r="C286" s="9"/>
      </tp>
      <tp>
        <v>27800</v>
        <stp/>
        <stp>Market</stp>
        <stp>STOCK</stp>
        <stp>72360.T</stp>
        <stp>出来高</stp>
        <tr r="J137" s="4"/>
        <tr r="C177" s="9"/>
        <tr r="J137" s="24"/>
      </tp>
      <tp>
        <v>26726100</v>
        <stp/>
        <stp>Market</stp>
        <stp>STOCK</stp>
        <stp>72030.T</stp>
        <stp>出来高</stp>
        <tr r="J73" s="4"/>
        <tr r="C77" s="9"/>
        <tr r="J73" s="24"/>
      </tp>
      <tp>
        <v>59600</v>
        <stp/>
        <stp>Market</stp>
        <stp>STOCK</stp>
        <stp>73750.T</stp>
        <stp>出来高</stp>
        <tr r="J190" s="4"/>
        <tr r="C149" s="9"/>
        <tr r="J190" s="24"/>
      </tp>
      <tp>
        <v>444200</v>
        <stp/>
        <stp>Market</stp>
        <stp>STOCK</stp>
        <stp>73810.T</stp>
        <stp>出来高</stp>
        <tr r="J63" s="4"/>
        <tr r="C152" s="9"/>
        <tr r="J63" s="24"/>
      </tp>
      <tp>
        <v>234600</v>
        <stp/>
        <stp>Market</stp>
        <stp>STOCK</stp>
        <stp>70480.T</stp>
        <stp>出来高</stp>
        <tr r="C296" s="9"/>
      </tp>
      <tp>
        <v>800</v>
        <stp/>
        <stp>Market</stp>
        <stp>STOCK</stp>
        <stp>70210.T</stp>
        <stp>出来高</stp>
        <tr r="J76" s="4"/>
        <tr r="C106" s="9"/>
        <tr r="J76" s="24"/>
      </tp>
      <tp>
        <v>23776900</v>
        <stp/>
        <stp>Market</stp>
        <stp>STOCK</stp>
        <stp>70110.T</stp>
        <stp>出来高</stp>
        <tr r="J197" s="4"/>
        <tr r="C207" s="9"/>
        <tr r="J197" s="24"/>
      </tp>
      <tp>
        <v>19151000</v>
        <stp/>
        <stp>Market</stp>
        <stp>STOCK</stp>
        <stp>70130.T</stp>
        <stp>出来高</stp>
        <tr r="C231" s="9"/>
      </tp>
      <tp>
        <v>1283000</v>
        <stp/>
        <stp>Market</stp>
        <stp>STOCK</stp>
        <stp>70140.T</stp>
        <stp>出来高</stp>
        <tr r="C256" s="9"/>
      </tp>
      <tp>
        <v>2240800</v>
        <stp/>
        <stp>Market</stp>
        <stp>STOCK</stp>
        <stp>71670.T</stp>
        <stp>出来高</stp>
        <tr r="C82" s="9"/>
        <tr r="J101" s="4"/>
        <tr r="J101" s="24"/>
      </tp>
      <tp>
        <v>1669300</v>
        <stp/>
        <stp>Market</stp>
        <stp>STOCK</stp>
        <stp>71810.T</stp>
        <stp>出来高</stp>
        <tr r="J119" s="4"/>
        <tr r="C190" s="9"/>
        <tr r="J119" s="24"/>
      </tp>
      <tp>
        <v>6055800</v>
        <stp/>
        <stp>Market</stp>
        <stp>STOCK</stp>
        <stp>71820.T</stp>
        <stp>出来高</stp>
        <tr r="C85" s="9"/>
        <tr r="J102" s="4"/>
        <tr r="J102" s="24"/>
      </tp>
      <tp>
        <v>53900</v>
        <stp/>
        <stp>Market</stp>
        <stp>STOCK</stp>
        <stp>76090.T</stp>
        <stp>出来高</stp>
        <tr r="C240" s="9"/>
      </tp>
      <tp>
        <v>236400</v>
        <stp/>
        <stp>Market</stp>
        <stp>STOCK</stp>
        <stp>76850.T</stp>
        <stp>出来高</stp>
        <tr r="C121" s="9"/>
        <tr r="J148" s="4"/>
        <tr r="J148" s="24"/>
      </tp>
      <tp>
        <v>833200</v>
        <stp/>
        <stp>Market</stp>
        <stp>STOCK</stp>
        <stp>77410.T</stp>
        <stp>出来高</stp>
        <tr r="C302" s="9"/>
      </tp>
      <tp>
        <v>1408400</v>
        <stp/>
        <stp>Market</stp>
        <stp>STOCK</stp>
        <stp>77460.T</stp>
        <stp>出来高</stp>
        <tr r="C93" s="9"/>
        <tr r="J144" s="4"/>
        <tr r="J144" s="24"/>
      </tp>
      <tp>
        <v>2431400</v>
        <stp/>
        <stp>Market</stp>
        <stp>STOCK</stp>
        <stp>77350.T</stp>
        <stp>出来高</stp>
        <tr r="C283" s="9"/>
      </tp>
      <tp>
        <v>346200</v>
        <stp/>
        <stp>Market</stp>
        <stp>STOCK</stp>
        <stp>77290.T</stp>
        <stp>出来高</stp>
        <tr r="C107" s="9"/>
        <tr r="J18" s="4"/>
        <tr r="J18" s="24"/>
      </tp>
      <tp>
        <v>121900</v>
        <stp/>
        <stp>Market</stp>
        <stp>STOCK</stp>
        <stp>77110.T</stp>
        <stp>出来高</stp>
        <tr r="C268" s="9"/>
      </tp>
      <tp>
        <v>237400</v>
        <stp/>
        <stp>Market</stp>
        <stp>STOCK</stp>
        <stp>77940.T</stp>
        <stp>出来高</stp>
        <tr r="J80" s="4"/>
        <tr r="C136" s="9"/>
        <tr r="J80" s="24"/>
      </tp>
      <tp>
        <v>49200</v>
        <stp/>
        <stp>Market</stp>
        <stp>STOCK</stp>
        <stp>74140.T</stp>
        <stp>出来高</stp>
        <tr r="C294" s="9"/>
      </tp>
      <tp>
        <v>66000</v>
        <stp/>
        <stp>Market</stp>
        <stp>STOCK</stp>
        <stp>78460.T</stp>
        <stp>出来高</stp>
        <tr r="C75" s="9"/>
        <tr r="J202" s="4"/>
        <tr r="J202" s="24"/>
      </tp>
      <tp>
        <v>101100</v>
        <stp/>
        <stp>Market</stp>
        <stp>STOCK</stp>
        <stp>78060.T</stp>
        <stp>出来高</stp>
        <tr r="C73" s="9"/>
        <tr r="J55" s="4"/>
        <tr r="J55" s="24"/>
      </tp>
      <tp>
        <v>146300</v>
        <stp/>
        <stp>Market</stp>
        <stp>STOCK</stp>
        <stp>79720.T</stp>
        <stp>出来高</stp>
        <tr r="C241" s="9"/>
      </tp>
      <tp>
        <v>38900</v>
        <stp/>
        <stp>Market</stp>
        <stp>STOCK</stp>
        <stp>79520.T</stp>
        <stp>出来高</stp>
        <tr r="C276" s="9"/>
      </tp>
      <tp>
        <v>47900</v>
        <stp/>
        <stp>Market</stp>
        <stp>STOCK</stp>
        <stp>79810.T</stp>
        <stp>出来高</stp>
        <tr r="C171" s="9"/>
        <tr r="J116" s="4"/>
        <tr r="J116" s="24"/>
      </tp>
    </main>
    <main first="rtdsrv.8a92272bbb794b2789e42afd4cc513d6">
      <tp>
        <v>86700</v>
        <stp/>
        <stp>Market</stp>
        <stp>STOCK</stp>
        <stp>82810.T</stp>
        <stp>出来高</stp>
        <tr r="C63" s="9"/>
        <tr r="J179" s="4"/>
        <tr r="J179" s="24"/>
      </tp>
      <tp>
        <v>1905900</v>
        <stp/>
        <stp>Market</stp>
        <stp>STOCK</stp>
        <stp>83590.T</stp>
        <stp>出来高</stp>
        <tr r="C123" s="9"/>
        <tr r="J26" s="4"/>
        <tr r="J26" s="24"/>
      </tp>
      <tp>
        <v>143900</v>
        <stp/>
        <stp>Market</stp>
        <stp>STOCK</stp>
        <stp>83440.T</stp>
        <stp>出来高</stp>
        <tr r="C293" s="9"/>
      </tp>
      <tp>
        <v>881500</v>
        <stp/>
        <stp>Market</stp>
        <stp>STOCK</stp>
        <stp>83340.T</stp>
        <stp>出来高</stp>
        <tr r="J204" s="4"/>
        <tr r="C122" s="9"/>
        <tr r="J204" s="24"/>
      </tp>
      <tp>
        <v>12405700</v>
        <stp/>
        <stp>Market</stp>
        <stp>STOCK</stp>
        <stp>83160.T</stp>
        <stp>出来高</stp>
        <tr r="C50" s="9"/>
        <tr r="J70" s="4"/>
        <tr r="J70" s="24"/>
      </tp>
      <tp>
        <v>5468800</v>
        <stp/>
        <stp>Market</stp>
        <stp>STOCK</stp>
        <stp>83030.T</stp>
        <stp>出来高</stp>
        <tr r="J191" s="4"/>
        <tr r="C172" s="9"/>
        <tr r="J191" s="24"/>
      </tp>
      <tp>
        <v>42080800</v>
        <stp/>
        <stp>Market</stp>
        <stp>STOCK</stp>
        <stp>83060.T</stp>
        <stp>出来高</stp>
        <tr r="J201" s="4"/>
        <tr r="C45" s="9"/>
        <tr r="J201" s="24"/>
      </tp>
      <tp>
        <v>2691100</v>
        <stp/>
        <stp>Market</stp>
        <stp>STOCK</stp>
        <stp>83090.T</stp>
        <stp>出来高</stp>
        <tr r="C31" s="9"/>
        <tr r="J68" s="4"/>
        <tr r="J68" s="24"/>
      </tp>
      <tp>
        <v>10336500</v>
        <stp/>
        <stp>Market</stp>
        <stp>STOCK</stp>
        <stp>83080.T</stp>
        <stp>出来高</stp>
        <tr r="J92" s="4"/>
        <tr r="C35" s="9"/>
        <tr r="J92" s="24"/>
      </tp>
      <tp>
        <v>2278500</v>
        <stp/>
        <stp>Market</stp>
        <stp>STOCK</stp>
        <stp>80530.T</stp>
        <stp>出来高</stp>
        <tr r="J49" s="4"/>
        <tr r="C25" s="9"/>
        <tr r="J49" s="24"/>
      </tp>
      <tp>
        <v>7426100</v>
        <stp/>
        <stp>Market</stp>
        <stp>STOCK</stp>
        <stp>80580.T</stp>
        <stp>出来高</stp>
        <tr r="C16" s="9"/>
        <tr r="J89" s="4"/>
        <tr r="J89" s="24"/>
      </tp>
      <tp>
        <v>4608500</v>
        <stp/>
        <stp>Market</stp>
        <stp>STOCK</stp>
        <stp>80350.T</stp>
        <stp>出来高</stp>
        <tr r="J35" s="4"/>
        <tr r="C198" s="9"/>
        <tr r="J35" s="24"/>
      </tp>
      <tp>
        <v>1409400</v>
        <stp/>
        <stp>Market</stp>
        <stp>STOCK</stp>
        <stp>80150.T</stp>
        <stp>出来高</stp>
        <tr r="C204" s="9"/>
        <tr r="J65" s="4"/>
        <tr r="J65" s="24"/>
      </tp>
      <tp>
        <v>3994600</v>
        <stp/>
        <stp>Market</stp>
        <stp>STOCK</stp>
        <stp>80020.T</stp>
        <stp>出来高</stp>
        <tr r="C14" s="9"/>
        <tr r="J167" s="4"/>
        <tr r="J167" s="24"/>
      </tp>
      <tp>
        <v>199300</v>
        <stp/>
        <stp>Market</stp>
        <stp>STOCK</stp>
        <stp>80050.T</stp>
        <stp>出来高</stp>
        <tr r="C236" s="9"/>
      </tp>
      <tp>
        <v>208400</v>
        <stp/>
        <stp>Market</stp>
        <stp>STOCK</stp>
        <stp>80070.T</stp>
        <stp>出来高</stp>
        <tr r="C281" s="9"/>
      </tp>
      <tp>
        <v>13300</v>
        <stp/>
        <stp>Market</stp>
        <stp>STOCK</stp>
        <stp>80910.T</stp>
        <stp>出来高</stp>
        <tr r="J158" s="4"/>
        <tr r="C182" s="9"/>
        <tr r="J158" s="24"/>
      </tp>
      <tp>
        <v>280500</v>
        <stp/>
        <stp>Market</stp>
        <stp>STOCK</stp>
        <stp>81410.T</stp>
        <stp>出来高</stp>
        <tr r="C292" s="9"/>
      </tp>
      <tp>
        <v>141300</v>
        <stp/>
        <stp>Market</stp>
        <stp>STOCK</stp>
        <stp>81030.T</stp>
        <stp>出来高</stp>
        <tr r="C169" s="9"/>
        <tr r="J136" s="4"/>
        <tr r="J136" s="24"/>
      </tp>
      <tp>
        <v>1584400</v>
        <stp/>
        <stp>Market</stp>
        <stp>STOCK</stp>
        <stp>86300.T</stp>
        <stp>出来高</stp>
        <tr r="C54" s="9"/>
        <tr r="J176" s="4"/>
        <tr r="J176" s="24"/>
      </tp>
      <tp>
        <v>4357200</v>
        <stp/>
        <stp>Market</stp>
        <stp>STOCK</stp>
        <stp>86010.T</stp>
        <stp>出来高</stp>
        <tr r="J198" s="4"/>
        <tr r="C33" s="9"/>
        <tr r="J198" s="24"/>
      </tp>
      <tp>
        <v>14384100</v>
        <stp/>
        <stp>Market</stp>
        <stp>STOCK</stp>
        <stp>86040.T</stp>
        <stp>出来高</stp>
        <tr r="C40" s="9"/>
        <tr r="J199" s="4"/>
        <tr r="J199" s="24"/>
      </tp>
      <tp>
        <v>4299600</v>
        <stp/>
        <stp>Market</stp>
        <stp>STOCK</stp>
        <stp>87660.T</stp>
        <stp>出来高</stp>
        <tr r="C52" s="9"/>
        <tr r="J174" s="4"/>
        <tr r="J174" s="24"/>
      </tp>
      <tp>
        <v>7912400</v>
        <stp/>
        <stp>Market</stp>
        <stp>STOCK</stp>
        <stp>87500.T</stp>
        <stp>出来高</stp>
        <tr r="C43" s="9"/>
        <tr r="J200" s="4"/>
        <tr r="J200" s="24"/>
      </tp>
      <tp>
        <v>3959300</v>
        <stp/>
        <stp>Market</stp>
        <stp>STOCK</stp>
        <stp>87250.T</stp>
        <stp>出来高</stp>
        <tr r="J168" s="4"/>
        <tr r="C22" s="9"/>
        <tr r="J168" s="24"/>
      </tp>
      <tp>
        <v>87800</v>
        <stp/>
        <stp>Market</stp>
        <stp>STOCK</stp>
        <stp>87040.T</stp>
        <stp>出来高</stp>
        <tr r="J19" s="4"/>
        <tr r="C164" s="9"/>
        <tr r="J19" s="24"/>
      </tp>
      <tp>
        <v>14000</v>
        <stp/>
        <stp>Market</stp>
        <stp>STOCK</stp>
        <stp>87930.T</stp>
        <stp>出来高</stp>
        <tr r="C232" s="9"/>
      </tp>
      <tp>
        <v>2140500</v>
        <stp/>
        <stp>Market</stp>
        <stp>STOCK</stp>
        <stp>87950.T</stp>
        <stp>出来高</stp>
        <tr r="C23" s="9"/>
        <tr r="J91" s="4"/>
        <tr r="J91" s="24"/>
      </tp>
      <tp>
        <v>168700</v>
        <stp/>
        <stp>Market</stp>
        <stp>STOCK</stp>
        <stp>84240.T</stp>
        <stp>出来高</stp>
        <tr r="J185" s="4"/>
        <tr r="C108" s="9"/>
        <tr r="J185" s="24"/>
      </tp>
      <tp>
        <v>12922600</v>
        <stp/>
        <stp>Market</stp>
        <stp>STOCK</stp>
        <stp>84110.T</stp>
        <stp>出来高</stp>
        <tr r="C19" s="9"/>
        <tr r="J66" s="4"/>
        <tr r="J66" s="24"/>
      </tp>
      <tp>
        <v>338900</v>
        <stp/>
        <stp>Market</stp>
        <stp>STOCK</stp>
        <stp>85700.T</stp>
        <stp>出来高</stp>
        <tr r="J94" s="4"/>
        <tr r="C37" s="9"/>
        <tr r="J94" s="24"/>
      </tp>
      <tp>
        <v>1330300</v>
        <stp/>
        <stp>Market</stp>
        <stp>STOCK</stp>
        <stp>85720.T</stp>
        <stp>出来高</stp>
        <tr r="C47" s="9"/>
        <tr r="J38" s="4"/>
        <tr r="J38" s="24"/>
      </tp>
      <tp>
        <v>3297700</v>
        <stp/>
        <stp>Market</stp>
        <stp>STOCK</stp>
        <stp>85910.T</stp>
        <stp>出来高</stp>
        <tr r="C26" s="9"/>
        <tr r="J67" s="4"/>
        <tr r="J67" s="24"/>
      </tp>
      <tp>
        <v>3327500</v>
        <stp/>
        <stp>Market</stp>
        <stp>STOCK</stp>
        <stp>85930.T</stp>
        <stp>出来高</stp>
        <tr r="C39" s="9"/>
        <tr r="J171" s="4"/>
        <tr r="J171" s="24"/>
      </tp>
      <tp>
        <v>23900</v>
        <stp/>
        <stp>Market</stp>
        <stp>STOCK</stp>
        <stp>88710.T</stp>
        <stp>出来高</stp>
        <tr r="C278" s="9"/>
      </tp>
      <tp>
        <v>9010400</v>
        <stp/>
        <stp>Market</stp>
        <stp>STOCK</stp>
        <stp>88010.T</stp>
        <stp>出来高</stp>
        <tr r="C124" s="9"/>
        <tr r="J129" s="4"/>
        <tr r="J129" s="24"/>
      </tp>
      <tp>
        <v>181300</v>
        <stp/>
        <stp>Market</stp>
        <stp>STOCK</stp>
        <stp>88920.T</stp>
        <stp>出来高</stp>
        <tr r="J114" s="4"/>
        <tr r="C161" s="9"/>
        <tr r="J114" s="24"/>
      </tp>
      <tp>
        <v>100500</v>
        <stp/>
        <stp>Market</stp>
        <stp>STOCK</stp>
        <stp>89340.T</stp>
        <stp>出来高</stp>
        <tr r="C125" s="9"/>
        <tr r="J149" s="4"/>
        <tr r="J149" s="24"/>
      </tp>
    </main>
    <main first="rtdsrv.8a92272bbb794b2789e42afd4cc513d6">
      <tp>
        <v>110100</v>
        <stp/>
        <stp>Market</stp>
        <stp>STOCK</stp>
        <stp>92270.T</stp>
        <stp>出来高</stp>
        <tr r="C111" s="9"/>
        <tr r="J146" s="4"/>
        <tr r="J146" s="24"/>
      </tp>
      <tp>
        <v>2230900</v>
        <stp/>
        <stp>Market</stp>
        <stp>STOCK</stp>
        <stp>92020.T</stp>
        <stp>出来高</stp>
        <tr r="J99" s="4"/>
        <tr r="C74" s="9"/>
        <tr r="J99" s="24"/>
      </tp>
      <tp>
        <v>2625000</v>
        <stp/>
        <stp>Market</stp>
        <stp>STOCK</stp>
        <stp>93480.T</stp>
        <stp>出来高</stp>
        <tr r="J8" s="4"/>
        <tr r="C112" s="9"/>
        <tr r="J8" s="24"/>
      </tp>
      <tp>
        <v>830300</v>
        <stp/>
        <stp>Market</stp>
        <stp>STOCK</stp>
        <stp>90640.T</stp>
        <stp>出来高</stp>
        <tr r="J163" s="4"/>
        <tr r="C189" s="9"/>
        <tr r="J163" s="24"/>
      </tp>
      <tp>
        <v>267400</v>
        <stp/>
        <stp>Market</stp>
        <stp>STOCK</stp>
        <stp>90690.T</stp>
        <stp>出来高</stp>
        <tr r="J60" s="4"/>
        <tr r="C110" s="9"/>
        <tr r="J60" s="24"/>
      </tp>
      <tp>
        <v>2698700</v>
        <stp/>
        <stp>Market</stp>
        <stp>STOCK</stp>
        <stp>90200.T</stp>
        <stp>出来高</stp>
        <tr r="C109" s="9"/>
        <tr r="J104" s="4"/>
        <tr r="J104" s="24"/>
      </tp>
      <tp>
        <v>3410000</v>
        <stp/>
        <stp>Market</stp>
        <stp>STOCK</stp>
        <stp>90220.T</stp>
        <stp>出来高</stp>
        <tr r="J159" s="4"/>
        <tr r="C184" s="9"/>
        <tr r="J159" s="24"/>
      </tp>
      <tp>
        <v>14800</v>
        <stp/>
        <stp>Market</stp>
        <stp>STOCK</stp>
        <stp>91650.T</stp>
        <stp>出来高</stp>
        <tr r="C243" s="9"/>
      </tp>
      <tp>
        <v>49000</v>
        <stp/>
        <stp>Market</stp>
        <stp>STOCK</stp>
        <stp>91150.T</stp>
        <stp>出来高</stp>
        <tr r="C270" s="9"/>
      </tp>
      <tp>
        <v>3087700</v>
        <stp/>
        <stp>Market</stp>
        <stp>STOCK</stp>
        <stp>91010.T</stp>
        <stp>出来高</stp>
        <tr r="J164" s="4"/>
        <tr r="C206" s="9"/>
        <tr r="J164" s="24"/>
      </tp>
      <tp>
        <v>3724500</v>
        <stp/>
        <stp>Market</stp>
        <stp>STOCK</stp>
        <stp>91040.T</stp>
        <stp>出来高</stp>
        <tr r="C259" s="9"/>
      </tp>
      <tp>
        <v>1700</v>
        <stp/>
        <stp>Market</stp>
        <stp>STOCK</stp>
        <stp>96870.T</stp>
        <stp>出来高</stp>
        <tr r="J44" s="4"/>
        <tr r="C162" s="9"/>
        <tr r="J44" s="24"/>
      </tp>
      <tp>
        <v>27000</v>
        <stp/>
        <stp>Market</stp>
        <stp>STOCK</stp>
        <stp>97330.T</stp>
        <stp>出来高</stp>
        <tr r="J153" s="4"/>
        <tr r="C166" s="9"/>
        <tr r="J153" s="24"/>
      </tp>
      <tp>
        <v>248200</v>
        <stp/>
        <stp>Market</stp>
        <stp>STOCK</stp>
        <stp>94490.T</stp>
        <stp>出来高</stp>
        <tr r="C113" s="9"/>
        <tr r="J77" s="4"/>
        <tr r="J77" s="24"/>
      </tp>
      <tp>
        <v>1549700</v>
        <stp/>
        <stp>Market</stp>
        <stp>STOCK</stp>
        <stp>94240.T</stp>
        <stp>出来高</stp>
        <tr r="J15" s="4"/>
        <tr r="C70" s="9"/>
        <tr r="J15" s="24"/>
      </tp>
      <tp>
        <v>1970700</v>
        <stp/>
        <stp>Market</stp>
        <stp>STOCK</stp>
        <stp>94120.T</stp>
        <stp>出来高</stp>
        <tr r="C56" s="9"/>
        <tr r="J22" s="4"/>
        <tr r="J22" s="24"/>
      </tp>
      <tp>
        <v>504700</v>
        <stp/>
        <stp>Market</stp>
        <stp>STOCK</stp>
        <stp>94160.T</stp>
        <stp>出来高</stp>
        <tr r="C126" s="9"/>
        <tr r="J107" s="4"/>
        <tr r="J107" s="24"/>
      </tp>
      <tp>
        <v>431500</v>
        <stp/>
        <stp>Market</stp>
        <stp>STOCK</stp>
        <stp>94040.T</stp>
        <stp>出来高</stp>
        <tr r="J78" s="4"/>
        <tr r="C119" s="9"/>
        <tr r="J78" s="24"/>
      </tp>
      <tp>
        <v>90900</v>
        <stp/>
        <stp>Market</stp>
        <stp>STOCK</stp>
        <stp>95510.T</stp>
        <stp>出来高</stp>
        <tr r="C167" s="9"/>
        <tr r="J134" s="4"/>
        <tr r="J134" s="24"/>
      </tp>
      <tp>
        <v>833700</v>
        <stp/>
        <stp>Market</stp>
        <stp>STOCK</stp>
        <stp>95310.T</stp>
        <stp>出来高</stp>
        <tr r="C115" s="9"/>
        <tr r="J203" s="4"/>
        <tr r="J203" s="24"/>
      </tp>
      <tp>
        <v>723500</v>
        <stp/>
        <stp>Market</stp>
        <stp>STOCK</stp>
        <stp>95320.T</stp>
        <stp>出来高</stp>
        <tr r="J79" s="4"/>
        <tr r="C127" s="9"/>
        <tr r="J79" s="24"/>
      </tp>
      <tp>
        <v>55900</v>
        <stp/>
        <stp>Market</stp>
        <stp>STOCK</stp>
        <stp>95360.T</stp>
        <stp>出来高</stp>
        <tr r="J160" s="4"/>
        <tr r="C185" s="9"/>
        <tr r="J160" s="24"/>
      </tp>
      <tp>
        <v>787600</v>
        <stp/>
        <stp>Market</stp>
        <stp>STOCK</stp>
        <stp>95190.T</stp>
        <stp>出来高</stp>
        <tr r="C214" s="9"/>
      </tp>
      <tp>
        <v>21276700</v>
        <stp/>
        <stp>Market</stp>
        <stp>STOCK</stp>
        <stp>95010.T</stp>
        <stp>出来高</stp>
        <tr r="J105" s="4"/>
        <tr r="C114" s="9"/>
        <tr r="J105" s="24"/>
      </tp>
      <tp>
        <v>883400</v>
        <stp/>
        <stp>Market</stp>
        <stp>STOCK</stp>
        <stp>95050.T</stp>
        <stp>出来高</stp>
        <tr r="J157" s="4"/>
        <tr r="C181" s="9"/>
        <tr r="J157" s="24"/>
      </tp>
      <tp>
        <v>1967700</v>
        <stp/>
        <stp>Market</stp>
        <stp>STOCK</stp>
        <stp>95060.T</stp>
        <stp>出来高</stp>
        <tr r="C186" s="9"/>
        <tr r="J193" s="4"/>
        <tr r="J193" s="24"/>
      </tp>
      <tp>
        <v>176800</v>
        <stp/>
        <stp>Market</stp>
        <stp>STOCK</stp>
        <stp>98800.T</stp>
        <stp>出来高</stp>
        <tr r="C257" s="9"/>
      </tp>
      <tp>
        <v>140600</v>
        <stp/>
        <stp>Market</stp>
        <stp>STOCK</stp>
        <stp>98820.T</stp>
        <stp>出来高</stp>
        <tr r="C116" s="9"/>
        <tr r="J128" s="4"/>
        <tr r="J128" s="24"/>
      </tp>
      <tp>
        <v>969900</v>
        <stp/>
        <stp>Market</stp>
        <stp>STOCK</stp>
        <stp>99620.T</stp>
        <stp>出来高</stp>
        <tr r="C233" s="9"/>
      </tp>
      <tp>
        <v>48833800</v>
        <stp/>
        <stp>Market</stp>
        <stp>STOCK</stp>
        <stp>99840.T</stp>
        <stp>出来高</stp>
        <tr r="J53" s="4"/>
        <tr r="C65" s="9"/>
        <tr r="J53" s="24"/>
      </tp>
    </main>
    <main first="rtdsrv.8a92272bbb794b2789e42afd4cc513d6">
      <tp t="s">
        <v/>
        <stp/>
        <stp>Market</stp>
        <stp>STOCK</stp>
        <stp/>
        <stp>現在値</stp>
        <tr r="C26" s="21"/>
      </tp>
    </main>
    <main first="rtdsrv.8a92272bbb794b2789e42afd4cc513d6">
      <tp>
        <v>2488</v>
        <stp/>
        <stp>Market</stp>
        <stp>STOCK</stp>
        <stp>485A0.T</stp>
        <stp>高値</stp>
        <tr r="C221" s="6"/>
      </tp>
      <tp>
        <v>2430</v>
        <stp/>
        <stp>Market</stp>
        <stp>STOCK</stp>
        <stp>464A0.T</stp>
        <stp>高値</stp>
        <tr r="C220" s="6"/>
      </tp>
      <tp>
        <v>1454</v>
        <stp/>
        <stp>Market</stp>
        <stp>STOCK</stp>
        <stp>186A0.T</stp>
        <stp>高値</stp>
        <tr r="C299" s="6"/>
      </tp>
      <tp>
        <v>878</v>
        <stp/>
        <stp>Market</stp>
        <stp>STOCK</stp>
        <stp>155A0.T</stp>
        <stp>高値</stp>
        <tr r="C250" s="6"/>
      </tp>
      <tp>
        <v>2850</v>
        <stp/>
        <stp>Market</stp>
        <stp>STOCK</stp>
        <stp>141A0.T</stp>
        <stp>高値</stp>
        <tr r="C219" s="6"/>
      </tp>
      <tp>
        <v>2874</v>
        <stp/>
        <stp>Market</stp>
        <stp>STOCK</stp>
        <stp>300A0.T</stp>
        <stp>高値</stp>
        <tr r="C252" s="6"/>
      </tp>
      <tp>
        <v>96400</v>
        <stp/>
        <stp>Market</stp>
        <stp>STOCK</stp>
        <stp>285A0.T</stp>
        <stp>高値</stp>
        <tr r="C218" s="6"/>
      </tp>
      <tp>
        <v>657</v>
        <stp/>
        <stp>Market</stp>
        <stp>STOCK</stp>
        <stp>281A0.T</stp>
        <stp>高値</stp>
        <tr r="C266" s="6"/>
      </tp>
      <tp>
        <v>10120</v>
        <stp/>
        <stp>Market</stp>
        <stp>STOCK</stp>
        <stp>278A0.T</stp>
        <stp>高値</stp>
        <tr r="C251" s="6"/>
      </tp>
      <tp t="s">
        <v/>
        <stp/>
        <stp>Market</stp>
        <stp>INDEX</stp>
        <stp>0000</stp>
        <stp>現在値</stp>
        <tr r="S11" s="2"/>
      </tp>
    </main>
    <main first="rtdsrv.8a92272bbb794b2789e42afd4cc513d6">
      <tp>
        <v>1882</v>
        <stp/>
        <stp>Market</stp>
        <stp>STOCK</stp>
        <stp>45360.T</stp>
        <stp>現在値</stp>
        <tr r="C67" s="8"/>
        <tr r="E125" s="4"/>
        <tr r="E125" s="24"/>
      </tp>
      <tp>
        <v>3829</v>
        <stp/>
        <stp>Market</stp>
        <stp>STOCK</stp>
        <stp>45230.T</stp>
        <stp>現在値</stp>
        <tr r="E184" s="4"/>
        <tr r="C99" s="8"/>
        <tr r="E184" s="24"/>
      </tp>
      <tp>
        <v>2249.5</v>
        <stp/>
        <stp>Market</stp>
        <stp>STOCK</stp>
        <stp>45280.T</stp>
        <stp>現在値</stp>
        <tr r="C100" s="8"/>
        <tr r="E17" s="4"/>
        <tr r="E17" s="24"/>
      </tp>
      <tp>
        <v>7650</v>
        <stp/>
        <stp>Market</stp>
        <stp>STOCK</stp>
        <stp>45190.T</stp>
        <stp>現在値</stp>
        <tr r="E205" s="4"/>
        <tr r="C130" s="8"/>
        <tr r="E205" s="24"/>
      </tp>
      <tp>
        <v>4938</v>
        <stp/>
        <stp>Market</stp>
        <stp>STOCK</stp>
        <stp>45020.T</stp>
        <stp>現在値</stp>
        <tr r="C212" s="8"/>
      </tp>
      <tp>
        <v>2595.5</v>
        <stp/>
        <stp>Market</stp>
        <stp>STOCK</stp>
        <stp>45680.T</stp>
        <stp>現在値</stp>
        <tr r="E110" s="4"/>
        <tr r="C142" s="8"/>
        <tr r="E110" s="24"/>
      </tp>
      <tp>
        <v>3704</v>
        <stp/>
        <stp>Market</stp>
        <stp>STOCK</stp>
        <stp>45400.T</stp>
        <stp>現在値</stp>
        <tr r="E124" s="4"/>
        <tr r="C64" s="8"/>
        <tr r="E124" s="24"/>
      </tp>
      <tp>
        <v>3190</v>
        <stp/>
        <stp>Market</stp>
        <stp>STOCK</stp>
        <stp>45440.T</stp>
        <stp>現在値</stp>
        <tr r="C273" s="8"/>
      </tp>
      <tp>
        <v>632</v>
        <stp/>
        <stp>Market</stp>
        <stp>STOCK</stp>
        <stp>44220.T</stp>
        <stp>現在値</stp>
        <tr r="E188" s="4"/>
        <tr r="C139" s="8"/>
        <tr r="E188" s="24"/>
      </tp>
      <tp>
        <v>3240</v>
        <stp/>
        <stp>Market</stp>
        <stp>STOCK</stp>
        <stp>44170.T</stp>
        <stp>現在値</stp>
        <tr r="E112" s="4"/>
        <tr r="C153" s="8"/>
        <tr r="E112" s="24"/>
      </tp>
      <tp>
        <v>5893</v>
        <stp/>
        <stp>Market</stp>
        <stp>STOCK</stp>
        <stp>47330.T</stp>
        <stp>現在値</stp>
        <tr r="E133" s="4"/>
        <tr r="C165" s="8"/>
        <tr r="E133" s="24"/>
      </tp>
      <tp>
        <v>5820</v>
        <stp/>
        <stp>Market</stp>
        <stp>STOCK</stp>
        <stp>47040.T</stp>
        <stp>現在値</stp>
        <tr r="C254" s="8"/>
      </tp>
      <tp>
        <v>1092</v>
        <stp/>
        <stp>Market</stp>
        <stp>STOCK</stp>
        <stp>47090.T</stp>
        <stp>現在値</stp>
        <tr r="C170" s="8"/>
        <tr r="E115" s="4"/>
        <tr r="E115" s="24"/>
      </tp>
      <tp>
        <v>2299</v>
        <stp/>
        <stp>Market</stp>
        <stp>STOCK</stp>
        <stp>47760.T</stp>
        <stp>現在値</stp>
        <tr r="C253" s="8"/>
      </tp>
      <tp>
        <v>4007</v>
        <stp/>
        <stp>Market</stp>
        <stp>STOCK</stp>
        <stp>46760.T</stp>
        <stp>現在値</stp>
        <tr r="E177" s="4"/>
        <tr r="C58" s="8"/>
        <tr r="E177" s="24"/>
        <tr r="H5" s="19"/>
      </tp>
      <tp>
        <v>2291</v>
        <stp/>
        <stp>Market</stp>
        <stp>STOCK</stp>
        <stp>46610.T</stp>
        <stp>現在値</stp>
        <tr r="E103" s="4"/>
        <tr r="C101" s="8"/>
        <tr r="E103" s="24"/>
      </tp>
      <tp>
        <v>2202</v>
        <stp/>
        <stp>Market</stp>
        <stp>STOCK</stp>
        <stp>464A0.T</stp>
        <stp>現在値</stp>
        <tr r="C220" s="8"/>
      </tp>
      <tp>
        <v>5116</v>
        <stp/>
        <stp>Market</stp>
        <stp>STOCK</stp>
        <stp>41820.T</stp>
        <stp>現在値</stp>
        <tr r="E75" s="4"/>
        <tr r="C97" s="8"/>
        <tr r="E75" s="24"/>
      </tp>
      <tp>
        <v>1140</v>
        <stp/>
        <stp>Market</stp>
        <stp>STOCK</stp>
        <stp>41880.T</stp>
        <stp>現在値</stp>
        <tr r="C98" s="8"/>
        <tr r="E145" s="4"/>
        <tr r="E145" s="24"/>
      </tp>
      <tp>
        <v>5590</v>
        <stp/>
        <stp>Market</stp>
        <stp>STOCK</stp>
        <stp>40910.T</stp>
        <stp>現在値</stp>
        <tr r="C157" s="8"/>
        <tr r="E152" s="4"/>
        <tr r="E152" s="24"/>
      </tp>
      <tp>
        <v>2065</v>
        <stp/>
        <stp>Market</stp>
        <stp>STOCK</stp>
        <stp>40820.T</stp>
        <stp>現在値</stp>
        <tr r="C129" s="8"/>
        <tr r="E9" s="4"/>
        <tr r="E9" s="24"/>
      </tp>
      <tp>
        <v>2490</v>
        <stp/>
        <stp>Market</stp>
        <stp>STOCK</stp>
        <stp>40880.T</stp>
        <stp>現在値</stp>
        <tr r="E132" s="4"/>
        <tr r="C156" s="8"/>
        <tr r="E132" s="24"/>
      </tp>
      <tp>
        <v>18520</v>
        <stp/>
        <stp>Market</stp>
        <stp>STOCK</stp>
        <stp>40040.T</stp>
        <stp>現在値</stp>
        <tr r="C213" s="8"/>
      </tp>
      <tp>
        <v>1318</v>
        <stp/>
        <stp>Market</stp>
        <stp>STOCK</stp>
        <stp>40080.T</stp>
        <stp>現在値</stp>
        <tr r="C95" s="8"/>
        <tr r="E127" s="4"/>
        <tr r="E127" s="24"/>
      </tp>
      <tp>
        <v>7549</v>
        <stp/>
        <stp>Market</stp>
        <stp>STOCK</stp>
        <stp>40630.T</stp>
        <stp>現在値</stp>
        <tr r="C66" s="8"/>
        <tr r="E14" s="4"/>
        <tr r="E14" s="24"/>
      </tp>
      <tp>
        <v>24000</v>
        <stp/>
        <stp>Market</stp>
        <stp>STOCK</stp>
        <stp>40620.T</stp>
        <stp>現在値</stp>
        <tr r="E56" s="4"/>
        <tr r="C96" s="8"/>
        <tr r="E56" s="24"/>
      </tp>
      <tp>
        <v>3895</v>
        <stp/>
        <stp>Market</stp>
        <stp>STOCK</stp>
        <stp>40470.T</stp>
        <stp>現在値</stp>
        <tr r="C289" s="8"/>
      </tp>
      <tp>
        <v>1758.5</v>
        <stp/>
        <stp>Market</stp>
        <stp>STOCK</stp>
        <stp>40450.T</stp>
        <stp>現在値</stp>
        <tr r="E178" s="4"/>
        <tr r="C61" s="8"/>
        <tr r="E178" s="24"/>
      </tp>
      <tp>
        <v>1270</v>
        <stp/>
        <stp>Market</stp>
        <stp>STOCK</stp>
        <stp>43920.T</stp>
        <stp>現在値</stp>
        <tr r="C235" s="8"/>
      </tp>
      <tp>
        <v>787</v>
        <stp/>
        <stp>Market</stp>
        <stp>STOCK</stp>
        <stp>43820.T</stp>
        <stp>現在値</stp>
        <tr r="E192" s="4"/>
        <tr r="C173" s="8"/>
        <tr r="E192" s="24"/>
      </tp>
      <tp>
        <v>4596</v>
        <stp/>
        <stp>Market</stp>
        <stp>STOCK</stp>
        <stp>43070.T</stp>
        <stp>現在値</stp>
        <tr r="C150" s="8"/>
        <tr r="E151" s="4"/>
        <tr r="E151" s="24"/>
      </tp>
      <tp>
        <v>958</v>
        <stp/>
        <stp>Market</stp>
        <stp>STOCK</stp>
        <stp>43730.T</stp>
        <stp>現在値</stp>
        <tr r="E82" s="4"/>
        <tr r="C160" s="8"/>
        <tr r="E82" s="24"/>
      </tp>
      <tp>
        <v>723</v>
        <stp/>
        <stp>Market</stp>
        <stp>STOCK</stp>
        <stp>42220.T</stp>
        <stp>現在値</stp>
        <tr r="C229" s="8"/>
      </tp>
      <tp>
        <v>1834</v>
        <stp/>
        <stp>Market</stp>
        <stp>STOCK</stp>
        <stp>42180.T</stp>
        <stp>現在値</stp>
        <tr r="C282" s="8"/>
      </tp>
      <tp>
        <v>3163</v>
        <stp/>
        <stp>Market</stp>
        <stp>STOCK</stp>
        <stp>42080.T</stp>
        <stp>現在値</stp>
        <tr r="C298" s="8"/>
      </tp>
      <tp>
        <v>4608</v>
        <stp/>
        <stp>Market</stp>
        <stp>STOCK</stp>
        <stp>49800.T</stp>
        <stp>現在値</stp>
        <tr r="C69" s="8"/>
        <tr r="E72" s="4"/>
        <tr r="E72" s="24"/>
      </tp>
      <tp>
        <v>26340</v>
        <stp/>
        <stp>Market</stp>
        <stp>STOCK</stp>
        <stp>49660.T</stp>
        <stp>現在値</stp>
        <tr r="C196" s="8"/>
        <tr r="E34" s="4"/>
        <tr r="E34" s="24"/>
      </tp>
      <tp>
        <v>1676.5</v>
        <stp/>
        <stp>Market</stp>
        <stp>STOCK</stp>
        <stp>48870.T</stp>
        <stp>現在値</stp>
        <tr r="C192" s="8"/>
        <tr r="E195" s="4"/>
        <tr r="E195" s="24"/>
      </tp>
      <tp>
        <v>350</v>
        <stp/>
        <stp>Market</stp>
        <stp>STOCK</stp>
        <stp>48880.T</stp>
        <stp>現在値</stp>
        <tr r="E131" s="4"/>
        <tr r="C146" s="8"/>
        <tr r="E131" s="24"/>
      </tp>
      <tp>
        <v>2291</v>
        <stp/>
        <stp>Market</stp>
        <stp>STOCK</stp>
        <stp>485A0.T</stp>
        <stp>現在値</stp>
        <tr r="C221" s="8"/>
      </tp>
      <tp>
        <v>760</v>
        <stp/>
        <stp>Market</stp>
        <stp>STOCK</stp>
        <stp>95010.T</stp>
        <stp>年初来高値</stp>
        <tr r="K105" s="4"/>
        <tr r="K105" s="24"/>
      </tp>
      <tp>
        <v>6394</v>
        <stp/>
        <stp>Market</stp>
        <stp>STOCK</stp>
        <stp>91010.T</stp>
        <stp>年初来高値</stp>
        <tr r="K164" s="4"/>
        <tr r="K164" s="24"/>
      </tp>
      <tp>
        <v>1686.5</v>
        <stp/>
        <stp>Market</stp>
        <stp>STOCK</stp>
        <stp>86010.T</stp>
        <stp>年初来高値</stp>
        <tr r="K198" s="4"/>
        <tr r="K198" s="24"/>
      </tp>
      <tp>
        <v>2158</v>
        <stp/>
        <stp>Market</stp>
        <stp>STOCK</stp>
        <stp>88010.T</stp>
        <stp>年初来高値</stp>
        <tr r="K129" s="4"/>
        <tr r="K129" s="24"/>
      </tp>
      <tp>
        <v>6036</v>
        <stp/>
        <stp>Market</stp>
        <stp>STOCK</stp>
        <stp>67010.T</stp>
        <stp>年初来高値</stp>
        <tr r="K139" s="4"/>
        <tr r="K139" s="24"/>
      </tp>
      <tp>
        <v>6039</v>
        <stp/>
        <stp>Market</stp>
        <stp>STOCK</stp>
        <stp>65010.T</stp>
        <stp>年初来高値</stp>
        <tr r="K126" s="4"/>
        <tr r="K126" s="24"/>
      </tp>
      <tp>
        <v>699.8</v>
        <stp/>
        <stp>Market</stp>
        <stp>STOCK</stp>
        <stp>54010.T</stp>
        <stp>年初来高値</stp>
        <tr r="K173" s="4"/>
        <tr r="K173" s="24"/>
      </tp>
      <tp>
        <v>8315</v>
        <stp/>
        <stp>Market</stp>
        <stp>STOCK</stp>
        <stp>52010.T</stp>
        <stp>年初来高値</stp>
        <tr r="K175" s="4"/>
        <tr r="K175" s="24"/>
      </tp>
      <tp>
        <v>4404</v>
        <stp/>
        <stp>Market</stp>
        <stp>STOCK</stp>
        <stp>59010.T</stp>
        <stp>年初来高値</stp>
        <tr r="K71" s="4"/>
        <tr r="K71" s="24"/>
      </tp>
      <tp>
        <v>62410</v>
        <stp/>
        <stp>Market</stp>
        <stp>STOCK</stp>
        <stp>58010.T</stp>
        <stp>年初来高値</stp>
        <tr r="K45" s="4"/>
        <tr r="K45" s="24"/>
      </tp>
      <tp>
        <v>1773</v>
        <stp/>
        <stp>Market</stp>
        <stp>STOCK</stp>
        <stp>34010.T</stp>
        <stp>年初来高値</stp>
        <tr r="K169" s="4"/>
        <tr r="K169" s="24"/>
      </tp>
      <tp>
        <v>3419</v>
        <stp/>
        <stp>Market</stp>
        <stp>STOCK</stp>
        <stp>92020.T</stp>
        <stp>年初来高値</stp>
        <tr r="K99" s="4"/>
        <tr r="K99" s="24"/>
      </tp>
      <tp>
        <v>6328</v>
        <stp/>
        <stp>Market</stp>
        <stp>STOCK</stp>
        <stp>80020.T</stp>
        <stp>年初来高値</stp>
        <tr r="K167" s="4"/>
        <tr r="K167" s="24"/>
      </tp>
      <tp>
        <v>14850</v>
        <stp/>
        <stp>Market</stp>
        <stp>STOCK</stp>
        <stp>58020.T</stp>
        <stp>年初来高値</stp>
        <tr r="K57" s="4"/>
        <tr r="K57" s="24"/>
      </tp>
      <tp>
        <v>1353.5</v>
        <stp/>
        <stp>Market</stp>
        <stp>STOCK</stp>
        <stp>34020.T</stp>
        <stp>年初来高値</stp>
        <tr r="K172" s="4"/>
        <tr r="K172" s="24"/>
      </tp>
      <tp>
        <v>8780</v>
        <stp/>
        <stp>Market</stp>
        <stp>STOCK</stp>
        <stp>27020.T</stp>
        <stp>年初来高値</stp>
        <tr r="K196" s="4"/>
        <tr r="K196" s="24"/>
      </tp>
      <tp>
        <v>5739</v>
        <stp/>
        <stp>Market</stp>
        <stp>STOCK</stp>
        <stp>28020.T</stp>
        <stp>年初来高値</stp>
        <tr r="K23" s="4"/>
        <tr r="K23" s="24"/>
      </tp>
      <tp>
        <v>2200</v>
        <stp/>
        <stp>Market</stp>
        <stp>STOCK</stp>
        <stp>83030.T</stp>
        <stp>年初来高値</stp>
        <tr r="K191" s="4"/>
        <tr r="K191" s="24"/>
      </tp>
      <tp>
        <v>1041</v>
        <stp/>
        <stp>Market</stp>
        <stp>STOCK</stp>
        <stp>81030.T</stp>
        <stp>年初来高値</stp>
        <tr r="K136" s="4"/>
        <tr r="K136" s="24"/>
      </tp>
      <tp>
        <v>4000</v>
        <stp/>
        <stp>Market</stp>
        <stp>STOCK</stp>
        <stp>72030.T</stp>
        <stp>年初来高値</stp>
        <tr r="K73" s="4"/>
        <tr r="K73" s="24"/>
      </tp>
      <tp>
        <v>6686</v>
        <stp/>
        <stp>Market</stp>
        <stp>STOCK</stp>
        <stp>65030.T</stp>
        <stp>年初来高値</stp>
        <tr r="K39" s="4"/>
        <tr r="K39" s="24"/>
      </tp>
      <tp>
        <v>2030</v>
        <stp/>
        <stp>Market</stp>
        <stp>STOCK</stp>
        <stp>62030.T</stp>
        <stp>年初来高値</stp>
        <tr r="K50" s="4"/>
        <tr r="K50" s="24"/>
      </tp>
      <tp>
        <v>3330</v>
        <stp/>
        <stp>Market</stp>
        <stp>STOCK</stp>
        <stp>57030.T</stp>
        <stp>年初来高値</stp>
        <tr r="K48" s="4"/>
        <tr r="K48" s="24"/>
      </tp>
      <tp>
        <v>7933</v>
        <stp/>
        <stp>Market</stp>
        <stp>STOCK</stp>
        <stp>58030.T</stp>
        <stp>年初来高値</stp>
        <tr r="K58" s="4"/>
        <tr r="K58" s="24"/>
      </tp>
      <tp>
        <v>4380</v>
        <stp/>
        <stp>Market</stp>
        <stp>STOCK</stp>
        <stp>31030.T</stp>
        <stp>年初来高値</stp>
        <tr r="K81" s="4"/>
        <tr r="K81" s="24"/>
      </tp>
      <tp>
        <v>2094</v>
        <stp/>
        <stp>Market</stp>
        <stp>STOCK</stp>
        <stp>30030.T</stp>
        <stp>年初来高値</stp>
        <tr r="K143" s="4"/>
        <tr r="K143" s="24"/>
      </tp>
      <tp>
        <v>3953</v>
        <stp/>
        <stp>Market</stp>
        <stp>STOCK</stp>
        <stp>94040.T</stp>
        <stp>年初来高値</stp>
        <tr r="K78" s="4"/>
        <tr r="K78" s="24"/>
      </tp>
      <tp>
        <v>1243</v>
        <stp/>
        <stp>Market</stp>
        <stp>STOCK</stp>
        <stp>87040.T</stp>
        <stp>年初来高値</stp>
        <tr r="K19" s="4"/>
        <tr r="K19" s="24"/>
      </tp>
      <tp>
        <v>1506.5</v>
        <stp/>
        <stp>Market</stp>
        <stp>STOCK</stp>
        <stp>86040.T</stp>
        <stp>年初来高値</stp>
        <tr r="K199" s="4"/>
        <tr r="K199" s="24"/>
      </tp>
      <tp>
        <v>1142</v>
        <stp/>
        <stp>Market</stp>
        <stp>STOCK</stp>
        <stp>95050.T</stp>
        <stp>年初来高値</stp>
        <tr r="K157" s="4"/>
        <tr r="K157" s="24"/>
      </tp>
      <tp>
        <v>7225</v>
        <stp/>
        <stp>Market</stp>
        <stp>STOCK</stp>
        <stp>63050.T</stp>
        <stp>年初来高値</stp>
        <tr r="K85" s="4"/>
        <tr r="K85" s="24"/>
      </tp>
      <tp>
        <v>4955</v>
        <stp/>
        <stp>Market</stp>
        <stp>STOCK</stp>
        <stp>16050.T</stp>
        <stp>年初来高値</stp>
        <tr r="K166" s="4"/>
        <tr r="K166" s="24"/>
      </tp>
      <tp>
        <v>1323</v>
        <stp/>
        <stp>Market</stp>
        <stp>STOCK</stp>
        <stp>95060.T</stp>
        <stp>年初来高値</stp>
        <tr r="K193" s="4"/>
        <tr r="K193" s="24"/>
      </tp>
      <tp>
        <v>3327</v>
        <stp/>
        <stp>Market</stp>
        <stp>STOCK</stp>
        <stp>83060.T</stp>
        <stp>年初来高値</stp>
        <tr r="K201" s="4"/>
        <tr r="K201" s="24"/>
      </tp>
      <tp>
        <v>7600</v>
        <stp/>
        <stp>Market</stp>
        <stp>STOCK</stp>
        <stp>78060.T</stp>
        <stp>年初来高値</stp>
        <tr r="K55" s="4"/>
        <tr r="K55" s="24"/>
      </tp>
      <tp>
        <v>7700</v>
        <stp/>
        <stp>Market</stp>
        <stp>STOCK</stp>
        <stp>65060.T</stp>
        <stp>年初来高値</stp>
        <tr r="K20" s="4"/>
        <tr r="K20" s="24"/>
      </tp>
      <tp>
        <v>57700</v>
        <stp/>
        <stp>Market</stp>
        <stp>STOCK</stp>
        <stp>57060.T</stp>
        <stp>年初来高値</stp>
        <tr r="K11" s="4"/>
        <tr r="K11" s="24"/>
      </tp>
      <tp>
        <v>2379.5</v>
        <stp/>
        <stp>Market</stp>
        <stp>STOCK</stp>
        <stp>54060.T</stp>
        <stp>年初来高値</stp>
        <tr r="K95" s="4"/>
        <tr r="K95" s="24"/>
      </tp>
      <tp>
        <v>16900</v>
        <stp/>
        <stp>Market</stp>
        <stp>STOCK</stp>
        <stp>65070.T</stp>
        <stp>年初来高値</stp>
        <tr r="K64" s="4"/>
        <tr r="K64" s="24"/>
      </tp>
      <tp>
        <v>6300</v>
        <stp/>
        <stp>Market</stp>
        <stp>STOCK</stp>
        <stp>43070.T</stp>
        <stp>年初来高値</stp>
        <tr r="K151" s="4"/>
        <tr r="K151" s="24"/>
      </tp>
      <tp>
        <v>1889</v>
        <stp/>
        <stp>Market</stp>
        <stp>STOCK</stp>
        <stp>34070.T</stp>
        <stp>年初来高値</stp>
        <tr r="K183" s="4"/>
        <tr r="K183" s="24"/>
      </tp>
      <tp>
        <v>3622</v>
        <stp/>
        <stp>Market</stp>
        <stp>STOCK</stp>
        <stp>31070.T</stp>
        <stp>年初来高値</stp>
        <tr r="K13" s="4"/>
        <tr r="K13" s="24"/>
      </tp>
      <tp>
        <v>2277.5</v>
        <stp/>
        <stp>Market</stp>
        <stp>STOCK</stp>
        <stp>83080.T</stp>
        <stp>年初来高値</stp>
        <tr r="K92" s="4"/>
        <tr r="K92" s="24"/>
      </tp>
      <tp>
        <v>1346</v>
        <stp/>
        <stp>Market</stp>
        <stp>STOCK</stp>
        <stp>40080.T</stp>
        <stp>年初来高値</stp>
        <tr r="K127" s="4"/>
        <tr r="K127" s="24"/>
      </tp>
      <tp>
        <v>6169</v>
        <stp/>
        <stp>Market</stp>
        <stp>STOCK</stp>
        <stp>83090.T</stp>
        <stp>年初来高値</stp>
        <tr r="K68" s="4"/>
        <tr r="K68" s="24"/>
      </tp>
      <tp>
        <v>1110</v>
        <stp/>
        <stp>Market</stp>
        <stp>STOCK</stp>
        <stp>47090.T</stp>
        <stp>年初来高値</stp>
        <tr r="K115" s="4"/>
        <tr r="K115" s="24"/>
      </tp>
    </main>
    <main first="rtdsrv.8a92272bbb794b2789e42afd4cc513d6">
      <tp>
        <v>2285</v>
        <stp/>
        <stp>Market</stp>
        <stp>STOCK</stp>
        <stp>55410.T</stp>
        <stp>現在値</stp>
        <tr r="C20" s="8"/>
        <tr r="E90" s="4"/>
        <tr r="E90" s="24"/>
      </tp>
      <tp>
        <v>1771</v>
        <stp/>
        <stp>Market</stp>
        <stp>STOCK</stp>
        <stp>54230.T</stp>
        <stp>現在値</stp>
        <tr r="C7" s="8"/>
        <tr r="E165" s="4"/>
        <tr r="E165" s="24"/>
      </tp>
      <tp>
        <v>1637</v>
        <stp/>
        <stp>Market</stp>
        <stp>STOCK</stp>
        <stp>54110.T</stp>
        <stp>現在値</stp>
        <tr r="E7" s="4"/>
        <tr r="C84" s="8"/>
        <tr r="E7" s="24"/>
      </tp>
      <tp>
        <v>2617</v>
        <stp/>
        <stp>Market</stp>
        <stp>STOCK</stp>
        <stp>54100.T</stp>
        <stp>現在値</stp>
        <tr r="E118" s="4"/>
        <tr r="C179" s="8"/>
        <tr r="E118" s="24"/>
      </tp>
      <tp>
        <v>557.5</v>
        <stp/>
        <stp>Market</stp>
        <stp>STOCK</stp>
        <stp>54010.T</stp>
        <stp>現在値</stp>
        <tr r="E173" s="4"/>
        <tr r="C46" s="8"/>
        <tr r="E173" s="24"/>
      </tp>
      <tp>
        <v>1978</v>
        <stp/>
        <stp>Market</stp>
        <stp>STOCK</stp>
        <stp>54060.T</stp>
        <stp>現在値</stp>
        <tr r="C38" s="8"/>
        <tr r="E95" s="4"/>
        <tr r="E95" s="24"/>
      </tp>
      <tp>
        <v>1755</v>
        <stp/>
        <stp>Market</stp>
        <stp>STOCK</stp>
        <stp>54400.T</stp>
        <stp>現在値</stp>
        <tr r="E156" s="4"/>
        <tr r="C180" s="8"/>
        <tr r="E156" s="24"/>
      </tp>
      <tp>
        <v>2238</v>
        <stp/>
        <stp>Market</stp>
        <stp>STOCK</stp>
        <stp>54490.T</stp>
        <stp>現在値</stp>
        <tr r="E97" s="4"/>
        <tr r="C51" s="8"/>
        <tr r="E97" s="24"/>
      </tp>
      <tp>
        <v>9155</v>
        <stp/>
        <stp>Market</stp>
        <stp>STOCK</stp>
        <stp>57130.T</stp>
        <stp>現在値</stp>
        <tr r="E46" s="4"/>
        <tr r="C8" s="8"/>
        <tr r="E46" s="24"/>
      </tp>
      <tp>
        <v>4882</v>
        <stp/>
        <stp>Market</stp>
        <stp>STOCK</stp>
        <stp>57110.T</stp>
        <stp>現在値</stp>
        <tr r="C9" s="8"/>
        <tr r="E87" s="4"/>
        <tr r="E87" s="24"/>
      </tp>
      <tp>
        <v>9839</v>
        <stp/>
        <stp>Market</stp>
        <stp>STOCK</stp>
        <stp>57140.T</stp>
        <stp>現在値</stp>
        <tr r="C10" s="8"/>
        <tr r="E47" s="4"/>
        <tr r="E47" s="24"/>
      </tp>
      <tp>
        <v>2958</v>
        <stp/>
        <stp>Market</stp>
        <stp>STOCK</stp>
        <stp>57030.T</stp>
        <stp>現在値</stp>
        <tr r="E48" s="4"/>
        <tr r="C13" s="8"/>
        <tr r="E48" s="24"/>
      </tp>
      <tp>
        <v>1704</v>
        <stp/>
        <stp>Market</stp>
        <stp>STOCK</stp>
        <stp>57020.T</stp>
        <stp>現在値</stp>
        <tr r="C275" s="8"/>
      </tp>
      <tp>
        <v>47600</v>
        <stp/>
        <stp>Market</stp>
        <stp>STOCK</stp>
        <stp>57060.T</stp>
        <stp>現在値</stp>
        <tr r="E11" s="4"/>
        <tr r="E11" s="24"/>
      </tp>
      <tp>
        <v>2141</v>
        <stp/>
        <stp>Market</stp>
        <stp>STOCK</stp>
        <stp>56320.T</stp>
        <stp>現在値</stp>
        <tr r="C247" s="8"/>
      </tp>
      <tp>
        <v>8295</v>
        <stp/>
        <stp>Market</stp>
        <stp>STOCK</stp>
        <stp>56310.T</stp>
        <stp>現在値</stp>
        <tr r="C263" s="8"/>
      </tp>
      <tp>
        <v>3669</v>
        <stp/>
        <stp>Market</stp>
        <stp>STOCK</stp>
        <stp>50210.T</stp>
        <stp>現在値</stp>
        <tr r="E88" s="4"/>
        <tr r="C15" s="8"/>
        <tr r="E88" s="24"/>
      </tp>
      <tp>
        <v>1246.5</v>
        <stp/>
        <stp>Market</stp>
        <stp>STOCK</stp>
        <stp>50200.T</stp>
        <stp>現在値</stp>
        <tr r="C29" s="8"/>
        <tr r="E141" s="4"/>
        <tr r="E141" s="24"/>
      </tp>
      <tp>
        <v>1284.5</v>
        <stp/>
        <stp>Market</stp>
        <stp>STOCK</stp>
        <stp>50190.T</stp>
        <stp>現在値</stp>
        <tr r="C24" s="8"/>
        <tr r="E140" s="4"/>
        <tr r="E140" s="24"/>
      </tp>
      <tp>
        <v>6972</v>
        <stp/>
        <stp>Market</stp>
        <stp>STOCK</stp>
        <stp>53330.T</stp>
        <stp>現在値</stp>
        <tr r="E37" s="4"/>
        <tr r="C17" s="8"/>
        <tr r="E37" s="24"/>
      </tp>
      <tp>
        <v>8297</v>
        <stp/>
        <stp>Market</stp>
        <stp>STOCK</stp>
        <stp>53320.T</stp>
        <stp>現在値</stp>
        <tr r="E12" s="4"/>
        <tr r="C21" s="8"/>
        <tr r="E12" s="24"/>
      </tp>
      <tp>
        <v>4425</v>
        <stp/>
        <stp>Market</stp>
        <stp>STOCK</stp>
        <stp>52330.T</stp>
        <stp>現在値</stp>
        <tr r="E170" s="4"/>
        <tr r="C34" s="8"/>
        <tr r="E170" s="24"/>
      </tp>
      <tp>
        <v>7421</v>
        <stp/>
        <stp>Market</stp>
        <stp>STOCK</stp>
        <stp>52010.T</stp>
        <stp>現在値</stp>
        <tr r="C53" s="8"/>
        <tr r="E175" s="4"/>
        <tr r="E175" s="24"/>
      </tp>
      <tp>
        <v>1449</v>
        <stp/>
        <stp>Market</stp>
        <stp>STOCK</stp>
        <stp>52530.T</stp>
        <stp>現在値</stp>
        <tr r="C258" s="8"/>
      </tp>
      <tp>
        <v>1821</v>
        <stp/>
        <stp>Market</stp>
        <stp>STOCK</stp>
        <stp>52430.T</stp>
        <stp>現在値</stp>
        <tr r="E138" s="4"/>
        <tr r="C193" s="8"/>
        <tr r="E138" s="24"/>
      </tp>
      <tp>
        <v>1721.5</v>
        <stp/>
        <stp>Market</stp>
        <stp>STOCK</stp>
        <stp>59380.T</stp>
        <stp>現在値</stp>
        <tr r="C36" s="8"/>
        <tr r="E93" s="4"/>
        <tr r="E93" s="24"/>
      </tp>
      <tp>
        <v>3713</v>
        <stp/>
        <stp>Market</stp>
        <stp>STOCK</stp>
        <stp>59290.T</stp>
        <stp>現在値</stp>
        <tr r="C49" s="8"/>
        <tr r="E69" s="4"/>
        <tr r="E69" s="24"/>
      </tp>
      <tp>
        <v>4076</v>
        <stp/>
        <stp>Market</stp>
        <stp>STOCK</stp>
        <stp>59010.T</stp>
        <stp>現在値</stp>
        <tr r="C55" s="8"/>
        <tr r="E71" s="4"/>
        <tr r="E71" s="24"/>
      </tp>
      <tp>
        <v>3465</v>
        <stp/>
        <stp>Market</stp>
        <stp>STOCK</stp>
        <stp>59470.T</stp>
        <stp>現在値</stp>
        <tr r="E96" s="4"/>
        <tr r="C42" s="8"/>
        <tr r="E96" s="24"/>
      </tp>
      <tp>
        <v>2192</v>
        <stp/>
        <stp>Market</stp>
        <stp>STOCK</stp>
        <stp>58920.T</stp>
        <stp>現在値</stp>
        <tr r="C89" s="8"/>
        <tr r="E74" s="4"/>
        <tr r="E74" s="24"/>
      </tp>
      <tp>
        <v>5161</v>
        <stp/>
        <stp>Market</stp>
        <stp>STOCK</stp>
        <stp>58380.T</stp>
        <stp>現在値</stp>
        <tr r="E147" s="4"/>
        <tr r="C117" s="8"/>
        <tr r="E147" s="24"/>
      </tp>
      <tp>
        <v>4729</v>
        <stp/>
        <stp>Market</stp>
        <stp>STOCK</stp>
        <stp>58030.T</stp>
        <stp>現在値</stp>
        <tr r="C103" s="8"/>
        <tr r="E58" s="4"/>
        <tr r="E58" s="24"/>
      </tp>
      <tp>
        <v>12300</v>
        <stp/>
        <stp>Market</stp>
        <stp>STOCK</stp>
        <stp>58020.T</stp>
        <stp>現在値</stp>
        <tr r="C102" s="8"/>
        <tr r="E57" s="4"/>
        <tr r="E57" s="24"/>
      </tp>
      <tp>
        <v>47440</v>
        <stp/>
        <stp>Market</stp>
        <stp>STOCK</stp>
        <stp>58010.T</stp>
        <stp>現在値</stp>
        <tr r="E45" s="4"/>
        <tr r="C200" s="8"/>
        <tr r="E45" s="24"/>
      </tp>
      <tp>
        <v>3305</v>
        <stp/>
        <stp>Market</stp>
        <stp>STOCK</stp>
        <stp>58570.T</stp>
        <stp>現在値</stp>
        <tr r="E52" s="4"/>
        <tr r="C62" s="8"/>
        <tr r="E52" s="24"/>
      </tp>
      <tp>
        <v>4535</v>
        <stp/>
        <stp>Market</stp>
        <stp>STOCK</stp>
        <stp>58440.T</stp>
        <stp>現在値</stp>
        <tr r="C118" s="8"/>
        <tr r="E61" s="4"/>
        <tr r="E61" s="24"/>
        <tr r="H4" s="19"/>
      </tp>
      <tp>
        <v>4280</v>
        <stp/>
        <stp>Market</stp>
        <stp>STOCK</stp>
        <stp>54100.T</stp>
        <stp>年初来高値</stp>
        <tr r="K118" s="4"/>
        <tr r="K118" s="24"/>
      </tp>
      <tp>
        <v>32900</v>
        <stp/>
        <stp>Market</stp>
        <stp>STOCK</stp>
        <stp>31100.T</stp>
        <stp>年初来高値</stp>
        <tr r="K109" s="4"/>
        <tr r="K109" s="24"/>
      </tp>
      <tp>
        <v>7966</v>
        <stp/>
        <stp>Market</stp>
        <stp>STOCK</stp>
        <stp>84110.T</stp>
        <stp>年初来高値</stp>
        <tr r="K66" s="4"/>
        <tr r="K66" s="24"/>
      </tp>
      <tp>
        <v>5208</v>
        <stp/>
        <stp>Market</stp>
        <stp>STOCK</stp>
        <stp>70110.T</stp>
        <stp>年初来高値</stp>
        <tr r="K197" s="4"/>
        <tr r="K197" s="24"/>
      </tp>
      <tp>
        <v>6126</v>
        <stp/>
        <stp>Market</stp>
        <stp>STOCK</stp>
        <stp>57110.T</stp>
        <stp>年初来高値</stp>
        <tr r="K87" s="4"/>
        <tr r="K87" s="24"/>
      </tp>
      <tp>
        <v>2359</v>
        <stp/>
        <stp>Market</stp>
        <stp>STOCK</stp>
        <stp>54110.T</stp>
        <stp>年初来高値</stp>
        <tr r="K7" s="4"/>
        <tr r="K7" s="24"/>
      </tp>
      <tp>
        <v>4720</v>
        <stp/>
        <stp>Market</stp>
        <stp>STOCK</stp>
        <stp>94120.T</stp>
        <stp>年初来高値</stp>
        <tr r="K22" s="4"/>
        <tr r="K22" s="24"/>
      </tp>
      <tp>
        <v>8040</v>
        <stp/>
        <stp>Market</stp>
        <stp>STOCK</stp>
        <stp>18120.T</stp>
        <stp>年初来高値</stp>
        <tr r="K121" s="4"/>
        <tr r="K121" s="24"/>
      </tp>
      <tp>
        <v>3620</v>
        <stp/>
        <stp>Market</stp>
        <stp>STOCK</stp>
        <stp>66130.T</stp>
        <stp>年初来高値</stp>
        <tr r="K3" s="4"/>
        <tr r="K3" s="24"/>
      </tp>
      <tp>
        <v>13300</v>
        <stp/>
        <stp>Market</stp>
        <stp>STOCK</stp>
        <stp>57130.T</stp>
        <stp>年初来高値</stp>
        <tr r="K46" s="4"/>
        <tr r="K46" s="24"/>
      </tp>
      <tp>
        <v>12380</v>
        <stp/>
        <stp>Market</stp>
        <stp>STOCK</stp>
        <stp>57140.T</stp>
        <stp>年初来高値</stp>
        <tr r="K47" s="4"/>
        <tr r="K47" s="24"/>
      </tp>
      <tp>
        <v>6474</v>
        <stp/>
        <stp>Market</stp>
        <stp>STOCK</stp>
        <stp>29140.T</stp>
        <stp>年初来高値</stp>
        <tr r="K182" s="4"/>
        <tr r="K182" s="24"/>
      </tp>
      <tp>
        <v>7559</v>
        <stp/>
        <stp>Market</stp>
        <stp>STOCK</stp>
        <stp>80150.T</stp>
        <stp>年初来高値</stp>
        <tr r="K65" s="4"/>
        <tr r="K65" s="24"/>
      </tp>
      <tp>
        <v>1343</v>
        <stp/>
        <stp>Market</stp>
        <stp>STOCK</stp>
        <stp>94160.T</stp>
        <stp>年初来高値</stp>
        <tr r="K107" s="4"/>
        <tr r="K107" s="24"/>
      </tp>
      <tp>
        <v>6725</v>
        <stp/>
        <stp>Market</stp>
        <stp>STOCK</stp>
        <stp>83160.T</stp>
        <stp>年初来高値</stp>
        <tr r="K70" s="4"/>
        <tr r="K70" s="24"/>
      </tp>
      <tp>
        <v>7880</v>
        <stp/>
        <stp>Market</stp>
        <stp>STOCK</stp>
        <stp>65160.T</stp>
        <stp>年初来高値</stp>
        <tr r="K29" s="4"/>
        <tr r="K29" s="24"/>
      </tp>
      <tp>
        <v>3675</v>
        <stp/>
        <stp>Market</stp>
        <stp>STOCK</stp>
        <stp>44170.T</stp>
        <stp>年初来高値</stp>
        <tr r="K112" s="4"/>
        <tr r="K112" s="24"/>
      </tp>
      <tp>
        <v>1671</v>
        <stp/>
        <stp>Market</stp>
        <stp>STOCK</stp>
        <stp>50190.T</stp>
        <stp>年初来高値</stp>
        <tr r="K140" s="4"/>
        <tr r="K140" s="24"/>
      </tp>
      <tp>
        <v>10700</v>
        <stp/>
        <stp>Market</stp>
        <stp>STOCK</stp>
        <stp>45190.T</stp>
        <stp>年初来高値</stp>
        <tr r="K205" s="4"/>
        <tr r="K205" s="24"/>
      </tp>
    </main>
    <main first="rtdsrv.8a92272bbb794b2789e42afd4cc513d6">
      <tp>
        <v>731</v>
        <stp/>
        <stp>Market</stp>
        <stp>STOCK</stp>
        <stp>65220.T</stp>
        <stp>現在値</stp>
        <tr r="E111" s="4"/>
        <tr r="C143" s="8"/>
        <tr r="E111" s="24"/>
      </tp>
      <tp>
        <v>4810</v>
        <stp/>
        <stp>Market</stp>
        <stp>STOCK</stp>
        <stp>65210.T</stp>
        <stp>現在値</stp>
        <tr r="C242" s="8"/>
      </tp>
      <tp>
        <v>6780</v>
        <stp/>
        <stp>Market</stp>
        <stp>STOCK</stp>
        <stp>65160.T</stp>
        <stp>現在値</stp>
        <tr r="E29" s="4"/>
        <tr r="C151" s="8"/>
        <tr r="E29" s="24"/>
      </tp>
      <tp>
        <v>5863</v>
        <stp/>
        <stp>Market</stp>
        <stp>STOCK</stp>
        <stp>65030.T</stp>
        <stp>現在値</stp>
        <tr r="C68" s="8"/>
        <tr r="E39" s="4"/>
        <tr r="E39" s="24"/>
      </tp>
      <tp>
        <v>4701</v>
        <stp/>
        <stp>Market</stp>
        <stp>STOCK</stp>
        <stp>65010.T</stp>
        <stp>現在値</stp>
        <tr r="C91" s="8"/>
        <tr r="E126" s="4"/>
        <tr r="E126" s="24"/>
      </tp>
      <tp>
        <v>15680</v>
        <stp/>
        <stp>Market</stp>
        <stp>STOCK</stp>
        <stp>65070.T</stp>
        <stp>現在値</stp>
        <tr r="E64" s="4"/>
        <tr r="C183" s="8"/>
        <tr r="E64" s="24"/>
      </tp>
      <tp>
        <v>7046</v>
        <stp/>
        <stp>Market</stp>
        <stp>STOCK</stp>
        <stp>65060.T</stp>
        <stp>現在値</stp>
        <tr r="E20" s="4"/>
        <tr r="C201" s="8"/>
        <tr r="E20" s="24"/>
      </tp>
      <tp>
        <v>770</v>
        <stp/>
        <stp>Market</stp>
        <stp>STOCK</stp>
        <stp>64820.T</stp>
        <stp>現在値</stp>
        <tr r="C290" s="8"/>
      </tp>
      <tp>
        <v>1454</v>
        <stp/>
        <stp>Market</stp>
        <stp>STOCK</stp>
        <stp>64850.T</stp>
        <stp>現在値</stp>
        <tr r="E194" s="4"/>
        <tr r="C191" s="8"/>
        <tr r="E194" s="24"/>
      </tp>
      <tp>
        <v>924</v>
        <stp/>
        <stp>Market</stp>
        <stp>STOCK</stp>
        <stp>64880.T</stp>
        <stp>現在値</stp>
        <tr r="C280" s="8"/>
      </tp>
      <tp>
        <v>3565</v>
        <stp/>
        <stp>Market</stp>
        <stp>STOCK</stp>
        <stp>64360.T</stp>
        <stp>現在値</stp>
        <tr r="E155" s="4"/>
        <tr r="C178" s="8"/>
        <tr r="E155" s="24"/>
      </tp>
      <tp>
        <v>7450</v>
        <stp/>
        <stp>Market</stp>
        <stp>STOCK</stp>
        <stp>64070.T</stp>
        <stp>現在値</stp>
        <tr r="C295" s="8"/>
      </tp>
      <tp>
        <v>4718</v>
        <stp/>
        <stp>Market</stp>
        <stp>STOCK</stp>
        <stp>64790.T</stp>
        <stp>現在値</stp>
        <tr r="E24" s="4"/>
        <tr r="C79" s="8"/>
        <tr r="E24" s="24"/>
      </tp>
      <tp>
        <v>35750</v>
        <stp/>
        <stp>Market</stp>
        <stp>STOCK</stp>
        <stp>67870.T</stp>
        <stp>現在値</stp>
        <tr r="E10" s="4"/>
        <tr r="C145" s="8"/>
        <tr r="E10" s="24"/>
      </tp>
      <tp>
        <v>9100</v>
        <stp/>
        <stp>Market</stp>
        <stp>STOCK</stp>
        <stp>67360.T</stp>
        <stp>現在値</stp>
        <tr r="C287" s="8"/>
      </tp>
      <tp>
        <v>3852</v>
        <stp/>
        <stp>Market</stp>
        <stp>STOCK</stp>
        <stp>67010.T</stp>
        <stp>現在値</stp>
        <tr r="E139" s="4"/>
        <tr r="C11" s="8"/>
        <tr r="E139" s="24"/>
      </tp>
      <tp>
        <v>3155</v>
        <stp/>
        <stp>Market</stp>
        <stp>STOCK</stp>
        <stp>67060.T</stp>
        <stp>現在値</stp>
        <tr r="C291" s="8"/>
      </tp>
      <tp>
        <v>27070</v>
        <stp/>
        <stp>Market</stp>
        <stp>STOCK</stp>
        <stp>67770.T</stp>
        <stp>現在値</stp>
        <tr r="C144" s="8"/>
        <tr r="E130" s="4"/>
        <tr r="E130" s="24"/>
      </tp>
      <tp>
        <v>3830</v>
        <stp/>
        <stp>Market</stp>
        <stp>STOCK</stp>
        <stp>67620.T</stp>
        <stp>現在値</stp>
        <tr r="C234" s="8"/>
      </tp>
      <tp>
        <v>594.4</v>
        <stp/>
        <stp>Market</stp>
        <stp>STOCK</stp>
        <stp>67530.T</stp>
        <stp>現在値</stp>
        <tr r="C188" s="8"/>
        <tr r="E162" s="4"/>
        <tr r="E162" s="24"/>
      </tp>
      <tp>
        <v>4200</v>
        <stp/>
        <stp>Market</stp>
        <stp>STOCK</stp>
        <stp>67520.T</stp>
        <stp>現在値</stp>
        <tr r="C215" s="8"/>
      </tp>
      <tp>
        <v>4122</v>
        <stp/>
        <stp>Market</stp>
        <stp>STOCK</stp>
        <stp>67540.T</stp>
        <stp>現在値</stp>
        <tr r="E31" s="4"/>
        <tr r="C155" s="8"/>
        <tr r="E31" s="24"/>
      </tp>
      <tp>
        <v>3286</v>
        <stp/>
        <stp>Market</stp>
        <stp>STOCK</stp>
        <stp>67580.T</stp>
        <stp>現在値</stp>
        <tr r="E86" s="4"/>
        <tr r="C205" s="8"/>
        <tr r="E86" s="24"/>
      </tp>
      <tp>
        <v>51</v>
        <stp/>
        <stp>Market</stp>
        <stp>STOCK</stp>
        <stp>67400.T</stp>
        <stp>現在値</stp>
        <tr r="E189" s="4"/>
        <tr r="C140" s="8"/>
        <tr r="E189" s="24"/>
      </tp>
      <tp>
        <v>4175</v>
        <stp/>
        <stp>Market</stp>
        <stp>STOCK</stp>
        <stp>67440.T</stp>
        <stp>現在値</stp>
        <tr r="E106" s="4"/>
        <tr r="C120" s="8"/>
        <tr r="E106" s="24"/>
      </tp>
      <tp>
        <v>16830</v>
        <stp/>
        <stp>Market</stp>
        <stp>STOCK</stp>
        <stp>66220.T</stp>
        <stp>現在値</stp>
        <tr r="C216" s="8"/>
      </tp>
      <tp>
        <v>2377</v>
        <stp/>
        <stp>Market</stp>
        <stp>STOCK</stp>
        <stp>66130.T</stp>
        <stp>現在値</stp>
        <tr r="E3" s="4"/>
        <tr r="C141" s="8"/>
        <tr r="E3" s="24"/>
      </tp>
      <tp>
        <v>6718</v>
        <stp/>
        <stp>Market</stp>
        <stp>STOCK</stp>
        <stp>66740.T</stp>
        <stp>現在値</stp>
        <tr r="C264" s="8"/>
      </tp>
      <tp>
        <v>14250</v>
        <stp/>
        <stp>Market</stp>
        <stp>STOCK</stp>
        <stp>61350.T</stp>
        <stp>現在値</stp>
        <tr r="C223" s="8"/>
      </tp>
      <tp>
        <v>8323</v>
        <stp/>
        <stp>Market</stp>
        <stp>STOCK</stp>
        <stp>61340.T</stp>
        <stp>現在値</stp>
        <tr r="C92" s="8"/>
        <tr r="E25" s="4"/>
        <tr r="E25" s="24"/>
      </tp>
      <tp>
        <v>2196.5</v>
        <stp/>
        <stp>Market</stp>
        <stp>STOCK</stp>
        <stp>61780.T</stp>
        <stp>現在値</stp>
        <tr r="C104" s="8"/>
        <tr r="E59" s="4"/>
        <tr r="E59" s="24"/>
        <tr r="H6" s="19"/>
      </tp>
      <tp>
        <v>1323</v>
        <stp/>
        <stp>Market</stp>
        <stp>STOCK</stp>
        <stp>61400.T</stp>
        <stp>現在値</stp>
        <tr r="C261" s="8"/>
      </tp>
      <tp>
        <v>83700</v>
        <stp/>
        <stp>Market</stp>
        <stp>STOCK</stp>
        <stp>61460.T</stp>
        <stp>現在値</stp>
        <tr r="C197" s="8"/>
        <tr r="E120" s="4"/>
        <tr r="E120" s="24"/>
      </tp>
      <tp>
        <v>10520</v>
        <stp/>
        <stp>Market</stp>
        <stp>STOCK</stp>
        <stp>60980.T</stp>
        <stp>現在値</stp>
        <tr r="C248" s="8"/>
      </tp>
      <tp>
        <v>320</v>
        <stp/>
        <stp>Market</stp>
        <stp>STOCK</stp>
        <stp>60850.T</stp>
        <stp>現在値</stp>
        <tr r="E150" s="4"/>
        <tr r="C137" s="8"/>
        <tr r="E150" s="24"/>
      </tp>
      <tp>
        <v>2134</v>
        <stp/>
        <stp>Market</stp>
        <stp>STOCK</stp>
        <stp>60270.T</stp>
        <stp>現在値</stp>
        <tr r="C72" s="8"/>
        <tr r="E98" s="4"/>
        <tr r="E98" s="24"/>
      </tp>
      <tp>
        <v>2361</v>
        <stp/>
        <stp>Market</stp>
        <stp>STOCK</stp>
        <stp>60550.T</stp>
        <stp>現在値</stp>
        <tr r="C224" s="8"/>
      </tp>
      <tp>
        <v>16190</v>
        <stp/>
        <stp>Market</stp>
        <stp>STOCK</stp>
        <stp>63870.T</stp>
        <stp>現在値</stp>
        <tr r="E62" s="4"/>
        <tr r="C147" s="8"/>
        <tr r="E62" s="24"/>
      </tp>
      <tp>
        <v>4100</v>
        <stp/>
        <stp>Market</stp>
        <stp>STOCK</stp>
        <stp>63310.T</stp>
        <stp>現在値</stp>
        <tr r="C301" s="8"/>
      </tp>
      <tp>
        <v>2198</v>
        <stp/>
        <stp>Market</stp>
        <stp>STOCK</stp>
        <stp>63300.T</stp>
        <stp>現在値</stp>
        <tr r="C128" s="8"/>
        <tr r="E186" s="4"/>
        <tr r="E186" s="24"/>
      </tp>
      <tp>
        <v>4554</v>
        <stp/>
        <stp>Market</stp>
        <stp>STOCK</stp>
        <stp>63230.T</stp>
        <stp>現在値</stp>
        <tr r="E41" s="4"/>
        <tr r="C90" s="8"/>
        <tr r="E41" s="24"/>
      </tp>
      <tp>
        <v>5150</v>
        <stp/>
        <stp>Market</stp>
        <stp>STOCK</stp>
        <stp>63270.T</stp>
        <stp>現在値</stp>
        <tr r="E27" s="4"/>
        <tr r="C133" s="8"/>
        <tr r="E27" s="24"/>
      </tp>
      <tp>
        <v>7850</v>
        <stp/>
        <stp>Market</stp>
        <stp>STOCK</stp>
        <stp>63240.T</stp>
        <stp>現在値</stp>
        <tr r="C210" s="8"/>
      </tp>
      <tp>
        <v>5417</v>
        <stp/>
        <stp>Market</stp>
        <stp>STOCK</stp>
        <stp>63050.T</stp>
        <stp>現在値</stp>
        <tr r="C203" s="8"/>
        <tr r="E85" s="4"/>
        <tr r="E85" s="24"/>
      </tp>
      <tp>
        <v>9370</v>
        <stp/>
        <stp>Market</stp>
        <stp>STOCK</stp>
        <stp>63700.T</stp>
        <stp>現在値</stp>
        <tr r="C255" s="8"/>
      </tp>
      <tp>
        <v>3855</v>
        <stp/>
        <stp>Market</stp>
        <stp>STOCK</stp>
        <stp>63760.T</stp>
        <stp>現在値</stp>
        <tr r="C269" s="8"/>
      </tp>
      <tp>
        <v>6527</v>
        <stp/>
        <stp>Market</stp>
        <stp>STOCK</stp>
        <stp>63610.T</stp>
        <stp>現在値</stp>
        <tr r="C249" s="8"/>
      </tp>
      <tp>
        <v>798</v>
        <stp/>
        <stp>Market</stp>
        <stp>STOCK</stp>
        <stp>63660.T</stp>
        <stp>現在値</stp>
        <tr r="C260" s="8"/>
      </tp>
      <tp>
        <v>1630</v>
        <stp/>
        <stp>Market</stp>
        <stp>STOCK</stp>
        <stp>63560.T</stp>
        <stp>現在値</stp>
        <tr r="C267" s="8"/>
      </tp>
      <tp>
        <v>1764</v>
        <stp/>
        <stp>Market</stp>
        <stp>STOCK</stp>
        <stp>62320.T</stp>
        <stp>現在値</stp>
        <tr r="C135" s="8"/>
        <tr r="E28" s="4"/>
        <tr r="E28" s="24"/>
      </tp>
      <tp>
        <v>8160</v>
        <stp/>
        <stp>Market</stp>
        <stp>STOCK</stp>
        <stp>62270.T</stp>
        <stp>現在値</stp>
        <tr r="C132" s="8"/>
        <tr r="E108" s="4"/>
        <tr r="E108" s="24"/>
      </tp>
      <tp>
        <v>1630</v>
        <stp/>
        <stp>Market</stp>
        <stp>STOCK</stp>
        <stp>62030.T</stp>
        <stp>現在値</stp>
        <tr r="E50" s="4"/>
        <tr r="C57" s="8"/>
        <tr r="E50" s="24"/>
      </tp>
      <tp>
        <v>72600</v>
        <stp/>
        <stp>Market</stp>
        <stp>STOCK</stp>
        <stp>62730.T</stp>
        <stp>現在値</stp>
        <tr r="C211" s="8"/>
      </tp>
      <tp>
        <v>4900</v>
        <stp/>
        <stp>Market</stp>
        <stp>STOCK</stp>
        <stp>62540.T</stp>
        <stp>現在値</stp>
        <tr r="E5" s="4"/>
        <tr r="C30" s="8"/>
        <tr r="E5" s="24"/>
      </tp>
      <tp>
        <v>5240</v>
        <stp/>
        <stp>Market</stp>
        <stp>STOCK</stp>
        <stp>69970.T</stp>
        <stp>現在値</stp>
        <tr r="C272" s="8"/>
      </tp>
      <tp>
        <v>10865</v>
        <stp/>
        <stp>Market</stp>
        <stp>STOCK</stp>
        <stp>69810.T</stp>
        <stp>現在値</stp>
        <tr r="E30" s="4"/>
        <tr r="C154" s="8"/>
        <tr r="E30" s="24"/>
      </tp>
      <tp>
        <v>52700</v>
        <stp/>
        <stp>Market</stp>
        <stp>STOCK</stp>
        <stp>69200.T</stp>
        <stp>現在値</stp>
        <tr r="E84" s="4"/>
        <tr r="C199" s="8"/>
        <tr r="E84" s="24"/>
      </tp>
      <tp>
        <v>4596</v>
        <stp/>
        <stp>Market</stp>
        <stp>STOCK</stp>
        <stp>69250.T</stp>
        <stp>現在値</stp>
        <tr r="E42" s="4"/>
        <tr r="C105" s="8"/>
        <tr r="E42" s="24"/>
      </tp>
      <tp>
        <v>3365</v>
        <stp/>
        <stp>Market</stp>
        <stp>STOCK</stp>
        <stp>69280.T</stp>
        <stp>現在値</stp>
        <tr r="C246" s="8"/>
      </tp>
      <tp>
        <v>3335</v>
        <stp/>
        <stp>Market</stp>
        <stp>STOCK</stp>
        <stp>69180.T</stp>
        <stp>現在値</stp>
        <tr r="C279" s="8"/>
      </tp>
      <tp>
        <v>1917</v>
        <stp/>
        <stp>Market</stp>
        <stp>STOCK</stp>
        <stp>69020.T</stp>
        <stp>現在値</stp>
        <tr r="C244" s="8"/>
      </tp>
      <tp>
        <v>2777.5</v>
        <stp/>
        <stp>Market</stp>
        <stp>STOCK</stp>
        <stp>69650.T</stp>
        <stp>現在値</stp>
        <tr r="C300" s="8"/>
      </tp>
      <tp>
        <v>513</v>
        <stp/>
        <stp>Market</stp>
        <stp>STOCK</stp>
        <stp>69550.T</stp>
        <stp>現在値</stp>
        <tr r="C265" s="8"/>
      </tp>
      <tp>
        <v>7515</v>
        <stp/>
        <stp>Market</stp>
        <stp>STOCK</stp>
        <stp>69540.T</stp>
        <stp>現在値</stp>
        <tr r="E16" s="4"/>
        <tr r="C78" s="8"/>
        <tr r="E16" s="24"/>
      </tp>
      <tp>
        <v>9440</v>
        <stp/>
        <stp>Market</stp>
        <stp>STOCK</stp>
        <stp>68900.T</stp>
        <stp>現在値</stp>
        <tr r="C195" s="8"/>
        <tr r="E33" s="4"/>
        <tr r="E33" s="24"/>
      </tp>
      <tp>
        <v>2153</v>
        <stp/>
        <stp>Market</stp>
        <stp>STOCK</stp>
        <stp>68380.T</stp>
        <stp>現在値</stp>
        <tr r="C148" s="8"/>
        <tr r="E6" s="4"/>
        <tr r="E6" s="24"/>
      </tp>
      <tp>
        <v>1567</v>
        <stp/>
        <stp>Market</stp>
        <stp>STOCK</stp>
        <stp>68090.T</stp>
        <stp>現在値</stp>
        <tr r="C238" s="8"/>
      </tp>
      <tp>
        <v>2191</v>
        <stp/>
        <stp>Market</stp>
        <stp>STOCK</stp>
        <stp>68620.T</stp>
        <stp>現在値</stp>
        <tr r="C225" s="8"/>
      </tp>
      <tp>
        <v>75600</v>
        <stp/>
        <stp>Market</stp>
        <stp>STOCK</stp>
        <stp>68610.T</stp>
        <stp>現在値</stp>
        <tr r="C209" s="8"/>
      </tp>
      <tp>
        <v>30060</v>
        <stp/>
        <stp>Market</stp>
        <stp>STOCK</stp>
        <stp>68570.T</stp>
        <stp>現在値</stp>
        <tr r="C158" s="8"/>
        <tr r="E113" s="4"/>
        <tr r="E113" s="24"/>
      </tp>
      <tp>
        <v>5380</v>
        <stp/>
        <stp>Market</stp>
        <stp>STOCK</stp>
        <stp>68410.T</stp>
        <stp>現在値</stp>
        <tr r="C81" s="8"/>
        <tr r="E100" s="4"/>
        <tr r="E100" s="24"/>
      </tp>
      <tp>
        <v>864</v>
        <stp/>
        <stp>Market</stp>
        <stp>STOCK</stp>
        <stp>68480.T</stp>
        <stp>現在値</stp>
        <tr r="C274" s="8"/>
      </tp>
      <tp>
        <v>4211</v>
        <stp/>
        <stp>Market</stp>
        <stp>STOCK</stp>
        <stp>90200.T</stp>
        <stp>年初来高値</stp>
        <tr r="K104" s="4"/>
        <tr r="K104" s="24"/>
      </tp>
      <tp>
        <v>48640</v>
        <stp/>
        <stp>Market</stp>
        <stp>STOCK</stp>
        <stp>69200.T</stp>
        <stp>年初来高値</stp>
        <tr r="K84" s="4"/>
        <tr r="K84" s="24"/>
      </tp>
      <tp>
        <v>1552.5</v>
        <stp/>
        <stp>Market</stp>
        <stp>STOCK</stp>
        <stp>50200.T</stp>
        <stp>年初来高値</stp>
        <tr r="K141" s="4"/>
        <tr r="K141" s="24"/>
      </tp>
      <tp>
        <v>2539</v>
        <stp/>
        <stp>Market</stp>
        <stp>STOCK</stp>
        <stp>70210.T</stp>
        <stp>年初来高値</stp>
        <tr r="K76" s="4"/>
        <tr r="K76" s="24"/>
      </tp>
      <tp>
        <v>5034</v>
        <stp/>
        <stp>Market</stp>
        <stp>STOCK</stp>
        <stp>50210.T</stp>
        <stp>年初来高値</stp>
        <tr r="K88" s="4"/>
        <tr r="K88" s="24"/>
      </tp>
      <tp>
        <v>4830</v>
        <stp/>
        <stp>Market</stp>
        <stp>STOCK</stp>
        <stp>90220.T</stp>
        <stp>年初来高値</stp>
        <tr r="K159" s="4"/>
        <tr r="K159" s="24"/>
      </tp>
      <tp>
        <v>1699</v>
        <stp/>
        <stp>Market</stp>
        <stp>STOCK</stp>
        <stp>65220.T</stp>
        <stp>年初来高値</stp>
        <tr r="K111" s="4"/>
        <tr r="K111" s="24"/>
      </tp>
      <tp>
        <v>1630</v>
        <stp/>
        <stp>Market</stp>
        <stp>STOCK</stp>
        <stp>44220.T</stp>
        <stp>年初来高値</stp>
        <tr r="K188" s="4"/>
        <tr r="K188" s="24"/>
      </tp>
      <tp>
        <v>4590</v>
        <stp/>
        <stp>Market</stp>
        <stp>STOCK</stp>
        <stp>63230.T</stp>
        <stp>年初来高値</stp>
        <tr r="K41" s="4"/>
        <tr r="K41" s="24"/>
      </tp>
      <tp>
        <v>1973</v>
        <stp/>
        <stp>Market</stp>
        <stp>STOCK</stp>
        <stp>54230.T</stp>
        <stp>年初来高値</stp>
        <tr r="K165" s="4"/>
        <tr r="K165" s="24"/>
      </tp>
      <tp>
        <v>5243</v>
        <stp/>
        <stp>Market</stp>
        <stp>STOCK</stp>
        <stp>45230.T</stp>
        <stp>年初来高値</stp>
        <tr r="K184" s="4"/>
        <tr r="K184" s="24"/>
      </tp>
      <tp>
        <v>155</v>
        <stp/>
        <stp>Market</stp>
        <stp>STOCK</stp>
        <stp>94240.T</stp>
        <stp>年初来高値</stp>
        <tr r="K15" s="4"/>
        <tr r="K15" s="24"/>
      </tp>
      <tp>
        <v>4664</v>
        <stp/>
        <stp>Market</stp>
        <stp>STOCK</stp>
        <stp>84240.T</stp>
        <stp>年初来高値</stp>
        <tr r="K185" s="4"/>
        <tr r="K185" s="24"/>
      </tp>
      <tp>
        <v>4742</v>
        <stp/>
        <stp>Market</stp>
        <stp>STOCK</stp>
        <stp>87250.T</stp>
        <stp>年初来高値</stp>
        <tr r="K168" s="4"/>
        <tr r="K168" s="24"/>
      </tp>
      <tp>
        <v>4416</v>
        <stp/>
        <stp>Market</stp>
        <stp>STOCK</stp>
        <stp>69250.T</stp>
        <stp>年初来高値</stp>
        <tr r="K42" s="4"/>
        <tr r="K42" s="24"/>
      </tp>
      <tp>
        <v>5805</v>
        <stp/>
        <stp>Market</stp>
        <stp>STOCK</stp>
        <stp>19250.T</stp>
        <stp>年初来高値</stp>
        <tr r="K181" s="4"/>
        <tr r="K181" s="24"/>
      </tp>
      <tp>
        <v>1620</v>
        <stp/>
        <stp>Market</stp>
        <stp>STOCK</stp>
        <stp>92270.T</stp>
        <stp>年初来高値</stp>
        <tr r="K146" s="4"/>
        <tr r="K146" s="24"/>
      </tp>
      <tp>
        <v>6910</v>
        <stp/>
        <stp>Market</stp>
        <stp>STOCK</stp>
        <stp>63270.T</stp>
        <stp>年初来高値</stp>
        <tr r="K27" s="4"/>
        <tr r="K27" s="24"/>
      </tp>
      <tp>
        <v>9190</v>
        <stp/>
        <stp>Market</stp>
        <stp>STOCK</stp>
        <stp>62270.T</stp>
        <stp>年初来高値</stp>
        <tr r="K108" s="4"/>
        <tr r="K108" s="24"/>
      </tp>
      <tp>
        <v>3490</v>
        <stp/>
        <stp>Market</stp>
        <stp>STOCK</stp>
        <stp>60270.T</stp>
        <stp>年初来高値</stp>
        <tr r="K98" s="4"/>
        <tr r="K98" s="24"/>
      </tp>
      <tp>
        <v>4655</v>
        <stp/>
        <stp>Market</stp>
        <stp>STOCK</stp>
        <stp>23270.T</stp>
        <stp>年初来高値</stp>
        <tr r="K154" s="4"/>
        <tr r="K154" s="24"/>
      </tp>
      <tp>
        <v>763.7</v>
        <stp/>
        <stp>Market</stp>
        <stp>STOCK</stp>
        <stp>21270.T</stp>
        <stp>年初来高値</stp>
        <tr r="K161" s="4"/>
        <tr r="K161" s="24"/>
      </tp>
      <tp>
        <v>2674.5</v>
        <stp/>
        <stp>Market</stp>
        <stp>STOCK</stp>
        <stp>45280.T</stp>
        <stp>年初来高値</stp>
        <tr r="K17" s="4"/>
        <tr r="K17" s="24"/>
      </tp>
      <tp>
        <v>19880</v>
        <stp/>
        <stp>Market</stp>
        <stp>STOCK</stp>
        <stp>77290.T</stp>
        <stp>年初来高値</stp>
        <tr r="K18" s="4"/>
        <tr r="K18" s="24"/>
      </tp>
      <tp>
        <v>4284</v>
        <stp/>
        <stp>Market</stp>
        <stp>STOCK</stp>
        <stp>59290.T</stp>
        <stp>年初来高値</stp>
        <tr r="K69" s="4"/>
        <tr r="K69" s="24"/>
      </tp>
    </main>
    <main first="rtdsrv.8a92272bbb794b2789e42afd4cc513d6">
      <tp>
        <v>1330</v>
        <stp/>
        <stp>Market</stp>
        <stp>STOCK</stp>
        <stp>74140.T</stp>
        <stp>現在値</stp>
        <tr r="C294" s="8"/>
      </tp>
      <tp>
        <v>1097</v>
        <stp/>
        <stp>Market</stp>
        <stp>STOCK</stp>
        <stp>77940.T</stp>
        <stp>現在値</stp>
        <tr r="E80" s="4"/>
        <tr r="C136" s="8"/>
        <tr r="E80" s="24"/>
      </tp>
      <tp>
        <v>15320</v>
        <stp/>
        <stp>Market</stp>
        <stp>STOCK</stp>
        <stp>77350.T</stp>
        <stp>現在値</stp>
        <tr r="C283" s="8"/>
      </tp>
      <tp>
        <v>19255</v>
        <stp/>
        <stp>Market</stp>
        <stp>STOCK</stp>
        <stp>77290.T</stp>
        <stp>現在値</stp>
        <tr r="C107" s="8"/>
        <tr r="E18" s="4"/>
        <tr r="E18" s="24"/>
      </tp>
      <tp>
        <v>5650</v>
        <stp/>
        <stp>Market</stp>
        <stp>STOCK</stp>
        <stp>77110.T</stp>
        <stp>現在値</stp>
        <tr r="C268" s="8"/>
      </tp>
      <tp>
        <v>27620</v>
        <stp/>
        <stp>Market</stp>
        <stp>STOCK</stp>
        <stp>77410.T</stp>
        <stp>現在値</stp>
        <tr r="C302" s="8"/>
      </tp>
      <tp>
        <v>828</v>
        <stp/>
        <stp>Market</stp>
        <stp>STOCK</stp>
        <stp>77460.T</stp>
        <stp>現在値</stp>
        <tr r="E144" s="4"/>
        <tr r="C93" s="8"/>
        <tr r="E144" s="24"/>
      </tp>
      <tp>
        <v>3595</v>
        <stp/>
        <stp>Market</stp>
        <stp>STOCK</stp>
        <stp>76850.T</stp>
        <stp>現在値</stp>
        <tr r="C121" s="8"/>
        <tr r="E148" s="4"/>
        <tr r="E148" s="24"/>
      </tp>
      <tp>
        <v>3635</v>
        <stp/>
        <stp>Market</stp>
        <stp>STOCK</stp>
        <stp>76090.T</stp>
        <stp>現在値</stp>
        <tr r="C240" s="8"/>
      </tp>
      <tp>
        <v>3125</v>
        <stp/>
        <stp>Market</stp>
        <stp>STOCK</stp>
        <stp>71820.T</stp>
        <stp>現在値</stp>
        <tr r="E102" s="4"/>
        <tr r="C85" s="8"/>
        <tr r="E102" s="24"/>
      </tp>
      <tp>
        <v>1516</v>
        <stp/>
        <stp>Market</stp>
        <stp>STOCK</stp>
        <stp>71810.T</stp>
        <stp>現在値</stp>
        <tr r="C190" s="8"/>
        <tr r="E119" s="4"/>
        <tr r="E119" s="24"/>
      </tp>
      <tp>
        <v>1388.5</v>
        <stp/>
        <stp>Market</stp>
        <stp>STOCK</stp>
        <stp>71670.T</stp>
        <stp>現在値</stp>
        <tr r="E101" s="4"/>
        <tr r="C82" s="8"/>
        <tr r="E101" s="24"/>
      </tp>
      <tp>
        <v>1800</v>
        <stp/>
        <stp>Market</stp>
        <stp>STOCK</stp>
        <stp>70210.T</stp>
        <stp>現在値</stp>
        <tr r="E76" s="4"/>
        <tr r="C106" s="8"/>
        <tr r="E76" s="24"/>
      </tp>
      <tp>
        <v>2916.5</v>
        <stp/>
        <stp>Market</stp>
        <stp>STOCK</stp>
        <stp>70130.T</stp>
        <stp>現在値</stp>
        <tr r="C231" s="8"/>
      </tp>
      <tp>
        <v>3860</v>
        <stp/>
        <stp>Market</stp>
        <stp>STOCK</stp>
        <stp>70110.T</stp>
        <stp>現在値</stp>
        <tr r="C207" s="8"/>
        <tr r="E197" s="4"/>
        <tr r="E197" s="24"/>
      </tp>
      <tp>
        <v>3875</v>
        <stp/>
        <stp>Market</stp>
        <stp>STOCK</stp>
        <stp>70140.T</stp>
        <stp>現在値</stp>
        <tr r="C256" s="8"/>
      </tp>
      <tp>
        <v>133</v>
        <stp/>
        <stp>Market</stp>
        <stp>STOCK</stp>
        <stp>70480.T</stp>
        <stp>現在値</stp>
        <tr r="C296" s="8"/>
      </tp>
      <tp>
        <v>975</v>
        <stp/>
        <stp>Market</stp>
        <stp>STOCK</stp>
        <stp>73810.T</stp>
        <stp>現在値</stp>
        <tr r="C152" s="8"/>
        <tr r="E63" s="24"/>
        <tr r="E63" s="4"/>
      </tp>
      <tp>
        <v>1329</v>
        <stp/>
        <stp>Market</stp>
        <stp>STOCK</stp>
        <stp>73750.T</stp>
        <stp>現在値</stp>
        <tr r="E190" s="4"/>
        <tr r="C149" s="8"/>
        <tr r="E190" s="24"/>
      </tp>
      <tp>
        <v>14250</v>
        <stp/>
        <stp>Market</stp>
        <stp>STOCK</stp>
        <stp>72360.T</stp>
        <stp>現在値</stp>
        <tr r="E137" s="4"/>
        <tr r="C177" s="8"/>
        <tr r="E137" s="24"/>
      </tp>
      <tp>
        <v>2810</v>
        <stp/>
        <stp>Market</stp>
        <stp>STOCK</stp>
        <stp>72030.T</stp>
        <stp>現在値</stp>
        <tr r="E73" s="4"/>
        <tr r="C77" s="8"/>
        <tr r="E73" s="24"/>
      </tp>
      <tp>
        <v>2582.5</v>
        <stp/>
        <stp>Market</stp>
        <stp>STOCK</stp>
        <stp>72700.T</stp>
        <stp>現在値</stp>
        <tr r="C286" s="8"/>
      </tp>
      <tp>
        <v>3000</v>
        <stp/>
        <stp>Market</stp>
        <stp>STOCK</stp>
        <stp>79810.T</stp>
        <stp>現在値</stp>
        <tr r="C171" s="8"/>
        <tr r="E116" s="4"/>
        <tr r="E116" s="24"/>
      </tp>
      <tp>
        <v>2431</v>
        <stp/>
        <stp>Market</stp>
        <stp>STOCK</stp>
        <stp>79720.T</stp>
        <stp>現在値</stp>
        <tr r="C241" s="8"/>
      </tp>
      <tp>
        <v>3245</v>
        <stp/>
        <stp>Market</stp>
        <stp>STOCK</stp>
        <stp>79520.T</stp>
        <stp>現在値</stp>
        <tr r="C276" s="8"/>
      </tp>
      <tp>
        <v>7310</v>
        <stp/>
        <stp>Market</stp>
        <stp>STOCK</stp>
        <stp>78060.T</stp>
        <stp>現在値</stp>
        <tr r="E55" s="4"/>
        <tr r="C73" s="8"/>
        <tr r="E55" s="24"/>
      </tp>
      <tp>
        <v>5003</v>
        <stp/>
        <stp>Market</stp>
        <stp>STOCK</stp>
        <stp>78460.T</stp>
        <stp>現在値</stp>
        <tr r="C75" s="8"/>
        <tr r="E202" s="4"/>
        <tr r="E202" s="24"/>
      </tp>
      <tp t="s">
        <v/>
        <stp/>
        <stp>Market</stp>
        <stp>STOCK</stp>
        <stp/>
        <stp>前日終値</stp>
        <tr r="C32" s="21"/>
        <tr r="C32" s="21"/>
        <tr r="C32" s="21"/>
      </tp>
      <tp>
        <v>6435</v>
        <stp/>
        <stp>Market</stp>
        <stp>STOCK</stp>
        <stp>86300.T</stp>
        <stp>年初来高値</stp>
        <tr r="K176" s="4"/>
        <tr r="K176" s="24"/>
      </tp>
      <tp>
        <v>8760</v>
        <stp/>
        <stp>Market</stp>
        <stp>STOCK</stp>
        <stp>63300.T</stp>
        <stp>年初来高値</stp>
        <tr r="K186" s="4"/>
        <tr r="K186" s="24"/>
      </tp>
      <tp>
        <v>1821</v>
        <stp/>
        <stp>Market</stp>
        <stp>STOCK</stp>
        <stp>19300.T</stp>
        <stp>年初来高値</stp>
        <tr r="K83" s="4"/>
        <tr r="K83" s="24"/>
      </tp>
      <tp>
        <v>7967</v>
        <stp/>
        <stp>Market</stp>
        <stp>STOCK</stp>
        <stp>95310.T</stp>
        <stp>年初来高値</stp>
        <tr r="K203" s="4"/>
        <tr r="K203" s="24"/>
      </tp>
      <tp>
        <v>6828</v>
        <stp/>
        <stp>Market</stp>
        <stp>STOCK</stp>
        <stp>95320.T</stp>
        <stp>年初来高値</stp>
        <tr r="K79" s="4"/>
        <tr r="K79" s="24"/>
      </tp>
      <tp>
        <v>4130</v>
        <stp/>
        <stp>Market</stp>
        <stp>STOCK</stp>
        <stp>62320.T</stp>
        <stp>年初来高値</stp>
        <tr r="K28" s="4"/>
        <tr r="K28" s="24"/>
      </tp>
      <tp>
        <v>8362</v>
        <stp/>
        <stp>Market</stp>
        <stp>STOCK</stp>
        <stp>53320.T</stp>
        <stp>年初来高値</stp>
        <tr r="K12" s="4"/>
        <tr r="K12" s="24"/>
      </tp>
      <tp>
        <v>2877</v>
        <stp/>
        <stp>Market</stp>
        <stp>STOCK</stp>
        <stp>97330.T</stp>
        <stp>年初来高値</stp>
        <tr r="K153" s="4"/>
        <tr r="K153" s="24"/>
      </tp>
      <tp>
        <v>6807</v>
        <stp/>
        <stp>Market</stp>
        <stp>STOCK</stp>
        <stp>53330.T</stp>
        <stp>年初来高値</stp>
        <tr r="K37" s="4"/>
        <tr r="K37" s="24"/>
      </tp>
      <tp>
        <v>4968</v>
        <stp/>
        <stp>Market</stp>
        <stp>STOCK</stp>
        <stp>52330.T</stp>
        <stp>年初来高値</stp>
        <tr r="K170" s="4"/>
        <tr r="K170" s="24"/>
      </tp>
      <tp>
        <v>8595</v>
        <stp/>
        <stp>Market</stp>
        <stp>STOCK</stp>
        <stp>47330.T</stp>
        <stp>年初来高値</stp>
        <tr r="K133" s="4"/>
        <tr r="K133" s="24"/>
      </tp>
      <tp>
        <v>7490</v>
        <stp/>
        <stp>Market</stp>
        <stp>STOCK</stp>
        <stp>18330.T</stp>
        <stp>年初来高値</stp>
        <tr r="K180" s="4"/>
        <tr r="K180" s="24"/>
      </tp>
      <tp>
        <v>2425</v>
        <stp/>
        <stp>Market</stp>
        <stp>STOCK</stp>
        <stp>83340.T</stp>
        <stp>年初来高値</stp>
        <tr r="K204" s="4"/>
        <tr r="K204" s="24"/>
      </tp>
      <tp>
        <v>2885</v>
        <stp/>
        <stp>Market</stp>
        <stp>STOCK</stp>
        <stp>89340.T</stp>
        <stp>年初来高値</stp>
        <tr r="K149" s="4"/>
        <tr r="K149" s="24"/>
      </tp>
      <tp>
        <v>8701</v>
        <stp/>
        <stp>Market</stp>
        <stp>STOCK</stp>
        <stp>61340.T</stp>
        <stp>年初来高値</stp>
        <tr r="K25" s="4"/>
        <tr r="K25" s="24"/>
      </tp>
      <tp>
        <v>74800</v>
        <stp/>
        <stp>Market</stp>
        <stp>STOCK</stp>
        <stp>80350.T</stp>
        <stp>年初来高値</stp>
        <tr r="K35" s="4"/>
        <tr r="K35" s="24"/>
      </tp>
      <tp>
        <v>2634</v>
        <stp/>
        <stp>Market</stp>
        <stp>STOCK</stp>
        <stp>95360.T</stp>
        <stp>年初来高値</stp>
        <tr r="K160" s="4"/>
        <tr r="K160" s="24"/>
      </tp>
      <tp>
        <v>15900</v>
        <stp/>
        <stp>Market</stp>
        <stp>STOCK</stp>
        <stp>72360.T</stp>
        <stp>年初来高値</stp>
        <tr r="K137" s="4"/>
        <tr r="K137" s="24"/>
      </tp>
      <tp>
        <v>4310</v>
        <stp/>
        <stp>Market</stp>
        <stp>STOCK</stp>
        <stp>64360.T</stp>
        <stp>年初来高値</stp>
        <tr r="K155" s="4"/>
        <tr r="K155" s="24"/>
      </tp>
      <tp>
        <v>2043</v>
        <stp/>
        <stp>Market</stp>
        <stp>STOCK</stp>
        <stp>45360.T</stp>
        <stp>年初来高値</stp>
        <tr r="K125" s="4"/>
        <tr r="K125" s="24"/>
      </tp>
      <tp>
        <v>4564</v>
        <stp/>
        <stp>Market</stp>
        <stp>STOCK</stp>
        <stp>34360.T</stp>
        <stp>年初来高値</stp>
        <tr r="K4" s="4"/>
        <tr r="K4" s="24"/>
      </tp>
      <tp>
        <v>2496</v>
        <stp/>
        <stp>Market</stp>
        <stp>STOCK</stp>
        <stp>68380.T</stp>
        <stp>年初来高値</stp>
        <tr r="K6" s="4"/>
        <tr r="K6" s="24"/>
      </tp>
      <tp>
        <v>1943</v>
        <stp/>
        <stp>Market</stp>
        <stp>STOCK</stp>
        <stp>59380.T</stp>
        <stp>年初来高値</stp>
        <tr r="K93" s="4"/>
        <tr r="K93" s="24"/>
      </tp>
      <tp>
        <v>9317</v>
        <stp/>
        <stp>Market</stp>
        <stp>STOCK</stp>
        <stp>58380.T</stp>
        <stp>年初来高値</stp>
        <tr r="K147" s="4"/>
        <tr r="K147" s="24"/>
      </tp>
      <tp>
        <v>3245</v>
        <stp/>
        <stp>Market</stp>
        <stp>STOCK</stp>
        <stp>19380.T</stp>
        <stp>年初来高値</stp>
        <tr r="K117" s="4"/>
        <tr r="K117" s="24"/>
      </tp>
      <tp t="s">
        <v/>
        <stp/>
        <stp>Market</stp>
        <stp>STOCK</stp>
        <stp>TOPX0.T</stp>
        <stp>高値</stp>
        <tr r="H36" s="4"/>
        <tr r="H36" s="24"/>
      </tp>
      <tp t="s">
        <v>日本ケミコン</v>
        <stp/>
        <stp>Market</stp>
        <stp>STOCK</stp>
        <stp>69970.T</stp>
        <stp>銘柄名称</stp>
        <tr r="C272" s="2"/>
      </tp>
      <tp t="s">
        <v>ユーザーローカル</v>
        <stp/>
        <stp>Market</stp>
        <stp>STOCK</stp>
        <stp>39840.T</stp>
        <stp>銘柄名称</stp>
        <tr r="C239" s="2"/>
      </tp>
      <tp t="s">
        <v>ソフトバンクグループ</v>
        <stp/>
        <stp>Market</stp>
        <stp>STOCK</stp>
        <stp>99840.T</stp>
        <stp>銘柄名称</stp>
        <tr r="C65" s="2"/>
      </tp>
      <tp t="s">
        <v>村田製作所</v>
        <stp/>
        <stp>Market</stp>
        <stp>STOCK</stp>
        <stp>69810.T</stp>
        <stp>銘柄名称</stp>
        <tr r="C154" s="2"/>
      </tp>
      <tp t="s">
        <v>タカラスタンダ－ド</v>
        <stp/>
        <stp>Market</stp>
        <stp>STOCK</stp>
        <stp>79810.T</stp>
        <stp>銘柄名称</stp>
        <tr r="C171" s="2"/>
      </tp>
      <tp t="s">
        <v>デクセリアルズ</v>
        <stp/>
        <stp>Market</stp>
        <stp>STOCK</stp>
        <stp>49800.T</stp>
        <stp>銘柄名称</stp>
        <tr r="C69" s="2"/>
      </tp>
      <tp t="s">
        <v>サンフロンティア不動産</v>
        <stp/>
        <stp>Market</stp>
        <stp>STOCK</stp>
        <stp>89340.T</stp>
        <stp>銘柄名称</stp>
        <tr r="C125" s="2"/>
      </tp>
      <tp t="s">
        <v>グローバルウェイ</v>
        <stp/>
        <stp>Market</stp>
        <stp>STOCK</stp>
        <stp>39360.T</stp>
        <stp>銘柄名称</stp>
        <tr r="C245" s="2"/>
      </tp>
      <tp t="s">
        <v>北陸電気工事</v>
        <stp/>
        <stp>Market</stp>
        <stp>STOCK</stp>
        <stp>19300.T</stp>
        <stp>銘柄名称</stp>
        <tr r="C163" s="2"/>
      </tp>
      <tp t="s">
        <v>紀文食品</v>
        <stp/>
        <stp>Market</stp>
        <stp>STOCK</stp>
        <stp>29330.T</stp>
        <stp>銘柄名称</stp>
        <tr r="C288" s="2"/>
      </tp>
      <tp t="s">
        <v>日本リーテック</v>
        <stp/>
        <stp>Market</stp>
        <stp>STOCK</stp>
        <stp>19380.T</stp>
        <stp>銘柄名称</stp>
        <tr r="C176" s="2"/>
      </tp>
      <tp t="s">
        <v>ＬＩＸＩＬ</v>
        <stp/>
        <stp>Market</stp>
        <stp>STOCK</stp>
        <stp>59380.T</stp>
        <stp>銘柄名称</stp>
        <tr r="C36" s="2"/>
      </tp>
      <tp t="s">
        <v>大和ハウス</v>
        <stp/>
        <stp>Market</stp>
        <stp>STOCK</stp>
        <stp>19250.T</stp>
        <stp>銘柄名称</stp>
        <tr r="C83" s="2"/>
      </tp>
      <tp t="s">
        <v>ウシオ電機</v>
        <stp/>
        <stp>Market</stp>
        <stp>STOCK</stp>
        <stp>69250.T</stp>
        <stp>銘柄名称</stp>
        <tr r="C105" s="2"/>
      </tp>
      <tp t="s">
        <v>レーザーテック</v>
        <stp/>
        <stp>Market</stp>
        <stp>STOCK</stp>
        <stp>69200.T</stp>
        <stp>銘柄名称</stp>
        <tr r="C199" s="2"/>
      </tp>
      <tp t="s">
        <v>三和ホールディングス</v>
        <stp/>
        <stp>Market</stp>
        <stp>STOCK</stp>
        <stp>59290.T</stp>
        <stp>銘柄名称</stp>
        <tr r="C49" s="2"/>
      </tp>
      <tp t="s">
        <v>エノモト</v>
        <stp/>
        <stp>Market</stp>
        <stp>STOCK</stp>
        <stp>69280.T</stp>
        <stp>銘柄名称</stp>
        <tr r="C246" s="2"/>
      </tp>
      <tp t="s">
        <v>日本たばこ産業</v>
        <stp/>
        <stp>Market</stp>
        <stp>STOCK</stp>
        <stp>29140.T</stp>
        <stp>銘柄名称</stp>
        <tr r="C87" s="2"/>
      </tp>
      <tp t="s">
        <v>アバールデータ</v>
        <stp/>
        <stp>Market</stp>
        <stp>STOCK</stp>
        <stp>69180.T</stp>
        <stp>銘柄名称</stp>
        <tr r="C279" s="2"/>
      </tp>
      <tp t="s">
        <v>データセクション</v>
        <stp/>
        <stp>Market</stp>
        <stp>STOCK</stp>
        <stp>39050.T</stp>
        <stp>銘柄名称</stp>
        <tr r="C284" s="2"/>
      </tp>
      <tp t="s">
        <v>東洋製罐グループＨＤ</v>
        <stp/>
        <stp>Market</stp>
        <stp>STOCK</stp>
        <stp>59010.T</stp>
        <stp>銘柄名称</stp>
        <tr r="C55" s="2"/>
      </tp>
      <tp t="s">
        <v>デンソー</v>
        <stp/>
        <stp>Market</stp>
        <stp>STOCK</stp>
        <stp>69020.T</stp>
        <stp>銘柄名称</stp>
        <tr r="C244" s="2"/>
      </tp>
      <tp t="s">
        <v>イトーキ</v>
        <stp/>
        <stp>Market</stp>
        <stp>STOCK</stp>
        <stp>79720.T</stp>
        <stp>銘柄名称</stp>
        <tr r="C241" s="2"/>
      </tp>
      <tp t="s">
        <v>浜松ホトニクス</v>
        <stp/>
        <stp>Market</stp>
        <stp>STOCK</stp>
        <stp>69650.T</stp>
        <stp>銘柄名称</stp>
        <tr r="C300" s="2"/>
      </tp>
      <tp t="s">
        <v>上村工業</v>
        <stp/>
        <stp>Market</stp>
        <stp>STOCK</stp>
        <stp>49660.T</stp>
        <stp>銘柄名称</stp>
        <tr r="C196" s="2"/>
      </tp>
      <tp t="s">
        <v>三機工業</v>
        <stp/>
        <stp>Market</stp>
        <stp>STOCK</stp>
        <stp>19610.T</stp>
        <stp>銘柄名称</stp>
        <tr r="C59" s="2"/>
      </tp>
      <tp t="s">
        <v>日揮ホールディングス</v>
        <stp/>
        <stp>Market</stp>
        <stp>STOCK</stp>
        <stp>19630.T</stp>
        <stp>銘柄名称</stp>
        <tr r="C86" s="2"/>
      </tp>
      <tp t="s">
        <v>ミスミグループ本社</v>
        <stp/>
        <stp>Market</stp>
        <stp>STOCK</stp>
        <stp>99620.T</stp>
        <stp>銘柄名称</stp>
        <tr r="C233" s="2"/>
      </tp>
      <tp t="s">
        <v>ＦＤＫ</v>
        <stp/>
        <stp>Market</stp>
        <stp>STOCK</stp>
        <stp>69550.T</stp>
        <stp>銘柄名称</stp>
        <tr r="C265" s="2"/>
      </tp>
      <tp t="s">
        <v>ファナック</v>
        <stp/>
        <stp>Market</stp>
        <stp>STOCK</stp>
        <stp>69540.T</stp>
        <stp>銘柄名称</stp>
        <tr r="C78" s="2"/>
      </tp>
      <tp t="s">
        <v>河合楽器</v>
        <stp/>
        <stp>Market</stp>
        <stp>STOCK</stp>
        <stp>79520.T</stp>
        <stp>銘柄名称</stp>
        <tr r="C276" s="2"/>
      </tp>
      <tp t="s">
        <v>リンナイ</v>
        <stp/>
        <stp>Market</stp>
        <stp>STOCK</stp>
        <stp>59470.T</stp>
        <stp>銘柄名称</stp>
        <tr r="C42" s="2"/>
      </tp>
      <tp t="s">
        <v>レンゴー</v>
        <stp/>
        <stp>Market</stp>
        <stp>STOCK</stp>
        <stp>39410.T</stp>
        <stp>銘柄名称</stp>
        <tr r="C48" s="2"/>
      </tp>
      <tp t="s">
        <v>関電工</v>
        <stp/>
        <stp>Market</stp>
        <stp>STOCK</stp>
        <stp>19420.T</stp>
        <stp>銘柄名称</stp>
        <tr r="C175" s="2"/>
      </tp>
      <tp>
        <v>164</v>
        <stp/>
        <stp>Market</stp>
        <stp>STOCK</stp>
        <stp>67400.T</stp>
        <stp>年初来高値</stp>
        <tr r="K189" s="4"/>
        <tr r="K189" s="24"/>
      </tp>
      <tp>
        <v>2696</v>
        <stp/>
        <stp>Market</stp>
        <stp>STOCK</stp>
        <stp>54400.T</stp>
        <stp>年初来高値</stp>
        <tr r="K156" s="4"/>
        <tr r="K156" s="24"/>
      </tp>
      <tp>
        <v>4403</v>
        <stp/>
        <stp>Market</stp>
        <stp>STOCK</stp>
        <stp>45400.T</stp>
        <stp>年初来高値</stp>
        <tr r="K124" s="4"/>
        <tr r="K124" s="24"/>
      </tp>
      <tp>
        <v>6317</v>
        <stp/>
        <stp>Market</stp>
        <stp>STOCK</stp>
        <stp>68410.T</stp>
        <stp>年初来高値</stp>
        <tr r="K100" s="4"/>
        <tr r="K100" s="24"/>
      </tp>
      <tp>
        <v>3865</v>
        <stp/>
        <stp>Market</stp>
        <stp>STOCK</stp>
        <stp>55410.T</stp>
        <stp>年初来高値</stp>
        <tr r="K90" s="4"/>
        <tr r="K90" s="24"/>
      </tp>
      <tp>
        <v>1565</v>
        <stp/>
        <stp>Market</stp>
        <stp>STOCK</stp>
        <stp>39410.T</stp>
        <stp>年初来高値</stp>
        <tr r="K142" s="4"/>
        <tr r="K142" s="24"/>
      </tp>
      <tp>
        <v>7460</v>
        <stp/>
        <stp>Market</stp>
        <stp>STOCK</stp>
        <stp>19420.T</stp>
        <stp>年初来高値</stp>
        <tr r="K32" s="4"/>
        <tr r="K32" s="24"/>
      </tp>
      <tp>
        <v>3405</v>
        <stp/>
        <stp>Market</stp>
        <stp>STOCK</stp>
        <stp>52430.T</stp>
        <stp>年初来高値</stp>
        <tr r="K138" s="4"/>
        <tr r="K138" s="24"/>
      </tp>
      <tp>
        <v>5020</v>
        <stp/>
        <stp>Market</stp>
        <stp>STOCK</stp>
        <stp>67440.T</stp>
        <stp>年初来高値</stp>
        <tr r="K106" s="4"/>
        <tr r="K106" s="24"/>
      </tp>
      <tp>
        <v>4755</v>
        <stp/>
        <stp>Market</stp>
        <stp>STOCK</stp>
        <stp>58440.T</stp>
        <stp>年初来高値</stp>
        <tr r="K61" s="4"/>
        <tr r="K61" s="24"/>
      </tp>
      <tp>
        <v>1922.5</v>
        <stp/>
        <stp>Market</stp>
        <stp>STOCK</stp>
        <stp>40450.T</stp>
        <stp>年初来高値</stp>
        <tr r="K178" s="4"/>
        <tr r="K178" s="24"/>
      </tp>
      <tp>
        <v>1638</v>
        <stp/>
        <stp>Market</stp>
        <stp>STOCK</stp>
        <stp>77460.T</stp>
        <stp>年初来高値</stp>
        <tr r="K144" s="4"/>
        <tr r="K144" s="24"/>
      </tp>
      <tp>
        <v>5134</v>
        <stp/>
        <stp>Market</stp>
        <stp>STOCK</stp>
        <stp>78460.T</stp>
        <stp>年初来高値</stp>
        <tr r="K202" s="4"/>
        <tr r="K202" s="24"/>
      </tp>
      <tp>
        <v>86140</v>
        <stp/>
        <stp>Market</stp>
        <stp>STOCK</stp>
        <stp>61460.T</stp>
        <stp>年初来高値</stp>
        <tr r="K120" s="4"/>
        <tr r="K120" s="24"/>
      </tp>
      <tp>
        <v>4456</v>
        <stp/>
        <stp>Market</stp>
        <stp>STOCK</stp>
        <stp>59470.T</stp>
        <stp>年初来高値</stp>
        <tr r="K96" s="4"/>
        <tr r="K96" s="24"/>
      </tp>
      <tp>
        <v>710</v>
        <stp/>
        <stp>Market</stp>
        <stp>STOCK</stp>
        <stp>93480.T</stp>
        <stp>年初来高値</stp>
        <tr r="K8" s="4"/>
        <tr r="K8" s="24"/>
      </tp>
      <tp>
        <v>4118</v>
        <stp/>
        <stp>Market</stp>
        <stp>STOCK</stp>
        <stp>94490.T</stp>
        <stp>年初来高値</stp>
        <tr r="K77" s="4"/>
        <tr r="K77" s="24"/>
      </tp>
      <tp>
        <v>3935</v>
        <stp/>
        <stp>Market</stp>
        <stp>STOCK</stp>
        <stp>54490.T</stp>
        <stp>年初来高値</stp>
        <tr r="K97" s="4"/>
        <tr r="K97" s="24"/>
      </tp>
    </main>
    <main first="rtdsrv.8a92272bbb794b2789e42afd4cc513d6">
      <tp t="s">
        <v>ニッポン高度紙工業</v>
        <stp/>
        <stp>Market</stp>
        <stp>STOCK</stp>
        <stp>38910.T</stp>
        <stp>銘柄名称</stp>
        <tr r="C159" s="2"/>
      </tp>
      <tp t="s">
        <v>フェローテック</v>
        <stp/>
        <stp>Market</stp>
        <stp>STOCK</stp>
        <stp>68900.T</stp>
        <stp>銘柄名称</stp>
        <tr r="C195" s="2"/>
      </tp>
      <tp t="s">
        <v>ＹＵＴＯＲＩ</v>
        <stp/>
        <stp>Market</stp>
        <stp>STOCK</stp>
        <stp>58920.T</stp>
        <stp>銘柄名称</stp>
        <tr r="C89" s="2"/>
      </tp>
      <tp t="s">
        <v>エスコン</v>
        <stp/>
        <stp>Market</stp>
        <stp>STOCK</stp>
        <stp>88920.T</stp>
        <stp>銘柄名称</stp>
        <tr r="C161" s="2"/>
      </tp>
      <tp t="s">
        <v>サワイグループＨＤ</v>
        <stp/>
        <stp>Market</stp>
        <stp>STOCK</stp>
        <stp>48870.T</stp>
        <stp>銘柄名称</stp>
        <tr r="C192" s="2"/>
      </tp>
      <tp t="s">
        <v>イノテック</v>
        <stp/>
        <stp>Market</stp>
        <stp>STOCK</stp>
        <stp>98800.T</stp>
        <stp>銘柄名称</stp>
        <tr r="C257" s="2"/>
      </tp>
      <tp t="s">
        <v>イエローハット</v>
        <stp/>
        <stp>Market</stp>
        <stp>STOCK</stp>
        <stp>98820.T</stp>
        <stp>銘柄名称</stp>
        <tr r="C116" s="2"/>
      </tp>
      <tp t="s">
        <v>ステラファーマ</v>
        <stp/>
        <stp>Market</stp>
        <stp>STOCK</stp>
        <stp>48880.T</stp>
        <stp>銘柄名称</stp>
        <tr r="C146" s="2"/>
      </tp>
      <tp t="s">
        <v>奥村組</v>
        <stp/>
        <stp>Market</stp>
        <stp>STOCK</stp>
        <stp>18330.T</stp>
        <stp>銘柄名称</stp>
        <tr r="C80" s="2"/>
      </tp>
      <tp t="s">
        <v>多摩川ホールディングス</v>
        <stp/>
        <stp>Market</stp>
        <stp>STOCK</stp>
        <stp>68380.T</stp>
        <stp>銘柄名称</stp>
        <tr r="C148" s="2"/>
      </tp>
      <tp t="s">
        <v>楽天銀行</v>
        <stp/>
        <stp>Market</stp>
        <stp>STOCK</stp>
        <stp>58380.T</stp>
        <stp>銘柄名称</stp>
        <tr r="C117" s="2"/>
      </tp>
      <tp t="s">
        <v>鹿島建設</v>
        <stp/>
        <stp>Market</stp>
        <stp>STOCK</stp>
        <stp>18120.T</stp>
        <stp>銘柄名称</stp>
        <tr r="C208" s="2"/>
      </tp>
      <tp t="s">
        <v>インフォメティス</v>
        <stp/>
        <stp>Market</stp>
        <stp>STOCK</stp>
        <stp>281A0.T</stp>
        <stp>銘柄名称</stp>
        <tr r="C266" s="2"/>
      </tp>
      <tp t="s">
        <v>ＭＴＧ</v>
        <stp/>
        <stp>Market</stp>
        <stp>STOCK</stp>
        <stp>78060.T</stp>
        <stp>銘柄名称</stp>
        <tr r="C73" s="2"/>
      </tp>
      <tp t="s">
        <v>古河電工</v>
        <stp/>
        <stp>Market</stp>
        <stp>STOCK</stp>
        <stp>58010.T</stp>
        <stp>銘柄名称</stp>
        <tr r="C200" s="2"/>
      </tp>
      <tp t="s">
        <v>三井不動産</v>
        <stp/>
        <stp>Market</stp>
        <stp>STOCK</stp>
        <stp>88010.T</stp>
        <stp>銘柄名称</stp>
        <tr r="C124" s="2"/>
      </tp>
      <tp t="s">
        <v>フジクラ</v>
        <stp/>
        <stp>Market</stp>
        <stp>STOCK</stp>
        <stp>58030.T</stp>
        <stp>銘柄名称</stp>
        <tr r="C103" s="2"/>
      </tp>
      <tp t="s">
        <v>味の素</v>
        <stp/>
        <stp>Market</stp>
        <stp>STOCK</stp>
        <stp>28020.T</stp>
        <stp>銘柄名称</stp>
        <tr r="C76" s="2"/>
      </tp>
      <tp t="s">
        <v>住友電工</v>
        <stp/>
        <stp>Market</stp>
        <stp>STOCK</stp>
        <stp>58020.T</stp>
        <stp>銘柄名称</stp>
        <tr r="C102" s="2"/>
      </tp>
      <tp t="s">
        <v>ＴＯＡ</v>
        <stp/>
        <stp>Market</stp>
        <stp>STOCK</stp>
        <stp>68090.T</stp>
        <stp>銘柄名称</stp>
        <tr r="C238" s="2"/>
      </tp>
      <tp t="s">
        <v>長谷工コーポレーシヨン</v>
        <stp/>
        <stp>Market</stp>
        <stp>STOCK</stp>
        <stp>18080.T</stp>
        <stp>銘柄名称</stp>
        <tr r="C297" s="2"/>
      </tp>
      <tp t="s">
        <v>ゴールドクレスト</v>
        <stp/>
        <stp>Market</stp>
        <stp>STOCK</stp>
        <stp>88710.T</stp>
        <stp>銘柄名称</stp>
        <tr r="C278" s="2"/>
      </tp>
      <tp t="s">
        <v>三菱製紙</v>
        <stp/>
        <stp>Market</stp>
        <stp>STOCK</stp>
        <stp>38640.T</stp>
        <stp>銘柄名称</stp>
        <tr r="C271" s="2"/>
      </tp>
      <tp t="s">
        <v>王子ホールディングス</v>
        <stp/>
        <stp>Market</stp>
        <stp>STOCK</stp>
        <stp>38610.T</stp>
        <stp>銘柄名称</stp>
        <tr r="C41" s="2"/>
      </tp>
      <tp t="s">
        <v>キーエンス</v>
        <stp/>
        <stp>Market</stp>
        <stp>STOCK</stp>
        <stp>68610.T</stp>
        <stp>銘柄名称</stp>
        <tr r="C209" s="2"/>
      </tp>
      <tp t="s">
        <v>日本製紙</v>
        <stp/>
        <stp>Market</stp>
        <stp>STOCK</stp>
        <stp>38630.T</stp>
        <stp>銘柄名称</stp>
        <tr r="C32" s="2"/>
      </tp>
      <tp t="s">
        <v>ミナトホールディングス</v>
        <stp/>
        <stp>Market</stp>
        <stp>STOCK</stp>
        <stp>68620.T</stp>
        <stp>銘柄名称</stp>
        <tr r="C225" s="2"/>
      </tp>
      <tp t="s">
        <v>アストロスケールホールディンク</v>
        <stp/>
        <stp>Market</stp>
        <stp>STOCK</stp>
        <stp>186A0.T</stp>
        <stp>銘柄名称</stp>
        <tr r="C299" s="2"/>
      </tp>
      <tp t="s">
        <v>アイル</v>
        <stp/>
        <stp>Market</stp>
        <stp>STOCK</stp>
        <stp>38540.T</stp>
        <stp>銘柄名称</stp>
        <tr r="C71" s="2"/>
      </tp>
      <tp t="s">
        <v>アドバンテスト</v>
        <stp/>
        <stp>Market</stp>
        <stp>STOCK</stp>
        <stp>68570.T</stp>
        <stp>銘柄名称</stp>
        <tr r="C158" s="2"/>
      </tp>
      <tp t="s">
        <v>ＡＲＥホールディングス</v>
        <stp/>
        <stp>Market</stp>
        <stp>STOCK</stp>
        <stp>58570.T</stp>
        <stp>銘柄名称</stp>
        <tr r="C62" s="2"/>
      </tp>
      <tp t="s">
        <v>キオクシアホールディングス</v>
        <stp/>
        <stp>Market</stp>
        <stp>STOCK</stp>
        <stp>285A0.T</stp>
        <stp>銘柄名称</stp>
        <tr r="C218" s="2"/>
      </tp>
      <tp t="s">
        <v>パワーエックス</v>
        <stp/>
        <stp>Market</stp>
        <stp>STOCK</stp>
        <stp>485A0.T</stp>
        <stp>銘柄名称</stp>
        <tr r="C221" s="2"/>
      </tp>
      <tp t="s">
        <v>京都フィナンシャルＧ</v>
        <stp/>
        <stp>Market</stp>
        <stp>STOCK</stp>
        <stp>58440.T</stp>
        <stp>銘柄名称</stp>
        <tr r="C118" s="2"/>
        <tr r="D4" s="19"/>
      </tp>
      <tp t="s">
        <v>パイロットコーポレーション</v>
        <stp/>
        <stp>Market</stp>
        <stp>STOCK</stp>
        <stp>78460.T</stp>
        <stp>銘柄名称</stp>
        <tr r="C75" s="2"/>
      </tp>
      <tp t="s">
        <v>横河電機</v>
        <stp/>
        <stp>Market</stp>
        <stp>STOCK</stp>
        <stp>68410.T</stp>
        <stp>銘柄名称</stp>
        <tr r="C81" s="2"/>
      </tp>
      <tp t="s">
        <v>東亜ディーケーケー</v>
        <stp/>
        <stp>Market</stp>
        <stp>STOCK</stp>
        <stp>68480.T</stp>
        <stp>銘柄名称</stp>
        <tr r="C274" s="2"/>
      </tp>
      <tp>
        <v>550</v>
        <stp/>
        <stp>Market</stp>
        <stp>STOCK</stp>
        <stp>15140.T</stp>
        <stp>現在値</stp>
        <tr r="C262" s="8"/>
      </tp>
      <tp>
        <v>79550</v>
        <stp/>
        <stp>Market</stp>
        <stp>STOCK</stp>
        <stp>15700.T</stp>
        <stp>現在値</stp>
        <tr r="C222" s="8"/>
      </tp>
      <tp>
        <v>866</v>
        <stp/>
        <stp>Market</stp>
        <stp>STOCK</stp>
        <stp>155A0.T</stp>
        <stp>現在値</stp>
        <tr r="C250" s="8"/>
      </tp>
      <tp>
        <v>2803</v>
        <stp/>
        <stp>Market</stp>
        <stp>STOCK</stp>
        <stp>141A0.T</stp>
        <stp>現在値</stp>
        <tr r="C219" s="8"/>
      </tp>
      <tp>
        <v>2310</v>
        <stp/>
        <stp>Market</stp>
        <stp>STOCK</stp>
        <stp>14070.T</stp>
        <stp>現在値</stp>
        <tr r="C217" s="8"/>
      </tp>
      <tp>
        <v>32410</v>
        <stp/>
        <stp>Market</stp>
        <stp>STOCK</stp>
        <stp>16180.T</stp>
        <stp>現在値</stp>
        <tr r="C227" s="8"/>
      </tp>
      <tp>
        <v>3406</v>
        <stp/>
        <stp>Market</stp>
        <stp>STOCK</stp>
        <stp>16050.T</stp>
        <stp>現在値</stp>
        <tr r="E166" s="4"/>
        <tr r="C12" s="8"/>
        <tr r="E166" s="24"/>
      </tp>
      <tp>
        <v>1645</v>
        <stp/>
        <stp>Market</stp>
        <stp>STOCK</stp>
        <stp>16620.T</stp>
        <stp>現在値</stp>
        <tr r="C18" s="8"/>
        <tr r="E122" s="4"/>
        <tr r="E122" s="24"/>
      </tp>
      <tp>
        <v>1699</v>
        <stp/>
        <stp>Market</stp>
        <stp>STOCK</stp>
        <stp>19300.T</stp>
        <stp>現在値</stp>
        <tr r="E83" s="4"/>
        <tr r="C163" s="8"/>
        <tr r="E83" s="24"/>
      </tp>
      <tp>
        <v>2767</v>
        <stp/>
        <stp>Market</stp>
        <stp>STOCK</stp>
        <stp>19380.T</stp>
        <stp>現在値</stp>
        <tr r="E117" s="4"/>
        <tr r="C176" s="8"/>
        <tr r="E117" s="24"/>
      </tp>
      <tp>
        <v>4358</v>
        <stp/>
        <stp>Market</stp>
        <stp>STOCK</stp>
        <stp>19250.T</stp>
        <stp>現在値</stp>
        <tr r="E181" s="4"/>
        <tr r="C83" s="8"/>
        <tr r="E181" s="24"/>
      </tp>
      <tp>
        <v>2760</v>
        <stp/>
        <stp>Market</stp>
        <stp>STOCK</stp>
        <stp>19630.T</stp>
        <stp>現在値</stp>
        <tr r="C86" s="8"/>
        <tr r="E40" s="4"/>
        <tr r="E40" s="24"/>
      </tp>
      <tp>
        <v>2700</v>
        <stp/>
        <stp>Market</stp>
        <stp>STOCK</stp>
        <stp>19610.T</stp>
        <stp>現在値</stp>
        <tr r="E51" s="4"/>
        <tr r="C59" s="8"/>
        <tr r="E51" s="24"/>
      </tp>
      <tp>
        <v>6467</v>
        <stp/>
        <stp>Market</stp>
        <stp>STOCK</stp>
        <stp>19420.T</stp>
        <stp>現在値</stp>
        <tr r="C175" s="8"/>
        <tr r="E32" s="4"/>
        <tr r="E32" s="24"/>
      </tp>
      <tp>
        <v>5700</v>
        <stp/>
        <stp>Market</stp>
        <stp>STOCK</stp>
        <stp>18330.T</stp>
        <stp>現在値</stp>
        <tr r="C80" s="8"/>
        <tr r="E180" s="4"/>
        <tr r="E180" s="24"/>
      </tp>
      <tp>
        <v>5920</v>
        <stp/>
        <stp>Market</stp>
        <stp>STOCK</stp>
        <stp>18120.T</stp>
        <stp>現在値</stp>
        <tr r="E121" s="4"/>
        <tr r="C208" s="8"/>
        <tr r="E121" s="24"/>
      </tp>
      <tp>
        <v>2706.5</v>
        <stp/>
        <stp>Market</stp>
        <stp>STOCK</stp>
        <stp>18080.T</stp>
        <stp>現在値</stp>
        <tr r="C297" s="8"/>
      </tp>
      <tp>
        <v>1348</v>
        <stp/>
        <stp>Market</stp>
        <stp>STOCK</stp>
        <stp>186A0.T</stp>
        <stp>現在値</stp>
        <tr r="C299" s="8"/>
      </tp>
      <tp>
        <v>1816</v>
        <stp/>
        <stp>Market</stp>
        <stp>STOCK</stp>
        <stp>87500.T</stp>
        <stp>年初来高値</stp>
        <tr r="K200" s="4"/>
        <tr r="K200" s="24"/>
      </tp>
      <tp>
        <v>4220</v>
        <stp/>
        <stp>Market</stp>
        <stp>STOCK</stp>
        <stp>95510.T</stp>
        <stp>年初来高値</stp>
        <tr r="K134" s="4"/>
        <tr r="K134" s="24"/>
      </tp>
      <tp>
        <v>7775</v>
        <stp/>
        <stp>Market</stp>
        <stp>STOCK</stp>
        <stp>80530.T</stp>
        <stp>年初来高値</stp>
        <tr r="K49" s="4"/>
        <tr r="K49" s="24"/>
      </tp>
      <tp>
        <v>830.5</v>
        <stp/>
        <stp>Market</stp>
        <stp>STOCK</stp>
        <stp>67530.T</stp>
        <stp>年初来高値</stp>
        <tr r="K162" s="4"/>
        <tr r="K162" s="24"/>
      </tp>
      <tp>
        <v>4855</v>
        <stp/>
        <stp>Market</stp>
        <stp>STOCK</stp>
        <stp>67540.T</stp>
        <stp>年初来高値</stp>
        <tr r="K31" s="4"/>
        <tr r="K31" s="24"/>
      </tp>
      <tp>
        <v>5290</v>
        <stp/>
        <stp>Market</stp>
        <stp>STOCK</stp>
        <stp>62540.T</stp>
        <stp>年初来高値</stp>
        <tr r="K5" s="4"/>
        <tr r="K5" s="24"/>
      </tp>
      <tp>
        <v>8880</v>
        <stp/>
        <stp>Market</stp>
        <stp>STOCK</stp>
        <stp>69540.T</stp>
        <stp>年初来高値</stp>
        <tr r="K16" s="4"/>
        <tr r="K16" s="24"/>
      </tp>
      <tp>
        <v>2653</v>
        <stp/>
        <stp>Market</stp>
        <stp>STOCK</stp>
        <stp>38540.T</stp>
        <stp>年初来高値</stp>
        <tr r="K54" s="4"/>
        <tr r="K54" s="24"/>
      </tp>
      <tp>
        <v>32400</v>
        <stp/>
        <stp>Market</stp>
        <stp>STOCK</stp>
        <stp>68570.T</stp>
        <stp>年初来高値</stp>
        <tr r="K113" s="4"/>
        <tr r="K113" s="24"/>
      </tp>
      <tp>
        <v>4720</v>
        <stp/>
        <stp>Market</stp>
        <stp>STOCK</stp>
        <stp>58570.T</stp>
        <stp>年初来高値</stp>
        <tr r="K52" s="4"/>
        <tr r="K52" s="24"/>
      </tp>
      <tp>
        <v>6012</v>
        <stp/>
        <stp>Market</stp>
        <stp>STOCK</stp>
        <stp>80580.T</stp>
        <stp>年初来高値</stp>
        <tr r="K89" s="4"/>
        <tr r="K89" s="24"/>
      </tp>
      <tp>
        <v>4124</v>
        <stp/>
        <stp>Market</stp>
        <stp>STOCK</stp>
        <stp>67580.T</stp>
        <stp>年初来高値</stp>
        <tr r="K86" s="4"/>
        <tr r="K86" s="24"/>
      </tp>
      <tp>
        <v>2470.5</v>
        <stp/>
        <stp>Market</stp>
        <stp>STOCK</stp>
        <stp>83590.T</stp>
        <stp>年初来高値</stp>
        <tr r="K26" s="4"/>
        <tr r="K26" s="24"/>
      </tp>
      <tp>
        <v>2348</v>
        <stp/>
        <stp>Market</stp>
        <stp>STOCK</stp>
        <stp>23590.T</stp>
        <stp>年初来高値</stp>
        <tr r="K135" s="4"/>
        <tr r="K135" s="24"/>
      </tp>
    </main>
    <main first="rtdsrv.8a92272bbb794b2789e42afd4cc513d6">
      <tp>
        <v>8020</v>
        <stp/>
        <stp>Market</stp>
        <stp>STOCK</stp>
        <stp>278A0.T</stp>
        <stp>現在値</stp>
        <tr r="C251" s="8"/>
      </tp>
      <tp>
        <v>7410</v>
        <stp/>
        <stp>Market</stp>
        <stp>STOCK</stp>
        <stp>27020.T</stp>
        <stp>現在値</stp>
        <tr r="C194" s="8"/>
        <tr r="E196" s="4"/>
        <tr r="E196" s="24"/>
      </tp>
      <tp>
        <v>5296</v>
        <stp/>
        <stp>Market</stp>
        <stp>STOCK</stp>
        <stp>27680.T</stp>
        <stp>現在値</stp>
        <tr r="E206" s="4"/>
        <tr r="C202" s="8"/>
        <tr r="E206" s="24"/>
      </tp>
      <tp>
        <v>650.9</v>
        <stp/>
        <stp>Market</stp>
        <stp>STOCK</stp>
        <stp>21270.T</stp>
        <stp>現在値</stp>
        <tr r="E161" s="4"/>
        <tr r="C187" s="8"/>
        <tr r="E161" s="24"/>
      </tp>
      <tp>
        <v>2542</v>
        <stp/>
        <stp>Market</stp>
        <stp>STOCK</stp>
        <stp>21600.T</stp>
        <stp>現在値</stp>
        <tr r="E187" s="4"/>
        <tr r="C131" s="8"/>
        <tr r="E187" s="24"/>
      </tp>
      <tp>
        <v>3135</v>
        <stp/>
        <stp>Market</stp>
        <stp>STOCK</stp>
        <stp>23270.T</stp>
        <stp>現在値</stp>
        <tr r="C174" s="8"/>
        <tr r="E154" s="4"/>
        <tr r="E154" s="24"/>
      </tp>
      <tp>
        <v>3610</v>
        <stp/>
        <stp>Market</stp>
        <stp>STOCK</stp>
        <stp>23260.T</stp>
        <stp>現在値</stp>
        <tr r="C237" s="8"/>
      </tp>
      <tp>
        <v>2020</v>
        <stp/>
        <stp>Market</stp>
        <stp>STOCK</stp>
        <stp>23590.T</stp>
        <stp>現在値</stp>
        <tr r="C168" s="8"/>
        <tr r="E135" s="4"/>
        <tr r="E135" s="24"/>
      </tp>
      <tp>
        <v>2619.5</v>
        <stp/>
        <stp>Market</stp>
        <stp>STOCK</stp>
        <stp>22670.T</stp>
        <stp>現在値</stp>
        <tr r="C226" s="8"/>
      </tp>
      <tp>
        <v>1050</v>
        <stp/>
        <stp>Market</stp>
        <stp>STOCK</stp>
        <stp>29330.T</stp>
        <stp>現在値</stp>
        <tr r="C288" s="8"/>
      </tp>
      <tp>
        <v>6071</v>
        <stp/>
        <stp>Market</stp>
        <stp>STOCK</stp>
        <stp>29140.T</stp>
        <stp>現在値</stp>
        <tr r="E182" s="4"/>
        <tr r="C87" s="8"/>
        <tr r="E182" s="24"/>
      </tp>
      <tp>
        <v>647</v>
        <stp/>
        <stp>Market</stp>
        <stp>STOCK</stp>
        <stp>281A0.T</stp>
        <stp>現在値</stp>
        <tr r="C266" s="8"/>
      </tp>
      <tp>
        <v>5340</v>
        <stp/>
        <stp>Market</stp>
        <stp>STOCK</stp>
        <stp>28020.T</stp>
        <stp>現在値</stp>
        <tr r="E23" s="4"/>
        <tr r="C76" s="8"/>
        <tr r="E23" s="24"/>
      </tp>
      <tp>
        <v>96000</v>
        <stp/>
        <stp>Market</stp>
        <stp>STOCK</stp>
        <stp>285A0.T</stp>
        <stp>現在値</stp>
        <tr r="C218" s="8"/>
      </tp>
      <tp>
        <v>3740</v>
        <stp/>
        <stp>Market</stp>
        <stp>STOCK</stp>
        <stp>21600.T</stp>
        <stp>年初来高値</stp>
        <tr r="K187" s="4"/>
        <tr r="K187" s="24"/>
      </tp>
      <tp>
        <v>2947</v>
        <stp/>
        <stp>Market</stp>
        <stp>STOCK</stp>
        <stp>46610.T</stp>
        <stp>年初来高値</stp>
        <tr r="K103" s="4"/>
        <tr r="K103" s="24"/>
      </tp>
      <tp>
        <v>990.7</v>
        <stp/>
        <stp>Market</stp>
        <stp>STOCK</stp>
        <stp>38610.T</stp>
        <stp>年初来高値</stp>
        <tr r="K123" s="4"/>
        <tr r="K123" s="24"/>
      </tp>
      <tp>
        <v>2730</v>
        <stp/>
        <stp>Market</stp>
        <stp>STOCK</stp>
        <stp>19610.T</stp>
        <stp>年初来高値</stp>
        <tr r="K51" s="4"/>
        <tr r="K51" s="24"/>
      </tp>
      <tp>
        <v>23640</v>
        <stp/>
        <stp>Market</stp>
        <stp>STOCK</stp>
        <stp>40620.T</stp>
        <stp>年初来高値</stp>
        <tr r="K56" s="4"/>
        <tr r="K56" s="24"/>
      </tp>
      <tp>
        <v>2819</v>
        <stp/>
        <stp>Market</stp>
        <stp>STOCK</stp>
        <stp>16620.T</stp>
        <stp>年初来高値</stp>
        <tr r="K122" s="4"/>
        <tr r="K122" s="24"/>
      </tp>
      <tp>
        <v>7930</v>
        <stp/>
        <stp>Market</stp>
        <stp>STOCK</stp>
        <stp>40630.T</stp>
        <stp>年初来高値</stp>
        <tr r="K14" s="4"/>
        <tr r="K14" s="24"/>
      </tp>
      <tp>
        <v>1612</v>
        <stp/>
        <stp>Market</stp>
        <stp>STOCK</stp>
        <stp>38630.T</stp>
        <stp>年初来高値</stp>
        <tr r="K21" s="4"/>
        <tr r="K21" s="24"/>
      </tp>
      <tp>
        <v>2927.5</v>
        <stp/>
        <stp>Market</stp>
        <stp>STOCK</stp>
        <stp>19630.T</stp>
        <stp>年初来高値</stp>
        <tr r="K40" s="4"/>
        <tr r="K40" s="24"/>
      </tp>
      <tp>
        <v>2275</v>
        <stp/>
        <stp>Market</stp>
        <stp>STOCK</stp>
        <stp>90640.T</stp>
        <stp>年初来高値</stp>
        <tr r="K163" s="4"/>
        <tr r="K163" s="24"/>
      </tp>
      <tp>
        <v>8038</v>
        <stp/>
        <stp>Market</stp>
        <stp>STOCK</stp>
        <stp>87660.T</stp>
        <stp>年初来高値</stp>
        <tr r="K174" s="4"/>
        <tr r="K174" s="24"/>
      </tp>
      <tp>
        <v>26960</v>
        <stp/>
        <stp>Market</stp>
        <stp>STOCK</stp>
        <stp>49660.T</stp>
        <stp>年初来高値</stp>
        <tr r="K34" s="4"/>
        <tr r="K34" s="24"/>
      </tp>
      <tp>
        <v>1456.5</v>
        <stp/>
        <stp>Market</stp>
        <stp>STOCK</stp>
        <stp>71670.T</stp>
        <stp>年初来高値</stp>
        <tr r="K101" s="4"/>
        <tr r="K101" s="24"/>
      </tp>
      <tp>
        <v>3625</v>
        <stp/>
        <stp>Market</stp>
        <stp>STOCK</stp>
        <stp>45680.T</stp>
        <stp>年初来高値</stp>
        <tr r="K110" s="4"/>
        <tr r="K110" s="24"/>
      </tp>
      <tp>
        <v>7257</v>
        <stp/>
        <stp>Market</stp>
        <stp>STOCK</stp>
        <stp>27680.T</stp>
        <stp>年初来高値</stp>
        <tr r="K206" s="4"/>
        <tr r="K206" s="24"/>
      </tp>
      <tp>
        <v>2145</v>
        <stp/>
        <stp>Market</stp>
        <stp>STOCK</stp>
        <stp>90690.T</stp>
        <stp>年初来高値</stp>
        <tr r="K60" s="4"/>
        <tr r="K60" s="24"/>
      </tp>
    </main>
    <main first="rtdsrv.8a92272bbb794b2789e42afd4cc513d6">
      <tp>
        <v>9696</v>
        <stp/>
        <stp>Market</stp>
        <stp>STOCK</stp>
        <stp>35630.T</stp>
        <stp>現在値</stp>
        <tr r="C230" s="8"/>
      </tp>
      <tp>
        <v>4152</v>
        <stp/>
        <stp>Market</stp>
        <stp>STOCK</stp>
        <stp>34360.T</stp>
        <stp>現在値</stp>
        <tr r="C28" s="8"/>
        <tr r="E4" s="4"/>
        <tr r="E4" s="24"/>
      </tp>
      <tp>
        <v>1190</v>
        <stp/>
        <stp>Market</stp>
        <stp>STOCK</stp>
        <stp>34020.T</stp>
        <stp>現在値</stp>
        <tr r="C44" s="8"/>
        <tr r="E172" s="4"/>
        <tr r="E172" s="24"/>
      </tp>
      <tp>
        <v>1648</v>
        <stp/>
        <stp>Market</stp>
        <stp>STOCK</stp>
        <stp>34010.T</stp>
        <stp>現在値</stp>
        <tr r="C27" s="8"/>
        <tr r="E169" s="4"/>
        <tr r="E169" s="24"/>
      </tp>
      <tp>
        <v>1790</v>
        <stp/>
        <stp>Market</stp>
        <stp>STOCK</stp>
        <stp>34070.T</stp>
        <stp>現在値</stp>
        <tr r="E183" s="4"/>
        <tr r="C94" s="8"/>
        <tr r="E183" s="24"/>
      </tp>
      <tp>
        <v>1806</v>
        <stp/>
        <stp>Market</stp>
        <stp>STOCK</stp>
        <stp>36960.T</stp>
        <stp>現在値</stp>
        <tr r="C228" s="8"/>
      </tp>
      <tp>
        <v>21170</v>
        <stp/>
        <stp>Market</stp>
        <stp>STOCK</stp>
        <stp>31100.T</stp>
        <stp>現在値</stp>
        <tr r="C134" s="8"/>
        <tr r="E109" s="4"/>
        <tr r="E109" s="24"/>
      </tp>
      <tp>
        <v>1236</v>
        <stp/>
        <stp>Market</stp>
        <stp>STOCK</stp>
        <stp>31030.T</stp>
        <stp>現在値</stp>
        <tr r="E81" s="4"/>
        <tr r="C138" s="8"/>
        <tr r="E81" s="24"/>
      </tp>
      <tp>
        <v>3330</v>
        <stp/>
        <stp>Market</stp>
        <stp>STOCK</stp>
        <stp>31070.T</stp>
        <stp>現在値</stp>
        <tr r="C60" s="8"/>
        <tr r="E13" s="4"/>
        <tr r="E13" s="24"/>
      </tp>
      <tp>
        <v>1716</v>
        <stp/>
        <stp>Market</stp>
        <stp>STOCK</stp>
        <stp>30030.T</stp>
        <stp>現在値</stp>
        <tr r="C88" s="8"/>
        <tr r="E143" s="4"/>
        <tr r="E143" s="24"/>
      </tp>
      <tp>
        <v>3820</v>
        <stp/>
        <stp>Market</stp>
        <stp>STOCK</stp>
        <stp>30020.T</stp>
        <stp>現在値</stp>
        <tr r="C277" s="8"/>
      </tp>
      <tp>
        <v>2847</v>
        <stp/>
        <stp>Market</stp>
        <stp>STOCK</stp>
        <stp>300A0.T</stp>
        <stp>現在値</stp>
        <tr r="C252" s="8"/>
      </tp>
      <tp>
        <v>3653</v>
        <stp/>
        <stp>Market</stp>
        <stp>STOCK</stp>
        <stp>33970.T</stp>
        <stp>現在値</stp>
        <tr r="C285" s="8"/>
      </tp>
      <tp>
        <v>1810</v>
        <stp/>
        <stp>Market</stp>
        <stp>STOCK</stp>
        <stp>39840.T</stp>
        <stp>現在値</stp>
        <tr r="C239" s="8"/>
      </tp>
      <tp>
        <v>155</v>
        <stp/>
        <stp>Market</stp>
        <stp>STOCK</stp>
        <stp>39360.T</stp>
        <stp>現在値</stp>
        <tr r="C245" s="8"/>
      </tp>
      <tp>
        <v>4915</v>
        <stp/>
        <stp>Market</stp>
        <stp>STOCK</stp>
        <stp>39050.T</stp>
        <stp>現在値</stp>
        <tr r="C284" s="8"/>
      </tp>
      <tp>
        <v>1408</v>
        <stp/>
        <stp>Market</stp>
        <stp>STOCK</stp>
        <stp>39410.T</stp>
        <stp>現在値</stp>
        <tr r="C48" s="8"/>
        <tr r="E142" s="4"/>
        <tr r="E142" s="24"/>
      </tp>
      <tp>
        <v>9980</v>
        <stp/>
        <stp>Market</stp>
        <stp>STOCK</stp>
        <stp>38910.T</stp>
        <stp>現在値</stp>
        <tr r="C159" s="8"/>
        <tr r="E43" s="4"/>
        <tr r="E43" s="24"/>
      </tp>
      <tp>
        <v>1242</v>
        <stp/>
        <stp>Market</stp>
        <stp>STOCK</stp>
        <stp>38630.T</stp>
        <stp>現在値</stp>
        <tr r="C32" s="8"/>
        <tr r="E21" s="4"/>
        <tr r="E21" s="24"/>
      </tp>
      <tp>
        <v>799.6</v>
        <stp/>
        <stp>Market</stp>
        <stp>STOCK</stp>
        <stp>38610.T</stp>
        <stp>現在値</stp>
        <tr r="C41" s="8"/>
        <tr r="E123" s="4"/>
        <tr r="E123" s="24"/>
      </tp>
      <tp>
        <v>1059</v>
        <stp/>
        <stp>Market</stp>
        <stp>STOCK</stp>
        <stp>38640.T</stp>
        <stp>現在値</stp>
        <tr r="C271" s="8"/>
      </tp>
      <tp>
        <v>2190</v>
        <stp/>
        <stp>Market</stp>
        <stp>STOCK</stp>
        <stp>38540.T</stp>
        <stp>現在値</stp>
        <tr r="C71" s="8"/>
        <tr r="E54" s="4"/>
        <tr r="E54" s="24"/>
      </tp>
      <tp>
        <v>1860</v>
        <stp/>
        <stp>Market</stp>
        <stp>STOCK</stp>
        <stp>85700.T</stp>
        <stp>年初来高値</stp>
        <tr r="K94" s="4"/>
        <tr r="K94" s="24"/>
      </tp>
      <tp>
        <v>539.9</v>
        <stp/>
        <stp>Market</stp>
        <stp>STOCK</stp>
        <stp>85720.T</stp>
        <stp>年初来高値</stp>
        <tr r="K38" s="4"/>
        <tr r="K38" s="24"/>
      </tp>
      <tp>
        <v>1158</v>
        <stp/>
        <stp>Market</stp>
        <stp>STOCK</stp>
        <stp>43730.T</stp>
        <stp>年初来高値</stp>
        <tr r="K82" s="4"/>
        <tr r="K82" s="24"/>
      </tp>
      <tp>
        <v>2660</v>
        <stp/>
        <stp>Market</stp>
        <stp>STOCK</stp>
        <stp>73750.T</stp>
        <stp>年初来高値</stp>
        <tr r="K190" s="4"/>
        <tr r="K190" s="24"/>
      </tp>
      <tp>
        <v>4466</v>
        <stp/>
        <stp>Market</stp>
        <stp>STOCK</stp>
        <stp>46760.T</stp>
        <stp>年初来高値</stp>
        <tr r="K177" s="4"/>
        <tr r="K177" s="24"/>
      </tp>
      <tp>
        <v>34700</v>
        <stp/>
        <stp>Market</stp>
        <stp>STOCK</stp>
        <stp>67770.T</stp>
        <stp>年初来高値</stp>
        <tr r="K130" s="4"/>
        <tr r="K130" s="24"/>
      </tp>
      <tp>
        <v>2361</v>
        <stp/>
        <stp>Market</stp>
        <stp>STOCK</stp>
        <stp>61780.T</stp>
        <stp>年初来高値</stp>
        <tr r="K59" s="4"/>
        <tr r="K59" s="24"/>
      </tp>
      <tp>
        <v>5088</v>
        <stp/>
        <stp>Market</stp>
        <stp>STOCK</stp>
        <stp>64790.T</stp>
        <stp>年初来高値</stp>
        <tr r="K24" s="4"/>
        <tr r="K24" s="24"/>
      </tp>
      <tp t="s">
        <v>オリックス</v>
        <stp/>
        <stp>Market</stp>
        <stp>STOCK</stp>
        <stp>85910.T</stp>
        <stp>銘柄名称</stp>
        <tr r="C26" s="2"/>
      </tp>
      <tp t="s">
        <v>三菱ＨＣキャピタル</v>
        <stp/>
        <stp>Market</stp>
        <stp>STOCK</stp>
        <stp>85930.T</stp>
        <stp>銘柄名称</stp>
        <tr r="C39" s="2"/>
      </tp>
      <tp t="s">
        <v>参天製薬</v>
        <stp/>
        <stp>Market</stp>
        <stp>STOCK</stp>
        <stp>45360.T</stp>
        <stp>銘柄名称</stp>
        <tr r="C67" s="2"/>
      </tp>
      <tp t="s">
        <v>西部ガスＨＬＤＧＳ</v>
        <stp/>
        <stp>Market</stp>
        <stp>STOCK</stp>
        <stp>95360.T</stp>
        <stp>銘柄名称</stp>
        <tr r="C185" s="2"/>
      </tp>
      <tp t="s">
        <v>東京瓦斯</v>
        <stp/>
        <stp>Market</stp>
        <stp>STOCK</stp>
        <stp>95310.T</stp>
        <stp>銘柄名称</stp>
        <tr r="C115" s="2"/>
      </tp>
      <tp t="s">
        <v>大阪瓦斯</v>
        <stp/>
        <stp>Market</stp>
        <stp>STOCK</stp>
        <stp>95320.T</stp>
        <stp>銘柄名称</stp>
        <tr r="C127" s="2"/>
      </tp>
      <tp t="s">
        <v>オキサイド</v>
        <stp/>
        <stp>Market</stp>
        <stp>STOCK</stp>
        <stp>65210.T</stp>
        <stp>銘柄名称</stp>
        <tr r="C242" s="2"/>
      </tp>
      <tp t="s">
        <v>エーザイ</v>
        <stp/>
        <stp>Market</stp>
        <stp>STOCK</stp>
        <stp>45230.T</stp>
        <stp>銘柄名称</stp>
        <tr r="C99" s="2"/>
      </tp>
      <tp t="s">
        <v>アスタリスク</v>
        <stp/>
        <stp>Market</stp>
        <stp>STOCK</stp>
        <stp>65220.T</stp>
        <stp>銘柄名称</stp>
        <tr r="C143" s="2"/>
      </tp>
      <tp t="s">
        <v>小野薬品</v>
        <stp/>
        <stp>Market</stp>
        <stp>STOCK</stp>
        <stp>45280.T</stp>
        <stp>銘柄名称</stp>
        <tr r="C100" s="2"/>
      </tp>
      <tp t="s">
        <v>住石ホールディングス</v>
        <stp/>
        <stp>Market</stp>
        <stp>STOCK</stp>
        <stp>15140.T</stp>
        <stp>銘柄名称</stp>
        <tr r="C262" s="2"/>
      </tp>
      <tp t="s">
        <v>山洋電気</v>
        <stp/>
        <stp>Market</stp>
        <stp>STOCK</stp>
        <stp>65160.T</stp>
        <stp>銘柄名称</stp>
        <tr r="C151" s="2"/>
      </tp>
      <tp t="s">
        <v>中外製薬</v>
        <stp/>
        <stp>Market</stp>
        <stp>STOCK</stp>
        <stp>45190.T</stp>
        <stp>銘柄名称</stp>
        <tr r="C130" s="2"/>
      </tp>
      <tp t="s">
        <v>レノバ</v>
        <stp/>
        <stp>Market</stp>
        <stp>STOCK</stp>
        <stp>95190.T</stp>
        <stp>銘柄名称</stp>
        <tr r="C214" s="2"/>
      </tp>
      <tp t="s">
        <v>北陸電力</v>
        <stp/>
        <stp>Market</stp>
        <stp>STOCK</stp>
        <stp>95050.T</stp>
        <stp>銘柄名称</stp>
        <tr r="C181" s="2"/>
      </tp>
      <tp t="s">
        <v>シンフォニアテクノロジー</v>
        <stp/>
        <stp>Market</stp>
        <stp>STOCK</stp>
        <stp>65070.T</stp>
        <stp>銘柄名称</stp>
        <tr r="C183" s="2"/>
      </tp>
      <tp t="s">
        <v>安川電機</v>
        <stp/>
        <stp>Market</stp>
        <stp>STOCK</stp>
        <stp>65060.T</stp>
        <stp>銘柄名称</stp>
        <tr r="C201" s="2"/>
      </tp>
      <tp t="s">
        <v>東北電力</v>
        <stp/>
        <stp>Market</stp>
        <stp>STOCK</stp>
        <stp>95060.T</stp>
        <stp>銘柄名称</stp>
        <tr r="C186" s="2"/>
      </tp>
      <tp t="s">
        <v>日立</v>
        <stp/>
        <stp>Market</stp>
        <stp>STOCK</stp>
        <stp>65010.T</stp>
        <stp>銘柄名称</stp>
        <tr r="C91" s="2"/>
      </tp>
      <tp t="s">
        <v>東京電力ＨＤ</v>
        <stp/>
        <stp>Market</stp>
        <stp>STOCK</stp>
        <stp>95010.T</stp>
        <stp>銘柄名称</stp>
        <tr r="C114" s="2"/>
      </tp>
      <tp t="s">
        <v>三菱電機</v>
        <stp/>
        <stp>Market</stp>
        <stp>STOCK</stp>
        <stp>65030.T</stp>
        <stp>銘柄名称</stp>
        <tr r="C68" s="2"/>
      </tp>
      <tp t="s">
        <v>武田薬品</v>
        <stp/>
        <stp>Market</stp>
        <stp>STOCK</stp>
        <stp>45020.T</stp>
        <stp>銘柄名称</stp>
        <tr r="C212" s="2"/>
      </tp>
      <tp t="s">
        <v>ＮＦ日経レバ</v>
        <stp/>
        <stp>Market</stp>
        <stp>STOCK</stp>
        <stp>15700.T</stp>
        <stp>銘柄名称</stp>
        <tr r="C222" s="2"/>
      </tp>
      <tp t="s">
        <v>イオンフィナンシャルサービス</v>
        <stp/>
        <stp>Market</stp>
        <stp>STOCK</stp>
        <stp>85700.T</stp>
        <stp>銘柄名称</stp>
        <tr r="C37" s="2"/>
      </tp>
      <tp t="s">
        <v>アコム</v>
        <stp/>
        <stp>Market</stp>
        <stp>STOCK</stp>
        <stp>85720.T</stp>
        <stp>銘柄名称</stp>
        <tr r="C47" s="2"/>
      </tp>
      <tp t="s">
        <v>ＦＯＯＤ＆ＬＩＦＥＣＯＭＰＡＮ</v>
        <stp/>
        <stp>Market</stp>
        <stp>STOCK</stp>
        <stp>35630.T</stp>
        <stp>銘柄名称</stp>
        <tr r="C230" s="2"/>
      </tp>
      <tp t="s">
        <v>第一三共</v>
        <stp/>
        <stp>Market</stp>
        <stp>STOCK</stp>
        <stp>45680.T</stp>
        <stp>銘柄名称</stp>
        <tr r="C142" s="2"/>
      </tp>
      <tp t="s">
        <v>メタウォーター</v>
        <stp/>
        <stp>Market</stp>
        <stp>STOCK</stp>
        <stp>95510.T</stp>
        <stp>銘柄名称</stp>
        <tr r="C167" s="2"/>
      </tp>
      <tp t="s">
        <v>情報戦略テクノロジー</v>
        <stp/>
        <stp>Market</stp>
        <stp>STOCK</stp>
        <stp>155A0.T</stp>
        <stp>銘柄名称</stp>
        <tr r="C250" s="2"/>
      </tp>
      <tp t="s">
        <v>ＨＵグループＨＤ</v>
        <stp/>
        <stp>Market</stp>
        <stp>STOCK</stp>
        <stp>45440.T</stp>
        <stp>銘柄名称</stp>
        <tr r="C273" s="2"/>
      </tp>
      <tp t="s">
        <v>大平洋金属</v>
        <stp/>
        <stp>Market</stp>
        <stp>STOCK</stp>
        <stp>55410.T</stp>
        <stp>銘柄名称</stp>
        <tr r="C20" s="2"/>
      </tp>
      <tp t="s">
        <v>ツムラ</v>
        <stp/>
        <stp>Market</stp>
        <stp>STOCK</stp>
        <stp>45400.T</stp>
        <stp>銘柄名称</stp>
        <tr r="C64" s="2"/>
      </tp>
      <tp>
        <v>4859</v>
        <stp/>
        <stp>Market</stp>
        <stp>STOCK</stp>
        <stp>49800.T</stp>
        <stp>年初来高値</stp>
        <tr r="K72" s="4"/>
        <tr r="K72" s="24"/>
      </tp>
      <tp>
        <v>1168</v>
        <stp/>
        <stp>Market</stp>
        <stp>STOCK</stp>
        <stp>82810.T</stp>
        <stp>年初来高値</stp>
        <tr r="K179" s="4"/>
        <tr r="K179" s="24"/>
      </tp>
      <tp>
        <v>1094</v>
        <stp/>
        <stp>Market</stp>
        <stp>STOCK</stp>
        <stp>73810.T</stp>
        <stp>年初来高値</stp>
        <tr r="K63" s="4"/>
        <tr r="K63" s="24"/>
      </tp>
      <tp>
        <v>1676.5</v>
        <stp/>
        <stp>Market</stp>
        <stp>STOCK</stp>
        <stp>71810.T</stp>
        <stp>年初来高値</stp>
        <tr r="K119" s="4"/>
        <tr r="K119" s="24"/>
      </tp>
      <tp>
        <v>3265</v>
        <stp/>
        <stp>Market</stp>
        <stp>STOCK</stp>
        <stp>79810.T</stp>
        <stp>年初来高値</stp>
        <tr r="K116" s="4"/>
        <tr r="K116" s="24"/>
      </tp>
      <tp>
        <v>11125</v>
        <stp/>
        <stp>Market</stp>
        <stp>STOCK</stp>
        <stp>69810.T</stp>
        <stp>年初来高値</stp>
        <tr r="K30" s="4"/>
        <tr r="K30" s="24"/>
      </tp>
      <tp>
        <v>1759</v>
        <stp/>
        <stp>Market</stp>
        <stp>STOCK</stp>
        <stp>98820.T</stp>
        <stp>年初来高値</stp>
        <tr r="K128" s="4"/>
        <tr r="K128" s="24"/>
      </tp>
      <tp>
        <v>3308</v>
        <stp/>
        <stp>Market</stp>
        <stp>STOCK</stp>
        <stp>71820.T</stp>
        <stp>年初来高値</stp>
        <tr r="K102" s="4"/>
        <tr r="K102" s="24"/>
      </tp>
      <tp>
        <v>995</v>
        <stp/>
        <stp>Market</stp>
        <stp>STOCK</stp>
        <stp>43820.T</stp>
        <stp>年初来高値</stp>
        <tr r="K192" s="4"/>
        <tr r="K192" s="24"/>
      </tp>
      <tp>
        <v>5626</v>
        <stp/>
        <stp>Market</stp>
        <stp>STOCK</stp>
        <stp>41820.T</stp>
        <stp>年初来高値</stp>
        <tr r="K75" s="4"/>
        <tr r="K75" s="24"/>
      </tp>
      <tp>
        <v>4400</v>
        <stp/>
        <stp>Market</stp>
        <stp>STOCK</stp>
        <stp>40820.T</stp>
        <stp>年初来高値</stp>
        <tr r="K9" s="4"/>
        <tr r="K9" s="24"/>
      </tp>
      <tp>
        <v>9074</v>
        <stp/>
        <stp>Market</stp>
        <stp>STOCK</stp>
        <stp>99840.T</stp>
        <stp>年初来高値</stp>
        <tr r="K53" s="4"/>
        <tr r="K53" s="24"/>
      </tp>
      <tp>
        <v>4155</v>
        <stp/>
        <stp>Market</stp>
        <stp>STOCK</stp>
        <stp>76850.T</stp>
        <stp>年初来高値</stp>
        <tr r="K148" s="4"/>
        <tr r="K148" s="24"/>
      </tp>
      <tp>
        <v>1787</v>
        <stp/>
        <stp>Market</stp>
        <stp>STOCK</stp>
        <stp>64850.T</stp>
        <stp>年初来高値</stp>
        <tr r="K194" s="4"/>
        <tr r="K194" s="24"/>
      </tp>
      <tp>
        <v>720</v>
        <stp/>
        <stp>Market</stp>
        <stp>STOCK</stp>
        <stp>60850.T</stp>
        <stp>年初来高値</stp>
        <tr r="K150" s="4"/>
        <tr r="K150" s="24"/>
      </tp>
      <tp>
        <v>5320</v>
        <stp/>
        <stp>Market</stp>
        <stp>STOCK</stp>
        <stp>96870.T</stp>
        <stp>年初来高値</stp>
        <tr r="K44" s="4"/>
        <tr r="K44" s="24"/>
      </tp>
      <tp>
        <v>45300</v>
        <stp/>
        <stp>Market</stp>
        <stp>STOCK</stp>
        <stp>67870.T</stp>
        <stp>年初来高値</stp>
        <tr r="K10" s="4"/>
        <tr r="K10" s="24"/>
      </tp>
      <tp>
        <v>16930</v>
        <stp/>
        <stp>Market</stp>
        <stp>STOCK</stp>
        <stp>63870.T</stp>
        <stp>年初来高値</stp>
        <tr r="K62" s="4"/>
        <tr r="K62" s="24"/>
      </tp>
      <tp>
        <v>2447</v>
        <stp/>
        <stp>Market</stp>
        <stp>STOCK</stp>
        <stp>48870.T</stp>
        <stp>年初来高値</stp>
        <tr r="K195" s="4"/>
        <tr r="K195" s="24"/>
      </tp>
      <tp>
        <v>1171</v>
        <stp/>
        <stp>Market</stp>
        <stp>STOCK</stp>
        <stp>41880.T</stp>
        <stp>年初来高値</stp>
        <tr r="K145" s="4"/>
        <tr r="K145" s="24"/>
      </tp>
      <tp>
        <v>2678</v>
        <stp/>
        <stp>Market</stp>
        <stp>STOCK</stp>
        <stp>40880.T</stp>
        <stp>年初来高値</stp>
        <tr r="K132" s="4"/>
        <tr r="K132" s="24"/>
      </tp>
      <tp>
        <v>995</v>
        <stp/>
        <stp>Market</stp>
        <stp>STOCK</stp>
        <stp>48880.T</stp>
        <stp>年初来高値</stp>
        <tr r="K131" s="4"/>
        <tr r="K131" s="24"/>
      </tp>
      <tp t="s">
        <v>前澤給装工業</v>
        <stp/>
        <stp>Market</stp>
        <stp>STOCK</stp>
        <stp>64850.T</stp>
        <stp>銘柄名称</stp>
        <tr r="C191" s="2"/>
      </tp>
      <tp t="s">
        <v>ＹＵＳＨＩＮ</v>
        <stp/>
        <stp>Market</stp>
        <stp>STOCK</stp>
        <stp>64820.T</stp>
        <stp>銘柄名称</stp>
        <tr r="C290" s="2"/>
      </tp>
      <tp t="s">
        <v>ヨシタケ</v>
        <stp/>
        <stp>Market</stp>
        <stp>STOCK</stp>
        <stp>64880.T</stp>
        <stp>銘柄名称</stp>
        <tr r="C280" s="2"/>
      </tp>
      <tp t="s">
        <v>ＳＵＭＣＯ</v>
        <stp/>
        <stp>Market</stp>
        <stp>STOCK</stp>
        <stp>34360.T</stp>
        <stp>銘柄名称</stp>
        <tr r="C28" s="2"/>
      </tp>
      <tp t="s">
        <v>アマノ</v>
        <stp/>
        <stp>Market</stp>
        <stp>STOCK</stp>
        <stp>64360.T</stp>
        <stp>銘柄名称</stp>
        <tr r="C178" s="2"/>
      </tp>
      <tp t="s">
        <v>芙蓉総合リース</v>
        <stp/>
        <stp>Market</stp>
        <stp>STOCK</stp>
        <stp>84240.T</stp>
        <stp>銘柄名称</stp>
        <tr r="C108" s="2"/>
      </tp>
      <tp t="s">
        <v>日本通信</v>
        <stp/>
        <stp>Market</stp>
        <stp>STOCK</stp>
        <stp>94240.T</stp>
        <stp>銘柄名称</stp>
        <tr r="C70" s="2"/>
      </tp>
      <tp t="s">
        <v>東京製鐵</v>
        <stp/>
        <stp>Market</stp>
        <stp>STOCK</stp>
        <stp>54230.T</stp>
        <stp>銘柄名称</stp>
        <tr r="C7" s="2"/>
      </tp>
      <tp t="s">
        <v>ＶＡＬＵＥＮＥＸ</v>
        <stp/>
        <stp>Market</stp>
        <stp>STOCK</stp>
        <stp>44220.T</stp>
        <stp>銘柄名称</stp>
        <tr r="C139" s="2"/>
      </tp>
      <tp t="s">
        <v>小野建</v>
        <stp/>
        <stp>Market</stp>
        <stp>STOCK</stp>
        <stp>74140.T</stp>
        <stp>銘柄名称</stp>
        <tr r="C294" s="2"/>
      </tp>
      <tp t="s">
        <v>グローバルセキュ</v>
        <stp/>
        <stp>Market</stp>
        <stp>STOCK</stp>
        <stp>44170.T</stp>
        <stp>銘柄名称</stp>
        <tr r="C153" s="2"/>
      </tp>
      <tp t="s">
        <v>ビジョン</v>
        <stp/>
        <stp>Market</stp>
        <stp>STOCK</stp>
        <stp>94160.T</stp>
        <stp>銘柄名称</stp>
        <tr r="C126" s="2"/>
      </tp>
      <tp t="s">
        <v>ＪＦＥホールディングス</v>
        <stp/>
        <stp>Market</stp>
        <stp>STOCK</stp>
        <stp>54110.T</stp>
        <stp>銘柄名称</stp>
        <tr r="C84" s="2"/>
      </tp>
      <tp t="s">
        <v>みずほフィナンシャルＧ</v>
        <stp/>
        <stp>Market</stp>
        <stp>STOCK</stp>
        <stp>84110.T</stp>
        <stp>銘柄名称</stp>
        <tr r="C19" s="2"/>
      </tp>
      <tp t="s">
        <v>合同製鐵</v>
        <stp/>
        <stp>Market</stp>
        <stp>STOCK</stp>
        <stp>54100.T</stp>
        <stp>銘柄名称</stp>
        <tr r="C179" s="2"/>
      </tp>
      <tp t="s">
        <v>スカパーＪＳＡＴ</v>
        <stp/>
        <stp>Market</stp>
        <stp>STOCK</stp>
        <stp>94120.T</stp>
        <stp>銘柄名称</stp>
        <tr r="C56" s="2"/>
      </tp>
      <tp t="s">
        <v>トライアルホールディングス</v>
        <stp/>
        <stp>Market</stp>
        <stp>STOCK</stp>
        <stp>141A0.T</stp>
        <stp>銘柄名称</stp>
        <tr r="C219" s="2"/>
      </tp>
      <tp t="s">
        <v>日本テレビＨＬＤＳ</v>
        <stp/>
        <stp>Market</stp>
        <stp>STOCK</stp>
        <stp>94040.T</stp>
        <stp>銘柄名称</stp>
        <tr r="C119" s="2"/>
      </tp>
      <tp t="s">
        <v>旭化成</v>
        <stp/>
        <stp>Market</stp>
        <stp>STOCK</stp>
        <stp>34070.T</stp>
        <stp>銘柄名称</stp>
        <tr r="C94" s="2"/>
      </tp>
      <tp t="s">
        <v>ウエストホールディングス</v>
        <stp/>
        <stp>Market</stp>
        <stp>STOCK</stp>
        <stp>14070.T</stp>
        <stp>銘柄名称</stp>
        <tr r="C217" s="2"/>
      </tp>
      <tp t="s">
        <v>ＣＫＤ</v>
        <stp/>
        <stp>Market</stp>
        <stp>STOCK</stp>
        <stp>64070.T</stp>
        <stp>銘柄名称</stp>
        <tr r="C295" s="2"/>
      </tp>
      <tp t="s">
        <v>神戸製鋼所</v>
        <stp/>
        <stp>Market</stp>
        <stp>STOCK</stp>
        <stp>54060.T</stp>
        <stp>銘柄名称</stp>
        <tr r="C38" s="2"/>
      </tp>
      <tp t="s">
        <v>帝人</v>
        <stp/>
        <stp>Market</stp>
        <stp>STOCK</stp>
        <stp>34010.T</stp>
        <stp>銘柄名称</stp>
        <tr r="C27" s="2"/>
      </tp>
      <tp t="s">
        <v>日本製鉄</v>
        <stp/>
        <stp>Market</stp>
        <stp>STOCK</stp>
        <stp>54010.T</stp>
        <stp>銘柄名称</stp>
        <tr r="C46" s="2"/>
      </tp>
      <tp t="s">
        <v>東レ</v>
        <stp/>
        <stp>Market</stp>
        <stp>STOCK</stp>
        <stp>34020.T</stp>
        <stp>銘柄名称</stp>
        <tr r="C44" s="2"/>
      </tp>
      <tp t="s">
        <v>ミネベアミツミ</v>
        <stp/>
        <stp>Market</stp>
        <stp>STOCK</stp>
        <stp>64790.T</stp>
        <stp>銘柄名称</stp>
        <tr r="C79" s="2"/>
      </tp>
      <tp t="s">
        <v>共英製鋼</v>
        <stp/>
        <stp>Market</stp>
        <stp>STOCK</stp>
        <stp>54400.T</stp>
        <stp>銘柄名称</stp>
        <tr r="C180" s="2"/>
      </tp>
      <tp t="s">
        <v>大阪製鐵</v>
        <stp/>
        <stp>Market</stp>
        <stp>STOCK</stp>
        <stp>54490.T</stp>
        <stp>銘柄名称</stp>
        <tr r="C51" s="2"/>
      </tp>
      <tp t="s">
        <v>ＧＭＯインターネットグループ</v>
        <stp/>
        <stp>Market</stp>
        <stp>STOCK</stp>
        <stp>94490.T</stp>
        <stp>銘柄名称</stp>
        <tr r="C113" s="2"/>
      </tp>
    </main>
    <main first="rtdsrv.8a92272bbb794b2789e42afd4cc513d6">
      <tp>
        <v>10430</v>
        <stp/>
        <stp>Market</stp>
        <stp>STOCK</stp>
        <stp>68900.T</stp>
        <stp>年初来高値</stp>
        <tr r="K33" s="4"/>
        <tr r="K33" s="24"/>
      </tp>
      <tp>
        <v>6438</v>
        <stp/>
        <stp>Market</stp>
        <stp>STOCK</stp>
        <stp>85910.T</stp>
        <stp>年初来高値</stp>
        <tr r="K67" s="4"/>
        <tr r="K67" s="24"/>
      </tp>
      <tp>
        <v>2730</v>
        <stp/>
        <stp>Market</stp>
        <stp>STOCK</stp>
        <stp>80910.T</stp>
        <stp>年初来高値</stp>
        <tr r="K158" s="4"/>
        <tr r="K158" s="24"/>
      </tp>
      <tp>
        <v>6509</v>
        <stp/>
        <stp>Market</stp>
        <stp>STOCK</stp>
        <stp>40910.T</stp>
        <stp>年初来高値</stp>
        <tr r="K152" s="4"/>
        <tr r="K152" s="24"/>
      </tp>
      <tp>
        <v>10470</v>
        <stp/>
        <stp>Market</stp>
        <stp>STOCK</stp>
        <stp>38910.T</stp>
        <stp>年初来高値</stp>
        <tr r="K43" s="4"/>
        <tr r="K43" s="24"/>
      </tp>
      <tp>
        <v>1267</v>
        <stp/>
        <stp>Market</stp>
        <stp>STOCK</stp>
        <stp>88920.T</stp>
        <stp>年初来高値</stp>
        <tr r="K114" s="4"/>
        <tr r="K114" s="24"/>
      </tp>
      <tp>
        <v>2993</v>
        <stp/>
        <stp>Market</stp>
        <stp>STOCK</stp>
        <stp>58920.T</stp>
        <stp>年初来高値</stp>
        <tr r="K74" s="4"/>
        <tr r="K74" s="24"/>
      </tp>
      <tp>
        <v>1541.5</v>
        <stp/>
        <stp>Market</stp>
        <stp>STOCK</stp>
        <stp>85930.T</stp>
        <stp>年初来高値</stp>
        <tr r="K171" s="4"/>
        <tr r="K171" s="24"/>
      </tp>
      <tp>
        <v>3100</v>
        <stp/>
        <stp>Market</stp>
        <stp>STOCK</stp>
        <stp>77940.T</stp>
        <stp>年初来高値</stp>
        <tr r="K80" s="4"/>
        <tr r="K80" s="24"/>
      </tp>
      <tp>
        <v>4981</v>
        <stp/>
        <stp>Market</stp>
        <stp>STOCK</stp>
        <stp>87950.T</stp>
        <stp>年初来高値</stp>
        <tr r="K91" s="4"/>
        <tr r="K91" s="24"/>
      </tp>
      <tp t="s">
        <v>Ｔ＆Ｄホールディングス</v>
        <stp/>
        <stp>Market</stp>
        <stp>STOCK</stp>
        <stp>87950.T</stp>
        <stp>銘柄名称</stp>
        <tr r="C23" s="2"/>
      </tp>
      <tp t="s">
        <v>イーディーピー</v>
        <stp/>
        <stp>Market</stp>
        <stp>STOCK</stp>
        <stp>77940.T</stp>
        <stp>銘柄名称</stp>
        <tr r="C136" s="2"/>
      </tp>
      <tp t="s">
        <v>ＮＥＣキャピタルソリューション</v>
        <stp/>
        <stp>Market</stp>
        <stp>STOCK</stp>
        <stp>87930.T</stp>
        <stp>銘柄名称</stp>
        <tr r="C232" s="2"/>
      </tp>
      <tp t="s">
        <v>メイコー</v>
        <stp/>
        <stp>Market</stp>
        <stp>STOCK</stp>
        <stp>67870.T</stp>
        <stp>銘柄名称</stp>
        <tr r="C145" s="2"/>
      </tp>
      <tp t="s">
        <v>ＴＥＲＲＡＤＲＯＮＥ</v>
        <stp/>
        <stp>Market</stp>
        <stp>STOCK</stp>
        <stp>278A0.T</stp>
        <stp>銘柄名称</stp>
        <tr r="C251" s="2"/>
      </tp>
      <tp t="s">
        <v>ＳＣＲＥＥＮホールディングス</v>
        <stp/>
        <stp>Market</stp>
        <stp>STOCK</stp>
        <stp>77350.T</stp>
        <stp>銘柄名称</stp>
        <tr r="C283" s="2"/>
      </tp>
      <tp t="s">
        <v>サン電子</v>
        <stp/>
        <stp>Market</stp>
        <stp>STOCK</stp>
        <stp>67360.T</stp>
        <stp>銘柄名称</stp>
        <tr r="C287" s="2"/>
      </tp>
      <tp t="s">
        <v>オービックビジネスＣ</v>
        <stp/>
        <stp>Market</stp>
        <stp>STOCK</stp>
        <stp>47330.T</stp>
        <stp>銘柄名称</stp>
        <tr r="C165" s="2"/>
      </tp>
      <tp t="s">
        <v>ナガセ</v>
        <stp/>
        <stp>Market</stp>
        <stp>STOCK</stp>
        <stp>97330.T</stp>
        <stp>銘柄名称</stp>
        <tr r="C166" s="2"/>
      </tp>
      <tp t="s">
        <v>ＭＳ＆ＡＤ</v>
        <stp/>
        <stp>Market</stp>
        <stp>STOCK</stp>
        <stp>87250.T</stp>
        <stp>銘柄名称</stp>
        <tr r="C22" s="2"/>
      </tp>
      <tp t="s">
        <v>東京精密</v>
        <stp/>
        <stp>Market</stp>
        <stp>STOCK</stp>
        <stp>77290.T</stp>
        <stp>銘柄名称</stp>
        <tr r="C107" s="2"/>
      </tp>
      <tp t="s">
        <v>ＤＯＷＡホールディングス</v>
        <stp/>
        <stp>Market</stp>
        <stp>STOCK</stp>
        <stp>57140.T</stp>
        <stp>銘柄名称</stp>
        <tr r="C10" s="2"/>
      </tp>
      <tp t="s">
        <v>助川電気工業</v>
        <stp/>
        <stp>Market</stp>
        <stp>STOCK</stp>
        <stp>77110.T</stp>
        <stp>銘柄名称</stp>
        <tr r="C268" s="2"/>
      </tp>
      <tp t="s">
        <v>三菱マテリアル</v>
        <stp/>
        <stp>Market</stp>
        <stp>STOCK</stp>
        <stp>57110.T</stp>
        <stp>銘柄名称</stp>
        <tr r="C9" s="2"/>
      </tp>
      <tp t="s">
        <v>住友鉱山</v>
        <stp/>
        <stp>Market</stp>
        <stp>STOCK</stp>
        <stp>57130.T</stp>
        <stp>銘柄名称</stp>
        <tr r="C8" s="2"/>
      </tp>
      <tp t="s">
        <v>トレンドマイクロ</v>
        <stp/>
        <stp>Market</stp>
        <stp>STOCK</stp>
        <stp>47040.T</stp>
        <stp>銘柄名称</stp>
        <tr r="C254" s="2"/>
      </tp>
      <tp t="s">
        <v>トレイダーズＨＬＤＧＳ</v>
        <stp/>
        <stp>Market</stp>
        <stp>STOCK</stp>
        <stp>87040.T</stp>
        <stp>銘柄名称</stp>
        <tr r="C164" s="2"/>
      </tp>
      <tp t="s">
        <v>電気興業</v>
        <stp/>
        <stp>Market</stp>
        <stp>STOCK</stp>
        <stp>67060.T</stp>
        <stp>銘柄名称</stp>
        <tr r="C291" s="2"/>
      </tp>
      <tp t="s">
        <v>三井金属</v>
        <stp/>
        <stp>Market</stp>
        <stp>STOCK</stp>
        <stp>57060.T</stp>
        <stp>銘柄名称</stp>
        <tr r="C6" s="2"/>
      </tp>
      <tp t="s">
        <v>日本電気</v>
        <stp/>
        <stp>Market</stp>
        <stp>STOCK</stp>
        <stp>67010.T</stp>
        <stp>銘柄名称</stp>
        <tr r="C11" s="2"/>
      </tp>
      <tp t="s">
        <v>日本軽金属ＨＤ</v>
        <stp/>
        <stp>Market</stp>
        <stp>STOCK</stp>
        <stp>57030.T</stp>
        <stp>銘柄名称</stp>
        <tr r="C13" s="2"/>
      </tp>
      <tp t="s">
        <v>日本マクドナルドＨＬＤＧ</v>
        <stp/>
        <stp>Market</stp>
        <stp>STOCK</stp>
        <stp>27020.T</stp>
        <stp>銘柄名称</stp>
        <tr r="C194" s="2"/>
      </tp>
      <tp t="s">
        <v>大紀アルミニウム</v>
        <stp/>
        <stp>Market</stp>
        <stp>STOCK</stp>
        <stp>57020.T</stp>
        <stp>銘柄名称</stp>
        <tr r="C275" s="2"/>
      </tp>
      <tp t="s">
        <v>ＩＤホールディングス</v>
        <stp/>
        <stp>Market</stp>
        <stp>STOCK</stp>
        <stp>47090.T</stp>
        <stp>銘柄名称</stp>
        <tr r="C170" s="2"/>
      </tp>
      <tp t="s">
        <v>ＳＡＮＴＥＣＨＯＬＤＩＮＧＳ</v>
        <stp/>
        <stp>Market</stp>
        <stp>STOCK</stp>
        <stp>67770.T</stp>
        <stp>銘柄名称</stp>
        <tr r="C144" s="2"/>
      </tp>
      <tp t="s">
        <v>サイボウズ</v>
        <stp/>
        <stp>Market</stp>
        <stp>STOCK</stp>
        <stp>47760.T</stp>
        <stp>銘柄名称</stp>
        <tr r="C253" s="2"/>
      </tp>
      <tp t="s">
        <v>東京海上ＨＤ</v>
        <stp/>
        <stp>Market</stp>
        <stp>STOCK</stp>
        <stp>87660.T</stp>
        <stp>銘柄名称</stp>
        <tr r="C52" s="2"/>
      </tp>
      <tp t="s">
        <v>ＴＤＫ</v>
        <stp/>
        <stp>Market</stp>
        <stp>STOCK</stp>
        <stp>67620.T</stp>
        <stp>銘柄名称</stp>
        <tr r="C234" s="2"/>
      </tp>
      <tp t="s">
        <v>双日</v>
        <stp/>
        <stp>Market</stp>
        <stp>STOCK</stp>
        <stp>27680.T</stp>
        <stp>銘柄名称</stp>
        <tr r="C202" s="2"/>
      </tp>
      <tp t="s">
        <v>アンリツ</v>
        <stp/>
        <stp>Market</stp>
        <stp>STOCK</stp>
        <stp>67540.T</stp>
        <stp>銘柄名称</stp>
        <tr r="C155" s="2"/>
      </tp>
      <tp t="s">
        <v>第一ライフグループ</v>
        <stp/>
        <stp>Market</stp>
        <stp>STOCK</stp>
        <stp>87500.T</stp>
        <stp>銘柄名称</stp>
        <tr r="C43" s="2"/>
      </tp>
      <tp t="s">
        <v>シャープ</v>
        <stp/>
        <stp>Market</stp>
        <stp>STOCK</stp>
        <stp>67530.T</stp>
        <stp>銘柄名称</stp>
        <tr r="C188" s="2"/>
      </tp>
      <tp t="s">
        <v>パナソニックホールディンク</v>
        <stp/>
        <stp>Market</stp>
        <stp>STOCK</stp>
        <stp>67520.T</stp>
        <stp>銘柄名称</stp>
        <tr r="C215" s="2"/>
      </tp>
      <tp t="s">
        <v>ソニーグループ</v>
        <stp/>
        <stp>Market</stp>
        <stp>STOCK</stp>
        <stp>67580.T</stp>
        <stp>銘柄名称</stp>
        <tr r="C205" s="2"/>
      </tp>
      <tp t="s">
        <v>能美防災</v>
        <stp/>
        <stp>Market</stp>
        <stp>STOCK</stp>
        <stp>67440.T</stp>
        <stp>銘柄名称</stp>
        <tr r="C120" s="2"/>
      </tp>
      <tp t="s">
        <v>岡本硝子</v>
        <stp/>
        <stp>Market</stp>
        <stp>STOCK</stp>
        <stp>77460.T</stp>
        <stp>銘柄名称</stp>
        <tr r="C93" s="2"/>
      </tp>
      <tp t="s">
        <v>ＨＯＹＡ</v>
        <stp/>
        <stp>Market</stp>
        <stp>STOCK</stp>
        <stp>77410.T</stp>
        <stp>銘柄名称</stp>
        <tr r="C1" s="10"/>
        <tr r="C302" s="2"/>
      </tp>
      <tp t="s">
        <v>ジャパンディスプレイ</v>
        <stp/>
        <stp>Market</stp>
        <stp>STOCK</stp>
        <stp>67400.T</stp>
        <stp>銘柄名称</stp>
        <tr r="C140" s="2"/>
      </tp>
      <tp t="s">
        <v/>
        <stp/>
        <stp>Market</stp>
        <stp>STOCK</stp>
        <stp/>
        <stp>銘柄名称</stp>
        <tr r="C401" s="2"/>
        <tr r="C327" s="2"/>
        <tr r="C394" s="2"/>
        <tr r="C484" s="2"/>
        <tr r="C435" s="2"/>
        <tr r="C317" s="2"/>
        <tr r="C330" s="2"/>
        <tr r="C338" s="2"/>
        <tr r="C457" s="2"/>
        <tr r="C495" s="2"/>
        <tr r="C490" s="2"/>
        <tr r="C479" s="2"/>
        <tr r="C422" s="2"/>
        <tr r="C450" s="2"/>
        <tr r="C396" s="2"/>
        <tr r="C505" s="2"/>
        <tr r="C343" s="2"/>
        <tr r="C384" s="2"/>
        <tr r="C337" s="2"/>
        <tr r="C325" s="2"/>
        <tr r="C342" s="2"/>
        <tr r="C461" s="2"/>
        <tr r="C474" s="2"/>
        <tr r="C502" s="2"/>
        <tr r="C397" s="2"/>
        <tr r="C494" s="2"/>
        <tr r="C421" s="2"/>
        <tr r="C382" s="2"/>
        <tr r="C425" s="2"/>
        <tr r="C411" s="2"/>
        <tr r="C306" s="2"/>
        <tr r="C375" s="2"/>
        <tr r="C381" s="2"/>
        <tr r="C426" s="2"/>
        <tr r="C477" s="2"/>
        <tr r="C332" s="2"/>
        <tr r="C334" s="2"/>
        <tr r="C378" s="2"/>
        <tr r="C357" s="2"/>
        <tr r="C308" s="2"/>
        <tr r="C309" s="2"/>
        <tr r="C415" s="2"/>
        <tr r="C414" s="2"/>
        <tr r="C469" s="2"/>
        <tr r="C355" s="2"/>
        <tr r="C377" s="2"/>
        <tr r="C393" s="2"/>
        <tr r="C348" s="2"/>
        <tr r="C456" s="2"/>
        <tr r="C423" s="2"/>
        <tr r="C483" s="2"/>
        <tr r="C361" s="2"/>
        <tr r="C391" s="2"/>
        <tr r="C467" s="2"/>
        <tr r="C478" s="2"/>
        <tr r="C433" s="2"/>
        <tr r="C407" s="2"/>
        <tr r="C360" s="2"/>
        <tr r="C333" s="2"/>
        <tr r="C460" s="2"/>
        <tr r="C379" s="2"/>
        <tr r="C316" s="2"/>
        <tr r="C329" s="2"/>
        <tr r="C370" s="2"/>
        <tr r="C482" s="2"/>
        <tr r="C446" s="2"/>
        <tr r="C476" s="2"/>
        <tr r="C347" s="2"/>
        <tr r="C496" s="2"/>
        <tr r="C324" s="2"/>
        <tr r="C354" s="2"/>
        <tr r="C374" s="2"/>
        <tr r="C451" s="2"/>
        <tr r="C368" s="2"/>
        <tr r="C473" s="2"/>
        <tr r="C497" s="2"/>
        <tr r="C340" s="2"/>
        <tr r="C503" s="2"/>
        <tr r="C335" s="2"/>
        <tr r="C410" s="2"/>
        <tr r="C489" s="2"/>
        <tr r="C356" s="2"/>
        <tr r="C372" s="2"/>
        <tr r="C362" s="2"/>
        <tr r="C481" s="2"/>
        <tr r="C468" s="2"/>
        <tr r="C445" s="2"/>
        <tr r="C464" s="2"/>
        <tr r="C487" s="2"/>
        <tr r="C431" s="2"/>
        <tr r="C373" s="2"/>
        <tr r="C351" s="2"/>
        <tr r="C344" s="2"/>
        <tr r="C471" s="2"/>
        <tr r="C400" s="2"/>
        <tr r="C313" s="2"/>
        <tr r="C363" s="2"/>
        <tr r="C408" s="2"/>
        <tr r="C430" s="2"/>
        <tr r="C462" s="2"/>
        <tr r="C429" s="2"/>
        <tr r="C319" s="2"/>
        <tr r="C465" s="2"/>
        <tr r="C310" s="2"/>
        <tr r="C480" s="2"/>
        <tr r="C424" s="2"/>
        <tr r="C320" s="2"/>
        <tr r="C491" s="2"/>
        <tr r="C455" s="2"/>
        <tr r="C440" s="2"/>
        <tr r="C417" s="2"/>
        <tr r="C359" s="2"/>
        <tr r="C326" s="2"/>
        <tr r="C311" s="2"/>
        <tr r="C350" s="2"/>
        <tr r="C449" s="2"/>
        <tr r="C392" s="2"/>
        <tr r="C307" s="2"/>
        <tr r="C428" s="2"/>
        <tr r="C448" s="2"/>
        <tr r="C388" s="2"/>
        <tr r="C437" s="2"/>
        <tr r="C413" s="2"/>
        <tr r="C390" s="2"/>
        <tr r="C492" s="2"/>
        <tr r="C367" s="2"/>
        <tr r="C318" s="2"/>
        <tr r="C305" s="2"/>
        <tr r="C472" s="2"/>
        <tr r="C364" s="2"/>
        <tr r="C323" s="2"/>
        <tr r="C443" s="2"/>
        <tr r="C470" s="2"/>
        <tr r="C458" s="2"/>
        <tr r="C466" s="2"/>
        <tr r="C499" s="2"/>
        <tr r="C447" s="2"/>
        <tr r="C339" s="2"/>
        <tr r="C385" s="2"/>
        <tr r="C398" s="2"/>
        <tr r="C322" s="2"/>
        <tr r="C434" s="2"/>
        <tr r="C353" s="2"/>
        <tr r="C315" s="2"/>
        <tr r="C463" s="2"/>
        <tr r="C365" s="2"/>
        <tr r="C405" s="2"/>
        <tr r="C371" s="2"/>
        <tr r="C419" s="2"/>
        <tr r="C358" s="2"/>
        <tr r="C366" s="2"/>
        <tr r="C442" s="2"/>
        <tr r="C436" s="2"/>
        <tr r="C404" s="2"/>
        <tr r="C406" s="2"/>
        <tr r="C380" s="2"/>
        <tr r="C346" s="2"/>
        <tr r="C418" s="2"/>
        <tr r="C386" s="2"/>
        <tr r="C412" s="2"/>
        <tr r="C420" s="2"/>
        <tr r="C387" s="2"/>
        <tr r="C345" s="2"/>
        <tr r="C389" s="2"/>
        <tr r="C341" s="2"/>
        <tr r="C403" s="2"/>
        <tr r="C376" s="2"/>
        <tr r="C488" s="2"/>
        <tr r="C303" s="2"/>
        <tr r="C427" s="2"/>
        <tr r="C452" s="2"/>
        <tr r="C352" s="2"/>
        <tr r="C453" s="2"/>
        <tr r="C475" s="2"/>
        <tr r="C349" s="2"/>
        <tr r="C432" s="2"/>
        <tr r="C454" s="2"/>
        <tr r="C399" s="2"/>
        <tr r="C493" s="2"/>
        <tr r="C395" s="2"/>
        <tr r="C441" s="2"/>
        <tr r="C439" s="2"/>
        <tr r="C500" s="2"/>
        <tr r="C416" s="2"/>
        <tr r="C336" s="2"/>
        <tr r="C402" s="2"/>
        <tr r="C444" s="2"/>
        <tr r="C304" s="2"/>
        <tr r="C501" s="2"/>
        <tr r="C314" s="2"/>
        <tr r="C331" s="2"/>
        <tr r="C409" s="2"/>
        <tr r="C486" s="2"/>
        <tr r="C498" s="2"/>
        <tr r="C485" s="2"/>
        <tr r="C312" s="2"/>
        <tr r="C383" s="2"/>
        <tr r="C438" s="2"/>
        <tr r="C369" s="2"/>
        <tr r="C328" s="2"/>
        <tr r="C504" s="2"/>
        <tr r="C321" s="2"/>
        <tr r="C459" s="2"/>
        <tr r="C4" s="21"/>
        <tr r="D22" s="19"/>
        <tr r="D8" s="19"/>
        <tr r="D15" s="19"/>
        <tr r="D7" s="19"/>
        <tr r="D23" s="19"/>
        <tr r="D13" s="19"/>
        <tr r="D24" s="19"/>
        <tr r="D12" s="19"/>
        <tr r="D11" s="19"/>
        <tr r="D9" s="19"/>
        <tr r="D17" s="19"/>
        <tr r="D20" s="19"/>
        <tr r="D25" s="19"/>
        <tr r="D16" s="19"/>
        <tr r="D14" s="19"/>
        <tr r="D21" s="19"/>
        <tr r="D18" s="19"/>
        <tr r="D26" s="19"/>
        <tr r="D19" s="19"/>
        <tr r="D10" s="19"/>
      </tp>
      <tp t="s">
        <v>セレス</v>
        <stp/>
        <stp>Market</stp>
        <stp>STOCK</stp>
        <stp>36960.T</stp>
        <stp>銘柄名称</stp>
        <tr r="C228" s="2"/>
      </tp>
      <tp t="s">
        <v>ＢＵＹＳＥＬＬＴＥＣＨ</v>
        <stp/>
        <stp>Market</stp>
        <stp>STOCK</stp>
        <stp>76850.T</stp>
        <stp>銘柄名称</stp>
        <tr r="C121" s="2"/>
      </tp>
      <tp t="s">
        <v>ＫＳＫ</v>
        <stp/>
        <stp>Market</stp>
        <stp>STOCK</stp>
        <stp>96870.T</stp>
        <stp>銘柄名称</stp>
        <tr r="C162" s="2"/>
      </tp>
      <tp t="s">
        <v>日本製鋼所</v>
        <stp/>
        <stp>Market</stp>
        <stp>STOCK</stp>
        <stp>56310.T</stp>
        <stp>銘柄名称</stp>
        <tr r="C263" s="2"/>
      </tp>
      <tp t="s">
        <v>ＳＯＭＰＯホールディングス</v>
        <stp/>
        <stp>Market</stp>
        <stp>STOCK</stp>
        <stp>86300.T</stp>
        <stp>銘柄名称</stp>
        <tr r="C54" s="2"/>
      </tp>
      <tp t="s">
        <v>三菱製鋼</v>
        <stp/>
        <stp>Market</stp>
        <stp>STOCK</stp>
        <stp>56320.T</stp>
        <stp>銘柄名称</stp>
        <tr r="C247" s="2"/>
      </tp>
      <tp t="s">
        <v>ダイヘン</v>
        <stp/>
        <stp>Market</stp>
        <stp>STOCK</stp>
        <stp>66220.T</stp>
        <stp>銘柄名称</stp>
        <tr r="C216" s="2"/>
      </tp>
      <tp t="s">
        <v>ＱＤレーザ</v>
        <stp/>
        <stp>Market</stp>
        <stp>STOCK</stp>
        <stp>66130.T</stp>
        <stp>銘柄名称</stp>
        <tr r="C141" s="2"/>
      </tp>
      <tp t="s">
        <v>ＮＦエネ資源Ｔ１７</v>
        <stp/>
        <stp>Market</stp>
        <stp>STOCK</stp>
        <stp>16180.T</stp>
        <stp>銘柄名称</stp>
        <tr r="C227" s="2"/>
      </tp>
      <tp t="s">
        <v>ＩＮＰＥＸ</v>
        <stp/>
        <stp>Market</stp>
        <stp>STOCK</stp>
        <stp>16050.T</stp>
        <stp>銘柄名称</stp>
        <tr r="C12" s="2"/>
      </tp>
      <tp t="s">
        <v>野村ホールディングス</v>
        <stp/>
        <stp>Market</stp>
        <stp>STOCK</stp>
        <stp>86040.T</stp>
        <stp>銘柄名称</stp>
        <tr r="C40" s="2"/>
      </tp>
      <tp t="s">
        <v>大和証券Ｇ本社</v>
        <stp/>
        <stp>Market</stp>
        <stp>STOCK</stp>
        <stp>86010.T</stp>
        <stp>銘柄名称</stp>
        <tr r="C33" s="2"/>
      </tp>
      <tp t="s">
        <v>ダイトロン</v>
        <stp/>
        <stp>Market</stp>
        <stp>STOCK</stp>
        <stp>76090.T</stp>
        <stp>銘柄名称</stp>
        <tr r="C240" s="2"/>
      </tp>
      <tp t="s">
        <v>ジーエス・ユアサコーポ</v>
        <stp/>
        <stp>Market</stp>
        <stp>STOCK</stp>
        <stp>66740.T</stp>
        <stp>銘柄名称</stp>
        <tr r="C264" s="2"/>
      </tp>
      <tp t="s">
        <v>フジ・メディア・ＨＤ</v>
        <stp/>
        <stp>Market</stp>
        <stp>STOCK</stp>
        <stp>46760.T</stp>
        <stp>銘柄名称</stp>
        <tr r="C58" s="2"/>
        <tr r="D5" s="19"/>
      </tp>
      <tp t="s">
        <v>オリエンタルランド</v>
        <stp/>
        <stp>Market</stp>
        <stp>STOCK</stp>
        <stp>46610.T</stp>
        <stp>銘柄名称</stp>
        <tr r="C101" s="2"/>
      </tp>
      <tp t="s">
        <v>石油資源開発</v>
        <stp/>
        <stp>Market</stp>
        <stp>STOCK</stp>
        <stp>16620.T</stp>
        <stp>銘柄名称</stp>
        <tr r="C18" s="2"/>
      </tp>
      <tp t="s">
        <v>ＱＰＳホールディングス</v>
        <stp/>
        <stp>Market</stp>
        <stp>STOCK</stp>
        <stp>464A0.T</stp>
        <stp>銘柄名称</stp>
        <tr r="C220" s="2"/>
      </tp>
    </main>
    <main first="rtdsrv.8a92272bbb794b2789e42afd4cc513d6">
      <tp t="s">
        <v>かんぽ生命保険</v>
        <stp/>
        <stp>Market</stp>
        <stp>STOCK</stp>
        <stp>71810.T</stp>
        <stp>銘柄名称</stp>
        <tr r="C190" s="2"/>
      </tp>
      <tp t="s">
        <v>ゆうちょ銀行</v>
        <stp/>
        <stp>Market</stp>
        <stp>STOCK</stp>
        <stp>71820.T</stp>
        <stp>銘柄名称</stp>
        <tr r="C85" s="2"/>
      </tp>
      <tp t="s">
        <v>三菱瓦斯化学</v>
        <stp/>
        <stp>Market</stp>
        <stp>STOCK</stp>
        <stp>41820.T</stp>
        <stp>銘柄名称</stp>
        <tr r="C97" s="2"/>
      </tp>
      <tp t="s">
        <v>三菱ケミカルグループ</v>
        <stp/>
        <stp>Market</stp>
        <stp>STOCK</stp>
        <stp>41880.T</stp>
        <stp>銘柄名称</stp>
        <tr r="C98" s="2"/>
      </tp>
      <tp t="s">
        <v>牧野フライス</v>
        <stp/>
        <stp>Market</stp>
        <stp>STOCK</stp>
        <stp>61350.T</stp>
        <stp>銘柄名称</stp>
        <tr r="C223" s="2"/>
      </tp>
      <tp t="s">
        <v>ＦＵＪＩ</v>
        <stp/>
        <stp>Market</stp>
        <stp>STOCK</stp>
        <stp>61340.T</stp>
        <stp>銘柄名称</stp>
        <tr r="C92" s="2"/>
      </tp>
      <tp t="s">
        <v>日本Ｍ＆Ａセンターホールデ</v>
        <stp/>
        <stp>Market</stp>
        <stp>STOCK</stp>
        <stp>21270.T</stp>
        <stp>銘柄名称</stp>
        <tr r="C187" s="2"/>
      </tp>
      <tp t="s">
        <v>明海グループ</v>
        <stp/>
        <stp>Market</stp>
        <stp>STOCK</stp>
        <stp>91150.T</stp>
        <stp>銘柄名称</stp>
        <tr r="C270" s="2"/>
      </tp>
      <tp t="s">
        <v>日東紡績</v>
        <stp/>
        <stp>Market</stp>
        <stp>STOCK</stp>
        <stp>31100.T</stp>
        <stp>銘柄名称</stp>
        <tr r="C134" s="2"/>
      </tp>
      <tp t="s">
        <v>商船三井</v>
        <stp/>
        <stp>Market</stp>
        <stp>STOCK</stp>
        <stp>91040.T</stp>
        <stp>銘柄名称</stp>
        <tr r="C259" s="2"/>
      </tp>
      <tp t="s">
        <v>ダイワボウＨＤ</v>
        <stp/>
        <stp>Market</stp>
        <stp>STOCK</stp>
        <stp>31070.T</stp>
        <stp>銘柄名称</stp>
        <tr r="C60" s="2"/>
      </tp>
      <tp t="s">
        <v>日本郵船</v>
        <stp/>
        <stp>Market</stp>
        <stp>STOCK</stp>
        <stp>91010.T</stp>
        <stp>銘柄名称</stp>
        <tr r="C206" s="2"/>
      </tp>
      <tp t="s">
        <v>ユニチカ</v>
        <stp/>
        <stp>Market</stp>
        <stp>STOCK</stp>
        <stp>31030.T</stp>
        <stp>銘柄名称</stp>
        <tr r="C138" s="2"/>
      </tp>
      <tp t="s">
        <v>明和産業</v>
        <stp/>
        <stp>Market</stp>
        <stp>STOCK</stp>
        <stp>81030.T</stp>
        <stp>銘柄名称</stp>
        <tr r="C169" s="2"/>
      </tp>
      <tp t="s">
        <v>日本郵政</v>
        <stp/>
        <stp>Market</stp>
        <stp>STOCK</stp>
        <stp>61780.T</stp>
        <stp>銘柄名称</stp>
        <tr r="C104" s="2"/>
        <tr r="D6" s="19"/>
      </tp>
      <tp t="s">
        <v>クオルテック</v>
        <stp/>
        <stp>Market</stp>
        <stp>STOCK</stp>
        <stp>91650.T</stp>
        <stp>銘柄名称</stp>
        <tr r="C243" s="2"/>
      </tp>
      <tp t="s">
        <v>めぶきフィナンシャルＧ</v>
        <stp/>
        <stp>Market</stp>
        <stp>STOCK</stp>
        <stp>71670.T</stp>
        <stp>銘柄名称</stp>
        <tr r="C82" s="2"/>
      </tp>
      <tp t="s">
        <v>ジーエヌアイグループ</v>
        <stp/>
        <stp>Market</stp>
        <stp>STOCK</stp>
        <stp>21600.T</stp>
        <stp>銘柄名称</stp>
        <tr r="C131" s="2"/>
      </tp>
      <tp t="s">
        <v>ディスコ</v>
        <stp/>
        <stp>Market</stp>
        <stp>STOCK</stp>
        <stp>61460.T</stp>
        <stp>銘柄名称</stp>
        <tr r="C197" s="2"/>
      </tp>
      <tp t="s">
        <v>新光商事</v>
        <stp/>
        <stp>Market</stp>
        <stp>STOCK</stp>
        <stp>81410.T</stp>
        <stp>銘柄名称</stp>
        <tr r="C292" s="2"/>
      </tp>
      <tp t="s">
        <v>旭ダイヤモンド</v>
        <stp/>
        <stp>Market</stp>
        <stp>STOCK</stp>
        <stp>61400.T</stp>
        <stp>銘柄名称</stp>
        <tr r="C261" s="2"/>
      </tp>
      <tp>
        <v>1325</v>
        <stp/>
        <stp>Market</stp>
        <stp>STOCK</stp>
        <stp>85930.T</stp>
        <stp>現在値</stp>
        <tr r="E171" s="4"/>
        <tr r="C39" s="8"/>
        <tr r="E171" s="24"/>
      </tp>
      <tp>
        <v>6336</v>
        <stp/>
        <stp>Market</stp>
        <stp>STOCK</stp>
        <stp>85910.T</stp>
        <stp>現在値</stp>
        <tr r="C26" s="8"/>
        <tr r="E67" s="4"/>
        <tr r="E67" s="24"/>
      </tp>
      <tp>
        <v>450.6</v>
        <stp/>
        <stp>Market</stp>
        <stp>STOCK</stp>
        <stp>85720.T</stp>
        <stp>現在値</stp>
        <tr r="E38" s="4"/>
        <tr r="C47" s="8"/>
        <tr r="E38" s="24"/>
      </tp>
      <tp>
        <v>1491.5</v>
        <stp/>
        <stp>Market</stp>
        <stp>STOCK</stp>
        <stp>85700.T</stp>
        <stp>現在値</stp>
        <tr r="E94" s="4"/>
        <tr r="C37" s="8"/>
        <tr r="E94" s="24"/>
      </tp>
      <tp>
        <v>4236</v>
        <stp/>
        <stp>Market</stp>
        <stp>STOCK</stp>
        <stp>84240.T</stp>
        <stp>現在値</stp>
        <tr r="C108" s="8"/>
        <tr r="E185" s="4"/>
        <tr r="E185" s="24"/>
      </tp>
      <tp>
        <v>8006</v>
        <stp/>
        <stp>Market</stp>
        <stp>STOCK</stp>
        <stp>84110.T</stp>
        <stp>現在値</stp>
        <tr r="C19" s="8"/>
        <tr r="E66" s="4"/>
        <tr r="E66" s="24"/>
      </tp>
      <tp>
        <v>4100</v>
        <stp/>
        <stp>Market</stp>
        <stp>STOCK</stp>
        <stp>87930.T</stp>
        <stp>現在値</stp>
        <tr r="C232" s="8"/>
      </tp>
      <tp>
        <v>4746</v>
        <stp/>
        <stp>Market</stp>
        <stp>STOCK</stp>
        <stp>87950.T</stp>
        <stp>現在値</stp>
        <tr r="E91" s="4"/>
        <tr r="C23" s="8"/>
        <tr r="E91" s="24"/>
      </tp>
      <tp>
        <v>4557</v>
        <stp/>
        <stp>Market</stp>
        <stp>STOCK</stp>
        <stp>87250.T</stp>
        <stp>現在値</stp>
        <tr r="C22" s="8"/>
        <tr r="E168" s="4"/>
        <tr r="E168" s="24"/>
      </tp>
      <tp>
        <v>1157</v>
        <stp/>
        <stp>Market</stp>
        <stp>STOCK</stp>
        <stp>87040.T</stp>
        <stp>現在値</stp>
        <tr r="E19" s="4"/>
        <tr r="C164" s="8"/>
        <tr r="E19" s="24"/>
      </tp>
      <tp>
        <v>7252</v>
        <stp/>
        <stp>Market</stp>
        <stp>STOCK</stp>
        <stp>87660.T</stp>
        <stp>現在値</stp>
        <tr r="E174" s="4"/>
        <tr r="C52" s="8"/>
        <tr r="E174" s="24"/>
      </tp>
      <tp>
        <v>1793</v>
        <stp/>
        <stp>Market</stp>
        <stp>STOCK</stp>
        <stp>87500.T</stp>
        <stp>現在値</stp>
        <tr r="C43" s="8"/>
        <tr r="E200" s="4"/>
        <tr r="E200" s="24"/>
      </tp>
      <tp>
        <v>6194</v>
        <stp/>
        <stp>Market</stp>
        <stp>STOCK</stp>
        <stp>86300.T</stp>
        <stp>現在値</stp>
        <tr r="E176" s="4"/>
        <tr r="C54" s="8"/>
        <tr r="E176" s="24"/>
      </tp>
      <tp>
        <v>1607.5</v>
        <stp/>
        <stp>Market</stp>
        <stp>STOCK</stp>
        <stp>86010.T</stp>
        <stp>現在値</stp>
        <tr r="E198" s="4"/>
        <tr r="C33" s="8"/>
        <tr r="E198" s="24"/>
      </tp>
      <tp>
        <v>1451</v>
        <stp/>
        <stp>Market</stp>
        <stp>STOCK</stp>
        <stp>86040.T</stp>
        <stp>現在値</stp>
        <tr r="C40" s="8"/>
        <tr r="E199" s="4"/>
        <tr r="E199" s="24"/>
      </tp>
      <tp>
        <v>873</v>
        <stp/>
        <stp>Market</stp>
        <stp>STOCK</stp>
        <stp>81030.T</stp>
        <stp>現在値</stp>
        <tr r="C169" s="8"/>
        <tr r="E136" s="4"/>
        <tr r="E136" s="24"/>
      </tp>
      <tp>
        <v>1581</v>
        <stp/>
        <stp>Market</stp>
        <stp>STOCK</stp>
        <stp>81410.T</stp>
        <stp>現在値</stp>
        <tr r="C292" s="8"/>
      </tp>
      <tp>
        <v>2211</v>
        <stp/>
        <stp>Market</stp>
        <stp>STOCK</stp>
        <stp>80910.T</stp>
        <stp>現在値</stp>
        <tr r="E158" s="4"/>
        <tr r="C182" s="8"/>
        <tr r="E158" s="24"/>
      </tp>
      <tp>
        <v>72640</v>
        <stp/>
        <stp>Market</stp>
        <stp>STOCK</stp>
        <stp>80350.T</stp>
        <stp>現在値</stp>
        <tr r="C198" s="8"/>
        <tr r="E35" s="4"/>
        <tr r="E35" s="24"/>
      </tp>
      <tp>
        <v>6344</v>
        <stp/>
        <stp>Market</stp>
        <stp>STOCK</stp>
        <stp>80150.T</stp>
        <stp>現在値</stp>
        <tr r="E65" s="4"/>
        <tr r="C204" s="8"/>
        <tr r="E65" s="24"/>
      </tp>
      <tp>
        <v>4949</v>
        <stp/>
        <stp>Market</stp>
        <stp>STOCK</stp>
        <stp>80020.T</stp>
        <stp>現在値</stp>
        <tr r="C14" s="8"/>
        <tr r="E167" s="4"/>
        <tr r="E167" s="24"/>
      </tp>
      <tp>
        <v>749</v>
        <stp/>
        <stp>Market</stp>
        <stp>STOCK</stp>
        <stp>80070.T</stp>
        <stp>現在値</stp>
        <tr r="C281" s="8"/>
      </tp>
      <tp>
        <v>1643</v>
        <stp/>
        <stp>Market</stp>
        <stp>STOCK</stp>
        <stp>80050.T</stp>
        <stp>現在値</stp>
        <tr r="C236" s="8"/>
      </tp>
      <tp>
        <v>6547</v>
        <stp/>
        <stp>Market</stp>
        <stp>STOCK</stp>
        <stp>80530.T</stp>
        <stp>現在値</stp>
        <tr r="C25" s="8"/>
        <tr r="E49" s="4"/>
        <tr r="E49" s="24"/>
      </tp>
      <tp>
        <v>4610</v>
        <stp/>
        <stp>Market</stp>
        <stp>STOCK</stp>
        <stp>80580.T</stp>
        <stp>現在値</stp>
        <tr r="C16" s="8"/>
        <tr r="E89" s="4"/>
        <tr r="E89" s="24"/>
      </tp>
      <tp>
        <v>2307</v>
        <stp/>
        <stp>Market</stp>
        <stp>STOCK</stp>
        <stp>83340.T</stp>
        <stp>現在値</stp>
        <tr r="C122" s="8"/>
        <tr r="E204" s="4"/>
        <tr r="E204" s="24"/>
      </tp>
      <tp>
        <v>6450</v>
        <stp/>
        <stp>Market</stp>
        <stp>STOCK</stp>
        <stp>83160.T</stp>
        <stp>現在値</stp>
        <tr r="E70" s="4"/>
        <tr r="C50" s="8"/>
        <tr r="E70" s="24"/>
      </tp>
      <tp>
        <v>1445</v>
        <stp/>
        <stp>Market</stp>
        <stp>STOCK</stp>
        <stp>83030.T</stp>
        <stp>現在値</stp>
        <tr r="E191" s="4"/>
        <tr r="C172" s="8"/>
        <tr r="E191" s="24"/>
      </tp>
      <tp>
        <v>3272</v>
        <stp/>
        <stp>Market</stp>
        <stp>STOCK</stp>
        <stp>83060.T</stp>
        <stp>現在値</stp>
        <tr r="E201" s="4"/>
        <tr r="C45" s="8"/>
        <tr r="E201" s="24"/>
      </tp>
      <tp>
        <v>6033</v>
        <stp/>
        <stp>Market</stp>
        <stp>STOCK</stp>
        <stp>83090.T</stp>
        <stp>現在値</stp>
        <tr r="E68" s="4"/>
        <tr r="C31" s="8"/>
        <tr r="E68" s="24"/>
      </tp>
      <tp>
        <v>2161.5</v>
        <stp/>
        <stp>Market</stp>
        <stp>STOCK</stp>
        <stp>83080.T</stp>
        <stp>現在値</stp>
        <tr r="E92" s="4"/>
        <tr r="C35" s="8"/>
        <tr r="E92" s="24"/>
      </tp>
      <tp>
        <v>2287</v>
        <stp/>
        <stp>Market</stp>
        <stp>STOCK</stp>
        <stp>83590.T</stp>
        <stp>現在値</stp>
        <tr r="E26" s="4"/>
        <tr r="C123" s="8"/>
        <tr r="E26" s="24"/>
      </tp>
      <tp>
        <v>3465</v>
        <stp/>
        <stp>Market</stp>
        <stp>STOCK</stp>
        <stp>83440.T</stp>
        <stp>現在値</stp>
        <tr r="C293" s="8"/>
      </tp>
      <tp>
        <v>1050</v>
        <stp/>
        <stp>Market</stp>
        <stp>STOCK</stp>
        <stp>82810.T</stp>
        <stp>現在値</stp>
        <tr r="E179" s="4"/>
        <tr r="C63" s="8"/>
        <tr r="E179" s="24"/>
      </tp>
      <tp>
        <v>2359</v>
        <stp/>
        <stp>Market</stp>
        <stp>STOCK</stp>
        <stp>89340.T</stp>
        <stp>現在値</stp>
        <tr r="E149" s="4"/>
        <tr r="C125" s="8"/>
        <tr r="E149" s="24"/>
      </tp>
      <tp>
        <v>1077</v>
        <stp/>
        <stp>Market</stp>
        <stp>STOCK</stp>
        <stp>88920.T</stp>
        <stp>現在値</stp>
        <tr r="E114" s="4"/>
        <tr r="C161" s="8"/>
        <tr r="E114" s="24"/>
      </tp>
      <tp>
        <v>1516.5</v>
        <stp/>
        <stp>Market</stp>
        <stp>STOCK</stp>
        <stp>88010.T</stp>
        <stp>現在値</stp>
        <tr r="C124" s="8"/>
        <tr r="E129" s="4"/>
        <tr r="E129" s="24"/>
      </tp>
      <tp>
        <v>3245</v>
        <stp/>
        <stp>Market</stp>
        <stp>STOCK</stp>
        <stp>88710.T</stp>
        <stp>現在値</stp>
        <tr r="C278" s="8"/>
      </tp>
    </main>
    <main first="rtdsrv.8a92272bbb794b2789e42afd4cc513d6">
      <tp t="s">
        <v>日本酸素ＨＬＤＧＳ</v>
        <stp/>
        <stp>Market</stp>
        <stp>STOCK</stp>
        <stp>40910.T</stp>
        <stp>銘柄名称</stp>
        <tr r="C157" s="2"/>
      </tp>
      <tp t="s">
        <v>ニチモウ</v>
        <stp/>
        <stp>Market</stp>
        <stp>STOCK</stp>
        <stp>80910.T</stp>
        <stp>銘柄名称</stp>
        <tr r="C182" s="2"/>
      </tp>
      <tp t="s">
        <v>リクルートホールディングス</v>
        <stp/>
        <stp>Market</stp>
        <stp>STOCK</stp>
        <stp>60980.T</stp>
        <stp>銘柄名称</stp>
        <tr r="C248" s="2"/>
      </tp>
      <tp t="s">
        <v>アーキテクツＳＪ</v>
        <stp/>
        <stp>Market</stp>
        <stp>STOCK</stp>
        <stp>60850.T</stp>
        <stp>銘柄名称</stp>
        <tr r="C137" s="2"/>
      </tp>
      <tp t="s">
        <v>第一稀元素化学工</v>
        <stp/>
        <stp>Market</stp>
        <stp>STOCK</stp>
        <stp>40820.T</stp>
        <stp>銘柄名称</stp>
        <tr r="C129" s="2"/>
      </tp>
      <tp t="s">
        <v>エア・ウォーター</v>
        <stp/>
        <stp>Market</stp>
        <stp>STOCK</stp>
        <stp>40880.T</stp>
        <stp>銘柄名称</stp>
        <tr r="C156" s="2"/>
      </tp>
      <tp t="s">
        <v>東京エレクトロン</v>
        <stp/>
        <stp>Market</stp>
        <stp>STOCK</stp>
        <stp>80350.T</stp>
        <stp>銘柄名称</stp>
        <tr r="C198" s="2"/>
      </tp>
      <tp t="s">
        <v>弁護士ドットコム</v>
        <stp/>
        <stp>Market</stp>
        <stp>STOCK</stp>
        <stp>60270.T</stp>
        <stp>銘柄名称</stp>
        <tr r="C72" s="2"/>
      </tp>
      <tp t="s">
        <v>ニッチツ</v>
        <stp/>
        <stp>Market</stp>
        <stp>STOCK</stp>
        <stp>70210.T</stp>
        <stp>銘柄名称</stp>
        <tr r="C106" s="2"/>
      </tp>
      <tp t="s">
        <v>コスモエネルギーＨＬＤＧＳ</v>
        <stp/>
        <stp>Market</stp>
        <stp>STOCK</stp>
        <stp>50210.T</stp>
        <stp>銘柄名称</stp>
        <tr r="C15" s="2"/>
      </tp>
      <tp t="s">
        <v>ＥＮＥＯＳホールディングス</v>
        <stp/>
        <stp>Market</stp>
        <stp>STOCK</stp>
        <stp>50200.T</stp>
        <stp>銘柄名称</stp>
        <tr r="C29" s="2"/>
      </tp>
      <tp t="s">
        <v>東日本旅客鉄道</v>
        <stp/>
        <stp>Market</stp>
        <stp>STOCK</stp>
        <stp>90200.T</stp>
        <stp>銘柄名称</stp>
        <tr r="C109" s="2"/>
      </tp>
      <tp t="s">
        <v>東海旅客鉄道</v>
        <stp/>
        <stp>Market</stp>
        <stp>STOCK</stp>
        <stp>90220.T</stp>
        <stp>銘柄名称</stp>
        <tr r="C184" s="2"/>
      </tp>
      <tp t="s">
        <v>豊田通商</v>
        <stp/>
        <stp>Market</stp>
        <stp>STOCK</stp>
        <stp>80150.T</stp>
        <stp>銘柄名称</stp>
        <tr r="C204" s="2"/>
      </tp>
      <tp t="s">
        <v>名村造船所</v>
        <stp/>
        <stp>Market</stp>
        <stp>STOCK</stp>
        <stp>70140.T</stp>
        <stp>銘柄名称</stp>
        <tr r="C256" s="2"/>
      </tp>
      <tp t="s">
        <v>三菱重工業</v>
        <stp/>
        <stp>Market</stp>
        <stp>STOCK</stp>
        <stp>70110.T</stp>
        <stp>銘柄名称</stp>
        <tr r="C207" s="2"/>
      </tp>
      <tp t="s">
        <v>ＩＨＩ</v>
        <stp/>
        <stp>Market</stp>
        <stp>STOCK</stp>
        <stp>70130.T</stp>
        <stp>銘柄名称</stp>
        <tr r="C231" s="2"/>
      </tp>
      <tp t="s">
        <v>出光興産</v>
        <stp/>
        <stp>Market</stp>
        <stp>STOCK</stp>
        <stp>50190.T</stp>
        <stp>銘柄名称</stp>
        <tr r="C24" s="2"/>
      </tp>
      <tp t="s">
        <v>スクロール</v>
        <stp/>
        <stp>Market</stp>
        <stp>STOCK</stp>
        <stp>80050.T</stp>
        <stp>銘柄名称</stp>
        <tr r="C236" s="2"/>
      </tp>
      <tp t="s">
        <v>レゾナック・ホールディング</v>
        <stp/>
        <stp>Market</stp>
        <stp>STOCK</stp>
        <stp>40040.T</stp>
        <stp>銘柄名称</stp>
        <tr r="C213" s="2"/>
      </tp>
      <tp t="s">
        <v>高島</v>
        <stp/>
        <stp>Market</stp>
        <stp>STOCK</stp>
        <stp>80070.T</stp>
        <stp>銘柄名称</stp>
        <tr r="C281" s="2"/>
      </tp>
      <tp t="s">
        <v>ヒューリック</v>
        <stp/>
        <stp>Market</stp>
        <stp>STOCK</stp>
        <stp>30030.T</stp>
        <stp>銘柄名称</stp>
        <tr r="C88" s="2"/>
      </tp>
      <tp t="s">
        <v>グンゼ</v>
        <stp/>
        <stp>Market</stp>
        <stp>STOCK</stp>
        <stp>30020.T</stp>
        <stp>銘柄名称</stp>
        <tr r="C277" s="2"/>
      </tp>
      <tp t="s">
        <v>丸紅</v>
        <stp/>
        <stp>Market</stp>
        <stp>STOCK</stp>
        <stp>80020.T</stp>
        <stp>銘柄名称</stp>
        <tr r="C14" s="2"/>
      </tp>
      <tp t="s">
        <v>住友精化</v>
        <stp/>
        <stp>Market</stp>
        <stp>STOCK</stp>
        <stp>40080.T</stp>
        <stp>銘柄名称</stp>
        <tr r="C95" s="2"/>
      </tp>
      <tp t="s">
        <v>ＭＩＣ</v>
        <stp/>
        <stp>Market</stp>
        <stp>STOCK</stp>
        <stp>300A0.T</stp>
        <stp>銘柄名称</stp>
        <tr r="C252" s="2"/>
      </tp>
      <tp t="s">
        <v>ヤマトホールディングス</v>
        <stp/>
        <stp>Market</stp>
        <stp>STOCK</stp>
        <stp>90640.T</stp>
        <stp>銘柄名称</stp>
        <tr r="C189" s="2"/>
      </tp>
      <tp t="s">
        <v>信越化学</v>
        <stp/>
        <stp>Market</stp>
        <stp>STOCK</stp>
        <stp>40630.T</stp>
        <stp>銘柄名称</stp>
        <tr r="C66" s="2"/>
      </tp>
      <tp t="s">
        <v>イビデン</v>
        <stp/>
        <stp>Market</stp>
        <stp>STOCK</stp>
        <stp>40620.T</stp>
        <stp>銘柄名称</stp>
        <tr r="C96" s="2"/>
      </tp>
      <tp t="s">
        <v>センコーグループＨＬＤＧＳ</v>
        <stp/>
        <stp>Market</stp>
        <stp>STOCK</stp>
        <stp>90690.T</stp>
        <stp>銘柄名称</stp>
        <tr r="C110" s="2"/>
      </tp>
      <tp t="s">
        <v>ジャパンマテリアル</v>
        <stp/>
        <stp>Market</stp>
        <stp>STOCK</stp>
        <stp>60550.T</stp>
        <stp>銘柄名称</stp>
        <tr r="C224" s="2"/>
      </tp>
      <tp t="s">
        <v>住友商事</v>
        <stp/>
        <stp>Market</stp>
        <stp>STOCK</stp>
        <stp>80530.T</stp>
        <stp>銘柄名称</stp>
        <tr r="C25" s="2"/>
      </tp>
      <tp t="s">
        <v>三菱商事</v>
        <stp/>
        <stp>Market</stp>
        <stp>STOCK</stp>
        <stp>80580.T</stp>
        <stp>銘柄名称</stp>
        <tr r="C16" s="2"/>
      </tp>
      <tp t="s">
        <v>東亞合成</v>
        <stp/>
        <stp>Market</stp>
        <stp>STOCK</stp>
        <stp>40450.T</stp>
        <stp>銘柄名称</stp>
        <tr r="C61" s="2"/>
      </tp>
      <tp t="s">
        <v>関東電化</v>
        <stp/>
        <stp>Market</stp>
        <stp>STOCK</stp>
        <stp>40470.T</stp>
        <stp>銘柄名称</stp>
        <tr r="C289" s="2"/>
      </tp>
      <tp t="s">
        <v>ベルトラ</v>
        <stp/>
        <stp>Market</stp>
        <stp>STOCK</stp>
        <stp>70480.T</stp>
        <stp>銘柄名称</stp>
        <tr r="C296" s="2"/>
      </tp>
      <tp>
        <v>5446</v>
        <stp/>
        <stp>Market</stp>
        <stp>STOCK</stp>
        <stp>95320.T</stp>
        <stp>現在値</stp>
        <tr r="C127" s="8"/>
        <tr r="E79" s="4"/>
        <tr r="E79" s="24"/>
      </tp>
      <tp>
        <v>6151</v>
        <stp/>
        <stp>Market</stp>
        <stp>STOCK</stp>
        <stp>95310.T</stp>
        <stp>現在値</stp>
        <tr r="C115" s="8"/>
        <tr r="E203" s="4"/>
        <tr r="E203" s="24"/>
      </tp>
      <tp>
        <v>2240</v>
        <stp/>
        <stp>Market</stp>
        <stp>STOCK</stp>
        <stp>95360.T</stp>
        <stp>現在値</stp>
        <tr r="C185" s="8"/>
        <tr r="E160" s="4"/>
        <tr r="E160" s="24"/>
      </tp>
      <tp>
        <v>883</v>
        <stp/>
        <stp>Market</stp>
        <stp>STOCK</stp>
        <stp>95190.T</stp>
        <stp>現在値</stp>
        <tr r="C214" s="8"/>
      </tp>
      <tp>
        <v>508.1</v>
        <stp/>
        <stp>Market</stp>
        <stp>STOCK</stp>
        <stp>95010.T</stp>
        <stp>現在値</stp>
        <tr r="E105" s="4"/>
        <tr r="C114" s="8"/>
        <tr r="E105" s="24"/>
      </tp>
      <tp>
        <v>1046</v>
        <stp/>
        <stp>Market</stp>
        <stp>STOCK</stp>
        <stp>95060.T</stp>
        <stp>現在値</stp>
        <tr r="C186" s="8"/>
        <tr r="E193" s="4"/>
        <tr r="E193" s="24"/>
      </tp>
      <tp>
        <v>850</v>
        <stp/>
        <stp>Market</stp>
        <stp>STOCK</stp>
        <stp>95050.T</stp>
        <stp>現在値</stp>
        <tr r="C181" s="8"/>
        <tr r="E157" s="4"/>
        <tr r="E157" s="24"/>
      </tp>
      <tp>
        <v>3410</v>
        <stp/>
        <stp>Market</stp>
        <stp>STOCK</stp>
        <stp>95510.T</stp>
        <stp>現在値</stp>
        <tr r="E134" s="4"/>
        <tr r="C167" s="8"/>
        <tr r="E134" s="24"/>
      </tp>
      <tp>
        <v>115</v>
        <stp/>
        <stp>Market</stp>
        <stp>STOCK</stp>
        <stp>94240.T</stp>
        <stp>現在値</stp>
        <tr r="E15" s="4"/>
        <tr r="C70" s="8"/>
        <tr r="E15" s="24"/>
      </tp>
      <tp>
        <v>3355</v>
        <stp/>
        <stp>Market</stp>
        <stp>STOCK</stp>
        <stp>94120.T</stp>
        <stp>現在値</stp>
        <tr r="E22" s="4"/>
        <tr r="C56" s="8"/>
        <tr r="E22" s="24"/>
      </tp>
      <tp>
        <v>1015</v>
        <stp/>
        <stp>Market</stp>
        <stp>STOCK</stp>
        <stp>94160.T</stp>
        <stp>現在値</stp>
        <tr r="C126" s="8"/>
        <tr r="E107" s="4"/>
        <tr r="E107" s="24"/>
      </tp>
      <tp>
        <v>2834</v>
        <stp/>
        <stp>Market</stp>
        <stp>STOCK</stp>
        <stp>94040.T</stp>
        <stp>現在値</stp>
        <tr r="C119" s="8"/>
        <tr r="E78" s="4"/>
        <tr r="E78" s="24"/>
      </tp>
      <tp>
        <v>3098</v>
        <stp/>
        <stp>Market</stp>
        <stp>STOCK</stp>
        <stp>94490.T</stp>
        <stp>現在値</stp>
        <tr r="C113" s="8"/>
        <tr r="E77" s="4"/>
        <tr r="E77" s="24"/>
      </tp>
      <tp>
        <v>2201</v>
        <stp/>
        <stp>Market</stp>
        <stp>STOCK</stp>
        <stp>97330.T</stp>
        <stp>現在値</stp>
        <tr r="C166" s="8"/>
        <tr r="E153" s="4"/>
        <tr r="E153" s="24"/>
      </tp>
      <tp>
        <v>4345</v>
        <stp/>
        <stp>Market</stp>
        <stp>STOCK</stp>
        <stp>96870.T</stp>
        <stp>現在値</stp>
        <tr r="E44" s="4"/>
        <tr r="C162" s="8"/>
        <tr r="E44" s="24"/>
      </tp>
      <tp>
        <v>805</v>
        <stp/>
        <stp>Market</stp>
        <stp>STOCK</stp>
        <stp>91150.T</stp>
        <stp>現在値</stp>
        <tr r="C270" s="8"/>
      </tp>
      <tp>
        <v>5348</v>
        <stp/>
        <stp>Market</stp>
        <stp>STOCK</stp>
        <stp>91010.T</stp>
        <stp>現在値</stp>
        <tr r="E164" s="4"/>
        <tr r="C206" s="8"/>
        <tr r="E164" s="24"/>
      </tp>
      <tp>
        <v>5438</v>
        <stp/>
        <stp>Market</stp>
        <stp>STOCK</stp>
        <stp>91040.T</stp>
        <stp>現在値</stp>
        <tr r="C259" s="8"/>
      </tp>
      <tp>
        <v>1691</v>
        <stp/>
        <stp>Market</stp>
        <stp>STOCK</stp>
        <stp>91650.T</stp>
        <stp>現在値</stp>
        <tr r="C243" s="8"/>
      </tp>
      <tp>
        <v>3297</v>
        <stp/>
        <stp>Market</stp>
        <stp>STOCK</stp>
        <stp>90220.T</stp>
        <stp>現在値</stp>
        <tr r="C184" s="8"/>
        <tr r="E159" s="4"/>
        <tr r="E159" s="24"/>
      </tp>
      <tp>
        <v>3345</v>
        <stp/>
        <stp>Market</stp>
        <stp>STOCK</stp>
        <stp>90200.T</stp>
        <stp>現在値</stp>
        <tr r="E104" s="4"/>
        <tr r="C109" s="8"/>
        <tr r="E104" s="24"/>
      </tp>
      <tp>
        <v>1769.5</v>
        <stp/>
        <stp>Market</stp>
        <stp>STOCK</stp>
        <stp>90640.T</stp>
        <stp>現在値</stp>
        <tr r="E163" s="4"/>
        <tr r="C189" s="8"/>
        <tr r="E163" s="24"/>
      </tp>
      <tp>
        <v>1907.5</v>
        <stp/>
        <stp>Market</stp>
        <stp>STOCK</stp>
        <stp>90690.T</stp>
        <stp>現在値</stp>
        <tr r="E60" s="4"/>
        <tr r="C110" s="8"/>
        <tr r="E60" s="24"/>
      </tp>
      <tp>
        <v>473</v>
        <stp/>
        <stp>Market</stp>
        <stp>STOCK</stp>
        <stp>93480.T</stp>
        <stp>現在値</stp>
        <tr r="C112" s="8"/>
        <tr r="E8" s="4"/>
        <tr r="E8" s="24"/>
      </tp>
      <tp>
        <v>881</v>
        <stp/>
        <stp>Market</stp>
        <stp>STOCK</stp>
        <stp>92270.T</stp>
        <stp>現在値</stp>
        <tr r="E146" s="4"/>
        <tr r="C111" s="8"/>
        <tr r="E146" s="24"/>
      </tp>
      <tp>
        <v>3033</v>
        <stp/>
        <stp>Market</stp>
        <stp>STOCK</stp>
        <stp>92020.T</stp>
        <stp>現在値</stp>
        <tr r="C74" s="8"/>
        <tr r="E99" s="4"/>
        <tr r="E99" s="24"/>
      </tp>
      <tp>
        <v>6880</v>
        <stp/>
        <stp>Market</stp>
        <stp>STOCK</stp>
        <stp>99840.T</stp>
        <stp>現在値</stp>
        <tr r="C65" s="8"/>
        <tr r="E53" s="4"/>
        <tr r="E53" s="24"/>
      </tp>
      <tp>
        <v>3859</v>
        <stp/>
        <stp>Market</stp>
        <stp>STOCK</stp>
        <stp>99620.T</stp>
        <stp>現在値</stp>
        <tr r="C233" s="8"/>
      </tp>
      <tp>
        <v>1736</v>
        <stp/>
        <stp>Market</stp>
        <stp>STOCK</stp>
        <stp>98820.T</stp>
        <stp>現在値</stp>
        <tr r="E128" s="4"/>
        <tr r="C116" s="8"/>
        <tr r="E128" s="24"/>
      </tp>
      <tp>
        <v>4115</v>
        <stp/>
        <stp>Market</stp>
        <stp>STOCK</stp>
        <stp>98800.T</stp>
        <stp>現在値</stp>
        <tr r="C257" s="8"/>
      </tp>
      <tp t="s">
        <v>トリドールホールディングス</v>
        <stp/>
        <stp>Market</stp>
        <stp>STOCK</stp>
        <stp>33970.T</stp>
        <stp>銘柄名称</stp>
        <tr r="C285" s="2"/>
      </tp>
      <tp t="s">
        <v>ＦＩＧ</v>
        <stp/>
        <stp>Market</stp>
        <stp>STOCK</stp>
        <stp>43920.T</stp>
        <stp>銘柄名称</stp>
        <tr r="C235" s="2"/>
      </tp>
      <tp t="s">
        <v>サムコ</v>
        <stp/>
        <stp>Market</stp>
        <stp>STOCK</stp>
        <stp>63870.T</stp>
        <stp>銘柄名称</stp>
        <tr r="C147" s="2"/>
      </tp>
      <tp t="s">
        <v>ＣＣＩグループ</v>
        <stp/>
        <stp>Market</stp>
        <stp>STOCK</stp>
        <stp>73810.T</stp>
        <stp>銘柄名称</stp>
        <tr r="C152" s="2"/>
      </tp>
      <tp t="s">
        <v>ＨＥＲＯＺ</v>
        <stp/>
        <stp>Market</stp>
        <stp>STOCK</stp>
        <stp>43820.T</stp>
        <stp>銘柄名称</stp>
        <tr r="C173" s="2"/>
      </tp>
      <tp t="s">
        <v>群馬銀行</v>
        <stp/>
        <stp>Market</stp>
        <stp>STOCK</stp>
        <stp>83340.T</stp>
        <stp>銘柄名称</stp>
        <tr r="C122" s="2"/>
      </tp>
      <tp t="s">
        <v>三菱化工機</v>
        <stp/>
        <stp>Market</stp>
        <stp>STOCK</stp>
        <stp>63310.T</stp>
        <stp>銘柄名称</stp>
        <tr r="C301" s="2"/>
      </tp>
      <tp t="s">
        <v>東洋エンジニア</v>
        <stp/>
        <stp>Market</stp>
        <stp>STOCK</stp>
        <stp>63300.T</stp>
        <stp>銘柄名称</stp>
        <tr r="C128" s="2"/>
      </tp>
      <tp t="s">
        <v>ＮＧＫ</v>
        <stp/>
        <stp>Market</stp>
        <stp>STOCK</stp>
        <stp>53330.T</stp>
        <stp>銘柄名称</stp>
        <tr r="C17" s="2"/>
      </tp>
      <tp t="s">
        <v>ＴＯＴＯ</v>
        <stp/>
        <stp>Market</stp>
        <stp>STOCK</stp>
        <stp>53320.T</stp>
        <stp>銘柄名称</stp>
        <tr r="C21" s="2"/>
      </tp>
      <tp t="s">
        <v>ハーモニック・ドライブ・シス</v>
        <stp/>
        <stp>Market</stp>
        <stp>STOCK</stp>
        <stp>63240.T</stp>
        <stp>銘柄名称</stp>
        <tr r="C210" s="2"/>
      </tp>
      <tp t="s">
        <v>日鉄ソリューションズ</v>
        <stp/>
        <stp>Market</stp>
        <stp>STOCK</stp>
        <stp>23270.T</stp>
        <stp>銘柄名称</stp>
        <tr r="C174" s="2"/>
      </tp>
      <tp t="s">
        <v>北川精機</v>
        <stp/>
        <stp>Market</stp>
        <stp>STOCK</stp>
        <stp>63270.T</stp>
        <stp>銘柄名称</stp>
        <tr r="C133" s="2"/>
      </tp>
      <tp t="s">
        <v>デジタルアーツ</v>
        <stp/>
        <stp>Market</stp>
        <stp>STOCK</stp>
        <stp>23260.T</stp>
        <stp>銘柄名称</stp>
        <tr r="C237" s="2"/>
      </tp>
      <tp t="s">
        <v>ローツェ</v>
        <stp/>
        <stp>Market</stp>
        <stp>STOCK</stp>
        <stp>63230.T</stp>
        <stp>銘柄名称</stp>
        <tr r="C90" s="2"/>
      </tp>
      <tp t="s">
        <v>三井住友フィナンシャルＧ</v>
        <stp/>
        <stp>Market</stp>
        <stp>STOCK</stp>
        <stp>83160.T</stp>
        <stp>銘柄名称</stp>
        <tr r="C50" s="2"/>
      </tp>
      <tp t="s">
        <v>日立建機</v>
        <stp/>
        <stp>Market</stp>
        <stp>STOCK</stp>
        <stp>63050.T</stp>
        <stp>銘柄名称</stp>
        <tr r="C203" s="2"/>
      </tp>
      <tp t="s">
        <v>野村総合研究所</v>
        <stp/>
        <stp>Market</stp>
        <stp>STOCK</stp>
        <stp>43070.T</stp>
        <stp>銘柄名称</stp>
        <tr r="C150" s="2"/>
      </tp>
      <tp t="s">
        <v>三菱ＵＦＪフィナンシャルＧ</v>
        <stp/>
        <stp>Market</stp>
        <stp>STOCK</stp>
        <stp>83060.T</stp>
        <stp>銘柄名称</stp>
        <tr r="C45" s="2"/>
      </tp>
      <tp t="s">
        <v>ＳＢＩ新生銀行</v>
        <stp/>
        <stp>Market</stp>
        <stp>STOCK</stp>
        <stp>83030.T</stp>
        <stp>銘柄名称</stp>
        <tr r="C172" s="2"/>
      </tp>
      <tp t="s">
        <v>三井住友トラストグルー</v>
        <stp/>
        <stp>Market</stp>
        <stp>STOCK</stp>
        <stp>83090.T</stp>
        <stp>銘柄名称</stp>
        <tr r="C31" s="2"/>
      </tp>
      <tp t="s">
        <v>りそなホールディングス</v>
        <stp/>
        <stp>Market</stp>
        <stp>STOCK</stp>
        <stp>83080.T</stp>
        <stp>銘柄名称</stp>
        <tr r="C35" s="2"/>
      </tp>
      <tp t="s">
        <v>リファインバースグループ</v>
        <stp/>
        <stp>Market</stp>
        <stp>STOCK</stp>
        <stp>73750.T</stp>
        <stp>銘柄名称</stp>
        <tr r="C149" s="2"/>
      </tp>
      <tp t="s">
        <v>日機装</v>
        <stp/>
        <stp>Market</stp>
        <stp>STOCK</stp>
        <stp>63760.T</stp>
        <stp>銘柄名称</stp>
        <tr r="C269" s="2"/>
      </tp>
      <tp t="s">
        <v>栗田工業</v>
        <stp/>
        <stp>Market</stp>
        <stp>STOCK</stp>
        <stp>63700.T</stp>
        <stp>銘柄名称</stp>
        <tr r="C255" s="2"/>
      </tp>
      <tp t="s">
        <v>シンプレクスＨＤ</v>
        <stp/>
        <stp>Market</stp>
        <stp>STOCK</stp>
        <stp>43730.T</stp>
        <stp>銘柄名称</stp>
        <tr r="C160" s="2"/>
      </tp>
      <tp t="s">
        <v>千代田化工建</v>
        <stp/>
        <stp>Market</stp>
        <stp>STOCK</stp>
        <stp>63660.T</stp>
        <stp>銘柄名称</stp>
        <tr r="C260" s="2"/>
      </tp>
      <tp t="s">
        <v>荏原製作所</v>
        <stp/>
        <stp>Market</stp>
        <stp>STOCK</stp>
        <stp>63610.T</stp>
        <stp>銘柄名称</stp>
        <tr r="C249" s="2"/>
      </tp>
      <tp t="s">
        <v>日本ギア工業</v>
        <stp/>
        <stp>Market</stp>
        <stp>STOCK</stp>
        <stp>63560.T</stp>
        <stp>銘柄名称</stp>
        <tr r="C267" s="2"/>
      </tp>
      <tp t="s">
        <v>コア</v>
        <stp/>
        <stp>Market</stp>
        <stp>STOCK</stp>
        <stp>23590.T</stp>
        <stp>銘柄名称</stp>
        <tr r="C168" s="2"/>
      </tp>
      <tp t="s">
        <v>八十二長野銀行</v>
        <stp/>
        <stp>Market</stp>
        <stp>STOCK</stp>
        <stp>83590.T</stp>
        <stp>銘柄名称</stp>
        <tr r="C123" s="2"/>
      </tp>
      <tp t="s">
        <v>山形銀行</v>
        <stp/>
        <stp>Market</stp>
        <stp>STOCK</stp>
        <stp>83440.T</stp>
        <stp>銘柄名称</stp>
        <tr r="C293" s="2"/>
      </tp>
      <tp t="s">
        <v>ｉｓｐａｃｅ</v>
        <stp/>
        <stp>Market</stp>
        <stp>STOCK</stp>
        <stp>93480.T</stp>
        <stp>銘柄名称</stp>
        <tr r="C112" s="2"/>
      </tp>
    </main>
    <main first="rtdsrv.8a92272bbb794b2789e42afd4cc513d6">
      <tp t="s">
        <v>ゼビオホールディングス</v>
        <stp/>
        <stp>Market</stp>
        <stp>STOCK</stp>
        <stp>82810.T</stp>
        <stp>銘柄名称</stp>
        <tr r="C63" s="2"/>
      </tp>
      <tp t="s">
        <v>ティラド</v>
        <stp/>
        <stp>Market</stp>
        <stp>STOCK</stp>
        <stp>72360.T</stp>
        <stp>銘柄名称</stp>
        <tr r="C177" s="2"/>
      </tp>
      <tp t="s">
        <v>太平洋セメント</v>
        <stp/>
        <stp>Market</stp>
        <stp>STOCK</stp>
        <stp>52330.T</stp>
        <stp>銘柄名称</stp>
        <tr r="C34" s="2"/>
      </tp>
      <tp t="s">
        <v>ＡＣＳＬ</v>
        <stp/>
        <stp>Market</stp>
        <stp>STOCK</stp>
        <stp>62320.T</stp>
        <stp>銘柄名称</stp>
        <tr r="C135" s="2"/>
      </tp>
      <tp t="s">
        <v>ＡＩメカテック</v>
        <stp/>
        <stp>Market</stp>
        <stp>STOCK</stp>
        <stp>62270.T</stp>
        <stp>銘柄名称</stp>
        <tr r="C132" s="2"/>
      </tp>
      <tp t="s">
        <v>マイクロ波化学</v>
        <stp/>
        <stp>Market</stp>
        <stp>STOCK</stp>
        <stp>92270.T</stp>
        <stp>銘柄名称</stp>
        <tr r="C111" s="2"/>
      </tp>
      <tp t="s">
        <v>児玉化学</v>
        <stp/>
        <stp>Market</stp>
        <stp>STOCK</stp>
        <stp>42220.T</stp>
        <stp>銘柄名称</stp>
        <tr r="C229" s="2"/>
      </tp>
      <tp t="s">
        <v>ニチバン</v>
        <stp/>
        <stp>Market</stp>
        <stp>STOCK</stp>
        <stp>42180.T</stp>
        <stp>銘柄名称</stp>
        <tr r="C282" s="2"/>
      </tp>
      <tp t="s">
        <v>ＡＧＣ</v>
        <stp/>
        <stp>Market</stp>
        <stp>STOCK</stp>
        <stp>52010.T</stp>
        <stp>銘柄名称</stp>
        <tr r="C53" s="2"/>
      </tp>
      <tp t="s">
        <v>豊和工業</v>
        <stp/>
        <stp>Market</stp>
        <stp>STOCK</stp>
        <stp>62030.T</stp>
        <stp>銘柄名称</stp>
        <tr r="C57" s="2"/>
      </tp>
      <tp t="s">
        <v>トヨタ自動車</v>
        <stp/>
        <stp>Market</stp>
        <stp>STOCK</stp>
        <stp>72030.T</stp>
        <stp>銘柄名称</stp>
        <tr r="C77" s="2"/>
      </tp>
      <tp t="s">
        <v>ＡＮＡホールディングス</v>
        <stp/>
        <stp>Market</stp>
        <stp>STOCK</stp>
        <stp>92020.T</stp>
        <stp>銘柄名称</stp>
        <tr r="C74" s="2"/>
      </tp>
      <tp t="s">
        <v>ＵＢＥ</v>
        <stp/>
        <stp>Market</stp>
        <stp>STOCK</stp>
        <stp>42080.T</stp>
        <stp>銘柄名称</stp>
        <tr r="C298" s="2"/>
      </tp>
      <tp t="s">
        <v>ＳＵＢＡＲＵ</v>
        <stp/>
        <stp>Market</stp>
        <stp>STOCK</stp>
        <stp>72700.T</stp>
        <stp>銘柄名称</stp>
        <tr r="C286" s="2"/>
      </tp>
      <tp t="s">
        <v>ＳＭＣ</v>
        <stp/>
        <stp>Market</stp>
        <stp>STOCK</stp>
        <stp>62730.T</stp>
        <stp>銘柄名称</stp>
        <tr r="C211" s="2"/>
      </tp>
      <tp t="s">
        <v>ヤクルト</v>
        <stp/>
        <stp>Market</stp>
        <stp>STOCK</stp>
        <stp>22670.T</stp>
        <stp>銘柄名称</stp>
        <tr r="C226" s="2"/>
      </tp>
      <tp t="s">
        <v>野村マイクロ・サイエンス</v>
        <stp/>
        <stp>Market</stp>
        <stp>STOCK</stp>
        <stp>62540.T</stp>
        <stp>銘柄名称</stp>
        <tr r="C30" s="2"/>
      </tp>
      <tp t="s">
        <v>カバー</v>
        <stp/>
        <stp>Market</stp>
        <stp>STOCK</stp>
        <stp>52530.T</stp>
        <stp>銘柄名称</stp>
        <tr r="C258" s="2"/>
      </tp>
      <tp t="s">
        <v>ＮＯＴＥ</v>
        <stp/>
        <stp>Market</stp>
        <stp>STOCK</stp>
        <stp>52430.T</stp>
        <stp>銘柄名称</stp>
        <tr r="C193" s="2"/>
      </tp>
    </main>
    <main first="rtdsrv.8a92272bbb794b2789e42afd4cc513d6">
      <tp t="s">
        <v/>
        <stp/>
        <stp>Market</stp>
        <stp>STOCK</stp>
        <stp/>
        <stp>市場部名称</stp>
        <tr r="C5" s="21"/>
      </tp>
    </main>
    <main first="rtdsrv.8a92272bbb794b2789e42afd4cc513d6">
      <tp t="s">
        <v/>
        <stp/>
        <stp>Market</stp>
        <stp>STOCK</stp>
        <stp>TOPX0.T</stp>
        <stp>現在値</stp>
        <tr r="E36" s="4"/>
        <tr r="E36" s="24"/>
      </tp>
    </main>
    <main first="rtdsrv.8a92272bbb794b2789e42afd4cc513d6">
      <tp t="s">
        <v/>
        <stp/>
        <stp>Market</stp>
        <stp>STOCK</stp>
        <stp>TOPX0.T</stp>
        <stp>年初来高値</stp>
        <tr r="K36" s="4"/>
        <tr r="K36" s="24"/>
      </tp>
    </main>
    <main first="rtdsrv.8a92272bbb794b2789e42afd4cc513d6">
      <tp>
        <v>3779</v>
        <stp/>
        <stp>Market</stp>
        <stp>STOCK</stp>
        <stp>59290.T</stp>
        <stp>高値</stp>
        <tr r="H69" s="4"/>
        <tr r="C49" s="6"/>
        <tr r="H69" s="24"/>
      </tp>
      <tp>
        <v>1293</v>
        <stp/>
        <stp>Market</stp>
        <stp>STOCK</stp>
        <stp>50190.T</stp>
        <stp>高値</stp>
        <tr r="C24" s="6"/>
        <tr r="H140" s="4"/>
        <tr r="H140" s="24"/>
      </tp>
      <tp>
        <v>2401</v>
        <stp/>
        <stp>Market</stp>
        <stp>STOCK</stp>
        <stp>54490.T</stp>
        <stp>高値</stp>
        <tr r="C51" s="6"/>
        <tr r="H97" s="4"/>
        <tr r="H97" s="24"/>
      </tp>
    </main>
    <main first="rtdsrv.8a92272bbb794b2789e42afd4cc513d6">
      <tp>
        <v>7689</v>
        <stp/>
        <stp>Market</stp>
        <stp>STOCK</stp>
        <stp>45190.T</stp>
        <stp>高値</stp>
        <tr r="C130" s="6"/>
        <tr r="H205" s="4"/>
        <tr r="H205" s="24"/>
      </tp>
      <tp>
        <v>1134</v>
        <stp/>
        <stp>Market</stp>
        <stp>STOCK</stp>
        <stp>47090.T</stp>
        <stp>高値</stp>
        <tr r="C170" s="6"/>
        <tr r="H115" s="4"/>
        <tr r="H115" s="24"/>
      </tp>
    </main>
    <main first="rtdsrv.8a92272bbb794b2789e42afd4cc513d6">
      <tp>
        <v>19530</v>
        <stp/>
        <stp>Market</stp>
        <stp>STOCK</stp>
        <stp>77290.T</stp>
        <stp>高値</stp>
        <tr r="C107" s="6"/>
        <tr r="H18" s="4"/>
        <tr r="H18" s="24"/>
      </tp>
      <tp>
        <v>3650</v>
        <stp/>
        <stp>Market</stp>
        <stp>STOCK</stp>
        <stp>76090.T</stp>
        <stp>高値</stp>
        <tr r="C240" s="6"/>
      </tp>
    </main>
    <main first="rtdsrv.8a92272bbb794b2789e42afd4cc513d6">
      <tp>
        <v>1583</v>
        <stp/>
        <stp>Market</stp>
        <stp>STOCK</stp>
        <stp>68090.T</stp>
        <stp>高値</stp>
        <tr r="C238" s="6"/>
      </tp>
      <tp>
        <v>4720</v>
        <stp/>
        <stp>Market</stp>
        <stp>STOCK</stp>
        <stp>64790.T</stp>
        <stp>高値</stp>
        <tr r="H24" s="4"/>
        <tr r="C79" s="6"/>
        <tr r="H24" s="24"/>
      </tp>
    </main>
    <main first="rtdsrv.8a92272bbb794b2789e42afd4cc513d6">
      <tp>
        <v>2030</v>
        <stp/>
        <stp>Market</stp>
        <stp>STOCK</stp>
        <stp>23590.T</stp>
        <stp>高値</stp>
        <tr r="C168" s="6"/>
        <tr r="H135" s="4"/>
        <tr r="H135" s="24"/>
      </tp>
      <tp>
        <v>1952.5</v>
        <stp/>
        <stp>Market</stp>
        <stp>STOCK</stp>
        <stp>90690.T</stp>
        <stp>高値</stp>
        <tr r="H60" s="4"/>
        <tr r="C110" s="6"/>
        <tr r="H60" s="24"/>
      </tp>
      <tp>
        <v>893</v>
        <stp/>
        <stp>Market</stp>
        <stp>STOCK</stp>
        <stp>95190.T</stp>
        <stp>高値</stp>
        <tr r="C214" s="6"/>
      </tp>
      <tp>
        <v>3128</v>
        <stp/>
        <stp>Market</stp>
        <stp>STOCK</stp>
        <stp>94490.T</stp>
        <stp>高値</stp>
        <tr r="H77" s="4"/>
        <tr r="C113" s="6"/>
        <tr r="H77" s="24"/>
      </tp>
    </main>
    <main first="rtdsrv.8a92272bbb794b2789e42afd4cc513d6">
      <tp>
        <v>2397</v>
        <stp/>
        <stp>Market</stp>
        <stp>STOCK</stp>
        <stp>83590.T</stp>
        <stp>高値</stp>
        <tr r="H26" s="4"/>
        <tr r="C123" s="6"/>
        <tr r="H26" s="24"/>
      </tp>
      <tp>
        <v>6081</v>
        <stp/>
        <stp>Market</stp>
        <stp>STOCK</stp>
        <stp>83090.T</stp>
        <stp>高値</stp>
        <tr r="C31" s="6"/>
        <tr r="H68" s="4"/>
        <tr r="H68" s="24"/>
      </tp>
    </main>
    <main first="rtdsrv.8a92272bbb794b2789e42afd4cc513d6">
      <tp>
        <v>4013.23</v>
        <stp/>
        <stp>Market</stp>
        <stp>INDEX</stp>
        <stp>TOPX</stp>
        <stp>現在値</stp>
        <tr r="C5" s="2"/>
        <tr r="C5" s="8"/>
      </tp>
    </main>
    <main first="rtdsrv.8a92272bbb794b2789e42afd4cc513d6">
      <tp>
        <v>1743.5</v>
        <stp/>
        <stp>Market</stp>
        <stp>STOCK</stp>
        <stp>59380.T</stp>
        <stp>高値</stp>
        <tr r="C36" s="6"/>
        <tr r="H93" s="4"/>
        <tr r="H93" s="24"/>
      </tp>
      <tp>
        <v>5311</v>
        <stp/>
        <stp>Market</stp>
        <stp>STOCK</stp>
        <stp>58380.T</stp>
        <stp>高値</stp>
        <tr r="C117" s="6"/>
        <tr r="H147" s="4"/>
        <tr r="H147" s="24"/>
      </tp>
    </main>
    <main first="rtdsrv.8a92272bbb794b2789e42afd4cc513d6">
      <tp>
        <v>361</v>
        <stp/>
        <stp>Market</stp>
        <stp>STOCK</stp>
        <stp>48880.T</stp>
        <stp>高値</stp>
        <tr r="H131" s="4"/>
        <tr r="C146" s="6"/>
        <tr r="H131" s="24"/>
      </tp>
      <tp>
        <v>1140</v>
        <stp/>
        <stp>Market</stp>
        <stp>STOCK</stp>
        <stp>41880.T</stp>
        <stp>高値</stp>
        <tr r="H145" s="4"/>
        <tr r="C98" s="6"/>
        <tr r="H145" s="24"/>
      </tp>
      <tp>
        <v>2530</v>
        <stp/>
        <stp>Market</stp>
        <stp>STOCK</stp>
        <stp>40880.T</stp>
        <stp>高値</stp>
        <tr r="H132" s="4"/>
        <tr r="C156" s="6"/>
        <tr r="H132" s="24"/>
      </tp>
      <tp>
        <v>1335</v>
        <stp/>
        <stp>Market</stp>
        <stp>STOCK</stp>
        <stp>40080.T</stp>
        <stp>高値</stp>
        <tr r="H127" s="4"/>
        <tr r="C95" s="6"/>
        <tr r="H127" s="24"/>
      </tp>
      <tp>
        <v>1855</v>
        <stp/>
        <stp>Market</stp>
        <stp>STOCK</stp>
        <stp>42180.T</stp>
        <stp>高値</stp>
        <tr r="C282" s="6"/>
      </tp>
      <tp>
        <v>3200</v>
        <stp/>
        <stp>Market</stp>
        <stp>STOCK</stp>
        <stp>42080.T</stp>
        <stp>高値</stp>
        <tr r="C298" s="6"/>
      </tp>
      <tp>
        <v>2632</v>
        <stp/>
        <stp>Market</stp>
        <stp>STOCK</stp>
        <stp>45680.T</stp>
        <stp>高値</stp>
        <tr r="H110" s="4"/>
        <tr r="C142" s="6"/>
        <tr r="H110" s="24"/>
      </tp>
      <tp>
        <v>2277</v>
        <stp/>
        <stp>Market</stp>
        <stp>STOCK</stp>
        <stp>45280.T</stp>
        <stp>高値</stp>
        <tr r="C100" s="6"/>
        <tr r="H17" s="4"/>
        <tr r="H17" s="24"/>
      </tp>
    </main>
    <main first="rtdsrv.8a92272bbb794b2789e42afd4cc513d6">
      <tp>
        <v>133</v>
        <stp/>
        <stp>Market</stp>
        <stp>STOCK</stp>
        <stp>70480.T</stp>
        <stp>高値</stp>
        <tr r="C296" s="6"/>
      </tp>
    </main>
    <main first="rtdsrv.8a92272bbb794b2789e42afd4cc513d6">
      <tp>
        <v>3400</v>
        <stp/>
        <stp>Market</stp>
        <stp>STOCK</stp>
        <stp>69280.T</stp>
        <stp>高値</stp>
        <tr r="C246" s="6"/>
      </tp>
      <tp>
        <v>3345</v>
        <stp/>
        <stp>Market</stp>
        <stp>STOCK</stp>
        <stp>69180.T</stp>
        <stp>高値</stp>
        <tr r="C279" s="6"/>
      </tp>
      <tp>
        <v>871</v>
        <stp/>
        <stp>Market</stp>
        <stp>STOCK</stp>
        <stp>68480.T</stp>
        <stp>高値</stp>
        <tr r="C274" s="6"/>
      </tp>
      <tp>
        <v>2490</v>
        <stp/>
        <stp>Market</stp>
        <stp>STOCK</stp>
        <stp>68380.T</stp>
        <stp>高値</stp>
        <tr r="C148" s="6"/>
        <tr r="H6" s="4"/>
        <tr r="H6" s="24"/>
      </tp>
      <tp>
        <v>2279.5</v>
        <stp/>
        <stp>Market</stp>
        <stp>STOCK</stp>
        <stp>61780.T</stp>
        <stp>高値</stp>
        <tr r="C104" s="6"/>
        <tr r="H59" s="4"/>
        <tr r="H59" s="24"/>
      </tp>
      <tp>
        <v>10800</v>
        <stp/>
        <stp>Market</stp>
        <stp>STOCK</stp>
        <stp>60980.T</stp>
        <stp>高値</stp>
        <tr r="C248" s="6"/>
      </tp>
      <tp>
        <v>930</v>
        <stp/>
        <stp>Market</stp>
        <stp>STOCK</stp>
        <stp>64880.T</stp>
        <stp>高値</stp>
        <tr r="C280" s="6"/>
      </tp>
      <tp>
        <v>3314</v>
        <stp/>
        <stp>Market</stp>
        <stp>STOCK</stp>
        <stp>67580.T</stp>
        <stp>高値</stp>
        <tr r="H86" s="4"/>
        <tr r="C205" s="6"/>
        <tr r="H86" s="24"/>
      </tp>
    </main>
    <main first="rtdsrv.8a92272bbb794b2789e42afd4cc513d6">
      <tp>
        <v>2841</v>
        <stp/>
        <stp>Market</stp>
        <stp>STOCK</stp>
        <stp>19380.T</stp>
        <stp>高値</stp>
        <tr r="C176" s="6"/>
        <tr r="H117" s="4"/>
        <tr r="H117" s="24"/>
      </tp>
      <tp>
        <v>2743</v>
        <stp/>
        <stp>Market</stp>
        <stp>STOCK</stp>
        <stp>18080.T</stp>
        <stp>高値</stp>
        <tr r="C297" s="6"/>
      </tp>
      <tp>
        <v>32690</v>
        <stp/>
        <stp>Market</stp>
        <stp>STOCK</stp>
        <stp>16180.T</stp>
        <stp>高値</stp>
        <tr r="C227" s="6"/>
      </tp>
    </main>
    <main first="rtdsrv.8a92272bbb794b2789e42afd4cc513d6">
      <tp>
        <v>5372</v>
        <stp/>
        <stp>Market</stp>
        <stp>STOCK</stp>
        <stp>27680.T</stp>
        <stp>高値</stp>
        <tr r="H206" s="4"/>
        <tr r="C202" s="6"/>
        <tr r="H206" s="24"/>
      </tp>
    </main>
    <main first="rtdsrv.8a92272bbb794b2789e42afd4cc513d6">
      <tp>
        <v>494</v>
        <stp/>
        <stp>Market</stp>
        <stp>STOCK</stp>
        <stp>93480.T</stp>
        <stp>高値</stp>
        <tr r="C112" s="6"/>
        <tr r="H8" s="4"/>
        <tr r="H8" s="24"/>
      </tp>
    </main>
    <main first="rtdsrv.8a92272bbb794b2789e42afd4cc513d6">
      <tp>
        <v>4672</v>
        <stp/>
        <stp>Market</stp>
        <stp>STOCK</stp>
        <stp>80580.T</stp>
        <stp>高値</stp>
        <tr r="H89" s="4"/>
        <tr r="C16" s="6"/>
        <tr r="H89" s="24"/>
      </tp>
      <tp>
        <v>2232.5</v>
        <stp/>
        <stp>Market</stp>
        <stp>STOCK</stp>
        <stp>83080.T</stp>
        <stp>高値</stp>
        <tr r="C35" s="6"/>
        <tr r="H92" s="4"/>
        <tr r="H92" s="24"/>
      </tp>
    </main>
    <main first="rtdsrv.8a92272bbb794b2789e42afd4cc513d6">
      <tp>
        <v>51999.67</v>
        <stp/>
        <stp>Market</stp>
        <stp>INDEX</stp>
        <stp>DJIA</stp>
        <stp>現在値</stp>
        <tr r="B3" s="27"/>
      </tp>
    </main>
    <main first="rtdsrv.8a92272bbb794b2789e42afd4cc513d6">
      <tp>
        <v>4763</v>
        <stp/>
        <stp>Market</stp>
        <stp>STOCK</stp>
        <stp>58030.T</stp>
        <stp>高値</stp>
        <tr r="C103" s="6"/>
        <tr r="H58" s="4"/>
        <tr r="H58" s="24"/>
      </tp>
      <tp>
        <v>6974</v>
        <stp/>
        <stp>Market</stp>
        <stp>STOCK</stp>
        <stp>53330.T</stp>
        <stp>高値</stp>
        <tr r="H37" s="4"/>
        <tr r="C17" s="6"/>
        <tr r="H37" s="24"/>
      </tp>
      <tp>
        <v>1458</v>
        <stp/>
        <stp>Market</stp>
        <stp>STOCK</stp>
        <stp>52530.T</stp>
        <stp>高値</stp>
        <tr r="C258" s="6"/>
      </tp>
      <tp>
        <v>1855</v>
        <stp/>
        <stp>Market</stp>
        <stp>STOCK</stp>
        <stp>52430.T</stp>
        <stp>高値</stp>
        <tr r="H138" s="4"/>
        <tr r="C193" s="6"/>
        <tr r="H138" s="24"/>
      </tp>
      <tp>
        <v>4447</v>
        <stp/>
        <stp>Market</stp>
        <stp>STOCK</stp>
        <stp>52330.T</stp>
        <stp>高値</stp>
        <tr r="H170" s="4"/>
        <tr r="C34" s="6"/>
        <tr r="H170" s="24"/>
      </tp>
      <tp>
        <v>1788</v>
        <stp/>
        <stp>Market</stp>
        <stp>STOCK</stp>
        <stp>54230.T</stp>
        <stp>高値</stp>
        <tr r="C7" s="6"/>
        <tr r="H165" s="4"/>
        <tr r="H165" s="24"/>
      </tp>
      <tp>
        <v>9255</v>
        <stp/>
        <stp>Market</stp>
        <stp>STOCK</stp>
        <stp>57130.T</stp>
        <stp>高値</stp>
        <tr r="H46" s="4"/>
        <tr r="C8" s="6"/>
        <tr r="H46" s="24"/>
      </tp>
      <tp>
        <v>3065</v>
        <stp/>
        <stp>Market</stp>
        <stp>STOCK</stp>
        <stp>57030.T</stp>
        <stp>高値</stp>
        <tr r="C13" s="6"/>
        <tr r="H48" s="4"/>
        <tr r="H48" s="24"/>
      </tp>
      <tp>
        <v>7595</v>
        <stp/>
        <stp>Market</stp>
        <stp>STOCK</stp>
        <stp>40630.T</stp>
        <stp>高値</stp>
        <tr r="H14" s="4"/>
        <tr r="C66" s="6"/>
        <tr r="H14" s="24"/>
      </tp>
      <tp>
        <v>974</v>
        <stp/>
        <stp>Market</stp>
        <stp>STOCK</stp>
        <stp>43730.T</stp>
        <stp>高値</stp>
        <tr r="C160" s="6"/>
        <tr r="H82" s="4"/>
        <tr r="H82" s="24"/>
      </tp>
      <tp>
        <v>3886</v>
        <stp/>
        <stp>Market</stp>
        <stp>STOCK</stp>
        <stp>45230.T</stp>
        <stp>高値</stp>
        <tr r="C99" s="6"/>
        <tr r="H184" s="4"/>
        <tr r="H184" s="24"/>
      </tp>
      <tp>
        <v>5939</v>
        <stp/>
        <stp>Market</stp>
        <stp>STOCK</stp>
        <stp>47330.T</stp>
        <stp>高値</stp>
        <tr r="C165" s="6"/>
        <tr r="H133" s="4"/>
        <tr r="H133" s="24"/>
      </tp>
      <tp>
        <v>2958.5</v>
        <stp/>
        <stp>Market</stp>
        <stp>STOCK</stp>
        <stp>70130.T</stp>
        <stp>高値</stp>
        <tr r="C231" s="6"/>
      </tp>
      <tp>
        <v>2863.5</v>
        <stp/>
        <stp>Market</stp>
        <stp>STOCK</stp>
        <stp>72030.T</stp>
        <stp>高値</stp>
        <tr r="H73" s="4"/>
        <tr r="C77" s="6"/>
        <tr r="H73" s="24"/>
      </tp>
      <tp>
        <v>4580</v>
        <stp/>
        <stp>Market</stp>
        <stp>STOCK</stp>
        <stp>63230.T</stp>
        <stp>高値</stp>
        <tr r="H41" s="4"/>
        <tr r="C90" s="6"/>
        <tr r="H41" s="24"/>
      </tp>
      <tp>
        <v>72760</v>
        <stp/>
        <stp>Market</stp>
        <stp>STOCK</stp>
        <stp>62730.T</stp>
        <stp>高値</stp>
        <tr r="C211" s="6"/>
      </tp>
      <tp>
        <v>1679</v>
        <stp/>
        <stp>Market</stp>
        <stp>STOCK</stp>
        <stp>62030.T</stp>
        <stp>高値</stp>
        <tr r="C57" s="6"/>
        <tr r="H50" s="4"/>
        <tr r="H50" s="24"/>
      </tp>
      <tp>
        <v>5925</v>
        <stp/>
        <stp>Market</stp>
        <stp>STOCK</stp>
        <stp>65030.T</stp>
        <stp>高値</stp>
        <tr r="H39" s="4"/>
        <tr r="C68" s="6"/>
        <tr r="H39" s="24"/>
      </tp>
      <tp>
        <v>601</v>
        <stp/>
        <stp>Market</stp>
        <stp>STOCK</stp>
        <stp>67530.T</stp>
        <stp>高値</stp>
        <tr r="C188" s="6"/>
        <tr r="H162" s="4"/>
        <tr r="H162" s="24"/>
      </tp>
      <tp>
        <v>2530</v>
        <stp/>
        <stp>Market</stp>
        <stp>STOCK</stp>
        <stp>66130.T</stp>
        <stp>高値</stp>
        <tr r="H3" s="4"/>
        <tr r="C141" s="6"/>
        <tr r="H3" s="24"/>
      </tp>
      <tp>
        <v>2806.5</v>
        <stp/>
        <stp>Market</stp>
        <stp>STOCK</stp>
        <stp>19630.T</stp>
        <stp>高値</stp>
        <tr r="H40" s="4"/>
        <tr r="C86" s="6"/>
        <tr r="H40" s="24"/>
      </tp>
      <tp>
        <v>5790</v>
        <stp/>
        <stp>Market</stp>
        <stp>STOCK</stp>
        <stp>18330.T</stp>
        <stp>高値</stp>
        <tr r="H180" s="4"/>
        <tr r="C80" s="6"/>
        <tr r="H180" s="24"/>
      </tp>
      <tp>
        <v>1259</v>
        <stp/>
        <stp>Market</stp>
        <stp>STOCK</stp>
        <stp>38630.T</stp>
        <stp>高値</stp>
        <tr r="H21" s="4"/>
        <tr r="C32" s="6"/>
        <tr r="H21" s="24"/>
      </tp>
      <tp>
        <v>1260</v>
        <stp/>
        <stp>Market</stp>
        <stp>STOCK</stp>
        <stp>31030.T</stp>
        <stp>高値</stp>
        <tr r="C138" s="6"/>
        <tr r="H81" s="4"/>
        <tr r="H81" s="24"/>
      </tp>
      <tp>
        <v>1733</v>
        <stp/>
        <stp>Market</stp>
        <stp>STOCK</stp>
        <stp>30030.T</stp>
        <stp>高値</stp>
        <tr r="C88" s="6"/>
        <tr r="H143" s="4"/>
        <tr r="H143" s="24"/>
      </tp>
      <tp>
        <v>10525</v>
        <stp/>
        <stp>Market</stp>
        <stp>STOCK</stp>
        <stp>35630.T</stp>
        <stp>高値</stp>
        <tr r="C230" s="6"/>
      </tp>
      <tp>
        <v>1057</v>
        <stp/>
        <stp>Market</stp>
        <stp>STOCK</stp>
        <stp>29330.T</stp>
        <stp>高値</stp>
        <tr r="C288" s="6"/>
      </tp>
      <tp>
        <v>2238</v>
        <stp/>
        <stp>Market</stp>
        <stp>STOCK</stp>
        <stp>97330.T</stp>
        <stp>高値</stp>
        <tr r="C166" s="6"/>
        <tr r="H153" s="4"/>
        <tr r="H153" s="24"/>
      </tp>
      <tp>
        <v>886</v>
        <stp/>
        <stp>Market</stp>
        <stp>STOCK</stp>
        <stp>81030.T</stp>
        <stp>高値</stp>
        <tr r="C169" s="6"/>
        <tr r="H136" s="4"/>
        <tr r="H136" s="24"/>
      </tp>
      <tp>
        <v>6645</v>
        <stp/>
        <stp>Market</stp>
        <stp>STOCK</stp>
        <stp>80530.T</stp>
        <stp>高値</stp>
        <tr r="C25" s="6"/>
        <tr r="H49" s="4"/>
        <tr r="H49" s="24"/>
      </tp>
      <tp>
        <v>1496</v>
        <stp/>
        <stp>Market</stp>
        <stp>STOCK</stp>
        <stp>83030.T</stp>
        <stp>高値</stp>
        <tr r="C172" s="6"/>
        <tr r="H191" s="4"/>
        <tr r="H191" s="24"/>
      </tp>
      <tp>
        <v>1338</v>
        <stp/>
        <stp>Market</stp>
        <stp>STOCK</stp>
        <stp>85930.T</stp>
        <stp>高値</stp>
        <tr r="C39" s="6"/>
        <tr r="H171" s="4"/>
        <tr r="H171" s="24"/>
      </tp>
      <tp>
        <v>4180</v>
        <stp/>
        <stp>Market</stp>
        <stp>STOCK</stp>
        <stp>87930.T</stp>
        <stp>高値</stp>
        <tr r="C232" s="6"/>
      </tp>
    </main>
    <main first="rtdsrv.8a92272bbb794b2789e42afd4cc513d6">
      <tp>
        <v>2214</v>
        <stp/>
        <stp>Market</stp>
        <stp>STOCK</stp>
        <stp>58920.T</stp>
        <stp>高値</stp>
        <tr r="H74" s="4"/>
        <tr r="C89" s="6"/>
        <tr r="H74" s="24"/>
      </tp>
      <tp>
        <v>12415</v>
        <stp/>
        <stp>Market</stp>
        <stp>STOCK</stp>
        <stp>58020.T</stp>
        <stp>高値</stp>
        <tr r="H57" s="4"/>
        <tr r="C102" s="6"/>
        <tr r="H57" s="24"/>
      </tp>
      <tp>
        <v>8297</v>
        <stp/>
        <stp>Market</stp>
        <stp>STOCK</stp>
        <stp>53320.T</stp>
        <stp>高値</stp>
        <tr r="C21" s="6"/>
        <tr r="H12" s="4"/>
        <tr r="H12" s="24"/>
      </tp>
      <tp>
        <v>1753</v>
        <stp/>
        <stp>Market</stp>
        <stp>STOCK</stp>
        <stp>57020.T</stp>
        <stp>高値</stp>
        <tr r="C275" s="6"/>
      </tp>
      <tp>
        <v>2185</v>
        <stp/>
        <stp>Market</stp>
        <stp>STOCK</stp>
        <stp>56320.T</stp>
        <stp>高値</stp>
        <tr r="C247" s="6"/>
      </tp>
      <tp>
        <v>5174</v>
        <stp/>
        <stp>Market</stp>
        <stp>STOCK</stp>
        <stp>41820.T</stp>
        <stp>高値</stp>
        <tr r="C97" s="6"/>
        <tr r="H75" s="4"/>
        <tr r="H75" s="24"/>
      </tp>
      <tp>
        <v>2130</v>
        <stp/>
        <stp>Market</stp>
        <stp>STOCK</stp>
        <stp>40820.T</stp>
        <stp>高値</stp>
        <tr r="H9" s="4"/>
        <tr r="C129" s="6"/>
        <tr r="H9" s="24"/>
      </tp>
      <tp>
        <v>24080</v>
        <stp/>
        <stp>Market</stp>
        <stp>STOCK</stp>
        <stp>40620.T</stp>
        <stp>高値</stp>
        <tr r="C96" s="6"/>
        <tr r="H56" s="4"/>
        <tr r="H56" s="24"/>
      </tp>
      <tp>
        <v>1295</v>
        <stp/>
        <stp>Market</stp>
        <stp>STOCK</stp>
        <stp>43920.T</stp>
        <stp>高値</stp>
        <tr r="C235" s="6"/>
      </tp>
      <tp>
        <v>800</v>
        <stp/>
        <stp>Market</stp>
        <stp>STOCK</stp>
        <stp>43820.T</stp>
        <stp>高値</stp>
        <tr r="H192" s="4"/>
        <tr r="C173" s="6"/>
        <tr r="H192" s="24"/>
      </tp>
      <tp>
        <v>729</v>
        <stp/>
        <stp>Market</stp>
        <stp>STOCK</stp>
        <stp>42220.T</stp>
        <stp>高値</stp>
        <tr r="C229" s="6"/>
      </tp>
      <tp>
        <v>5037</v>
        <stp/>
        <stp>Market</stp>
        <stp>STOCK</stp>
        <stp>45020.T</stp>
        <stp>高値</stp>
        <tr r="C212" s="6"/>
      </tp>
      <tp>
        <v>703</v>
        <stp/>
        <stp>Market</stp>
        <stp>STOCK</stp>
        <stp>44220.T</stp>
        <stp>高値</stp>
        <tr r="H188" s="4"/>
        <tr r="C139" s="6"/>
        <tr r="H188" s="24"/>
      </tp>
      <tp>
        <v>2470</v>
        <stp/>
        <stp>Market</stp>
        <stp>STOCK</stp>
        <stp>79720.T</stp>
        <stp>高値</stp>
        <tr r="C241" s="6"/>
      </tp>
      <tp>
        <v>3340</v>
        <stp/>
        <stp>Market</stp>
        <stp>STOCK</stp>
        <stp>79520.T</stp>
        <stp>高値</stp>
        <tr r="C276" s="6"/>
      </tp>
      <tp>
        <v>3235</v>
        <stp/>
        <stp>Market</stp>
        <stp>STOCK</stp>
        <stp>71820.T</stp>
        <stp>高値</stp>
        <tr r="H102" s="4"/>
        <tr r="C85" s="6"/>
        <tr r="H102" s="24"/>
      </tp>
      <tp>
        <v>1923</v>
        <stp/>
        <stp>Market</stp>
        <stp>STOCK</stp>
        <stp>69020.T</stp>
        <stp>高値</stp>
        <tr r="C244" s="6"/>
      </tp>
      <tp>
        <v>2259</v>
        <stp/>
        <stp>Market</stp>
        <stp>STOCK</stp>
        <stp>68620.T</stp>
        <stp>高値</stp>
        <tr r="C225" s="6"/>
      </tp>
      <tp>
        <v>1895</v>
        <stp/>
        <stp>Market</stp>
        <stp>STOCK</stp>
        <stp>62320.T</stp>
        <stp>高値</stp>
        <tr r="H28" s="4"/>
        <tr r="C135" s="6"/>
        <tr r="H28" s="24"/>
      </tp>
      <tp>
        <v>740</v>
        <stp/>
        <stp>Market</stp>
        <stp>STOCK</stp>
        <stp>65220.T</stp>
        <stp>高値</stp>
        <tr r="H111" s="4"/>
        <tr r="C143" s="6"/>
        <tr r="H111" s="24"/>
      </tp>
      <tp>
        <v>780</v>
        <stp/>
        <stp>Market</stp>
        <stp>STOCK</stp>
        <stp>64820.T</stp>
        <stp>高値</stp>
        <tr r="C290" s="6"/>
      </tp>
      <tp>
        <v>3888</v>
        <stp/>
        <stp>Market</stp>
        <stp>STOCK</stp>
        <stp>67620.T</stp>
        <stp>高値</stp>
        <tr r="C234" s="6"/>
      </tp>
      <tp>
        <v>4272</v>
        <stp/>
        <stp>Market</stp>
        <stp>STOCK</stp>
        <stp>67520.T</stp>
        <stp>高値</stp>
        <tr r="C215" s="6"/>
      </tp>
      <tp>
        <v>16830</v>
        <stp/>
        <stp>Market</stp>
        <stp>STOCK</stp>
        <stp>66220.T</stp>
        <stp>高値</stp>
        <tr r="C216" s="6"/>
      </tp>
      <tp>
        <v>6500</v>
        <stp/>
        <stp>Market</stp>
        <stp>STOCK</stp>
        <stp>19420.T</stp>
        <stp>高値</stp>
        <tr r="C175" s="6"/>
        <tr r="H32" s="4"/>
        <tr r="H32" s="24"/>
      </tp>
      <tp>
        <v>6044</v>
        <stp/>
        <stp>Market</stp>
        <stp>STOCK</stp>
        <stp>18120.T</stp>
        <stp>高値</stp>
        <tr r="H121" s="4"/>
        <tr r="C208" s="6"/>
        <tr r="H121" s="24"/>
      </tp>
      <tp>
        <v>1660</v>
        <stp/>
        <stp>Market</stp>
        <stp>STOCK</stp>
        <stp>16620.T</stp>
        <stp>高値</stp>
        <tr r="H122" s="4"/>
        <tr r="C18" s="6"/>
        <tr r="H122" s="24"/>
      </tp>
      <tp>
        <v>3835</v>
        <stp/>
        <stp>Market</stp>
        <stp>STOCK</stp>
        <stp>30020.T</stp>
        <stp>高値</stp>
        <tr r="C277" s="6"/>
      </tp>
      <tp>
        <v>1190.5</v>
        <stp/>
        <stp>Market</stp>
        <stp>STOCK</stp>
        <stp>34020.T</stp>
        <stp>高値</stp>
        <tr r="H172" s="4"/>
        <tr r="C44" s="6"/>
        <tr r="H172" s="24"/>
      </tp>
      <tp>
        <v>5350</v>
        <stp/>
        <stp>Market</stp>
        <stp>STOCK</stp>
        <stp>28020.T</stp>
        <stp>高値</stp>
        <tr r="C76" s="6"/>
        <tr r="H23" s="4"/>
        <tr r="H23" s="24"/>
      </tp>
      <tp>
        <v>7490</v>
        <stp/>
        <stp>Market</stp>
        <stp>STOCK</stp>
        <stp>27020.T</stp>
        <stp>高値</stp>
        <tr r="C194" s="6"/>
        <tr r="H196" s="4"/>
        <tr r="H196" s="24"/>
      </tp>
      <tp>
        <v>3915</v>
        <stp/>
        <stp>Market</stp>
        <stp>STOCK</stp>
        <stp>99620.T</stp>
        <stp>高値</stp>
        <tr r="C233" s="6"/>
      </tp>
      <tp>
        <v>1757</v>
        <stp/>
        <stp>Market</stp>
        <stp>STOCK</stp>
        <stp>98820.T</stp>
        <stp>高値</stp>
        <tr r="H128" s="4"/>
        <tr r="C116" s="6"/>
        <tr r="H128" s="24"/>
      </tp>
      <tp>
        <v>3371</v>
        <stp/>
        <stp>Market</stp>
        <stp>STOCK</stp>
        <stp>90220.T</stp>
        <stp>高値</stp>
        <tr r="H159" s="4"/>
        <tr r="C184" s="6"/>
        <tr r="H159" s="24"/>
      </tp>
      <tp>
        <v>3076</v>
        <stp/>
        <stp>Market</stp>
        <stp>STOCK</stp>
        <stp>92020.T</stp>
        <stp>高値</stp>
        <tr r="C74" s="6"/>
        <tr r="H99" s="4"/>
        <tr r="H99" s="24"/>
      </tp>
      <tp>
        <v>5543</v>
        <stp/>
        <stp>Market</stp>
        <stp>STOCK</stp>
        <stp>95320.T</stp>
        <stp>高値</stp>
        <tr r="C127" s="6"/>
        <tr r="H79" s="4"/>
        <tr r="H79" s="24"/>
      </tp>
      <tp>
        <v>3420</v>
        <stp/>
        <stp>Market</stp>
        <stp>STOCK</stp>
        <stp>94120.T</stp>
        <stp>高値</stp>
        <tr r="H22" s="4"/>
        <tr r="C56" s="6"/>
        <tr r="H22" s="24"/>
      </tp>
      <tp>
        <v>1105</v>
        <stp/>
        <stp>Market</stp>
        <stp>STOCK</stp>
        <stp>88920.T</stp>
        <stp>高値</stp>
        <tr r="H114" s="4"/>
        <tr r="C161" s="6"/>
        <tr r="H114" s="24"/>
      </tp>
      <tp>
        <v>5019</v>
        <stp/>
        <stp>Market</stp>
        <stp>STOCK</stp>
        <stp>80020.T</stp>
        <stp>高値</stp>
        <tr r="C14" s="6"/>
        <tr r="H167" s="4"/>
        <tr r="H167" s="24"/>
      </tp>
      <tp>
        <v>453.7</v>
        <stp/>
        <stp>Market</stp>
        <stp>STOCK</stp>
        <stp>85720.T</stp>
        <stp>高値</stp>
        <tr r="C47" s="6"/>
        <tr r="H38" s="4"/>
        <tr r="H38" s="24"/>
      </tp>
      <tp>
        <v>4088</v>
        <stp/>
        <stp>Market</stp>
        <stp>STOCK</stp>
        <stp>59010.T</stp>
        <stp>高値</stp>
        <tr r="H71" s="4"/>
        <tr r="C55" s="6"/>
        <tr r="H71" s="24"/>
      </tp>
      <tp>
        <v>47660</v>
        <stp/>
        <stp>Market</stp>
        <stp>STOCK</stp>
        <stp>58010.T</stp>
        <stp>高値</stp>
        <tr r="C200" s="6"/>
        <tr r="H45" s="4"/>
        <tr r="H45" s="24"/>
      </tp>
      <tp>
        <v>3693</v>
        <stp/>
        <stp>Market</stp>
        <stp>STOCK</stp>
        <stp>50210.T</stp>
        <stp>高値</stp>
        <tr r="H88" s="4"/>
        <tr r="C15" s="6"/>
        <tr r="H88" s="24"/>
      </tp>
      <tp>
        <v>7421</v>
        <stp/>
        <stp>Market</stp>
        <stp>STOCK</stp>
        <stp>52010.T</stp>
        <stp>高値</stp>
        <tr r="H175" s="4"/>
        <tr r="C53" s="6"/>
        <tr r="H175" s="24"/>
      </tp>
      <tp>
        <v>2316</v>
        <stp/>
        <stp>Market</stp>
        <stp>STOCK</stp>
        <stp>55410.T</stp>
        <stp>高値</stp>
        <tr r="H90" s="4"/>
        <tr r="C20" s="6"/>
        <tr r="H90" s="24"/>
      </tp>
      <tp>
        <v>1653</v>
        <stp/>
        <stp>Market</stp>
        <stp>STOCK</stp>
        <stp>54110.T</stp>
        <stp>高値</stp>
        <tr r="H7" s="4"/>
        <tr r="C84" s="6"/>
        <tr r="H7" s="24"/>
      </tp>
      <tp>
        <v>566.29999999999995</v>
        <stp/>
        <stp>Market</stp>
        <stp>STOCK</stp>
        <stp>54010.T</stp>
        <stp>高値</stp>
        <tr r="C46" s="6"/>
        <tr r="H173" s="4"/>
        <tr r="H173" s="24"/>
      </tp>
      <tp>
        <v>4965</v>
        <stp/>
        <stp>Market</stp>
        <stp>STOCK</stp>
        <stp>57110.T</stp>
        <stp>高値</stp>
        <tr r="H87" s="4"/>
        <tr r="C9" s="6"/>
        <tr r="H87" s="24"/>
      </tp>
      <tp>
        <v>8479</v>
        <stp/>
        <stp>Market</stp>
        <stp>STOCK</stp>
        <stp>56310.T</stp>
        <stp>高値</stp>
        <tr r="C263" s="6"/>
      </tp>
    </main>
    <main first="rtdsrv.8a92272bbb794b2789e42afd4cc513d6">
      <tp>
        <v>5615</v>
        <stp/>
        <stp>Market</stp>
        <stp>STOCK</stp>
        <stp>40910.T</stp>
        <stp>高値</stp>
        <tr r="H152" s="4"/>
        <tr r="C157" s="6"/>
        <tr r="H152" s="24"/>
      </tp>
      <tp>
        <v>2303.5</v>
        <stp/>
        <stp>Market</stp>
        <stp>STOCK</stp>
        <stp>46610.T</stp>
        <stp>高値</stp>
        <tr r="C101" s="6"/>
        <tr r="H103" s="4"/>
        <tr r="H103" s="24"/>
      </tp>
    </main>
    <main first="rtdsrv.8a92272bbb794b2789e42afd4cc513d6">
      <tp>
        <v>3020</v>
        <stp/>
        <stp>Market</stp>
        <stp>STOCK</stp>
        <stp>79810.T</stp>
        <stp>高値</stp>
        <tr r="H116" s="4"/>
        <tr r="C171" s="6"/>
        <tr r="H116" s="24"/>
      </tp>
      <tp>
        <v>1596</v>
        <stp/>
        <stp>Market</stp>
        <stp>STOCK</stp>
        <stp>71810.T</stp>
        <stp>高値</stp>
        <tr r="H119" s="4"/>
        <tr r="C190" s="6"/>
        <tr r="H119" s="24"/>
      </tp>
      <tp>
        <v>1810</v>
        <stp/>
        <stp>Market</stp>
        <stp>STOCK</stp>
        <stp>70210.T</stp>
        <stp>高値</stp>
        <tr r="C106" s="6"/>
        <tr r="H76" s="4"/>
        <tr r="H76" s="24"/>
      </tp>
      <tp>
        <v>3905</v>
        <stp/>
        <stp>Market</stp>
        <stp>STOCK</stp>
        <stp>70110.T</stp>
        <stp>高値</stp>
        <tr r="H197" s="4"/>
        <tr r="C207" s="6"/>
        <tr r="H197" s="24"/>
      </tp>
      <tp>
        <v>1019</v>
        <stp/>
        <stp>Market</stp>
        <stp>STOCK</stp>
        <stp>73810.T</stp>
        <stp>高値</stp>
        <tr r="C152" s="6"/>
        <tr r="H63" s="4"/>
        <tr r="H63" s="24"/>
      </tp>
      <tp>
        <v>27685</v>
        <stp/>
        <stp>Market</stp>
        <stp>STOCK</stp>
        <stp>77410.T</stp>
        <stp>高値</stp>
        <tr r="C302" s="6"/>
      </tp>
      <tp>
        <v>5650</v>
        <stp/>
        <stp>Market</stp>
        <stp>STOCK</stp>
        <stp>77110.T</stp>
        <stp>高値</stp>
        <tr r="C268" s="6"/>
      </tp>
    </main>
    <main first="rtdsrv.8a92272bbb794b2789e42afd4cc513d6">
      <tp>
        <v>11095</v>
        <stp/>
        <stp>Market</stp>
        <stp>STOCK</stp>
        <stp>69810.T</stp>
        <stp>高値</stp>
        <tr r="C154" s="6"/>
        <tr r="H30" s="4"/>
        <tr r="H30" s="24"/>
      </tp>
      <tp>
        <v>76250</v>
        <stp/>
        <stp>Market</stp>
        <stp>STOCK</stp>
        <stp>68610.T</stp>
        <stp>高値</stp>
        <tr r="C209" s="6"/>
      </tp>
      <tp>
        <v>5413</v>
        <stp/>
        <stp>Market</stp>
        <stp>STOCK</stp>
        <stp>68410.T</stp>
        <stp>高値</stp>
        <tr r="H100" s="4"/>
        <tr r="C81" s="6"/>
        <tr r="H100" s="24"/>
      </tp>
      <tp>
        <v>6527</v>
        <stp/>
        <stp>Market</stp>
        <stp>STOCK</stp>
        <stp>63610.T</stp>
        <stp>高値</stp>
        <tr r="C249" s="6"/>
      </tp>
      <tp>
        <v>4100</v>
        <stp/>
        <stp>Market</stp>
        <stp>STOCK</stp>
        <stp>63310.T</stp>
        <stp>高値</stp>
        <tr r="C301" s="6"/>
      </tp>
      <tp>
        <v>4900</v>
        <stp/>
        <stp>Market</stp>
        <stp>STOCK</stp>
        <stp>65210.T</stp>
        <stp>高値</stp>
        <tr r="C242" s="6"/>
      </tp>
      <tp>
        <v>4736</v>
        <stp/>
        <stp>Market</stp>
        <stp>STOCK</stp>
        <stp>65010.T</stp>
        <stp>高値</stp>
        <tr r="C91" s="6"/>
        <tr r="H126" s="4"/>
        <tr r="H126" s="24"/>
      </tp>
      <tp>
        <v>3891</v>
        <stp/>
        <stp>Market</stp>
        <stp>STOCK</stp>
        <stp>67010.T</stp>
        <stp>高値</stp>
        <tr r="C11" s="6"/>
        <tr r="H139" s="4"/>
        <tr r="H139" s="24"/>
      </tp>
    </main>
    <main first="rtdsrv.8a92272bbb794b2789e42afd4cc513d6">
      <tp>
        <v>2700</v>
        <stp/>
        <stp>Market</stp>
        <stp>STOCK</stp>
        <stp>19610.T</stp>
        <stp>高値</stp>
        <tr r="C59" s="6"/>
        <tr r="H51" s="4"/>
        <tr r="H51" s="24"/>
      </tp>
      <tp>
        <v>1429</v>
        <stp/>
        <stp>Market</stp>
        <stp>STOCK</stp>
        <stp>39410.T</stp>
        <stp>高値</stp>
        <tr r="H142" s="4"/>
        <tr r="C48" s="6"/>
        <tr r="H142" s="24"/>
      </tp>
      <tp>
        <v>10110</v>
        <stp/>
        <stp>Market</stp>
        <stp>STOCK</stp>
        <stp>38910.T</stp>
        <stp>高値</stp>
        <tr r="H43" s="4"/>
        <tr r="C159" s="6"/>
        <tr r="H43" s="24"/>
      </tp>
      <tp>
        <v>805.9</v>
        <stp/>
        <stp>Market</stp>
        <stp>STOCK</stp>
        <stp>38610.T</stp>
        <stp>高値</stp>
        <tr r="C41" s="6"/>
        <tr r="H123" s="4"/>
        <tr r="H123" s="24"/>
      </tp>
      <tp>
        <v>1675</v>
        <stp/>
        <stp>Market</stp>
        <stp>STOCK</stp>
        <stp>34010.T</stp>
        <stp>高値</stp>
        <tr r="C27" s="6"/>
        <tr r="H169" s="4"/>
        <tr r="H169" s="24"/>
      </tp>
    </main>
    <main first="rtdsrv.8a92272bbb794b2789e42afd4cc513d6">
      <tp>
        <v>5410</v>
        <stp/>
        <stp>Market</stp>
        <stp>STOCK</stp>
        <stp>91010.T</stp>
        <stp>高値</stp>
        <tr r="C206" s="6"/>
        <tr r="H164" s="4"/>
        <tr r="H164" s="24"/>
      </tp>
      <tp>
        <v>3435</v>
        <stp/>
        <stp>Market</stp>
        <stp>STOCK</stp>
        <stp>95510.T</stp>
        <stp>高値</stp>
        <tr r="H134" s="4"/>
        <tr r="C167" s="6"/>
        <tr r="H134" s="24"/>
      </tp>
      <tp>
        <v>6300</v>
        <stp/>
        <stp>Market</stp>
        <stp>STOCK</stp>
        <stp>95310.T</stp>
        <stp>高値</stp>
        <tr r="H203" s="4"/>
        <tr r="C115" s="6"/>
        <tr r="H203" s="24"/>
      </tp>
      <tp>
        <v>523.5</v>
        <stp/>
        <stp>Market</stp>
        <stp>STOCK</stp>
        <stp>95010.T</stp>
        <stp>高値</stp>
        <tr r="H105" s="4"/>
        <tr r="C114" s="6"/>
        <tr r="H105" s="24"/>
      </tp>
    </main>
    <main first="rtdsrv.8a92272bbb794b2789e42afd4cc513d6">
      <tp>
        <v>3345</v>
        <stp/>
        <stp>Market</stp>
        <stp>STOCK</stp>
        <stp>88710.T</stp>
        <stp>高値</stp>
        <tr r="C278" s="6"/>
      </tp>
      <tp>
        <v>1554.5</v>
        <stp/>
        <stp>Market</stp>
        <stp>STOCK</stp>
        <stp>88010.T</stp>
        <stp>高値</stp>
        <tr r="H129" s="4"/>
        <tr r="C124" s="6"/>
        <tr r="H129" s="24"/>
      </tp>
      <tp>
        <v>1584</v>
        <stp/>
        <stp>Market</stp>
        <stp>STOCK</stp>
        <stp>81410.T</stp>
        <stp>高値</stp>
        <tr r="C292" s="6"/>
      </tp>
      <tp>
        <v>2240</v>
        <stp/>
        <stp>Market</stp>
        <stp>STOCK</stp>
        <stp>80910.T</stp>
        <stp>高値</stp>
        <tr r="H158" s="4"/>
        <tr r="C182" s="6"/>
        <tr r="H158" s="24"/>
      </tp>
      <tp>
        <v>1065</v>
        <stp/>
        <stp>Market</stp>
        <stp>STOCK</stp>
        <stp>82810.T</stp>
        <stp>高値</stp>
        <tr r="H179" s="4"/>
        <tr r="C63" s="6"/>
        <tr r="H179" s="24"/>
      </tp>
      <tp>
        <v>6417</v>
        <stp/>
        <stp>Market</stp>
        <stp>STOCK</stp>
        <stp>85910.T</stp>
        <stp>高値</stp>
        <tr r="C26" s="6"/>
        <tr r="H67" s="4"/>
        <tr r="H67" s="24"/>
      </tp>
      <tp>
        <v>8120</v>
        <stp/>
        <stp>Market</stp>
        <stp>STOCK</stp>
        <stp>84110.T</stp>
        <stp>高値</stp>
        <tr r="H66" s="4"/>
        <tr r="C19" s="6"/>
        <tr r="H66" s="24"/>
      </tp>
      <tp>
        <v>1625.5</v>
        <stp/>
        <stp>Market</stp>
        <stp>STOCK</stp>
        <stp>86010.T</stp>
        <stp>高値</stp>
        <tr r="H198" s="4"/>
        <tr r="C33" s="6"/>
        <tr r="H198" s="24"/>
      </tp>
    </main>
    <main first="rtdsrv.8a92272bbb794b2789e42afd4cc513d6">
      <tp>
        <v>4035.32</v>
        <stp/>
        <stp>Market</stp>
        <stp>INDEX</stp>
        <stp>TOPX</stp>
        <stp>高値</stp>
        <tr r="C5" s="6"/>
      </tp>
    </main>
    <main first="rtdsrv.8a92272bbb794b2789e42afd4cc513d6">
      <tp>
        <v>1259</v>
        <stp/>
        <stp>Market</stp>
        <stp>STOCK</stp>
        <stp>50200.T</stp>
        <stp>高値</stp>
        <tr r="H141" s="4"/>
        <tr r="C29" s="6"/>
        <tr r="H141" s="24"/>
      </tp>
      <tp>
        <v>1787</v>
        <stp/>
        <stp>Market</stp>
        <stp>STOCK</stp>
        <stp>54400.T</stp>
        <stp>高値</stp>
        <tr r="H156" s="4"/>
        <tr r="C180" s="6"/>
        <tr r="H156" s="24"/>
      </tp>
      <tp>
        <v>2668</v>
        <stp/>
        <stp>Market</stp>
        <stp>STOCK</stp>
        <stp>54100.T</stp>
        <stp>高値</stp>
        <tr r="C179" s="6"/>
        <tr r="H118" s="4"/>
        <tr r="H118" s="24"/>
      </tp>
    </main>
    <main first="rtdsrv.8a92272bbb794b2789e42afd4cc513d6">
      <tp>
        <v>4694</v>
        <stp/>
        <stp>Market</stp>
        <stp>STOCK</stp>
        <stp>49800.T</stp>
        <stp>高値</stp>
        <tr r="H72" s="4"/>
        <tr r="C69" s="6"/>
        <tr r="H72" s="24"/>
      </tp>
      <tp>
        <v>3784</v>
        <stp/>
        <stp>Market</stp>
        <stp>STOCK</stp>
        <stp>45400.T</stp>
        <stp>高値</stp>
        <tr r="H124" s="4"/>
        <tr r="C64" s="6"/>
        <tr r="H124" s="24"/>
      </tp>
    </main>
    <main first="rtdsrv.8a92272bbb794b2789e42afd4cc513d6">
      <tp>
        <v>2601.5</v>
        <stp/>
        <stp>Market</stp>
        <stp>STOCK</stp>
        <stp>72700.T</stp>
        <stp>高値</stp>
        <tr r="C286" s="6"/>
      </tp>
    </main>
    <main first="rtdsrv.8a92272bbb794b2789e42afd4cc513d6">
      <tp>
        <v>52980</v>
        <stp/>
        <stp>Market</stp>
        <stp>STOCK</stp>
        <stp>69200.T</stp>
        <stp>高値</stp>
        <tr r="C199" s="6"/>
        <tr r="H84" s="4"/>
        <tr r="H84" s="24"/>
      </tp>
      <tp>
        <v>9500</v>
        <stp/>
        <stp>Market</stp>
        <stp>STOCK</stp>
        <stp>68900.T</stp>
        <stp>高値</stp>
        <tr r="C195" s="6"/>
        <tr r="H33" s="4"/>
        <tr r="H33" s="24"/>
      </tp>
      <tp>
        <v>1348</v>
        <stp/>
        <stp>Market</stp>
        <stp>STOCK</stp>
        <stp>61400.T</stp>
        <stp>高値</stp>
        <tr r="C261" s="6"/>
      </tp>
      <tp>
        <v>9450</v>
        <stp/>
        <stp>Market</stp>
        <stp>STOCK</stp>
        <stp>63700.T</stp>
        <stp>高値</stp>
        <tr r="C255" s="6"/>
      </tp>
      <tp>
        <v>2266</v>
        <stp/>
        <stp>Market</stp>
        <stp>STOCK</stp>
        <stp>63300.T</stp>
        <stp>高値</stp>
        <tr r="H186" s="4"/>
        <tr r="C128" s="6"/>
        <tr r="H186" s="24"/>
      </tp>
      <tp>
        <v>53</v>
        <stp/>
        <stp>Market</stp>
        <stp>STOCK</stp>
        <stp>67400.T</stp>
        <stp>高値</stp>
        <tr r="C140" s="6"/>
        <tr r="H189" s="4"/>
        <tr r="H189" s="24"/>
      </tp>
    </main>
    <main first="rtdsrv.8a92272bbb794b2789e42afd4cc513d6">
      <tp>
        <v>1701</v>
        <stp/>
        <stp>Market</stp>
        <stp>STOCK</stp>
        <stp>19300.T</stp>
        <stp>高値</stp>
        <tr r="H83" s="4"/>
        <tr r="C163" s="6"/>
        <tr r="H83" s="24"/>
      </tp>
      <tp>
        <v>79880</v>
        <stp/>
        <stp>Market</stp>
        <stp>STOCK</stp>
        <stp>15700.T</stp>
        <stp>高値</stp>
        <tr r="C222" s="6"/>
      </tp>
    </main>
    <main first="rtdsrv.8a92272bbb794b2789e42afd4cc513d6">
      <tp>
        <v>21630</v>
        <stp/>
        <stp>Market</stp>
        <stp>STOCK</stp>
        <stp>31100.T</stp>
        <stp>高値</stp>
        <tr r="C134" s="6"/>
        <tr r="H109" s="4"/>
        <tr r="H109" s="24"/>
      </tp>
      <tp>
        <v>2595</v>
        <stp/>
        <stp>Market</stp>
        <stp>STOCK</stp>
        <stp>21600.T</stp>
        <stp>高値</stp>
        <tr r="H187" s="4"/>
        <tr r="C131" s="6"/>
        <tr r="H187" s="24"/>
      </tp>
    </main>
    <main first="rtdsrv.8a92272bbb794b2789e42afd4cc513d6">
      <tp>
        <v>4195</v>
        <stp/>
        <stp>Market</stp>
        <stp>STOCK</stp>
        <stp>98800.T</stp>
        <stp>高値</stp>
        <tr r="C257" s="6"/>
      </tp>
      <tp>
        <v>3455</v>
        <stp/>
        <stp>Market</stp>
        <stp>STOCK</stp>
        <stp>90200.T</stp>
        <stp>高値</stp>
        <tr r="C109" s="6"/>
        <tr r="H104" s="4"/>
        <tr r="H104" s="24"/>
      </tp>
    </main>
    <main first="rtdsrv.8a92272bbb794b2789e42afd4cc513d6">
      <tp>
        <v>1519</v>
        <stp/>
        <stp>Market</stp>
        <stp>STOCK</stp>
        <stp>85700.T</stp>
        <stp>高値</stp>
        <tr r="C37" s="6"/>
        <tr r="H94" s="4"/>
        <tr r="H94" s="24"/>
      </tp>
      <tp>
        <v>1834</v>
        <stp/>
        <stp>Market</stp>
        <stp>STOCK</stp>
        <stp>87500.T</stp>
        <stp>高値</stp>
        <tr r="H200" s="4"/>
        <tr r="C43" s="6"/>
        <tr r="H200" s="24"/>
      </tp>
      <tp>
        <v>6406</v>
        <stp/>
        <stp>Market</stp>
        <stp>STOCK</stp>
        <stp>86300.T</stp>
        <stp>高値</stp>
        <tr r="H176" s="4"/>
        <tr r="C54" s="6"/>
        <tr r="H176" s="24"/>
      </tp>
    </main>
    <main first="rtdsrv.8a92272bbb794b2789e42afd4cc513d6">
      <tp>
        <v>3465</v>
        <stp/>
        <stp>Market</stp>
        <stp>STOCK</stp>
        <stp>59470.T</stp>
        <stp>高値</stp>
        <tr r="H96" s="4"/>
        <tr r="C42" s="6"/>
        <tr r="H96" s="24"/>
      </tp>
      <tp>
        <v>3320</v>
        <stp/>
        <stp>Market</stp>
        <stp>STOCK</stp>
        <stp>58570.T</stp>
        <stp>高値</stp>
        <tr r="C62" s="6"/>
        <tr r="H52" s="4"/>
        <tr r="H52" s="24"/>
      </tp>
      <tp>
        <v>1683</v>
        <stp/>
        <stp>Market</stp>
        <stp>STOCK</stp>
        <stp>48870.T</stp>
        <stp>高値</stp>
        <tr r="C192" s="6"/>
        <tr r="H195" s="4"/>
        <tr r="H195" s="24"/>
      </tp>
      <tp>
        <v>3965</v>
        <stp/>
        <stp>Market</stp>
        <stp>STOCK</stp>
        <stp>40470.T</stp>
        <stp>高値</stp>
        <tr r="C289" s="6"/>
      </tp>
      <tp>
        <v>4649</v>
        <stp/>
        <stp>Market</stp>
        <stp>STOCK</stp>
        <stp>43070.T</stp>
        <stp>高値</stp>
        <tr r="C150" s="6"/>
        <tr r="H151" s="4"/>
        <tr r="H151" s="24"/>
      </tp>
      <tp>
        <v>3260</v>
        <stp/>
        <stp>Market</stp>
        <stp>STOCK</stp>
        <stp>44170.T</stp>
        <stp>高値</stp>
        <tr r="H112" s="4"/>
        <tr r="C153" s="6"/>
        <tr r="H112" s="24"/>
      </tp>
      <tp>
        <v>1446.5</v>
        <stp/>
        <stp>Market</stp>
        <stp>STOCK</stp>
        <stp>71670.T</stp>
        <stp>高値</stp>
        <tr r="C82" s="6"/>
        <tr r="H101" s="4"/>
        <tr r="H101" s="24"/>
      </tp>
      <tp>
        <v>5240</v>
        <stp/>
        <stp>Market</stp>
        <stp>STOCK</stp>
        <stp>69970.T</stp>
        <stp>高値</stp>
        <tr r="C272" s="6"/>
      </tp>
      <tp>
        <v>31170</v>
        <stp/>
        <stp>Market</stp>
        <stp>STOCK</stp>
        <stp>68570.T</stp>
        <stp>高値</stp>
        <tr r="C158" s="6"/>
        <tr r="H113" s="4"/>
        <tr r="H113" s="24"/>
      </tp>
      <tp>
        <v>2174</v>
        <stp/>
        <stp>Market</stp>
        <stp>STOCK</stp>
        <stp>60270.T</stp>
        <stp>高値</stp>
        <tr r="H98" s="4"/>
        <tr r="C72" s="6"/>
        <tr r="H98" s="24"/>
      </tp>
      <tp>
        <v>16300</v>
        <stp/>
        <stp>Market</stp>
        <stp>STOCK</stp>
        <stp>63870.T</stp>
        <stp>高値</stp>
        <tr r="H62" s="4"/>
        <tr r="C147" s="6"/>
        <tr r="H62" s="24"/>
      </tp>
      <tp>
        <v>5150</v>
        <stp/>
        <stp>Market</stp>
        <stp>STOCK</stp>
        <stp>63270.T</stp>
        <stp>高値</stp>
        <tr r="H27" s="4"/>
        <tr r="C133" s="6"/>
        <tr r="H27" s="24"/>
      </tp>
      <tp>
        <v>8830</v>
        <stp/>
        <stp>Market</stp>
        <stp>STOCK</stp>
        <stp>62270.T</stp>
        <stp>高値</stp>
        <tr r="H108" s="4"/>
        <tr r="C132" s="6"/>
        <tr r="H108" s="24"/>
      </tp>
      <tp>
        <v>15880</v>
        <stp/>
        <stp>Market</stp>
        <stp>STOCK</stp>
        <stp>65070.T</stp>
        <stp>高値</stp>
        <tr r="C183" s="6"/>
        <tr r="H64" s="4"/>
        <tr r="H64" s="24"/>
      </tp>
      <tp>
        <v>7540</v>
        <stp/>
        <stp>Market</stp>
        <stp>STOCK</stp>
        <stp>64070.T</stp>
        <stp>高値</stp>
        <tr r="C295" s="6"/>
      </tp>
      <tp>
        <v>36600</v>
        <stp/>
        <stp>Market</stp>
        <stp>STOCK</stp>
        <stp>67870.T</stp>
        <stp>高値</stp>
        <tr r="H10" s="4"/>
        <tr r="C145" s="6"/>
        <tr r="H10" s="24"/>
      </tp>
      <tp>
        <v>27580</v>
        <stp/>
        <stp>Market</stp>
        <stp>STOCK</stp>
        <stp>67770.T</stp>
        <stp>高値</stp>
        <tr r="H130" s="4"/>
        <tr r="C144" s="6"/>
        <tr r="H130" s="24"/>
      </tp>
      <tp>
        <v>2350</v>
        <stp/>
        <stp>Market</stp>
        <stp>STOCK</stp>
        <stp>14070.T</stp>
        <stp>高値</stp>
        <tr r="C217" s="6"/>
      </tp>
      <tp>
        <v>3441</v>
        <stp/>
        <stp>Market</stp>
        <stp>STOCK</stp>
        <stp>31070.T</stp>
        <stp>高値</stp>
        <tr r="C60" s="6"/>
        <tr r="H13" s="4"/>
        <tr r="H13" s="24"/>
      </tp>
      <tp>
        <v>3742</v>
        <stp/>
        <stp>Market</stp>
        <stp>STOCK</stp>
        <stp>33970.T</stp>
        <stp>高値</stp>
        <tr r="C285" s="6"/>
      </tp>
      <tp>
        <v>1790</v>
        <stp/>
        <stp>Market</stp>
        <stp>STOCK</stp>
        <stp>34070.T</stp>
        <stp>高値</stp>
        <tr r="C94" s="6"/>
        <tr r="H183" s="4"/>
        <tr r="H183" s="24"/>
      </tp>
      <tp>
        <v>653.4</v>
        <stp/>
        <stp>Market</stp>
        <stp>STOCK</stp>
        <stp>21270.T</stp>
        <stp>高値</stp>
        <tr r="C187" s="6"/>
        <tr r="H161" s="4"/>
        <tr r="H161" s="24"/>
      </tp>
      <tp>
        <v>3167</v>
        <stp/>
        <stp>Market</stp>
        <stp>STOCK</stp>
        <stp>23270.T</stp>
        <stp>高値</stp>
        <tr r="C174" s="6"/>
        <tr r="H154" s="4"/>
        <tr r="H154" s="24"/>
      </tp>
      <tp>
        <v>2664</v>
        <stp/>
        <stp>Market</stp>
        <stp>STOCK</stp>
        <stp>22670.T</stp>
        <stp>高値</stp>
        <tr r="C226" s="6"/>
      </tp>
      <tp>
        <v>896</v>
        <stp/>
        <stp>Market</stp>
        <stp>STOCK</stp>
        <stp>92270.T</stp>
        <stp>高値</stp>
        <tr r="C111" s="6"/>
        <tr r="H146" s="4"/>
        <tr r="H146" s="24"/>
      </tp>
      <tp>
        <v>4350</v>
        <stp/>
        <stp>Market</stp>
        <stp>STOCK</stp>
        <stp>96870.T</stp>
        <stp>高値</stp>
        <tr r="H44" s="4"/>
        <tr r="C162" s="6"/>
        <tr r="H44" s="24"/>
      </tp>
      <tp>
        <v>761</v>
        <stp/>
        <stp>Market</stp>
        <stp>STOCK</stp>
        <stp>80070.T</stp>
        <stp>高値</stp>
        <tr r="C281" s="6"/>
      </tp>
    </main>
    <main first="rtdsrv.8a92272bbb794b2789e42afd4cc513d6">
      <tp>
        <v>1995</v>
        <stp/>
        <stp>Market</stp>
        <stp>STOCK</stp>
        <stp>54060.T</stp>
        <stp>高値</stp>
        <tr r="H95" s="4"/>
        <tr r="C38" s="6"/>
        <tr r="H95" s="24"/>
      </tp>
      <tp>
        <v>48750</v>
        <stp/>
        <stp>Market</stp>
        <stp>STOCK</stp>
        <stp>57060.T</stp>
        <stp>高値</stp>
        <tr r="H11" s="4"/>
        <tr r="C6" s="6"/>
        <tr r="H11" s="24"/>
      </tp>
      <tp>
        <v>26440</v>
        <stp/>
        <stp>Market</stp>
        <stp>STOCK</stp>
        <stp>49660.T</stp>
        <stp>高値</stp>
        <tr r="H34" s="4"/>
        <tr r="C196" s="6"/>
        <tr r="H34" s="24"/>
      </tp>
      <tp>
        <v>1935.5</v>
        <stp/>
        <stp>Market</stp>
        <stp>STOCK</stp>
        <stp>45360.T</stp>
        <stp>高値</stp>
        <tr r="H125" s="4"/>
        <tr r="C67" s="6"/>
        <tr r="H125" s="24"/>
      </tp>
      <tp>
        <v>2340</v>
        <stp/>
        <stp>Market</stp>
        <stp>STOCK</stp>
        <stp>47760.T</stp>
        <stp>高値</stp>
        <tr r="C253" s="6"/>
      </tp>
      <tp>
        <v>4063</v>
        <stp/>
        <stp>Market</stp>
        <stp>STOCK</stp>
        <stp>46760.T</stp>
        <stp>高値</stp>
        <tr r="H177" s="4"/>
        <tr r="C58" s="6"/>
        <tr r="H177" s="24"/>
      </tp>
      <tp>
        <v>5009</v>
        <stp/>
        <stp>Market</stp>
        <stp>STOCK</stp>
        <stp>78460.T</stp>
        <stp>高値</stp>
        <tr r="H202" s="4"/>
        <tr r="C75" s="6"/>
        <tr r="H202" s="24"/>
      </tp>
      <tp>
        <v>7410</v>
        <stp/>
        <stp>Market</stp>
        <stp>STOCK</stp>
        <stp>78060.T</stp>
        <stp>高値</stp>
        <tr r="H55" s="4"/>
        <tr r="C73" s="6"/>
        <tr r="H55" s="24"/>
      </tp>
      <tp>
        <v>14520</v>
        <stp/>
        <stp>Market</stp>
        <stp>STOCK</stp>
        <stp>72360.T</stp>
        <stp>高値</stp>
        <tr r="C177" s="6"/>
        <tr r="H137" s="4"/>
        <tr r="H137" s="24"/>
      </tp>
      <tp>
        <v>857</v>
        <stp/>
        <stp>Market</stp>
        <stp>STOCK</stp>
        <stp>77460.T</stp>
        <stp>高値</stp>
        <tr r="C93" s="6"/>
        <tr r="H144" s="4"/>
        <tr r="H144" s="24"/>
      </tp>
      <tp>
        <v>85390</v>
        <stp/>
        <stp>Market</stp>
        <stp>STOCK</stp>
        <stp>61460.T</stp>
        <stp>高値</stp>
        <tr r="H120" s="4"/>
        <tr r="C197" s="6"/>
        <tr r="H120" s="24"/>
      </tp>
      <tp>
        <v>3970</v>
        <stp/>
        <stp>Market</stp>
        <stp>STOCK</stp>
        <stp>63760.T</stp>
        <stp>高値</stp>
        <tr r="C269" s="6"/>
      </tp>
      <tp>
        <v>821</v>
        <stp/>
        <stp>Market</stp>
        <stp>STOCK</stp>
        <stp>63660.T</stp>
        <stp>高値</stp>
        <tr r="C260" s="6"/>
      </tp>
      <tp>
        <v>1678</v>
        <stp/>
        <stp>Market</stp>
        <stp>STOCK</stp>
        <stp>63560.T</stp>
        <stp>高値</stp>
        <tr r="C267" s="6"/>
      </tp>
      <tp>
        <v>6810</v>
        <stp/>
        <stp>Market</stp>
        <stp>STOCK</stp>
        <stp>65160.T</stp>
        <stp>高値</stp>
        <tr r="H29" s="4"/>
        <tr r="C151" s="6"/>
        <tr r="H29" s="24"/>
      </tp>
      <tp>
        <v>7060</v>
        <stp/>
        <stp>Market</stp>
        <stp>STOCK</stp>
        <stp>65060.T</stp>
        <stp>高値</stp>
        <tr r="C201" s="6"/>
        <tr r="H20" s="4"/>
        <tr r="H20" s="24"/>
      </tp>
      <tp>
        <v>3599</v>
        <stp/>
        <stp>Market</stp>
        <stp>STOCK</stp>
        <stp>64360.T</stp>
        <stp>高値</stp>
        <tr r="H155" s="4"/>
        <tr r="C178" s="6"/>
        <tr r="H155" s="24"/>
      </tp>
      <tp>
        <v>9250</v>
        <stp/>
        <stp>Market</stp>
        <stp>STOCK</stp>
        <stp>67360.T</stp>
        <stp>高値</stp>
        <tr r="C287" s="6"/>
      </tp>
      <tp>
        <v>3240</v>
        <stp/>
        <stp>Market</stp>
        <stp>STOCK</stp>
        <stp>67060.T</stp>
        <stp>高値</stp>
        <tr r="C291" s="6"/>
      </tp>
      <tp>
        <v>157</v>
        <stp/>
        <stp>Market</stp>
        <stp>STOCK</stp>
        <stp>39360.T</stp>
        <stp>高値</stp>
        <tr r="C245" s="6"/>
      </tp>
      <tp>
        <v>4212</v>
        <stp/>
        <stp>Market</stp>
        <stp>STOCK</stp>
        <stp>34360.T</stp>
        <stp>高値</stp>
        <tr r="C28" s="6"/>
        <tr r="H4" s="4"/>
        <tr r="H4" s="24"/>
      </tp>
      <tp>
        <v>1845</v>
        <stp/>
        <stp>Market</stp>
        <stp>STOCK</stp>
        <stp>36960.T</stp>
        <stp>高値</stp>
        <tr r="C228" s="6"/>
      </tp>
      <tp>
        <v>3650</v>
        <stp/>
        <stp>Market</stp>
        <stp>STOCK</stp>
        <stp>23260.T</stp>
        <stp>高値</stp>
        <tr r="C237" s="6"/>
      </tp>
      <tp>
        <v>2262</v>
        <stp/>
        <stp>Market</stp>
        <stp>STOCK</stp>
        <stp>95360.T</stp>
        <stp>高値</stp>
        <tr r="C185" s="6"/>
        <tr r="H160" s="4"/>
        <tr r="H160" s="24"/>
      </tp>
      <tp>
        <v>1053</v>
        <stp/>
        <stp>Market</stp>
        <stp>STOCK</stp>
        <stp>95060.T</stp>
        <stp>高値</stp>
        <tr r="H193" s="4"/>
        <tr r="C186" s="6"/>
        <tr r="H193" s="24"/>
      </tp>
      <tp>
        <v>1026</v>
        <stp/>
        <stp>Market</stp>
        <stp>STOCK</stp>
        <stp>94160.T</stp>
        <stp>高値</stp>
        <tr r="H107" s="4"/>
        <tr r="C126" s="6"/>
        <tr r="H107" s="24"/>
      </tp>
      <tp>
        <v>6578</v>
        <stp/>
        <stp>Market</stp>
        <stp>STOCK</stp>
        <stp>83160.T</stp>
        <stp>高値</stp>
        <tr r="C50" s="6"/>
        <tr r="H70" s="4"/>
        <tr r="H70" s="24"/>
      </tp>
      <tp>
        <v>3312</v>
        <stp/>
        <stp>Market</stp>
        <stp>STOCK</stp>
        <stp>83060.T</stp>
        <stp>高値</stp>
        <tr r="H201" s="4"/>
        <tr r="C45" s="6"/>
        <tr r="H201" s="24"/>
      </tp>
      <tp>
        <v>7421</v>
        <stp/>
        <stp>Market</stp>
        <stp>STOCK</stp>
        <stp>87660.T</stp>
        <stp>高値</stp>
        <tr r="H174" s="4"/>
        <tr r="C52" s="6"/>
        <tr r="H174" s="24"/>
      </tp>
    </main>
    <main first="rtdsrv.8a92272bbb794b2789e42afd4cc513d6">
      <tp>
        <v>1768.5</v>
        <stp/>
        <stp>Market</stp>
        <stp>STOCK</stp>
        <stp>40450.T</stp>
        <stp>高値</stp>
        <tr r="C61" s="6"/>
        <tr r="H178" s="4"/>
        <tr r="H178" s="24"/>
      </tp>
      <tp>
        <v>1369</v>
        <stp/>
        <stp>Market</stp>
        <stp>STOCK</stp>
        <stp>73750.T</stp>
        <stp>高値</stp>
        <tr r="C149" s="6"/>
        <tr r="H190" s="4"/>
        <tr r="H190" s="24"/>
      </tp>
      <tp>
        <v>15375</v>
        <stp/>
        <stp>Market</stp>
        <stp>STOCK</stp>
        <stp>77350.T</stp>
        <stp>高値</stp>
        <tr r="C283" s="6"/>
      </tp>
      <tp>
        <v>3725</v>
        <stp/>
        <stp>Market</stp>
        <stp>STOCK</stp>
        <stp>76850.T</stp>
        <stp>高値</stp>
        <tr r="H148" s="4"/>
        <tr r="C121" s="6"/>
        <tr r="H148" s="24"/>
      </tp>
      <tp>
        <v>2794.5</v>
        <stp/>
        <stp>Market</stp>
        <stp>STOCK</stp>
        <stp>69650.T</stp>
        <stp>高値</stp>
        <tr r="C300" s="6"/>
      </tp>
      <tp>
        <v>536</v>
        <stp/>
        <stp>Market</stp>
        <stp>STOCK</stp>
        <stp>69550.T</stp>
        <stp>高値</stp>
        <tr r="C265" s="6"/>
      </tp>
      <tp>
        <v>4620</v>
        <stp/>
        <stp>Market</stp>
        <stp>STOCK</stp>
        <stp>69250.T</stp>
        <stp>高値</stp>
        <tr r="H42" s="4"/>
        <tr r="C105" s="6"/>
        <tr r="H42" s="24"/>
      </tp>
      <tp>
        <v>14480</v>
        <stp/>
        <stp>Market</stp>
        <stp>STOCK</stp>
        <stp>61350.T</stp>
        <stp>高値</stp>
        <tr r="C223" s="6"/>
      </tp>
      <tp>
        <v>327</v>
        <stp/>
        <stp>Market</stp>
        <stp>STOCK</stp>
        <stp>60850.T</stp>
        <stp>高値</stp>
        <tr r="H150" s="4"/>
        <tr r="C137" s="6"/>
        <tr r="H150" s="24"/>
      </tp>
      <tp>
        <v>2416</v>
        <stp/>
        <stp>Market</stp>
        <stp>STOCK</stp>
        <stp>60550.T</stp>
        <stp>高値</stp>
        <tr r="C224" s="6"/>
      </tp>
      <tp>
        <v>5436</v>
        <stp/>
        <stp>Market</stp>
        <stp>STOCK</stp>
        <stp>63050.T</stp>
        <stp>高値</stp>
        <tr r="H85" s="4"/>
        <tr r="C203" s="6"/>
        <tr r="H85" s="24"/>
      </tp>
      <tp>
        <v>1469</v>
        <stp/>
        <stp>Market</stp>
        <stp>STOCK</stp>
        <stp>64850.T</stp>
        <stp>高値</stp>
        <tr r="H194" s="4"/>
        <tr r="C191" s="6"/>
        <tr r="H194" s="24"/>
      </tp>
      <tp>
        <v>4435</v>
        <stp/>
        <stp>Market</stp>
        <stp>STOCK</stp>
        <stp>19250.T</stp>
        <stp>高値</stp>
        <tr r="H181" s="4"/>
        <tr r="C83" s="6"/>
        <tr r="H181" s="24"/>
      </tp>
      <tp>
        <v>3428</v>
        <stp/>
        <stp>Market</stp>
        <stp>STOCK</stp>
        <stp>16050.T</stp>
        <stp>高値</stp>
        <tr r="C12" s="6"/>
        <tr r="H166" s="4"/>
        <tr r="H166" s="24"/>
      </tp>
      <tp>
        <v>5030</v>
        <stp/>
        <stp>Market</stp>
        <stp>STOCK</stp>
        <stp>39050.T</stp>
        <stp>高値</stp>
        <tr r="C284" s="6"/>
      </tp>
      <tp>
        <v>1772</v>
        <stp/>
        <stp>Market</stp>
        <stp>STOCK</stp>
        <stp>91650.T</stp>
        <stp>高値</stp>
        <tr r="C243" s="6"/>
      </tp>
      <tp>
        <v>839</v>
        <stp/>
        <stp>Market</stp>
        <stp>STOCK</stp>
        <stp>91150.T</stp>
        <stp>高値</stp>
        <tr r="C270" s="6"/>
      </tp>
      <tp>
        <v>859.5</v>
        <stp/>
        <stp>Market</stp>
        <stp>STOCK</stp>
        <stp>95050.T</stp>
        <stp>高値</stp>
        <tr r="C181" s="6"/>
        <tr r="H157" s="4"/>
        <tr r="H157" s="24"/>
      </tp>
      <tp>
        <v>73220</v>
        <stp/>
        <stp>Market</stp>
        <stp>STOCK</stp>
        <stp>80350.T</stp>
        <stp>高値</stp>
        <tr r="C198" s="6"/>
        <tr r="H35" s="4"/>
        <tr r="H35" s="24"/>
      </tp>
      <tp>
        <v>6456</v>
        <stp/>
        <stp>Market</stp>
        <stp>STOCK</stp>
        <stp>80150.T</stp>
        <stp>高値</stp>
        <tr r="C204" s="6"/>
        <tr r="H65" s="4"/>
        <tr r="H65" s="24"/>
      </tp>
      <tp>
        <v>1657</v>
        <stp/>
        <stp>Market</stp>
        <stp>STOCK</stp>
        <stp>80050.T</stp>
        <stp>高値</stp>
        <tr r="C236" s="6"/>
      </tp>
      <tp>
        <v>5017</v>
        <stp/>
        <stp>Market</stp>
        <stp>STOCK</stp>
        <stp>87950.T</stp>
        <stp>高値</stp>
        <tr r="H91" s="4"/>
        <tr r="C23" s="6"/>
        <tr r="H91" s="24"/>
      </tp>
      <tp>
        <v>4689</v>
        <stp/>
        <stp>Market</stp>
        <stp>STOCK</stp>
        <stp>87250.T</stp>
        <stp>高値</stp>
        <tr r="H168" s="4"/>
        <tr r="C22" s="6"/>
        <tr r="H168" s="24"/>
      </tp>
      <tp t="s">
        <v/>
        <stp/>
        <stp>Market</stp>
        <stp>STOCK</stp>
        <stp>d7</stp>
        <stp>現在値</stp>
        <tr r="H147" s="19"/>
        <tr r="H189" s="19"/>
        <tr r="H162" s="19"/>
        <tr r="H183" s="19"/>
        <tr r="H123" s="19"/>
        <tr r="H199" s="19"/>
        <tr r="H144" s="19"/>
        <tr r="H194" s="19"/>
        <tr r="H113" s="19"/>
        <tr r="H157" s="19"/>
        <tr r="H82" s="19"/>
        <tr r="H158" s="19"/>
        <tr r="H153" s="19"/>
        <tr r="H111" s="19"/>
        <tr r="H185" s="19"/>
        <tr r="H160" s="19"/>
        <tr r="H202" s="19"/>
        <tr r="H213" s="19"/>
        <tr r="H196" s="19"/>
        <tr r="H192" s="19"/>
        <tr r="H104" s="19"/>
        <tr r="H178" s="19"/>
        <tr r="H174" s="19"/>
        <tr r="H152" s="19"/>
        <tr r="H142" s="19"/>
        <tr r="H105" s="19"/>
        <tr r="H92" s="19"/>
        <tr r="H107" s="19"/>
        <tr r="H125" s="19"/>
        <tr r="H171" s="19"/>
        <tr r="H141" s="19"/>
        <tr r="H103" s="19"/>
        <tr r="H79" s="19"/>
        <tr r="H165" s="19"/>
        <tr r="H135" s="19"/>
        <tr r="H166" s="19"/>
        <tr r="H148" s="19"/>
        <tr r="H206" s="19"/>
        <tr r="H156" s="19"/>
        <tr r="H207" s="19"/>
        <tr r="H193" s="19"/>
        <tr r="H89" s="19"/>
        <tr r="H139" s="19"/>
        <tr r="H212" s="19"/>
        <tr r="H110" s="19"/>
        <tr r="H80" s="19"/>
        <tr r="H81" s="19"/>
        <tr r="H136" s="19"/>
        <tr r="H116" s="19"/>
        <tr r="H204" s="19"/>
        <tr r="H181" s="19"/>
        <tr r="H188" s="19"/>
        <tr r="H86" s="19"/>
        <tr r="H94" s="19"/>
        <tr r="H97" s="19"/>
        <tr r="H180" s="19"/>
        <tr r="H170" s="19"/>
        <tr r="H109" s="19"/>
        <tr r="H128" s="19"/>
        <tr r="H211" s="19"/>
        <tr r="H198" s="19"/>
        <tr r="H106" s="19"/>
        <tr r="H96" s="19"/>
        <tr r="H121" s="19"/>
        <tr r="H169" s="19"/>
        <tr r="H146" s="19"/>
        <tr r="H130" s="19"/>
        <tr r="H114" s="19"/>
        <tr r="H155" s="19"/>
        <tr r="H164" s="19"/>
        <tr r="H187" s="19"/>
        <tr r="H127" s="19"/>
        <tr r="H124" s="19"/>
        <tr r="H102" s="19"/>
        <tr r="H140" s="19"/>
        <tr r="H159" s="19"/>
        <tr r="H145" s="19"/>
        <tr r="H87" s="19"/>
        <tr r="H126" s="19"/>
        <tr r="H129" s="19"/>
        <tr r="H122" s="19"/>
        <tr r="H209" s="19"/>
        <tr r="H167" s="19"/>
        <tr r="H91" s="19"/>
        <tr r="H197" s="19"/>
        <tr r="H184" s="19"/>
        <tr r="H182" s="19"/>
        <tr r="H119" s="19"/>
        <tr r="H172" s="19"/>
        <tr r="H201" s="19"/>
        <tr r="H154" s="19"/>
        <tr r="H168" s="19"/>
        <tr r="H90" s="19"/>
        <tr r="H186" s="19"/>
        <tr r="H133" s="19"/>
        <tr r="H205" s="19"/>
        <tr r="H84" s="19"/>
        <tr r="H176" s="19"/>
        <tr r="H118" s="19"/>
        <tr r="H99" s="19"/>
        <tr r="H150" s="19"/>
        <tr r="H85" s="19"/>
        <tr r="H161" s="19"/>
        <tr r="H179" s="19"/>
        <tr r="H83" s="19"/>
        <tr r="H163" s="19"/>
        <tr r="H100" s="19"/>
        <tr r="H210" s="19"/>
        <tr r="H208" s="19"/>
        <tr r="H138" s="19"/>
        <tr r="H190" s="19"/>
        <tr r="H93" s="19"/>
        <tr r="H149" s="19"/>
        <tr r="H108" s="19"/>
        <tr r="H98" s="19"/>
        <tr r="H143" s="19"/>
        <tr r="H151" s="19"/>
        <tr r="H101" s="19"/>
        <tr r="H115" s="19"/>
        <tr r="H175" s="19"/>
        <tr r="H120" s="19"/>
        <tr r="H131" s="19"/>
        <tr r="H203" s="19"/>
        <tr r="H191" s="19"/>
        <tr r="H117" s="19"/>
        <tr r="H112" s="19"/>
        <tr r="H195" s="19"/>
        <tr r="H132" s="19"/>
        <tr r="H95" s="19"/>
        <tr r="H137" s="19"/>
        <tr r="H78" s="19"/>
        <tr r="H177" s="19"/>
        <tr r="H134" s="19"/>
        <tr r="H173" s="19"/>
        <tr r="H200" s="19"/>
        <tr r="H88" s="19"/>
      </tp>
    </main>
    <main first="rtdsrv.8a92272bbb794b2789e42afd4cc513d6">
      <tp>
        <v>4733</v>
        <stp/>
        <stp>Market</stp>
        <stp>STOCK</stp>
        <stp>58440.T</stp>
        <stp>高値</stp>
        <tr r="C118" s="6"/>
        <tr r="H61" s="4"/>
        <tr r="H61" s="24"/>
      </tp>
      <tp>
        <v>9927</v>
        <stp/>
        <stp>Market</stp>
        <stp>STOCK</stp>
        <stp>57140.T</stp>
        <stp>高値</stp>
        <tr r="H47" s="4"/>
        <tr r="C10" s="6"/>
        <tr r="H47" s="24"/>
      </tp>
      <tp>
        <v>18535</v>
        <stp/>
        <stp>Market</stp>
        <stp>STOCK</stp>
        <stp>40040.T</stp>
        <stp>高値</stp>
        <tr r="C213" s="6"/>
      </tp>
      <tp>
        <v>3251</v>
        <stp/>
        <stp>Market</stp>
        <stp>STOCK</stp>
        <stp>45440.T</stp>
        <stp>高値</stp>
        <tr r="C273" s="6"/>
      </tp>
      <tp>
        <v>5852</v>
        <stp/>
        <stp>Market</stp>
        <stp>STOCK</stp>
        <stp>47040.T</stp>
        <stp>高値</stp>
        <tr r="C254" s="6"/>
      </tp>
      <tp>
        <v>3965</v>
        <stp/>
        <stp>Market</stp>
        <stp>STOCK</stp>
        <stp>70140.T</stp>
        <stp>高値</stp>
        <tr r="C256" s="6"/>
      </tp>
      <tp>
        <v>1344</v>
        <stp/>
        <stp>Market</stp>
        <stp>STOCK</stp>
        <stp>74140.T</stp>
        <stp>高値</stp>
        <tr r="C294" s="6"/>
      </tp>
      <tp>
        <v>1098</v>
        <stp/>
        <stp>Market</stp>
        <stp>STOCK</stp>
        <stp>77940.T</stp>
        <stp>高値</stp>
        <tr r="C136" s="6"/>
        <tr r="H80" s="4"/>
        <tr r="H80" s="24"/>
      </tp>
      <tp>
        <v>7515</v>
        <stp/>
        <stp>Market</stp>
        <stp>STOCK</stp>
        <stp>69540.T</stp>
        <stp>高値</stp>
        <tr r="C78" s="6"/>
        <tr r="H16" s="4"/>
        <tr r="H16" s="24"/>
      </tp>
      <tp>
        <v>8377</v>
        <stp/>
        <stp>Market</stp>
        <stp>STOCK</stp>
        <stp>61340.T</stp>
        <stp>高値</stp>
        <tr r="H25" s="4"/>
        <tr r="C92" s="6"/>
        <tr r="H25" s="24"/>
      </tp>
      <tp>
        <v>7890</v>
        <stp/>
        <stp>Market</stp>
        <stp>STOCK</stp>
        <stp>63240.T</stp>
        <stp>高値</stp>
        <tr r="C210" s="6"/>
      </tp>
      <tp>
        <v>4990</v>
        <stp/>
        <stp>Market</stp>
        <stp>STOCK</stp>
        <stp>62540.T</stp>
        <stp>高値</stp>
        <tr r="H5" s="4"/>
        <tr r="C30" s="6"/>
        <tr r="H5" s="24"/>
      </tp>
      <tp>
        <v>4123</v>
        <stp/>
        <stp>Market</stp>
        <stp>STOCK</stp>
        <stp>67540.T</stp>
        <stp>高値</stp>
        <tr r="C155" s="6"/>
        <tr r="H31" s="4"/>
        <tr r="H31" s="24"/>
      </tp>
      <tp>
        <v>4230</v>
        <stp/>
        <stp>Market</stp>
        <stp>STOCK</stp>
        <stp>67440.T</stp>
        <stp>高値</stp>
        <tr r="H106" s="4"/>
        <tr r="C120" s="6"/>
        <tr r="H106" s="24"/>
      </tp>
      <tp>
        <v>6880</v>
        <stp/>
        <stp>Market</stp>
        <stp>STOCK</stp>
        <stp>66740.T</stp>
        <stp>高値</stp>
        <tr r="C264" s="6"/>
      </tp>
      <tp>
        <v>566</v>
        <stp/>
        <stp>Market</stp>
        <stp>STOCK</stp>
        <stp>15140.T</stp>
        <stp>高値</stp>
        <tr r="C262" s="6"/>
      </tp>
      <tp>
        <v>1828</v>
        <stp/>
        <stp>Market</stp>
        <stp>STOCK</stp>
        <stp>39840.T</stp>
        <stp>高値</stp>
        <tr r="C239" s="6"/>
      </tp>
      <tp>
        <v>1087</v>
        <stp/>
        <stp>Market</stp>
        <stp>STOCK</stp>
        <stp>38640.T</stp>
        <stp>高値</stp>
        <tr r="C271" s="6"/>
      </tp>
      <tp>
        <v>2206</v>
        <stp/>
        <stp>Market</stp>
        <stp>STOCK</stp>
        <stp>38540.T</stp>
        <stp>高値</stp>
        <tr r="H54" s="4"/>
        <tr r="C71" s="6"/>
        <tr r="H54" s="24"/>
      </tp>
      <tp>
        <v>6160</v>
        <stp/>
        <stp>Market</stp>
        <stp>STOCK</stp>
        <stp>29140.T</stp>
        <stp>高値</stp>
        <tr r="C87" s="6"/>
        <tr r="H182" s="4"/>
        <tr r="H182" s="24"/>
      </tp>
      <tp>
        <v>6948</v>
        <stp/>
        <stp>Market</stp>
        <stp>STOCK</stp>
        <stp>99840.T</stp>
        <stp>高値</stp>
        <tr r="H53" s="4"/>
        <tr r="C65" s="6"/>
        <tr r="H53" s="24"/>
      </tp>
      <tp>
        <v>5532</v>
        <stp/>
        <stp>Market</stp>
        <stp>STOCK</stp>
        <stp>91040.T</stp>
        <stp>高値</stp>
        <tr r="C259" s="6"/>
      </tp>
      <tp>
        <v>1780</v>
        <stp/>
        <stp>Market</stp>
        <stp>STOCK</stp>
        <stp>90640.T</stp>
        <stp>高値</stp>
        <tr r="H163" s="4"/>
        <tr r="C189" s="6"/>
        <tr r="H163" s="24"/>
      </tp>
      <tp>
        <v>117</v>
        <stp/>
        <stp>Market</stp>
        <stp>STOCK</stp>
        <stp>94240.T</stp>
        <stp>高値</stp>
        <tr r="C70" s="6"/>
        <tr r="H15" s="4"/>
        <tr r="H15" s="24"/>
      </tp>
      <tp>
        <v>2900</v>
        <stp/>
        <stp>Market</stp>
        <stp>STOCK</stp>
        <stp>94040.T</stp>
        <stp>高値</stp>
        <tr r="C119" s="6"/>
        <tr r="H78" s="4"/>
        <tr r="H78" s="24"/>
      </tp>
      <tp>
        <v>2395</v>
        <stp/>
        <stp>Market</stp>
        <stp>STOCK</stp>
        <stp>89340.T</stp>
        <stp>高値</stp>
        <tr r="C125" s="6"/>
        <tr r="H149" s="4"/>
        <tr r="H149" s="24"/>
      </tp>
      <tp>
        <v>3660</v>
        <stp/>
        <stp>Market</stp>
        <stp>STOCK</stp>
        <stp>83440.T</stp>
        <stp>高値</stp>
        <tr r="C293" s="6"/>
      </tp>
      <tp>
        <v>2384</v>
        <stp/>
        <stp>Market</stp>
        <stp>STOCK</stp>
        <stp>83340.T</stp>
        <stp>高値</stp>
        <tr r="C122" s="6"/>
        <tr r="H204" s="4"/>
        <tr r="H204" s="24"/>
      </tp>
      <tp>
        <v>4333</v>
        <stp/>
        <stp>Market</stp>
        <stp>STOCK</stp>
        <stp>84240.T</stp>
        <stp>高値</stp>
        <tr r="H185" s="4"/>
        <tr r="C108" s="6"/>
        <tr r="H185" s="24"/>
      </tp>
      <tp>
        <v>1175</v>
        <stp/>
        <stp>Market</stp>
        <stp>STOCK</stp>
        <stp>87040.T</stp>
        <stp>高値</stp>
        <tr r="H19" s="4"/>
        <tr r="C164" s="6"/>
        <tr r="H19" s="24"/>
      </tp>
      <tp>
        <v>1478</v>
        <stp/>
        <stp>Market</stp>
        <stp>STOCK</stp>
        <stp>86040.T</stp>
        <stp>高値</stp>
        <tr r="C40" s="6"/>
        <tr r="H199" s="4"/>
        <tr r="H199" s="24"/>
      </tp>
    </main>
    <main first="rtdsrv.8a92272bbb794b2789e42afd4cc513d6">
      <tp t="s">
        <v/>
        <stp/>
        <stp>Market</stp>
        <stp>STOCK</stp>
        <stp>TOPX0.T</stp>
        <stp>出来高</stp>
        <tr r="J36" s="4"/>
        <tr r="J36" s="24"/>
      </tp>
    </main>
    <main first="rtdsrv.8a92272bbb794b2789e42afd4cc513d6">
      <tp>
        <v>0.64</v>
        <stp/>
        <stp>Market</stp>
        <stp>INDEX</stp>
        <stp>DJIA</stp>
        <stp>前日比率</stp>
        <tr r="C3" s="27"/>
      </tp>
    </main>
    <main first="rtdsrv.8a92272bbb794b2789e42afd4cc513d6">
      <tp>
        <v>234920</v>
        <stp/>
        <stp>Market</stp>
        <stp>INDEX</stp>
        <stp>TOPX</stp>
        <stp>出来高</stp>
        <tr r="C5" s="9"/>
      </tp>
    </main>
    <main first="rtdsrv.8a92272bbb794b2789e42afd4cc513d6">
      <tp>
        <v>3991.14</v>
        <stp/>
        <stp>Market</stp>
        <stp>INDEX</stp>
        <stp>TOPX</stp>
        <stp>前日終値</stp>
        <tr r="E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0</xdr:row>
          <xdr:rowOff>85725</xdr:rowOff>
        </xdr:from>
        <xdr:to>
          <xdr:col>5</xdr:col>
          <xdr:colOff>390525</xdr:colOff>
          <xdr:row>2</xdr:row>
          <xdr:rowOff>152400</xdr:rowOff>
        </xdr:to>
        <xdr:sp macro="" textlink="">
          <xdr:nvSpPr>
            <xdr:cNvPr id="1030" name="btn_買い抽出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買い抽出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123825</xdr:rowOff>
        </xdr:from>
        <xdr:to>
          <xdr:col>10</xdr:col>
          <xdr:colOff>247650</xdr:colOff>
          <xdr:row>3</xdr:row>
          <xdr:rowOff>247650</xdr:rowOff>
        </xdr:to>
        <xdr:sp macro="" textlink="">
          <xdr:nvSpPr>
            <xdr:cNvPr id="1031" name="btn_銘柄追加" descr="銘柄　追加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銘柄追加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0</xdr:row>
          <xdr:rowOff>142875</xdr:rowOff>
        </xdr:from>
        <xdr:to>
          <xdr:col>12</xdr:col>
          <xdr:colOff>590550</xdr:colOff>
          <xdr:row>3</xdr:row>
          <xdr:rowOff>209550</xdr:rowOff>
        </xdr:to>
        <xdr:sp macro="" textlink="">
          <xdr:nvSpPr>
            <xdr:cNvPr id="1032" name="btn_銘柄削除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　銘柄削除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0</xdr:row>
          <xdr:rowOff>104775</xdr:rowOff>
        </xdr:from>
        <xdr:to>
          <xdr:col>7</xdr:col>
          <xdr:colOff>457200</xdr:colOff>
          <xdr:row>2</xdr:row>
          <xdr:rowOff>161925</xdr:rowOff>
        </xdr:to>
        <xdr:sp macro="" textlink="">
          <xdr:nvSpPr>
            <xdr:cNvPr id="1033" name="btn_データ更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0</xdr:row>
          <xdr:rowOff>38100</xdr:rowOff>
        </xdr:from>
        <xdr:to>
          <xdr:col>11</xdr:col>
          <xdr:colOff>257175</xdr:colOff>
          <xdr:row>2</xdr:row>
          <xdr:rowOff>28575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買抽出４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0</xdr:row>
          <xdr:rowOff>38100</xdr:rowOff>
        </xdr:from>
        <xdr:to>
          <xdr:col>12</xdr:col>
          <xdr:colOff>495300</xdr:colOff>
          <xdr:row>1</xdr:row>
          <xdr:rowOff>47625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抽出緩和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0</xdr:rowOff>
        </xdr:from>
        <xdr:to>
          <xdr:col>6</xdr:col>
          <xdr:colOff>19050</xdr:colOff>
          <xdr:row>1</xdr:row>
          <xdr:rowOff>371475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高精度買抽出　</a:t>
              </a:r>
            </a:p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　　　　　　　　　　　</a:t>
              </a: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1870075</xdr:colOff>
      <xdr:row>0</xdr:row>
      <xdr:rowOff>0</xdr:rowOff>
    </xdr:from>
    <xdr:to>
      <xdr:col>17</xdr:col>
      <xdr:colOff>5549900</xdr:colOff>
      <xdr:row>1</xdr:row>
      <xdr:rowOff>0</xdr:rowOff>
    </xdr:to>
    <xdr:sp macro="[0]!売抽出更新" textlink="">
      <xdr:nvSpPr>
        <xdr:cNvPr id="3" name="再計算ボタン">
          <a:extLst>
            <a:ext uri="{FF2B5EF4-FFF2-40B4-BE49-F238E27FC236}">
              <a16:creationId xmlns:a16="http://schemas.microsoft.com/office/drawing/2014/main" id="{B6E599C2-5A73-48FC-BCDC-C1F149FC2B75}"/>
            </a:ext>
          </a:extLst>
        </xdr:cNvPr>
        <xdr:cNvSpPr/>
      </xdr:nvSpPr>
      <xdr:spPr>
        <a:xfrm>
          <a:off x="22767925" y="0"/>
          <a:ext cx="3679825" cy="1181100"/>
        </a:xfrm>
        <a:prstGeom prst="roundRect">
          <a:avLst/>
        </a:prstGeom>
        <a:solidFill>
          <a:srgbClr val="217346"/>
        </a:solidFill>
        <a:ln w="25400" cap="flat" cmpd="sng" algn="ctr">
          <a:solidFill>
            <a:srgbClr val="145A32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ja-JP" altLang="en-US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ＭＳ Ｐゴシック" panose="020B0600070205080204" pitchFamily="50" charset="-128"/>
            </a:rPr>
            <a:t>🔄売り抽出</a:t>
          </a:r>
          <a:endParaRPr kumimoji="0" lang="ja-JP" altLang="en-US" sz="11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ea typeface="ＭＳ Ｐゴシック" panose="020B060007020508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1136650</xdr:colOff>
      <xdr:row>1</xdr:row>
      <xdr:rowOff>254000</xdr:rowOff>
    </xdr:from>
    <xdr:to>
      <xdr:col>13</xdr:col>
      <xdr:colOff>771525</xdr:colOff>
      <xdr:row>6</xdr:row>
      <xdr:rowOff>123825</xdr:rowOff>
    </xdr:to>
    <xdr:sp macro="[0]!ImportOHLCV" textlink="">
      <xdr:nvSpPr>
        <xdr:cNvPr id="2" name="btnImport">
          <a:extLst>
            <a:ext uri="{FF2B5EF4-FFF2-40B4-BE49-F238E27FC236}">
              <a16:creationId xmlns:a16="http://schemas.microsoft.com/office/drawing/2014/main" id="{B4E32E07-86CD-4CCB-9722-B1340713BB7C}"/>
            </a:ext>
          </a:extLst>
        </xdr:cNvPr>
        <xdr:cNvSpPr/>
      </xdr:nvSpPr>
      <xdr:spPr>
        <a:xfrm>
          <a:off x="12376150" y="787400"/>
          <a:ext cx="1987550" cy="1050925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2F5496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altLang="ja-JP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RSS </a:t>
          </a:r>
          <a:r>
            <a:rPr kumimoji="0" lang="ja-JP" alt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データ　</a:t>
          </a:r>
          <a:r>
            <a:rPr kumimoji="0" lang="en-US" altLang="ja-JP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IMPORT</a:t>
          </a:r>
          <a:endParaRPr kumimoji="0" lang="ja-JP" altLang="en-US" sz="11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Meiryo UI"/>
            <a:ea typeface="Meiryo U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631824</xdr:colOff>
      <xdr:row>0</xdr:row>
      <xdr:rowOff>88899</xdr:rowOff>
    </xdr:from>
    <xdr:to>
      <xdr:col>2</xdr:col>
      <xdr:colOff>2552699</xdr:colOff>
      <xdr:row>0</xdr:row>
      <xdr:rowOff>904874</xdr:rowOff>
    </xdr:to>
    <xdr:sp macro="" textlink="">
      <xdr:nvSpPr>
        <xdr:cNvPr id="2" name="BtnCheck">
          <a:extLst>
            <a:ext uri="{FF2B5EF4-FFF2-40B4-BE49-F238E27FC236}">
              <a16:creationId xmlns:a16="http://schemas.microsoft.com/office/drawing/2014/main" id="{FDEF262B-FE3F-4591-B323-503202115BFD}"/>
            </a:ext>
          </a:extLst>
        </xdr:cNvPr>
        <xdr:cNvSpPr/>
      </xdr:nvSpPr>
      <xdr:spPr>
        <a:xfrm>
          <a:off x="6613524" y="88899"/>
          <a:ext cx="1920875" cy="815975"/>
        </a:xfrm>
        <a:prstGeom prst="roundRect">
          <a:avLst/>
        </a:prstGeom>
        <a:solidFill>
          <a:srgbClr val="375623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リセットボタン 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  <a:p>
          <a:pPr algn="ctr"/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決済後必ずリセット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  <a:p>
          <a:pPr algn="ctr"/>
          <a:endParaRPr kumimoji="0" lang="ja-JP" altLang="en-US" sz="12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2686051</xdr:colOff>
      <xdr:row>0</xdr:row>
      <xdr:rowOff>107950</xdr:rowOff>
    </xdr:from>
    <xdr:to>
      <xdr:col>3</xdr:col>
      <xdr:colOff>1038225</xdr:colOff>
      <xdr:row>0</xdr:row>
      <xdr:rowOff>876300</xdr:rowOff>
    </xdr:to>
    <xdr:sp macro="" textlink="">
      <xdr:nvSpPr>
        <xdr:cNvPr id="3" name="BtnReset">
          <a:extLst>
            <a:ext uri="{FF2B5EF4-FFF2-40B4-BE49-F238E27FC236}">
              <a16:creationId xmlns:a16="http://schemas.microsoft.com/office/drawing/2014/main" id="{9593373D-C9AF-45CB-B79A-7BA7D3FEBA2F}"/>
            </a:ext>
          </a:extLst>
        </xdr:cNvPr>
        <xdr:cNvSpPr/>
      </xdr:nvSpPr>
      <xdr:spPr>
        <a:xfrm>
          <a:off x="8667751" y="107950"/>
          <a:ext cx="1609724" cy="768350"/>
        </a:xfrm>
        <a:prstGeom prst="roundRect">
          <a:avLst/>
        </a:prstGeom>
        <a:solidFill>
          <a:srgbClr val="7B2C2C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0" lang="ja-JP" altLang="en-US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状態確認ボタン</a:t>
          </a:r>
        </a:p>
      </xdr:txBody>
    </xdr:sp>
    <xdr:clientData/>
  </xdr:twoCellAnchor>
  <xdr:twoCellAnchor>
    <xdr:from>
      <xdr:col>2</xdr:col>
      <xdr:colOff>53975</xdr:colOff>
      <xdr:row>0</xdr:row>
      <xdr:rowOff>69849</xdr:rowOff>
    </xdr:from>
    <xdr:to>
      <xdr:col>2</xdr:col>
      <xdr:colOff>514350</xdr:colOff>
      <xdr:row>0</xdr:row>
      <xdr:rowOff>904874</xdr:rowOff>
    </xdr:to>
    <xdr:sp macro="[0]!タイマーセット" textlink="">
      <xdr:nvSpPr>
        <xdr:cNvPr id="5" name="btnタイマー" descr="タイマーセット">
          <a:extLst>
            <a:ext uri="{FF2B5EF4-FFF2-40B4-BE49-F238E27FC236}">
              <a16:creationId xmlns:a16="http://schemas.microsoft.com/office/drawing/2014/main" id="{685E24DB-5534-47E8-B50F-4C183381BC3B}"/>
            </a:ext>
          </a:extLst>
        </xdr:cNvPr>
        <xdr:cNvSpPr/>
      </xdr:nvSpPr>
      <xdr:spPr>
        <a:xfrm>
          <a:off x="6035675" y="69849"/>
          <a:ext cx="460375" cy="835025"/>
        </a:xfrm>
        <a:prstGeom prst="rect">
          <a:avLst/>
        </a:prstGeom>
        <a:solidFill>
          <a:srgbClr val="375623"/>
        </a:solidFill>
        <a:ln w="25400" cap="flat" cmpd="sng" algn="ctr">
          <a:solidFill>
            <a:srgbClr val="1E3A13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af-ZA" altLang="ja-JP" sz="13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⏱ 15:31</a:t>
          </a:r>
          <a:r>
            <a:rPr kumimoji="0" lang="ja-JP" altLang="en-US" sz="13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タイマーセット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133350</xdr:rowOff>
        </xdr:from>
        <xdr:to>
          <xdr:col>3</xdr:col>
          <xdr:colOff>2514600</xdr:colOff>
          <xdr:row>0</xdr:row>
          <xdr:rowOff>838200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成り行き買い発注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2571750</xdr:colOff>
          <xdr:row>0</xdr:row>
          <xdr:rowOff>152400</xdr:rowOff>
        </xdr:from>
        <xdr:to>
          <xdr:col>3</xdr:col>
          <xdr:colOff>4143375</xdr:colOff>
          <xdr:row>0</xdr:row>
          <xdr:rowOff>828675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指値買い発注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4210050</xdr:colOff>
          <xdr:row>0</xdr:row>
          <xdr:rowOff>171450</xdr:rowOff>
        </xdr:from>
        <xdr:to>
          <xdr:col>3</xdr:col>
          <xdr:colOff>5581650</xdr:colOff>
          <xdr:row>0</xdr:row>
          <xdr:rowOff>838200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逆指値買い発注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5705475</xdr:colOff>
          <xdr:row>0</xdr:row>
          <xdr:rowOff>209550</xdr:rowOff>
        </xdr:from>
        <xdr:to>
          <xdr:col>3</xdr:col>
          <xdr:colOff>6810375</xdr:colOff>
          <xdr:row>0</xdr:row>
          <xdr:rowOff>838200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手動成行決済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91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6551DB9-78F6-42F2-A59C-777ACE9A724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a07dad87-9189-4893-a62d-b329ac5272ea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A1:AA505"/>
  <sheetViews>
    <sheetView showGridLines="0" workbookViewId="0">
      <pane xSplit="1" ySplit="4" topLeftCell="B269" activePane="bottomRight" state="frozen"/>
      <selection activeCell="C162" sqref="C162"/>
      <selection pane="topRight" activeCell="C162" sqref="C162"/>
      <selection pane="bottomLeft" activeCell="C162" sqref="C162"/>
      <selection pane="bottomRight" activeCell="K283" sqref="K283"/>
    </sheetView>
  </sheetViews>
  <sheetFormatPr defaultRowHeight="14.25"/>
  <cols>
    <col min="1" max="1" width="6.625" style="79" customWidth="1"/>
    <col min="2" max="2" width="10.625" style="1" customWidth="1"/>
    <col min="3" max="4" width="24.625" style="1" customWidth="1"/>
    <col min="5" max="26" width="9" style="1" customWidth="1"/>
    <col min="27" max="16384" width="9" style="1"/>
  </cols>
  <sheetData>
    <row r="1" spans="1:27" ht="38.1" customHeight="1">
      <c r="A1" s="530" t="s">
        <v>0</v>
      </c>
      <c r="B1" s="531"/>
      <c r="C1" s="531"/>
      <c r="D1" s="531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1:27" ht="19.5" customHeight="1">
      <c r="A2" s="532" t="s">
        <v>1</v>
      </c>
      <c r="B2" s="531"/>
      <c r="C2" s="531"/>
      <c r="D2" s="531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27" ht="21" customHeight="1">
      <c r="A3" s="87"/>
      <c r="B3" s="88"/>
      <c r="C3" s="88"/>
      <c r="D3" s="88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27" ht="21" customHeight="1">
      <c r="A4" s="89"/>
      <c r="B4" s="90" t="s">
        <v>2</v>
      </c>
      <c r="C4" s="91" t="s">
        <v>3</v>
      </c>
      <c r="D4" s="91" t="s">
        <v>4</v>
      </c>
      <c r="E4" s="86"/>
      <c r="F4" s="86"/>
      <c r="G4" s="86"/>
      <c r="H4" s="86"/>
      <c r="I4" s="86"/>
      <c r="J4" s="86"/>
      <c r="K4" s="86"/>
      <c r="L4" s="86"/>
      <c r="M4" s="86"/>
      <c r="N4" s="86"/>
    </row>
    <row r="5" spans="1:27" ht="21.75">
      <c r="A5" s="92"/>
      <c r="B5" s="93" t="s">
        <v>5</v>
      </c>
      <c r="C5" s="93">
        <f t="array" ref="C5">_xll.RssIndexMarket("TOPX","現在値")</f>
        <v>4013.23</v>
      </c>
      <c r="D5" s="94" t="str">
        <f>IF(OR(C5="",E5=""),"",TEXT(C5-E5,"+#,##0.00;-#,##0.00;0")&amp;"  ("&amp;TEXT((C5-E5)/E5,"+0.00%;-0.00%;0.00%")&amp;")")</f>
        <v>+22.09  (+0.55%)</v>
      </c>
      <c r="E5" s="95">
        <f t="array" ref="E5">_xll.RssIndexMarket("TOPX","前日終値")</f>
        <v>3991.14</v>
      </c>
      <c r="F5" s="96" t="str">
        <f>IF(C5&gt;E5,"上昇▲","下落▼")</f>
        <v>上昇▲</v>
      </c>
      <c r="G5" s="86"/>
      <c r="H5" s="86"/>
      <c r="I5" s="86"/>
      <c r="J5" s="86"/>
      <c r="K5" s="86"/>
      <c r="L5" s="86"/>
      <c r="M5" s="86"/>
      <c r="N5" s="86"/>
      <c r="AA5" s="602"/>
    </row>
    <row r="6" spans="1:27" ht="20.100000000000001" customHeight="1">
      <c r="A6" s="97">
        <f t="shared" ref="A6:A69" si="0">IF(B6="","",ROW()-5)</f>
        <v>1</v>
      </c>
      <c r="B6" s="60">
        <v>5706</v>
      </c>
      <c r="C6" s="98" t="str" cm="1">
        <f t="array" ref="C6">_xll.RssMarket(B6, "銘柄名称")</f>
        <v>三井金属</v>
      </c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AA6" s="603"/>
    </row>
    <row r="7" spans="1:27" ht="20.100000000000001" customHeight="1">
      <c r="A7" s="101">
        <f t="shared" si="0"/>
        <v>2</v>
      </c>
      <c r="B7" s="61">
        <v>5423</v>
      </c>
      <c r="C7" s="98" t="str" cm="1">
        <f t="array" ref="C7">_xll.RssMarket(B7, "銘柄名称")</f>
        <v>東京製鐵</v>
      </c>
      <c r="D7" s="99" t="str">
        <f>IF(B7="","",HYPERLINK("https://kabutan.jp/stock/?code="&amp;B7,"株探"))</f>
        <v>株探</v>
      </c>
      <c r="E7" s="100"/>
      <c r="F7" s="100"/>
      <c r="G7" s="100"/>
      <c r="H7" s="100"/>
      <c r="I7" s="100"/>
      <c r="J7" s="100"/>
      <c r="K7" s="100"/>
      <c r="L7" s="100"/>
      <c r="M7" s="100"/>
      <c r="N7" s="100"/>
      <c r="AA7" s="603"/>
    </row>
    <row r="8" spans="1:27" ht="20.100000000000001" customHeight="1">
      <c r="A8" s="101">
        <f t="shared" si="0"/>
        <v>3</v>
      </c>
      <c r="B8" s="61">
        <v>5713</v>
      </c>
      <c r="C8" s="98" t="str" cm="1">
        <f t="array" ref="C8">_xll.RssMarket(B8, "銘柄名称")</f>
        <v>住友鉱山</v>
      </c>
      <c r="D8" s="99" t="str">
        <f t="shared" ref="D8:D69" si="1">IF(B8="","",HYPERLINK("https://kabutan.jp/stock/?code="&amp;B8,"株探"))</f>
        <v>株探</v>
      </c>
      <c r="E8" s="100"/>
      <c r="F8" s="100"/>
      <c r="G8" s="100"/>
      <c r="H8" s="100"/>
      <c r="I8" s="100"/>
      <c r="J8" s="100"/>
      <c r="K8" s="100"/>
      <c r="L8" s="100"/>
      <c r="M8" s="100"/>
      <c r="N8" s="100"/>
      <c r="AA8" s="603"/>
    </row>
    <row r="9" spans="1:27" ht="20.100000000000001" customHeight="1">
      <c r="A9" s="101">
        <f t="shared" si="0"/>
        <v>4</v>
      </c>
      <c r="B9" s="61">
        <v>5711</v>
      </c>
      <c r="C9" s="98" t="str" cm="1">
        <f t="array" ref="C9">_xll.RssMarket(B9, "銘柄名称")</f>
        <v>三菱マテリアル</v>
      </c>
      <c r="D9" s="99" t="str">
        <f t="shared" si="1"/>
        <v>株探</v>
      </c>
      <c r="E9" s="100"/>
      <c r="F9" s="100"/>
      <c r="G9" s="100"/>
      <c r="H9" s="100"/>
      <c r="I9" s="100"/>
      <c r="J9" s="100"/>
      <c r="K9" s="100"/>
      <c r="L9" s="100"/>
      <c r="M9" s="100"/>
      <c r="N9" s="100"/>
      <c r="AA9" s="602"/>
    </row>
    <row r="10" spans="1:27" ht="20.100000000000001" customHeight="1">
      <c r="A10" s="101">
        <f t="shared" si="0"/>
        <v>5</v>
      </c>
      <c r="B10" s="61">
        <v>5714</v>
      </c>
      <c r="C10" s="98" t="str" cm="1">
        <f t="array" ref="C10">_xll.RssMarket(B10, "銘柄名称")</f>
        <v>ＤＯＷＡホールディングス</v>
      </c>
      <c r="D10" s="99" t="str">
        <f t="shared" si="1"/>
        <v>株探</v>
      </c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AA10" s="603"/>
    </row>
    <row r="11" spans="1:27" ht="20.100000000000001" customHeight="1">
      <c r="A11" s="101">
        <f t="shared" si="0"/>
        <v>6</v>
      </c>
      <c r="B11" s="61">
        <v>6701</v>
      </c>
      <c r="C11" s="98" t="str" cm="1">
        <f t="array" ref="C11">_xll.RssMarket(B11, "銘柄名称")</f>
        <v>日本電気</v>
      </c>
      <c r="D11" s="99" t="str">
        <f t="shared" si="1"/>
        <v>株探</v>
      </c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S11" s="1" t="str">
        <f t="array" ref="S11">_xll.RssIndexMarket("0000","現在値")</f>
        <v/>
      </c>
      <c r="AA11" s="603"/>
    </row>
    <row r="12" spans="1:27" ht="20.100000000000001" customHeight="1">
      <c r="A12" s="101">
        <f t="shared" si="0"/>
        <v>7</v>
      </c>
      <c r="B12" s="61">
        <v>1605</v>
      </c>
      <c r="C12" s="98" t="str" cm="1">
        <f t="array" ref="C12">_xll.RssMarket(B12, "銘柄名称")</f>
        <v>ＩＮＰＥＸ</v>
      </c>
      <c r="D12" s="99" t="str">
        <f t="shared" si="1"/>
        <v>株探</v>
      </c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AA12" s="602"/>
    </row>
    <row r="13" spans="1:27" ht="20.100000000000001" customHeight="1">
      <c r="A13" s="101">
        <f t="shared" si="0"/>
        <v>8</v>
      </c>
      <c r="B13" s="61">
        <v>5703</v>
      </c>
      <c r="C13" s="98" t="str" cm="1">
        <f t="array" ref="C13">_xll.RssMarket(B13, "銘柄名称")</f>
        <v>日本軽金属ＨＤ</v>
      </c>
      <c r="D13" s="99" t="str">
        <f t="shared" si="1"/>
        <v>株探</v>
      </c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AA13" s="603"/>
    </row>
    <row r="14" spans="1:27" ht="20.100000000000001" customHeight="1">
      <c r="A14" s="101">
        <f t="shared" si="0"/>
        <v>9</v>
      </c>
      <c r="B14" s="61">
        <v>8002</v>
      </c>
      <c r="C14" s="98" t="str" cm="1">
        <f t="array" ref="C14">_xll.RssMarket(B14, "銘柄名称")</f>
        <v>丸紅</v>
      </c>
      <c r="D14" s="99" t="str">
        <f t="shared" si="1"/>
        <v>株探</v>
      </c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AA14" s="603"/>
    </row>
    <row r="15" spans="1:27" ht="20.100000000000001" customHeight="1">
      <c r="A15" s="101">
        <f t="shared" si="0"/>
        <v>10</v>
      </c>
      <c r="B15" s="61">
        <v>5021</v>
      </c>
      <c r="C15" s="98" t="str" cm="1">
        <f t="array" ref="C15">_xll.RssMarket(B15, "銘柄名称")</f>
        <v>コスモエネルギーＨＬＤＧＳ</v>
      </c>
      <c r="D15" s="99" t="str">
        <f t="shared" si="1"/>
        <v>株探</v>
      </c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AA15" s="602"/>
    </row>
    <row r="16" spans="1:27" ht="20.100000000000001" customHeight="1">
      <c r="A16" s="101">
        <f t="shared" si="0"/>
        <v>11</v>
      </c>
      <c r="B16" s="61">
        <v>8058</v>
      </c>
      <c r="C16" s="98" t="str" cm="1">
        <f t="array" ref="C16">_xll.RssMarket(B16, "銘柄名称")</f>
        <v>三菱商事</v>
      </c>
      <c r="D16" s="99" t="str">
        <f t="shared" si="1"/>
        <v>株探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AA16" s="602"/>
    </row>
    <row r="17" spans="1:27" ht="20.100000000000001" customHeight="1">
      <c r="A17" s="101">
        <f t="shared" si="0"/>
        <v>12</v>
      </c>
      <c r="B17" s="61">
        <v>5333</v>
      </c>
      <c r="C17" s="98" t="str" cm="1">
        <f t="array" ref="C17">_xll.RssMarket(B17, "銘柄名称")</f>
        <v>ＮＧＫ</v>
      </c>
      <c r="D17" s="99" t="str">
        <f t="shared" si="1"/>
        <v>株探</v>
      </c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AA17" s="603" t="s">
        <v>780</v>
      </c>
    </row>
    <row r="18" spans="1:27" ht="20.100000000000001" customHeight="1">
      <c r="A18" s="101">
        <f t="shared" si="0"/>
        <v>13</v>
      </c>
      <c r="B18" s="61">
        <v>1662</v>
      </c>
      <c r="C18" s="98" t="str" cm="1">
        <f t="array" ref="C18">_xll.RssMarket(B18, "銘柄名称")</f>
        <v>石油資源開発</v>
      </c>
      <c r="D18" s="99" t="str">
        <f t="shared" si="1"/>
        <v>株探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AA18" s="602"/>
    </row>
    <row r="19" spans="1:27" ht="20.100000000000001" customHeight="1">
      <c r="A19" s="101">
        <f t="shared" si="0"/>
        <v>14</v>
      </c>
      <c r="B19" s="61">
        <v>8411</v>
      </c>
      <c r="C19" s="98" t="str" cm="1">
        <f t="array" ref="C19">_xll.RssMarket(B19, "銘柄名称")</f>
        <v>みずほフィナンシャルＧ</v>
      </c>
      <c r="D19" s="99" t="str">
        <f t="shared" si="1"/>
        <v>株探</v>
      </c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AA19" s="603"/>
    </row>
    <row r="20" spans="1:27" ht="20.100000000000001" customHeight="1">
      <c r="A20" s="101">
        <f t="shared" si="0"/>
        <v>15</v>
      </c>
      <c r="B20" s="61">
        <v>5541</v>
      </c>
      <c r="C20" s="98" t="str" cm="1">
        <f t="array" ref="C20">_xll.RssMarket(B20, "銘柄名称")</f>
        <v>大平洋金属</v>
      </c>
      <c r="D20" s="99" t="str">
        <f t="shared" si="1"/>
        <v>株探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AA20" s="602"/>
    </row>
    <row r="21" spans="1:27" ht="20.100000000000001" customHeight="1">
      <c r="A21" s="101">
        <f t="shared" si="0"/>
        <v>16</v>
      </c>
      <c r="B21" s="61">
        <v>5332</v>
      </c>
      <c r="C21" s="98" t="str" cm="1">
        <f t="array" ref="C21">_xll.RssMarket(B21, "銘柄名称")</f>
        <v>ＴＯＴＯ</v>
      </c>
      <c r="D21" s="99" t="str">
        <f t="shared" si="1"/>
        <v>株探</v>
      </c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AA21" s="603"/>
    </row>
    <row r="22" spans="1:27" ht="20.100000000000001" customHeight="1">
      <c r="A22" s="101">
        <f t="shared" si="0"/>
        <v>17</v>
      </c>
      <c r="B22" s="61">
        <v>8725</v>
      </c>
      <c r="C22" s="98" t="str" cm="1">
        <f t="array" ref="C22">_xll.RssMarket(B22, "銘柄名称")</f>
        <v>ＭＳ＆ＡＤ</v>
      </c>
      <c r="D22" s="99" t="str">
        <f t="shared" si="1"/>
        <v>株探</v>
      </c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AA22" s="602"/>
    </row>
    <row r="23" spans="1:27" ht="20.100000000000001" customHeight="1">
      <c r="A23" s="101">
        <f t="shared" si="0"/>
        <v>18</v>
      </c>
      <c r="B23" s="61">
        <v>8795</v>
      </c>
      <c r="C23" s="98" t="str" cm="1">
        <f t="array" ref="C23">_xll.RssMarket(B23, "銘柄名称")</f>
        <v>Ｔ＆Ｄホールディングス</v>
      </c>
      <c r="D23" s="99" t="str">
        <f t="shared" si="1"/>
        <v>株探</v>
      </c>
      <c r="E23" s="100"/>
      <c r="F23" s="100"/>
      <c r="G23" s="100"/>
      <c r="H23" s="100"/>
      <c r="I23" s="100"/>
      <c r="J23" s="100"/>
      <c r="K23" s="100"/>
      <c r="L23" s="100"/>
      <c r="M23" s="100"/>
      <c r="N23" s="102"/>
      <c r="AA23" s="603"/>
    </row>
    <row r="24" spans="1:27" ht="20.100000000000001" customHeight="1">
      <c r="A24" s="101">
        <f t="shared" si="0"/>
        <v>19</v>
      </c>
      <c r="B24" s="61">
        <v>5019</v>
      </c>
      <c r="C24" s="98" t="str" cm="1">
        <f t="array" ref="C24">_xll.RssMarket(B24, "銘柄名称")</f>
        <v>出光興産</v>
      </c>
      <c r="D24" s="99" t="str">
        <f t="shared" si="1"/>
        <v>株探</v>
      </c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AA24" s="602"/>
    </row>
    <row r="25" spans="1:27" ht="20.100000000000001" customHeight="1">
      <c r="A25" s="101">
        <f t="shared" si="0"/>
        <v>20</v>
      </c>
      <c r="B25" s="61">
        <v>8053</v>
      </c>
      <c r="C25" s="98" t="str" cm="1">
        <f t="array" ref="C25">_xll.RssMarket(B25, "銘柄名称")</f>
        <v>住友商事</v>
      </c>
      <c r="D25" s="99" t="str">
        <f t="shared" si="1"/>
        <v>株探</v>
      </c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AA25" s="603"/>
    </row>
    <row r="26" spans="1:27" ht="20.100000000000001" customHeight="1">
      <c r="A26" s="101">
        <f t="shared" si="0"/>
        <v>21</v>
      </c>
      <c r="B26" s="61">
        <v>8591</v>
      </c>
      <c r="C26" s="98" t="str" cm="1">
        <f t="array" ref="C26">_xll.RssMarket(B26, "銘柄名称")</f>
        <v>オリックス</v>
      </c>
      <c r="D26" s="99" t="str">
        <f t="shared" si="1"/>
        <v>株探</v>
      </c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AA26" s="603"/>
    </row>
    <row r="27" spans="1:27" ht="20.100000000000001" customHeight="1">
      <c r="A27" s="101">
        <f t="shared" si="0"/>
        <v>22</v>
      </c>
      <c r="B27" s="61">
        <v>3401</v>
      </c>
      <c r="C27" s="98" t="str" cm="1">
        <f t="array" ref="C27">_xll.RssMarket(B27, "銘柄名称")</f>
        <v>帝人</v>
      </c>
      <c r="D27" s="99" t="str">
        <f t="shared" si="1"/>
        <v>株探</v>
      </c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AA27" s="602"/>
    </row>
    <row r="28" spans="1:27" ht="20.100000000000001" customHeight="1">
      <c r="A28" s="101">
        <f t="shared" si="0"/>
        <v>23</v>
      </c>
      <c r="B28" s="61">
        <v>3436</v>
      </c>
      <c r="C28" s="98" t="str" cm="1">
        <f t="array" ref="C28">_xll.RssMarket(B28, "銘柄名称")</f>
        <v>ＳＵＭＣＯ</v>
      </c>
      <c r="D28" s="99" t="str">
        <f t="shared" si="1"/>
        <v>株探</v>
      </c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AA28" s="603"/>
    </row>
    <row r="29" spans="1:27" ht="20.100000000000001" customHeight="1">
      <c r="A29" s="101">
        <f t="shared" si="0"/>
        <v>24</v>
      </c>
      <c r="B29" s="61">
        <v>5020</v>
      </c>
      <c r="C29" s="98" t="str" cm="1">
        <f t="array" ref="C29">_xll.RssMarket(B29, "銘柄名称")</f>
        <v>ＥＮＥＯＳホールディングス</v>
      </c>
      <c r="D29" s="99" t="str">
        <f t="shared" si="1"/>
        <v>株探</v>
      </c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AA29" s="602"/>
    </row>
    <row r="30" spans="1:27" ht="20.100000000000001" customHeight="1">
      <c r="A30" s="101">
        <f t="shared" si="0"/>
        <v>25</v>
      </c>
      <c r="B30" s="61">
        <v>6254</v>
      </c>
      <c r="C30" s="98" t="str" cm="1">
        <f t="array" ref="C30">_xll.RssMarket(B30, "銘柄名称")</f>
        <v>野村マイクロ・サイエンス</v>
      </c>
      <c r="D30" s="99" t="str">
        <f t="shared" si="1"/>
        <v>株探</v>
      </c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AA30" s="603"/>
    </row>
    <row r="31" spans="1:27" ht="20.100000000000001" customHeight="1">
      <c r="A31" s="101">
        <f t="shared" si="0"/>
        <v>26</v>
      </c>
      <c r="B31" s="61">
        <v>8309</v>
      </c>
      <c r="C31" s="98" t="str" cm="1">
        <f t="array" ref="C31">_xll.RssMarket(B31, "銘柄名称")</f>
        <v>三井住友トラストグルー</v>
      </c>
      <c r="D31" s="99" t="str">
        <f t="shared" si="1"/>
        <v>株探</v>
      </c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AA31" s="603"/>
    </row>
    <row r="32" spans="1:27" ht="20.100000000000001" customHeight="1">
      <c r="A32" s="101">
        <f t="shared" si="0"/>
        <v>27</v>
      </c>
      <c r="B32" s="61">
        <v>3863</v>
      </c>
      <c r="C32" s="98" t="str" cm="1">
        <f t="array" ref="C32">_xll.RssMarket(B32, "銘柄名称")</f>
        <v>日本製紙</v>
      </c>
      <c r="D32" s="99" t="str">
        <f t="shared" si="1"/>
        <v>株探</v>
      </c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AA32" s="603"/>
    </row>
    <row r="33" spans="1:27" ht="20.100000000000001" customHeight="1">
      <c r="A33" s="101">
        <f t="shared" si="0"/>
        <v>28</v>
      </c>
      <c r="B33" s="61">
        <v>8601</v>
      </c>
      <c r="C33" s="98" t="str" cm="1">
        <f t="array" ref="C33">_xll.RssMarket(B33, "銘柄名称")</f>
        <v>大和証券Ｇ本社</v>
      </c>
      <c r="D33" s="99" t="str">
        <f t="shared" si="1"/>
        <v>株探</v>
      </c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AA33" s="603"/>
    </row>
    <row r="34" spans="1:27" ht="20.100000000000001" customHeight="1">
      <c r="A34" s="101">
        <f t="shared" si="0"/>
        <v>29</v>
      </c>
      <c r="B34" s="61">
        <v>5233</v>
      </c>
      <c r="C34" s="98" t="str" cm="1">
        <f t="array" ref="C34">_xll.RssMarket(B34, "銘柄名称")</f>
        <v>太平洋セメント</v>
      </c>
      <c r="D34" s="99" t="str">
        <f t="shared" si="1"/>
        <v>株探</v>
      </c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AA34" s="603"/>
    </row>
    <row r="35" spans="1:27" ht="20.100000000000001" customHeight="1">
      <c r="A35" s="101">
        <f t="shared" si="0"/>
        <v>30</v>
      </c>
      <c r="B35" s="61">
        <v>8308</v>
      </c>
      <c r="C35" s="98" t="str" cm="1">
        <f t="array" ref="C35">_xll.RssMarket(B35, "銘柄名称")</f>
        <v>りそなホールディングス</v>
      </c>
      <c r="D35" s="99" t="str">
        <f t="shared" si="1"/>
        <v>株探</v>
      </c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AA35" s="603" t="s">
        <v>780</v>
      </c>
    </row>
    <row r="36" spans="1:27" ht="20.100000000000001" customHeight="1">
      <c r="A36" s="101">
        <f t="shared" si="0"/>
        <v>31</v>
      </c>
      <c r="B36" s="61">
        <v>5938</v>
      </c>
      <c r="C36" s="98" t="str" cm="1">
        <f t="array" ref="C36">_xll.RssMarket(B36, "銘柄名称")</f>
        <v>ＬＩＸＩＬ</v>
      </c>
      <c r="D36" s="99" t="str">
        <f t="shared" si="1"/>
        <v>株探</v>
      </c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AA36" s="603"/>
    </row>
    <row r="37" spans="1:27" ht="20.100000000000001" customHeight="1">
      <c r="A37" s="101">
        <f t="shared" si="0"/>
        <v>32</v>
      </c>
      <c r="B37" s="61">
        <v>8570</v>
      </c>
      <c r="C37" s="98" t="str" cm="1">
        <f t="array" ref="C37">_xll.RssMarket(B37, "銘柄名称")</f>
        <v>イオンフィナンシャルサービス</v>
      </c>
      <c r="D37" s="99" t="str">
        <f t="shared" si="1"/>
        <v>株探</v>
      </c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AA37" s="602"/>
    </row>
    <row r="38" spans="1:27" ht="20.100000000000001" customHeight="1">
      <c r="A38" s="101">
        <f t="shared" si="0"/>
        <v>33</v>
      </c>
      <c r="B38" s="61">
        <v>5406</v>
      </c>
      <c r="C38" s="98" t="str" cm="1">
        <f t="array" ref="C38">_xll.RssMarket(B38, "銘柄名称")</f>
        <v>神戸製鋼所</v>
      </c>
      <c r="D38" s="99" t="str">
        <f t="shared" si="1"/>
        <v>株探</v>
      </c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AA38" s="602"/>
    </row>
    <row r="39" spans="1:27" ht="20.100000000000001" customHeight="1">
      <c r="A39" s="101">
        <f t="shared" si="0"/>
        <v>34</v>
      </c>
      <c r="B39" s="61">
        <v>8593</v>
      </c>
      <c r="C39" s="98" t="str" cm="1">
        <f t="array" ref="C39">_xll.RssMarket(B39, "銘柄名称")</f>
        <v>三菱ＨＣキャピタル</v>
      </c>
      <c r="D39" s="99" t="str">
        <f t="shared" si="1"/>
        <v>株探</v>
      </c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AA39" s="602"/>
    </row>
    <row r="40" spans="1:27" ht="20.100000000000001" customHeight="1">
      <c r="A40" s="101">
        <f t="shared" si="0"/>
        <v>35</v>
      </c>
      <c r="B40" s="61">
        <v>8604</v>
      </c>
      <c r="C40" s="98" t="str" cm="1">
        <f t="array" ref="C40">_xll.RssMarket(B40, "銘柄名称")</f>
        <v>野村ホールディングス</v>
      </c>
      <c r="D40" s="99" t="str">
        <f t="shared" si="1"/>
        <v>株探</v>
      </c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AA40" s="603"/>
    </row>
    <row r="41" spans="1:27" ht="20.100000000000001" customHeight="1">
      <c r="A41" s="101">
        <f t="shared" si="0"/>
        <v>36</v>
      </c>
      <c r="B41" s="61">
        <v>3861</v>
      </c>
      <c r="C41" s="98" t="str" cm="1">
        <f t="array" ref="C41">_xll.RssMarket(B41, "銘柄名称")</f>
        <v>王子ホールディングス</v>
      </c>
      <c r="D41" s="99" t="str">
        <f t="shared" si="1"/>
        <v>株探</v>
      </c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AA41" s="602"/>
    </row>
    <row r="42" spans="1:27" ht="20.100000000000001" customHeight="1">
      <c r="A42" s="101">
        <f t="shared" si="0"/>
        <v>37</v>
      </c>
      <c r="B42" s="61">
        <v>5947</v>
      </c>
      <c r="C42" s="98" t="str" cm="1">
        <f t="array" ref="C42">_xll.RssMarket(B42, "銘柄名称")</f>
        <v>リンナイ</v>
      </c>
      <c r="D42" s="99" t="str">
        <f t="shared" si="1"/>
        <v>株探</v>
      </c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AA42" s="602"/>
    </row>
    <row r="43" spans="1:27" ht="20.100000000000001" customHeight="1">
      <c r="A43" s="101">
        <f t="shared" si="0"/>
        <v>38</v>
      </c>
      <c r="B43" s="61">
        <v>8750</v>
      </c>
      <c r="C43" s="98" t="str" cm="1">
        <f t="array" ref="C43">_xll.RssMarket(B43, "銘柄名称")</f>
        <v>第一ライフグループ</v>
      </c>
      <c r="D43" s="99" t="str">
        <f t="shared" si="1"/>
        <v>株探</v>
      </c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AA43" s="603"/>
    </row>
    <row r="44" spans="1:27" ht="20.100000000000001" customHeight="1">
      <c r="A44" s="101">
        <f t="shared" si="0"/>
        <v>39</v>
      </c>
      <c r="B44" s="61">
        <v>3402</v>
      </c>
      <c r="C44" s="98" t="str" cm="1">
        <f t="array" ref="C44">_xll.RssMarket(B44, "銘柄名称")</f>
        <v>東レ</v>
      </c>
      <c r="D44" s="99" t="str">
        <f t="shared" si="1"/>
        <v>株探</v>
      </c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AA44" s="603"/>
    </row>
    <row r="45" spans="1:27" ht="20.100000000000001" customHeight="1">
      <c r="A45" s="101">
        <f t="shared" si="0"/>
        <v>40</v>
      </c>
      <c r="B45" s="61">
        <v>8306</v>
      </c>
      <c r="C45" s="98" t="str" cm="1">
        <f t="array" ref="C45">_xll.RssMarket(B45, "銘柄名称")</f>
        <v>三菱ＵＦＪフィナンシャルＧ</v>
      </c>
      <c r="D45" s="99" t="str">
        <f t="shared" si="1"/>
        <v>株探</v>
      </c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AA45" s="603"/>
    </row>
    <row r="46" spans="1:27" ht="20.100000000000001" customHeight="1">
      <c r="A46" s="101">
        <f t="shared" si="0"/>
        <v>41</v>
      </c>
      <c r="B46" s="61">
        <v>5401</v>
      </c>
      <c r="C46" s="98" t="str" cm="1">
        <f t="array" ref="C46">_xll.RssMarket(B46, "銘柄名称")</f>
        <v>日本製鉄</v>
      </c>
      <c r="D46" s="99" t="str">
        <f t="shared" si="1"/>
        <v>株探</v>
      </c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AA46" s="602"/>
    </row>
    <row r="47" spans="1:27" ht="20.100000000000001" customHeight="1">
      <c r="A47" s="101">
        <f t="shared" si="0"/>
        <v>42</v>
      </c>
      <c r="B47" s="61">
        <v>8572</v>
      </c>
      <c r="C47" s="98" t="str" cm="1">
        <f t="array" ref="C47">_xll.RssMarket(B47, "銘柄名称")</f>
        <v>アコム</v>
      </c>
      <c r="D47" s="99" t="str">
        <f t="shared" si="1"/>
        <v>株探</v>
      </c>
      <c r="AA47" s="603"/>
    </row>
    <row r="48" spans="1:27" ht="20.100000000000001" customHeight="1">
      <c r="A48" s="101">
        <f t="shared" si="0"/>
        <v>43</v>
      </c>
      <c r="B48" s="61">
        <v>3941</v>
      </c>
      <c r="C48" s="98" t="str" cm="1">
        <f t="array" ref="C48">_xll.RssMarket(B48, "銘柄名称")</f>
        <v>レンゴー</v>
      </c>
      <c r="D48" s="99" t="str">
        <f t="shared" si="1"/>
        <v>株探</v>
      </c>
      <c r="AA48" s="602"/>
    </row>
    <row r="49" spans="1:27" ht="20.100000000000001" customHeight="1">
      <c r="A49" s="101">
        <f t="shared" si="0"/>
        <v>44</v>
      </c>
      <c r="B49" s="61">
        <v>5929</v>
      </c>
      <c r="C49" s="98" t="str" cm="1">
        <f t="array" ref="C49">_xll.RssMarket(B49, "銘柄名称")</f>
        <v>三和ホールディングス</v>
      </c>
      <c r="D49" s="99" t="str">
        <f t="shared" si="1"/>
        <v>株探</v>
      </c>
      <c r="AA49" s="603"/>
    </row>
    <row r="50" spans="1:27" ht="20.100000000000001" customHeight="1">
      <c r="A50" s="101">
        <f t="shared" si="0"/>
        <v>45</v>
      </c>
      <c r="B50" s="61">
        <v>8316</v>
      </c>
      <c r="C50" s="98" t="str" cm="1">
        <f t="array" ref="C50">_xll.RssMarket(B50, "銘柄名称")</f>
        <v>三井住友フィナンシャルＧ</v>
      </c>
      <c r="D50" s="99" t="str">
        <f t="shared" si="1"/>
        <v>株探</v>
      </c>
      <c r="AA50" s="603"/>
    </row>
    <row r="51" spans="1:27" ht="20.100000000000001" customHeight="1">
      <c r="A51" s="101">
        <f t="shared" si="0"/>
        <v>46</v>
      </c>
      <c r="B51" s="61">
        <v>5449</v>
      </c>
      <c r="C51" s="98" t="str" cm="1">
        <f t="array" ref="C51">_xll.RssMarket(B51, "銘柄名称")</f>
        <v>大阪製鐵</v>
      </c>
      <c r="D51" s="99" t="str">
        <f t="shared" si="1"/>
        <v>株探</v>
      </c>
      <c r="AA51" s="602"/>
    </row>
    <row r="52" spans="1:27" ht="20.100000000000001" customHeight="1">
      <c r="A52" s="101">
        <f t="shared" si="0"/>
        <v>47</v>
      </c>
      <c r="B52" s="61">
        <v>8766</v>
      </c>
      <c r="C52" s="98" t="str" cm="1">
        <f t="array" ref="C52">_xll.RssMarket(B52, "銘柄名称")</f>
        <v>東京海上ＨＤ</v>
      </c>
      <c r="D52" s="99" t="str">
        <f t="shared" si="1"/>
        <v>株探</v>
      </c>
      <c r="AA52" s="603"/>
    </row>
    <row r="53" spans="1:27" ht="20.100000000000001" customHeight="1">
      <c r="A53" s="101">
        <f t="shared" si="0"/>
        <v>48</v>
      </c>
      <c r="B53" s="61">
        <v>5201</v>
      </c>
      <c r="C53" s="98" t="str" cm="1">
        <f t="array" ref="C53">_xll.RssMarket(B53, "銘柄名称")</f>
        <v>ＡＧＣ</v>
      </c>
      <c r="D53" s="99" t="str">
        <f t="shared" si="1"/>
        <v>株探</v>
      </c>
      <c r="AA53" s="603"/>
    </row>
    <row r="54" spans="1:27" ht="20.100000000000001" customHeight="1">
      <c r="A54" s="101">
        <f t="shared" si="0"/>
        <v>49</v>
      </c>
      <c r="B54" s="61">
        <v>8630</v>
      </c>
      <c r="C54" s="98" t="str" cm="1">
        <f t="array" ref="C54">_xll.RssMarket(B54, "銘柄名称")</f>
        <v>ＳＯＭＰＯホールディングス</v>
      </c>
      <c r="D54" s="99" t="str">
        <f t="shared" si="1"/>
        <v>株探</v>
      </c>
      <c r="AA54" s="603"/>
    </row>
    <row r="55" spans="1:27" ht="20.100000000000001" customHeight="1">
      <c r="A55" s="101">
        <f t="shared" si="0"/>
        <v>50</v>
      </c>
      <c r="B55" s="61">
        <v>5901</v>
      </c>
      <c r="C55" s="98" t="str" cm="1">
        <f t="array" ref="C55">_xll.RssMarket(B55, "銘柄名称")</f>
        <v>東洋製罐グループＨＤ</v>
      </c>
      <c r="D55" s="99" t="str">
        <f t="shared" si="1"/>
        <v>株探</v>
      </c>
      <c r="AA55" s="603"/>
    </row>
    <row r="56" spans="1:27" ht="20.100000000000001" customHeight="1">
      <c r="A56" s="101">
        <f t="shared" si="0"/>
        <v>51</v>
      </c>
      <c r="B56" s="61">
        <v>9412</v>
      </c>
      <c r="C56" s="98" t="str" cm="1">
        <f t="array" ref="C56">_xll.RssMarket(B56, "銘柄名称")</f>
        <v>スカパーＪＳＡＴ</v>
      </c>
      <c r="D56" s="99" t="str">
        <f t="shared" si="1"/>
        <v>株探</v>
      </c>
      <c r="AA56" s="603"/>
    </row>
    <row r="57" spans="1:27" ht="20.100000000000001" customHeight="1">
      <c r="A57" s="101">
        <f t="shared" si="0"/>
        <v>52</v>
      </c>
      <c r="B57" s="61">
        <v>6203</v>
      </c>
      <c r="C57" s="98" t="str" cm="1">
        <f t="array" ref="C57">_xll.RssMarket(B57, "銘柄名称")</f>
        <v>豊和工業</v>
      </c>
      <c r="D57" s="99" t="str">
        <f t="shared" si="1"/>
        <v>株探</v>
      </c>
      <c r="AA57" s="602"/>
    </row>
    <row r="58" spans="1:27" ht="20.100000000000001" customHeight="1">
      <c r="A58" s="101">
        <f t="shared" si="0"/>
        <v>53</v>
      </c>
      <c r="B58" s="61">
        <v>4676</v>
      </c>
      <c r="C58" s="98" t="str" cm="1">
        <f t="array" ref="C58">_xll.RssMarket(B58, "銘柄名称")</f>
        <v>フジ・メディア・ＨＤ</v>
      </c>
      <c r="D58" s="99" t="str">
        <f t="shared" si="1"/>
        <v>株探</v>
      </c>
      <c r="AA58" s="603"/>
    </row>
    <row r="59" spans="1:27" ht="20.100000000000001" customHeight="1">
      <c r="A59" s="101">
        <f t="shared" si="0"/>
        <v>54</v>
      </c>
      <c r="B59" s="61">
        <v>1961</v>
      </c>
      <c r="C59" s="98" t="str" cm="1">
        <f t="array" ref="C59">_xll.RssMarket(B59, "銘柄名称")</f>
        <v>三機工業</v>
      </c>
      <c r="D59" s="99" t="str">
        <f t="shared" si="1"/>
        <v>株探</v>
      </c>
      <c r="AA59" s="602"/>
    </row>
    <row r="60" spans="1:27" ht="20.100000000000001" customHeight="1">
      <c r="A60" s="101">
        <f t="shared" si="0"/>
        <v>55</v>
      </c>
      <c r="B60" s="61">
        <v>3107</v>
      </c>
      <c r="C60" s="98" t="str" cm="1">
        <f t="array" ref="C60">_xll.RssMarket(B60, "銘柄名称")</f>
        <v>ダイワボウＨＤ</v>
      </c>
      <c r="D60" s="99" t="str">
        <f t="shared" si="1"/>
        <v>株探</v>
      </c>
      <c r="AA60" s="603"/>
    </row>
    <row r="61" spans="1:27" ht="20.100000000000001" customHeight="1">
      <c r="A61" s="101">
        <f t="shared" si="0"/>
        <v>56</v>
      </c>
      <c r="B61" s="61">
        <v>4045</v>
      </c>
      <c r="C61" s="98" t="str" cm="1">
        <f t="array" ref="C61">_xll.RssMarket(B61, "銘柄名称")</f>
        <v>東亞合成</v>
      </c>
      <c r="D61" s="99" t="str">
        <f t="shared" si="1"/>
        <v>株探</v>
      </c>
      <c r="AA61" s="603"/>
    </row>
    <row r="62" spans="1:27" ht="20.100000000000001" customHeight="1">
      <c r="A62" s="101">
        <f t="shared" si="0"/>
        <v>57</v>
      </c>
      <c r="B62" s="61">
        <v>5857</v>
      </c>
      <c r="C62" s="98" t="str" cm="1">
        <f t="array" ref="C62">_xll.RssMarket(B62, "銘柄名称")</f>
        <v>ＡＲＥホールディングス</v>
      </c>
      <c r="D62" s="99" t="str">
        <f t="shared" si="1"/>
        <v>株探</v>
      </c>
      <c r="AA62" s="603"/>
    </row>
    <row r="63" spans="1:27" ht="20.100000000000001" customHeight="1">
      <c r="A63" s="101">
        <f t="shared" si="0"/>
        <v>58</v>
      </c>
      <c r="B63" s="61">
        <v>8281</v>
      </c>
      <c r="C63" s="98" t="str" cm="1">
        <f t="array" ref="C63">_xll.RssMarket(B63, "銘柄名称")</f>
        <v>ゼビオホールディングス</v>
      </c>
      <c r="D63" s="99" t="str">
        <f t="shared" si="1"/>
        <v>株探</v>
      </c>
      <c r="AA63" s="603"/>
    </row>
    <row r="64" spans="1:27" ht="20.100000000000001" customHeight="1">
      <c r="A64" s="101">
        <f t="shared" si="0"/>
        <v>59</v>
      </c>
      <c r="B64" s="61">
        <v>4540</v>
      </c>
      <c r="C64" s="98" t="str" cm="1">
        <f t="array" ref="C64">_xll.RssMarket(B64, "銘柄名称")</f>
        <v>ツムラ</v>
      </c>
      <c r="D64" s="103" t="str">
        <f t="shared" si="1"/>
        <v>株探</v>
      </c>
      <c r="AA64" s="602"/>
    </row>
    <row r="65" spans="1:27" ht="20.100000000000001" customHeight="1">
      <c r="A65" s="101">
        <f t="shared" si="0"/>
        <v>60</v>
      </c>
      <c r="B65" s="61">
        <v>9984</v>
      </c>
      <c r="C65" s="98" t="str" cm="1">
        <f t="array" ref="C65">_xll.RssMarket(B65, "銘柄名称")</f>
        <v>ソフトバンクグループ</v>
      </c>
      <c r="D65" s="99" t="str">
        <f t="shared" si="1"/>
        <v>株探</v>
      </c>
      <c r="AA65" s="603"/>
    </row>
    <row r="66" spans="1:27" ht="20.100000000000001" customHeight="1">
      <c r="A66" s="101">
        <f t="shared" si="0"/>
        <v>61</v>
      </c>
      <c r="B66" s="61">
        <v>4063</v>
      </c>
      <c r="C66" s="98" t="str" cm="1">
        <f t="array" ref="C66">_xll.RssMarket(B66, "銘柄名称")</f>
        <v>信越化学</v>
      </c>
      <c r="D66" s="99" t="str">
        <f t="shared" si="1"/>
        <v>株探</v>
      </c>
      <c r="AA66" s="603"/>
    </row>
    <row r="67" spans="1:27" ht="20.100000000000001" customHeight="1">
      <c r="A67" s="101">
        <f t="shared" si="0"/>
        <v>62</v>
      </c>
      <c r="B67" s="61">
        <v>4536</v>
      </c>
      <c r="C67" s="98" t="str" cm="1">
        <f t="array" ref="C67">_xll.RssMarket(B67, "銘柄名称")</f>
        <v>参天製薬</v>
      </c>
      <c r="D67" s="99" t="str">
        <f t="shared" si="1"/>
        <v>株探</v>
      </c>
      <c r="AA67" s="603"/>
    </row>
    <row r="68" spans="1:27" ht="20.100000000000001" customHeight="1">
      <c r="A68" s="101">
        <f t="shared" si="0"/>
        <v>63</v>
      </c>
      <c r="B68" s="61">
        <v>6503</v>
      </c>
      <c r="C68" s="98" t="str" cm="1">
        <f t="array" ref="C68">_xll.RssMarket(B68, "銘柄名称")</f>
        <v>三菱電機</v>
      </c>
      <c r="D68" s="99" t="str">
        <f t="shared" si="1"/>
        <v>株探</v>
      </c>
      <c r="AA68" s="603"/>
    </row>
    <row r="69" spans="1:27" ht="20.100000000000001" customHeight="1">
      <c r="A69" s="101">
        <f t="shared" si="0"/>
        <v>64</v>
      </c>
      <c r="B69" s="61">
        <v>4980</v>
      </c>
      <c r="C69" s="98" t="str" cm="1">
        <f t="array" ref="C69">_xll.RssMarket(B69, "銘柄名称")</f>
        <v>デクセリアルズ</v>
      </c>
      <c r="D69" s="99" t="str">
        <f t="shared" si="1"/>
        <v>株探</v>
      </c>
      <c r="AA69" s="603"/>
    </row>
    <row r="70" spans="1:27" ht="20.100000000000001" customHeight="1">
      <c r="A70" s="101">
        <f t="shared" ref="A70:A133" si="2">IF(B70="","",ROW()-5)</f>
        <v>65</v>
      </c>
      <c r="B70" s="61">
        <v>9424</v>
      </c>
      <c r="C70" s="98" t="str" cm="1">
        <f t="array" ref="C70">_xll.RssMarket(B70, "銘柄名称")</f>
        <v>日本通信</v>
      </c>
      <c r="D70" s="99" t="str">
        <f t="shared" ref="D70:D133" si="3">IF(B70="","",HYPERLINK("https://kabutan.jp/stock/?code="&amp;B70,"株探"))</f>
        <v>株探</v>
      </c>
      <c r="AA70" s="602"/>
    </row>
    <row r="71" spans="1:27" ht="20.100000000000001" customHeight="1">
      <c r="A71" s="101">
        <f t="shared" si="2"/>
        <v>66</v>
      </c>
      <c r="B71" s="61">
        <v>3854</v>
      </c>
      <c r="C71" s="98" t="str" cm="1">
        <f t="array" ref="C71">_xll.RssMarket(B71, "銘柄名称")</f>
        <v>アイル</v>
      </c>
      <c r="D71" s="99" t="str">
        <f t="shared" si="3"/>
        <v>株探</v>
      </c>
      <c r="AA71" s="603"/>
    </row>
    <row r="72" spans="1:27" ht="20.100000000000001" customHeight="1">
      <c r="A72" s="101">
        <f t="shared" si="2"/>
        <v>67</v>
      </c>
      <c r="B72" s="61">
        <v>6027</v>
      </c>
      <c r="C72" s="98" t="str" cm="1">
        <f t="array" ref="C72">_xll.RssMarket(B72, "銘柄名称")</f>
        <v>弁護士ドットコム</v>
      </c>
      <c r="D72" s="99" t="str">
        <f t="shared" si="3"/>
        <v>株探</v>
      </c>
      <c r="AA72" s="603"/>
    </row>
    <row r="73" spans="1:27" ht="20.100000000000001" customHeight="1">
      <c r="A73" s="101">
        <f t="shared" si="2"/>
        <v>68</v>
      </c>
      <c r="B73" s="61">
        <v>7806</v>
      </c>
      <c r="C73" s="98" t="str" cm="1">
        <f t="array" ref="C73">_xll.RssMarket(B73, "銘柄名称")</f>
        <v>ＭＴＧ</v>
      </c>
      <c r="D73" s="99" t="str">
        <f t="shared" si="3"/>
        <v>株探</v>
      </c>
      <c r="AA73" s="603"/>
    </row>
    <row r="74" spans="1:27" ht="20.100000000000001" customHeight="1">
      <c r="A74" s="101">
        <f t="shared" si="2"/>
        <v>69</v>
      </c>
      <c r="B74" s="61">
        <v>9202</v>
      </c>
      <c r="C74" s="98" t="str" cm="1">
        <f t="array" ref="C74">_xll.RssMarket(B74, "銘柄名称")</f>
        <v>ＡＮＡホールディングス</v>
      </c>
      <c r="D74" s="99" t="str">
        <f t="shared" si="3"/>
        <v>株探</v>
      </c>
      <c r="AA74" s="602"/>
    </row>
    <row r="75" spans="1:27" ht="20.100000000000001" customHeight="1">
      <c r="A75" s="101">
        <f t="shared" si="2"/>
        <v>70</v>
      </c>
      <c r="B75" s="61">
        <v>7846</v>
      </c>
      <c r="C75" s="98" t="str" cm="1">
        <f t="array" ref="C75">_xll.RssMarket(B75, "銘柄名称")</f>
        <v>パイロットコーポレーション</v>
      </c>
      <c r="D75" s="99" t="str">
        <f t="shared" si="3"/>
        <v>株探</v>
      </c>
      <c r="AA75" s="603"/>
    </row>
    <row r="76" spans="1:27" ht="20.100000000000001" customHeight="1">
      <c r="A76" s="101">
        <f t="shared" si="2"/>
        <v>71</v>
      </c>
      <c r="B76" s="61">
        <v>2802</v>
      </c>
      <c r="C76" s="98" t="str" cm="1">
        <f t="array" ref="C76">_xll.RssMarket(B76, "銘柄名称")</f>
        <v>味の素</v>
      </c>
      <c r="D76" s="99" t="str">
        <f t="shared" si="3"/>
        <v>株探</v>
      </c>
      <c r="AA76" s="603"/>
    </row>
    <row r="77" spans="1:27" ht="20.100000000000001" customHeight="1">
      <c r="A77" s="101">
        <f t="shared" si="2"/>
        <v>72</v>
      </c>
      <c r="B77" s="61">
        <v>7203</v>
      </c>
      <c r="C77" s="98" t="str" cm="1">
        <f t="array" ref="C77">_xll.RssMarket(B77, "銘柄名称")</f>
        <v>トヨタ自動車</v>
      </c>
      <c r="D77" s="99" t="str">
        <f t="shared" si="3"/>
        <v>株探</v>
      </c>
      <c r="AA77" s="602"/>
    </row>
    <row r="78" spans="1:27" ht="20.100000000000001" customHeight="1">
      <c r="A78" s="101">
        <f t="shared" si="2"/>
        <v>73</v>
      </c>
      <c r="B78" s="61">
        <v>6954</v>
      </c>
      <c r="C78" s="98" t="str" cm="1">
        <f t="array" ref="C78">_xll.RssMarket(B78, "銘柄名称")</f>
        <v>ファナック</v>
      </c>
      <c r="D78" s="99" t="str">
        <f t="shared" si="3"/>
        <v>株探</v>
      </c>
      <c r="AA78" s="603"/>
    </row>
    <row r="79" spans="1:27" ht="20.100000000000001" customHeight="1">
      <c r="A79" s="101">
        <f t="shared" si="2"/>
        <v>74</v>
      </c>
      <c r="B79" s="61">
        <v>6479</v>
      </c>
      <c r="C79" s="98" t="str" cm="1">
        <f t="array" ref="C79">_xll.RssMarket(B79, "銘柄名称")</f>
        <v>ミネベアミツミ</v>
      </c>
      <c r="D79" s="99" t="str">
        <f t="shared" si="3"/>
        <v>株探</v>
      </c>
      <c r="AA79" s="603"/>
    </row>
    <row r="80" spans="1:27" ht="20.100000000000001" customHeight="1">
      <c r="A80" s="101">
        <f t="shared" si="2"/>
        <v>75</v>
      </c>
      <c r="B80" s="61">
        <v>1833</v>
      </c>
      <c r="C80" s="98" t="str" cm="1">
        <f t="array" ref="C80">_xll.RssMarket(B80, "銘柄名称")</f>
        <v>奥村組</v>
      </c>
      <c r="D80" s="99" t="str">
        <f t="shared" si="3"/>
        <v>株探</v>
      </c>
      <c r="AA80" s="602"/>
    </row>
    <row r="81" spans="1:27" ht="20.100000000000001" customHeight="1">
      <c r="A81" s="101">
        <f t="shared" si="2"/>
        <v>76</v>
      </c>
      <c r="B81" s="61">
        <v>6841</v>
      </c>
      <c r="C81" s="98" t="str" cm="1">
        <f t="array" ref="C81">_xll.RssMarket(B81, "銘柄名称")</f>
        <v>横河電機</v>
      </c>
      <c r="D81" s="99" t="str">
        <f t="shared" si="3"/>
        <v>株探</v>
      </c>
      <c r="AA81" s="602"/>
    </row>
    <row r="82" spans="1:27" ht="20.100000000000001" customHeight="1">
      <c r="A82" s="101">
        <f t="shared" si="2"/>
        <v>77</v>
      </c>
      <c r="B82" s="61">
        <v>7167</v>
      </c>
      <c r="C82" s="98" t="str" cm="1">
        <f t="array" ref="C82">_xll.RssMarket(B82, "銘柄名称")</f>
        <v>めぶきフィナンシャルＧ</v>
      </c>
      <c r="D82" s="99" t="str">
        <f t="shared" si="3"/>
        <v>株探</v>
      </c>
      <c r="AA82" s="602"/>
    </row>
    <row r="83" spans="1:27" ht="20.100000000000001" customHeight="1">
      <c r="A83" s="101">
        <f t="shared" si="2"/>
        <v>78</v>
      </c>
      <c r="B83" s="61">
        <v>1925</v>
      </c>
      <c r="C83" s="98" t="str" cm="1">
        <f t="array" ref="C83">_xll.RssMarket(B83, "銘柄名称")</f>
        <v>大和ハウス</v>
      </c>
      <c r="D83" s="99" t="str">
        <f t="shared" si="3"/>
        <v>株探</v>
      </c>
      <c r="AA83" s="602"/>
    </row>
    <row r="84" spans="1:27" ht="20.100000000000001" customHeight="1">
      <c r="A84" s="101">
        <f t="shared" si="2"/>
        <v>79</v>
      </c>
      <c r="B84" s="61">
        <v>5411</v>
      </c>
      <c r="C84" s="98" t="str" cm="1">
        <f t="array" ref="C84">_xll.RssMarket(B84, "銘柄名称")</f>
        <v>ＪＦＥホールディングス</v>
      </c>
      <c r="D84" s="99" t="str">
        <f t="shared" si="3"/>
        <v>株探</v>
      </c>
      <c r="AA84" s="602"/>
    </row>
    <row r="85" spans="1:27" ht="20.100000000000001" customHeight="1">
      <c r="A85" s="101">
        <f t="shared" si="2"/>
        <v>80</v>
      </c>
      <c r="B85" s="61">
        <v>7182</v>
      </c>
      <c r="C85" s="98" t="str" cm="1">
        <f t="array" ref="C85">_xll.RssMarket(B85, "銘柄名称")</f>
        <v>ゆうちょ銀行</v>
      </c>
      <c r="D85" s="99" t="str">
        <f t="shared" si="3"/>
        <v>株探</v>
      </c>
      <c r="AA85" s="603"/>
    </row>
    <row r="86" spans="1:27" ht="20.100000000000001" customHeight="1">
      <c r="A86" s="101">
        <f t="shared" si="2"/>
        <v>81</v>
      </c>
      <c r="B86" s="61">
        <v>1963</v>
      </c>
      <c r="C86" s="98" t="str" cm="1">
        <f t="array" ref="C86">_xll.RssMarket(B86, "銘柄名称")</f>
        <v>日揮ホールディングス</v>
      </c>
      <c r="D86" s="99" t="str">
        <f t="shared" si="3"/>
        <v>株探</v>
      </c>
      <c r="AA86" s="603"/>
    </row>
    <row r="87" spans="1:27" ht="20.100000000000001" customHeight="1">
      <c r="A87" s="101">
        <f t="shared" si="2"/>
        <v>82</v>
      </c>
      <c r="B87" s="61">
        <v>2914</v>
      </c>
      <c r="C87" s="98" t="str" cm="1">
        <f t="array" ref="C87">_xll.RssMarket(B87, "銘柄名称")</f>
        <v>日本たばこ産業</v>
      </c>
      <c r="D87" s="99" t="str">
        <f t="shared" si="3"/>
        <v>株探</v>
      </c>
      <c r="AA87" s="602"/>
    </row>
    <row r="88" spans="1:27" ht="20.100000000000001" customHeight="1">
      <c r="A88" s="101">
        <f t="shared" si="2"/>
        <v>83</v>
      </c>
      <c r="B88" s="61">
        <v>3003</v>
      </c>
      <c r="C88" s="98" t="str" cm="1">
        <f t="array" ref="C88">_xll.RssMarket(B88, "銘柄名称")</f>
        <v>ヒューリック</v>
      </c>
      <c r="D88" s="99" t="str">
        <f t="shared" si="3"/>
        <v>株探</v>
      </c>
      <c r="AA88" s="602"/>
    </row>
    <row r="89" spans="1:27" ht="20.100000000000001" customHeight="1">
      <c r="A89" s="101">
        <f t="shared" si="2"/>
        <v>84</v>
      </c>
      <c r="B89" s="61">
        <v>5892</v>
      </c>
      <c r="C89" s="98" t="str" cm="1">
        <f t="array" ref="C89">_xll.RssMarket(B89, "銘柄名称")</f>
        <v>ＹＵＴＯＲＩ</v>
      </c>
      <c r="D89" s="99" t="str">
        <f t="shared" si="3"/>
        <v>株探</v>
      </c>
      <c r="AA89" s="602"/>
    </row>
    <row r="90" spans="1:27" ht="20.100000000000001" customHeight="1">
      <c r="A90" s="101">
        <f t="shared" si="2"/>
        <v>85</v>
      </c>
      <c r="B90" s="61">
        <v>6323</v>
      </c>
      <c r="C90" s="98" t="str" cm="1">
        <f t="array" ref="C90">_xll.RssMarket(B90, "銘柄名称")</f>
        <v>ローツェ</v>
      </c>
      <c r="D90" s="99" t="str">
        <f t="shared" si="3"/>
        <v>株探</v>
      </c>
      <c r="AA90" s="603" t="s">
        <v>780</v>
      </c>
    </row>
    <row r="91" spans="1:27" ht="20.100000000000001" customHeight="1">
      <c r="A91" s="101">
        <f t="shared" si="2"/>
        <v>86</v>
      </c>
      <c r="B91" s="61">
        <v>6501</v>
      </c>
      <c r="C91" s="98" t="str" cm="1">
        <f t="array" ref="C91">_xll.RssMarket(B91, "銘柄名称")</f>
        <v>日立</v>
      </c>
      <c r="D91" s="99" t="str">
        <f t="shared" si="3"/>
        <v>株探</v>
      </c>
      <c r="AA91" s="603"/>
    </row>
    <row r="92" spans="1:27" ht="20.100000000000001" customHeight="1">
      <c r="A92" s="101">
        <f t="shared" si="2"/>
        <v>87</v>
      </c>
      <c r="B92" s="61">
        <v>6134</v>
      </c>
      <c r="C92" s="98" t="str" cm="1">
        <f t="array" ref="C92">_xll.RssMarket(B92, "銘柄名称")</f>
        <v>ＦＵＪＩ</v>
      </c>
      <c r="D92" s="99" t="str">
        <f t="shared" si="3"/>
        <v>株探</v>
      </c>
      <c r="AA92" s="603"/>
    </row>
    <row r="93" spans="1:27" ht="20.100000000000001" customHeight="1">
      <c r="A93" s="101">
        <f t="shared" si="2"/>
        <v>88</v>
      </c>
      <c r="B93" s="61">
        <v>7746</v>
      </c>
      <c r="C93" s="98" t="str" cm="1">
        <f t="array" ref="C93">_xll.RssMarket(B93, "銘柄名称")</f>
        <v>岡本硝子</v>
      </c>
      <c r="D93" s="99" t="str">
        <f t="shared" si="3"/>
        <v>株探</v>
      </c>
      <c r="AA93" s="603"/>
    </row>
    <row r="94" spans="1:27" ht="20.100000000000001" customHeight="1">
      <c r="A94" s="101">
        <f t="shared" si="2"/>
        <v>89</v>
      </c>
      <c r="B94" s="61">
        <v>3407</v>
      </c>
      <c r="C94" s="98" t="str" cm="1">
        <f t="array" ref="C94">_xll.RssMarket(B94, "銘柄名称")</f>
        <v>旭化成</v>
      </c>
      <c r="D94" s="99" t="str">
        <f t="shared" si="3"/>
        <v>株探</v>
      </c>
      <c r="AA94" s="603"/>
    </row>
    <row r="95" spans="1:27" ht="20.100000000000001" customHeight="1">
      <c r="A95" s="101">
        <f t="shared" si="2"/>
        <v>90</v>
      </c>
      <c r="B95" s="61">
        <v>4008</v>
      </c>
      <c r="C95" s="98" t="str" cm="1">
        <f t="array" ref="C95">_xll.RssMarket(B95, "銘柄名称")</f>
        <v>住友精化</v>
      </c>
      <c r="D95" s="99" t="str">
        <f t="shared" si="3"/>
        <v>株探</v>
      </c>
      <c r="AA95" s="602"/>
    </row>
    <row r="96" spans="1:27" ht="20.100000000000001" customHeight="1">
      <c r="A96" s="101">
        <f t="shared" si="2"/>
        <v>91</v>
      </c>
      <c r="B96" s="61">
        <v>4062</v>
      </c>
      <c r="C96" s="98" t="str" cm="1">
        <f t="array" ref="C96">_xll.RssMarket(B96, "銘柄名称")</f>
        <v>イビデン</v>
      </c>
      <c r="D96" s="99" t="str">
        <f t="shared" si="3"/>
        <v>株探</v>
      </c>
      <c r="AA96" s="603"/>
    </row>
    <row r="97" spans="1:27" ht="20.100000000000001" customHeight="1">
      <c r="A97" s="101">
        <f t="shared" si="2"/>
        <v>92</v>
      </c>
      <c r="B97" s="61">
        <v>4182</v>
      </c>
      <c r="C97" s="98" t="str" cm="1">
        <f t="array" ref="C97">_xll.RssMarket(B97, "銘柄名称")</f>
        <v>三菱瓦斯化学</v>
      </c>
      <c r="D97" s="99" t="str">
        <f t="shared" si="3"/>
        <v>株探</v>
      </c>
      <c r="AA97" s="603"/>
    </row>
    <row r="98" spans="1:27" ht="20.100000000000001" customHeight="1">
      <c r="A98" s="101">
        <f t="shared" si="2"/>
        <v>93</v>
      </c>
      <c r="B98" s="61">
        <v>4188</v>
      </c>
      <c r="C98" s="98" t="str" cm="1">
        <f t="array" ref="C98">_xll.RssMarket(B98, "銘柄名称")</f>
        <v>三菱ケミカルグループ</v>
      </c>
      <c r="D98" s="99" t="str">
        <f t="shared" si="3"/>
        <v>株探</v>
      </c>
      <c r="AA98" s="602"/>
    </row>
    <row r="99" spans="1:27" ht="20.100000000000001" customHeight="1">
      <c r="A99" s="101">
        <f t="shared" si="2"/>
        <v>94</v>
      </c>
      <c r="B99" s="61">
        <v>4523</v>
      </c>
      <c r="C99" s="98" t="str" cm="1">
        <f t="array" ref="C99">_xll.RssMarket(B99, "銘柄名称")</f>
        <v>エーザイ</v>
      </c>
      <c r="D99" s="99" t="str">
        <f t="shared" si="3"/>
        <v>株探</v>
      </c>
      <c r="AA99" s="602"/>
    </row>
    <row r="100" spans="1:27" ht="20.100000000000001" customHeight="1">
      <c r="A100" s="101">
        <f t="shared" si="2"/>
        <v>95</v>
      </c>
      <c r="B100" s="61">
        <v>4528</v>
      </c>
      <c r="C100" s="98" t="str" cm="1">
        <f t="array" ref="C100">_xll.RssMarket(B100, "銘柄名称")</f>
        <v>小野薬品</v>
      </c>
      <c r="D100" s="99" t="str">
        <f t="shared" si="3"/>
        <v>株探</v>
      </c>
      <c r="AA100" s="602"/>
    </row>
    <row r="101" spans="1:27" ht="20.100000000000001" customHeight="1">
      <c r="A101" s="101">
        <f t="shared" si="2"/>
        <v>96</v>
      </c>
      <c r="B101" s="61">
        <v>4661</v>
      </c>
      <c r="C101" s="98" t="str" cm="1">
        <f t="array" ref="C101">_xll.RssMarket(B101, "銘柄名称")</f>
        <v>オリエンタルランド</v>
      </c>
      <c r="D101" s="99" t="str">
        <f t="shared" si="3"/>
        <v>株探</v>
      </c>
      <c r="AA101" s="602"/>
    </row>
    <row r="102" spans="1:27" ht="20.100000000000001" customHeight="1">
      <c r="A102" s="101">
        <f t="shared" si="2"/>
        <v>97</v>
      </c>
      <c r="B102" s="61">
        <v>5802</v>
      </c>
      <c r="C102" s="98" t="str" cm="1">
        <f t="array" ref="C102">_xll.RssMarket(B102, "銘柄名称")</f>
        <v>住友電工</v>
      </c>
      <c r="D102" s="99" t="str">
        <f t="shared" si="3"/>
        <v>株探</v>
      </c>
      <c r="AA102" s="603"/>
    </row>
    <row r="103" spans="1:27" ht="20.100000000000001" customHeight="1">
      <c r="A103" s="101">
        <f t="shared" si="2"/>
        <v>98</v>
      </c>
      <c r="B103" s="61">
        <v>5803</v>
      </c>
      <c r="C103" s="98" t="str" cm="1">
        <f t="array" ref="C103">_xll.RssMarket(B103, "銘柄名称")</f>
        <v>フジクラ</v>
      </c>
      <c r="D103" s="99" t="str">
        <f t="shared" si="3"/>
        <v>株探</v>
      </c>
      <c r="AA103" s="603"/>
    </row>
    <row r="104" spans="1:27" ht="20.100000000000001" customHeight="1">
      <c r="A104" s="101">
        <f t="shared" si="2"/>
        <v>99</v>
      </c>
      <c r="B104" s="61">
        <v>6178</v>
      </c>
      <c r="C104" s="98" t="str" cm="1">
        <f t="array" ref="C104">_xll.RssMarket(B104, "銘柄名称")</f>
        <v>日本郵政</v>
      </c>
      <c r="D104" s="99" t="str">
        <f t="shared" si="3"/>
        <v>株探</v>
      </c>
      <c r="AA104" s="603"/>
    </row>
    <row r="105" spans="1:27" ht="20.100000000000001" customHeight="1">
      <c r="A105" s="101">
        <f t="shared" si="2"/>
        <v>100</v>
      </c>
      <c r="B105" s="61">
        <v>6925</v>
      </c>
      <c r="C105" s="98" t="str" cm="1">
        <f t="array" ref="C105">_xll.RssMarket(B105, "銘柄名称")</f>
        <v>ウシオ電機</v>
      </c>
      <c r="D105" s="99" t="str">
        <f t="shared" si="3"/>
        <v>株探</v>
      </c>
      <c r="AA105" s="603"/>
    </row>
    <row r="106" spans="1:27" ht="20.100000000000001" customHeight="1">
      <c r="A106" s="101">
        <f t="shared" si="2"/>
        <v>101</v>
      </c>
      <c r="B106" s="61">
        <v>7021</v>
      </c>
      <c r="C106" s="98" t="str" cm="1">
        <f t="array" ref="C106">_xll.RssMarket(B106, "銘柄名称")</f>
        <v>ニッチツ</v>
      </c>
      <c r="D106" s="99" t="str">
        <f t="shared" si="3"/>
        <v>株探</v>
      </c>
      <c r="AA106" s="602"/>
    </row>
    <row r="107" spans="1:27" ht="20.100000000000001" customHeight="1">
      <c r="A107" s="101">
        <f t="shared" si="2"/>
        <v>102</v>
      </c>
      <c r="B107" s="61">
        <v>7729</v>
      </c>
      <c r="C107" s="98" t="str" cm="1">
        <f t="array" ref="C107">_xll.RssMarket(B107, "銘柄名称")</f>
        <v>東京精密</v>
      </c>
      <c r="D107" s="99" t="str">
        <f t="shared" si="3"/>
        <v>株探</v>
      </c>
      <c r="AA107" s="603"/>
    </row>
    <row r="108" spans="1:27" ht="20.100000000000001" customHeight="1">
      <c r="A108" s="101">
        <f t="shared" si="2"/>
        <v>103</v>
      </c>
      <c r="B108" s="61">
        <v>8424</v>
      </c>
      <c r="C108" s="98" t="str" cm="1">
        <f t="array" ref="C108">_xll.RssMarket(B108, "銘柄名称")</f>
        <v>芙蓉総合リース</v>
      </c>
      <c r="D108" s="99" t="str">
        <f t="shared" si="3"/>
        <v>株探</v>
      </c>
      <c r="AA108" s="602"/>
    </row>
    <row r="109" spans="1:27" ht="20.100000000000001" customHeight="1">
      <c r="A109" s="101">
        <f t="shared" si="2"/>
        <v>104</v>
      </c>
      <c r="B109" s="61">
        <v>9020</v>
      </c>
      <c r="C109" s="98" t="str" cm="1">
        <f t="array" ref="C109">_xll.RssMarket(B109, "銘柄名称")</f>
        <v>東日本旅客鉄道</v>
      </c>
      <c r="D109" s="99" t="str">
        <f t="shared" si="3"/>
        <v>株探</v>
      </c>
      <c r="AA109" s="602"/>
    </row>
    <row r="110" spans="1:27" ht="20.100000000000001" customHeight="1">
      <c r="A110" s="101">
        <f t="shared" si="2"/>
        <v>105</v>
      </c>
      <c r="B110" s="61">
        <v>9069</v>
      </c>
      <c r="C110" s="98" t="str" cm="1">
        <f t="array" ref="C110">_xll.RssMarket(B110, "銘柄名称")</f>
        <v>センコーグループＨＬＤＧＳ</v>
      </c>
      <c r="D110" s="99" t="str">
        <f t="shared" si="3"/>
        <v>株探</v>
      </c>
      <c r="AA110" s="602"/>
    </row>
    <row r="111" spans="1:27" ht="20.100000000000001" customHeight="1">
      <c r="A111" s="101">
        <f t="shared" si="2"/>
        <v>106</v>
      </c>
      <c r="B111" s="61">
        <v>9227</v>
      </c>
      <c r="C111" s="98" t="str" cm="1">
        <f t="array" ref="C111">_xll.RssMarket(B111, "銘柄名称")</f>
        <v>マイクロ波化学</v>
      </c>
      <c r="D111" s="99" t="str">
        <f t="shared" si="3"/>
        <v>株探</v>
      </c>
      <c r="AA111" s="602"/>
    </row>
    <row r="112" spans="1:27" ht="20.100000000000001" customHeight="1">
      <c r="A112" s="101">
        <f t="shared" si="2"/>
        <v>107</v>
      </c>
      <c r="B112" s="61">
        <v>9348</v>
      </c>
      <c r="C112" s="98" t="str" cm="1">
        <f t="array" ref="C112">_xll.RssMarket(B112, "銘柄名称")</f>
        <v>ｉｓｐａｃｅ</v>
      </c>
      <c r="D112" s="99" t="str">
        <f t="shared" si="3"/>
        <v>株探</v>
      </c>
      <c r="AA112" s="603"/>
    </row>
    <row r="113" spans="1:27" ht="20.100000000000001" customHeight="1">
      <c r="A113" s="101">
        <f t="shared" si="2"/>
        <v>108</v>
      </c>
      <c r="B113" s="61">
        <v>9449</v>
      </c>
      <c r="C113" s="98" t="str" cm="1">
        <f t="array" ref="C113">_xll.RssMarket(B113, "銘柄名称")</f>
        <v>ＧＭＯインターネットグループ</v>
      </c>
      <c r="D113" s="99" t="str">
        <f t="shared" si="3"/>
        <v>株探</v>
      </c>
      <c r="AA113" s="602"/>
    </row>
    <row r="114" spans="1:27" ht="20.100000000000001" customHeight="1">
      <c r="A114" s="101">
        <f t="shared" si="2"/>
        <v>109</v>
      </c>
      <c r="B114" s="61">
        <v>9501</v>
      </c>
      <c r="C114" s="98" t="str" cm="1">
        <f t="array" ref="C114">_xll.RssMarket(B114, "銘柄名称")</f>
        <v>東京電力ＨＤ</v>
      </c>
      <c r="D114" s="99" t="str">
        <f t="shared" si="3"/>
        <v>株探</v>
      </c>
      <c r="AA114" s="602"/>
    </row>
    <row r="115" spans="1:27" ht="20.100000000000001" customHeight="1">
      <c r="A115" s="101">
        <f t="shared" si="2"/>
        <v>110</v>
      </c>
      <c r="B115" s="61">
        <v>9531</v>
      </c>
      <c r="C115" s="98" t="str" cm="1">
        <f t="array" ref="C115">_xll.RssMarket(B115, "銘柄名称")</f>
        <v>東京瓦斯</v>
      </c>
      <c r="D115" s="99" t="str">
        <f t="shared" si="3"/>
        <v>株探</v>
      </c>
      <c r="AA115" s="602"/>
    </row>
    <row r="116" spans="1:27" ht="20.100000000000001" customHeight="1">
      <c r="A116" s="101">
        <f t="shared" si="2"/>
        <v>111</v>
      </c>
      <c r="B116" s="61">
        <v>9882</v>
      </c>
      <c r="C116" s="98" t="str" cm="1">
        <f t="array" ref="C116">_xll.RssMarket(B116, "銘柄名称")</f>
        <v>イエローハット</v>
      </c>
      <c r="D116" s="99" t="str">
        <f t="shared" si="3"/>
        <v>株探</v>
      </c>
      <c r="AA116" s="603"/>
    </row>
    <row r="117" spans="1:27" ht="20.100000000000001" customHeight="1">
      <c r="A117" s="101">
        <f t="shared" si="2"/>
        <v>112</v>
      </c>
      <c r="B117" s="61">
        <v>5838</v>
      </c>
      <c r="C117" s="98" t="str" cm="1">
        <f t="array" ref="C117">_xll.RssMarket(B117, "銘柄名称")</f>
        <v>楽天銀行</v>
      </c>
      <c r="D117" s="99" t="str">
        <f t="shared" si="3"/>
        <v>株探</v>
      </c>
      <c r="AA117" s="602"/>
    </row>
    <row r="118" spans="1:27" ht="20.100000000000001" customHeight="1">
      <c r="A118" s="101">
        <f t="shared" si="2"/>
        <v>113</v>
      </c>
      <c r="B118" s="61">
        <v>5844</v>
      </c>
      <c r="C118" s="98" t="str" cm="1">
        <f t="array" ref="C118">_xll.RssMarket(B118, "銘柄名称")</f>
        <v>京都フィナンシャルＧ</v>
      </c>
      <c r="D118" s="99" t="str">
        <f t="shared" si="3"/>
        <v>株探</v>
      </c>
      <c r="AA118" s="603"/>
    </row>
    <row r="119" spans="1:27" ht="20.100000000000001" customHeight="1">
      <c r="A119" s="101">
        <f t="shared" si="2"/>
        <v>114</v>
      </c>
      <c r="B119" s="61">
        <v>9404</v>
      </c>
      <c r="C119" s="98" t="str" cm="1">
        <f t="array" ref="C119">_xll.RssMarket(B119, "銘柄名称")</f>
        <v>日本テレビＨＬＤＳ</v>
      </c>
      <c r="D119" s="99" t="str">
        <f t="shared" si="3"/>
        <v>株探</v>
      </c>
      <c r="AA119" s="602"/>
    </row>
    <row r="120" spans="1:27" ht="20.100000000000001" customHeight="1">
      <c r="A120" s="101">
        <f t="shared" si="2"/>
        <v>115</v>
      </c>
      <c r="B120" s="61">
        <v>6744</v>
      </c>
      <c r="C120" s="98" t="str" cm="1">
        <f t="array" ref="C120">_xll.RssMarket(B120, "銘柄名称")</f>
        <v>能美防災</v>
      </c>
      <c r="D120" s="99" t="str">
        <f t="shared" si="3"/>
        <v>株探</v>
      </c>
      <c r="AA120" s="603"/>
    </row>
    <row r="121" spans="1:27" ht="20.100000000000001" customHeight="1">
      <c r="A121" s="101">
        <f t="shared" si="2"/>
        <v>116</v>
      </c>
      <c r="B121" s="61">
        <v>7685</v>
      </c>
      <c r="C121" s="98" t="str" cm="1">
        <f t="array" ref="C121">_xll.RssMarket(B121, "銘柄名称")</f>
        <v>ＢＵＹＳＥＬＬＴＥＣＨ</v>
      </c>
      <c r="D121" s="99" t="str">
        <f t="shared" si="3"/>
        <v>株探</v>
      </c>
      <c r="AA121" s="603"/>
    </row>
    <row r="122" spans="1:27" ht="20.100000000000001" customHeight="1">
      <c r="A122" s="101">
        <f t="shared" si="2"/>
        <v>117</v>
      </c>
      <c r="B122" s="61">
        <v>8334</v>
      </c>
      <c r="C122" s="98" t="str" cm="1">
        <f t="array" ref="C122">_xll.RssMarket(B122, "銘柄名称")</f>
        <v>群馬銀行</v>
      </c>
      <c r="D122" s="99" t="str">
        <f t="shared" si="3"/>
        <v>株探</v>
      </c>
      <c r="AA122" s="603"/>
    </row>
    <row r="123" spans="1:27" ht="20.100000000000001" customHeight="1">
      <c r="A123" s="101">
        <f t="shared" si="2"/>
        <v>118</v>
      </c>
      <c r="B123" s="61">
        <v>8359</v>
      </c>
      <c r="C123" s="98" t="str" cm="1">
        <f t="array" ref="C123">_xll.RssMarket(B123, "銘柄名称")</f>
        <v>八十二長野銀行</v>
      </c>
      <c r="D123" s="99" t="str">
        <f t="shared" si="3"/>
        <v>株探</v>
      </c>
      <c r="AA123" s="603"/>
    </row>
    <row r="124" spans="1:27" ht="20.100000000000001" customHeight="1">
      <c r="A124" s="101">
        <f t="shared" si="2"/>
        <v>119</v>
      </c>
      <c r="B124" s="61">
        <v>8801</v>
      </c>
      <c r="C124" s="98" t="str" cm="1">
        <f t="array" ref="C124">_xll.RssMarket(B124, "銘柄名称")</f>
        <v>三井不動産</v>
      </c>
      <c r="D124" s="99" t="str">
        <f t="shared" si="3"/>
        <v>株探</v>
      </c>
      <c r="AA124" s="602"/>
    </row>
    <row r="125" spans="1:27" ht="20.100000000000001" customHeight="1">
      <c r="A125" s="101">
        <f t="shared" si="2"/>
        <v>120</v>
      </c>
      <c r="B125" s="61">
        <v>8934</v>
      </c>
      <c r="C125" s="98" t="str" cm="1">
        <f t="array" ref="C125">_xll.RssMarket(B125, "銘柄名称")</f>
        <v>サンフロンティア不動産</v>
      </c>
      <c r="D125" s="99" t="str">
        <f t="shared" si="3"/>
        <v>株探</v>
      </c>
      <c r="AA125" s="602"/>
    </row>
    <row r="126" spans="1:27" ht="20.100000000000001" customHeight="1">
      <c r="A126" s="101">
        <f t="shared" si="2"/>
        <v>121</v>
      </c>
      <c r="B126" s="61">
        <v>9416</v>
      </c>
      <c r="C126" s="98" t="str" cm="1">
        <f t="array" ref="C126">_xll.RssMarket(B126, "銘柄名称")</f>
        <v>ビジョン</v>
      </c>
      <c r="D126" s="99" t="str">
        <f t="shared" si="3"/>
        <v>株探</v>
      </c>
      <c r="AA126" s="602"/>
    </row>
    <row r="127" spans="1:27" ht="20.100000000000001" customHeight="1">
      <c r="A127" s="101">
        <f t="shared" si="2"/>
        <v>122</v>
      </c>
      <c r="B127" s="61">
        <v>9532</v>
      </c>
      <c r="C127" s="98" t="str" cm="1">
        <f t="array" ref="C127">_xll.RssMarket(B127, "銘柄名称")</f>
        <v>大阪瓦斯</v>
      </c>
      <c r="D127" s="99" t="str">
        <f t="shared" si="3"/>
        <v>株探</v>
      </c>
      <c r="AA127" s="602"/>
    </row>
    <row r="128" spans="1:27" ht="20.100000000000001" customHeight="1">
      <c r="A128" s="101">
        <f t="shared" si="2"/>
        <v>123</v>
      </c>
      <c r="B128" s="61">
        <v>6330</v>
      </c>
      <c r="C128" s="98" t="str" cm="1">
        <f t="array" ref="C128">_xll.RssMarket(B128, "銘柄名称")</f>
        <v>東洋エンジニア</v>
      </c>
      <c r="D128" s="99" t="str">
        <f t="shared" si="3"/>
        <v>株探</v>
      </c>
      <c r="AA128" s="602"/>
    </row>
    <row r="129" spans="1:27" ht="20.100000000000001" customHeight="1">
      <c r="A129" s="101">
        <f t="shared" si="2"/>
        <v>124</v>
      </c>
      <c r="B129" s="61">
        <v>4082</v>
      </c>
      <c r="C129" s="98" t="str" cm="1">
        <f t="array" ref="C129">_xll.RssMarket(B129, "銘柄名称")</f>
        <v>第一稀元素化学工</v>
      </c>
      <c r="D129" s="99" t="str">
        <f t="shared" si="3"/>
        <v>株探</v>
      </c>
      <c r="AA129" s="602"/>
    </row>
    <row r="130" spans="1:27" ht="20.100000000000001" customHeight="1">
      <c r="A130" s="101">
        <f t="shared" si="2"/>
        <v>125</v>
      </c>
      <c r="B130" s="61">
        <v>4519</v>
      </c>
      <c r="C130" s="98" t="str" cm="1">
        <f t="array" ref="C130">_xll.RssMarket(B130, "銘柄名称")</f>
        <v>中外製薬</v>
      </c>
      <c r="D130" s="99" t="str">
        <f t="shared" si="3"/>
        <v>株探</v>
      </c>
      <c r="AA130" s="602"/>
    </row>
    <row r="131" spans="1:27" ht="20.100000000000001" customHeight="1">
      <c r="A131" s="101">
        <f t="shared" si="2"/>
        <v>126</v>
      </c>
      <c r="B131" s="61">
        <v>2160</v>
      </c>
      <c r="C131" s="98" t="str" cm="1">
        <f t="array" ref="C131">_xll.RssMarket(B131, "銘柄名称")</f>
        <v>ジーエヌアイグループ</v>
      </c>
      <c r="D131" s="99" t="str">
        <f t="shared" si="3"/>
        <v>株探</v>
      </c>
      <c r="AA131" s="602"/>
    </row>
    <row r="132" spans="1:27" ht="20.100000000000001" customHeight="1">
      <c r="A132" s="101">
        <f t="shared" si="2"/>
        <v>127</v>
      </c>
      <c r="B132" s="61">
        <v>6227</v>
      </c>
      <c r="C132" s="98" t="str" cm="1">
        <f t="array" ref="C132">_xll.RssMarket(B132, "銘柄名称")</f>
        <v>ＡＩメカテック</v>
      </c>
      <c r="D132" s="99" t="str">
        <f t="shared" si="3"/>
        <v>株探</v>
      </c>
      <c r="AA132" s="602"/>
    </row>
    <row r="133" spans="1:27" ht="20.100000000000001" customHeight="1">
      <c r="A133" s="101">
        <f t="shared" si="2"/>
        <v>128</v>
      </c>
      <c r="B133" s="61">
        <v>6327</v>
      </c>
      <c r="C133" s="98" t="str" cm="1">
        <f t="array" ref="C133">_xll.RssMarket(B133, "銘柄名称")</f>
        <v>北川精機</v>
      </c>
      <c r="D133" s="99" t="str">
        <f t="shared" si="3"/>
        <v>株探</v>
      </c>
      <c r="AA133" s="603"/>
    </row>
    <row r="134" spans="1:27" ht="20.100000000000001" customHeight="1">
      <c r="A134" s="101">
        <f t="shared" ref="A134:A197" si="4">IF(B134="","",ROW()-5)</f>
        <v>129</v>
      </c>
      <c r="B134" s="61">
        <v>3110</v>
      </c>
      <c r="C134" s="98" t="str" cm="1">
        <f t="array" ref="C134">_xll.RssMarket(B134, "銘柄名称")</f>
        <v>日東紡績</v>
      </c>
      <c r="D134" s="99" t="str">
        <f t="shared" ref="D134:D197" si="5">IF(B134="","",HYPERLINK("https://kabutan.jp/stock/?code="&amp;B134,"株探"))</f>
        <v>株探</v>
      </c>
      <c r="AA134" s="603"/>
    </row>
    <row r="135" spans="1:27" ht="20.100000000000001" customHeight="1">
      <c r="A135" s="101">
        <f t="shared" si="4"/>
        <v>130</v>
      </c>
      <c r="B135" s="61">
        <v>6232</v>
      </c>
      <c r="C135" s="98" t="str" cm="1">
        <f t="array" ref="C135">_xll.RssMarket(B135, "銘柄名称")</f>
        <v>ＡＣＳＬ</v>
      </c>
      <c r="D135" s="99" t="str">
        <f t="shared" si="5"/>
        <v>株探</v>
      </c>
      <c r="AA135" s="603"/>
    </row>
    <row r="136" spans="1:27" ht="20.100000000000001" customHeight="1">
      <c r="A136" s="101">
        <f t="shared" si="4"/>
        <v>131</v>
      </c>
      <c r="B136" s="61">
        <v>7794</v>
      </c>
      <c r="C136" s="98" t="str" cm="1">
        <f t="array" ref="C136">_xll.RssMarket(B136, "銘柄名称")</f>
        <v>イーディーピー</v>
      </c>
      <c r="D136" s="99" t="str">
        <f t="shared" si="5"/>
        <v>株探</v>
      </c>
      <c r="AA136" s="602"/>
    </row>
    <row r="137" spans="1:27" ht="20.100000000000001" customHeight="1">
      <c r="A137" s="101">
        <f t="shared" si="4"/>
        <v>132</v>
      </c>
      <c r="B137" s="61">
        <v>6085</v>
      </c>
      <c r="C137" s="98" t="str" cm="1">
        <f t="array" ref="C137">_xll.RssMarket(B137, "銘柄名称")</f>
        <v>アーキテクツＳＪ</v>
      </c>
      <c r="D137" s="99" t="str">
        <f t="shared" si="5"/>
        <v>株探</v>
      </c>
      <c r="AA137" s="603"/>
    </row>
    <row r="138" spans="1:27" ht="20.100000000000001" customHeight="1">
      <c r="A138" s="101">
        <f t="shared" si="4"/>
        <v>133</v>
      </c>
      <c r="B138" s="61">
        <v>3103</v>
      </c>
      <c r="C138" s="98" t="str" cm="1">
        <f t="array" ref="C138">_xll.RssMarket(B138, "銘柄名称")</f>
        <v>ユニチカ</v>
      </c>
      <c r="D138" s="99" t="str">
        <f t="shared" si="5"/>
        <v>株探</v>
      </c>
      <c r="AA138" s="603"/>
    </row>
    <row r="139" spans="1:27" ht="20.100000000000001" customHeight="1">
      <c r="A139" s="101">
        <f t="shared" si="4"/>
        <v>134</v>
      </c>
      <c r="B139" s="61">
        <v>4422</v>
      </c>
      <c r="C139" s="98" t="str" cm="1">
        <f t="array" ref="C139">_xll.RssMarket(B139, "銘柄名称")</f>
        <v>ＶＡＬＵＥＮＥＸ</v>
      </c>
      <c r="D139" s="99" t="str">
        <f t="shared" si="5"/>
        <v>株探</v>
      </c>
      <c r="AA139" s="603"/>
    </row>
    <row r="140" spans="1:27" ht="20.100000000000001" customHeight="1">
      <c r="A140" s="101">
        <f t="shared" si="4"/>
        <v>135</v>
      </c>
      <c r="B140" s="61">
        <v>6740</v>
      </c>
      <c r="C140" s="98" t="str" cm="1">
        <f t="array" ref="C140">_xll.RssMarket(B140, "銘柄名称")</f>
        <v>ジャパンディスプレイ</v>
      </c>
      <c r="D140" s="99" t="str">
        <f t="shared" si="5"/>
        <v>株探</v>
      </c>
      <c r="AA140" s="603"/>
    </row>
    <row r="141" spans="1:27" ht="20.100000000000001" customHeight="1">
      <c r="A141" s="101">
        <f t="shared" si="4"/>
        <v>136</v>
      </c>
      <c r="B141" s="61">
        <v>6613</v>
      </c>
      <c r="C141" s="98" t="str" cm="1">
        <f t="array" ref="C141">_xll.RssMarket(B141, "銘柄名称")</f>
        <v>ＱＤレーザ</v>
      </c>
      <c r="D141" s="99" t="str">
        <f t="shared" si="5"/>
        <v>株探</v>
      </c>
      <c r="AA141" s="603"/>
    </row>
    <row r="142" spans="1:27" ht="20.100000000000001" customHeight="1">
      <c r="A142" s="101">
        <f t="shared" si="4"/>
        <v>137</v>
      </c>
      <c r="B142" s="61" t="s">
        <v>487</v>
      </c>
      <c r="C142" s="98" t="str">
        <f>_xll.RssMarket($B142,"銘柄名称")</f>
        <v>第一三共</v>
      </c>
      <c r="D142" s="99" t="str">
        <f t="shared" si="5"/>
        <v>株探</v>
      </c>
      <c r="AA142" s="602"/>
    </row>
    <row r="143" spans="1:27" ht="20.100000000000001" customHeight="1">
      <c r="A143" s="101">
        <f t="shared" si="4"/>
        <v>138</v>
      </c>
      <c r="B143" s="61">
        <v>6522</v>
      </c>
      <c r="C143" s="98" t="str" cm="1">
        <f t="array" ref="C143">_xll.RssMarket(B143, "銘柄名称")</f>
        <v>アスタリスク</v>
      </c>
      <c r="D143" s="99" t="str">
        <f t="shared" si="5"/>
        <v>株探</v>
      </c>
      <c r="AA143" s="603"/>
    </row>
    <row r="144" spans="1:27" ht="20.100000000000001" customHeight="1">
      <c r="A144" s="101">
        <f t="shared" si="4"/>
        <v>139</v>
      </c>
      <c r="B144" s="61">
        <v>6777</v>
      </c>
      <c r="C144" s="98" t="str" cm="1">
        <f t="array" ref="C144">_xll.RssMarket(B144, "銘柄名称")</f>
        <v>ＳＡＮＴＥＣＨＯＬＤＩＮＧＳ</v>
      </c>
      <c r="D144" s="99" t="str">
        <f t="shared" si="5"/>
        <v>株探</v>
      </c>
      <c r="AA144" s="603"/>
    </row>
    <row r="145" spans="1:27" ht="20.100000000000001" customHeight="1">
      <c r="A145" s="101">
        <f t="shared" si="4"/>
        <v>140</v>
      </c>
      <c r="B145" s="61">
        <v>6787</v>
      </c>
      <c r="C145" s="98" t="str" cm="1">
        <f t="array" ref="C145">_xll.RssMarket(B145, "銘柄名称")</f>
        <v>メイコー</v>
      </c>
      <c r="D145" s="99" t="str">
        <f t="shared" si="5"/>
        <v>株探</v>
      </c>
      <c r="AA145" s="603"/>
    </row>
    <row r="146" spans="1:27" ht="20.100000000000001" customHeight="1">
      <c r="A146" s="101">
        <f t="shared" si="4"/>
        <v>141</v>
      </c>
      <c r="B146" s="61">
        <v>4888</v>
      </c>
      <c r="C146" s="98" t="str" cm="1">
        <f t="array" ref="C146">_xll.RssMarket(B146, "銘柄名称")</f>
        <v>ステラファーマ</v>
      </c>
      <c r="D146" s="99" t="str">
        <f t="shared" si="5"/>
        <v>株探</v>
      </c>
      <c r="AA146" s="602"/>
    </row>
    <row r="147" spans="1:27" ht="20.100000000000001" customHeight="1">
      <c r="A147" s="101">
        <f t="shared" si="4"/>
        <v>142</v>
      </c>
      <c r="B147" s="61">
        <v>6387</v>
      </c>
      <c r="C147" s="98" t="str" cm="1">
        <f t="array" ref="C147">_xll.RssMarket(B147, "銘柄名称")</f>
        <v>サムコ</v>
      </c>
      <c r="D147" s="99" t="str">
        <f t="shared" si="5"/>
        <v>株探</v>
      </c>
      <c r="AA147" s="603"/>
    </row>
    <row r="148" spans="1:27" ht="20.100000000000001" customHeight="1">
      <c r="A148" s="101">
        <f t="shared" si="4"/>
        <v>143</v>
      </c>
      <c r="B148" s="61">
        <v>6838</v>
      </c>
      <c r="C148" s="98" t="str" cm="1">
        <f t="array" ref="C148">_xll.RssMarket(B148, "銘柄名称")</f>
        <v>多摩川ホールディングス</v>
      </c>
      <c r="D148" s="99" t="str">
        <f t="shared" si="5"/>
        <v>株探</v>
      </c>
      <c r="AA148" s="603"/>
    </row>
    <row r="149" spans="1:27" ht="20.100000000000001" customHeight="1">
      <c r="A149" s="101">
        <f t="shared" si="4"/>
        <v>144</v>
      </c>
      <c r="B149" s="61">
        <v>7375</v>
      </c>
      <c r="C149" s="98" t="str" cm="1">
        <f t="array" ref="C149">_xll.RssMarket(B149, "銘柄名称")</f>
        <v>リファインバースグループ</v>
      </c>
      <c r="D149" s="99" t="str">
        <f t="shared" si="5"/>
        <v>株探</v>
      </c>
      <c r="AA149" s="603"/>
    </row>
    <row r="150" spans="1:27" ht="20.100000000000001" customHeight="1">
      <c r="A150" s="101">
        <f t="shared" si="4"/>
        <v>145</v>
      </c>
      <c r="B150" s="61">
        <v>4307</v>
      </c>
      <c r="C150" s="98" t="str" cm="1">
        <f t="array" ref="C150">_xll.RssMarket(B150, "銘柄名称")</f>
        <v>野村総合研究所</v>
      </c>
      <c r="D150" s="99" t="str">
        <f t="shared" si="5"/>
        <v>株探</v>
      </c>
      <c r="AA150" s="603"/>
    </row>
    <row r="151" spans="1:27" ht="20.100000000000001" customHeight="1">
      <c r="A151" s="101">
        <f t="shared" si="4"/>
        <v>146</v>
      </c>
      <c r="B151" s="61">
        <v>6516</v>
      </c>
      <c r="C151" s="98" t="str" cm="1">
        <f t="array" ref="C151">_xll.RssMarket(B151, "銘柄名称")</f>
        <v>山洋電気</v>
      </c>
      <c r="D151" s="99" t="str">
        <f t="shared" si="5"/>
        <v>株探</v>
      </c>
      <c r="AA151" s="603"/>
    </row>
    <row r="152" spans="1:27" ht="20.100000000000001" customHeight="1">
      <c r="A152" s="101">
        <f t="shared" si="4"/>
        <v>147</v>
      </c>
      <c r="B152" s="61">
        <v>7381</v>
      </c>
      <c r="C152" s="98" t="str" cm="1">
        <f t="array" ref="C152">_xll.RssMarket(B152, "銘柄名称")</f>
        <v>ＣＣＩグループ</v>
      </c>
      <c r="D152" s="99" t="str">
        <f t="shared" si="5"/>
        <v>株探</v>
      </c>
      <c r="AA152" s="602"/>
    </row>
    <row r="153" spans="1:27" ht="20.100000000000001" customHeight="1">
      <c r="A153" s="101">
        <f t="shared" si="4"/>
        <v>148</v>
      </c>
      <c r="B153" s="61">
        <v>4417</v>
      </c>
      <c r="C153" s="98" t="str" cm="1">
        <f t="array" ref="C153">_xll.RssMarket(B153, "銘柄名称")</f>
        <v>グローバルセキュ</v>
      </c>
      <c r="D153" s="99" t="str">
        <f t="shared" si="5"/>
        <v>株探</v>
      </c>
      <c r="AA153" s="602"/>
    </row>
    <row r="154" spans="1:27" ht="20.100000000000001" customHeight="1">
      <c r="A154" s="101">
        <f t="shared" si="4"/>
        <v>149</v>
      </c>
      <c r="B154" s="61">
        <v>6981</v>
      </c>
      <c r="C154" s="98" t="str" cm="1">
        <f t="array" ref="C154">_xll.RssMarket(B154, "銘柄名称")</f>
        <v>村田製作所</v>
      </c>
      <c r="D154" s="99" t="str">
        <f t="shared" si="5"/>
        <v>株探</v>
      </c>
      <c r="AA154" s="603" t="s">
        <v>780</v>
      </c>
    </row>
    <row r="155" spans="1:27" ht="20.100000000000001" customHeight="1">
      <c r="A155" s="101">
        <f t="shared" si="4"/>
        <v>150</v>
      </c>
      <c r="B155" s="61">
        <v>6754</v>
      </c>
      <c r="C155" s="98" t="str" cm="1">
        <f t="array" ref="C155">_xll.RssMarket(B155, "銘柄名称")</f>
        <v>アンリツ</v>
      </c>
      <c r="D155" s="99" t="str">
        <f t="shared" si="5"/>
        <v>株探</v>
      </c>
      <c r="AA155" s="603"/>
    </row>
    <row r="156" spans="1:27" ht="20.100000000000001" customHeight="1">
      <c r="A156" s="101">
        <f t="shared" si="4"/>
        <v>151</v>
      </c>
      <c r="B156" s="61">
        <v>4088</v>
      </c>
      <c r="C156" s="98" t="str" cm="1">
        <f t="array" ref="C156">_xll.RssMarket(B156, "銘柄名称")</f>
        <v>エア・ウォーター</v>
      </c>
      <c r="D156" s="99" t="str">
        <f t="shared" si="5"/>
        <v>株探</v>
      </c>
      <c r="AA156" s="602"/>
    </row>
    <row r="157" spans="1:27" ht="20.100000000000001" customHeight="1">
      <c r="A157" s="101">
        <f t="shared" si="4"/>
        <v>152</v>
      </c>
      <c r="B157" s="61">
        <v>4091</v>
      </c>
      <c r="C157" s="98" t="str" cm="1">
        <f t="array" ref="C157">_xll.RssMarket(B157, "銘柄名称")</f>
        <v>日本酸素ＨＬＤＧＳ</v>
      </c>
      <c r="D157" s="99" t="str">
        <f t="shared" si="5"/>
        <v>株探</v>
      </c>
      <c r="AA157" s="603"/>
    </row>
    <row r="158" spans="1:27" ht="20.100000000000001" customHeight="1">
      <c r="A158" s="101">
        <f t="shared" si="4"/>
        <v>153</v>
      </c>
      <c r="B158" s="61">
        <v>6857</v>
      </c>
      <c r="C158" s="98" t="str" cm="1">
        <f t="array" ref="C158">_xll.RssMarket(B158, "銘柄名称")</f>
        <v>アドバンテスト</v>
      </c>
      <c r="D158" s="99" t="str">
        <f t="shared" si="5"/>
        <v>株探</v>
      </c>
      <c r="AA158" s="603"/>
    </row>
    <row r="159" spans="1:27" ht="20.100000000000001" customHeight="1">
      <c r="A159" s="101">
        <f t="shared" si="4"/>
        <v>154</v>
      </c>
      <c r="B159" s="61">
        <v>3891</v>
      </c>
      <c r="C159" s="98" t="str" cm="1">
        <f t="array" ref="C159">_xll.RssMarket(B159, "銘柄名称")</f>
        <v>ニッポン高度紙工業</v>
      </c>
      <c r="D159" s="99" t="str">
        <f t="shared" si="5"/>
        <v>株探</v>
      </c>
      <c r="AA159" s="603" t="s">
        <v>780</v>
      </c>
    </row>
    <row r="160" spans="1:27" ht="20.100000000000001" customHeight="1">
      <c r="A160" s="101">
        <f t="shared" si="4"/>
        <v>155</v>
      </c>
      <c r="B160" s="61">
        <v>4373</v>
      </c>
      <c r="C160" s="98" t="str" cm="1">
        <f t="array" ref="C160">_xll.RssMarket(B160, "銘柄名称")</f>
        <v>シンプレクスＨＤ</v>
      </c>
      <c r="D160" s="99" t="str">
        <f t="shared" si="5"/>
        <v>株探</v>
      </c>
      <c r="AA160" s="603"/>
    </row>
    <row r="161" spans="1:27" ht="20.100000000000001" customHeight="1">
      <c r="A161" s="101">
        <f t="shared" si="4"/>
        <v>156</v>
      </c>
      <c r="B161" s="61">
        <v>8892</v>
      </c>
      <c r="C161" s="98" t="str" cm="1">
        <f t="array" ref="C161">_xll.RssMarket(B161, "銘柄名称")</f>
        <v>エスコン</v>
      </c>
      <c r="D161" s="99" t="str">
        <f t="shared" si="5"/>
        <v>株探</v>
      </c>
      <c r="AA161" s="603"/>
    </row>
    <row r="162" spans="1:27" ht="20.100000000000001" customHeight="1">
      <c r="A162" s="101">
        <f t="shared" si="4"/>
        <v>157</v>
      </c>
      <c r="B162" s="61">
        <v>9687</v>
      </c>
      <c r="C162" s="98" t="str" cm="1">
        <f t="array" ref="C162">_xll.RssMarket(B162, "銘柄名称")</f>
        <v>ＫＳＫ</v>
      </c>
      <c r="D162" s="99" t="str">
        <f t="shared" si="5"/>
        <v>株探</v>
      </c>
      <c r="AA162" s="602"/>
    </row>
    <row r="163" spans="1:27" ht="20.100000000000001" customHeight="1">
      <c r="A163" s="101">
        <f t="shared" si="4"/>
        <v>158</v>
      </c>
      <c r="B163" s="61">
        <v>1930</v>
      </c>
      <c r="C163" s="98" t="str" cm="1">
        <f t="array" ref="C163">_xll.RssMarket(B163, "銘柄名称")</f>
        <v>北陸電気工事</v>
      </c>
      <c r="D163" s="99" t="str">
        <f t="shared" si="5"/>
        <v>株探</v>
      </c>
      <c r="AA163" s="602"/>
    </row>
    <row r="164" spans="1:27" ht="20.100000000000001" customHeight="1">
      <c r="A164" s="101">
        <f t="shared" si="4"/>
        <v>159</v>
      </c>
      <c r="B164" s="61">
        <v>8704</v>
      </c>
      <c r="C164" s="98" t="str" cm="1">
        <f t="array" ref="C164">_xll.RssMarket(B164, "銘柄名称")</f>
        <v>トレイダーズＨＬＤＧＳ</v>
      </c>
      <c r="D164" s="99" t="str">
        <f t="shared" si="5"/>
        <v>株探</v>
      </c>
      <c r="AA164" s="603"/>
    </row>
    <row r="165" spans="1:27" ht="20.100000000000001" customHeight="1">
      <c r="A165" s="101">
        <f t="shared" si="4"/>
        <v>160</v>
      </c>
      <c r="B165" s="61">
        <v>4733</v>
      </c>
      <c r="C165" s="98" t="str" cm="1">
        <f t="array" ref="C165">_xll.RssMarket(B165, "銘柄名称")</f>
        <v>オービックビジネスＣ</v>
      </c>
      <c r="D165" s="99" t="str">
        <f t="shared" si="5"/>
        <v>株探</v>
      </c>
      <c r="AA165" s="602"/>
    </row>
    <row r="166" spans="1:27" ht="20.100000000000001" customHeight="1">
      <c r="A166" s="101">
        <f t="shared" si="4"/>
        <v>161</v>
      </c>
      <c r="B166" s="61">
        <v>9733</v>
      </c>
      <c r="C166" s="98" t="str" cm="1">
        <f t="array" ref="C166">_xll.RssMarket(B166, "銘柄名称")</f>
        <v>ナガセ</v>
      </c>
      <c r="D166" s="99" t="str">
        <f t="shared" si="5"/>
        <v>株探</v>
      </c>
      <c r="AA166" s="602"/>
    </row>
    <row r="167" spans="1:27" ht="20.100000000000001" customHeight="1">
      <c r="A167" s="101">
        <f t="shared" si="4"/>
        <v>162</v>
      </c>
      <c r="B167" s="61">
        <v>9551</v>
      </c>
      <c r="C167" s="98" t="str" cm="1">
        <f t="array" ref="C167">_xll.RssMarket(B167, "銘柄名称")</f>
        <v>メタウォーター</v>
      </c>
      <c r="D167" s="99" t="str">
        <f t="shared" si="5"/>
        <v>株探</v>
      </c>
      <c r="AA167" s="602"/>
    </row>
    <row r="168" spans="1:27" ht="20.100000000000001" customHeight="1">
      <c r="A168" s="101">
        <f t="shared" si="4"/>
        <v>163</v>
      </c>
      <c r="B168" s="61">
        <v>2359</v>
      </c>
      <c r="C168" s="98" t="str" cm="1">
        <f t="array" ref="C168">_xll.RssMarket(B168, "銘柄名称")</f>
        <v>コア</v>
      </c>
      <c r="D168" s="99" t="str">
        <f t="shared" si="5"/>
        <v>株探</v>
      </c>
      <c r="AA168" s="602"/>
    </row>
    <row r="169" spans="1:27" ht="20.100000000000001" customHeight="1">
      <c r="A169" s="101">
        <f t="shared" si="4"/>
        <v>164</v>
      </c>
      <c r="B169" s="61">
        <v>8103</v>
      </c>
      <c r="C169" s="98" t="str" cm="1">
        <f t="array" ref="C169">_xll.RssMarket(B169, "銘柄名称")</f>
        <v>明和産業</v>
      </c>
      <c r="D169" s="99" t="str">
        <f t="shared" si="5"/>
        <v>株探</v>
      </c>
      <c r="AA169" s="602"/>
    </row>
    <row r="170" spans="1:27" ht="20.100000000000001" customHeight="1">
      <c r="A170" s="101">
        <f t="shared" si="4"/>
        <v>165</v>
      </c>
      <c r="B170" s="61">
        <v>4709</v>
      </c>
      <c r="C170" s="98" t="str" cm="1">
        <f t="array" ref="C170">_xll.RssMarket(B170, "銘柄名称")</f>
        <v>ＩＤホールディングス</v>
      </c>
      <c r="D170" s="99" t="str">
        <f t="shared" si="5"/>
        <v>株探</v>
      </c>
      <c r="AA170" s="603"/>
    </row>
    <row r="171" spans="1:27" ht="20.100000000000001" customHeight="1">
      <c r="A171" s="101">
        <f t="shared" si="4"/>
        <v>166</v>
      </c>
      <c r="B171" s="61">
        <v>7981</v>
      </c>
      <c r="C171" s="98" t="str" cm="1">
        <f t="array" ref="C171">_xll.RssMarket(B171, "銘柄名称")</f>
        <v>タカラスタンダ－ド</v>
      </c>
      <c r="D171" s="99" t="str">
        <f t="shared" si="5"/>
        <v>株探</v>
      </c>
      <c r="AA171" s="602"/>
    </row>
    <row r="172" spans="1:27" ht="20.100000000000001" customHeight="1">
      <c r="A172" s="101">
        <f t="shared" si="4"/>
        <v>167</v>
      </c>
      <c r="B172" s="61">
        <v>8303</v>
      </c>
      <c r="C172" s="98" t="str" cm="1">
        <f t="array" ref="C172">_xll.RssMarket(B172, "銘柄名称")</f>
        <v>ＳＢＩ新生銀行</v>
      </c>
      <c r="D172" s="99" t="str">
        <f t="shared" si="5"/>
        <v>株探</v>
      </c>
      <c r="AA172" s="602"/>
    </row>
    <row r="173" spans="1:27" ht="20.100000000000001" customHeight="1">
      <c r="A173" s="101">
        <f t="shared" si="4"/>
        <v>168</v>
      </c>
      <c r="B173" s="61">
        <v>4382</v>
      </c>
      <c r="C173" s="98" t="str" cm="1">
        <f t="array" ref="C173">_xll.RssMarket(B173, "銘柄名称")</f>
        <v>ＨＥＲＯＺ</v>
      </c>
      <c r="D173" s="99" t="str">
        <f t="shared" si="5"/>
        <v>株探</v>
      </c>
      <c r="AA173" s="602"/>
    </row>
    <row r="174" spans="1:27" ht="20.100000000000001" customHeight="1">
      <c r="A174" s="101">
        <f t="shared" si="4"/>
        <v>169</v>
      </c>
      <c r="B174" s="61">
        <v>2327</v>
      </c>
      <c r="C174" s="98" t="str" cm="1">
        <f t="array" ref="C174">_xll.RssMarket(B174, "銘柄名称")</f>
        <v>日鉄ソリューションズ</v>
      </c>
      <c r="D174" s="99" t="str">
        <f t="shared" si="5"/>
        <v>株探</v>
      </c>
      <c r="AA174" s="602"/>
    </row>
    <row r="175" spans="1:27" ht="20.100000000000001" customHeight="1">
      <c r="A175" s="101">
        <f t="shared" si="4"/>
        <v>170</v>
      </c>
      <c r="B175" s="61">
        <v>1942</v>
      </c>
      <c r="C175" s="98" t="str" cm="1">
        <f t="array" ref="C175">_xll.RssMarket(B175, "銘柄名称")</f>
        <v>関電工</v>
      </c>
      <c r="D175" s="99" t="str">
        <f t="shared" si="5"/>
        <v>株探</v>
      </c>
      <c r="AA175" s="602"/>
    </row>
    <row r="176" spans="1:27" ht="20.100000000000001" customHeight="1">
      <c r="A176" s="101">
        <f t="shared" si="4"/>
        <v>171</v>
      </c>
      <c r="B176" s="61">
        <v>1938</v>
      </c>
      <c r="C176" s="98" t="str" cm="1">
        <f t="array" ref="C176">_xll.RssMarket(B176, "銘柄名称")</f>
        <v>日本リーテック</v>
      </c>
      <c r="D176" s="99" t="str">
        <f t="shared" si="5"/>
        <v>株探</v>
      </c>
      <c r="AA176" s="603"/>
    </row>
    <row r="177" spans="1:27" ht="20.100000000000001" customHeight="1">
      <c r="A177" s="101">
        <f t="shared" si="4"/>
        <v>172</v>
      </c>
      <c r="B177" s="61">
        <v>7236</v>
      </c>
      <c r="C177" s="98" t="str" cm="1">
        <f t="array" ref="C177">_xll.RssMarket(B177, "銘柄名称")</f>
        <v>ティラド</v>
      </c>
      <c r="D177" s="99" t="str">
        <f t="shared" si="5"/>
        <v>株探</v>
      </c>
      <c r="AA177" s="602"/>
    </row>
    <row r="178" spans="1:27" ht="20.100000000000001" customHeight="1">
      <c r="A178" s="101">
        <f t="shared" si="4"/>
        <v>173</v>
      </c>
      <c r="B178" s="61">
        <v>6436</v>
      </c>
      <c r="C178" s="98" t="str" cm="1">
        <f t="array" ref="C178">_xll.RssMarket(B178, "銘柄名称")</f>
        <v>アマノ</v>
      </c>
      <c r="D178" s="99" t="str">
        <f t="shared" si="5"/>
        <v>株探</v>
      </c>
      <c r="AA178" s="602"/>
    </row>
    <row r="179" spans="1:27" ht="20.100000000000001" customHeight="1">
      <c r="A179" s="101">
        <f t="shared" si="4"/>
        <v>174</v>
      </c>
      <c r="B179" s="61">
        <v>5410</v>
      </c>
      <c r="C179" s="98" t="str" cm="1">
        <f t="array" ref="C179">_xll.RssMarket(B179, "銘柄名称")</f>
        <v>合同製鐵</v>
      </c>
      <c r="D179" s="99" t="str">
        <f t="shared" si="5"/>
        <v>株探</v>
      </c>
      <c r="AA179" s="602"/>
    </row>
    <row r="180" spans="1:27" ht="20.100000000000001" customHeight="1">
      <c r="A180" s="101">
        <f t="shared" si="4"/>
        <v>175</v>
      </c>
      <c r="B180" s="61">
        <v>5440</v>
      </c>
      <c r="C180" s="98" t="str" cm="1">
        <f t="array" ref="C180">_xll.RssMarket(B180, "銘柄名称")</f>
        <v>共英製鋼</v>
      </c>
      <c r="D180" s="99" t="str">
        <f t="shared" si="5"/>
        <v>株探</v>
      </c>
      <c r="AA180" s="602"/>
    </row>
    <row r="181" spans="1:27" ht="20.100000000000001" customHeight="1">
      <c r="A181" s="101">
        <f t="shared" si="4"/>
        <v>176</v>
      </c>
      <c r="B181" s="61">
        <v>9505</v>
      </c>
      <c r="C181" s="98" t="str" cm="1">
        <f t="array" ref="C181">_xll.RssMarket(B181, "銘柄名称")</f>
        <v>北陸電力</v>
      </c>
      <c r="D181" s="99" t="str">
        <f t="shared" si="5"/>
        <v>株探</v>
      </c>
      <c r="AA181" s="602"/>
    </row>
    <row r="182" spans="1:27" ht="20.100000000000001" customHeight="1">
      <c r="A182" s="101">
        <f t="shared" si="4"/>
        <v>177</v>
      </c>
      <c r="B182" s="61">
        <v>8091</v>
      </c>
      <c r="C182" s="98" t="str" cm="1">
        <f t="array" ref="C182">_xll.RssMarket(B182, "銘柄名称")</f>
        <v>ニチモウ</v>
      </c>
      <c r="D182" s="99" t="str">
        <f t="shared" si="5"/>
        <v>株探</v>
      </c>
      <c r="AA182" s="602"/>
    </row>
    <row r="183" spans="1:27" ht="20.100000000000001" customHeight="1">
      <c r="A183" s="101">
        <f t="shared" si="4"/>
        <v>178</v>
      </c>
      <c r="B183" s="61">
        <v>6507</v>
      </c>
      <c r="C183" s="98" t="str" cm="1">
        <f t="array" ref="C183">_xll.RssMarket(B183, "銘柄名称")</f>
        <v>シンフォニアテクノロジー</v>
      </c>
      <c r="D183" s="99" t="str">
        <f t="shared" si="5"/>
        <v>株探</v>
      </c>
      <c r="AA183" s="603" t="s">
        <v>780</v>
      </c>
    </row>
    <row r="184" spans="1:27" ht="20.100000000000001" customHeight="1">
      <c r="A184" s="101">
        <f t="shared" si="4"/>
        <v>179</v>
      </c>
      <c r="B184" s="61">
        <v>9022</v>
      </c>
      <c r="C184" s="98" t="str" cm="1">
        <f t="array" ref="C184">_xll.RssMarket(B184, "銘柄名称")</f>
        <v>東海旅客鉄道</v>
      </c>
      <c r="D184" s="99" t="str">
        <f t="shared" si="5"/>
        <v>株探</v>
      </c>
      <c r="AA184" s="602"/>
    </row>
    <row r="185" spans="1:27" ht="20.100000000000001" customHeight="1">
      <c r="A185" s="101">
        <f t="shared" si="4"/>
        <v>180</v>
      </c>
      <c r="B185" s="61">
        <v>9536</v>
      </c>
      <c r="C185" s="98" t="str" cm="1">
        <f t="array" ref="C185">_xll.RssMarket(B185, "銘柄名称")</f>
        <v>西部ガスＨＬＤＧＳ</v>
      </c>
      <c r="D185" s="99" t="str">
        <f t="shared" si="5"/>
        <v>株探</v>
      </c>
      <c r="AA185" s="602"/>
    </row>
    <row r="186" spans="1:27" ht="20.100000000000001" customHeight="1">
      <c r="A186" s="101">
        <f t="shared" si="4"/>
        <v>181</v>
      </c>
      <c r="B186" s="61">
        <v>9506</v>
      </c>
      <c r="C186" s="98" t="str" cm="1">
        <f t="array" ref="C186">_xll.RssMarket(B186, "銘柄名称")</f>
        <v>東北電力</v>
      </c>
      <c r="D186" s="99" t="str">
        <f t="shared" si="5"/>
        <v>株探</v>
      </c>
      <c r="AA186" s="602"/>
    </row>
    <row r="187" spans="1:27" ht="20.100000000000001" customHeight="1">
      <c r="A187" s="101">
        <f t="shared" si="4"/>
        <v>182</v>
      </c>
      <c r="B187" s="61">
        <v>2127</v>
      </c>
      <c r="C187" s="98" t="str" cm="1">
        <f t="array" ref="C187">_xll.RssMarket(B187, "銘柄名称")</f>
        <v>日本Ｍ＆Ａセンターホールデ</v>
      </c>
      <c r="D187" s="99" t="str">
        <f t="shared" si="5"/>
        <v>株探</v>
      </c>
      <c r="AA187" s="602"/>
    </row>
    <row r="188" spans="1:27" ht="20.100000000000001" customHeight="1">
      <c r="A188" s="101">
        <f t="shared" si="4"/>
        <v>183</v>
      </c>
      <c r="B188" s="61">
        <v>6753</v>
      </c>
      <c r="C188" s="98" t="str" cm="1">
        <f t="array" ref="C188">_xll.RssMarket(B188, "銘柄名称")</f>
        <v>シャープ</v>
      </c>
      <c r="D188" s="99" t="str">
        <f t="shared" si="5"/>
        <v>株探</v>
      </c>
      <c r="AA188" s="603"/>
    </row>
    <row r="189" spans="1:27" ht="20.100000000000001" customHeight="1">
      <c r="A189" s="101">
        <f t="shared" si="4"/>
        <v>184</v>
      </c>
      <c r="B189" s="61" t="s">
        <v>478</v>
      </c>
      <c r="C189" s="98" t="str">
        <f>_xll.RssMarket($B189,"銘柄名称")</f>
        <v>ヤマトホールディングス</v>
      </c>
      <c r="D189" s="99" t="str">
        <f t="shared" si="5"/>
        <v>株探</v>
      </c>
      <c r="AA189" s="602"/>
    </row>
    <row r="190" spans="1:27" ht="20.100000000000001" customHeight="1">
      <c r="A190" s="101">
        <f t="shared" si="4"/>
        <v>185</v>
      </c>
      <c r="B190" s="61" t="s">
        <v>479</v>
      </c>
      <c r="C190" s="98" t="str" cm="1">
        <f t="array" ref="C190">_xll.RssMarket(B190, "銘柄名称")</f>
        <v>かんぽ生命保険</v>
      </c>
      <c r="D190" s="99" t="str">
        <f t="shared" si="5"/>
        <v>株探</v>
      </c>
      <c r="AA190" s="602"/>
    </row>
    <row r="191" spans="1:27" ht="20.100000000000001" customHeight="1">
      <c r="A191" s="101">
        <f t="shared" si="4"/>
        <v>186</v>
      </c>
      <c r="B191" s="61" t="s">
        <v>481</v>
      </c>
      <c r="C191" s="98" t="str">
        <f>_xll.RssMarket($B191,"銘柄名称")</f>
        <v>前澤給装工業</v>
      </c>
      <c r="D191" s="99" t="str">
        <f t="shared" si="5"/>
        <v>株探</v>
      </c>
      <c r="AA191" s="602"/>
    </row>
    <row r="192" spans="1:27" ht="20.100000000000001" customHeight="1">
      <c r="A192" s="101">
        <f t="shared" si="4"/>
        <v>187</v>
      </c>
      <c r="B192" s="61">
        <v>4887</v>
      </c>
      <c r="C192" s="98" t="str" cm="1">
        <f t="array" ref="C192">_xll.RssMarket(B192, "銘柄名称")</f>
        <v>サワイグループＨＤ</v>
      </c>
      <c r="D192" s="99" t="str">
        <f t="shared" si="5"/>
        <v>株探</v>
      </c>
      <c r="AA192" s="602"/>
    </row>
    <row r="193" spans="1:27" ht="20.100000000000001" customHeight="1">
      <c r="A193" s="101">
        <f t="shared" si="4"/>
        <v>188</v>
      </c>
      <c r="B193" s="61">
        <v>5243</v>
      </c>
      <c r="C193" s="98" t="str" cm="1">
        <f t="array" ref="C193">_xll.RssMarket(B193, "銘柄名称")</f>
        <v>ＮＯＴＥ</v>
      </c>
      <c r="D193" s="99" t="str">
        <f t="shared" si="5"/>
        <v>株探</v>
      </c>
      <c r="AA193" s="602"/>
    </row>
    <row r="194" spans="1:27" ht="20.100000000000001" customHeight="1">
      <c r="A194" s="101">
        <f t="shared" si="4"/>
        <v>189</v>
      </c>
      <c r="B194" s="61">
        <v>2702</v>
      </c>
      <c r="C194" s="98" t="str" cm="1">
        <f t="array" ref="C194">_xll.RssMarket(B194, "銘柄名称")</f>
        <v>日本マクドナルドＨＬＤＧ</v>
      </c>
      <c r="D194" s="99" t="str">
        <f t="shared" si="5"/>
        <v>株探</v>
      </c>
      <c r="AA194" s="602"/>
    </row>
    <row r="195" spans="1:27" ht="20.100000000000001" customHeight="1">
      <c r="A195" s="101">
        <f t="shared" si="4"/>
        <v>190</v>
      </c>
      <c r="B195" s="61">
        <v>6890</v>
      </c>
      <c r="C195" s="98" t="str" cm="1">
        <f t="array" ref="C195">_xll.RssMarket(B195, "銘柄名称")</f>
        <v>フェローテック</v>
      </c>
      <c r="D195" s="99" t="str">
        <f t="shared" si="5"/>
        <v>株探</v>
      </c>
      <c r="AA195" s="603" t="s">
        <v>780</v>
      </c>
    </row>
    <row r="196" spans="1:27" ht="20.100000000000001" customHeight="1">
      <c r="A196" s="101">
        <f t="shared" si="4"/>
        <v>191</v>
      </c>
      <c r="B196" s="61">
        <v>4966</v>
      </c>
      <c r="C196" s="98" t="str" cm="1">
        <f t="array" ref="C196">_xll.RssMarket(B196, "銘柄名称")</f>
        <v>上村工業</v>
      </c>
      <c r="D196" s="99" t="str">
        <f t="shared" si="5"/>
        <v>株探</v>
      </c>
      <c r="AA196" s="602"/>
    </row>
    <row r="197" spans="1:27" ht="20.100000000000001" customHeight="1">
      <c r="A197" s="101">
        <f t="shared" si="4"/>
        <v>192</v>
      </c>
      <c r="B197" s="61">
        <v>6146</v>
      </c>
      <c r="C197" s="98" t="str" cm="1">
        <f t="array" ref="C197">_xll.RssMarket(B197, "銘柄名称")</f>
        <v>ディスコ</v>
      </c>
      <c r="D197" s="99" t="str">
        <f t="shared" si="5"/>
        <v>株探</v>
      </c>
      <c r="AA197" s="603"/>
    </row>
    <row r="198" spans="1:27" ht="20.100000000000001" customHeight="1">
      <c r="A198" s="101">
        <f t="shared" ref="A198:A261" si="6">IF(B198="","",ROW()-5)</f>
        <v>193</v>
      </c>
      <c r="B198" s="61">
        <v>8035</v>
      </c>
      <c r="C198" s="98" t="str" cm="1">
        <f t="array" ref="C198">_xll.RssMarket(B198, "銘柄名称")</f>
        <v>東京エレクトロン</v>
      </c>
      <c r="D198" s="99" t="str">
        <f t="shared" ref="D198:D261" si="7">IF(B198="","",HYPERLINK("https://kabutan.jp/stock/?code="&amp;B198,"株探"))</f>
        <v>株探</v>
      </c>
      <c r="AA198" s="603"/>
    </row>
    <row r="199" spans="1:27" ht="20.100000000000001" customHeight="1">
      <c r="A199" s="101">
        <f t="shared" si="6"/>
        <v>194</v>
      </c>
      <c r="B199" s="61">
        <v>6920</v>
      </c>
      <c r="C199" s="98" t="str" cm="1">
        <f t="array" ref="C199">_xll.RssMarket(B199, "銘柄名称")</f>
        <v>レーザーテック</v>
      </c>
      <c r="D199" s="99" t="str">
        <f t="shared" si="7"/>
        <v>株探</v>
      </c>
      <c r="AA199" s="603" t="s">
        <v>780</v>
      </c>
    </row>
    <row r="200" spans="1:27" ht="20.100000000000001" customHeight="1">
      <c r="A200" s="101">
        <f t="shared" si="6"/>
        <v>195</v>
      </c>
      <c r="B200" s="61">
        <v>5801</v>
      </c>
      <c r="C200" s="98" t="str" cm="1">
        <f t="array" ref="C200">_xll.RssMarket(B200, "銘柄名称")</f>
        <v>古河電工</v>
      </c>
      <c r="D200" s="99" t="str">
        <f t="shared" si="7"/>
        <v>株探</v>
      </c>
      <c r="AA200" s="602"/>
    </row>
    <row r="201" spans="1:27" ht="20.100000000000001" customHeight="1">
      <c r="A201" s="101">
        <f t="shared" si="6"/>
        <v>196</v>
      </c>
      <c r="B201" s="61">
        <v>6506</v>
      </c>
      <c r="C201" s="98" t="str" cm="1">
        <f t="array" ref="C201">_xll.RssMarket(B201, "銘柄名称")</f>
        <v>安川電機</v>
      </c>
      <c r="D201" s="99" t="str">
        <f t="shared" si="7"/>
        <v>株探</v>
      </c>
      <c r="AA201" s="602"/>
    </row>
    <row r="202" spans="1:27" ht="20.100000000000001" customHeight="1">
      <c r="A202" s="101">
        <f t="shared" si="6"/>
        <v>197</v>
      </c>
      <c r="B202" s="61">
        <v>2768</v>
      </c>
      <c r="C202" s="98" t="str" cm="1">
        <f t="array" ref="C202">_xll.RssMarket(B202, "銘柄名称")</f>
        <v>双日</v>
      </c>
      <c r="D202" s="99" t="str">
        <f t="shared" si="7"/>
        <v>株探</v>
      </c>
      <c r="AA202" s="602"/>
    </row>
    <row r="203" spans="1:27" ht="20.100000000000001" customHeight="1">
      <c r="A203" s="101">
        <f t="shared" si="6"/>
        <v>198</v>
      </c>
      <c r="B203" s="61">
        <v>6305</v>
      </c>
      <c r="C203" s="98" t="str" cm="1">
        <f t="array" ref="C203">_xll.RssMarket(B203, "銘柄名称")</f>
        <v>日立建機</v>
      </c>
      <c r="D203" s="99" t="str">
        <f t="shared" si="7"/>
        <v>株探</v>
      </c>
      <c r="AA203" s="602"/>
    </row>
    <row r="204" spans="1:27" ht="20.100000000000001" customHeight="1">
      <c r="A204" s="101">
        <f t="shared" si="6"/>
        <v>199</v>
      </c>
      <c r="B204" s="61">
        <v>8015</v>
      </c>
      <c r="C204" s="98" t="str" cm="1">
        <f t="array" ref="C204">_xll.RssMarket(B204, "銘柄名称")</f>
        <v>豊田通商</v>
      </c>
      <c r="D204" s="99" t="str">
        <f t="shared" si="7"/>
        <v>株探</v>
      </c>
      <c r="AA204" s="602"/>
    </row>
    <row r="205" spans="1:27" ht="20.100000000000001" customHeight="1">
      <c r="A205" s="101">
        <f t="shared" si="6"/>
        <v>200</v>
      </c>
      <c r="B205" s="62">
        <v>6758</v>
      </c>
      <c r="C205" s="98" t="str" cm="1">
        <f t="array" ref="C205">_xll.RssMarket(B205, "銘柄名称")</f>
        <v>ソニーグループ</v>
      </c>
      <c r="D205" s="99" t="str">
        <f t="shared" si="7"/>
        <v>株探</v>
      </c>
      <c r="AA205" s="602"/>
    </row>
    <row r="206" spans="1:27" ht="20.100000000000001" customHeight="1">
      <c r="A206" s="101">
        <f t="shared" si="6"/>
        <v>201</v>
      </c>
      <c r="B206" s="62">
        <v>9101</v>
      </c>
      <c r="C206" s="98" t="str" cm="1">
        <f t="array" ref="C206">_xll.RssMarket(B206, "銘柄名称")</f>
        <v>日本郵船</v>
      </c>
      <c r="D206" s="99" t="str">
        <f t="shared" si="7"/>
        <v>株探</v>
      </c>
      <c r="AA206" s="602"/>
    </row>
    <row r="207" spans="1:27" ht="20.100000000000001" customHeight="1">
      <c r="A207" s="101">
        <f t="shared" si="6"/>
        <v>202</v>
      </c>
      <c r="B207" s="62">
        <v>7011</v>
      </c>
      <c r="C207" s="98" t="str" cm="1">
        <f t="array" ref="C207">_xll.RssMarket(B207, "銘柄名称")</f>
        <v>三菱重工業</v>
      </c>
      <c r="D207" s="99" t="str">
        <f t="shared" si="7"/>
        <v>株探</v>
      </c>
      <c r="AA207" s="602"/>
    </row>
    <row r="208" spans="1:27" ht="20.100000000000001" customHeight="1">
      <c r="A208" s="101">
        <f t="shared" si="6"/>
        <v>203</v>
      </c>
      <c r="B208" s="62">
        <v>1812</v>
      </c>
      <c r="C208" s="98" t="str" cm="1">
        <f t="array" ref="C208">_xll.RssMarket(B208, "銘柄名称")</f>
        <v>鹿島建設</v>
      </c>
      <c r="D208" s="99" t="str">
        <f t="shared" si="7"/>
        <v>株探</v>
      </c>
      <c r="AA208" s="602"/>
    </row>
    <row r="209" spans="1:27" ht="20.100000000000001" customHeight="1">
      <c r="A209" s="101">
        <f t="shared" si="6"/>
        <v>204</v>
      </c>
      <c r="B209" s="62" t="s">
        <v>488</v>
      </c>
      <c r="C209" s="98" t="str">
        <f>_xll.RssMarket($B209,"銘柄名称")</f>
        <v>キーエンス</v>
      </c>
      <c r="D209" s="99" t="str">
        <f t="shared" si="7"/>
        <v>株探</v>
      </c>
      <c r="AA209" s="602"/>
    </row>
    <row r="210" spans="1:27" ht="20.100000000000001" customHeight="1">
      <c r="A210" s="101">
        <f t="shared" si="6"/>
        <v>205</v>
      </c>
      <c r="B210" s="62">
        <v>6324</v>
      </c>
      <c r="C210" s="98" t="str" cm="1">
        <f t="array" ref="C210">_xll.RssMarket(B210, "銘柄名称")</f>
        <v>ハーモニック・ドライブ・シス</v>
      </c>
      <c r="D210" s="99" t="str">
        <f t="shared" si="7"/>
        <v>株探</v>
      </c>
      <c r="AA210" s="602"/>
    </row>
    <row r="211" spans="1:27" ht="20.100000000000001" customHeight="1">
      <c r="A211" s="101">
        <f t="shared" si="6"/>
        <v>206</v>
      </c>
      <c r="B211" s="62">
        <v>6273</v>
      </c>
      <c r="C211" s="98" t="str" cm="1">
        <f t="array" ref="C211">_xll.RssMarket(B211, "銘柄名称")</f>
        <v>ＳＭＣ</v>
      </c>
      <c r="D211" s="99" t="str">
        <f t="shared" si="7"/>
        <v>株探</v>
      </c>
      <c r="AA211" s="602"/>
    </row>
    <row r="212" spans="1:27" ht="20.100000000000001" customHeight="1">
      <c r="A212" s="101">
        <f t="shared" si="6"/>
        <v>207</v>
      </c>
      <c r="B212" s="62">
        <v>4502</v>
      </c>
      <c r="C212" s="98" t="str" cm="1">
        <f t="array" ref="C212">_xll.RssMarket(B212, "銘柄名称")</f>
        <v>武田薬品</v>
      </c>
      <c r="D212" s="99" t="str">
        <f t="shared" si="7"/>
        <v>株探</v>
      </c>
      <c r="AA212" s="602"/>
    </row>
    <row r="213" spans="1:27" ht="20.100000000000001" customHeight="1">
      <c r="A213" s="101">
        <f t="shared" si="6"/>
        <v>208</v>
      </c>
      <c r="B213" s="62">
        <v>4004</v>
      </c>
      <c r="C213" s="98" t="str" cm="1">
        <f t="array" ref="C213">_xll.RssMarket(B213, "銘柄名称")</f>
        <v>レゾナック・ホールディング</v>
      </c>
      <c r="D213" s="99" t="str">
        <f t="shared" si="7"/>
        <v>株探</v>
      </c>
      <c r="AA213" s="602"/>
    </row>
    <row r="214" spans="1:27" ht="20.100000000000001" customHeight="1">
      <c r="A214" s="101">
        <f t="shared" si="6"/>
        <v>209</v>
      </c>
      <c r="B214" s="62">
        <v>9519</v>
      </c>
      <c r="C214" s="98" t="str" cm="1">
        <f t="array" ref="C214">_xll.RssMarket(B214, "銘柄名称")</f>
        <v>レノバ</v>
      </c>
      <c r="D214" s="99" t="str">
        <f t="shared" si="7"/>
        <v>株探</v>
      </c>
      <c r="AA214" s="602"/>
    </row>
    <row r="215" spans="1:27" ht="20.100000000000001" customHeight="1">
      <c r="A215" s="101">
        <f t="shared" si="6"/>
        <v>210</v>
      </c>
      <c r="B215" s="62">
        <v>6752</v>
      </c>
      <c r="C215" s="98" t="str" cm="1">
        <f t="array" ref="C215">_xll.RssMarket(B215, "銘柄名称")</f>
        <v>パナソニックホールディンク</v>
      </c>
      <c r="D215" s="99" t="str">
        <f t="shared" si="7"/>
        <v>株探</v>
      </c>
      <c r="AA215" s="602"/>
    </row>
    <row r="216" spans="1:27" ht="20.100000000000001" customHeight="1">
      <c r="A216" s="101">
        <f t="shared" si="6"/>
        <v>211</v>
      </c>
      <c r="B216" s="62">
        <v>6622</v>
      </c>
      <c r="C216" s="98" t="str" cm="1">
        <f t="array" ref="C216">_xll.RssMarket(B216, "銘柄名称")</f>
        <v>ダイヘン</v>
      </c>
      <c r="D216" s="99" t="str">
        <f t="shared" si="7"/>
        <v>株探</v>
      </c>
      <c r="AA216" s="602"/>
    </row>
    <row r="217" spans="1:27" ht="20.100000000000001" customHeight="1">
      <c r="A217" s="101">
        <f t="shared" si="6"/>
        <v>212</v>
      </c>
      <c r="B217" s="62">
        <v>1407</v>
      </c>
      <c r="C217" s="98" t="str" cm="1">
        <f t="array" ref="C217">_xll.RssMarket(B217, "銘柄名称")</f>
        <v>ウエストホールディングス</v>
      </c>
      <c r="D217" s="99" t="str">
        <f t="shared" si="7"/>
        <v>株探</v>
      </c>
      <c r="AA217" s="602"/>
    </row>
    <row r="218" spans="1:27" ht="20.100000000000001" customHeight="1">
      <c r="A218" s="101">
        <f t="shared" si="6"/>
        <v>213</v>
      </c>
      <c r="B218" s="62" t="s">
        <v>257</v>
      </c>
      <c r="C218" s="98" t="str" cm="1">
        <f t="array" ref="C218">_xll.RssMarket(B218, "銘柄名称")</f>
        <v>キオクシアホールディングス</v>
      </c>
      <c r="D218" s="99" t="str">
        <f t="shared" si="7"/>
        <v>株探</v>
      </c>
      <c r="AA218" s="603"/>
    </row>
    <row r="219" spans="1:27" ht="20.100000000000001" customHeight="1">
      <c r="A219" s="101">
        <f t="shared" si="6"/>
        <v>214</v>
      </c>
      <c r="B219" s="62" t="s">
        <v>258</v>
      </c>
      <c r="C219" s="98" t="str" cm="1">
        <f t="array" ref="C219">_xll.RssMarket(B219, "銘柄名称")</f>
        <v>トライアルホールディングス</v>
      </c>
      <c r="D219" s="99" t="str">
        <f t="shared" si="7"/>
        <v>株探</v>
      </c>
      <c r="AA219" s="602"/>
    </row>
    <row r="220" spans="1:27" ht="20.100000000000001" customHeight="1">
      <c r="A220" s="101">
        <f t="shared" si="6"/>
        <v>215</v>
      </c>
      <c r="B220" s="62" t="s">
        <v>262</v>
      </c>
      <c r="C220" s="98" t="str" cm="1">
        <f t="array" ref="C220">_xll.RssMarket(B220, "銘柄名称")</f>
        <v>ＱＰＳホールディングス</v>
      </c>
      <c r="D220" s="99" t="str">
        <f t="shared" si="7"/>
        <v>株探</v>
      </c>
      <c r="AA220" s="602"/>
    </row>
    <row r="221" spans="1:27" ht="20.100000000000001" customHeight="1">
      <c r="A221" s="101">
        <f t="shared" si="6"/>
        <v>216</v>
      </c>
      <c r="B221" s="62" t="s">
        <v>472</v>
      </c>
      <c r="C221" s="98" t="str" cm="1">
        <f t="array" ref="C221">_xll.RssMarket(B221, "銘柄名称")</f>
        <v>パワーエックス</v>
      </c>
      <c r="D221" s="99" t="str">
        <f t="shared" si="7"/>
        <v>株探</v>
      </c>
      <c r="AA221" s="602"/>
    </row>
    <row r="222" spans="1:27" ht="20.100000000000001" customHeight="1">
      <c r="A222" s="101">
        <f t="shared" si="6"/>
        <v>217</v>
      </c>
      <c r="B222" s="62" t="s">
        <v>490</v>
      </c>
      <c r="C222" s="98" t="str">
        <f>_xll.RssMarket($B222,"銘柄名称")</f>
        <v>ＮＦ日経レバ</v>
      </c>
      <c r="D222" s="99" t="str">
        <f t="shared" si="7"/>
        <v>株探</v>
      </c>
      <c r="AA222" s="602"/>
    </row>
    <row r="223" spans="1:27" ht="20.100000000000001" customHeight="1">
      <c r="A223" s="101">
        <f t="shared" si="6"/>
        <v>218</v>
      </c>
      <c r="B223" s="62" t="s">
        <v>489</v>
      </c>
      <c r="C223" s="98" t="str">
        <f>_xll.RssMarket($B223,"銘柄名称")</f>
        <v>牧野フライス</v>
      </c>
      <c r="D223" s="99" t="str">
        <f t="shared" si="7"/>
        <v>株探</v>
      </c>
      <c r="AA223" s="602"/>
    </row>
    <row r="224" spans="1:27" ht="20.100000000000001" customHeight="1">
      <c r="A224" s="101">
        <f t="shared" si="6"/>
        <v>219</v>
      </c>
      <c r="B224" s="62" t="s">
        <v>546</v>
      </c>
      <c r="C224" s="98" t="str">
        <f>_xll.RssMarket($B224,"銘柄名称")</f>
        <v>ジャパンマテリアル</v>
      </c>
      <c r="D224" s="99" t="str">
        <f t="shared" si="7"/>
        <v>株探</v>
      </c>
      <c r="AA224" s="602"/>
    </row>
    <row r="225" spans="1:27" ht="20.100000000000001" customHeight="1">
      <c r="A225" s="101">
        <f t="shared" si="6"/>
        <v>220</v>
      </c>
      <c r="B225" s="62" t="s">
        <v>476</v>
      </c>
      <c r="C225" s="98" t="str">
        <f>_xll.RssMarket($B225,"銘柄名称")</f>
        <v>ミナトホールディングス</v>
      </c>
      <c r="D225" s="99" t="str">
        <f t="shared" si="7"/>
        <v>株探</v>
      </c>
      <c r="AA225" s="602"/>
    </row>
    <row r="226" spans="1:27" ht="20.100000000000001" customHeight="1">
      <c r="A226" s="101">
        <f t="shared" si="6"/>
        <v>221</v>
      </c>
      <c r="B226" s="62" t="s">
        <v>491</v>
      </c>
      <c r="C226" s="98" t="str">
        <f>_xll.RssMarket($B226,"銘柄名称")</f>
        <v>ヤクルト</v>
      </c>
      <c r="D226" s="99" t="str">
        <f t="shared" si="7"/>
        <v>株探</v>
      </c>
      <c r="AA226" s="602"/>
    </row>
    <row r="227" spans="1:27" ht="20.100000000000001" customHeight="1">
      <c r="A227" s="101">
        <f t="shared" si="6"/>
        <v>222</v>
      </c>
      <c r="B227" s="62" t="s">
        <v>492</v>
      </c>
      <c r="C227" s="98" t="str">
        <f>_xll.RssMarket($B227,"銘柄名称")</f>
        <v>ＮＦエネ資源Ｔ１７</v>
      </c>
      <c r="D227" s="99" t="str">
        <f t="shared" si="7"/>
        <v>株探</v>
      </c>
      <c r="AA227" s="602"/>
    </row>
    <row r="228" spans="1:27" ht="20.100000000000001" customHeight="1">
      <c r="A228" s="101">
        <f t="shared" si="6"/>
        <v>223</v>
      </c>
      <c r="B228" s="62" t="s">
        <v>493</v>
      </c>
      <c r="C228" s="98" t="str">
        <f>_xll.RssMarket($B228,"銘柄名称")</f>
        <v>セレス</v>
      </c>
      <c r="D228" s="99" t="str">
        <f t="shared" si="7"/>
        <v>株探</v>
      </c>
      <c r="AA228" s="602"/>
    </row>
    <row r="229" spans="1:27" ht="20.100000000000001" customHeight="1">
      <c r="A229" s="101">
        <f t="shared" si="6"/>
        <v>224</v>
      </c>
      <c r="B229" s="62" t="s">
        <v>494</v>
      </c>
      <c r="C229" s="98" t="str">
        <f>_xll.RssMarket($B229,"銘柄名称")</f>
        <v>児玉化学</v>
      </c>
      <c r="D229" s="99" t="str">
        <f t="shared" si="7"/>
        <v>株探</v>
      </c>
      <c r="AA229" s="602"/>
    </row>
    <row r="230" spans="1:27" ht="20.100000000000001" customHeight="1">
      <c r="A230" s="101">
        <f t="shared" si="6"/>
        <v>225</v>
      </c>
      <c r="B230" s="62" t="s">
        <v>512</v>
      </c>
      <c r="C230" s="98" t="str">
        <f>_xll.RssMarket($B230,"銘柄名称")</f>
        <v>ＦＯＯＤ＆ＬＩＦＥＣＯＭＰＡＮ</v>
      </c>
      <c r="D230" s="99" t="str">
        <f t="shared" si="7"/>
        <v>株探</v>
      </c>
      <c r="AA230" s="602"/>
    </row>
    <row r="231" spans="1:27" ht="20.100000000000001" customHeight="1">
      <c r="A231" s="101">
        <f t="shared" si="6"/>
        <v>226</v>
      </c>
      <c r="B231" s="62" t="s">
        <v>513</v>
      </c>
      <c r="C231" s="98" t="str">
        <f>_xll.RssMarket($B231,"銘柄名称")</f>
        <v>ＩＨＩ</v>
      </c>
      <c r="D231" s="99" t="str">
        <f t="shared" si="7"/>
        <v>株探</v>
      </c>
      <c r="AA231" s="602"/>
    </row>
    <row r="232" spans="1:27" ht="20.100000000000001" customHeight="1">
      <c r="A232" s="101">
        <f t="shared" si="6"/>
        <v>227</v>
      </c>
      <c r="B232" s="62" t="s">
        <v>516</v>
      </c>
      <c r="C232" s="98" t="str">
        <f>_xll.RssMarket($B232,"銘柄名称")</f>
        <v>ＮＥＣキャピタルソリューション</v>
      </c>
      <c r="D232" s="99" t="str">
        <f t="shared" si="7"/>
        <v>株探</v>
      </c>
      <c r="AA232" s="602"/>
    </row>
    <row r="233" spans="1:27" ht="20.100000000000001" customHeight="1">
      <c r="A233" s="101">
        <f t="shared" si="6"/>
        <v>228</v>
      </c>
      <c r="B233" s="62" t="s">
        <v>517</v>
      </c>
      <c r="C233" s="98" t="str">
        <f>_xll.RssMarket($B233,"銘柄名称")</f>
        <v>ミスミグループ本社</v>
      </c>
      <c r="D233" s="99" t="str">
        <f t="shared" si="7"/>
        <v>株探</v>
      </c>
      <c r="AA233" s="602"/>
    </row>
    <row r="234" spans="1:27" ht="20.100000000000001" customHeight="1">
      <c r="A234" s="101">
        <f t="shared" si="6"/>
        <v>229</v>
      </c>
      <c r="B234" s="62" t="s">
        <v>518</v>
      </c>
      <c r="C234" s="98" t="str">
        <f>_xll.RssMarket($B234,"銘柄名称")</f>
        <v>ＴＤＫ</v>
      </c>
      <c r="D234" s="99" t="str">
        <f t="shared" si="7"/>
        <v>株探</v>
      </c>
      <c r="AA234" s="602"/>
    </row>
    <row r="235" spans="1:27" ht="20.100000000000001" customHeight="1">
      <c r="A235" s="101">
        <f t="shared" si="6"/>
        <v>230</v>
      </c>
      <c r="B235" s="62" t="s">
        <v>519</v>
      </c>
      <c r="C235" s="98" t="str">
        <f>_xll.RssMarket($B235,"銘柄名称")</f>
        <v>ＦＩＧ</v>
      </c>
      <c r="D235" s="99" t="str">
        <f t="shared" si="7"/>
        <v>株探</v>
      </c>
      <c r="AA235" s="602"/>
    </row>
    <row r="236" spans="1:27" ht="20.100000000000001" customHeight="1">
      <c r="A236" s="101">
        <f t="shared" si="6"/>
        <v>231</v>
      </c>
      <c r="B236" s="62" t="s">
        <v>520</v>
      </c>
      <c r="C236" s="98" t="str">
        <f>_xll.RssMarket($B236,"銘柄名称")</f>
        <v>スクロール</v>
      </c>
      <c r="D236" s="99" t="str">
        <f t="shared" si="7"/>
        <v>株探</v>
      </c>
      <c r="AA236" s="602"/>
    </row>
    <row r="237" spans="1:27" ht="20.100000000000001" customHeight="1">
      <c r="A237" s="101">
        <f t="shared" si="6"/>
        <v>232</v>
      </c>
      <c r="B237" s="62" t="s">
        <v>521</v>
      </c>
      <c r="C237" s="98" t="str">
        <f>_xll.RssMarket($B237,"銘柄名称")</f>
        <v>デジタルアーツ</v>
      </c>
      <c r="D237" s="99" t="str">
        <f t="shared" si="7"/>
        <v>株探</v>
      </c>
      <c r="AA237" s="602"/>
    </row>
    <row r="238" spans="1:27" ht="20.100000000000001" customHeight="1">
      <c r="A238" s="101">
        <f t="shared" si="6"/>
        <v>233</v>
      </c>
      <c r="B238" s="62" t="s">
        <v>522</v>
      </c>
      <c r="C238" s="98" t="str">
        <f>_xll.RssMarket($B238,"銘柄名称")</f>
        <v>ＴＯＡ</v>
      </c>
      <c r="D238" s="99" t="str">
        <f t="shared" si="7"/>
        <v>株探</v>
      </c>
      <c r="AA238" s="602"/>
    </row>
    <row r="239" spans="1:27" ht="20.100000000000001" customHeight="1">
      <c r="A239" s="101">
        <f t="shared" si="6"/>
        <v>234</v>
      </c>
      <c r="B239" s="62" t="s">
        <v>523</v>
      </c>
      <c r="C239" s="98" t="str">
        <f>_xll.RssMarket($B239,"銘柄名称")</f>
        <v>ユーザーローカル</v>
      </c>
      <c r="D239" s="99" t="str">
        <f t="shared" si="7"/>
        <v>株探</v>
      </c>
      <c r="AA239" s="602"/>
    </row>
    <row r="240" spans="1:27" ht="20.100000000000001" customHeight="1">
      <c r="A240" s="101">
        <f t="shared" si="6"/>
        <v>235</v>
      </c>
      <c r="B240" s="62" t="s">
        <v>524</v>
      </c>
      <c r="C240" s="98" t="str">
        <f>_xll.RssMarket($B240,"銘柄名称")</f>
        <v>ダイトロン</v>
      </c>
      <c r="D240" s="99" t="str">
        <f t="shared" si="7"/>
        <v>株探</v>
      </c>
      <c r="AA240" s="602"/>
    </row>
    <row r="241" spans="1:27" ht="20.100000000000001" customHeight="1">
      <c r="A241" s="101">
        <f t="shared" si="6"/>
        <v>236</v>
      </c>
      <c r="B241" s="62" t="s">
        <v>525</v>
      </c>
      <c r="C241" s="98" t="str">
        <f>_xll.RssMarket($B241,"銘柄名称")</f>
        <v>イトーキ</v>
      </c>
      <c r="D241" s="99" t="str">
        <f t="shared" si="7"/>
        <v>株探</v>
      </c>
      <c r="AA241" s="602"/>
    </row>
    <row r="242" spans="1:27" ht="20.100000000000001" customHeight="1">
      <c r="A242" s="101">
        <f t="shared" si="6"/>
        <v>237</v>
      </c>
      <c r="B242" s="62" t="s">
        <v>526</v>
      </c>
      <c r="C242" s="98" t="str">
        <f>_xll.RssMarket($B242,"銘柄名称")</f>
        <v>オキサイド</v>
      </c>
      <c r="D242" s="99" t="str">
        <f t="shared" si="7"/>
        <v>株探</v>
      </c>
      <c r="AA242" s="602"/>
    </row>
    <row r="243" spans="1:27" ht="20.100000000000001" customHeight="1">
      <c r="A243" s="101">
        <f t="shared" si="6"/>
        <v>238</v>
      </c>
      <c r="B243" s="62" t="s">
        <v>527</v>
      </c>
      <c r="C243" s="98" t="str">
        <f>_xll.RssMarket($B243,"銘柄名称")</f>
        <v>クオルテック</v>
      </c>
      <c r="D243" s="99" t="str">
        <f t="shared" si="7"/>
        <v>株探</v>
      </c>
      <c r="AA243" s="602"/>
    </row>
    <row r="244" spans="1:27" ht="20.100000000000001" customHeight="1">
      <c r="A244" s="101">
        <f t="shared" si="6"/>
        <v>239</v>
      </c>
      <c r="B244" s="62" t="s">
        <v>528</v>
      </c>
      <c r="C244" s="98" t="str">
        <f>_xll.RssMarket($B244,"銘柄名称")</f>
        <v>デンソー</v>
      </c>
      <c r="D244" s="99" t="str">
        <f t="shared" si="7"/>
        <v>株探</v>
      </c>
      <c r="AA244" s="602"/>
    </row>
    <row r="245" spans="1:27" ht="20.100000000000001" customHeight="1">
      <c r="A245" s="101">
        <f t="shared" si="6"/>
        <v>240</v>
      </c>
      <c r="B245" s="62" t="s">
        <v>529</v>
      </c>
      <c r="C245" s="98" t="str">
        <f>_xll.RssMarket($B245,"銘柄名称")</f>
        <v>グローバルウェイ</v>
      </c>
      <c r="D245" s="99" t="str">
        <f t="shared" si="7"/>
        <v>株探</v>
      </c>
      <c r="AA245" s="602"/>
    </row>
    <row r="246" spans="1:27" ht="20.100000000000001" customHeight="1">
      <c r="A246" s="101">
        <f t="shared" si="6"/>
        <v>241</v>
      </c>
      <c r="B246" s="62" t="s">
        <v>547</v>
      </c>
      <c r="C246" s="98" t="str">
        <f>_xll.RssMarket($B246,"銘柄名称")</f>
        <v>エノモト</v>
      </c>
      <c r="D246" s="99" t="str">
        <f t="shared" si="7"/>
        <v>株探</v>
      </c>
      <c r="AA246" s="602"/>
    </row>
    <row r="247" spans="1:27" ht="20.100000000000001" customHeight="1">
      <c r="A247" s="101">
        <f t="shared" si="6"/>
        <v>242</v>
      </c>
      <c r="B247" s="62" t="s">
        <v>548</v>
      </c>
      <c r="C247" s="98" t="str">
        <f>_xll.RssMarket($B247,"銘柄名称")</f>
        <v>三菱製鋼</v>
      </c>
      <c r="D247" s="99" t="str">
        <f t="shared" si="7"/>
        <v>株探</v>
      </c>
      <c r="AA247" s="602"/>
    </row>
    <row r="248" spans="1:27" ht="20.100000000000001" customHeight="1">
      <c r="A248" s="101">
        <f t="shared" si="6"/>
        <v>243</v>
      </c>
      <c r="B248" s="62" t="s">
        <v>549</v>
      </c>
      <c r="C248" s="98" t="str">
        <f>_xll.RssMarket($B248,"銘柄名称")</f>
        <v>リクルートホールディングス</v>
      </c>
      <c r="D248" s="99" t="str">
        <f t="shared" si="7"/>
        <v>株探</v>
      </c>
      <c r="AA248" s="602"/>
    </row>
    <row r="249" spans="1:27" ht="20.100000000000001" customHeight="1">
      <c r="A249" s="101">
        <f t="shared" si="6"/>
        <v>244</v>
      </c>
      <c r="B249" s="62" t="s">
        <v>550</v>
      </c>
      <c r="C249" s="98" t="str">
        <f>_xll.RssMarket($B249,"銘柄名称")</f>
        <v>荏原製作所</v>
      </c>
      <c r="D249" s="99" t="str">
        <f t="shared" si="7"/>
        <v>株探</v>
      </c>
      <c r="AA249" s="602"/>
    </row>
    <row r="250" spans="1:27" ht="20.100000000000001" customHeight="1">
      <c r="A250" s="101">
        <f t="shared" si="6"/>
        <v>245</v>
      </c>
      <c r="B250" s="62" t="s">
        <v>551</v>
      </c>
      <c r="C250" s="98" t="str">
        <f>_xll.RssMarket($B250,"銘柄名称")</f>
        <v>情報戦略テクノロジー</v>
      </c>
      <c r="D250" s="99" t="str">
        <f t="shared" si="7"/>
        <v>株探</v>
      </c>
      <c r="AA250" s="602"/>
    </row>
    <row r="251" spans="1:27" ht="20.100000000000001" customHeight="1">
      <c r="A251" s="101">
        <f t="shared" si="6"/>
        <v>246</v>
      </c>
      <c r="B251" s="62" t="s">
        <v>552</v>
      </c>
      <c r="C251" s="98" t="str">
        <f>_xll.RssMarket($B251,"銘柄名称")</f>
        <v>ＴＥＲＲＡＤＲＯＮＥ</v>
      </c>
      <c r="D251" s="99" t="str">
        <f t="shared" si="7"/>
        <v>株探</v>
      </c>
      <c r="AA251" s="602"/>
    </row>
    <row r="252" spans="1:27" ht="20.100000000000001" customHeight="1">
      <c r="A252" s="101">
        <f t="shared" si="6"/>
        <v>247</v>
      </c>
      <c r="B252" s="62" t="s">
        <v>553</v>
      </c>
      <c r="C252" s="98" t="str">
        <f>_xll.RssMarket($B252,"銘柄名称")</f>
        <v>ＭＩＣ</v>
      </c>
      <c r="D252" s="99" t="str">
        <f t="shared" si="7"/>
        <v>株探</v>
      </c>
      <c r="AA252" s="602"/>
    </row>
    <row r="253" spans="1:27" ht="20.100000000000001" customHeight="1">
      <c r="A253" s="101">
        <f t="shared" si="6"/>
        <v>248</v>
      </c>
      <c r="B253" s="62" t="s">
        <v>554</v>
      </c>
      <c r="C253" s="98" t="str">
        <f>_xll.RssMarket($B253,"銘柄名称")</f>
        <v>サイボウズ</v>
      </c>
      <c r="D253" s="99" t="str">
        <f t="shared" si="7"/>
        <v>株探</v>
      </c>
      <c r="AA253" s="602"/>
    </row>
    <row r="254" spans="1:27" ht="20.100000000000001" customHeight="1">
      <c r="A254" s="101">
        <f t="shared" si="6"/>
        <v>249</v>
      </c>
      <c r="B254" s="62" t="s">
        <v>555</v>
      </c>
      <c r="C254" s="98" t="str">
        <f>_xll.RssMarket($B254,"銘柄名称")</f>
        <v>トレンドマイクロ</v>
      </c>
      <c r="D254" s="99" t="str">
        <f t="shared" si="7"/>
        <v>株探</v>
      </c>
      <c r="AA254" s="602"/>
    </row>
    <row r="255" spans="1:27" ht="20.100000000000001" customHeight="1">
      <c r="A255" s="101">
        <f t="shared" si="6"/>
        <v>250</v>
      </c>
      <c r="B255" s="62" t="s">
        <v>556</v>
      </c>
      <c r="C255" s="98" t="str">
        <f>_xll.RssMarket($B255,"銘柄名称")</f>
        <v>栗田工業</v>
      </c>
      <c r="D255" s="99" t="str">
        <f t="shared" si="7"/>
        <v>株探</v>
      </c>
      <c r="AA255" s="602"/>
    </row>
    <row r="256" spans="1:27" ht="20.100000000000001" customHeight="1">
      <c r="A256" s="101">
        <f t="shared" si="6"/>
        <v>251</v>
      </c>
      <c r="B256" s="62" t="s">
        <v>557</v>
      </c>
      <c r="C256" s="98" t="str">
        <f>_xll.RssMarket($B256,"銘柄名称")</f>
        <v>名村造船所</v>
      </c>
      <c r="D256" s="99" t="str">
        <f t="shared" si="7"/>
        <v>株探</v>
      </c>
      <c r="AA256" s="602"/>
    </row>
    <row r="257" spans="1:27" ht="20.100000000000001" customHeight="1">
      <c r="A257" s="101">
        <f t="shared" si="6"/>
        <v>252</v>
      </c>
      <c r="B257" s="62" t="s">
        <v>558</v>
      </c>
      <c r="C257" s="98" t="str">
        <f>_xll.RssMarket($B257,"銘柄名称")</f>
        <v>イノテック</v>
      </c>
      <c r="D257" s="99" t="str">
        <f t="shared" si="7"/>
        <v>株探</v>
      </c>
      <c r="AA257" s="602"/>
    </row>
    <row r="258" spans="1:27" ht="20.100000000000001" customHeight="1">
      <c r="A258" s="101">
        <f t="shared" si="6"/>
        <v>253</v>
      </c>
      <c r="B258" s="62" t="s">
        <v>559</v>
      </c>
      <c r="C258" s="98" t="str">
        <f>_xll.RssMarket($B258,"銘柄名称")</f>
        <v>カバー</v>
      </c>
      <c r="D258" s="99" t="str">
        <f t="shared" si="7"/>
        <v>株探</v>
      </c>
      <c r="AA258" s="602"/>
    </row>
    <row r="259" spans="1:27" ht="20.100000000000001" customHeight="1">
      <c r="A259" s="101">
        <f t="shared" si="6"/>
        <v>254</v>
      </c>
      <c r="B259" s="62" t="s">
        <v>560</v>
      </c>
      <c r="C259" s="98" t="str">
        <f>_xll.RssMarket($B259,"銘柄名称")</f>
        <v>商船三井</v>
      </c>
      <c r="D259" s="99" t="str">
        <f t="shared" si="7"/>
        <v>株探</v>
      </c>
      <c r="AA259" s="602"/>
    </row>
    <row r="260" spans="1:27" ht="20.100000000000001" customHeight="1">
      <c r="A260" s="101">
        <f t="shared" si="6"/>
        <v>255</v>
      </c>
      <c r="B260" s="62" t="s">
        <v>561</v>
      </c>
      <c r="C260" s="98" t="str">
        <f>_xll.RssMarket($B260,"銘柄名称")</f>
        <v>千代田化工建</v>
      </c>
      <c r="D260" s="99" t="str">
        <f t="shared" si="7"/>
        <v>株探</v>
      </c>
      <c r="AA260" s="602"/>
    </row>
    <row r="261" spans="1:27" ht="20.100000000000001" customHeight="1">
      <c r="A261" s="101">
        <f t="shared" si="6"/>
        <v>256</v>
      </c>
      <c r="B261" s="62" t="s">
        <v>562</v>
      </c>
      <c r="C261" s="98" t="str">
        <f>_xll.RssMarket($B261,"銘柄名称")</f>
        <v>旭ダイヤモンド</v>
      </c>
      <c r="D261" s="99" t="str">
        <f t="shared" si="7"/>
        <v>株探</v>
      </c>
      <c r="AA261" s="602"/>
    </row>
    <row r="262" spans="1:27" ht="20.100000000000001" customHeight="1">
      <c r="A262" s="101">
        <f t="shared" ref="A262:A325" si="8">IF(B262="","",ROW()-5)</f>
        <v>257</v>
      </c>
      <c r="B262" s="62" t="s">
        <v>563</v>
      </c>
      <c r="C262" s="98" t="str">
        <f>_xll.RssMarket($B262,"銘柄名称")</f>
        <v>住石ホールディングス</v>
      </c>
      <c r="D262" s="99" t="str">
        <f t="shared" ref="D262:D325" si="9">IF(B262="","",HYPERLINK("https://kabutan.jp/stock/?code="&amp;B262,"株探"))</f>
        <v>株探</v>
      </c>
      <c r="AA262" s="602"/>
    </row>
    <row r="263" spans="1:27" ht="20.100000000000001" customHeight="1">
      <c r="A263" s="101">
        <f t="shared" si="8"/>
        <v>258</v>
      </c>
      <c r="B263" s="62" t="s">
        <v>564</v>
      </c>
      <c r="C263" s="98" t="str">
        <f>_xll.RssMarket($B263,"銘柄名称")</f>
        <v>日本製鋼所</v>
      </c>
      <c r="D263" s="99" t="str">
        <f t="shared" si="9"/>
        <v>株探</v>
      </c>
      <c r="AA263" s="602"/>
    </row>
    <row r="264" spans="1:27" ht="20.100000000000001" customHeight="1">
      <c r="A264" s="101">
        <f t="shared" si="8"/>
        <v>259</v>
      </c>
      <c r="B264" s="62" t="s">
        <v>565</v>
      </c>
      <c r="C264" s="98" t="str">
        <f>_xll.RssMarket($B264,"銘柄名称")</f>
        <v>ジーエス・ユアサコーポ</v>
      </c>
      <c r="D264" s="99" t="str">
        <f t="shared" si="9"/>
        <v>株探</v>
      </c>
      <c r="AA264" s="602"/>
    </row>
    <row r="265" spans="1:27" ht="20.100000000000001" customHeight="1">
      <c r="A265" s="101">
        <f t="shared" si="8"/>
        <v>260</v>
      </c>
      <c r="B265" s="62" t="s">
        <v>566</v>
      </c>
      <c r="C265" s="98" t="str">
        <f>_xll.RssMarket($B265,"銘柄名称")</f>
        <v>ＦＤＫ</v>
      </c>
      <c r="D265" s="99" t="str">
        <f t="shared" si="9"/>
        <v>株探</v>
      </c>
      <c r="AA265" s="602"/>
    </row>
    <row r="266" spans="1:27" ht="20.100000000000001" customHeight="1">
      <c r="A266" s="101">
        <f t="shared" si="8"/>
        <v>261</v>
      </c>
      <c r="B266" s="62" t="s">
        <v>567</v>
      </c>
      <c r="C266" s="98" t="str">
        <f>_xll.RssMarket($B266,"銘柄名称")</f>
        <v>インフォメティス</v>
      </c>
      <c r="D266" s="99" t="str">
        <f t="shared" si="9"/>
        <v>株探</v>
      </c>
      <c r="AA266" s="602"/>
    </row>
    <row r="267" spans="1:27" ht="20.100000000000001" customHeight="1">
      <c r="A267" s="101">
        <f t="shared" si="8"/>
        <v>262</v>
      </c>
      <c r="B267" s="62" t="s">
        <v>568</v>
      </c>
      <c r="C267" s="98" t="str">
        <f>_xll.RssMarket($B267,"銘柄名称")</f>
        <v>日本ギア工業</v>
      </c>
      <c r="D267" s="99" t="str">
        <f t="shared" si="9"/>
        <v>株探</v>
      </c>
      <c r="AA267" s="602"/>
    </row>
    <row r="268" spans="1:27" ht="20.100000000000001" customHeight="1">
      <c r="A268" s="101">
        <f t="shared" si="8"/>
        <v>263</v>
      </c>
      <c r="B268" s="62" t="s">
        <v>569</v>
      </c>
      <c r="C268" s="98" t="str">
        <f>_xll.RssMarket($B268,"銘柄名称")</f>
        <v>助川電気工業</v>
      </c>
      <c r="D268" s="99" t="str">
        <f t="shared" si="9"/>
        <v>株探</v>
      </c>
      <c r="AA268" s="602"/>
    </row>
    <row r="269" spans="1:27" ht="20.100000000000001" customHeight="1">
      <c r="A269" s="101">
        <f t="shared" si="8"/>
        <v>264</v>
      </c>
      <c r="B269" s="62" t="s">
        <v>570</v>
      </c>
      <c r="C269" s="98" t="str">
        <f>_xll.RssMarket($B269,"銘柄名称")</f>
        <v>日機装</v>
      </c>
      <c r="D269" s="99" t="str">
        <f t="shared" si="9"/>
        <v>株探</v>
      </c>
      <c r="AA269" s="602"/>
    </row>
    <row r="270" spans="1:27" ht="20.100000000000001" customHeight="1">
      <c r="A270" s="101">
        <f t="shared" si="8"/>
        <v>265</v>
      </c>
      <c r="B270" s="62" t="s">
        <v>571</v>
      </c>
      <c r="C270" s="98" t="str">
        <f>_xll.RssMarket($B270,"銘柄名称")</f>
        <v>明海グループ</v>
      </c>
      <c r="D270" s="99" t="str">
        <f t="shared" si="9"/>
        <v>株探</v>
      </c>
      <c r="AA270" s="602"/>
    </row>
    <row r="271" spans="1:27" ht="20.100000000000001" customHeight="1">
      <c r="A271" s="101">
        <f t="shared" si="8"/>
        <v>266</v>
      </c>
      <c r="B271" s="62" t="s">
        <v>572</v>
      </c>
      <c r="C271" s="98" t="str">
        <f>_xll.RssMarket($B271,"銘柄名称")</f>
        <v>三菱製紙</v>
      </c>
      <c r="D271" s="99" t="str">
        <f t="shared" si="9"/>
        <v>株探</v>
      </c>
      <c r="AA271" s="602"/>
    </row>
    <row r="272" spans="1:27" ht="20.100000000000001" customHeight="1">
      <c r="A272" s="101">
        <f t="shared" si="8"/>
        <v>267</v>
      </c>
      <c r="B272" s="62" t="s">
        <v>573</v>
      </c>
      <c r="C272" s="98" t="str">
        <f>_xll.RssMarket($B272,"銘柄名称")</f>
        <v>日本ケミコン</v>
      </c>
      <c r="D272" s="99" t="str">
        <f t="shared" si="9"/>
        <v>株探</v>
      </c>
      <c r="AA272" s="602"/>
    </row>
    <row r="273" spans="1:27" ht="20.100000000000001" customHeight="1">
      <c r="A273" s="101">
        <f t="shared" si="8"/>
        <v>268</v>
      </c>
      <c r="B273" s="62" t="s">
        <v>574</v>
      </c>
      <c r="C273" s="98" t="str">
        <f>_xll.RssMarket($B273,"銘柄名称")</f>
        <v>ＨＵグループＨＤ</v>
      </c>
      <c r="D273" s="99" t="str">
        <f t="shared" si="9"/>
        <v>株探</v>
      </c>
      <c r="AA273" s="602"/>
    </row>
    <row r="274" spans="1:27" ht="20.100000000000001" customHeight="1">
      <c r="A274" s="101">
        <f t="shared" si="8"/>
        <v>269</v>
      </c>
      <c r="B274" s="62" t="s">
        <v>575</v>
      </c>
      <c r="C274" s="98" t="str">
        <f>_xll.RssMarket($B274,"銘柄名称")</f>
        <v>東亜ディーケーケー</v>
      </c>
      <c r="D274" s="99" t="str">
        <f t="shared" si="9"/>
        <v>株探</v>
      </c>
      <c r="AA274" s="602"/>
    </row>
    <row r="275" spans="1:27" ht="20.100000000000001" customHeight="1">
      <c r="A275" s="101">
        <f t="shared" si="8"/>
        <v>270</v>
      </c>
      <c r="B275" s="62" t="s">
        <v>576</v>
      </c>
      <c r="C275" s="98" t="str">
        <f>_xll.RssMarket($B275,"銘柄名称")</f>
        <v>大紀アルミニウム</v>
      </c>
      <c r="D275" s="99" t="str">
        <f t="shared" si="9"/>
        <v>株探</v>
      </c>
      <c r="AA275" s="602"/>
    </row>
    <row r="276" spans="1:27" ht="20.100000000000001" customHeight="1">
      <c r="A276" s="101">
        <f t="shared" si="8"/>
        <v>271</v>
      </c>
      <c r="B276" s="62" t="s">
        <v>577</v>
      </c>
      <c r="C276" s="98" t="str">
        <f>_xll.RssMarket($B276,"銘柄名称")</f>
        <v>河合楽器</v>
      </c>
      <c r="D276" s="99" t="str">
        <f t="shared" si="9"/>
        <v>株探</v>
      </c>
      <c r="AA276" s="602"/>
    </row>
    <row r="277" spans="1:27" ht="20.100000000000001" customHeight="1">
      <c r="A277" s="101">
        <f t="shared" si="8"/>
        <v>272</v>
      </c>
      <c r="B277" s="62" t="s">
        <v>578</v>
      </c>
      <c r="C277" s="98" t="str">
        <f>_xll.RssMarket($B277,"銘柄名称")</f>
        <v>グンゼ</v>
      </c>
      <c r="D277" s="99" t="str">
        <f t="shared" si="9"/>
        <v>株探</v>
      </c>
      <c r="AA277" s="602"/>
    </row>
    <row r="278" spans="1:27" ht="20.100000000000001" customHeight="1">
      <c r="A278" s="101">
        <f t="shared" si="8"/>
        <v>273</v>
      </c>
      <c r="B278" s="62" t="s">
        <v>579</v>
      </c>
      <c r="C278" s="98" t="str">
        <f>_xll.RssMarket($B278,"銘柄名称")</f>
        <v>ゴールドクレスト</v>
      </c>
      <c r="D278" s="99" t="str">
        <f t="shared" si="9"/>
        <v>株探</v>
      </c>
      <c r="AA278" s="602"/>
    </row>
    <row r="279" spans="1:27" ht="20.100000000000001" customHeight="1">
      <c r="A279" s="101">
        <f t="shared" si="8"/>
        <v>274</v>
      </c>
      <c r="B279" s="62" t="s">
        <v>583</v>
      </c>
      <c r="C279" s="98" t="str">
        <f>_xll.RssMarket($B279,"銘柄名称")</f>
        <v>アバールデータ</v>
      </c>
      <c r="D279" s="99" t="str">
        <f t="shared" si="9"/>
        <v>株探</v>
      </c>
      <c r="AA279" s="602"/>
    </row>
    <row r="280" spans="1:27" ht="20.100000000000001" customHeight="1">
      <c r="A280" s="101">
        <f t="shared" si="8"/>
        <v>275</v>
      </c>
      <c r="B280" s="62" t="s">
        <v>580</v>
      </c>
      <c r="C280" s="98" t="str">
        <f>_xll.RssMarket($B280,"銘柄名称")</f>
        <v>ヨシタケ</v>
      </c>
      <c r="D280" s="99" t="str">
        <f t="shared" si="9"/>
        <v>株探</v>
      </c>
      <c r="AA280" s="602"/>
    </row>
    <row r="281" spans="1:27" ht="20.100000000000001" customHeight="1">
      <c r="A281" s="101">
        <f t="shared" si="8"/>
        <v>276</v>
      </c>
      <c r="B281" s="62" t="s">
        <v>581</v>
      </c>
      <c r="C281" s="98" t="str">
        <f>_xll.RssMarket($B281,"銘柄名称")</f>
        <v>高島</v>
      </c>
      <c r="D281" s="99" t="str">
        <f t="shared" si="9"/>
        <v>株探</v>
      </c>
      <c r="AA281" s="602"/>
    </row>
    <row r="282" spans="1:27" ht="20.100000000000001" customHeight="1">
      <c r="A282" s="101">
        <f t="shared" si="8"/>
        <v>277</v>
      </c>
      <c r="B282" s="62" t="s">
        <v>582</v>
      </c>
      <c r="C282" s="98" t="str">
        <f>_xll.RssMarket($B282,"銘柄名称")</f>
        <v>ニチバン</v>
      </c>
      <c r="D282" s="99" t="str">
        <f t="shared" si="9"/>
        <v>株探</v>
      </c>
      <c r="AA282" s="602"/>
    </row>
    <row r="283" spans="1:27" ht="20.100000000000001" customHeight="1">
      <c r="A283" s="101">
        <f t="shared" si="8"/>
        <v>278</v>
      </c>
      <c r="B283" s="62" t="s">
        <v>584</v>
      </c>
      <c r="C283" s="98" t="str">
        <f>_xll.RssMarket($B283,"銘柄名称")</f>
        <v>ＳＣＲＥＥＮホールディングス</v>
      </c>
      <c r="D283" s="99" t="str">
        <f t="shared" si="9"/>
        <v>株探</v>
      </c>
      <c r="AA283" s="602"/>
    </row>
    <row r="284" spans="1:27" ht="20.100000000000001" customHeight="1">
      <c r="A284" s="101">
        <f t="shared" si="8"/>
        <v>279</v>
      </c>
      <c r="B284" s="62" t="s">
        <v>585</v>
      </c>
      <c r="C284" s="98" t="str">
        <f>_xll.RssMarket($B284,"銘柄名称")</f>
        <v>データセクション</v>
      </c>
      <c r="D284" s="99" t="str">
        <f t="shared" si="9"/>
        <v>株探</v>
      </c>
      <c r="AA284" s="602"/>
    </row>
    <row r="285" spans="1:27" ht="20.100000000000001" customHeight="1">
      <c r="A285" s="101">
        <f t="shared" si="8"/>
        <v>280</v>
      </c>
      <c r="B285" s="62" t="s">
        <v>586</v>
      </c>
      <c r="C285" s="98" t="str">
        <f>_xll.RssMarket($B285,"銘柄名称")</f>
        <v>トリドールホールディングス</v>
      </c>
      <c r="D285" s="99" t="str">
        <f t="shared" si="9"/>
        <v>株探</v>
      </c>
      <c r="AA285" s="602"/>
    </row>
    <row r="286" spans="1:27" ht="20.100000000000001" customHeight="1">
      <c r="A286" s="101">
        <f t="shared" si="8"/>
        <v>281</v>
      </c>
      <c r="B286" s="62" t="s">
        <v>587</v>
      </c>
      <c r="C286" s="98" t="str">
        <f>_xll.RssMarket($B286,"銘柄名称")</f>
        <v>ＳＵＢＡＲＵ</v>
      </c>
      <c r="D286" s="99" t="str">
        <f t="shared" si="9"/>
        <v>株探</v>
      </c>
      <c r="AA286" s="602"/>
    </row>
    <row r="287" spans="1:27" ht="20.100000000000001" customHeight="1">
      <c r="A287" s="101">
        <f t="shared" si="8"/>
        <v>282</v>
      </c>
      <c r="B287" s="62" t="s">
        <v>588</v>
      </c>
      <c r="C287" s="98" t="str">
        <f>_xll.RssMarket($B287,"銘柄名称")</f>
        <v>サン電子</v>
      </c>
      <c r="D287" s="99" t="str">
        <f t="shared" si="9"/>
        <v>株探</v>
      </c>
      <c r="AA287" s="602"/>
    </row>
    <row r="288" spans="1:27" ht="20.100000000000001" customHeight="1">
      <c r="A288" s="101">
        <f t="shared" si="8"/>
        <v>283</v>
      </c>
      <c r="B288" s="62" t="s">
        <v>589</v>
      </c>
      <c r="C288" s="98" t="str">
        <f>_xll.RssMarket($B288,"銘柄名称")</f>
        <v>紀文食品</v>
      </c>
      <c r="D288" s="99" t="str">
        <f t="shared" si="9"/>
        <v>株探</v>
      </c>
      <c r="AA288" s="602"/>
    </row>
    <row r="289" spans="1:27" ht="20.100000000000001" customHeight="1">
      <c r="A289" s="101">
        <f t="shared" si="8"/>
        <v>284</v>
      </c>
      <c r="B289" s="62" t="s">
        <v>590</v>
      </c>
      <c r="C289" s="98" t="str">
        <f>_xll.RssMarket($B289,"銘柄名称")</f>
        <v>関東電化</v>
      </c>
      <c r="D289" s="99" t="str">
        <f t="shared" si="9"/>
        <v>株探</v>
      </c>
      <c r="AA289" s="602"/>
    </row>
    <row r="290" spans="1:27" ht="20.100000000000001" customHeight="1">
      <c r="A290" s="101">
        <f t="shared" si="8"/>
        <v>285</v>
      </c>
      <c r="B290" s="62" t="s">
        <v>591</v>
      </c>
      <c r="C290" s="98" t="str">
        <f>_xll.RssMarket($B290,"銘柄名称")</f>
        <v>ＹＵＳＨＩＮ</v>
      </c>
      <c r="D290" s="99" t="str">
        <f t="shared" si="9"/>
        <v>株探</v>
      </c>
      <c r="AA290" s="602"/>
    </row>
    <row r="291" spans="1:27" ht="20.100000000000001" customHeight="1">
      <c r="A291" s="101">
        <f t="shared" si="8"/>
        <v>286</v>
      </c>
      <c r="B291" s="62" t="s">
        <v>592</v>
      </c>
      <c r="C291" s="98" t="str">
        <f>_xll.RssMarket($B291,"銘柄名称")</f>
        <v>電気興業</v>
      </c>
      <c r="D291" s="99" t="str">
        <f t="shared" si="9"/>
        <v>株探</v>
      </c>
      <c r="AA291" s="602"/>
    </row>
    <row r="292" spans="1:27" ht="20.100000000000001" customHeight="1">
      <c r="A292" s="101">
        <f t="shared" si="8"/>
        <v>287</v>
      </c>
      <c r="B292" s="62" t="s">
        <v>593</v>
      </c>
      <c r="C292" s="98" t="str">
        <f>_xll.RssMarket($B292,"銘柄名称")</f>
        <v>新光商事</v>
      </c>
      <c r="D292" s="99" t="str">
        <f t="shared" si="9"/>
        <v>株探</v>
      </c>
      <c r="AA292" s="602"/>
    </row>
    <row r="293" spans="1:27" ht="20.100000000000001" customHeight="1">
      <c r="A293" s="101">
        <f t="shared" si="8"/>
        <v>288</v>
      </c>
      <c r="B293" s="62" t="s">
        <v>594</v>
      </c>
      <c r="C293" s="98" t="str">
        <f>_xll.RssMarket($B293,"銘柄名称")</f>
        <v>山形銀行</v>
      </c>
      <c r="D293" s="99" t="str">
        <f t="shared" si="9"/>
        <v>株探</v>
      </c>
      <c r="AA293" s="602"/>
    </row>
    <row r="294" spans="1:27" ht="20.100000000000001" customHeight="1">
      <c r="A294" s="101">
        <f t="shared" si="8"/>
        <v>289</v>
      </c>
      <c r="B294" s="62" t="s">
        <v>595</v>
      </c>
      <c r="C294" s="98" t="str">
        <f>_xll.RssMarket($B294,"銘柄名称")</f>
        <v>小野建</v>
      </c>
      <c r="D294" s="99" t="str">
        <f t="shared" si="9"/>
        <v>株探</v>
      </c>
      <c r="AA294" s="602"/>
    </row>
    <row r="295" spans="1:27" ht="20.100000000000001" customHeight="1">
      <c r="A295" s="101">
        <f t="shared" si="8"/>
        <v>290</v>
      </c>
      <c r="B295" s="62" t="s">
        <v>596</v>
      </c>
      <c r="C295" s="98" t="str">
        <f>_xll.RssMarket($B295,"銘柄名称")</f>
        <v>ＣＫＤ</v>
      </c>
      <c r="D295" s="99" t="str">
        <f t="shared" si="9"/>
        <v>株探</v>
      </c>
      <c r="AA295" s="602"/>
    </row>
    <row r="296" spans="1:27" ht="20.100000000000001" customHeight="1">
      <c r="A296" s="101">
        <f t="shared" si="8"/>
        <v>291</v>
      </c>
      <c r="B296" s="62" t="s">
        <v>597</v>
      </c>
      <c r="C296" s="98" t="str">
        <f>_xll.RssMarket($B296,"銘柄名称")</f>
        <v>ベルトラ</v>
      </c>
      <c r="D296" s="99" t="str">
        <f t="shared" si="9"/>
        <v>株探</v>
      </c>
      <c r="AA296" s="602"/>
    </row>
    <row r="297" spans="1:27" ht="20.100000000000001" customHeight="1">
      <c r="A297" s="101">
        <f t="shared" si="8"/>
        <v>292</v>
      </c>
      <c r="B297" s="62" t="s">
        <v>598</v>
      </c>
      <c r="C297" s="98" t="str">
        <f>_xll.RssMarket($B297,"銘柄名称")</f>
        <v>長谷工コーポレーシヨン</v>
      </c>
      <c r="D297" s="99" t="str">
        <f t="shared" si="9"/>
        <v>株探</v>
      </c>
      <c r="AA297" s="602"/>
    </row>
    <row r="298" spans="1:27" ht="20.100000000000001" customHeight="1">
      <c r="A298" s="101">
        <f t="shared" si="8"/>
        <v>293</v>
      </c>
      <c r="B298" s="62" t="s">
        <v>770</v>
      </c>
      <c r="C298" s="98" t="str">
        <f>_xll.RssMarket($B298,"銘柄名称")</f>
        <v>ＵＢＥ</v>
      </c>
      <c r="D298" s="99" t="str">
        <f t="shared" si="9"/>
        <v>株探</v>
      </c>
      <c r="AA298" s="602"/>
    </row>
    <row r="299" spans="1:27" ht="20.100000000000001" customHeight="1">
      <c r="A299" s="101">
        <f t="shared" si="8"/>
        <v>294</v>
      </c>
      <c r="B299" s="62" t="s">
        <v>772</v>
      </c>
      <c r="C299" s="98" t="str">
        <f>_xll.RssMarket($B299,"銘柄名称")</f>
        <v>アストロスケールホールディンク</v>
      </c>
      <c r="D299" s="99" t="str">
        <f t="shared" si="9"/>
        <v>株探</v>
      </c>
      <c r="AA299" s="602"/>
    </row>
    <row r="300" spans="1:27" ht="20.100000000000001" customHeight="1">
      <c r="A300" s="101">
        <f t="shared" si="8"/>
        <v>295</v>
      </c>
      <c r="B300" s="62" t="s">
        <v>773</v>
      </c>
      <c r="C300" s="98" t="str">
        <f>_xll.RssMarket($B300,"銘柄名称")</f>
        <v>浜松ホトニクス</v>
      </c>
      <c r="D300" s="99" t="str">
        <f t="shared" si="9"/>
        <v>株探</v>
      </c>
      <c r="AA300" s="602"/>
    </row>
    <row r="301" spans="1:27" ht="20.100000000000001" customHeight="1">
      <c r="A301" s="101">
        <f t="shared" si="8"/>
        <v>296</v>
      </c>
      <c r="B301" s="62" t="s">
        <v>793</v>
      </c>
      <c r="C301" s="98" t="str">
        <f>_xll.RssMarket($B301,"銘柄名称")</f>
        <v>三菱化工機</v>
      </c>
      <c r="D301" s="99" t="str">
        <f t="shared" si="9"/>
        <v>株探</v>
      </c>
      <c r="AA301" s="602"/>
    </row>
    <row r="302" spans="1:27" ht="20.100000000000001" customHeight="1">
      <c r="A302" s="101">
        <f t="shared" si="8"/>
        <v>297</v>
      </c>
      <c r="B302" s="62" t="s">
        <v>795</v>
      </c>
      <c r="C302" s="98" t="str">
        <f>_xll.RssMarket($B302,"銘柄名称")</f>
        <v>ＨＯＹＡ</v>
      </c>
      <c r="D302" s="99" t="str">
        <f t="shared" si="9"/>
        <v>株探</v>
      </c>
      <c r="AA302" s="602"/>
    </row>
    <row r="303" spans="1:27" ht="20.100000000000001" customHeight="1">
      <c r="A303" s="101" t="str">
        <f t="shared" si="8"/>
        <v/>
      </c>
      <c r="B303" s="62"/>
      <c r="C303" s="98" t="str" cm="1">
        <f t="array" ref="C303">_xll.RssMarket(B303, "銘柄名称")</f>
        <v/>
      </c>
      <c r="D303" s="99" t="str">
        <f t="shared" si="9"/>
        <v/>
      </c>
    </row>
    <row r="304" spans="1:27" ht="20.100000000000001" customHeight="1">
      <c r="A304" s="101" t="str">
        <f t="shared" si="8"/>
        <v/>
      </c>
      <c r="B304" s="62"/>
      <c r="C304" s="98" t="str" cm="1">
        <f t="array" ref="C304">_xll.RssMarket(B304, "銘柄名称")</f>
        <v/>
      </c>
      <c r="D304" s="99" t="str">
        <f t="shared" si="9"/>
        <v/>
      </c>
    </row>
    <row r="305" spans="1:4" ht="20.100000000000001" customHeight="1">
      <c r="A305" s="101" t="str">
        <f t="shared" si="8"/>
        <v/>
      </c>
      <c r="B305" s="62"/>
      <c r="C305" s="98" t="str" cm="1">
        <f t="array" ref="C305">_xll.RssMarket(B305, "銘柄名称")</f>
        <v/>
      </c>
      <c r="D305" s="99" t="str">
        <f t="shared" si="9"/>
        <v/>
      </c>
    </row>
    <row r="306" spans="1:4" ht="20.100000000000001" customHeight="1">
      <c r="A306" s="101" t="str">
        <f t="shared" si="8"/>
        <v/>
      </c>
      <c r="B306" s="62"/>
      <c r="C306" s="98" t="str" cm="1">
        <f t="array" ref="C306">_xll.RssMarket(B306, "銘柄名称")</f>
        <v/>
      </c>
      <c r="D306" s="99" t="str">
        <f t="shared" si="9"/>
        <v/>
      </c>
    </row>
    <row r="307" spans="1:4" ht="20.100000000000001" customHeight="1">
      <c r="A307" s="101" t="str">
        <f t="shared" si="8"/>
        <v/>
      </c>
      <c r="B307" s="62"/>
      <c r="C307" s="98" t="str" cm="1">
        <f t="array" ref="C307">_xll.RssMarket(B307, "銘柄名称")</f>
        <v/>
      </c>
      <c r="D307" s="99" t="str">
        <f t="shared" si="9"/>
        <v/>
      </c>
    </row>
    <row r="308" spans="1:4" ht="20.100000000000001" customHeight="1">
      <c r="A308" s="101" t="str">
        <f t="shared" si="8"/>
        <v/>
      </c>
      <c r="B308" s="62"/>
      <c r="C308" s="98" t="str" cm="1">
        <f t="array" ref="C308">_xll.RssMarket(B308, "銘柄名称")</f>
        <v/>
      </c>
      <c r="D308" s="99" t="str">
        <f t="shared" si="9"/>
        <v/>
      </c>
    </row>
    <row r="309" spans="1:4" ht="20.100000000000001" customHeight="1">
      <c r="A309" s="101" t="str">
        <f t="shared" si="8"/>
        <v/>
      </c>
      <c r="B309" s="62"/>
      <c r="C309" s="98" t="str" cm="1">
        <f t="array" ref="C309">_xll.RssMarket(B309, "銘柄名称")</f>
        <v/>
      </c>
      <c r="D309" s="99" t="str">
        <f t="shared" si="9"/>
        <v/>
      </c>
    </row>
    <row r="310" spans="1:4" ht="20.100000000000001" customHeight="1">
      <c r="A310" s="101" t="str">
        <f t="shared" si="8"/>
        <v/>
      </c>
      <c r="B310" s="62"/>
      <c r="C310" s="98" t="str" cm="1">
        <f t="array" ref="C310">_xll.RssMarket(B310, "銘柄名称")</f>
        <v/>
      </c>
      <c r="D310" s="99" t="str">
        <f t="shared" si="9"/>
        <v/>
      </c>
    </row>
    <row r="311" spans="1:4" ht="20.100000000000001" customHeight="1">
      <c r="A311" s="101" t="str">
        <f t="shared" si="8"/>
        <v/>
      </c>
      <c r="B311" s="62"/>
      <c r="C311" s="98" t="str" cm="1">
        <f t="array" ref="C311">_xll.RssMarket(B311, "銘柄名称")</f>
        <v/>
      </c>
      <c r="D311" s="99" t="str">
        <f t="shared" si="9"/>
        <v/>
      </c>
    </row>
    <row r="312" spans="1:4" ht="20.100000000000001" customHeight="1">
      <c r="A312" s="101" t="str">
        <f t="shared" si="8"/>
        <v/>
      </c>
      <c r="B312" s="62"/>
      <c r="C312" s="98" t="str" cm="1">
        <f t="array" ref="C312">_xll.RssMarket(B312, "銘柄名称")</f>
        <v/>
      </c>
      <c r="D312" s="99" t="str">
        <f t="shared" si="9"/>
        <v/>
      </c>
    </row>
    <row r="313" spans="1:4" ht="20.100000000000001" customHeight="1">
      <c r="A313" s="101" t="str">
        <f t="shared" si="8"/>
        <v/>
      </c>
      <c r="B313" s="62"/>
      <c r="C313" s="98" t="str" cm="1">
        <f t="array" ref="C313">_xll.RssMarket(B313, "銘柄名称")</f>
        <v/>
      </c>
      <c r="D313" s="99" t="str">
        <f t="shared" si="9"/>
        <v/>
      </c>
    </row>
    <row r="314" spans="1:4" ht="20.100000000000001" customHeight="1">
      <c r="A314" s="101" t="str">
        <f t="shared" si="8"/>
        <v/>
      </c>
      <c r="B314" s="62"/>
      <c r="C314" s="98" t="str" cm="1">
        <f t="array" ref="C314">_xll.RssMarket(B314, "銘柄名称")</f>
        <v/>
      </c>
      <c r="D314" s="99" t="str">
        <f t="shared" si="9"/>
        <v/>
      </c>
    </row>
    <row r="315" spans="1:4" ht="20.100000000000001" customHeight="1">
      <c r="A315" s="101" t="str">
        <f t="shared" si="8"/>
        <v/>
      </c>
      <c r="B315" s="62"/>
      <c r="C315" s="98" t="str" cm="1">
        <f t="array" ref="C315">_xll.RssMarket(B315, "銘柄名称")</f>
        <v/>
      </c>
      <c r="D315" s="99" t="str">
        <f t="shared" si="9"/>
        <v/>
      </c>
    </row>
    <row r="316" spans="1:4" ht="20.100000000000001" customHeight="1">
      <c r="A316" s="101" t="str">
        <f t="shared" si="8"/>
        <v/>
      </c>
      <c r="B316" s="62"/>
      <c r="C316" s="98" t="str" cm="1">
        <f t="array" ref="C316">_xll.RssMarket(B316, "銘柄名称")</f>
        <v/>
      </c>
      <c r="D316" s="99" t="str">
        <f t="shared" si="9"/>
        <v/>
      </c>
    </row>
    <row r="317" spans="1:4" ht="20.100000000000001" customHeight="1">
      <c r="A317" s="101" t="str">
        <f t="shared" si="8"/>
        <v/>
      </c>
      <c r="B317" s="62"/>
      <c r="C317" s="98" t="str" cm="1">
        <f t="array" ref="C317">_xll.RssMarket(B317, "銘柄名称")</f>
        <v/>
      </c>
      <c r="D317" s="99" t="str">
        <f t="shared" si="9"/>
        <v/>
      </c>
    </row>
    <row r="318" spans="1:4" ht="20.100000000000001" customHeight="1">
      <c r="A318" s="101" t="str">
        <f t="shared" si="8"/>
        <v/>
      </c>
      <c r="B318" s="62"/>
      <c r="C318" s="98" t="str" cm="1">
        <f t="array" ref="C318">_xll.RssMarket(B318, "銘柄名称")</f>
        <v/>
      </c>
      <c r="D318" s="99" t="str">
        <f t="shared" si="9"/>
        <v/>
      </c>
    </row>
    <row r="319" spans="1:4" ht="20.100000000000001" customHeight="1">
      <c r="A319" s="101" t="str">
        <f t="shared" si="8"/>
        <v/>
      </c>
      <c r="B319" s="62"/>
      <c r="C319" s="98" t="str" cm="1">
        <f t="array" ref="C319">_xll.RssMarket(B319, "銘柄名称")</f>
        <v/>
      </c>
      <c r="D319" s="99" t="str">
        <f t="shared" si="9"/>
        <v/>
      </c>
    </row>
    <row r="320" spans="1:4" ht="20.100000000000001" customHeight="1">
      <c r="A320" s="101" t="str">
        <f t="shared" si="8"/>
        <v/>
      </c>
      <c r="B320" s="62"/>
      <c r="C320" s="98" t="str" cm="1">
        <f t="array" ref="C320">_xll.RssMarket(B320, "銘柄名称")</f>
        <v/>
      </c>
      <c r="D320" s="99" t="str">
        <f t="shared" si="9"/>
        <v/>
      </c>
    </row>
    <row r="321" spans="1:4" ht="20.100000000000001" customHeight="1">
      <c r="A321" s="101" t="str">
        <f t="shared" si="8"/>
        <v/>
      </c>
      <c r="B321" s="62"/>
      <c r="C321" s="98" t="str" cm="1">
        <f t="array" ref="C321">_xll.RssMarket(B321, "銘柄名称")</f>
        <v/>
      </c>
      <c r="D321" s="99" t="str">
        <f t="shared" si="9"/>
        <v/>
      </c>
    </row>
    <row r="322" spans="1:4" ht="20.100000000000001" customHeight="1">
      <c r="A322" s="101" t="str">
        <f t="shared" si="8"/>
        <v/>
      </c>
      <c r="B322" s="62"/>
      <c r="C322" s="98" t="str" cm="1">
        <f t="array" ref="C322">_xll.RssMarket(B322, "銘柄名称")</f>
        <v/>
      </c>
      <c r="D322" s="99" t="str">
        <f t="shared" si="9"/>
        <v/>
      </c>
    </row>
    <row r="323" spans="1:4" ht="20.100000000000001" customHeight="1">
      <c r="A323" s="101" t="str">
        <f t="shared" si="8"/>
        <v/>
      </c>
      <c r="B323" s="62"/>
      <c r="C323" s="98" t="str" cm="1">
        <f t="array" ref="C323">_xll.RssMarket(B323, "銘柄名称")</f>
        <v/>
      </c>
      <c r="D323" s="99" t="str">
        <f t="shared" si="9"/>
        <v/>
      </c>
    </row>
    <row r="324" spans="1:4" ht="20.100000000000001" customHeight="1">
      <c r="A324" s="101" t="str">
        <f t="shared" si="8"/>
        <v/>
      </c>
      <c r="B324" s="62"/>
      <c r="C324" s="98" t="str" cm="1">
        <f t="array" ref="C324">_xll.RssMarket(B324, "銘柄名称")</f>
        <v/>
      </c>
      <c r="D324" s="99" t="str">
        <f t="shared" si="9"/>
        <v/>
      </c>
    </row>
    <row r="325" spans="1:4" ht="20.100000000000001" customHeight="1">
      <c r="A325" s="101" t="str">
        <f t="shared" si="8"/>
        <v/>
      </c>
      <c r="B325" s="62"/>
      <c r="C325" s="98" t="str" cm="1">
        <f t="array" ref="C325">_xll.RssMarket(B325, "銘柄名称")</f>
        <v/>
      </c>
      <c r="D325" s="99" t="str">
        <f t="shared" si="9"/>
        <v/>
      </c>
    </row>
    <row r="326" spans="1:4" ht="20.100000000000001" customHeight="1">
      <c r="A326" s="101" t="str">
        <f t="shared" ref="A326:A389" si="10">IF(B326="","",ROW()-5)</f>
        <v/>
      </c>
      <c r="B326" s="62"/>
      <c r="C326" s="98" t="str" cm="1">
        <f t="array" ref="C326">_xll.RssMarket(B326, "銘柄名称")</f>
        <v/>
      </c>
      <c r="D326" s="99" t="str">
        <f t="shared" ref="D326:D389" si="11">IF(B326="","",HYPERLINK("https://kabutan.jp/stock/?code="&amp;B326,"株探"))</f>
        <v/>
      </c>
    </row>
    <row r="327" spans="1:4" ht="20.100000000000001" customHeight="1">
      <c r="A327" s="101" t="str">
        <f t="shared" si="10"/>
        <v/>
      </c>
      <c r="B327" s="62"/>
      <c r="C327" s="98" t="str" cm="1">
        <f t="array" ref="C327">_xll.RssMarket(B327, "銘柄名称")</f>
        <v/>
      </c>
      <c r="D327" s="99" t="str">
        <f t="shared" si="11"/>
        <v/>
      </c>
    </row>
    <row r="328" spans="1:4" ht="20.100000000000001" customHeight="1">
      <c r="A328" s="101" t="str">
        <f t="shared" si="10"/>
        <v/>
      </c>
      <c r="B328" s="62"/>
      <c r="C328" s="98" t="str" cm="1">
        <f t="array" ref="C328">_xll.RssMarket(B328, "銘柄名称")</f>
        <v/>
      </c>
      <c r="D328" s="99" t="str">
        <f t="shared" si="11"/>
        <v/>
      </c>
    </row>
    <row r="329" spans="1:4" ht="20.100000000000001" customHeight="1">
      <c r="A329" s="101" t="str">
        <f t="shared" si="10"/>
        <v/>
      </c>
      <c r="B329" s="62"/>
      <c r="C329" s="98" t="str" cm="1">
        <f t="array" ref="C329">_xll.RssMarket(B329, "銘柄名称")</f>
        <v/>
      </c>
      <c r="D329" s="99" t="str">
        <f t="shared" si="11"/>
        <v/>
      </c>
    </row>
    <row r="330" spans="1:4" ht="20.100000000000001" customHeight="1">
      <c r="A330" s="101" t="str">
        <f t="shared" si="10"/>
        <v/>
      </c>
      <c r="B330" s="62"/>
      <c r="C330" s="98" t="str" cm="1">
        <f t="array" ref="C330">_xll.RssMarket(B330, "銘柄名称")</f>
        <v/>
      </c>
      <c r="D330" s="99" t="str">
        <f t="shared" si="11"/>
        <v/>
      </c>
    </row>
    <row r="331" spans="1:4" ht="20.100000000000001" customHeight="1">
      <c r="A331" s="101" t="str">
        <f t="shared" si="10"/>
        <v/>
      </c>
      <c r="B331" s="62"/>
      <c r="C331" s="98" t="str" cm="1">
        <f t="array" ref="C331">_xll.RssMarket(B331, "銘柄名称")</f>
        <v/>
      </c>
      <c r="D331" s="99" t="str">
        <f t="shared" si="11"/>
        <v/>
      </c>
    </row>
    <row r="332" spans="1:4" ht="20.100000000000001" customHeight="1">
      <c r="A332" s="101" t="str">
        <f t="shared" si="10"/>
        <v/>
      </c>
      <c r="B332" s="62"/>
      <c r="C332" s="98" t="str" cm="1">
        <f t="array" ref="C332">_xll.RssMarket(B332, "銘柄名称")</f>
        <v/>
      </c>
      <c r="D332" s="99" t="str">
        <f t="shared" si="11"/>
        <v/>
      </c>
    </row>
    <row r="333" spans="1:4" ht="20.100000000000001" customHeight="1">
      <c r="A333" s="101" t="str">
        <f t="shared" si="10"/>
        <v/>
      </c>
      <c r="B333" s="62"/>
      <c r="C333" s="98" t="str" cm="1">
        <f t="array" ref="C333">_xll.RssMarket(B333, "銘柄名称")</f>
        <v/>
      </c>
      <c r="D333" s="99" t="str">
        <f t="shared" si="11"/>
        <v/>
      </c>
    </row>
    <row r="334" spans="1:4" ht="20.100000000000001" customHeight="1">
      <c r="A334" s="101" t="str">
        <f t="shared" si="10"/>
        <v/>
      </c>
      <c r="B334" s="62"/>
      <c r="C334" s="98" t="str" cm="1">
        <f t="array" ref="C334">_xll.RssMarket(B334, "銘柄名称")</f>
        <v/>
      </c>
      <c r="D334" s="99" t="str">
        <f t="shared" si="11"/>
        <v/>
      </c>
    </row>
    <row r="335" spans="1:4" ht="20.100000000000001" customHeight="1">
      <c r="A335" s="101" t="str">
        <f t="shared" si="10"/>
        <v/>
      </c>
      <c r="B335" s="62"/>
      <c r="C335" s="98" t="str" cm="1">
        <f t="array" ref="C335">_xll.RssMarket(B335, "銘柄名称")</f>
        <v/>
      </c>
      <c r="D335" s="99" t="str">
        <f t="shared" si="11"/>
        <v/>
      </c>
    </row>
    <row r="336" spans="1:4" ht="20.100000000000001" customHeight="1">
      <c r="A336" s="101" t="str">
        <f t="shared" si="10"/>
        <v/>
      </c>
      <c r="B336" s="62"/>
      <c r="C336" s="98" t="str" cm="1">
        <f t="array" ref="C336">_xll.RssMarket(B336, "銘柄名称")</f>
        <v/>
      </c>
      <c r="D336" s="99" t="str">
        <f t="shared" si="11"/>
        <v/>
      </c>
    </row>
    <row r="337" spans="1:4" ht="20.100000000000001" customHeight="1">
      <c r="A337" s="101" t="str">
        <f t="shared" si="10"/>
        <v/>
      </c>
      <c r="B337" s="62"/>
      <c r="C337" s="98" t="str" cm="1">
        <f t="array" ref="C337">_xll.RssMarket(B337, "銘柄名称")</f>
        <v/>
      </c>
      <c r="D337" s="99" t="str">
        <f t="shared" si="11"/>
        <v/>
      </c>
    </row>
    <row r="338" spans="1:4" ht="20.100000000000001" customHeight="1">
      <c r="A338" s="101" t="str">
        <f t="shared" si="10"/>
        <v/>
      </c>
      <c r="B338" s="62"/>
      <c r="C338" s="98" t="str" cm="1">
        <f t="array" ref="C338">_xll.RssMarket(B338, "銘柄名称")</f>
        <v/>
      </c>
      <c r="D338" s="99" t="str">
        <f t="shared" si="11"/>
        <v/>
      </c>
    </row>
    <row r="339" spans="1:4" ht="20.100000000000001" customHeight="1">
      <c r="A339" s="101" t="str">
        <f t="shared" si="10"/>
        <v/>
      </c>
      <c r="B339" s="62"/>
      <c r="C339" s="98" t="str" cm="1">
        <f t="array" ref="C339">_xll.RssMarket(B339, "銘柄名称")</f>
        <v/>
      </c>
      <c r="D339" s="99" t="str">
        <f t="shared" si="11"/>
        <v/>
      </c>
    </row>
    <row r="340" spans="1:4" ht="20.100000000000001" customHeight="1">
      <c r="A340" s="101" t="str">
        <f t="shared" si="10"/>
        <v/>
      </c>
      <c r="B340" s="62"/>
      <c r="C340" s="98" t="str" cm="1">
        <f t="array" ref="C340">_xll.RssMarket(B340, "銘柄名称")</f>
        <v/>
      </c>
      <c r="D340" s="99" t="str">
        <f t="shared" si="11"/>
        <v/>
      </c>
    </row>
    <row r="341" spans="1:4" ht="20.100000000000001" customHeight="1">
      <c r="A341" s="101" t="str">
        <f t="shared" si="10"/>
        <v/>
      </c>
      <c r="B341" s="62"/>
      <c r="C341" s="98" t="str" cm="1">
        <f t="array" ref="C341">_xll.RssMarket(B341, "銘柄名称")</f>
        <v/>
      </c>
      <c r="D341" s="99" t="str">
        <f t="shared" si="11"/>
        <v/>
      </c>
    </row>
    <row r="342" spans="1:4" ht="20.100000000000001" customHeight="1">
      <c r="A342" s="101" t="str">
        <f t="shared" si="10"/>
        <v/>
      </c>
      <c r="B342" s="62"/>
      <c r="C342" s="98" t="str" cm="1">
        <f t="array" ref="C342">_xll.RssMarket(B342, "銘柄名称")</f>
        <v/>
      </c>
      <c r="D342" s="99" t="str">
        <f t="shared" si="11"/>
        <v/>
      </c>
    </row>
    <row r="343" spans="1:4" ht="20.100000000000001" customHeight="1">
      <c r="A343" s="101" t="str">
        <f t="shared" si="10"/>
        <v/>
      </c>
      <c r="B343" s="62"/>
      <c r="C343" s="98" t="str" cm="1">
        <f t="array" ref="C343">_xll.RssMarket(B343, "銘柄名称")</f>
        <v/>
      </c>
      <c r="D343" s="99" t="str">
        <f t="shared" si="11"/>
        <v/>
      </c>
    </row>
    <row r="344" spans="1:4" ht="20.100000000000001" customHeight="1">
      <c r="A344" s="101" t="str">
        <f t="shared" si="10"/>
        <v/>
      </c>
      <c r="B344" s="62"/>
      <c r="C344" s="98" t="str" cm="1">
        <f t="array" ref="C344">_xll.RssMarket(B344, "銘柄名称")</f>
        <v/>
      </c>
      <c r="D344" s="99" t="str">
        <f t="shared" si="11"/>
        <v/>
      </c>
    </row>
    <row r="345" spans="1:4" ht="20.100000000000001" customHeight="1">
      <c r="A345" s="101" t="str">
        <f t="shared" si="10"/>
        <v/>
      </c>
      <c r="B345" s="62"/>
      <c r="C345" s="98" t="str" cm="1">
        <f t="array" ref="C345">_xll.RssMarket(B345, "銘柄名称")</f>
        <v/>
      </c>
      <c r="D345" s="99" t="str">
        <f t="shared" si="11"/>
        <v/>
      </c>
    </row>
    <row r="346" spans="1:4" ht="20.100000000000001" customHeight="1">
      <c r="A346" s="101" t="str">
        <f t="shared" si="10"/>
        <v/>
      </c>
      <c r="B346" s="62"/>
      <c r="C346" s="98" t="str" cm="1">
        <f t="array" ref="C346">_xll.RssMarket(B346, "銘柄名称")</f>
        <v/>
      </c>
      <c r="D346" s="99" t="str">
        <f t="shared" si="11"/>
        <v/>
      </c>
    </row>
    <row r="347" spans="1:4" ht="20.100000000000001" customHeight="1">
      <c r="A347" s="101" t="str">
        <f t="shared" si="10"/>
        <v/>
      </c>
      <c r="B347" s="62"/>
      <c r="C347" s="98" t="str" cm="1">
        <f t="array" ref="C347">_xll.RssMarket(B347, "銘柄名称")</f>
        <v/>
      </c>
      <c r="D347" s="99" t="str">
        <f t="shared" si="11"/>
        <v/>
      </c>
    </row>
    <row r="348" spans="1:4" ht="20.100000000000001" customHeight="1">
      <c r="A348" s="101" t="str">
        <f t="shared" si="10"/>
        <v/>
      </c>
      <c r="B348" s="62"/>
      <c r="C348" s="98" t="str" cm="1">
        <f t="array" ref="C348">_xll.RssMarket(B348, "銘柄名称")</f>
        <v/>
      </c>
      <c r="D348" s="99" t="str">
        <f t="shared" si="11"/>
        <v/>
      </c>
    </row>
    <row r="349" spans="1:4" ht="20.100000000000001" customHeight="1">
      <c r="A349" s="101" t="str">
        <f t="shared" si="10"/>
        <v/>
      </c>
      <c r="B349" s="62"/>
      <c r="C349" s="98" t="str" cm="1">
        <f t="array" ref="C349">_xll.RssMarket(B349, "銘柄名称")</f>
        <v/>
      </c>
      <c r="D349" s="99" t="str">
        <f t="shared" si="11"/>
        <v/>
      </c>
    </row>
    <row r="350" spans="1:4" ht="20.100000000000001" customHeight="1">
      <c r="A350" s="101" t="str">
        <f t="shared" si="10"/>
        <v/>
      </c>
      <c r="B350" s="62"/>
      <c r="C350" s="98" t="str" cm="1">
        <f t="array" ref="C350">_xll.RssMarket(B350, "銘柄名称")</f>
        <v/>
      </c>
      <c r="D350" s="99" t="str">
        <f t="shared" si="11"/>
        <v/>
      </c>
    </row>
    <row r="351" spans="1:4" ht="20.100000000000001" customHeight="1">
      <c r="A351" s="101" t="str">
        <f t="shared" si="10"/>
        <v/>
      </c>
      <c r="B351" s="62"/>
      <c r="C351" s="98" t="str" cm="1">
        <f t="array" ref="C351">_xll.RssMarket(B351, "銘柄名称")</f>
        <v/>
      </c>
      <c r="D351" s="99" t="str">
        <f t="shared" si="11"/>
        <v/>
      </c>
    </row>
    <row r="352" spans="1:4" ht="20.100000000000001" customHeight="1">
      <c r="A352" s="101" t="str">
        <f t="shared" si="10"/>
        <v/>
      </c>
      <c r="B352" s="62"/>
      <c r="C352" s="98" t="str" cm="1">
        <f t="array" ref="C352">_xll.RssMarket(B352, "銘柄名称")</f>
        <v/>
      </c>
      <c r="D352" s="99" t="str">
        <f t="shared" si="11"/>
        <v/>
      </c>
    </row>
    <row r="353" spans="1:4" ht="20.100000000000001" customHeight="1">
      <c r="A353" s="101" t="str">
        <f t="shared" si="10"/>
        <v/>
      </c>
      <c r="B353" s="62"/>
      <c r="C353" s="98" t="str" cm="1">
        <f t="array" ref="C353">_xll.RssMarket(B353, "銘柄名称")</f>
        <v/>
      </c>
      <c r="D353" s="99" t="str">
        <f t="shared" si="11"/>
        <v/>
      </c>
    </row>
    <row r="354" spans="1:4" ht="20.100000000000001" customHeight="1">
      <c r="A354" s="101" t="str">
        <f t="shared" si="10"/>
        <v/>
      </c>
      <c r="B354" s="62"/>
      <c r="C354" s="98" t="str" cm="1">
        <f t="array" ref="C354">_xll.RssMarket(B354, "銘柄名称")</f>
        <v/>
      </c>
      <c r="D354" s="99" t="str">
        <f t="shared" si="11"/>
        <v/>
      </c>
    </row>
    <row r="355" spans="1:4" ht="20.100000000000001" customHeight="1">
      <c r="A355" s="101" t="str">
        <f t="shared" si="10"/>
        <v/>
      </c>
      <c r="B355" s="62"/>
      <c r="C355" s="98" t="str" cm="1">
        <f t="array" ref="C355">_xll.RssMarket(B355, "銘柄名称")</f>
        <v/>
      </c>
      <c r="D355" s="99" t="str">
        <f t="shared" si="11"/>
        <v/>
      </c>
    </row>
    <row r="356" spans="1:4" ht="20.100000000000001" customHeight="1">
      <c r="A356" s="101" t="str">
        <f t="shared" si="10"/>
        <v/>
      </c>
      <c r="B356" s="62"/>
      <c r="C356" s="98" t="str" cm="1">
        <f t="array" ref="C356">_xll.RssMarket(B356, "銘柄名称")</f>
        <v/>
      </c>
      <c r="D356" s="99" t="str">
        <f t="shared" si="11"/>
        <v/>
      </c>
    </row>
    <row r="357" spans="1:4" ht="20.100000000000001" customHeight="1">
      <c r="A357" s="101" t="str">
        <f t="shared" si="10"/>
        <v/>
      </c>
      <c r="B357" s="62"/>
      <c r="C357" s="98" t="str" cm="1">
        <f t="array" ref="C357">_xll.RssMarket(B357, "銘柄名称")</f>
        <v/>
      </c>
      <c r="D357" s="99" t="str">
        <f t="shared" si="11"/>
        <v/>
      </c>
    </row>
    <row r="358" spans="1:4" ht="20.100000000000001" customHeight="1">
      <c r="A358" s="101" t="str">
        <f t="shared" si="10"/>
        <v/>
      </c>
      <c r="B358" s="62"/>
      <c r="C358" s="98" t="str" cm="1">
        <f t="array" ref="C358">_xll.RssMarket(B358, "銘柄名称")</f>
        <v/>
      </c>
      <c r="D358" s="99" t="str">
        <f t="shared" si="11"/>
        <v/>
      </c>
    </row>
    <row r="359" spans="1:4" ht="20.100000000000001" customHeight="1">
      <c r="A359" s="101" t="str">
        <f t="shared" si="10"/>
        <v/>
      </c>
      <c r="B359" s="62"/>
      <c r="C359" s="98" t="str" cm="1">
        <f t="array" ref="C359">_xll.RssMarket(B359, "銘柄名称")</f>
        <v/>
      </c>
      <c r="D359" s="99" t="str">
        <f t="shared" si="11"/>
        <v/>
      </c>
    </row>
    <row r="360" spans="1:4" ht="20.100000000000001" customHeight="1">
      <c r="A360" s="101" t="str">
        <f t="shared" si="10"/>
        <v/>
      </c>
      <c r="B360" s="62"/>
      <c r="C360" s="98" t="str" cm="1">
        <f t="array" ref="C360">_xll.RssMarket(B360, "銘柄名称")</f>
        <v/>
      </c>
      <c r="D360" s="99" t="str">
        <f t="shared" si="11"/>
        <v/>
      </c>
    </row>
    <row r="361" spans="1:4" ht="20.100000000000001" customHeight="1">
      <c r="A361" s="101" t="str">
        <f t="shared" si="10"/>
        <v/>
      </c>
      <c r="B361" s="62"/>
      <c r="C361" s="98" t="str" cm="1">
        <f t="array" ref="C361">_xll.RssMarket(B361, "銘柄名称")</f>
        <v/>
      </c>
      <c r="D361" s="99" t="str">
        <f t="shared" si="11"/>
        <v/>
      </c>
    </row>
    <row r="362" spans="1:4" ht="20.100000000000001" customHeight="1">
      <c r="A362" s="101" t="str">
        <f t="shared" si="10"/>
        <v/>
      </c>
      <c r="B362" s="62"/>
      <c r="C362" s="98" t="str" cm="1">
        <f t="array" ref="C362">_xll.RssMarket(B362, "銘柄名称")</f>
        <v/>
      </c>
      <c r="D362" s="99" t="str">
        <f t="shared" si="11"/>
        <v/>
      </c>
    </row>
    <row r="363" spans="1:4" ht="20.100000000000001" customHeight="1">
      <c r="A363" s="101" t="str">
        <f t="shared" si="10"/>
        <v/>
      </c>
      <c r="B363" s="62"/>
      <c r="C363" s="98" t="str" cm="1">
        <f t="array" ref="C363">_xll.RssMarket(B363, "銘柄名称")</f>
        <v/>
      </c>
      <c r="D363" s="99" t="str">
        <f t="shared" si="11"/>
        <v/>
      </c>
    </row>
    <row r="364" spans="1:4" ht="20.100000000000001" customHeight="1">
      <c r="A364" s="101" t="str">
        <f t="shared" si="10"/>
        <v/>
      </c>
      <c r="B364" s="62"/>
      <c r="C364" s="98" t="str" cm="1">
        <f t="array" ref="C364">_xll.RssMarket(B364, "銘柄名称")</f>
        <v/>
      </c>
      <c r="D364" s="99" t="str">
        <f t="shared" si="11"/>
        <v/>
      </c>
    </row>
    <row r="365" spans="1:4" ht="20.100000000000001" customHeight="1">
      <c r="A365" s="101" t="str">
        <f t="shared" si="10"/>
        <v/>
      </c>
      <c r="B365" s="62"/>
      <c r="C365" s="98" t="str" cm="1">
        <f t="array" ref="C365">_xll.RssMarket(B365, "銘柄名称")</f>
        <v/>
      </c>
      <c r="D365" s="99" t="str">
        <f t="shared" si="11"/>
        <v/>
      </c>
    </row>
    <row r="366" spans="1:4" ht="20.100000000000001" customHeight="1">
      <c r="A366" s="101" t="str">
        <f t="shared" si="10"/>
        <v/>
      </c>
      <c r="B366" s="62"/>
      <c r="C366" s="98" t="str" cm="1">
        <f t="array" ref="C366">_xll.RssMarket(B366, "銘柄名称")</f>
        <v/>
      </c>
      <c r="D366" s="99" t="str">
        <f t="shared" si="11"/>
        <v/>
      </c>
    </row>
    <row r="367" spans="1:4" ht="20.100000000000001" customHeight="1">
      <c r="A367" s="101" t="str">
        <f t="shared" si="10"/>
        <v/>
      </c>
      <c r="B367" s="62"/>
      <c r="C367" s="98" t="str" cm="1">
        <f t="array" ref="C367">_xll.RssMarket(B367, "銘柄名称")</f>
        <v/>
      </c>
      <c r="D367" s="99" t="str">
        <f t="shared" si="11"/>
        <v/>
      </c>
    </row>
    <row r="368" spans="1:4" ht="20.100000000000001" customHeight="1">
      <c r="A368" s="101" t="str">
        <f t="shared" si="10"/>
        <v/>
      </c>
      <c r="B368" s="62"/>
      <c r="C368" s="98" t="str" cm="1">
        <f t="array" ref="C368">_xll.RssMarket(B368, "銘柄名称")</f>
        <v/>
      </c>
      <c r="D368" s="99" t="str">
        <f t="shared" si="11"/>
        <v/>
      </c>
    </row>
    <row r="369" spans="1:4" ht="20.100000000000001" customHeight="1">
      <c r="A369" s="101" t="str">
        <f t="shared" si="10"/>
        <v/>
      </c>
      <c r="B369" s="62"/>
      <c r="C369" s="98" t="str" cm="1">
        <f t="array" ref="C369">_xll.RssMarket(B369, "銘柄名称")</f>
        <v/>
      </c>
      <c r="D369" s="99" t="str">
        <f t="shared" si="11"/>
        <v/>
      </c>
    </row>
    <row r="370" spans="1:4" ht="20.100000000000001" customHeight="1">
      <c r="A370" s="101" t="str">
        <f t="shared" si="10"/>
        <v/>
      </c>
      <c r="B370" s="62"/>
      <c r="C370" s="98" t="str" cm="1">
        <f t="array" ref="C370">_xll.RssMarket(B370, "銘柄名称")</f>
        <v/>
      </c>
      <c r="D370" s="99" t="str">
        <f t="shared" si="11"/>
        <v/>
      </c>
    </row>
    <row r="371" spans="1:4" ht="20.100000000000001" customHeight="1">
      <c r="A371" s="101" t="str">
        <f t="shared" si="10"/>
        <v/>
      </c>
      <c r="B371" s="62"/>
      <c r="C371" s="98" t="str" cm="1">
        <f t="array" ref="C371">_xll.RssMarket(B371, "銘柄名称")</f>
        <v/>
      </c>
      <c r="D371" s="99" t="str">
        <f t="shared" si="11"/>
        <v/>
      </c>
    </row>
    <row r="372" spans="1:4" ht="20.100000000000001" customHeight="1">
      <c r="A372" s="101" t="str">
        <f t="shared" si="10"/>
        <v/>
      </c>
      <c r="B372" s="62"/>
      <c r="C372" s="98" t="str" cm="1">
        <f t="array" ref="C372">_xll.RssMarket(B372, "銘柄名称")</f>
        <v/>
      </c>
      <c r="D372" s="99" t="str">
        <f t="shared" si="11"/>
        <v/>
      </c>
    </row>
    <row r="373" spans="1:4" ht="20.100000000000001" customHeight="1">
      <c r="A373" s="101" t="str">
        <f t="shared" si="10"/>
        <v/>
      </c>
      <c r="B373" s="62"/>
      <c r="C373" s="98" t="str" cm="1">
        <f t="array" ref="C373">_xll.RssMarket(B373, "銘柄名称")</f>
        <v/>
      </c>
      <c r="D373" s="99" t="str">
        <f t="shared" si="11"/>
        <v/>
      </c>
    </row>
    <row r="374" spans="1:4" ht="20.100000000000001" customHeight="1">
      <c r="A374" s="101" t="str">
        <f t="shared" si="10"/>
        <v/>
      </c>
      <c r="B374" s="62"/>
      <c r="C374" s="98" t="str" cm="1">
        <f t="array" ref="C374">_xll.RssMarket(B374, "銘柄名称")</f>
        <v/>
      </c>
      <c r="D374" s="99" t="str">
        <f t="shared" si="11"/>
        <v/>
      </c>
    </row>
    <row r="375" spans="1:4" ht="20.100000000000001" customHeight="1">
      <c r="A375" s="101" t="str">
        <f t="shared" si="10"/>
        <v/>
      </c>
      <c r="B375" s="62"/>
      <c r="C375" s="98" t="str" cm="1">
        <f t="array" ref="C375">_xll.RssMarket(B375, "銘柄名称")</f>
        <v/>
      </c>
      <c r="D375" s="99" t="str">
        <f t="shared" si="11"/>
        <v/>
      </c>
    </row>
    <row r="376" spans="1:4" ht="20.100000000000001" customHeight="1">
      <c r="A376" s="101" t="str">
        <f t="shared" si="10"/>
        <v/>
      </c>
      <c r="B376" s="62"/>
      <c r="C376" s="98" t="str" cm="1">
        <f t="array" ref="C376">_xll.RssMarket(B376, "銘柄名称")</f>
        <v/>
      </c>
      <c r="D376" s="99" t="str">
        <f t="shared" si="11"/>
        <v/>
      </c>
    </row>
    <row r="377" spans="1:4" ht="20.100000000000001" customHeight="1">
      <c r="A377" s="101" t="str">
        <f t="shared" si="10"/>
        <v/>
      </c>
      <c r="B377" s="62"/>
      <c r="C377" s="98" t="str" cm="1">
        <f t="array" ref="C377">_xll.RssMarket(B377, "銘柄名称")</f>
        <v/>
      </c>
      <c r="D377" s="99" t="str">
        <f t="shared" si="11"/>
        <v/>
      </c>
    </row>
    <row r="378" spans="1:4" ht="20.100000000000001" customHeight="1">
      <c r="A378" s="101" t="str">
        <f t="shared" si="10"/>
        <v/>
      </c>
      <c r="B378" s="62"/>
      <c r="C378" s="98" t="str" cm="1">
        <f t="array" ref="C378">_xll.RssMarket(B378, "銘柄名称")</f>
        <v/>
      </c>
      <c r="D378" s="99" t="str">
        <f t="shared" si="11"/>
        <v/>
      </c>
    </row>
    <row r="379" spans="1:4" ht="20.100000000000001" customHeight="1">
      <c r="A379" s="101" t="str">
        <f t="shared" si="10"/>
        <v/>
      </c>
      <c r="B379" s="62"/>
      <c r="C379" s="98" t="str" cm="1">
        <f t="array" ref="C379">_xll.RssMarket(B379, "銘柄名称")</f>
        <v/>
      </c>
      <c r="D379" s="99" t="str">
        <f t="shared" si="11"/>
        <v/>
      </c>
    </row>
    <row r="380" spans="1:4" ht="20.100000000000001" customHeight="1">
      <c r="A380" s="101" t="str">
        <f t="shared" si="10"/>
        <v/>
      </c>
      <c r="B380" s="62"/>
      <c r="C380" s="98" t="str" cm="1">
        <f t="array" ref="C380">_xll.RssMarket(B380, "銘柄名称")</f>
        <v/>
      </c>
      <c r="D380" s="99" t="str">
        <f t="shared" si="11"/>
        <v/>
      </c>
    </row>
    <row r="381" spans="1:4" ht="20.100000000000001" customHeight="1">
      <c r="A381" s="101" t="str">
        <f t="shared" si="10"/>
        <v/>
      </c>
      <c r="B381" s="62"/>
      <c r="C381" s="98" t="str" cm="1">
        <f t="array" ref="C381">_xll.RssMarket(B381, "銘柄名称")</f>
        <v/>
      </c>
      <c r="D381" s="99" t="str">
        <f t="shared" si="11"/>
        <v/>
      </c>
    </row>
    <row r="382" spans="1:4" ht="20.100000000000001" customHeight="1">
      <c r="A382" s="101" t="str">
        <f t="shared" si="10"/>
        <v/>
      </c>
      <c r="B382" s="62"/>
      <c r="C382" s="98" t="str" cm="1">
        <f t="array" ref="C382">_xll.RssMarket(B382, "銘柄名称")</f>
        <v/>
      </c>
      <c r="D382" s="99" t="str">
        <f t="shared" si="11"/>
        <v/>
      </c>
    </row>
    <row r="383" spans="1:4" ht="20.100000000000001" customHeight="1">
      <c r="A383" s="101" t="str">
        <f t="shared" si="10"/>
        <v/>
      </c>
      <c r="B383" s="62"/>
      <c r="C383" s="98" t="str" cm="1">
        <f t="array" ref="C383">_xll.RssMarket(B383, "銘柄名称")</f>
        <v/>
      </c>
      <c r="D383" s="99" t="str">
        <f t="shared" si="11"/>
        <v/>
      </c>
    </row>
    <row r="384" spans="1:4" ht="20.100000000000001" customHeight="1">
      <c r="A384" s="101" t="str">
        <f t="shared" si="10"/>
        <v/>
      </c>
      <c r="B384" s="62"/>
      <c r="C384" s="98" t="str" cm="1">
        <f t="array" ref="C384">_xll.RssMarket(B384, "銘柄名称")</f>
        <v/>
      </c>
      <c r="D384" s="99" t="str">
        <f t="shared" si="11"/>
        <v/>
      </c>
    </row>
    <row r="385" spans="1:4" ht="20.100000000000001" customHeight="1">
      <c r="A385" s="101" t="str">
        <f t="shared" si="10"/>
        <v/>
      </c>
      <c r="B385" s="62"/>
      <c r="C385" s="98" t="str" cm="1">
        <f t="array" ref="C385">_xll.RssMarket(B385, "銘柄名称")</f>
        <v/>
      </c>
      <c r="D385" s="99" t="str">
        <f t="shared" si="11"/>
        <v/>
      </c>
    </row>
    <row r="386" spans="1:4" ht="20.100000000000001" customHeight="1">
      <c r="A386" s="101" t="str">
        <f t="shared" si="10"/>
        <v/>
      </c>
      <c r="B386" s="62"/>
      <c r="C386" s="98" t="str" cm="1">
        <f t="array" ref="C386">_xll.RssMarket(B386, "銘柄名称")</f>
        <v/>
      </c>
      <c r="D386" s="99" t="str">
        <f t="shared" si="11"/>
        <v/>
      </c>
    </row>
    <row r="387" spans="1:4" ht="20.100000000000001" customHeight="1">
      <c r="A387" s="101" t="str">
        <f t="shared" si="10"/>
        <v/>
      </c>
      <c r="B387" s="62"/>
      <c r="C387" s="98" t="str" cm="1">
        <f t="array" ref="C387">_xll.RssMarket(B387, "銘柄名称")</f>
        <v/>
      </c>
      <c r="D387" s="99" t="str">
        <f t="shared" si="11"/>
        <v/>
      </c>
    </row>
    <row r="388" spans="1:4" ht="20.100000000000001" customHeight="1">
      <c r="A388" s="101" t="str">
        <f t="shared" si="10"/>
        <v/>
      </c>
      <c r="B388" s="62"/>
      <c r="C388" s="98" t="str" cm="1">
        <f t="array" ref="C388">_xll.RssMarket(B388, "銘柄名称")</f>
        <v/>
      </c>
      <c r="D388" s="99" t="str">
        <f t="shared" si="11"/>
        <v/>
      </c>
    </row>
    <row r="389" spans="1:4" ht="20.100000000000001" customHeight="1">
      <c r="A389" s="101" t="str">
        <f t="shared" si="10"/>
        <v/>
      </c>
      <c r="B389" s="62"/>
      <c r="C389" s="98" t="str" cm="1">
        <f t="array" ref="C389">_xll.RssMarket(B389, "銘柄名称")</f>
        <v/>
      </c>
      <c r="D389" s="99" t="str">
        <f t="shared" si="11"/>
        <v/>
      </c>
    </row>
    <row r="390" spans="1:4" ht="20.100000000000001" customHeight="1">
      <c r="A390" s="101" t="str">
        <f t="shared" ref="A390:A453" si="12">IF(B390="","",ROW()-5)</f>
        <v/>
      </c>
      <c r="B390" s="62"/>
      <c r="C390" s="98" t="str" cm="1">
        <f t="array" ref="C390">_xll.RssMarket(B390, "銘柄名称")</f>
        <v/>
      </c>
      <c r="D390" s="99" t="str">
        <f t="shared" ref="D390:D453" si="13">IF(B390="","",HYPERLINK("https://kabutan.jp/stock/?code="&amp;B390,"株探"))</f>
        <v/>
      </c>
    </row>
    <row r="391" spans="1:4" ht="20.100000000000001" customHeight="1">
      <c r="A391" s="101" t="str">
        <f t="shared" si="12"/>
        <v/>
      </c>
      <c r="B391" s="62"/>
      <c r="C391" s="98" t="str" cm="1">
        <f t="array" ref="C391">_xll.RssMarket(B391, "銘柄名称")</f>
        <v/>
      </c>
      <c r="D391" s="99" t="str">
        <f t="shared" si="13"/>
        <v/>
      </c>
    </row>
    <row r="392" spans="1:4" ht="20.100000000000001" customHeight="1">
      <c r="A392" s="101" t="str">
        <f t="shared" si="12"/>
        <v/>
      </c>
      <c r="B392" s="62"/>
      <c r="C392" s="98" t="str" cm="1">
        <f t="array" ref="C392">_xll.RssMarket(B392, "銘柄名称")</f>
        <v/>
      </c>
      <c r="D392" s="99" t="str">
        <f t="shared" si="13"/>
        <v/>
      </c>
    </row>
    <row r="393" spans="1:4" ht="20.100000000000001" customHeight="1">
      <c r="A393" s="101" t="str">
        <f t="shared" si="12"/>
        <v/>
      </c>
      <c r="B393" s="62"/>
      <c r="C393" s="98" t="str" cm="1">
        <f t="array" ref="C393">_xll.RssMarket(B393, "銘柄名称")</f>
        <v/>
      </c>
      <c r="D393" s="99" t="str">
        <f t="shared" si="13"/>
        <v/>
      </c>
    </row>
    <row r="394" spans="1:4" ht="20.100000000000001" customHeight="1">
      <c r="A394" s="101" t="str">
        <f t="shared" si="12"/>
        <v/>
      </c>
      <c r="B394" s="62"/>
      <c r="C394" s="98" t="str" cm="1">
        <f t="array" ref="C394">_xll.RssMarket(B394, "銘柄名称")</f>
        <v/>
      </c>
      <c r="D394" s="99" t="str">
        <f t="shared" si="13"/>
        <v/>
      </c>
    </row>
    <row r="395" spans="1:4" ht="20.100000000000001" customHeight="1">
      <c r="A395" s="101" t="str">
        <f t="shared" si="12"/>
        <v/>
      </c>
      <c r="B395" s="62"/>
      <c r="C395" s="98" t="str" cm="1">
        <f t="array" ref="C395">_xll.RssMarket(B395, "銘柄名称")</f>
        <v/>
      </c>
      <c r="D395" s="99" t="str">
        <f t="shared" si="13"/>
        <v/>
      </c>
    </row>
    <row r="396" spans="1:4" ht="20.100000000000001" customHeight="1">
      <c r="A396" s="101" t="str">
        <f t="shared" si="12"/>
        <v/>
      </c>
      <c r="B396" s="62"/>
      <c r="C396" s="98" t="str" cm="1">
        <f t="array" ref="C396">_xll.RssMarket(B396, "銘柄名称")</f>
        <v/>
      </c>
      <c r="D396" s="99" t="str">
        <f t="shared" si="13"/>
        <v/>
      </c>
    </row>
    <row r="397" spans="1:4" ht="20.100000000000001" customHeight="1">
      <c r="A397" s="101" t="str">
        <f t="shared" si="12"/>
        <v/>
      </c>
      <c r="B397" s="62"/>
      <c r="C397" s="98" t="str" cm="1">
        <f t="array" ref="C397">_xll.RssMarket(B397, "銘柄名称")</f>
        <v/>
      </c>
      <c r="D397" s="99" t="str">
        <f t="shared" si="13"/>
        <v/>
      </c>
    </row>
    <row r="398" spans="1:4" ht="20.100000000000001" customHeight="1">
      <c r="A398" s="101" t="str">
        <f t="shared" si="12"/>
        <v/>
      </c>
      <c r="B398" s="62"/>
      <c r="C398" s="98" t="str" cm="1">
        <f t="array" ref="C398">_xll.RssMarket(B398, "銘柄名称")</f>
        <v/>
      </c>
      <c r="D398" s="99" t="str">
        <f t="shared" si="13"/>
        <v/>
      </c>
    </row>
    <row r="399" spans="1:4" ht="20.100000000000001" customHeight="1">
      <c r="A399" s="101" t="str">
        <f t="shared" si="12"/>
        <v/>
      </c>
      <c r="B399" s="62"/>
      <c r="C399" s="98" t="str" cm="1">
        <f t="array" ref="C399">_xll.RssMarket(B399, "銘柄名称")</f>
        <v/>
      </c>
      <c r="D399" s="99" t="str">
        <f t="shared" si="13"/>
        <v/>
      </c>
    </row>
    <row r="400" spans="1:4" ht="20.100000000000001" customHeight="1">
      <c r="A400" s="101" t="str">
        <f t="shared" si="12"/>
        <v/>
      </c>
      <c r="B400" s="62"/>
      <c r="C400" s="98" t="str" cm="1">
        <f t="array" ref="C400">_xll.RssMarket(B400, "銘柄名称")</f>
        <v/>
      </c>
      <c r="D400" s="99" t="str">
        <f t="shared" si="13"/>
        <v/>
      </c>
    </row>
    <row r="401" spans="1:4" ht="20.100000000000001" customHeight="1">
      <c r="A401" s="101" t="str">
        <f t="shared" si="12"/>
        <v/>
      </c>
      <c r="B401" s="62"/>
      <c r="C401" s="98" t="str" cm="1">
        <f t="array" ref="C401">_xll.RssMarket(B401, "銘柄名称")</f>
        <v/>
      </c>
      <c r="D401" s="99" t="str">
        <f t="shared" si="13"/>
        <v/>
      </c>
    </row>
    <row r="402" spans="1:4" ht="20.100000000000001" customHeight="1">
      <c r="A402" s="101" t="str">
        <f t="shared" si="12"/>
        <v/>
      </c>
      <c r="B402" s="62"/>
      <c r="C402" s="98" t="str" cm="1">
        <f t="array" ref="C402">_xll.RssMarket(B402, "銘柄名称")</f>
        <v/>
      </c>
      <c r="D402" s="99" t="str">
        <f t="shared" si="13"/>
        <v/>
      </c>
    </row>
    <row r="403" spans="1:4" ht="20.100000000000001" customHeight="1">
      <c r="A403" s="101" t="str">
        <f t="shared" si="12"/>
        <v/>
      </c>
      <c r="B403" s="62"/>
      <c r="C403" s="98" t="str" cm="1">
        <f t="array" ref="C403">_xll.RssMarket(B403, "銘柄名称")</f>
        <v/>
      </c>
      <c r="D403" s="99" t="str">
        <f t="shared" si="13"/>
        <v/>
      </c>
    </row>
    <row r="404" spans="1:4" ht="20.100000000000001" customHeight="1">
      <c r="A404" s="101" t="str">
        <f t="shared" si="12"/>
        <v/>
      </c>
      <c r="B404" s="62"/>
      <c r="C404" s="98" t="str" cm="1">
        <f t="array" ref="C404">_xll.RssMarket(B404, "銘柄名称")</f>
        <v/>
      </c>
      <c r="D404" s="99" t="str">
        <f t="shared" si="13"/>
        <v/>
      </c>
    </row>
    <row r="405" spans="1:4" ht="20.100000000000001" customHeight="1">
      <c r="A405" s="101" t="str">
        <f t="shared" si="12"/>
        <v/>
      </c>
      <c r="B405" s="62"/>
      <c r="C405" s="98" t="str" cm="1">
        <f t="array" ref="C405">_xll.RssMarket(B405, "銘柄名称")</f>
        <v/>
      </c>
      <c r="D405" s="99" t="str">
        <f t="shared" si="13"/>
        <v/>
      </c>
    </row>
    <row r="406" spans="1:4" ht="20.100000000000001" customHeight="1">
      <c r="A406" s="101" t="str">
        <f t="shared" si="12"/>
        <v/>
      </c>
      <c r="B406" s="62"/>
      <c r="C406" s="98" t="str" cm="1">
        <f t="array" ref="C406">_xll.RssMarket(B406, "銘柄名称")</f>
        <v/>
      </c>
      <c r="D406" s="99" t="str">
        <f t="shared" si="13"/>
        <v/>
      </c>
    </row>
    <row r="407" spans="1:4" ht="20.100000000000001" customHeight="1">
      <c r="A407" s="101" t="str">
        <f t="shared" si="12"/>
        <v/>
      </c>
      <c r="B407" s="62"/>
      <c r="C407" s="98" t="str" cm="1">
        <f t="array" ref="C407">_xll.RssMarket(B407, "銘柄名称")</f>
        <v/>
      </c>
      <c r="D407" s="99" t="str">
        <f t="shared" si="13"/>
        <v/>
      </c>
    </row>
    <row r="408" spans="1:4" ht="20.100000000000001" customHeight="1">
      <c r="A408" s="101" t="str">
        <f t="shared" si="12"/>
        <v/>
      </c>
      <c r="B408" s="62"/>
      <c r="C408" s="98" t="str" cm="1">
        <f t="array" ref="C408">_xll.RssMarket(B408, "銘柄名称")</f>
        <v/>
      </c>
      <c r="D408" s="99" t="str">
        <f t="shared" si="13"/>
        <v/>
      </c>
    </row>
    <row r="409" spans="1:4" ht="20.100000000000001" customHeight="1">
      <c r="A409" s="101" t="str">
        <f t="shared" si="12"/>
        <v/>
      </c>
      <c r="B409" s="62"/>
      <c r="C409" s="98" t="str" cm="1">
        <f t="array" ref="C409">_xll.RssMarket(B409, "銘柄名称")</f>
        <v/>
      </c>
      <c r="D409" s="99" t="str">
        <f t="shared" si="13"/>
        <v/>
      </c>
    </row>
    <row r="410" spans="1:4" ht="20.100000000000001" customHeight="1">
      <c r="A410" s="101" t="str">
        <f t="shared" si="12"/>
        <v/>
      </c>
      <c r="B410" s="62"/>
      <c r="C410" s="98" t="str" cm="1">
        <f t="array" ref="C410">_xll.RssMarket(B410, "銘柄名称")</f>
        <v/>
      </c>
      <c r="D410" s="99" t="str">
        <f t="shared" si="13"/>
        <v/>
      </c>
    </row>
    <row r="411" spans="1:4" ht="20.100000000000001" customHeight="1">
      <c r="A411" s="101" t="str">
        <f t="shared" si="12"/>
        <v/>
      </c>
      <c r="B411" s="62"/>
      <c r="C411" s="98" t="str" cm="1">
        <f t="array" ref="C411">_xll.RssMarket(B411, "銘柄名称")</f>
        <v/>
      </c>
      <c r="D411" s="99" t="str">
        <f t="shared" si="13"/>
        <v/>
      </c>
    </row>
    <row r="412" spans="1:4" ht="20.100000000000001" customHeight="1">
      <c r="A412" s="101" t="str">
        <f t="shared" si="12"/>
        <v/>
      </c>
      <c r="B412" s="62"/>
      <c r="C412" s="98" t="str" cm="1">
        <f t="array" ref="C412">_xll.RssMarket(B412, "銘柄名称")</f>
        <v/>
      </c>
      <c r="D412" s="99" t="str">
        <f t="shared" si="13"/>
        <v/>
      </c>
    </row>
    <row r="413" spans="1:4" ht="20.100000000000001" customHeight="1">
      <c r="A413" s="101" t="str">
        <f t="shared" si="12"/>
        <v/>
      </c>
      <c r="B413" s="62"/>
      <c r="C413" s="98" t="str" cm="1">
        <f t="array" ref="C413">_xll.RssMarket(B413, "銘柄名称")</f>
        <v/>
      </c>
      <c r="D413" s="99" t="str">
        <f t="shared" si="13"/>
        <v/>
      </c>
    </row>
    <row r="414" spans="1:4" ht="20.100000000000001" customHeight="1">
      <c r="A414" s="101" t="str">
        <f t="shared" si="12"/>
        <v/>
      </c>
      <c r="B414" s="62"/>
      <c r="C414" s="98" t="str" cm="1">
        <f t="array" ref="C414">_xll.RssMarket(B414, "銘柄名称")</f>
        <v/>
      </c>
      <c r="D414" s="99" t="str">
        <f t="shared" si="13"/>
        <v/>
      </c>
    </row>
    <row r="415" spans="1:4" ht="20.100000000000001" customHeight="1">
      <c r="A415" s="101" t="str">
        <f t="shared" si="12"/>
        <v/>
      </c>
      <c r="B415" s="62"/>
      <c r="C415" s="98" t="str" cm="1">
        <f t="array" ref="C415">_xll.RssMarket(B415, "銘柄名称")</f>
        <v/>
      </c>
      <c r="D415" s="99" t="str">
        <f t="shared" si="13"/>
        <v/>
      </c>
    </row>
    <row r="416" spans="1:4" ht="20.100000000000001" customHeight="1">
      <c r="A416" s="101" t="str">
        <f t="shared" si="12"/>
        <v/>
      </c>
      <c r="B416" s="62"/>
      <c r="C416" s="98" t="str" cm="1">
        <f t="array" ref="C416">_xll.RssMarket(B416, "銘柄名称")</f>
        <v/>
      </c>
      <c r="D416" s="99" t="str">
        <f t="shared" si="13"/>
        <v/>
      </c>
    </row>
    <row r="417" spans="1:4" ht="20.100000000000001" customHeight="1">
      <c r="A417" s="101" t="str">
        <f t="shared" si="12"/>
        <v/>
      </c>
      <c r="B417" s="62"/>
      <c r="C417" s="98" t="str" cm="1">
        <f t="array" ref="C417">_xll.RssMarket(B417, "銘柄名称")</f>
        <v/>
      </c>
      <c r="D417" s="99" t="str">
        <f t="shared" si="13"/>
        <v/>
      </c>
    </row>
    <row r="418" spans="1:4" ht="20.100000000000001" customHeight="1">
      <c r="A418" s="101" t="str">
        <f t="shared" si="12"/>
        <v/>
      </c>
      <c r="B418" s="62"/>
      <c r="C418" s="98" t="str" cm="1">
        <f t="array" ref="C418">_xll.RssMarket(B418, "銘柄名称")</f>
        <v/>
      </c>
      <c r="D418" s="99" t="str">
        <f t="shared" si="13"/>
        <v/>
      </c>
    </row>
    <row r="419" spans="1:4" ht="20.100000000000001" customHeight="1">
      <c r="A419" s="101" t="str">
        <f t="shared" si="12"/>
        <v/>
      </c>
      <c r="B419" s="62"/>
      <c r="C419" s="98" t="str" cm="1">
        <f t="array" ref="C419">_xll.RssMarket(B419, "銘柄名称")</f>
        <v/>
      </c>
      <c r="D419" s="99" t="str">
        <f t="shared" si="13"/>
        <v/>
      </c>
    </row>
    <row r="420" spans="1:4" ht="20.100000000000001" customHeight="1">
      <c r="A420" s="101" t="str">
        <f t="shared" si="12"/>
        <v/>
      </c>
      <c r="B420" s="62"/>
      <c r="C420" s="98" t="str" cm="1">
        <f t="array" ref="C420">_xll.RssMarket(B420, "銘柄名称")</f>
        <v/>
      </c>
      <c r="D420" s="99" t="str">
        <f t="shared" si="13"/>
        <v/>
      </c>
    </row>
    <row r="421" spans="1:4" ht="20.100000000000001" customHeight="1">
      <c r="A421" s="101" t="str">
        <f t="shared" si="12"/>
        <v/>
      </c>
      <c r="B421" s="62"/>
      <c r="C421" s="98" t="str" cm="1">
        <f t="array" ref="C421">_xll.RssMarket(B421, "銘柄名称")</f>
        <v/>
      </c>
      <c r="D421" s="99" t="str">
        <f t="shared" si="13"/>
        <v/>
      </c>
    </row>
    <row r="422" spans="1:4" ht="20.100000000000001" customHeight="1">
      <c r="A422" s="101" t="str">
        <f t="shared" si="12"/>
        <v/>
      </c>
      <c r="B422" s="62"/>
      <c r="C422" s="98" t="str" cm="1">
        <f t="array" ref="C422">_xll.RssMarket(B422, "銘柄名称")</f>
        <v/>
      </c>
      <c r="D422" s="99" t="str">
        <f t="shared" si="13"/>
        <v/>
      </c>
    </row>
    <row r="423" spans="1:4" ht="20.100000000000001" customHeight="1">
      <c r="A423" s="101" t="str">
        <f t="shared" si="12"/>
        <v/>
      </c>
      <c r="B423" s="62"/>
      <c r="C423" s="98" t="str" cm="1">
        <f t="array" ref="C423">_xll.RssMarket(B423, "銘柄名称")</f>
        <v/>
      </c>
      <c r="D423" s="99" t="str">
        <f t="shared" si="13"/>
        <v/>
      </c>
    </row>
    <row r="424" spans="1:4" ht="20.100000000000001" customHeight="1">
      <c r="A424" s="101" t="str">
        <f t="shared" si="12"/>
        <v/>
      </c>
      <c r="B424" s="62"/>
      <c r="C424" s="98" t="str" cm="1">
        <f t="array" ref="C424">_xll.RssMarket(B424, "銘柄名称")</f>
        <v/>
      </c>
      <c r="D424" s="99" t="str">
        <f t="shared" si="13"/>
        <v/>
      </c>
    </row>
    <row r="425" spans="1:4" ht="20.100000000000001" customHeight="1">
      <c r="A425" s="101" t="str">
        <f t="shared" si="12"/>
        <v/>
      </c>
      <c r="B425" s="62"/>
      <c r="C425" s="98" t="str" cm="1">
        <f t="array" ref="C425">_xll.RssMarket(B425, "銘柄名称")</f>
        <v/>
      </c>
      <c r="D425" s="99" t="str">
        <f t="shared" si="13"/>
        <v/>
      </c>
    </row>
    <row r="426" spans="1:4" ht="20.100000000000001" customHeight="1">
      <c r="A426" s="101" t="str">
        <f t="shared" si="12"/>
        <v/>
      </c>
      <c r="B426" s="62"/>
      <c r="C426" s="98" t="str" cm="1">
        <f t="array" ref="C426">_xll.RssMarket(B426, "銘柄名称")</f>
        <v/>
      </c>
      <c r="D426" s="99" t="str">
        <f t="shared" si="13"/>
        <v/>
      </c>
    </row>
    <row r="427" spans="1:4" ht="20.100000000000001" customHeight="1">
      <c r="A427" s="101" t="str">
        <f t="shared" si="12"/>
        <v/>
      </c>
      <c r="B427" s="62"/>
      <c r="C427" s="98" t="str" cm="1">
        <f t="array" ref="C427">_xll.RssMarket(B427, "銘柄名称")</f>
        <v/>
      </c>
      <c r="D427" s="99" t="str">
        <f t="shared" si="13"/>
        <v/>
      </c>
    </row>
    <row r="428" spans="1:4" ht="20.100000000000001" customHeight="1">
      <c r="A428" s="101" t="str">
        <f t="shared" si="12"/>
        <v/>
      </c>
      <c r="B428" s="62"/>
      <c r="C428" s="98" t="str" cm="1">
        <f t="array" ref="C428">_xll.RssMarket(B428, "銘柄名称")</f>
        <v/>
      </c>
      <c r="D428" s="99" t="str">
        <f t="shared" si="13"/>
        <v/>
      </c>
    </row>
    <row r="429" spans="1:4" ht="20.100000000000001" customHeight="1">
      <c r="A429" s="101" t="str">
        <f t="shared" si="12"/>
        <v/>
      </c>
      <c r="B429" s="62"/>
      <c r="C429" s="98" t="str" cm="1">
        <f t="array" ref="C429">_xll.RssMarket(B429, "銘柄名称")</f>
        <v/>
      </c>
      <c r="D429" s="99" t="str">
        <f t="shared" si="13"/>
        <v/>
      </c>
    </row>
    <row r="430" spans="1:4" ht="20.100000000000001" customHeight="1">
      <c r="A430" s="101" t="str">
        <f t="shared" si="12"/>
        <v/>
      </c>
      <c r="B430" s="62"/>
      <c r="C430" s="98" t="str" cm="1">
        <f t="array" ref="C430">_xll.RssMarket(B430, "銘柄名称")</f>
        <v/>
      </c>
      <c r="D430" s="99" t="str">
        <f t="shared" si="13"/>
        <v/>
      </c>
    </row>
    <row r="431" spans="1:4" ht="20.100000000000001" customHeight="1">
      <c r="A431" s="101" t="str">
        <f t="shared" si="12"/>
        <v/>
      </c>
      <c r="B431" s="62"/>
      <c r="C431" s="98" t="str" cm="1">
        <f t="array" ref="C431">_xll.RssMarket(B431, "銘柄名称")</f>
        <v/>
      </c>
      <c r="D431" s="99" t="str">
        <f t="shared" si="13"/>
        <v/>
      </c>
    </row>
    <row r="432" spans="1:4" ht="20.100000000000001" customHeight="1">
      <c r="A432" s="101" t="str">
        <f t="shared" si="12"/>
        <v/>
      </c>
      <c r="B432" s="62"/>
      <c r="C432" s="98" t="str" cm="1">
        <f t="array" ref="C432">_xll.RssMarket(B432, "銘柄名称")</f>
        <v/>
      </c>
      <c r="D432" s="99" t="str">
        <f t="shared" si="13"/>
        <v/>
      </c>
    </row>
    <row r="433" spans="1:4" ht="20.100000000000001" customHeight="1">
      <c r="A433" s="101" t="str">
        <f t="shared" si="12"/>
        <v/>
      </c>
      <c r="B433" s="62"/>
      <c r="C433" s="98" t="str" cm="1">
        <f t="array" ref="C433">_xll.RssMarket(B433, "銘柄名称")</f>
        <v/>
      </c>
      <c r="D433" s="99" t="str">
        <f t="shared" si="13"/>
        <v/>
      </c>
    </row>
    <row r="434" spans="1:4" ht="20.100000000000001" customHeight="1">
      <c r="A434" s="101" t="str">
        <f t="shared" si="12"/>
        <v/>
      </c>
      <c r="B434" s="62"/>
      <c r="C434" s="98" t="str" cm="1">
        <f t="array" ref="C434">_xll.RssMarket(B434, "銘柄名称")</f>
        <v/>
      </c>
      <c r="D434" s="99" t="str">
        <f t="shared" si="13"/>
        <v/>
      </c>
    </row>
    <row r="435" spans="1:4" ht="20.100000000000001" customHeight="1">
      <c r="A435" s="101" t="str">
        <f t="shared" si="12"/>
        <v/>
      </c>
      <c r="B435" s="62"/>
      <c r="C435" s="98" t="str" cm="1">
        <f t="array" ref="C435">_xll.RssMarket(B435, "銘柄名称")</f>
        <v/>
      </c>
      <c r="D435" s="99" t="str">
        <f t="shared" si="13"/>
        <v/>
      </c>
    </row>
    <row r="436" spans="1:4" ht="20.100000000000001" customHeight="1">
      <c r="A436" s="101" t="str">
        <f t="shared" si="12"/>
        <v/>
      </c>
      <c r="B436" s="62"/>
      <c r="C436" s="98" t="str" cm="1">
        <f t="array" ref="C436">_xll.RssMarket(B436, "銘柄名称")</f>
        <v/>
      </c>
      <c r="D436" s="99" t="str">
        <f t="shared" si="13"/>
        <v/>
      </c>
    </row>
    <row r="437" spans="1:4" ht="20.100000000000001" customHeight="1">
      <c r="A437" s="101" t="str">
        <f t="shared" si="12"/>
        <v/>
      </c>
      <c r="B437" s="62"/>
      <c r="C437" s="98" t="str" cm="1">
        <f t="array" ref="C437">_xll.RssMarket(B437, "銘柄名称")</f>
        <v/>
      </c>
      <c r="D437" s="99" t="str">
        <f t="shared" si="13"/>
        <v/>
      </c>
    </row>
    <row r="438" spans="1:4" ht="20.100000000000001" customHeight="1">
      <c r="A438" s="101" t="str">
        <f t="shared" si="12"/>
        <v/>
      </c>
      <c r="B438" s="62"/>
      <c r="C438" s="98" t="str" cm="1">
        <f t="array" ref="C438">_xll.RssMarket(B438, "銘柄名称")</f>
        <v/>
      </c>
      <c r="D438" s="99" t="str">
        <f t="shared" si="13"/>
        <v/>
      </c>
    </row>
    <row r="439" spans="1:4" ht="20.100000000000001" customHeight="1">
      <c r="A439" s="101" t="str">
        <f t="shared" si="12"/>
        <v/>
      </c>
      <c r="B439" s="62"/>
      <c r="C439" s="98" t="str" cm="1">
        <f t="array" ref="C439">_xll.RssMarket(B439, "銘柄名称")</f>
        <v/>
      </c>
      <c r="D439" s="99" t="str">
        <f t="shared" si="13"/>
        <v/>
      </c>
    </row>
    <row r="440" spans="1:4" ht="20.100000000000001" customHeight="1">
      <c r="A440" s="101" t="str">
        <f t="shared" si="12"/>
        <v/>
      </c>
      <c r="B440" s="62"/>
      <c r="C440" s="98" t="str" cm="1">
        <f t="array" ref="C440">_xll.RssMarket(B440, "銘柄名称")</f>
        <v/>
      </c>
      <c r="D440" s="99" t="str">
        <f t="shared" si="13"/>
        <v/>
      </c>
    </row>
    <row r="441" spans="1:4" ht="20.100000000000001" customHeight="1">
      <c r="A441" s="101" t="str">
        <f t="shared" si="12"/>
        <v/>
      </c>
      <c r="B441" s="62"/>
      <c r="C441" s="98" t="str" cm="1">
        <f t="array" ref="C441">_xll.RssMarket(B441, "銘柄名称")</f>
        <v/>
      </c>
      <c r="D441" s="99" t="str">
        <f t="shared" si="13"/>
        <v/>
      </c>
    </row>
    <row r="442" spans="1:4" ht="20.100000000000001" customHeight="1">
      <c r="A442" s="101" t="str">
        <f t="shared" si="12"/>
        <v/>
      </c>
      <c r="B442" s="62"/>
      <c r="C442" s="98" t="str" cm="1">
        <f t="array" ref="C442">_xll.RssMarket(B442, "銘柄名称")</f>
        <v/>
      </c>
      <c r="D442" s="99" t="str">
        <f t="shared" si="13"/>
        <v/>
      </c>
    </row>
    <row r="443" spans="1:4" ht="20.100000000000001" customHeight="1">
      <c r="A443" s="101" t="str">
        <f t="shared" si="12"/>
        <v/>
      </c>
      <c r="B443" s="62"/>
      <c r="C443" s="98" t="str" cm="1">
        <f t="array" ref="C443">_xll.RssMarket(B443, "銘柄名称")</f>
        <v/>
      </c>
      <c r="D443" s="99" t="str">
        <f t="shared" si="13"/>
        <v/>
      </c>
    </row>
    <row r="444" spans="1:4" ht="20.100000000000001" customHeight="1">
      <c r="A444" s="101" t="str">
        <f t="shared" si="12"/>
        <v/>
      </c>
      <c r="B444" s="62"/>
      <c r="C444" s="98" t="str" cm="1">
        <f t="array" ref="C444">_xll.RssMarket(B444, "銘柄名称")</f>
        <v/>
      </c>
      <c r="D444" s="99" t="str">
        <f t="shared" si="13"/>
        <v/>
      </c>
    </row>
    <row r="445" spans="1:4" ht="20.100000000000001" customHeight="1">
      <c r="A445" s="101" t="str">
        <f t="shared" si="12"/>
        <v/>
      </c>
      <c r="B445" s="62"/>
      <c r="C445" s="98" t="str" cm="1">
        <f t="array" ref="C445">_xll.RssMarket(B445, "銘柄名称")</f>
        <v/>
      </c>
      <c r="D445" s="99" t="str">
        <f t="shared" si="13"/>
        <v/>
      </c>
    </row>
    <row r="446" spans="1:4" ht="20.100000000000001" customHeight="1">
      <c r="A446" s="101" t="str">
        <f t="shared" si="12"/>
        <v/>
      </c>
      <c r="B446" s="62"/>
      <c r="C446" s="98" t="str" cm="1">
        <f t="array" ref="C446">_xll.RssMarket(B446, "銘柄名称")</f>
        <v/>
      </c>
      <c r="D446" s="99" t="str">
        <f t="shared" si="13"/>
        <v/>
      </c>
    </row>
    <row r="447" spans="1:4" ht="20.100000000000001" customHeight="1">
      <c r="A447" s="101" t="str">
        <f t="shared" si="12"/>
        <v/>
      </c>
      <c r="B447" s="62"/>
      <c r="C447" s="98" t="str" cm="1">
        <f t="array" ref="C447">_xll.RssMarket(B447, "銘柄名称")</f>
        <v/>
      </c>
      <c r="D447" s="99" t="str">
        <f t="shared" si="13"/>
        <v/>
      </c>
    </row>
    <row r="448" spans="1:4" ht="20.100000000000001" customHeight="1">
      <c r="A448" s="101" t="str">
        <f t="shared" si="12"/>
        <v/>
      </c>
      <c r="B448" s="62"/>
      <c r="C448" s="98" t="str" cm="1">
        <f t="array" ref="C448">_xll.RssMarket(B448, "銘柄名称")</f>
        <v/>
      </c>
      <c r="D448" s="99" t="str">
        <f t="shared" si="13"/>
        <v/>
      </c>
    </row>
    <row r="449" spans="1:4" ht="20.100000000000001" customHeight="1">
      <c r="A449" s="101" t="str">
        <f t="shared" si="12"/>
        <v/>
      </c>
      <c r="B449" s="62"/>
      <c r="C449" s="98" t="str" cm="1">
        <f t="array" ref="C449">_xll.RssMarket(B449, "銘柄名称")</f>
        <v/>
      </c>
      <c r="D449" s="99" t="str">
        <f t="shared" si="13"/>
        <v/>
      </c>
    </row>
    <row r="450" spans="1:4" ht="20.100000000000001" customHeight="1">
      <c r="A450" s="101" t="str">
        <f t="shared" si="12"/>
        <v/>
      </c>
      <c r="B450" s="62"/>
      <c r="C450" s="98" t="str" cm="1">
        <f t="array" ref="C450">_xll.RssMarket(B450, "銘柄名称")</f>
        <v/>
      </c>
      <c r="D450" s="99" t="str">
        <f t="shared" si="13"/>
        <v/>
      </c>
    </row>
    <row r="451" spans="1:4" ht="20.100000000000001" customHeight="1">
      <c r="A451" s="101" t="str">
        <f t="shared" si="12"/>
        <v/>
      </c>
      <c r="B451" s="62"/>
      <c r="C451" s="98" t="str" cm="1">
        <f t="array" ref="C451">_xll.RssMarket(B451, "銘柄名称")</f>
        <v/>
      </c>
      <c r="D451" s="99" t="str">
        <f t="shared" si="13"/>
        <v/>
      </c>
    </row>
    <row r="452" spans="1:4" ht="20.100000000000001" customHeight="1">
      <c r="A452" s="101" t="str">
        <f t="shared" si="12"/>
        <v/>
      </c>
      <c r="B452" s="62"/>
      <c r="C452" s="98" t="str" cm="1">
        <f t="array" ref="C452">_xll.RssMarket(B452, "銘柄名称")</f>
        <v/>
      </c>
      <c r="D452" s="99" t="str">
        <f t="shared" si="13"/>
        <v/>
      </c>
    </row>
    <row r="453" spans="1:4" ht="20.100000000000001" customHeight="1">
      <c r="A453" s="101" t="str">
        <f t="shared" si="12"/>
        <v/>
      </c>
      <c r="B453" s="62"/>
      <c r="C453" s="98" t="str" cm="1">
        <f t="array" ref="C453">_xll.RssMarket(B453, "銘柄名称")</f>
        <v/>
      </c>
      <c r="D453" s="99" t="str">
        <f t="shared" si="13"/>
        <v/>
      </c>
    </row>
    <row r="454" spans="1:4" ht="20.100000000000001" customHeight="1">
      <c r="A454" s="101" t="str">
        <f t="shared" ref="A454:A505" si="14">IF(B454="","",ROW()-5)</f>
        <v/>
      </c>
      <c r="B454" s="62"/>
      <c r="C454" s="98" t="str" cm="1">
        <f t="array" ref="C454">_xll.RssMarket(B454, "銘柄名称")</f>
        <v/>
      </c>
      <c r="D454" s="99" t="str">
        <f t="shared" ref="D454:D505" si="15">IF(B454="","",HYPERLINK("https://kabutan.jp/stock/?code="&amp;B454,"株探"))</f>
        <v/>
      </c>
    </row>
    <row r="455" spans="1:4" ht="20.100000000000001" customHeight="1">
      <c r="A455" s="101" t="str">
        <f t="shared" si="14"/>
        <v/>
      </c>
      <c r="B455" s="62"/>
      <c r="C455" s="98" t="str" cm="1">
        <f t="array" ref="C455">_xll.RssMarket(B455, "銘柄名称")</f>
        <v/>
      </c>
      <c r="D455" s="99" t="str">
        <f t="shared" si="15"/>
        <v/>
      </c>
    </row>
    <row r="456" spans="1:4" ht="20.100000000000001" customHeight="1">
      <c r="A456" s="101" t="str">
        <f t="shared" si="14"/>
        <v/>
      </c>
      <c r="B456" s="62"/>
      <c r="C456" s="98" t="str" cm="1">
        <f t="array" ref="C456">_xll.RssMarket(B456, "銘柄名称")</f>
        <v/>
      </c>
      <c r="D456" s="99" t="str">
        <f t="shared" si="15"/>
        <v/>
      </c>
    </row>
    <row r="457" spans="1:4" ht="20.100000000000001" customHeight="1">
      <c r="A457" s="101" t="str">
        <f t="shared" si="14"/>
        <v/>
      </c>
      <c r="B457" s="62"/>
      <c r="C457" s="98" t="str" cm="1">
        <f t="array" ref="C457">_xll.RssMarket(B457, "銘柄名称")</f>
        <v/>
      </c>
      <c r="D457" s="99" t="str">
        <f t="shared" si="15"/>
        <v/>
      </c>
    </row>
    <row r="458" spans="1:4" ht="20.100000000000001" customHeight="1">
      <c r="A458" s="101" t="str">
        <f t="shared" si="14"/>
        <v/>
      </c>
      <c r="B458" s="62"/>
      <c r="C458" s="98" t="str" cm="1">
        <f t="array" ref="C458">_xll.RssMarket(B458, "銘柄名称")</f>
        <v/>
      </c>
      <c r="D458" s="99" t="str">
        <f t="shared" si="15"/>
        <v/>
      </c>
    </row>
    <row r="459" spans="1:4" ht="20.100000000000001" customHeight="1">
      <c r="A459" s="101" t="str">
        <f t="shared" si="14"/>
        <v/>
      </c>
      <c r="B459" s="62"/>
      <c r="C459" s="98" t="str" cm="1">
        <f t="array" ref="C459">_xll.RssMarket(B459, "銘柄名称")</f>
        <v/>
      </c>
      <c r="D459" s="99" t="str">
        <f t="shared" si="15"/>
        <v/>
      </c>
    </row>
    <row r="460" spans="1:4" ht="20.100000000000001" customHeight="1">
      <c r="A460" s="101" t="str">
        <f t="shared" si="14"/>
        <v/>
      </c>
      <c r="B460" s="62"/>
      <c r="C460" s="98" t="str" cm="1">
        <f t="array" ref="C460">_xll.RssMarket(B460, "銘柄名称")</f>
        <v/>
      </c>
      <c r="D460" s="99" t="str">
        <f t="shared" si="15"/>
        <v/>
      </c>
    </row>
    <row r="461" spans="1:4" ht="20.100000000000001" customHeight="1">
      <c r="A461" s="101" t="str">
        <f t="shared" si="14"/>
        <v/>
      </c>
      <c r="B461" s="62"/>
      <c r="C461" s="98" t="str" cm="1">
        <f t="array" ref="C461">_xll.RssMarket(B461, "銘柄名称")</f>
        <v/>
      </c>
      <c r="D461" s="99" t="str">
        <f t="shared" si="15"/>
        <v/>
      </c>
    </row>
    <row r="462" spans="1:4" ht="20.100000000000001" customHeight="1">
      <c r="A462" s="101" t="str">
        <f t="shared" si="14"/>
        <v/>
      </c>
      <c r="B462" s="62"/>
      <c r="C462" s="98" t="str" cm="1">
        <f t="array" ref="C462">_xll.RssMarket(B462, "銘柄名称")</f>
        <v/>
      </c>
      <c r="D462" s="99" t="str">
        <f t="shared" si="15"/>
        <v/>
      </c>
    </row>
    <row r="463" spans="1:4" ht="20.100000000000001" customHeight="1">
      <c r="A463" s="101" t="str">
        <f t="shared" si="14"/>
        <v/>
      </c>
      <c r="B463" s="62"/>
      <c r="C463" s="98" t="str" cm="1">
        <f t="array" ref="C463">_xll.RssMarket(B463, "銘柄名称")</f>
        <v/>
      </c>
      <c r="D463" s="99" t="str">
        <f t="shared" si="15"/>
        <v/>
      </c>
    </row>
    <row r="464" spans="1:4" ht="20.100000000000001" customHeight="1">
      <c r="A464" s="101" t="str">
        <f t="shared" si="14"/>
        <v/>
      </c>
      <c r="B464" s="62"/>
      <c r="C464" s="98" t="str" cm="1">
        <f t="array" ref="C464">_xll.RssMarket(B464, "銘柄名称")</f>
        <v/>
      </c>
      <c r="D464" s="99" t="str">
        <f t="shared" si="15"/>
        <v/>
      </c>
    </row>
    <row r="465" spans="1:4" ht="20.100000000000001" customHeight="1">
      <c r="A465" s="101" t="str">
        <f t="shared" si="14"/>
        <v/>
      </c>
      <c r="B465" s="62"/>
      <c r="C465" s="98" t="str" cm="1">
        <f t="array" ref="C465">_xll.RssMarket(B465, "銘柄名称")</f>
        <v/>
      </c>
      <c r="D465" s="99" t="str">
        <f t="shared" si="15"/>
        <v/>
      </c>
    </row>
    <row r="466" spans="1:4" ht="20.100000000000001" customHeight="1">
      <c r="A466" s="101" t="str">
        <f t="shared" si="14"/>
        <v/>
      </c>
      <c r="B466" s="62"/>
      <c r="C466" s="98" t="str" cm="1">
        <f t="array" ref="C466">_xll.RssMarket(B466, "銘柄名称")</f>
        <v/>
      </c>
      <c r="D466" s="99" t="str">
        <f t="shared" si="15"/>
        <v/>
      </c>
    </row>
    <row r="467" spans="1:4" ht="20.100000000000001" customHeight="1">
      <c r="A467" s="101" t="str">
        <f t="shared" si="14"/>
        <v/>
      </c>
      <c r="B467" s="62"/>
      <c r="C467" s="98" t="str" cm="1">
        <f t="array" ref="C467">_xll.RssMarket(B467, "銘柄名称")</f>
        <v/>
      </c>
      <c r="D467" s="99" t="str">
        <f t="shared" si="15"/>
        <v/>
      </c>
    </row>
    <row r="468" spans="1:4" ht="20.100000000000001" customHeight="1">
      <c r="A468" s="101" t="str">
        <f t="shared" si="14"/>
        <v/>
      </c>
      <c r="B468" s="62"/>
      <c r="C468" s="98" t="str" cm="1">
        <f t="array" ref="C468">_xll.RssMarket(B468, "銘柄名称")</f>
        <v/>
      </c>
      <c r="D468" s="99" t="str">
        <f t="shared" si="15"/>
        <v/>
      </c>
    </row>
    <row r="469" spans="1:4" ht="20.100000000000001" customHeight="1">
      <c r="A469" s="101" t="str">
        <f t="shared" si="14"/>
        <v/>
      </c>
      <c r="B469" s="62"/>
      <c r="C469" s="98" t="str" cm="1">
        <f t="array" ref="C469">_xll.RssMarket(B469, "銘柄名称")</f>
        <v/>
      </c>
      <c r="D469" s="99" t="str">
        <f t="shared" si="15"/>
        <v/>
      </c>
    </row>
    <row r="470" spans="1:4" ht="20.100000000000001" customHeight="1">
      <c r="A470" s="101" t="str">
        <f t="shared" si="14"/>
        <v/>
      </c>
      <c r="B470" s="62"/>
      <c r="C470" s="98" t="str" cm="1">
        <f t="array" ref="C470">_xll.RssMarket(B470, "銘柄名称")</f>
        <v/>
      </c>
      <c r="D470" s="99" t="str">
        <f t="shared" si="15"/>
        <v/>
      </c>
    </row>
    <row r="471" spans="1:4" ht="20.100000000000001" customHeight="1">
      <c r="A471" s="101" t="str">
        <f t="shared" si="14"/>
        <v/>
      </c>
      <c r="B471" s="62"/>
      <c r="C471" s="98" t="str" cm="1">
        <f t="array" ref="C471">_xll.RssMarket(B471, "銘柄名称")</f>
        <v/>
      </c>
      <c r="D471" s="99" t="str">
        <f t="shared" si="15"/>
        <v/>
      </c>
    </row>
    <row r="472" spans="1:4" ht="20.100000000000001" customHeight="1">
      <c r="A472" s="101" t="str">
        <f t="shared" si="14"/>
        <v/>
      </c>
      <c r="B472" s="62"/>
      <c r="C472" s="98" t="str" cm="1">
        <f t="array" ref="C472">_xll.RssMarket(B472, "銘柄名称")</f>
        <v/>
      </c>
      <c r="D472" s="99" t="str">
        <f t="shared" si="15"/>
        <v/>
      </c>
    </row>
    <row r="473" spans="1:4" ht="20.100000000000001" customHeight="1">
      <c r="A473" s="101" t="str">
        <f t="shared" si="14"/>
        <v/>
      </c>
      <c r="B473" s="62"/>
      <c r="C473" s="98" t="str" cm="1">
        <f t="array" ref="C473">_xll.RssMarket(B473, "銘柄名称")</f>
        <v/>
      </c>
      <c r="D473" s="99" t="str">
        <f t="shared" si="15"/>
        <v/>
      </c>
    </row>
    <row r="474" spans="1:4" ht="20.100000000000001" customHeight="1">
      <c r="A474" s="101" t="str">
        <f t="shared" si="14"/>
        <v/>
      </c>
      <c r="B474" s="62"/>
      <c r="C474" s="98" t="str" cm="1">
        <f t="array" ref="C474">_xll.RssMarket(B474, "銘柄名称")</f>
        <v/>
      </c>
      <c r="D474" s="99" t="str">
        <f t="shared" si="15"/>
        <v/>
      </c>
    </row>
    <row r="475" spans="1:4" ht="20.100000000000001" customHeight="1">
      <c r="A475" s="101" t="str">
        <f t="shared" si="14"/>
        <v/>
      </c>
      <c r="B475" s="62"/>
      <c r="C475" s="98" t="str" cm="1">
        <f t="array" ref="C475">_xll.RssMarket(B475, "銘柄名称")</f>
        <v/>
      </c>
      <c r="D475" s="99" t="str">
        <f t="shared" si="15"/>
        <v/>
      </c>
    </row>
    <row r="476" spans="1:4" ht="20.100000000000001" customHeight="1">
      <c r="A476" s="101" t="str">
        <f t="shared" si="14"/>
        <v/>
      </c>
      <c r="B476" s="62"/>
      <c r="C476" s="98" t="str" cm="1">
        <f t="array" ref="C476">_xll.RssMarket(B476, "銘柄名称")</f>
        <v/>
      </c>
      <c r="D476" s="99" t="str">
        <f t="shared" si="15"/>
        <v/>
      </c>
    </row>
    <row r="477" spans="1:4" ht="20.100000000000001" customHeight="1">
      <c r="A477" s="101" t="str">
        <f t="shared" si="14"/>
        <v/>
      </c>
      <c r="B477" s="62"/>
      <c r="C477" s="98" t="str" cm="1">
        <f t="array" ref="C477">_xll.RssMarket(B477, "銘柄名称")</f>
        <v/>
      </c>
      <c r="D477" s="99" t="str">
        <f t="shared" si="15"/>
        <v/>
      </c>
    </row>
    <row r="478" spans="1:4" ht="20.100000000000001" customHeight="1">
      <c r="A478" s="101" t="str">
        <f t="shared" si="14"/>
        <v/>
      </c>
      <c r="B478" s="62"/>
      <c r="C478" s="98" t="str" cm="1">
        <f t="array" ref="C478">_xll.RssMarket(B478, "銘柄名称")</f>
        <v/>
      </c>
      <c r="D478" s="99" t="str">
        <f t="shared" si="15"/>
        <v/>
      </c>
    </row>
    <row r="479" spans="1:4" ht="20.100000000000001" customHeight="1">
      <c r="A479" s="101" t="str">
        <f t="shared" si="14"/>
        <v/>
      </c>
      <c r="B479" s="62"/>
      <c r="C479" s="98" t="str" cm="1">
        <f t="array" ref="C479">_xll.RssMarket(B479, "銘柄名称")</f>
        <v/>
      </c>
      <c r="D479" s="99" t="str">
        <f t="shared" si="15"/>
        <v/>
      </c>
    </row>
    <row r="480" spans="1:4" ht="20.100000000000001" customHeight="1">
      <c r="A480" s="101" t="str">
        <f t="shared" si="14"/>
        <v/>
      </c>
      <c r="B480" s="62"/>
      <c r="C480" s="98" t="str" cm="1">
        <f t="array" ref="C480">_xll.RssMarket(B480, "銘柄名称")</f>
        <v/>
      </c>
      <c r="D480" s="99" t="str">
        <f t="shared" si="15"/>
        <v/>
      </c>
    </row>
    <row r="481" spans="1:4" ht="20.100000000000001" customHeight="1">
      <c r="A481" s="101" t="str">
        <f t="shared" si="14"/>
        <v/>
      </c>
      <c r="B481" s="62"/>
      <c r="C481" s="98" t="str" cm="1">
        <f t="array" ref="C481">_xll.RssMarket(B481, "銘柄名称")</f>
        <v/>
      </c>
      <c r="D481" s="99" t="str">
        <f t="shared" si="15"/>
        <v/>
      </c>
    </row>
    <row r="482" spans="1:4" ht="20.100000000000001" customHeight="1">
      <c r="A482" s="101" t="str">
        <f t="shared" si="14"/>
        <v/>
      </c>
      <c r="B482" s="62"/>
      <c r="C482" s="98" t="str" cm="1">
        <f t="array" ref="C482">_xll.RssMarket(B482, "銘柄名称")</f>
        <v/>
      </c>
      <c r="D482" s="99" t="str">
        <f t="shared" si="15"/>
        <v/>
      </c>
    </row>
    <row r="483" spans="1:4" ht="20.100000000000001" customHeight="1">
      <c r="A483" s="101" t="str">
        <f t="shared" si="14"/>
        <v/>
      </c>
      <c r="B483" s="62"/>
      <c r="C483" s="98" t="str" cm="1">
        <f t="array" ref="C483">_xll.RssMarket(B483, "銘柄名称")</f>
        <v/>
      </c>
      <c r="D483" s="99" t="str">
        <f t="shared" si="15"/>
        <v/>
      </c>
    </row>
    <row r="484" spans="1:4" ht="20.100000000000001" customHeight="1">
      <c r="A484" s="101" t="str">
        <f t="shared" si="14"/>
        <v/>
      </c>
      <c r="B484" s="62"/>
      <c r="C484" s="98" t="str" cm="1">
        <f t="array" ref="C484">_xll.RssMarket(B484, "銘柄名称")</f>
        <v/>
      </c>
      <c r="D484" s="99" t="str">
        <f t="shared" si="15"/>
        <v/>
      </c>
    </row>
    <row r="485" spans="1:4" ht="20.100000000000001" customHeight="1">
      <c r="A485" s="101" t="str">
        <f t="shared" si="14"/>
        <v/>
      </c>
      <c r="B485" s="62"/>
      <c r="C485" s="98" t="str" cm="1">
        <f t="array" ref="C485">_xll.RssMarket(B485, "銘柄名称")</f>
        <v/>
      </c>
      <c r="D485" s="99" t="str">
        <f t="shared" si="15"/>
        <v/>
      </c>
    </row>
    <row r="486" spans="1:4" ht="20.100000000000001" customHeight="1">
      <c r="A486" s="101" t="str">
        <f t="shared" si="14"/>
        <v/>
      </c>
      <c r="B486" s="62"/>
      <c r="C486" s="98" t="str" cm="1">
        <f t="array" ref="C486">_xll.RssMarket(B486, "銘柄名称")</f>
        <v/>
      </c>
      <c r="D486" s="99" t="str">
        <f t="shared" si="15"/>
        <v/>
      </c>
    </row>
    <row r="487" spans="1:4" ht="20.100000000000001" customHeight="1">
      <c r="A487" s="101" t="str">
        <f t="shared" si="14"/>
        <v/>
      </c>
      <c r="B487" s="62"/>
      <c r="C487" s="98" t="str" cm="1">
        <f t="array" ref="C487">_xll.RssMarket(B487, "銘柄名称")</f>
        <v/>
      </c>
      <c r="D487" s="99" t="str">
        <f t="shared" si="15"/>
        <v/>
      </c>
    </row>
    <row r="488" spans="1:4" ht="20.100000000000001" customHeight="1">
      <c r="A488" s="101" t="str">
        <f t="shared" si="14"/>
        <v/>
      </c>
      <c r="B488" s="62"/>
      <c r="C488" s="98" t="str" cm="1">
        <f t="array" ref="C488">_xll.RssMarket(B488, "銘柄名称")</f>
        <v/>
      </c>
      <c r="D488" s="99" t="str">
        <f t="shared" si="15"/>
        <v/>
      </c>
    </row>
    <row r="489" spans="1:4" ht="20.100000000000001" customHeight="1">
      <c r="A489" s="101" t="str">
        <f t="shared" si="14"/>
        <v/>
      </c>
      <c r="B489" s="62"/>
      <c r="C489" s="98" t="str" cm="1">
        <f t="array" ref="C489">_xll.RssMarket(B489, "銘柄名称")</f>
        <v/>
      </c>
      <c r="D489" s="99" t="str">
        <f t="shared" si="15"/>
        <v/>
      </c>
    </row>
    <row r="490" spans="1:4" ht="20.100000000000001" customHeight="1">
      <c r="A490" s="101" t="str">
        <f t="shared" si="14"/>
        <v/>
      </c>
      <c r="B490" s="62"/>
      <c r="C490" s="98" t="str" cm="1">
        <f t="array" ref="C490">_xll.RssMarket(B490, "銘柄名称")</f>
        <v/>
      </c>
      <c r="D490" s="99" t="str">
        <f t="shared" si="15"/>
        <v/>
      </c>
    </row>
    <row r="491" spans="1:4" ht="20.100000000000001" customHeight="1">
      <c r="A491" s="101" t="str">
        <f t="shared" si="14"/>
        <v/>
      </c>
      <c r="B491" s="62"/>
      <c r="C491" s="98" t="str" cm="1">
        <f t="array" ref="C491">_xll.RssMarket(B491, "銘柄名称")</f>
        <v/>
      </c>
      <c r="D491" s="99" t="str">
        <f t="shared" si="15"/>
        <v/>
      </c>
    </row>
    <row r="492" spans="1:4" ht="20.100000000000001" customHeight="1">
      <c r="A492" s="101" t="str">
        <f t="shared" si="14"/>
        <v/>
      </c>
      <c r="B492" s="62"/>
      <c r="C492" s="98" t="str" cm="1">
        <f t="array" ref="C492">_xll.RssMarket(B492, "銘柄名称")</f>
        <v/>
      </c>
      <c r="D492" s="99" t="str">
        <f t="shared" si="15"/>
        <v/>
      </c>
    </row>
    <row r="493" spans="1:4" ht="20.100000000000001" customHeight="1">
      <c r="A493" s="101" t="str">
        <f t="shared" si="14"/>
        <v/>
      </c>
      <c r="B493" s="62"/>
      <c r="C493" s="98" t="str" cm="1">
        <f t="array" ref="C493">_xll.RssMarket(B493, "銘柄名称")</f>
        <v/>
      </c>
      <c r="D493" s="99" t="str">
        <f t="shared" si="15"/>
        <v/>
      </c>
    </row>
    <row r="494" spans="1:4" ht="20.100000000000001" customHeight="1">
      <c r="A494" s="101" t="str">
        <f t="shared" si="14"/>
        <v/>
      </c>
      <c r="B494" s="62"/>
      <c r="C494" s="98" t="str" cm="1">
        <f t="array" ref="C494">_xll.RssMarket(B494, "銘柄名称")</f>
        <v/>
      </c>
      <c r="D494" s="99" t="str">
        <f t="shared" si="15"/>
        <v/>
      </c>
    </row>
    <row r="495" spans="1:4" ht="20.100000000000001" customHeight="1">
      <c r="A495" s="101" t="str">
        <f t="shared" si="14"/>
        <v/>
      </c>
      <c r="B495" s="62"/>
      <c r="C495" s="98" t="str" cm="1">
        <f t="array" ref="C495">_xll.RssMarket(B495, "銘柄名称")</f>
        <v/>
      </c>
      <c r="D495" s="99" t="str">
        <f t="shared" si="15"/>
        <v/>
      </c>
    </row>
    <row r="496" spans="1:4" ht="20.100000000000001" customHeight="1">
      <c r="A496" s="101" t="str">
        <f t="shared" si="14"/>
        <v/>
      </c>
      <c r="B496" s="62"/>
      <c r="C496" s="98" t="str" cm="1">
        <f t="array" ref="C496">_xll.RssMarket(B496, "銘柄名称")</f>
        <v/>
      </c>
      <c r="D496" s="99" t="str">
        <f t="shared" si="15"/>
        <v/>
      </c>
    </row>
    <row r="497" spans="1:4" ht="20.100000000000001" customHeight="1">
      <c r="A497" s="101" t="str">
        <f t="shared" si="14"/>
        <v/>
      </c>
      <c r="B497" s="62"/>
      <c r="C497" s="98" t="str" cm="1">
        <f t="array" ref="C497">_xll.RssMarket(B497, "銘柄名称")</f>
        <v/>
      </c>
      <c r="D497" s="99" t="str">
        <f t="shared" si="15"/>
        <v/>
      </c>
    </row>
    <row r="498" spans="1:4" ht="20.100000000000001" customHeight="1">
      <c r="A498" s="101" t="str">
        <f t="shared" si="14"/>
        <v/>
      </c>
      <c r="B498" s="62"/>
      <c r="C498" s="98" t="str" cm="1">
        <f t="array" ref="C498">_xll.RssMarket(B498, "銘柄名称")</f>
        <v/>
      </c>
      <c r="D498" s="99" t="str">
        <f t="shared" si="15"/>
        <v/>
      </c>
    </row>
    <row r="499" spans="1:4" ht="20.100000000000001" customHeight="1">
      <c r="A499" s="101" t="str">
        <f t="shared" si="14"/>
        <v/>
      </c>
      <c r="B499" s="62"/>
      <c r="C499" s="98" t="str" cm="1">
        <f t="array" ref="C499">_xll.RssMarket(B499, "銘柄名称")</f>
        <v/>
      </c>
      <c r="D499" s="99" t="str">
        <f t="shared" si="15"/>
        <v/>
      </c>
    </row>
    <row r="500" spans="1:4" ht="20.100000000000001" customHeight="1">
      <c r="A500" s="101" t="str">
        <f t="shared" si="14"/>
        <v/>
      </c>
      <c r="B500" s="62"/>
      <c r="C500" s="98" t="str" cm="1">
        <f t="array" ref="C500">_xll.RssMarket(B500, "銘柄名称")</f>
        <v/>
      </c>
      <c r="D500" s="99" t="str">
        <f t="shared" si="15"/>
        <v/>
      </c>
    </row>
    <row r="501" spans="1:4" ht="20.100000000000001" customHeight="1">
      <c r="A501" s="101" t="str">
        <f t="shared" si="14"/>
        <v/>
      </c>
      <c r="B501" s="62"/>
      <c r="C501" s="98" t="str" cm="1">
        <f t="array" ref="C501">_xll.RssMarket(B501, "銘柄名称")</f>
        <v/>
      </c>
      <c r="D501" s="99" t="str">
        <f t="shared" si="15"/>
        <v/>
      </c>
    </row>
    <row r="502" spans="1:4" ht="20.100000000000001" customHeight="1">
      <c r="A502" s="101" t="str">
        <f t="shared" si="14"/>
        <v/>
      </c>
      <c r="B502" s="62"/>
      <c r="C502" s="98" t="str" cm="1">
        <f t="array" ref="C502">_xll.RssMarket(B502, "銘柄名称")</f>
        <v/>
      </c>
      <c r="D502" s="99" t="str">
        <f t="shared" si="15"/>
        <v/>
      </c>
    </row>
    <row r="503" spans="1:4" ht="20.100000000000001" customHeight="1">
      <c r="A503" s="101" t="str">
        <f t="shared" si="14"/>
        <v/>
      </c>
      <c r="B503" s="62"/>
      <c r="C503" s="98" t="str" cm="1">
        <f t="array" ref="C503">_xll.RssMarket(B503, "銘柄名称")</f>
        <v/>
      </c>
      <c r="D503" s="99" t="str">
        <f t="shared" si="15"/>
        <v/>
      </c>
    </row>
    <row r="504" spans="1:4" ht="20.100000000000001" customHeight="1">
      <c r="A504" s="101" t="str">
        <f t="shared" si="14"/>
        <v/>
      </c>
      <c r="B504" s="62"/>
      <c r="C504" s="98" t="str" cm="1">
        <f t="array" ref="C504">_xll.RssMarket(B504, "銘柄名称")</f>
        <v/>
      </c>
      <c r="D504" s="99" t="str">
        <f t="shared" si="15"/>
        <v/>
      </c>
    </row>
    <row r="505" spans="1:4" ht="20.100000000000001" customHeight="1">
      <c r="A505" s="104" t="str">
        <f t="shared" si="14"/>
        <v/>
      </c>
      <c r="B505" s="63"/>
      <c r="C505" s="98" t="str" cm="1">
        <f t="array" ref="C505">_xll.RssMarket(B505, "銘柄名称")</f>
        <v/>
      </c>
      <c r="D505" s="105" t="str">
        <f t="shared" si="15"/>
        <v/>
      </c>
    </row>
  </sheetData>
  <sheetProtection sort="0" autoFilter="0"/>
  <mergeCells count="2">
    <mergeCell ref="A1:D1"/>
    <mergeCell ref="A2:D2"/>
  </mergeCells>
  <phoneticPr fontId="16"/>
  <conditionalFormatting sqref="D5">
    <cfRule type="expression" dxfId="41" priority="1" stopIfTrue="1">
      <formula>$C$5&gt;$E$5</formula>
    </cfRule>
    <cfRule type="expression" dxfId="40" priority="2" stopIfTrue="1">
      <formula>$C$5&lt;$E$5</formula>
    </cfRule>
    <cfRule type="expression" dxfId="39" priority="3" stopIfTrue="1">
      <formula>$C$5=$E$5</formula>
    </cfRule>
  </conditionalFormatting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tn_買い抽出">
              <controlPr defaultSize="0" print="0" autoFill="0" autoPict="0" macro="[0]!株価抽出">
                <anchor moveWithCells="1" sizeWithCells="1">
                  <from>
                    <xdr:col>4</xdr:col>
                    <xdr:colOff>400050</xdr:colOff>
                    <xdr:row>0</xdr:row>
                    <xdr:rowOff>85725</xdr:rowOff>
                  </from>
                  <to>
                    <xdr:col>5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tn_銘柄追加">
              <controlPr defaultSize="0" print="0" autoFill="0" autoPict="0" macro="[0]!銘柄追加" altText="銘柄　追加">
                <anchor moveWithCells="1" sizeWithCells="1">
                  <from>
                    <xdr:col>8</xdr:col>
                    <xdr:colOff>19050</xdr:colOff>
                    <xdr:row>0</xdr:row>
                    <xdr:rowOff>123825</xdr:rowOff>
                  </from>
                  <to>
                    <xdr:col>10</xdr:col>
                    <xdr:colOff>247650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tn_銘柄削除">
              <controlPr defaultSize="0" print="0" autoFill="0" autoPict="0" macro="[0]!銘柄削除">
                <anchor moveWithCells="1" sizeWithCells="1">
                  <from>
                    <xdr:col>10</xdr:col>
                    <xdr:colOff>428625</xdr:colOff>
                    <xdr:row>0</xdr:row>
                    <xdr:rowOff>142875</xdr:rowOff>
                  </from>
                  <to>
                    <xdr:col>12</xdr:col>
                    <xdr:colOff>590550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tn_データ更新">
              <controlPr defaultSize="0" print="0" autoFill="0" autoPict="0" macro="[0]!日次更新_本日分">
                <anchor moveWithCells="1" sizeWithCells="1">
                  <from>
                    <xdr:col>5</xdr:col>
                    <xdr:colOff>466725</xdr:colOff>
                    <xdr:row>0</xdr:row>
                    <xdr:rowOff>104775</xdr:rowOff>
                  </from>
                  <to>
                    <xdr:col>7</xdr:col>
                    <xdr:colOff>457200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Y504"/>
  <sheetViews>
    <sheetView showGridLines="0" zoomScale="60" zoomScaleNormal="60" workbookViewId="0">
      <pane ySplit="3" topLeftCell="A4" activePane="bottomLeft" state="frozen"/>
      <selection activeCell="C162" sqref="C162"/>
      <selection pane="bottomLeft" activeCell="V37" sqref="V37"/>
    </sheetView>
  </sheetViews>
  <sheetFormatPr defaultRowHeight="27" customHeight="1"/>
  <cols>
    <col min="1" max="1" width="8" style="106" bestFit="1" customWidth="1"/>
    <col min="2" max="2" width="6.75" style="106" bestFit="1" customWidth="1"/>
    <col min="3" max="3" width="11.375" style="108" customWidth="1"/>
    <col min="4" max="4" width="26.375" style="107" customWidth="1"/>
    <col min="5" max="6" width="12.625" style="106" bestFit="1" customWidth="1"/>
    <col min="7" max="7" width="12.625" style="488" bestFit="1" customWidth="1"/>
    <col min="8" max="8" width="22" style="392" bestFit="1" customWidth="1"/>
    <col min="9" max="9" width="15.25" style="108" bestFit="1" customWidth="1"/>
    <col min="10" max="10" width="20.75" style="108" bestFit="1" customWidth="1"/>
    <col min="11" max="11" width="13" style="489" customWidth="1"/>
    <col min="12" max="12" width="12.5" style="106" customWidth="1"/>
    <col min="13" max="13" width="12.5" style="108" customWidth="1"/>
    <col min="14" max="14" width="27.75" style="108" bestFit="1" customWidth="1"/>
    <col min="15" max="15" width="13.5" style="106" bestFit="1" customWidth="1"/>
    <col min="16" max="16" width="14.5" style="106" bestFit="1" customWidth="1"/>
    <col min="17" max="17" width="17.25" style="108" customWidth="1"/>
    <col min="18" max="18" width="255.5" style="110" customWidth="1"/>
    <col min="19" max="19" width="11" bestFit="1" customWidth="1"/>
    <col min="20" max="20" width="14.875" bestFit="1" customWidth="1"/>
    <col min="21" max="21" width="11.625" bestFit="1" customWidth="1"/>
    <col min="22" max="22" width="15.375" bestFit="1" customWidth="1"/>
    <col min="23" max="16384" width="9" style="106"/>
  </cols>
  <sheetData>
    <row r="1" spans="1:25" ht="36" customHeight="1">
      <c r="A1" s="533" t="s">
        <v>48</v>
      </c>
      <c r="B1" s="534"/>
      <c r="C1" s="535"/>
      <c r="D1" s="535"/>
      <c r="E1" s="534"/>
      <c r="F1" s="534"/>
      <c r="G1" s="534"/>
      <c r="H1" s="534"/>
      <c r="I1" s="534"/>
      <c r="J1" s="534"/>
      <c r="K1" s="534"/>
      <c r="L1" s="534"/>
      <c r="M1" s="536"/>
      <c r="N1" s="536"/>
      <c r="O1" s="534"/>
      <c r="P1" s="534"/>
      <c r="Q1" s="109"/>
      <c r="R1" s="398"/>
      <c r="Y1" s="106" t="s">
        <v>816</v>
      </c>
    </row>
    <row r="2" spans="1:25" s="110" customFormat="1" ht="32.1" customHeight="1">
      <c r="A2" s="537" t="s">
        <v>1008</v>
      </c>
      <c r="B2" s="537"/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/>
      <c r="T2"/>
      <c r="U2"/>
      <c r="V2"/>
    </row>
    <row r="3" spans="1:25" s="175" customFormat="1" ht="33" customHeight="1">
      <c r="A3" s="388" t="s">
        <v>4</v>
      </c>
      <c r="B3" s="388" t="s">
        <v>6</v>
      </c>
      <c r="C3" s="477" t="s">
        <v>7</v>
      </c>
      <c r="D3" s="389" t="s">
        <v>8</v>
      </c>
      <c r="E3" s="390" t="s">
        <v>9</v>
      </c>
      <c r="F3" s="390" t="s">
        <v>10</v>
      </c>
      <c r="G3" s="390" t="s">
        <v>11</v>
      </c>
      <c r="H3" s="391" t="s">
        <v>49</v>
      </c>
      <c r="I3" s="388" t="s">
        <v>13</v>
      </c>
      <c r="J3" s="388" t="s">
        <v>14</v>
      </c>
      <c r="K3" s="477" t="s">
        <v>15</v>
      </c>
      <c r="L3" s="477" t="s">
        <v>16</v>
      </c>
      <c r="M3" s="388" t="s">
        <v>17</v>
      </c>
      <c r="N3" s="388" t="s">
        <v>18</v>
      </c>
      <c r="O3" s="476" t="s">
        <v>768</v>
      </c>
      <c r="P3" s="476" t="s">
        <v>20</v>
      </c>
      <c r="Q3" s="476" t="s">
        <v>802</v>
      </c>
      <c r="R3" s="399" t="s">
        <v>22</v>
      </c>
      <c r="S3"/>
      <c r="T3"/>
      <c r="U3"/>
      <c r="V3"/>
    </row>
    <row r="4" spans="1:25" s="176" customFormat="1" ht="33" customHeight="1">
      <c r="A4" s="393" t="str">
        <f>HYPERLINK("https://kabutan.jp/stock/?code="&amp;TEXT(C4,"0000"),"株探")</f>
        <v>株探</v>
      </c>
      <c r="B4" s="664"/>
      <c r="C4" s="665">
        <v>6920</v>
      </c>
      <c r="D4" s="666" t="s">
        <v>965</v>
      </c>
      <c r="E4" s="558">
        <v>52700</v>
      </c>
      <c r="F4" s="558">
        <v>52980</v>
      </c>
      <c r="G4" s="558">
        <v>45770</v>
      </c>
      <c r="H4" s="667">
        <v>7716500</v>
      </c>
      <c r="I4" s="668">
        <v>60.9</v>
      </c>
      <c r="J4" s="661" t="s">
        <v>779</v>
      </c>
      <c r="K4" s="560" t="s">
        <v>848</v>
      </c>
      <c r="L4" s="554" t="s">
        <v>993</v>
      </c>
      <c r="M4" s="560">
        <v>943.6</v>
      </c>
      <c r="N4" s="561" t="s">
        <v>849</v>
      </c>
      <c r="O4" s="557">
        <v>56916</v>
      </c>
      <c r="P4" s="557">
        <v>50592</v>
      </c>
      <c r="Q4" s="394">
        <v>17</v>
      </c>
      <c r="R4" s="554" t="s">
        <v>994</v>
      </c>
      <c r="S4"/>
      <c r="T4"/>
      <c r="U4"/>
      <c r="V4"/>
    </row>
    <row r="5" spans="1:25" s="110" customFormat="1" ht="33" customHeight="1">
      <c r="A5" s="393" t="str">
        <f>HYPERLINK("https://kabutan.jp/stock/?code="&amp;TEXT(C5,"0000"),"株探")</f>
        <v>株探</v>
      </c>
      <c r="B5" s="664"/>
      <c r="C5" s="665">
        <v>6507</v>
      </c>
      <c r="D5" s="666" t="s">
        <v>991</v>
      </c>
      <c r="E5" s="558">
        <v>15680</v>
      </c>
      <c r="F5" s="558">
        <v>15880</v>
      </c>
      <c r="G5" s="558">
        <v>14590</v>
      </c>
      <c r="H5" s="667">
        <v>248900</v>
      </c>
      <c r="I5" s="668">
        <v>51.9</v>
      </c>
      <c r="J5" s="661" t="s">
        <v>779</v>
      </c>
      <c r="K5" s="560" t="s">
        <v>848</v>
      </c>
      <c r="L5" s="554" t="s">
        <v>880</v>
      </c>
      <c r="M5" s="560">
        <v>14.03</v>
      </c>
      <c r="N5" s="560" t="s">
        <v>794</v>
      </c>
      <c r="O5" s="557">
        <v>16934</v>
      </c>
      <c r="P5" s="557">
        <v>15053</v>
      </c>
      <c r="Q5" s="394">
        <v>15</v>
      </c>
      <c r="R5" s="554" t="s">
        <v>992</v>
      </c>
      <c r="S5"/>
      <c r="T5"/>
      <c r="U5"/>
      <c r="V5"/>
    </row>
    <row r="6" spans="1:25" s="110" customFormat="1" ht="33" customHeight="1">
      <c r="A6" s="393" t="str">
        <f>HYPERLINK("https://kabutan.jp/stock/?code="&amp;TEXT(C6,"0000"),"株探")</f>
        <v>株探</v>
      </c>
      <c r="B6" s="396"/>
      <c r="C6" s="490">
        <v>3891</v>
      </c>
      <c r="D6" s="491" t="s">
        <v>963</v>
      </c>
      <c r="E6" s="397">
        <v>9980</v>
      </c>
      <c r="F6" s="397">
        <v>10110</v>
      </c>
      <c r="G6" s="478">
        <v>8780</v>
      </c>
      <c r="H6" s="492">
        <v>456000</v>
      </c>
      <c r="I6" s="395">
        <v>61.4</v>
      </c>
      <c r="J6" s="661" t="s">
        <v>779</v>
      </c>
      <c r="K6" s="395" t="s">
        <v>848</v>
      </c>
      <c r="L6" s="396" t="s">
        <v>989</v>
      </c>
      <c r="M6" s="396">
        <v>341.33</v>
      </c>
      <c r="N6" s="663" t="s">
        <v>964</v>
      </c>
      <c r="O6" s="397">
        <v>10778</v>
      </c>
      <c r="P6" s="397">
        <v>9581</v>
      </c>
      <c r="Q6" s="394">
        <v>14</v>
      </c>
      <c r="R6" s="396" t="s">
        <v>990</v>
      </c>
      <c r="S6"/>
      <c r="T6"/>
      <c r="U6"/>
      <c r="V6"/>
    </row>
    <row r="7" spans="1:25" s="110" customFormat="1" ht="33" customHeight="1">
      <c r="A7" s="393" t="str">
        <f>HYPERLINK("https://kabutan.jp/stock/?code="&amp;TEXT(C7,"0000"),"株探")</f>
        <v>株探</v>
      </c>
      <c r="B7" s="396"/>
      <c r="C7" s="490">
        <v>5333</v>
      </c>
      <c r="D7" s="491" t="s">
        <v>995</v>
      </c>
      <c r="E7" s="397">
        <v>6972</v>
      </c>
      <c r="F7" s="397">
        <v>6974</v>
      </c>
      <c r="G7" s="478">
        <v>6706</v>
      </c>
      <c r="H7" s="492">
        <v>1474400</v>
      </c>
      <c r="I7" s="395">
        <v>59.8</v>
      </c>
      <c r="J7" s="493" t="s">
        <v>826</v>
      </c>
      <c r="K7" s="395" t="s">
        <v>848</v>
      </c>
      <c r="L7" s="396" t="s">
        <v>857</v>
      </c>
      <c r="M7" s="396">
        <v>95.32</v>
      </c>
      <c r="N7" s="501" t="s">
        <v>996</v>
      </c>
      <c r="O7" s="397">
        <v>7530</v>
      </c>
      <c r="P7" s="397">
        <v>6693</v>
      </c>
      <c r="Q7" s="394">
        <v>11</v>
      </c>
      <c r="R7" s="396" t="s">
        <v>997</v>
      </c>
      <c r="S7"/>
      <c r="T7"/>
      <c r="U7"/>
      <c r="V7"/>
    </row>
    <row r="8" spans="1:25" s="110" customFormat="1" ht="33" customHeight="1">
      <c r="A8" s="393" t="str">
        <f>HYPERLINK("https://kabutan.jp/stock/?code="&amp;TEXT(C8,"0000"),"株探")</f>
        <v>株探</v>
      </c>
      <c r="B8" s="554"/>
      <c r="C8" s="555">
        <v>8308</v>
      </c>
      <c r="D8" s="556" t="s">
        <v>998</v>
      </c>
      <c r="E8" s="557">
        <v>2161.5</v>
      </c>
      <c r="F8" s="557">
        <v>2232.5</v>
      </c>
      <c r="G8" s="558">
        <v>2160.5</v>
      </c>
      <c r="H8" s="559">
        <v>10336500</v>
      </c>
      <c r="I8" s="560">
        <v>52.8</v>
      </c>
      <c r="J8" s="661" t="s">
        <v>779</v>
      </c>
      <c r="K8" s="560" t="s">
        <v>848</v>
      </c>
      <c r="L8" s="554" t="s">
        <v>961</v>
      </c>
      <c r="M8" s="554">
        <v>9.66</v>
      </c>
      <c r="N8" s="662" t="s">
        <v>964</v>
      </c>
      <c r="O8" s="557">
        <v>2334</v>
      </c>
      <c r="P8" s="557">
        <v>2075</v>
      </c>
      <c r="Q8" s="394">
        <v>11</v>
      </c>
      <c r="R8" s="554" t="s">
        <v>999</v>
      </c>
      <c r="S8"/>
      <c r="T8"/>
      <c r="U8"/>
      <c r="V8"/>
    </row>
    <row r="9" spans="1:25" s="110" customFormat="1" ht="33" customHeight="1">
      <c r="A9" s="393" t="str">
        <f>HYPERLINK("https://kabutan.jp/stock/?code="&amp;TEXT(C9,"0000"),"株探")</f>
        <v>株探</v>
      </c>
      <c r="B9" s="396"/>
      <c r="C9" s="490">
        <v>6323</v>
      </c>
      <c r="D9" s="491" t="s">
        <v>1000</v>
      </c>
      <c r="E9" s="397">
        <v>4554</v>
      </c>
      <c r="F9" s="397">
        <v>4580</v>
      </c>
      <c r="G9" s="478">
        <v>4305</v>
      </c>
      <c r="H9" s="492">
        <v>1602600</v>
      </c>
      <c r="I9" s="395">
        <v>60.1</v>
      </c>
      <c r="J9" s="661" t="s">
        <v>779</v>
      </c>
      <c r="K9" s="395" t="s">
        <v>848</v>
      </c>
      <c r="L9" s="396" t="s">
        <v>1001</v>
      </c>
      <c r="M9" s="396">
        <v>61.08</v>
      </c>
      <c r="N9" s="663" t="s">
        <v>964</v>
      </c>
      <c r="O9" s="397">
        <v>4918</v>
      </c>
      <c r="P9" s="397">
        <v>4372</v>
      </c>
      <c r="Q9" s="394">
        <v>11</v>
      </c>
      <c r="R9" s="396" t="s">
        <v>1002</v>
      </c>
      <c r="S9"/>
      <c r="T9"/>
      <c r="U9"/>
      <c r="V9"/>
    </row>
    <row r="10" spans="1:25" s="110" customFormat="1" ht="33" customHeight="1">
      <c r="A10" s="393" t="str">
        <f>HYPERLINK("https://kabutan.jp/stock/?code="&amp;TEXT(C10,"0000"),"株探")</f>
        <v>株探</v>
      </c>
      <c r="B10" s="554"/>
      <c r="C10" s="555">
        <v>6981</v>
      </c>
      <c r="D10" s="556" t="s">
        <v>1003</v>
      </c>
      <c r="E10" s="557">
        <v>10865</v>
      </c>
      <c r="F10" s="557">
        <v>11095</v>
      </c>
      <c r="G10" s="558">
        <v>10200</v>
      </c>
      <c r="H10" s="559">
        <v>31784100</v>
      </c>
      <c r="I10" s="560">
        <v>66.900000000000006</v>
      </c>
      <c r="J10" s="493" t="s">
        <v>826</v>
      </c>
      <c r="K10" s="560" t="s">
        <v>848</v>
      </c>
      <c r="L10" s="554" t="s">
        <v>1004</v>
      </c>
      <c r="M10" s="554">
        <v>427.94</v>
      </c>
      <c r="N10" s="662" t="s">
        <v>964</v>
      </c>
      <c r="O10" s="557">
        <v>11734</v>
      </c>
      <c r="P10" s="557">
        <v>10430</v>
      </c>
      <c r="Q10" s="394">
        <v>11</v>
      </c>
      <c r="R10" s="554" t="s">
        <v>1005</v>
      </c>
      <c r="S10"/>
      <c r="T10"/>
      <c r="U10"/>
      <c r="V10"/>
    </row>
    <row r="11" spans="1:25" s="110" customFormat="1" ht="33" customHeight="1">
      <c r="A11" s="393" t="str">
        <f>HYPERLINK("https://kabutan.jp/stock/?code="&amp;TEXT(C11,"0000"),"株探")</f>
        <v>株探</v>
      </c>
      <c r="B11" s="669"/>
      <c r="C11" s="670">
        <v>6890</v>
      </c>
      <c r="D11" s="671" t="s">
        <v>1006</v>
      </c>
      <c r="E11" s="478">
        <v>9440</v>
      </c>
      <c r="F11" s="478">
        <v>9500</v>
      </c>
      <c r="G11" s="478">
        <v>8990</v>
      </c>
      <c r="H11" s="672">
        <v>602200</v>
      </c>
      <c r="I11" s="673">
        <v>50.7</v>
      </c>
      <c r="J11" s="661" t="s">
        <v>779</v>
      </c>
      <c r="K11" s="395" t="s">
        <v>848</v>
      </c>
      <c r="L11" s="396" t="s">
        <v>975</v>
      </c>
      <c r="M11" s="395">
        <v>-21.72</v>
      </c>
      <c r="N11" s="395" t="s">
        <v>794</v>
      </c>
      <c r="O11" s="397">
        <v>10195</v>
      </c>
      <c r="P11" s="397">
        <v>9062</v>
      </c>
      <c r="Q11" s="394">
        <v>11</v>
      </c>
      <c r="R11" s="396" t="s">
        <v>1007</v>
      </c>
      <c r="S11"/>
      <c r="T11"/>
      <c r="U11"/>
      <c r="V11"/>
    </row>
    <row r="12" spans="1:25" s="110" customFormat="1" ht="33" customHeight="1">
      <c r="A12" s="562"/>
      <c r="B12" s="563"/>
      <c r="C12" s="564"/>
      <c r="D12" s="565"/>
      <c r="E12" s="566"/>
      <c r="F12" s="566"/>
      <c r="G12" s="567"/>
      <c r="H12" s="568"/>
      <c r="I12" s="569"/>
      <c r="J12" s="569"/>
      <c r="K12" s="569"/>
      <c r="L12" s="563"/>
      <c r="M12" s="563"/>
      <c r="N12" s="569"/>
      <c r="O12" s="566"/>
      <c r="P12" s="566"/>
      <c r="Q12" s="569"/>
      <c r="R12" s="563"/>
      <c r="S12"/>
      <c r="T12"/>
      <c r="U12"/>
      <c r="V12"/>
    </row>
    <row r="13" spans="1:25" s="110" customFormat="1" ht="33" customHeight="1">
      <c r="A13" s="562"/>
      <c r="B13" s="563"/>
      <c r="C13" s="564"/>
      <c r="D13" s="565"/>
      <c r="E13" s="566"/>
      <c r="F13" s="566"/>
      <c r="G13" s="567"/>
      <c r="H13" s="568"/>
      <c r="I13" s="569"/>
      <c r="J13" s="569"/>
      <c r="K13" s="569"/>
      <c r="L13" s="563"/>
      <c r="M13" s="563"/>
      <c r="N13" s="569"/>
      <c r="O13" s="566"/>
      <c r="P13" s="566"/>
      <c r="Q13" s="569"/>
      <c r="R13" s="563"/>
      <c r="S13"/>
      <c r="T13"/>
      <c r="U13"/>
      <c r="V13"/>
    </row>
    <row r="14" spans="1:25" s="110" customFormat="1" ht="33" customHeight="1">
      <c r="A14" s="562"/>
      <c r="B14" s="570"/>
      <c r="C14" s="571"/>
      <c r="D14" s="570"/>
      <c r="E14" s="567"/>
      <c r="F14" s="567"/>
      <c r="G14" s="567"/>
      <c r="H14" s="572"/>
      <c r="I14" s="573"/>
      <c r="J14" s="569"/>
      <c r="K14" s="569"/>
      <c r="L14" s="563"/>
      <c r="M14" s="569"/>
      <c r="N14" s="569"/>
      <c r="O14" s="566"/>
      <c r="P14" s="566"/>
      <c r="Q14" s="569"/>
      <c r="R14" s="563"/>
      <c r="S14"/>
      <c r="T14"/>
      <c r="U14"/>
      <c r="V14"/>
    </row>
    <row r="15" spans="1:25" s="110" customFormat="1" ht="33" customHeight="1">
      <c r="A15" s="562"/>
      <c r="B15" s="563"/>
      <c r="C15" s="564"/>
      <c r="D15" s="565"/>
      <c r="E15" s="566"/>
      <c r="F15" s="566"/>
      <c r="G15" s="567"/>
      <c r="H15" s="568"/>
      <c r="I15" s="569"/>
      <c r="J15" s="569"/>
      <c r="K15" s="569"/>
      <c r="L15" s="563"/>
      <c r="M15" s="563"/>
      <c r="N15" s="569"/>
      <c r="O15" s="566"/>
      <c r="P15" s="566"/>
      <c r="Q15" s="569"/>
      <c r="R15" s="563"/>
      <c r="S15"/>
      <c r="T15"/>
      <c r="U15"/>
      <c r="V15"/>
    </row>
    <row r="16" spans="1:25" s="110" customFormat="1" ht="33" customHeight="1">
      <c r="A16" s="562"/>
      <c r="B16" s="563"/>
      <c r="C16" s="564"/>
      <c r="D16" s="565"/>
      <c r="E16" s="566"/>
      <c r="F16" s="566"/>
      <c r="G16" s="567"/>
      <c r="H16" s="568"/>
      <c r="I16" s="569"/>
      <c r="J16" s="569"/>
      <c r="K16" s="569"/>
      <c r="L16" s="563"/>
      <c r="M16" s="563"/>
      <c r="N16" s="569"/>
      <c r="O16" s="566"/>
      <c r="P16" s="566"/>
      <c r="Q16" s="569"/>
      <c r="R16" s="563"/>
      <c r="S16"/>
      <c r="T16"/>
      <c r="U16"/>
      <c r="V16"/>
    </row>
    <row r="17" spans="1:22" s="110" customFormat="1" ht="33" customHeight="1">
      <c r="A17" s="562"/>
      <c r="B17" s="563"/>
      <c r="C17" s="564"/>
      <c r="D17" s="565"/>
      <c r="E17" s="566"/>
      <c r="F17" s="566"/>
      <c r="G17" s="567"/>
      <c r="H17" s="568"/>
      <c r="I17" s="569"/>
      <c r="J17" s="569"/>
      <c r="K17" s="574"/>
      <c r="L17" s="563"/>
      <c r="M17" s="563"/>
      <c r="N17" s="569"/>
      <c r="O17" s="566"/>
      <c r="P17" s="566"/>
      <c r="Q17" s="569"/>
      <c r="R17" s="563"/>
      <c r="S17"/>
      <c r="T17"/>
      <c r="U17"/>
      <c r="V17"/>
    </row>
    <row r="18" spans="1:22" s="110" customFormat="1" ht="33" customHeight="1">
      <c r="A18" s="562"/>
      <c r="B18" s="570"/>
      <c r="C18" s="571"/>
      <c r="D18" s="570"/>
      <c r="E18" s="567"/>
      <c r="F18" s="567"/>
      <c r="G18" s="567"/>
      <c r="H18" s="572"/>
      <c r="I18" s="573"/>
      <c r="J18" s="569"/>
      <c r="K18" s="574"/>
      <c r="L18" s="563"/>
      <c r="M18" s="569"/>
      <c r="N18" s="569"/>
      <c r="O18" s="566"/>
      <c r="P18" s="566"/>
      <c r="Q18" s="569"/>
      <c r="R18" s="563"/>
      <c r="S18"/>
      <c r="T18"/>
      <c r="U18"/>
      <c r="V18"/>
    </row>
    <row r="19" spans="1:22" s="110" customFormat="1" ht="33" customHeight="1">
      <c r="A19" s="562"/>
      <c r="B19" s="570"/>
      <c r="C19" s="571"/>
      <c r="D19" s="570"/>
      <c r="E19" s="567"/>
      <c r="F19" s="567"/>
      <c r="G19" s="567"/>
      <c r="H19" s="572"/>
      <c r="I19" s="573"/>
      <c r="J19" s="569"/>
      <c r="K19" s="574"/>
      <c r="L19" s="563"/>
      <c r="M19" s="569"/>
      <c r="N19" s="569"/>
      <c r="O19" s="566"/>
      <c r="P19" s="566"/>
      <c r="Q19" s="569"/>
      <c r="R19" s="575"/>
      <c r="S19"/>
      <c r="T19"/>
      <c r="U19"/>
      <c r="V19"/>
    </row>
    <row r="20" spans="1:22" s="110" customFormat="1" ht="33" customHeight="1">
      <c r="A20" s="562"/>
      <c r="B20" s="563"/>
      <c r="C20" s="564"/>
      <c r="D20" s="565"/>
      <c r="E20" s="566"/>
      <c r="F20" s="566"/>
      <c r="G20" s="567"/>
      <c r="H20" s="568"/>
      <c r="I20" s="569"/>
      <c r="J20" s="569"/>
      <c r="K20" s="574"/>
      <c r="L20" s="563"/>
      <c r="M20" s="563"/>
      <c r="N20" s="569"/>
      <c r="O20" s="566"/>
      <c r="P20" s="566"/>
      <c r="Q20" s="569"/>
      <c r="R20" s="563"/>
      <c r="S20"/>
      <c r="T20"/>
      <c r="U20"/>
      <c r="V20"/>
    </row>
    <row r="21" spans="1:22" s="110" customFormat="1" ht="33" customHeight="1">
      <c r="A21" s="562"/>
      <c r="B21" s="570"/>
      <c r="C21" s="571"/>
      <c r="D21" s="570"/>
      <c r="E21" s="567"/>
      <c r="F21" s="567"/>
      <c r="G21" s="567"/>
      <c r="H21" s="572"/>
      <c r="I21" s="573"/>
      <c r="J21" s="569"/>
      <c r="K21" s="574"/>
      <c r="L21" s="563"/>
      <c r="M21" s="569"/>
      <c r="N21" s="569"/>
      <c r="O21" s="566"/>
      <c r="P21" s="566"/>
      <c r="Q21" s="569"/>
      <c r="R21" s="563"/>
      <c r="S21"/>
      <c r="T21"/>
      <c r="U21"/>
      <c r="V21"/>
    </row>
    <row r="22" spans="1:22" s="110" customFormat="1" ht="33" customHeight="1">
      <c r="A22" s="562"/>
      <c r="B22" s="570"/>
      <c r="C22" s="571"/>
      <c r="D22" s="570"/>
      <c r="E22" s="567"/>
      <c r="F22" s="567"/>
      <c r="G22" s="567"/>
      <c r="H22" s="572"/>
      <c r="I22" s="573"/>
      <c r="J22" s="569"/>
      <c r="K22" s="574"/>
      <c r="L22" s="563"/>
      <c r="M22" s="569"/>
      <c r="N22" s="569"/>
      <c r="O22" s="566"/>
      <c r="P22" s="566"/>
      <c r="Q22" s="569"/>
      <c r="R22" s="563"/>
      <c r="S22"/>
      <c r="T22"/>
      <c r="U22"/>
      <c r="V22"/>
    </row>
    <row r="23" spans="1:22" s="110" customFormat="1" ht="33" customHeight="1">
      <c r="A23" s="562"/>
      <c r="B23" s="570"/>
      <c r="C23" s="571"/>
      <c r="D23" s="570"/>
      <c r="E23" s="567"/>
      <c r="F23" s="567"/>
      <c r="G23" s="567"/>
      <c r="H23" s="572"/>
      <c r="I23" s="573"/>
      <c r="J23" s="569"/>
      <c r="K23" s="574"/>
      <c r="L23" s="563"/>
      <c r="M23" s="569"/>
      <c r="N23" s="569"/>
      <c r="O23" s="566"/>
      <c r="P23" s="566"/>
      <c r="Q23" s="569"/>
      <c r="R23" s="563"/>
      <c r="S23"/>
      <c r="T23"/>
      <c r="U23"/>
      <c r="V23"/>
    </row>
    <row r="24" spans="1:22" s="110" customFormat="1" ht="33" customHeight="1">
      <c r="A24" s="562"/>
      <c r="B24" s="563"/>
      <c r="C24" s="564"/>
      <c r="D24" s="565"/>
      <c r="E24" s="566"/>
      <c r="F24" s="566"/>
      <c r="G24" s="567"/>
      <c r="H24" s="568"/>
      <c r="I24" s="569"/>
      <c r="J24" s="569"/>
      <c r="K24" s="574"/>
      <c r="L24" s="563"/>
      <c r="M24" s="563"/>
      <c r="N24" s="569"/>
      <c r="O24" s="566"/>
      <c r="P24" s="566"/>
      <c r="Q24" s="569"/>
      <c r="R24" s="563"/>
      <c r="S24"/>
      <c r="T24"/>
      <c r="U24"/>
      <c r="V24"/>
    </row>
    <row r="25" spans="1:22" s="110" customFormat="1" ht="33" customHeight="1">
      <c r="A25" s="562"/>
      <c r="B25" s="570"/>
      <c r="C25" s="571"/>
      <c r="D25" s="570"/>
      <c r="E25" s="567"/>
      <c r="F25" s="567"/>
      <c r="G25" s="567"/>
      <c r="H25" s="572"/>
      <c r="I25" s="573"/>
      <c r="J25" s="569"/>
      <c r="K25" s="574"/>
      <c r="L25" s="563"/>
      <c r="M25" s="569"/>
      <c r="N25" s="569"/>
      <c r="O25" s="566"/>
      <c r="P25" s="566"/>
      <c r="Q25" s="569"/>
      <c r="R25" s="575"/>
      <c r="S25"/>
      <c r="T25"/>
      <c r="U25"/>
      <c r="V25"/>
    </row>
    <row r="26" spans="1:22" s="110" customFormat="1" ht="33" customHeight="1">
      <c r="A26" s="562"/>
      <c r="B26" s="570"/>
      <c r="C26" s="571"/>
      <c r="D26" s="570"/>
      <c r="E26" s="567"/>
      <c r="F26" s="567"/>
      <c r="G26" s="567"/>
      <c r="H26" s="572"/>
      <c r="I26" s="573"/>
      <c r="J26" s="569"/>
      <c r="K26" s="574"/>
      <c r="L26" s="563"/>
      <c r="M26" s="569"/>
      <c r="N26" s="569"/>
      <c r="O26" s="566"/>
      <c r="P26" s="566"/>
      <c r="Q26" s="569"/>
      <c r="R26" s="563"/>
      <c r="S26"/>
      <c r="T26"/>
      <c r="U26"/>
      <c r="V26"/>
    </row>
    <row r="27" spans="1:22" s="110" customFormat="1" ht="33" customHeight="1">
      <c r="A27" s="562"/>
      <c r="B27" s="563"/>
      <c r="C27" s="564"/>
      <c r="D27" s="565"/>
      <c r="E27" s="566"/>
      <c r="F27" s="566"/>
      <c r="G27" s="567"/>
      <c r="H27" s="568"/>
      <c r="I27" s="569"/>
      <c r="J27" s="569"/>
      <c r="K27" s="574"/>
      <c r="L27" s="563"/>
      <c r="M27" s="563"/>
      <c r="N27" s="569"/>
      <c r="O27" s="566"/>
      <c r="P27" s="566"/>
      <c r="Q27" s="569"/>
      <c r="R27" s="563"/>
      <c r="S27"/>
      <c r="T27"/>
      <c r="U27"/>
      <c r="V27"/>
    </row>
    <row r="28" spans="1:22" s="110" customFormat="1" ht="33" customHeight="1">
      <c r="A28" s="562"/>
      <c r="B28" s="570"/>
      <c r="C28" s="571"/>
      <c r="D28" s="570"/>
      <c r="E28" s="567"/>
      <c r="F28" s="567"/>
      <c r="G28" s="567"/>
      <c r="H28" s="572"/>
      <c r="I28" s="573"/>
      <c r="J28" s="569"/>
      <c r="K28" s="574"/>
      <c r="L28" s="563"/>
      <c r="M28" s="569"/>
      <c r="N28" s="569"/>
      <c r="O28" s="566"/>
      <c r="P28" s="566"/>
      <c r="Q28" s="569"/>
      <c r="R28" s="563"/>
      <c r="S28"/>
      <c r="T28"/>
      <c r="U28"/>
      <c r="V28"/>
    </row>
    <row r="29" spans="1:22" s="110" customFormat="1" ht="33" customHeight="1">
      <c r="A29" s="562"/>
      <c r="B29" s="563"/>
      <c r="C29" s="564"/>
      <c r="D29" s="565"/>
      <c r="E29" s="566"/>
      <c r="F29" s="566"/>
      <c r="G29" s="567"/>
      <c r="H29" s="568"/>
      <c r="I29" s="569"/>
      <c r="J29" s="569"/>
      <c r="K29" s="574"/>
      <c r="L29" s="563"/>
      <c r="M29" s="563"/>
      <c r="N29" s="569"/>
      <c r="O29" s="566"/>
      <c r="P29" s="566"/>
      <c r="Q29" s="569"/>
      <c r="R29" s="563"/>
      <c r="S29"/>
      <c r="T29"/>
      <c r="U29"/>
      <c r="V29"/>
    </row>
    <row r="30" spans="1:22" s="175" customFormat="1" ht="33" customHeight="1">
      <c r="A30" s="562"/>
      <c r="B30" s="570"/>
      <c r="C30" s="571"/>
      <c r="D30" s="570"/>
      <c r="E30" s="567"/>
      <c r="F30" s="567"/>
      <c r="G30" s="567"/>
      <c r="H30" s="572"/>
      <c r="I30" s="573"/>
      <c r="J30" s="569"/>
      <c r="K30" s="574"/>
      <c r="L30" s="563"/>
      <c r="M30" s="569"/>
      <c r="N30" s="569"/>
      <c r="O30" s="566"/>
      <c r="P30" s="566"/>
      <c r="Q30" s="569"/>
      <c r="R30" s="563"/>
      <c r="S30"/>
      <c r="T30"/>
      <c r="U30"/>
      <c r="V30"/>
    </row>
    <row r="31" spans="1:22" s="175" customFormat="1" ht="33" customHeight="1">
      <c r="A31" s="562"/>
      <c r="B31" s="563"/>
      <c r="C31" s="564"/>
      <c r="D31" s="565"/>
      <c r="E31" s="566"/>
      <c r="F31" s="566"/>
      <c r="G31" s="567"/>
      <c r="H31" s="568"/>
      <c r="I31" s="569"/>
      <c r="J31" s="569"/>
      <c r="K31" s="574"/>
      <c r="L31" s="563"/>
      <c r="M31" s="563"/>
      <c r="N31" s="569"/>
      <c r="O31" s="566"/>
      <c r="P31" s="566"/>
      <c r="Q31" s="569"/>
      <c r="R31" s="563"/>
      <c r="S31"/>
      <c r="T31"/>
      <c r="U31"/>
      <c r="V31"/>
    </row>
    <row r="32" spans="1:22" s="175" customFormat="1" ht="33" customHeight="1">
      <c r="A32" s="562"/>
      <c r="B32" s="570"/>
      <c r="C32" s="571"/>
      <c r="D32" s="570"/>
      <c r="E32" s="567"/>
      <c r="F32" s="567"/>
      <c r="G32" s="567"/>
      <c r="H32" s="572"/>
      <c r="I32" s="573"/>
      <c r="J32" s="569"/>
      <c r="K32" s="574"/>
      <c r="L32" s="563"/>
      <c r="M32" s="569"/>
      <c r="N32" s="569"/>
      <c r="O32" s="566"/>
      <c r="P32" s="566"/>
      <c r="Q32" s="569"/>
      <c r="R32" s="563"/>
      <c r="S32"/>
      <c r="T32"/>
      <c r="U32"/>
      <c r="V32"/>
    </row>
    <row r="33" spans="1:22" s="175" customFormat="1" ht="33" customHeight="1">
      <c r="A33" s="562"/>
      <c r="B33" s="570"/>
      <c r="C33" s="571"/>
      <c r="D33" s="570"/>
      <c r="E33" s="567"/>
      <c r="F33" s="567"/>
      <c r="G33" s="567"/>
      <c r="H33" s="572"/>
      <c r="I33" s="573"/>
      <c r="J33" s="569"/>
      <c r="K33" s="574"/>
      <c r="L33" s="563"/>
      <c r="M33" s="569"/>
      <c r="N33" s="569"/>
      <c r="O33" s="566"/>
      <c r="P33" s="566"/>
      <c r="Q33" s="569"/>
      <c r="R33" s="563"/>
      <c r="S33"/>
      <c r="T33"/>
      <c r="U33"/>
      <c r="V33"/>
    </row>
    <row r="34" spans="1:22" s="175" customFormat="1" ht="33" customHeight="1">
      <c r="A34" s="562"/>
      <c r="B34" s="563"/>
      <c r="C34" s="564"/>
      <c r="D34" s="565"/>
      <c r="E34" s="566"/>
      <c r="F34" s="566"/>
      <c r="G34" s="567"/>
      <c r="H34" s="568"/>
      <c r="I34" s="569"/>
      <c r="J34" s="569"/>
      <c r="K34" s="574"/>
      <c r="L34" s="563"/>
      <c r="M34" s="563"/>
      <c r="N34" s="569"/>
      <c r="O34" s="566"/>
      <c r="P34" s="566"/>
      <c r="Q34" s="569"/>
      <c r="R34" s="563"/>
      <c r="S34"/>
      <c r="T34"/>
      <c r="U34"/>
      <c r="V34"/>
    </row>
    <row r="35" spans="1:22" s="175" customFormat="1" ht="33" customHeight="1">
      <c r="A35" s="562"/>
      <c r="B35" s="570"/>
      <c r="C35" s="571"/>
      <c r="D35" s="570"/>
      <c r="E35" s="567"/>
      <c r="F35" s="567"/>
      <c r="G35" s="567"/>
      <c r="H35" s="572"/>
      <c r="I35" s="573"/>
      <c r="J35" s="569"/>
      <c r="K35" s="574"/>
      <c r="L35" s="563"/>
      <c r="M35" s="569"/>
      <c r="N35" s="569"/>
      <c r="O35" s="566"/>
      <c r="P35" s="566"/>
      <c r="Q35" s="569"/>
      <c r="R35" s="563"/>
      <c r="S35"/>
      <c r="T35"/>
      <c r="U35"/>
      <c r="V35"/>
    </row>
    <row r="36" spans="1:22" s="175" customFormat="1" ht="33" customHeight="1">
      <c r="A36" s="562"/>
      <c r="B36" s="570"/>
      <c r="C36" s="571"/>
      <c r="D36" s="570"/>
      <c r="E36" s="567"/>
      <c r="F36" s="567"/>
      <c r="G36" s="567"/>
      <c r="H36" s="572"/>
      <c r="I36" s="573"/>
      <c r="J36" s="569"/>
      <c r="K36" s="574"/>
      <c r="L36" s="563"/>
      <c r="M36" s="569"/>
      <c r="N36" s="569"/>
      <c r="O36" s="566"/>
      <c r="P36" s="566"/>
      <c r="Q36" s="569"/>
      <c r="R36" s="563"/>
      <c r="S36"/>
      <c r="T36"/>
      <c r="U36"/>
      <c r="V36"/>
    </row>
    <row r="37" spans="1:22" s="175" customFormat="1" ht="33" customHeight="1">
      <c r="A37" s="562"/>
      <c r="B37" s="570"/>
      <c r="C37" s="571"/>
      <c r="D37" s="576"/>
      <c r="E37" s="567"/>
      <c r="F37" s="567"/>
      <c r="G37" s="567"/>
      <c r="H37" s="572"/>
      <c r="I37" s="573"/>
      <c r="J37" s="569"/>
      <c r="K37" s="574"/>
      <c r="L37" s="563"/>
      <c r="M37" s="569"/>
      <c r="N37" s="569"/>
      <c r="O37" s="566"/>
      <c r="P37" s="566"/>
      <c r="Q37" s="569"/>
      <c r="R37" s="563"/>
      <c r="S37"/>
      <c r="T37"/>
      <c r="U37"/>
      <c r="V37"/>
    </row>
    <row r="38" spans="1:22" ht="27" customHeight="1">
      <c r="A38" s="562"/>
      <c r="B38" s="563"/>
      <c r="C38" s="564"/>
      <c r="D38" s="565"/>
      <c r="E38" s="566"/>
      <c r="F38" s="566"/>
      <c r="G38" s="567"/>
      <c r="H38" s="568"/>
      <c r="I38" s="569"/>
      <c r="J38" s="569"/>
      <c r="K38" s="574"/>
      <c r="L38" s="563"/>
      <c r="M38" s="563"/>
      <c r="N38" s="569"/>
      <c r="O38" s="566"/>
      <c r="P38" s="566"/>
      <c r="Q38" s="569"/>
      <c r="R38" s="563"/>
    </row>
    <row r="39" spans="1:22" ht="27" customHeight="1">
      <c r="A39" s="562"/>
      <c r="B39" s="570"/>
      <c r="C39" s="571"/>
      <c r="D39" s="570"/>
      <c r="E39" s="567"/>
      <c r="F39" s="567"/>
      <c r="G39" s="567"/>
      <c r="H39" s="572"/>
      <c r="I39" s="573"/>
      <c r="J39" s="569"/>
      <c r="K39" s="574"/>
      <c r="L39" s="563"/>
      <c r="M39" s="569"/>
      <c r="N39" s="569"/>
      <c r="O39" s="566"/>
      <c r="P39" s="566"/>
      <c r="Q39" s="569"/>
      <c r="R39" s="563"/>
    </row>
    <row r="40" spans="1:22" ht="27" customHeight="1">
      <c r="A40" s="562"/>
      <c r="B40" s="570"/>
      <c r="C40" s="571"/>
      <c r="D40" s="570"/>
      <c r="E40" s="567"/>
      <c r="F40" s="567"/>
      <c r="G40" s="567"/>
      <c r="H40" s="572"/>
      <c r="I40" s="573"/>
      <c r="J40" s="569"/>
      <c r="K40" s="574"/>
      <c r="L40" s="563"/>
      <c r="M40" s="569"/>
      <c r="N40" s="569"/>
      <c r="O40" s="566"/>
      <c r="P40" s="566"/>
      <c r="Q40" s="569"/>
      <c r="R40" s="563"/>
    </row>
    <row r="41" spans="1:22" ht="27" customHeight="1">
      <c r="A41" s="562"/>
      <c r="B41" s="563"/>
      <c r="C41" s="564"/>
      <c r="D41" s="565"/>
      <c r="E41" s="566"/>
      <c r="F41" s="566"/>
      <c r="G41" s="567"/>
      <c r="H41" s="568"/>
      <c r="I41" s="569"/>
      <c r="J41" s="569"/>
      <c r="K41" s="574"/>
      <c r="L41" s="563"/>
      <c r="M41" s="563"/>
      <c r="N41" s="569"/>
      <c r="O41" s="566"/>
      <c r="P41" s="566"/>
      <c r="Q41" s="569"/>
      <c r="R41" s="563"/>
    </row>
    <row r="42" spans="1:22" ht="27" customHeight="1">
      <c r="A42" s="562"/>
      <c r="B42" s="570"/>
      <c r="C42" s="571"/>
      <c r="D42" s="570"/>
      <c r="E42" s="567"/>
      <c r="F42" s="567"/>
      <c r="G42" s="567"/>
      <c r="H42" s="572"/>
      <c r="I42" s="573"/>
      <c r="J42" s="569"/>
      <c r="K42" s="574"/>
      <c r="L42" s="563"/>
      <c r="M42" s="569"/>
      <c r="N42" s="569"/>
      <c r="O42" s="566"/>
      <c r="P42" s="566"/>
      <c r="Q42" s="569"/>
      <c r="R42" s="563"/>
    </row>
    <row r="43" spans="1:22" ht="27" customHeight="1">
      <c r="A43" s="562"/>
      <c r="B43" s="570"/>
      <c r="C43" s="571"/>
      <c r="D43" s="570"/>
      <c r="E43" s="567"/>
      <c r="F43" s="567"/>
      <c r="G43" s="567"/>
      <c r="H43" s="572"/>
      <c r="I43" s="573"/>
      <c r="J43" s="569"/>
      <c r="K43" s="574"/>
      <c r="L43" s="563"/>
      <c r="M43" s="569"/>
      <c r="N43" s="569"/>
      <c r="O43" s="566"/>
      <c r="P43" s="566"/>
      <c r="Q43" s="569"/>
      <c r="R43" s="563"/>
    </row>
    <row r="44" spans="1:22" ht="27" customHeight="1">
      <c r="A44" s="562"/>
      <c r="B44" s="573"/>
      <c r="C44" s="571"/>
      <c r="D44" s="570"/>
      <c r="E44" s="567"/>
      <c r="F44" s="567"/>
      <c r="G44" s="567"/>
      <c r="H44" s="572"/>
      <c r="I44" s="573"/>
      <c r="J44" s="569"/>
      <c r="K44" s="574"/>
      <c r="L44" s="563"/>
      <c r="M44" s="569"/>
      <c r="N44" s="569"/>
      <c r="O44" s="566"/>
      <c r="P44" s="566"/>
      <c r="Q44" s="569"/>
      <c r="R44" s="563"/>
    </row>
    <row r="45" spans="1:22" ht="27" customHeight="1">
      <c r="A45" s="562"/>
      <c r="B45" s="563"/>
      <c r="C45" s="564"/>
      <c r="D45" s="565"/>
      <c r="E45" s="566"/>
      <c r="F45" s="566"/>
      <c r="G45" s="567"/>
      <c r="H45" s="568"/>
      <c r="I45" s="569"/>
      <c r="J45" s="569"/>
      <c r="K45" s="574"/>
      <c r="L45" s="563"/>
      <c r="M45" s="563"/>
      <c r="N45" s="569"/>
      <c r="O45" s="566"/>
      <c r="P45" s="566"/>
      <c r="Q45" s="569"/>
      <c r="R45" s="563"/>
    </row>
    <row r="46" spans="1:22" ht="27" customHeight="1">
      <c r="A46" s="562"/>
      <c r="B46" s="570"/>
      <c r="C46" s="571"/>
      <c r="D46" s="570"/>
      <c r="E46" s="567"/>
      <c r="F46" s="567"/>
      <c r="G46" s="567"/>
      <c r="H46" s="572"/>
      <c r="I46" s="573"/>
      <c r="J46" s="569"/>
      <c r="K46" s="574"/>
      <c r="L46" s="563"/>
      <c r="M46" s="569"/>
      <c r="N46" s="569"/>
      <c r="O46" s="566"/>
      <c r="P46" s="566"/>
      <c r="Q46" s="569"/>
      <c r="R46" s="563"/>
    </row>
    <row r="47" spans="1:22" ht="27" customHeight="1">
      <c r="A47" s="562"/>
      <c r="B47" s="570"/>
      <c r="C47" s="571"/>
      <c r="D47" s="570"/>
      <c r="E47" s="567"/>
      <c r="F47" s="567"/>
      <c r="G47" s="567"/>
      <c r="H47" s="572"/>
      <c r="I47" s="573"/>
      <c r="J47" s="569"/>
      <c r="K47" s="574"/>
      <c r="L47" s="563"/>
      <c r="M47" s="569"/>
      <c r="N47" s="569"/>
      <c r="O47" s="566"/>
      <c r="P47" s="566"/>
      <c r="Q47" s="569"/>
      <c r="R47" s="563"/>
    </row>
    <row r="48" spans="1:22" ht="27" customHeight="1">
      <c r="A48" s="562"/>
      <c r="B48" s="570"/>
      <c r="C48" s="571"/>
      <c r="D48" s="570"/>
      <c r="E48" s="567"/>
      <c r="F48" s="567"/>
      <c r="G48" s="567"/>
      <c r="H48" s="572"/>
      <c r="I48" s="573"/>
      <c r="J48" s="569"/>
      <c r="K48" s="574"/>
      <c r="L48" s="563"/>
      <c r="M48" s="569"/>
      <c r="N48" s="569"/>
      <c r="O48" s="566"/>
      <c r="P48" s="566"/>
      <c r="Q48" s="569"/>
      <c r="R48" s="577"/>
    </row>
    <row r="49" spans="1:18" ht="27" customHeight="1">
      <c r="A49" s="562"/>
      <c r="B49" s="563"/>
      <c r="C49" s="564"/>
      <c r="D49" s="565"/>
      <c r="E49" s="566"/>
      <c r="F49" s="566"/>
      <c r="G49" s="567"/>
      <c r="H49" s="568"/>
      <c r="I49" s="569"/>
      <c r="J49" s="569"/>
      <c r="K49" s="574"/>
      <c r="L49" s="563"/>
      <c r="M49" s="563"/>
      <c r="N49" s="569"/>
      <c r="O49" s="566"/>
      <c r="P49" s="566"/>
      <c r="Q49" s="569"/>
      <c r="R49" s="577"/>
    </row>
    <row r="50" spans="1:18" ht="27" customHeight="1">
      <c r="A50" s="562"/>
      <c r="B50" s="563"/>
      <c r="C50" s="564"/>
      <c r="D50" s="565"/>
      <c r="E50" s="566"/>
      <c r="F50" s="566"/>
      <c r="G50" s="567"/>
      <c r="H50" s="568"/>
      <c r="I50" s="569"/>
      <c r="J50" s="569"/>
      <c r="K50" s="574"/>
      <c r="L50" s="563"/>
      <c r="M50" s="563"/>
      <c r="N50" s="569"/>
      <c r="O50" s="566"/>
      <c r="P50" s="566"/>
      <c r="Q50" s="569"/>
      <c r="R50" s="577"/>
    </row>
    <row r="51" spans="1:18" ht="27" customHeight="1">
      <c r="A51" s="578"/>
      <c r="B51" s="579"/>
      <c r="C51" s="580"/>
      <c r="D51" s="581"/>
      <c r="E51" s="582"/>
      <c r="F51" s="582"/>
      <c r="G51" s="583"/>
      <c r="H51" s="584"/>
      <c r="I51" s="585"/>
      <c r="J51" s="585"/>
      <c r="K51" s="586"/>
      <c r="L51" s="579"/>
      <c r="M51" s="579"/>
      <c r="N51" s="585"/>
      <c r="O51" s="582"/>
      <c r="P51" s="582"/>
      <c r="Q51" s="585"/>
      <c r="R51" s="587"/>
    </row>
    <row r="52" spans="1:18" ht="27" customHeight="1">
      <c r="A52" s="578"/>
      <c r="B52" s="579"/>
      <c r="C52" s="580"/>
      <c r="D52" s="581"/>
      <c r="E52" s="582"/>
      <c r="F52" s="582"/>
      <c r="G52" s="583"/>
      <c r="H52" s="584"/>
      <c r="I52" s="585"/>
      <c r="J52" s="585"/>
      <c r="K52" s="586"/>
      <c r="L52" s="579"/>
      <c r="M52" s="579"/>
      <c r="N52" s="585"/>
      <c r="O52" s="582"/>
      <c r="P52" s="582"/>
      <c r="Q52" s="585"/>
      <c r="R52" s="587"/>
    </row>
    <row r="53" spans="1:18" ht="27" customHeight="1">
      <c r="A53" s="578"/>
      <c r="B53" s="588"/>
      <c r="C53" s="589"/>
      <c r="D53" s="588"/>
      <c r="E53" s="583"/>
      <c r="F53" s="583"/>
      <c r="G53" s="583"/>
      <c r="H53" s="590"/>
      <c r="I53" s="591"/>
      <c r="J53" s="585"/>
      <c r="K53" s="586"/>
      <c r="L53" s="579"/>
      <c r="M53" s="585"/>
      <c r="N53" s="585"/>
      <c r="O53" s="582"/>
      <c r="P53" s="582"/>
      <c r="Q53" s="585"/>
      <c r="R53" s="587"/>
    </row>
    <row r="54" spans="1:18" ht="27" customHeight="1">
      <c r="A54" s="578"/>
      <c r="B54" s="579"/>
      <c r="C54" s="580"/>
      <c r="D54" s="581"/>
      <c r="E54" s="582"/>
      <c r="F54" s="582"/>
      <c r="G54" s="583"/>
      <c r="H54" s="584"/>
      <c r="I54" s="585"/>
      <c r="J54" s="585"/>
      <c r="K54" s="586"/>
      <c r="L54" s="579"/>
      <c r="M54" s="579"/>
      <c r="N54" s="585"/>
      <c r="O54" s="582"/>
      <c r="P54" s="582"/>
      <c r="Q54" s="585"/>
      <c r="R54" s="587"/>
    </row>
    <row r="55" spans="1:18" ht="27" customHeight="1">
      <c r="A55" s="578"/>
      <c r="B55" s="579"/>
      <c r="C55" s="580"/>
      <c r="D55" s="581"/>
      <c r="E55" s="582"/>
      <c r="F55" s="582"/>
      <c r="G55" s="583"/>
      <c r="H55" s="584"/>
      <c r="I55" s="585"/>
      <c r="J55" s="585"/>
      <c r="K55" s="586"/>
      <c r="L55" s="579"/>
      <c r="M55" s="579"/>
      <c r="N55" s="585"/>
      <c r="O55" s="582"/>
      <c r="P55" s="582"/>
      <c r="Q55" s="585"/>
      <c r="R55" s="587"/>
    </row>
    <row r="56" spans="1:18" ht="27" customHeight="1">
      <c r="A56" s="578"/>
      <c r="B56" s="588"/>
      <c r="C56" s="589"/>
      <c r="D56" s="592"/>
      <c r="E56" s="583"/>
      <c r="F56" s="583"/>
      <c r="G56" s="583"/>
      <c r="H56" s="590"/>
      <c r="I56" s="591"/>
      <c r="J56" s="585"/>
      <c r="K56" s="586"/>
      <c r="L56" s="579"/>
      <c r="M56" s="585"/>
      <c r="N56" s="585"/>
      <c r="O56" s="582"/>
      <c r="P56" s="582"/>
      <c r="Q56" s="585"/>
      <c r="R56" s="587"/>
    </row>
    <row r="57" spans="1:18" ht="27" customHeight="1">
      <c r="A57" s="578"/>
      <c r="B57" s="588"/>
      <c r="C57" s="589"/>
      <c r="D57" s="588"/>
      <c r="E57" s="583"/>
      <c r="F57" s="583"/>
      <c r="G57" s="583"/>
      <c r="H57" s="590"/>
      <c r="I57" s="591"/>
      <c r="J57" s="585"/>
      <c r="K57" s="586"/>
      <c r="L57" s="579"/>
      <c r="M57" s="585"/>
      <c r="N57" s="585"/>
      <c r="O57" s="582"/>
      <c r="P57" s="582"/>
      <c r="Q57" s="585"/>
      <c r="R57" s="587"/>
    </row>
    <row r="58" spans="1:18" ht="27" customHeight="1">
      <c r="A58" s="578"/>
      <c r="B58" s="588"/>
      <c r="C58" s="589"/>
      <c r="D58" s="588"/>
      <c r="E58" s="583"/>
      <c r="F58" s="583"/>
      <c r="G58" s="583"/>
      <c r="H58" s="590"/>
      <c r="I58" s="591"/>
      <c r="J58" s="585"/>
      <c r="K58" s="586"/>
      <c r="L58" s="579"/>
      <c r="M58" s="585"/>
      <c r="N58" s="585"/>
      <c r="O58" s="582"/>
      <c r="P58" s="582"/>
      <c r="Q58" s="585"/>
      <c r="R58" s="587"/>
    </row>
    <row r="59" spans="1:18" ht="27" customHeight="1">
      <c r="A59" s="578"/>
      <c r="B59" s="579"/>
      <c r="C59" s="580"/>
      <c r="D59" s="581"/>
      <c r="E59" s="582"/>
      <c r="F59" s="582"/>
      <c r="G59" s="583"/>
      <c r="H59" s="584"/>
      <c r="I59" s="585"/>
      <c r="J59" s="585"/>
      <c r="K59" s="586"/>
      <c r="L59" s="579"/>
      <c r="M59" s="579"/>
      <c r="N59" s="585"/>
      <c r="O59" s="582"/>
      <c r="P59" s="582"/>
      <c r="Q59" s="585"/>
      <c r="R59" s="587"/>
    </row>
    <row r="60" spans="1:18" ht="27" customHeight="1">
      <c r="A60" s="578"/>
      <c r="B60" s="588"/>
      <c r="C60" s="589"/>
      <c r="D60" s="592"/>
      <c r="E60" s="583"/>
      <c r="F60" s="583"/>
      <c r="G60" s="583"/>
      <c r="H60" s="590"/>
      <c r="I60" s="591"/>
      <c r="J60" s="585"/>
      <c r="K60" s="586"/>
      <c r="L60" s="579"/>
      <c r="M60" s="585"/>
      <c r="N60" s="585"/>
      <c r="O60" s="582"/>
      <c r="P60" s="582"/>
      <c r="Q60" s="585"/>
      <c r="R60" s="587"/>
    </row>
    <row r="61" spans="1:18" ht="27" customHeight="1">
      <c r="A61" s="578"/>
      <c r="B61" s="579"/>
      <c r="C61" s="580"/>
      <c r="D61" s="581"/>
      <c r="E61" s="582"/>
      <c r="F61" s="582"/>
      <c r="G61" s="583"/>
      <c r="H61" s="584"/>
      <c r="I61" s="585"/>
      <c r="J61" s="585"/>
      <c r="K61" s="586"/>
      <c r="L61" s="579"/>
      <c r="M61" s="579"/>
      <c r="N61" s="585"/>
      <c r="O61" s="582"/>
      <c r="P61" s="582"/>
      <c r="Q61" s="585"/>
      <c r="R61" s="587"/>
    </row>
    <row r="62" spans="1:18" ht="27" customHeight="1">
      <c r="A62" s="578"/>
      <c r="B62" s="588"/>
      <c r="C62" s="589"/>
      <c r="D62" s="588"/>
      <c r="E62" s="583"/>
      <c r="F62" s="583"/>
      <c r="G62" s="583"/>
      <c r="H62" s="590"/>
      <c r="I62" s="591"/>
      <c r="J62" s="585"/>
      <c r="K62" s="586"/>
      <c r="L62" s="579"/>
      <c r="M62" s="585"/>
      <c r="N62" s="585"/>
      <c r="O62" s="582"/>
      <c r="P62" s="582"/>
      <c r="Q62" s="585"/>
      <c r="R62" s="587"/>
    </row>
    <row r="63" spans="1:18" ht="27" customHeight="1">
      <c r="A63" s="578"/>
      <c r="B63" s="588"/>
      <c r="C63" s="589"/>
      <c r="D63" s="588"/>
      <c r="E63" s="583"/>
      <c r="F63" s="583"/>
      <c r="G63" s="583"/>
      <c r="H63" s="590"/>
      <c r="I63" s="591"/>
      <c r="J63" s="585"/>
      <c r="K63" s="586"/>
      <c r="L63" s="579"/>
      <c r="M63" s="585"/>
      <c r="N63" s="585"/>
      <c r="O63" s="582"/>
      <c r="P63" s="582"/>
      <c r="Q63" s="585"/>
      <c r="R63" s="587"/>
    </row>
    <row r="64" spans="1:18" ht="27" customHeight="1">
      <c r="A64" s="578"/>
      <c r="B64" s="588"/>
      <c r="C64" s="589"/>
      <c r="D64" s="588"/>
      <c r="E64" s="583"/>
      <c r="F64" s="583"/>
      <c r="G64" s="583"/>
      <c r="H64" s="590"/>
      <c r="I64" s="591"/>
      <c r="J64" s="585"/>
      <c r="K64" s="586"/>
      <c r="L64" s="579"/>
      <c r="M64" s="585"/>
      <c r="N64" s="585"/>
      <c r="O64" s="582"/>
      <c r="P64" s="582"/>
      <c r="Q64" s="585"/>
      <c r="R64" s="587"/>
    </row>
    <row r="65" spans="1:18" ht="27" customHeight="1">
      <c r="A65" s="578"/>
      <c r="B65" s="588"/>
      <c r="C65" s="589"/>
      <c r="D65" s="588"/>
      <c r="E65" s="583"/>
      <c r="F65" s="583"/>
      <c r="G65" s="583"/>
      <c r="H65" s="590"/>
      <c r="I65" s="591"/>
      <c r="J65" s="585"/>
      <c r="K65" s="586"/>
      <c r="L65" s="579"/>
      <c r="M65" s="585"/>
      <c r="N65" s="585"/>
      <c r="O65" s="582"/>
      <c r="P65" s="582"/>
      <c r="Q65" s="585"/>
      <c r="R65" s="587"/>
    </row>
    <row r="66" spans="1:18" ht="27" customHeight="1">
      <c r="A66" s="578"/>
      <c r="B66" s="588"/>
      <c r="C66" s="589"/>
      <c r="D66" s="588"/>
      <c r="E66" s="583"/>
      <c r="F66" s="583"/>
      <c r="G66" s="583"/>
      <c r="H66" s="590"/>
      <c r="I66" s="591"/>
      <c r="J66" s="585"/>
      <c r="K66" s="586"/>
      <c r="L66" s="579"/>
      <c r="M66" s="585"/>
      <c r="N66" s="585"/>
      <c r="O66" s="582"/>
      <c r="P66" s="582"/>
      <c r="Q66" s="585"/>
      <c r="R66" s="587"/>
    </row>
    <row r="67" spans="1:18" ht="27" customHeight="1">
      <c r="A67" s="578"/>
      <c r="B67" s="579"/>
      <c r="C67" s="580"/>
      <c r="D67" s="581"/>
      <c r="E67" s="582"/>
      <c r="F67" s="582"/>
      <c r="G67" s="583"/>
      <c r="H67" s="584"/>
      <c r="I67" s="585"/>
      <c r="J67" s="585"/>
      <c r="K67" s="586"/>
      <c r="L67" s="579"/>
      <c r="M67" s="579"/>
      <c r="N67" s="585"/>
      <c r="O67" s="582"/>
      <c r="P67" s="582"/>
      <c r="Q67" s="585"/>
      <c r="R67" s="587"/>
    </row>
    <row r="68" spans="1:18" ht="27" customHeight="1">
      <c r="A68" s="578"/>
      <c r="B68" s="589"/>
      <c r="C68" s="589"/>
      <c r="D68" s="592"/>
      <c r="E68" s="583"/>
      <c r="F68" s="583"/>
      <c r="G68" s="583"/>
      <c r="H68" s="590"/>
      <c r="I68" s="591"/>
      <c r="J68" s="591"/>
      <c r="K68" s="593"/>
      <c r="L68" s="579"/>
      <c r="M68" s="585"/>
      <c r="N68" s="594"/>
      <c r="O68" s="582"/>
      <c r="P68" s="582"/>
      <c r="Q68" s="585"/>
      <c r="R68" s="587"/>
    </row>
    <row r="69" spans="1:18" ht="27" customHeight="1">
      <c r="A69" s="578"/>
      <c r="B69" s="579"/>
      <c r="C69" s="580"/>
      <c r="D69" s="581"/>
      <c r="E69" s="582"/>
      <c r="F69" s="582"/>
      <c r="G69" s="583"/>
      <c r="H69" s="584"/>
      <c r="I69" s="585"/>
      <c r="J69" s="585"/>
      <c r="K69" s="586"/>
      <c r="L69" s="579"/>
      <c r="M69" s="579"/>
      <c r="N69" s="585"/>
      <c r="O69" s="582"/>
      <c r="P69" s="582"/>
      <c r="Q69" s="585"/>
      <c r="R69" s="587"/>
    </row>
    <row r="70" spans="1:18" ht="27" customHeight="1">
      <c r="A70" s="578"/>
      <c r="B70" s="579"/>
      <c r="C70" s="580"/>
      <c r="D70" s="581"/>
      <c r="E70" s="582"/>
      <c r="F70" s="582"/>
      <c r="G70" s="583"/>
      <c r="H70" s="584"/>
      <c r="I70" s="585"/>
      <c r="J70" s="585"/>
      <c r="K70" s="586"/>
      <c r="L70" s="579"/>
      <c r="M70" s="579"/>
      <c r="N70" s="585"/>
      <c r="O70" s="582"/>
      <c r="P70" s="582"/>
      <c r="Q70" s="585"/>
      <c r="R70" s="587"/>
    </row>
    <row r="71" spans="1:18" ht="27" customHeight="1">
      <c r="A71" s="578"/>
      <c r="B71" s="588"/>
      <c r="C71" s="589"/>
      <c r="D71" s="588"/>
      <c r="E71" s="583"/>
      <c r="F71" s="583"/>
      <c r="G71" s="583"/>
      <c r="H71" s="590"/>
      <c r="I71" s="591"/>
      <c r="J71" s="585"/>
      <c r="K71" s="586"/>
      <c r="L71" s="579"/>
      <c r="M71" s="585"/>
      <c r="N71" s="585"/>
      <c r="O71" s="582"/>
      <c r="P71" s="582"/>
      <c r="Q71" s="585"/>
      <c r="R71" s="587"/>
    </row>
    <row r="72" spans="1:18" ht="27" customHeight="1">
      <c r="A72" s="578"/>
      <c r="B72" s="588"/>
      <c r="C72" s="589"/>
      <c r="D72" s="588"/>
      <c r="E72" s="583"/>
      <c r="F72" s="583"/>
      <c r="G72" s="583"/>
      <c r="H72" s="590"/>
      <c r="I72" s="591"/>
      <c r="J72" s="585"/>
      <c r="K72" s="586"/>
      <c r="L72" s="579"/>
      <c r="M72" s="585"/>
      <c r="N72" s="585"/>
      <c r="O72" s="582"/>
      <c r="P72" s="582"/>
      <c r="Q72" s="585"/>
      <c r="R72" s="587"/>
    </row>
    <row r="73" spans="1:18" ht="27" customHeight="1">
      <c r="A73" s="578"/>
      <c r="B73" s="588"/>
      <c r="C73" s="589"/>
      <c r="D73" s="588"/>
      <c r="E73" s="583"/>
      <c r="F73" s="583"/>
      <c r="G73" s="583"/>
      <c r="H73" s="590"/>
      <c r="I73" s="591"/>
      <c r="J73" s="585"/>
      <c r="K73" s="586"/>
      <c r="L73" s="579"/>
      <c r="M73" s="585"/>
      <c r="N73" s="585"/>
      <c r="O73" s="582"/>
      <c r="P73" s="582"/>
      <c r="Q73" s="585"/>
      <c r="R73" s="587"/>
    </row>
    <row r="74" spans="1:18" ht="27" customHeight="1">
      <c r="A74" s="578"/>
      <c r="B74" s="588"/>
      <c r="C74" s="589"/>
      <c r="D74" s="588"/>
      <c r="E74" s="583"/>
      <c r="F74" s="583"/>
      <c r="G74" s="583"/>
      <c r="H74" s="590"/>
      <c r="I74" s="591"/>
      <c r="J74" s="585"/>
      <c r="K74" s="586"/>
      <c r="L74" s="579"/>
      <c r="M74" s="585"/>
      <c r="N74" s="585"/>
      <c r="O74" s="582"/>
      <c r="P74" s="582"/>
      <c r="Q74" s="585"/>
      <c r="R74" s="587"/>
    </row>
    <row r="75" spans="1:18" ht="27" customHeight="1">
      <c r="A75" s="578"/>
      <c r="B75" s="588"/>
      <c r="C75" s="589"/>
      <c r="D75" s="588"/>
      <c r="E75" s="583"/>
      <c r="F75" s="583"/>
      <c r="G75" s="583"/>
      <c r="H75" s="590"/>
      <c r="I75" s="591"/>
      <c r="J75" s="585"/>
      <c r="K75" s="586"/>
      <c r="L75" s="579"/>
      <c r="M75" s="585"/>
      <c r="N75" s="585"/>
      <c r="O75" s="582"/>
      <c r="P75" s="582"/>
      <c r="Q75" s="585"/>
      <c r="R75" s="587"/>
    </row>
    <row r="76" spans="1:18" ht="27" customHeight="1">
      <c r="A76" s="578"/>
      <c r="B76" s="579"/>
      <c r="C76" s="580"/>
      <c r="D76" s="581"/>
      <c r="E76" s="582"/>
      <c r="F76" s="582"/>
      <c r="G76" s="583"/>
      <c r="H76" s="584"/>
      <c r="I76" s="585"/>
      <c r="J76" s="585"/>
      <c r="K76" s="586"/>
      <c r="L76" s="579"/>
      <c r="M76" s="579"/>
      <c r="N76" s="585"/>
      <c r="O76" s="582"/>
      <c r="P76" s="582"/>
      <c r="Q76" s="585"/>
      <c r="R76" s="587"/>
    </row>
    <row r="77" spans="1:18" ht="27" customHeight="1">
      <c r="A77" s="578"/>
      <c r="B77" s="579"/>
      <c r="C77" s="580"/>
      <c r="D77" s="581"/>
      <c r="E77" s="582"/>
      <c r="F77" s="582"/>
      <c r="G77" s="583"/>
      <c r="H77" s="584"/>
      <c r="I77" s="585"/>
      <c r="J77" s="585"/>
      <c r="K77" s="586"/>
      <c r="L77" s="579"/>
      <c r="M77" s="579"/>
      <c r="N77" s="585"/>
      <c r="O77" s="582"/>
      <c r="P77" s="582"/>
      <c r="Q77" s="585"/>
      <c r="R77" s="587"/>
    </row>
    <row r="78" spans="1:18" ht="27" customHeight="1">
      <c r="A78" s="578"/>
      <c r="B78" s="579"/>
      <c r="C78" s="580"/>
      <c r="D78" s="581"/>
      <c r="E78" s="582"/>
      <c r="F78" s="582"/>
      <c r="G78" s="583"/>
      <c r="H78" s="584"/>
      <c r="I78" s="585"/>
      <c r="J78" s="585"/>
      <c r="K78" s="586"/>
      <c r="L78" s="579"/>
      <c r="M78" s="579"/>
      <c r="N78" s="585"/>
      <c r="O78" s="582"/>
      <c r="P78" s="582"/>
      <c r="Q78" s="585"/>
      <c r="R78" s="587"/>
    </row>
    <row r="79" spans="1:18" ht="27" customHeight="1">
      <c r="A79" s="578"/>
      <c r="B79" s="588"/>
      <c r="C79" s="589"/>
      <c r="D79" s="588"/>
      <c r="E79" s="583"/>
      <c r="F79" s="583"/>
      <c r="G79" s="583"/>
      <c r="H79" s="590"/>
      <c r="I79" s="591"/>
      <c r="J79" s="585"/>
      <c r="K79" s="586"/>
      <c r="L79" s="579"/>
      <c r="M79" s="585"/>
      <c r="N79" s="585"/>
      <c r="O79" s="582"/>
      <c r="P79" s="582"/>
      <c r="Q79" s="585"/>
      <c r="R79" s="587"/>
    </row>
    <row r="80" spans="1:18" ht="27" customHeight="1">
      <c r="A80" s="578"/>
      <c r="B80" s="579"/>
      <c r="C80" s="580"/>
      <c r="D80" s="581"/>
      <c r="E80" s="582"/>
      <c r="F80" s="582"/>
      <c r="G80" s="583"/>
      <c r="H80" s="584"/>
      <c r="I80" s="585"/>
      <c r="J80" s="585"/>
      <c r="K80" s="586"/>
      <c r="L80" s="579"/>
      <c r="M80" s="579"/>
      <c r="N80" s="585"/>
      <c r="O80" s="582"/>
      <c r="P80" s="582"/>
      <c r="Q80" s="585"/>
      <c r="R80" s="587"/>
    </row>
    <row r="81" spans="1:18" ht="27" customHeight="1">
      <c r="A81" s="578"/>
      <c r="B81" s="579"/>
      <c r="C81" s="580"/>
      <c r="D81" s="581"/>
      <c r="E81" s="582"/>
      <c r="F81" s="582"/>
      <c r="G81" s="583"/>
      <c r="H81" s="584"/>
      <c r="I81" s="585"/>
      <c r="J81" s="585"/>
      <c r="K81" s="586"/>
      <c r="L81" s="579"/>
      <c r="M81" s="579"/>
      <c r="N81" s="585"/>
      <c r="O81" s="582"/>
      <c r="P81" s="582"/>
      <c r="Q81" s="585"/>
      <c r="R81" s="587"/>
    </row>
    <row r="82" spans="1:18" ht="27" customHeight="1">
      <c r="A82" s="578"/>
      <c r="B82" s="579"/>
      <c r="C82" s="580"/>
      <c r="D82" s="581"/>
      <c r="E82" s="582"/>
      <c r="F82" s="582"/>
      <c r="G82" s="583"/>
      <c r="H82" s="584"/>
      <c r="I82" s="585"/>
      <c r="J82" s="585"/>
      <c r="K82" s="586"/>
      <c r="L82" s="579"/>
      <c r="M82" s="579"/>
      <c r="N82" s="585"/>
      <c r="O82" s="582"/>
      <c r="P82" s="582"/>
      <c r="Q82" s="585"/>
      <c r="R82" s="587"/>
    </row>
    <row r="83" spans="1:18" ht="27" customHeight="1">
      <c r="A83" s="578"/>
      <c r="B83" s="579"/>
      <c r="C83" s="580"/>
      <c r="D83" s="581"/>
      <c r="E83" s="582"/>
      <c r="F83" s="582"/>
      <c r="G83" s="583"/>
      <c r="H83" s="584"/>
      <c r="I83" s="585"/>
      <c r="J83" s="585"/>
      <c r="K83" s="586"/>
      <c r="L83" s="579"/>
      <c r="M83" s="579"/>
      <c r="N83" s="585"/>
      <c r="O83" s="582"/>
      <c r="P83" s="582"/>
      <c r="Q83" s="585"/>
      <c r="R83" s="587"/>
    </row>
    <row r="84" spans="1:18" ht="27" customHeight="1">
      <c r="A84" s="578"/>
      <c r="B84" s="588"/>
      <c r="C84" s="589"/>
      <c r="D84" s="588"/>
      <c r="E84" s="583"/>
      <c r="F84" s="583"/>
      <c r="G84" s="583"/>
      <c r="H84" s="590"/>
      <c r="I84" s="591"/>
      <c r="J84" s="585"/>
      <c r="K84" s="586"/>
      <c r="L84" s="579"/>
      <c r="M84" s="585"/>
      <c r="N84" s="585"/>
      <c r="O84" s="582"/>
      <c r="P84" s="582"/>
      <c r="Q84" s="585"/>
      <c r="R84" s="587"/>
    </row>
    <row r="85" spans="1:18" ht="27" customHeight="1">
      <c r="A85" s="578"/>
      <c r="B85" s="588"/>
      <c r="C85" s="589"/>
      <c r="D85" s="588"/>
      <c r="E85" s="583"/>
      <c r="F85" s="583"/>
      <c r="G85" s="583"/>
      <c r="H85" s="590"/>
      <c r="I85" s="591"/>
      <c r="J85" s="585"/>
      <c r="K85" s="586"/>
      <c r="L85" s="579"/>
      <c r="M85" s="585"/>
      <c r="N85" s="585"/>
      <c r="O85" s="582"/>
      <c r="P85" s="582"/>
      <c r="Q85" s="585"/>
      <c r="R85" s="587"/>
    </row>
    <row r="86" spans="1:18" ht="27" customHeight="1">
      <c r="A86" s="578"/>
      <c r="B86" s="579"/>
      <c r="C86" s="580"/>
      <c r="D86" s="581"/>
      <c r="E86" s="582"/>
      <c r="F86" s="582"/>
      <c r="G86" s="583"/>
      <c r="H86" s="584"/>
      <c r="I86" s="585"/>
      <c r="J86" s="585"/>
      <c r="K86" s="586"/>
      <c r="L86" s="579"/>
      <c r="M86" s="579"/>
      <c r="N86" s="585"/>
      <c r="O86" s="582"/>
      <c r="P86" s="582"/>
      <c r="Q86" s="585"/>
      <c r="R86" s="587"/>
    </row>
    <row r="87" spans="1:18" ht="27" customHeight="1">
      <c r="A87" s="578"/>
      <c r="B87" s="579"/>
      <c r="C87" s="580"/>
      <c r="D87" s="581"/>
      <c r="E87" s="582"/>
      <c r="F87" s="582"/>
      <c r="G87" s="583"/>
      <c r="H87" s="584"/>
      <c r="I87" s="585"/>
      <c r="J87" s="585"/>
      <c r="K87" s="586"/>
      <c r="L87" s="579"/>
      <c r="M87" s="579"/>
      <c r="N87" s="585"/>
      <c r="O87" s="582"/>
      <c r="P87" s="582"/>
      <c r="Q87" s="585"/>
      <c r="R87" s="587"/>
    </row>
    <row r="88" spans="1:18" ht="27" customHeight="1">
      <c r="A88" s="578"/>
      <c r="B88" s="588"/>
      <c r="C88" s="589"/>
      <c r="D88" s="588"/>
      <c r="E88" s="583"/>
      <c r="F88" s="583"/>
      <c r="G88" s="583"/>
      <c r="H88" s="590"/>
      <c r="I88" s="591"/>
      <c r="J88" s="585"/>
      <c r="K88" s="586"/>
      <c r="L88" s="579"/>
      <c r="M88" s="585"/>
      <c r="N88" s="585"/>
      <c r="O88" s="582"/>
      <c r="P88" s="582"/>
      <c r="Q88" s="585"/>
      <c r="R88" s="587"/>
    </row>
    <row r="89" spans="1:18" ht="27" customHeight="1">
      <c r="A89" s="578"/>
      <c r="B89" s="588"/>
      <c r="C89" s="589"/>
      <c r="D89" s="588"/>
      <c r="E89" s="583"/>
      <c r="F89" s="583"/>
      <c r="G89" s="583"/>
      <c r="H89" s="590"/>
      <c r="I89" s="591"/>
      <c r="J89" s="585"/>
      <c r="K89" s="586"/>
      <c r="L89" s="579"/>
      <c r="M89" s="585"/>
      <c r="N89" s="585"/>
      <c r="O89" s="582"/>
      <c r="P89" s="582"/>
      <c r="Q89" s="585"/>
      <c r="R89" s="587"/>
    </row>
    <row r="90" spans="1:18" ht="27" customHeight="1">
      <c r="A90" s="595"/>
      <c r="B90" s="595"/>
      <c r="C90" s="596"/>
      <c r="D90" s="597"/>
      <c r="E90" s="595"/>
      <c r="F90" s="595"/>
      <c r="G90" s="598"/>
      <c r="H90" s="599"/>
      <c r="I90" s="596"/>
      <c r="J90" s="596"/>
      <c r="K90" s="600"/>
      <c r="L90" s="595"/>
      <c r="M90" s="595"/>
      <c r="N90" s="595"/>
      <c r="O90" s="595"/>
      <c r="P90" s="595"/>
      <c r="Q90" s="595"/>
      <c r="R90" s="601"/>
    </row>
    <row r="91" spans="1:18" ht="27" customHeight="1">
      <c r="A91" s="595"/>
      <c r="B91" s="595"/>
      <c r="C91" s="596"/>
      <c r="D91" s="597"/>
      <c r="E91" s="595"/>
      <c r="F91" s="595"/>
      <c r="G91" s="598"/>
      <c r="H91" s="599"/>
      <c r="I91" s="596"/>
      <c r="J91" s="596"/>
      <c r="K91" s="600"/>
      <c r="L91" s="595"/>
      <c r="M91" s="595"/>
      <c r="N91" s="595"/>
      <c r="O91" s="595"/>
      <c r="P91" s="595"/>
      <c r="Q91" s="595"/>
      <c r="R91" s="601"/>
    </row>
    <row r="92" spans="1:18" ht="27" customHeight="1">
      <c r="A92" s="595"/>
      <c r="B92" s="595"/>
      <c r="C92" s="596"/>
      <c r="D92" s="597"/>
      <c r="E92" s="595"/>
      <c r="F92" s="595"/>
      <c r="G92" s="598"/>
      <c r="H92" s="599"/>
      <c r="I92" s="596"/>
      <c r="J92" s="596"/>
      <c r="K92" s="600"/>
      <c r="L92" s="595"/>
      <c r="M92" s="595"/>
      <c r="N92" s="595"/>
      <c r="O92" s="595"/>
      <c r="P92" s="595"/>
      <c r="Q92" s="595"/>
      <c r="R92" s="601"/>
    </row>
    <row r="93" spans="1:18" ht="27" customHeight="1">
      <c r="A93" s="595"/>
      <c r="B93" s="595"/>
      <c r="C93" s="596"/>
      <c r="D93" s="597"/>
      <c r="E93" s="595"/>
      <c r="F93" s="595"/>
      <c r="G93" s="598"/>
      <c r="H93" s="599"/>
      <c r="I93" s="596"/>
      <c r="J93" s="596"/>
      <c r="K93" s="600"/>
      <c r="L93" s="595"/>
      <c r="M93" s="595"/>
      <c r="N93" s="595"/>
      <c r="O93" s="595"/>
      <c r="P93" s="595"/>
      <c r="Q93" s="595"/>
      <c r="R93" s="601"/>
    </row>
    <row r="94" spans="1:18" ht="27" customHeight="1">
      <c r="A94" s="595"/>
      <c r="B94" s="595"/>
      <c r="C94" s="596"/>
      <c r="D94" s="597"/>
      <c r="E94" s="595"/>
      <c r="F94" s="595"/>
      <c r="G94" s="598"/>
      <c r="H94" s="599"/>
      <c r="I94" s="596"/>
      <c r="J94" s="596"/>
      <c r="K94" s="600"/>
      <c r="L94" s="595"/>
      <c r="M94" s="595"/>
      <c r="N94" s="595"/>
      <c r="O94" s="595"/>
      <c r="P94" s="595"/>
      <c r="Q94" s="595"/>
      <c r="R94" s="601"/>
    </row>
    <row r="95" spans="1:18" ht="27" customHeight="1">
      <c r="A95" s="595"/>
      <c r="B95" s="595"/>
      <c r="C95" s="596"/>
      <c r="D95" s="597"/>
      <c r="E95" s="595"/>
      <c r="F95" s="595"/>
      <c r="G95" s="598"/>
      <c r="H95" s="599"/>
      <c r="I95" s="596"/>
      <c r="J95" s="596"/>
      <c r="K95" s="600"/>
      <c r="L95" s="595"/>
      <c r="M95" s="595"/>
      <c r="N95" s="595"/>
      <c r="O95" s="595"/>
      <c r="P95" s="595"/>
      <c r="Q95" s="595"/>
      <c r="R95" s="601"/>
    </row>
    <row r="96" spans="1:18" ht="27" customHeight="1">
      <c r="A96" s="595"/>
      <c r="B96" s="595"/>
      <c r="C96" s="596"/>
      <c r="D96" s="597"/>
      <c r="E96" s="595"/>
      <c r="F96" s="595"/>
      <c r="G96" s="598"/>
      <c r="H96" s="599"/>
      <c r="I96" s="596"/>
      <c r="J96" s="596"/>
      <c r="K96" s="600"/>
      <c r="L96" s="595"/>
      <c r="M96" s="595"/>
      <c r="N96" s="595"/>
      <c r="O96" s="595"/>
      <c r="P96" s="595"/>
      <c r="Q96" s="595"/>
      <c r="R96" s="601"/>
    </row>
    <row r="97" spans="1:18" ht="27" customHeight="1">
      <c r="A97" s="595"/>
      <c r="B97" s="595"/>
      <c r="C97" s="596"/>
      <c r="D97" s="597"/>
      <c r="E97" s="595"/>
      <c r="F97" s="595"/>
      <c r="G97" s="598"/>
      <c r="H97" s="599"/>
      <c r="I97" s="596"/>
      <c r="J97" s="596"/>
      <c r="K97" s="600"/>
      <c r="L97" s="595"/>
      <c r="M97" s="595"/>
      <c r="N97" s="595"/>
      <c r="O97" s="595"/>
      <c r="P97" s="595"/>
      <c r="Q97" s="595"/>
      <c r="R97" s="601"/>
    </row>
    <row r="98" spans="1:18" ht="27" customHeight="1">
      <c r="A98" s="595"/>
      <c r="B98" s="595"/>
      <c r="C98" s="596"/>
      <c r="D98" s="597"/>
      <c r="E98" s="595"/>
      <c r="F98" s="595"/>
      <c r="G98" s="598"/>
      <c r="H98" s="599"/>
      <c r="I98" s="596"/>
      <c r="J98" s="596"/>
      <c r="K98" s="600"/>
      <c r="L98" s="595"/>
      <c r="M98" s="595"/>
      <c r="N98" s="595"/>
      <c r="O98" s="595"/>
      <c r="P98" s="595"/>
      <c r="Q98" s="595"/>
      <c r="R98" s="601"/>
    </row>
    <row r="99" spans="1:18" ht="27" customHeight="1">
      <c r="A99" s="595"/>
      <c r="B99" s="595"/>
      <c r="C99" s="596"/>
      <c r="D99" s="597"/>
      <c r="E99" s="595"/>
      <c r="F99" s="595"/>
      <c r="G99" s="598"/>
      <c r="H99" s="599"/>
      <c r="I99" s="596"/>
      <c r="J99" s="596"/>
      <c r="K99" s="600"/>
      <c r="L99" s="595"/>
      <c r="M99" s="595"/>
      <c r="N99" s="595"/>
      <c r="O99" s="595"/>
      <c r="P99" s="595"/>
      <c r="Q99" s="595"/>
      <c r="R99" s="601"/>
    </row>
    <row r="100" spans="1:18" ht="27" customHeight="1">
      <c r="A100" s="595"/>
      <c r="B100" s="595"/>
      <c r="C100" s="596"/>
      <c r="D100" s="597"/>
      <c r="E100" s="595"/>
      <c r="F100" s="595"/>
      <c r="G100" s="598"/>
      <c r="H100" s="599"/>
      <c r="I100" s="596"/>
      <c r="J100" s="596"/>
      <c r="K100" s="600"/>
      <c r="L100" s="595"/>
      <c r="M100" s="595"/>
      <c r="N100" s="595"/>
      <c r="O100" s="595"/>
      <c r="P100" s="595"/>
      <c r="Q100" s="595"/>
      <c r="R100" s="601"/>
    </row>
    <row r="101" spans="1:18" ht="27" customHeight="1">
      <c r="A101" s="595"/>
      <c r="B101" s="595"/>
      <c r="C101" s="596"/>
      <c r="D101" s="597"/>
      <c r="E101" s="595"/>
      <c r="F101" s="595"/>
      <c r="G101" s="598"/>
      <c r="H101" s="599"/>
      <c r="I101" s="596"/>
      <c r="J101" s="596"/>
      <c r="K101" s="600"/>
      <c r="L101" s="595"/>
      <c r="M101" s="595"/>
      <c r="N101" s="595"/>
      <c r="O101" s="595"/>
      <c r="P101" s="595"/>
      <c r="Q101" s="595"/>
      <c r="R101" s="601"/>
    </row>
    <row r="102" spans="1:18" ht="27" customHeight="1">
      <c r="A102" s="595"/>
      <c r="B102" s="595"/>
      <c r="C102" s="596"/>
      <c r="D102" s="597"/>
      <c r="E102" s="595"/>
      <c r="F102" s="595"/>
      <c r="G102" s="598"/>
      <c r="H102" s="599"/>
      <c r="I102" s="596"/>
      <c r="J102" s="596"/>
      <c r="K102" s="600"/>
      <c r="L102" s="595"/>
      <c r="M102" s="595"/>
      <c r="N102" s="595"/>
      <c r="O102" s="595"/>
      <c r="P102" s="595"/>
      <c r="Q102" s="595"/>
      <c r="R102" s="601"/>
    </row>
    <row r="103" spans="1:18" ht="27" customHeight="1">
      <c r="A103" s="595"/>
      <c r="B103" s="595"/>
      <c r="C103" s="596"/>
      <c r="D103" s="597"/>
      <c r="E103" s="595"/>
      <c r="F103" s="595"/>
      <c r="G103" s="598"/>
      <c r="H103" s="599"/>
      <c r="I103" s="596"/>
      <c r="J103" s="596"/>
      <c r="K103" s="600"/>
      <c r="L103" s="595"/>
      <c r="M103" s="595"/>
      <c r="N103" s="595"/>
      <c r="O103" s="595"/>
      <c r="P103" s="595"/>
      <c r="Q103" s="595"/>
      <c r="R103" s="601"/>
    </row>
    <row r="104" spans="1:18" ht="27" customHeight="1">
      <c r="A104" s="595"/>
      <c r="B104" s="595"/>
      <c r="C104" s="596"/>
      <c r="D104" s="597"/>
      <c r="E104" s="595"/>
      <c r="F104" s="595"/>
      <c r="G104" s="598"/>
      <c r="H104" s="599"/>
      <c r="I104" s="596"/>
      <c r="J104" s="596"/>
      <c r="K104" s="600"/>
      <c r="L104" s="595"/>
      <c r="M104" s="595"/>
      <c r="N104" s="595"/>
      <c r="O104" s="595"/>
      <c r="P104" s="595"/>
      <c r="Q104" s="595"/>
      <c r="R104" s="601"/>
    </row>
    <row r="105" spans="1:18" ht="27" customHeight="1">
      <c r="A105" s="595"/>
      <c r="B105" s="595"/>
      <c r="C105" s="596"/>
      <c r="D105" s="597"/>
      <c r="E105" s="595"/>
      <c r="F105" s="595"/>
      <c r="G105" s="598"/>
      <c r="H105" s="599"/>
      <c r="I105" s="596"/>
      <c r="J105" s="596"/>
      <c r="K105" s="600"/>
      <c r="L105" s="595"/>
      <c r="M105" s="595"/>
      <c r="N105" s="595"/>
      <c r="O105" s="595"/>
      <c r="P105" s="595"/>
      <c r="Q105" s="595"/>
      <c r="R105" s="601"/>
    </row>
    <row r="106" spans="1:18" ht="27" customHeight="1">
      <c r="A106" s="595"/>
      <c r="B106" s="595"/>
      <c r="C106" s="596"/>
      <c r="D106" s="597"/>
      <c r="E106" s="595"/>
      <c r="F106" s="595"/>
      <c r="G106" s="598"/>
      <c r="H106" s="599"/>
      <c r="I106" s="596"/>
      <c r="J106" s="596"/>
      <c r="K106" s="600"/>
      <c r="L106" s="595"/>
      <c r="M106" s="595"/>
      <c r="N106" s="595"/>
      <c r="O106" s="595"/>
      <c r="P106" s="595"/>
      <c r="Q106" s="595"/>
      <c r="R106" s="601"/>
    </row>
    <row r="107" spans="1:18" ht="27" customHeight="1">
      <c r="A107" s="595"/>
      <c r="B107" s="595"/>
      <c r="C107" s="596"/>
      <c r="D107" s="597"/>
      <c r="E107" s="595"/>
      <c r="F107" s="595"/>
      <c r="G107" s="598"/>
      <c r="H107" s="599"/>
      <c r="I107" s="596"/>
      <c r="J107" s="596"/>
      <c r="K107" s="600"/>
      <c r="L107" s="595"/>
      <c r="M107" s="595"/>
      <c r="N107" s="595"/>
      <c r="O107" s="595"/>
      <c r="P107" s="595"/>
      <c r="Q107" s="595"/>
      <c r="R107" s="601"/>
    </row>
    <row r="108" spans="1:18" ht="27" customHeight="1">
      <c r="A108" s="595"/>
      <c r="B108" s="595"/>
      <c r="C108" s="596"/>
      <c r="D108" s="597"/>
      <c r="E108" s="595"/>
      <c r="F108" s="595"/>
      <c r="G108" s="598"/>
      <c r="H108" s="599"/>
      <c r="I108" s="596"/>
      <c r="J108" s="596"/>
      <c r="K108" s="600"/>
      <c r="L108" s="595"/>
      <c r="M108" s="595"/>
      <c r="N108" s="595"/>
      <c r="O108" s="595"/>
      <c r="P108" s="595"/>
      <c r="Q108" s="595"/>
      <c r="R108" s="601"/>
    </row>
    <row r="109" spans="1:18" ht="27" customHeight="1">
      <c r="A109" s="595"/>
      <c r="B109" s="595"/>
      <c r="C109" s="596"/>
      <c r="D109" s="597"/>
      <c r="E109" s="595"/>
      <c r="F109" s="595"/>
      <c r="G109" s="598"/>
      <c r="H109" s="599"/>
      <c r="I109" s="596"/>
      <c r="J109" s="596"/>
      <c r="K109" s="600"/>
      <c r="L109" s="595"/>
      <c r="M109" s="595"/>
      <c r="N109" s="595"/>
      <c r="O109" s="595"/>
      <c r="P109" s="595"/>
      <c r="Q109" s="595"/>
      <c r="R109" s="601"/>
    </row>
    <row r="110" spans="1:18" ht="27" customHeight="1">
      <c r="A110" s="595"/>
      <c r="B110" s="595"/>
      <c r="C110" s="596"/>
      <c r="D110" s="597"/>
      <c r="E110" s="595"/>
      <c r="F110" s="595"/>
      <c r="G110" s="598"/>
      <c r="H110" s="599"/>
      <c r="I110" s="596"/>
      <c r="J110" s="596"/>
      <c r="K110" s="600"/>
      <c r="L110" s="595"/>
      <c r="M110" s="595"/>
      <c r="N110" s="595"/>
      <c r="O110" s="595"/>
      <c r="P110" s="595"/>
      <c r="Q110" s="595"/>
      <c r="R110" s="601"/>
    </row>
    <row r="111" spans="1:18" ht="27" customHeight="1">
      <c r="A111" s="595"/>
      <c r="B111" s="595"/>
      <c r="C111" s="596"/>
      <c r="D111" s="597"/>
      <c r="E111" s="595"/>
      <c r="F111" s="595"/>
      <c r="G111" s="598"/>
      <c r="H111" s="599"/>
      <c r="I111" s="596"/>
      <c r="J111" s="596"/>
      <c r="K111" s="600"/>
      <c r="L111" s="595"/>
      <c r="M111" s="595"/>
      <c r="N111" s="595"/>
      <c r="O111" s="595"/>
      <c r="P111" s="595"/>
      <c r="Q111" s="595"/>
      <c r="R111" s="601"/>
    </row>
    <row r="112" spans="1:18" ht="27" customHeight="1">
      <c r="A112" s="595"/>
      <c r="B112" s="595"/>
      <c r="C112" s="596"/>
      <c r="D112" s="597"/>
      <c r="E112" s="595"/>
      <c r="F112" s="595"/>
      <c r="G112" s="598"/>
      <c r="H112" s="599"/>
      <c r="I112" s="596"/>
      <c r="J112" s="596"/>
      <c r="K112" s="600"/>
      <c r="L112" s="595"/>
      <c r="M112" s="595"/>
      <c r="N112" s="595"/>
      <c r="O112" s="595"/>
      <c r="P112" s="595"/>
      <c r="Q112" s="595"/>
      <c r="R112" s="601"/>
    </row>
    <row r="113" spans="1:18" ht="27" customHeight="1">
      <c r="A113" s="595"/>
      <c r="B113" s="595"/>
      <c r="C113" s="596"/>
      <c r="D113" s="597"/>
      <c r="E113" s="595"/>
      <c r="F113" s="595"/>
      <c r="G113" s="598"/>
      <c r="H113" s="599"/>
      <c r="I113" s="596"/>
      <c r="J113" s="596"/>
      <c r="K113" s="600"/>
      <c r="L113" s="595"/>
      <c r="M113" s="595"/>
      <c r="N113" s="595"/>
      <c r="O113" s="595"/>
      <c r="P113" s="595"/>
      <c r="Q113" s="595"/>
      <c r="R113" s="601"/>
    </row>
    <row r="114" spans="1:18" ht="27" customHeight="1">
      <c r="A114" s="595"/>
      <c r="B114" s="595"/>
      <c r="C114" s="596"/>
      <c r="D114" s="597"/>
      <c r="E114" s="595"/>
      <c r="F114" s="595"/>
      <c r="G114" s="598"/>
      <c r="H114" s="599"/>
      <c r="I114" s="596"/>
      <c r="J114" s="596"/>
      <c r="K114" s="600"/>
      <c r="L114" s="595"/>
      <c r="M114" s="595"/>
      <c r="N114" s="595"/>
      <c r="O114" s="595"/>
      <c r="P114" s="595"/>
      <c r="Q114" s="595"/>
      <c r="R114" s="601"/>
    </row>
    <row r="115" spans="1:18" ht="27" customHeight="1">
      <c r="A115" s="595"/>
      <c r="B115" s="595"/>
      <c r="C115" s="596"/>
      <c r="D115" s="597"/>
      <c r="E115" s="595"/>
      <c r="F115" s="595"/>
      <c r="G115" s="598"/>
      <c r="H115" s="599"/>
      <c r="I115" s="596"/>
      <c r="J115" s="596"/>
      <c r="K115" s="600"/>
      <c r="L115" s="595"/>
      <c r="M115" s="595"/>
      <c r="N115" s="595"/>
      <c r="O115" s="595"/>
      <c r="P115" s="595"/>
      <c r="Q115" s="595"/>
      <c r="R115" s="601"/>
    </row>
    <row r="116" spans="1:18" ht="27" customHeight="1">
      <c r="A116" s="595"/>
      <c r="B116" s="595"/>
      <c r="C116" s="596"/>
      <c r="D116" s="597"/>
      <c r="E116" s="595"/>
      <c r="F116" s="595"/>
      <c r="G116" s="598"/>
      <c r="H116" s="599"/>
      <c r="I116" s="596"/>
      <c r="J116" s="596"/>
      <c r="K116" s="600"/>
      <c r="L116" s="595"/>
      <c r="M116" s="595"/>
      <c r="N116" s="595"/>
      <c r="O116" s="595"/>
      <c r="P116" s="595"/>
      <c r="Q116" s="595"/>
      <c r="R116" s="601"/>
    </row>
    <row r="117" spans="1:18" ht="27" customHeight="1">
      <c r="A117" s="595"/>
      <c r="B117" s="595"/>
      <c r="C117" s="596"/>
      <c r="D117" s="597"/>
      <c r="E117" s="595"/>
      <c r="F117" s="595"/>
      <c r="G117" s="598"/>
      <c r="H117" s="599"/>
      <c r="I117" s="596"/>
      <c r="J117" s="596"/>
      <c r="K117" s="600"/>
      <c r="L117" s="595"/>
      <c r="M117" s="595"/>
      <c r="N117" s="595"/>
      <c r="O117" s="595"/>
      <c r="P117" s="595"/>
      <c r="Q117" s="595"/>
      <c r="R117" s="601"/>
    </row>
    <row r="118" spans="1:18" ht="27" customHeight="1">
      <c r="A118" s="595"/>
      <c r="B118" s="595"/>
      <c r="C118" s="596"/>
      <c r="D118" s="597"/>
      <c r="E118" s="595"/>
      <c r="F118" s="595"/>
      <c r="G118" s="598"/>
      <c r="H118" s="599"/>
      <c r="I118" s="596"/>
      <c r="J118" s="596"/>
      <c r="K118" s="600"/>
      <c r="L118" s="595"/>
      <c r="M118" s="595"/>
      <c r="N118" s="595"/>
      <c r="O118" s="595"/>
      <c r="P118" s="595"/>
      <c r="Q118" s="595"/>
      <c r="R118" s="601"/>
    </row>
    <row r="119" spans="1:18" ht="27" customHeight="1">
      <c r="A119" s="595"/>
      <c r="B119" s="595"/>
      <c r="C119" s="596"/>
      <c r="D119" s="597"/>
      <c r="E119" s="595"/>
      <c r="F119" s="595"/>
      <c r="G119" s="598"/>
      <c r="H119" s="599"/>
      <c r="I119" s="596"/>
      <c r="J119" s="596"/>
      <c r="K119" s="600"/>
      <c r="L119" s="595"/>
      <c r="M119" s="595"/>
      <c r="N119" s="595"/>
      <c r="O119" s="595"/>
      <c r="P119" s="595"/>
      <c r="Q119" s="595"/>
      <c r="R119" s="601"/>
    </row>
    <row r="120" spans="1:18" ht="27" customHeight="1">
      <c r="A120" s="595"/>
      <c r="B120" s="595"/>
      <c r="C120" s="596"/>
      <c r="D120" s="597"/>
      <c r="E120" s="595"/>
      <c r="F120" s="595"/>
      <c r="G120" s="598"/>
      <c r="H120" s="599"/>
      <c r="I120" s="596"/>
      <c r="J120" s="596"/>
      <c r="K120" s="600"/>
      <c r="L120" s="595"/>
      <c r="M120" s="595"/>
      <c r="N120" s="595"/>
      <c r="O120" s="595"/>
      <c r="P120" s="595"/>
      <c r="Q120" s="595"/>
      <c r="R120" s="601"/>
    </row>
    <row r="121" spans="1:18" ht="27" customHeight="1">
      <c r="A121" s="595"/>
      <c r="B121" s="595"/>
      <c r="C121" s="596"/>
      <c r="D121" s="597"/>
      <c r="E121" s="595"/>
      <c r="F121" s="595"/>
      <c r="G121" s="598"/>
      <c r="H121" s="599"/>
      <c r="I121" s="596"/>
      <c r="J121" s="596"/>
      <c r="K121" s="600"/>
      <c r="L121" s="595"/>
      <c r="M121" s="595"/>
      <c r="N121" s="595"/>
      <c r="O121" s="595"/>
      <c r="P121" s="595"/>
      <c r="Q121" s="595"/>
      <c r="R121" s="601"/>
    </row>
    <row r="122" spans="1:18" ht="27" customHeight="1">
      <c r="A122" s="595"/>
      <c r="B122" s="595"/>
      <c r="C122" s="596"/>
      <c r="D122" s="597"/>
      <c r="E122" s="595"/>
      <c r="F122" s="595"/>
      <c r="G122" s="598"/>
      <c r="H122" s="599"/>
      <c r="I122" s="596"/>
      <c r="J122" s="596"/>
      <c r="K122" s="600"/>
      <c r="L122" s="595"/>
      <c r="M122" s="595"/>
      <c r="N122" s="595"/>
      <c r="O122" s="595"/>
      <c r="P122" s="595"/>
      <c r="Q122" s="595"/>
      <c r="R122" s="601"/>
    </row>
    <row r="123" spans="1:18" ht="27" customHeight="1">
      <c r="A123" s="595"/>
      <c r="B123" s="595"/>
      <c r="C123" s="596"/>
      <c r="D123" s="597"/>
      <c r="E123" s="595"/>
      <c r="F123" s="595"/>
      <c r="G123" s="598"/>
      <c r="H123" s="599"/>
      <c r="I123" s="596"/>
      <c r="J123" s="596"/>
      <c r="K123" s="600"/>
      <c r="L123" s="595"/>
      <c r="M123" s="595"/>
      <c r="N123" s="595"/>
      <c r="O123" s="595"/>
      <c r="P123" s="595"/>
      <c r="Q123" s="595"/>
      <c r="R123" s="601"/>
    </row>
    <row r="124" spans="1:18" ht="27" customHeight="1">
      <c r="A124" s="595"/>
      <c r="B124" s="595"/>
      <c r="C124" s="596"/>
      <c r="D124" s="597"/>
      <c r="E124" s="595"/>
      <c r="F124" s="595"/>
      <c r="G124" s="598"/>
      <c r="H124" s="599"/>
      <c r="I124" s="596"/>
      <c r="J124" s="596"/>
      <c r="K124" s="600"/>
      <c r="L124" s="595"/>
      <c r="M124" s="595"/>
      <c r="N124" s="595"/>
      <c r="O124" s="595"/>
      <c r="P124" s="595"/>
      <c r="Q124" s="595"/>
      <c r="R124" s="601"/>
    </row>
    <row r="125" spans="1:18" ht="27" customHeight="1">
      <c r="A125" s="595"/>
      <c r="B125" s="595"/>
      <c r="C125" s="596"/>
      <c r="D125" s="597"/>
      <c r="E125" s="595"/>
      <c r="F125" s="595"/>
      <c r="G125" s="598"/>
      <c r="H125" s="599"/>
      <c r="I125" s="596"/>
      <c r="J125" s="596"/>
      <c r="K125" s="600"/>
      <c r="L125" s="595"/>
      <c r="M125" s="595"/>
      <c r="N125" s="595"/>
      <c r="O125" s="595"/>
      <c r="P125" s="595"/>
      <c r="Q125" s="595"/>
      <c r="R125" s="601"/>
    </row>
    <row r="126" spans="1:18" ht="27" customHeight="1">
      <c r="A126" s="595"/>
      <c r="B126" s="595"/>
      <c r="C126" s="596"/>
      <c r="D126" s="597"/>
      <c r="E126" s="595"/>
      <c r="F126" s="595"/>
      <c r="G126" s="598"/>
      <c r="H126" s="599"/>
      <c r="I126" s="596"/>
      <c r="J126" s="596"/>
      <c r="K126" s="600"/>
      <c r="L126" s="595"/>
      <c r="M126" s="595"/>
      <c r="N126" s="595"/>
      <c r="O126" s="595"/>
      <c r="P126" s="595"/>
      <c r="Q126" s="595"/>
      <c r="R126" s="601"/>
    </row>
    <row r="127" spans="1:18" ht="27" customHeight="1">
      <c r="A127" s="595"/>
      <c r="B127" s="595"/>
      <c r="C127" s="596"/>
      <c r="D127" s="597"/>
      <c r="E127" s="595"/>
      <c r="F127" s="595"/>
      <c r="G127" s="598"/>
      <c r="H127" s="599"/>
      <c r="I127" s="596"/>
      <c r="J127" s="596"/>
      <c r="K127" s="600"/>
      <c r="L127" s="595"/>
      <c r="M127" s="595"/>
      <c r="N127" s="595"/>
      <c r="O127" s="595"/>
      <c r="P127" s="595"/>
      <c r="Q127" s="595"/>
      <c r="R127" s="601"/>
    </row>
    <row r="128" spans="1:18" ht="27" customHeight="1">
      <c r="A128" s="595"/>
      <c r="B128" s="595"/>
      <c r="C128" s="596"/>
      <c r="D128" s="597"/>
      <c r="E128" s="595"/>
      <c r="F128" s="595"/>
      <c r="G128" s="598"/>
      <c r="H128" s="599"/>
      <c r="I128" s="596"/>
      <c r="J128" s="596"/>
      <c r="K128" s="600"/>
      <c r="L128" s="595"/>
      <c r="M128" s="595"/>
      <c r="N128" s="595"/>
      <c r="O128" s="595"/>
      <c r="P128" s="595"/>
      <c r="Q128" s="595"/>
      <c r="R128" s="601"/>
    </row>
    <row r="129" spans="1:18" ht="27" customHeight="1">
      <c r="A129" s="595"/>
      <c r="B129" s="595"/>
      <c r="C129" s="596"/>
      <c r="D129" s="597"/>
      <c r="E129" s="595"/>
      <c r="F129" s="595"/>
      <c r="G129" s="598"/>
      <c r="H129" s="599"/>
      <c r="I129" s="596"/>
      <c r="J129" s="596"/>
      <c r="K129" s="600"/>
      <c r="L129" s="595"/>
      <c r="M129" s="595"/>
      <c r="N129" s="595"/>
      <c r="O129" s="595"/>
      <c r="P129" s="595"/>
      <c r="Q129" s="595"/>
      <c r="R129" s="601"/>
    </row>
    <row r="130" spans="1:18" ht="27" customHeight="1">
      <c r="A130" s="595"/>
      <c r="B130" s="595"/>
      <c r="C130" s="596"/>
      <c r="D130" s="597"/>
      <c r="E130" s="595"/>
      <c r="F130" s="595"/>
      <c r="G130" s="598"/>
      <c r="H130" s="599"/>
      <c r="I130" s="596"/>
      <c r="J130" s="596"/>
      <c r="K130" s="600"/>
      <c r="L130" s="595"/>
      <c r="M130" s="595"/>
      <c r="N130" s="595"/>
      <c r="O130" s="595"/>
      <c r="P130" s="595"/>
      <c r="Q130" s="595"/>
      <c r="R130" s="601"/>
    </row>
    <row r="131" spans="1:18" ht="27" customHeight="1">
      <c r="A131" s="595"/>
      <c r="B131" s="595"/>
      <c r="C131" s="596"/>
      <c r="D131" s="597"/>
      <c r="E131" s="595"/>
      <c r="F131" s="595"/>
      <c r="G131" s="598"/>
      <c r="H131" s="599"/>
      <c r="I131" s="596"/>
      <c r="J131" s="596"/>
      <c r="K131" s="600"/>
      <c r="L131" s="595"/>
      <c r="M131" s="595"/>
      <c r="N131" s="595"/>
      <c r="O131" s="595"/>
      <c r="P131" s="595"/>
      <c r="Q131" s="595"/>
      <c r="R131" s="601"/>
    </row>
    <row r="132" spans="1:18" ht="27" customHeight="1">
      <c r="A132" s="595"/>
      <c r="B132" s="595"/>
      <c r="C132" s="596"/>
      <c r="D132" s="597"/>
      <c r="E132" s="595"/>
      <c r="F132" s="595"/>
      <c r="G132" s="598"/>
      <c r="H132" s="599"/>
      <c r="I132" s="596"/>
      <c r="J132" s="596"/>
      <c r="K132" s="600"/>
      <c r="L132" s="595"/>
      <c r="M132" s="595"/>
      <c r="N132" s="595"/>
      <c r="O132" s="595"/>
      <c r="P132" s="595"/>
      <c r="Q132" s="595"/>
      <c r="R132" s="601"/>
    </row>
    <row r="133" spans="1:18" ht="27" customHeight="1">
      <c r="A133" s="595"/>
      <c r="B133" s="595"/>
      <c r="C133" s="596"/>
      <c r="D133" s="597"/>
      <c r="E133" s="595"/>
      <c r="F133" s="595"/>
      <c r="G133" s="598"/>
      <c r="H133" s="599"/>
      <c r="I133" s="596"/>
      <c r="J133" s="596"/>
      <c r="K133" s="600"/>
      <c r="L133" s="595"/>
      <c r="M133" s="595"/>
      <c r="N133" s="595"/>
      <c r="O133" s="595"/>
      <c r="P133" s="595"/>
      <c r="Q133" s="595"/>
      <c r="R133" s="601"/>
    </row>
    <row r="134" spans="1:18" ht="27" customHeight="1">
      <c r="A134" s="595"/>
      <c r="B134" s="595"/>
      <c r="C134" s="596"/>
      <c r="D134" s="597"/>
      <c r="E134" s="595"/>
      <c r="F134" s="595"/>
      <c r="G134" s="598"/>
      <c r="H134" s="599"/>
      <c r="I134" s="596"/>
      <c r="J134" s="596"/>
      <c r="K134" s="600"/>
      <c r="L134" s="595"/>
      <c r="M134" s="595"/>
      <c r="N134" s="595"/>
      <c r="O134" s="595"/>
      <c r="P134" s="595"/>
      <c r="Q134" s="595"/>
      <c r="R134" s="601"/>
    </row>
    <row r="135" spans="1:18" ht="27" customHeight="1">
      <c r="A135" s="595"/>
      <c r="B135" s="595"/>
      <c r="C135" s="596"/>
      <c r="D135" s="597"/>
      <c r="E135" s="595"/>
      <c r="F135" s="595"/>
      <c r="G135" s="598"/>
      <c r="H135" s="599"/>
      <c r="I135" s="596"/>
      <c r="J135" s="596"/>
      <c r="K135" s="600"/>
      <c r="L135" s="595"/>
      <c r="M135" s="595"/>
      <c r="N135" s="595"/>
      <c r="O135" s="595"/>
      <c r="P135" s="595"/>
      <c r="Q135" s="595"/>
      <c r="R135" s="601"/>
    </row>
    <row r="136" spans="1:18" ht="27" customHeight="1">
      <c r="A136" s="595"/>
      <c r="B136" s="595"/>
      <c r="C136" s="596"/>
      <c r="D136" s="597"/>
      <c r="E136" s="595"/>
      <c r="F136" s="595"/>
      <c r="G136" s="598"/>
      <c r="H136" s="599"/>
      <c r="I136" s="596"/>
      <c r="J136" s="596"/>
      <c r="K136" s="600"/>
      <c r="L136" s="595"/>
      <c r="M136" s="595"/>
      <c r="N136" s="595"/>
      <c r="O136" s="595"/>
      <c r="P136" s="595"/>
      <c r="Q136" s="595"/>
      <c r="R136" s="601"/>
    </row>
    <row r="137" spans="1:18" ht="27" customHeight="1">
      <c r="A137" s="595"/>
      <c r="B137" s="595"/>
      <c r="C137" s="596"/>
      <c r="D137" s="597"/>
      <c r="E137" s="595"/>
      <c r="F137" s="595"/>
      <c r="G137" s="598"/>
      <c r="H137" s="599"/>
      <c r="I137" s="596"/>
      <c r="J137" s="596"/>
      <c r="K137" s="600"/>
      <c r="L137" s="595"/>
      <c r="M137" s="595"/>
      <c r="N137" s="595"/>
      <c r="O137" s="595"/>
      <c r="P137" s="595"/>
      <c r="Q137" s="595"/>
      <c r="R137" s="601"/>
    </row>
    <row r="138" spans="1:18" ht="27" customHeight="1">
      <c r="A138" s="595"/>
      <c r="B138" s="595"/>
      <c r="C138" s="596"/>
      <c r="D138" s="597"/>
      <c r="E138" s="595"/>
      <c r="F138" s="595"/>
      <c r="G138" s="598"/>
      <c r="H138" s="599"/>
      <c r="I138" s="596"/>
      <c r="J138" s="596"/>
      <c r="K138" s="600"/>
      <c r="L138" s="595"/>
      <c r="M138" s="595"/>
      <c r="N138" s="595"/>
      <c r="O138" s="595"/>
      <c r="P138" s="595"/>
      <c r="Q138" s="595"/>
      <c r="R138" s="601"/>
    </row>
    <row r="139" spans="1:18" ht="27" customHeight="1">
      <c r="A139" s="595"/>
      <c r="B139" s="595"/>
      <c r="C139" s="596"/>
      <c r="D139" s="597"/>
      <c r="E139" s="595"/>
      <c r="F139" s="595"/>
      <c r="G139" s="598"/>
      <c r="H139" s="599"/>
      <c r="I139" s="596"/>
      <c r="J139" s="596"/>
      <c r="K139" s="600"/>
      <c r="L139" s="595"/>
      <c r="M139" s="595"/>
      <c r="N139" s="595"/>
      <c r="O139" s="595"/>
      <c r="P139" s="595"/>
      <c r="Q139" s="595"/>
      <c r="R139" s="601"/>
    </row>
    <row r="140" spans="1:18" ht="27" customHeight="1">
      <c r="A140" s="595"/>
      <c r="B140" s="595"/>
      <c r="C140" s="596"/>
      <c r="D140" s="597"/>
      <c r="E140" s="595"/>
      <c r="F140" s="595"/>
      <c r="G140" s="598"/>
      <c r="H140" s="599"/>
      <c r="I140" s="596"/>
      <c r="J140" s="596"/>
      <c r="K140" s="600"/>
      <c r="L140" s="595"/>
      <c r="M140" s="595"/>
      <c r="N140" s="595"/>
      <c r="O140" s="595"/>
      <c r="P140" s="595"/>
      <c r="Q140" s="595"/>
      <c r="R140" s="601"/>
    </row>
    <row r="141" spans="1:18" ht="27" customHeight="1">
      <c r="A141" s="595"/>
      <c r="B141" s="595"/>
      <c r="C141" s="596"/>
      <c r="D141" s="597"/>
      <c r="E141" s="595"/>
      <c r="F141" s="595"/>
      <c r="G141" s="598"/>
      <c r="H141" s="599"/>
      <c r="I141" s="596"/>
      <c r="J141" s="596"/>
      <c r="K141" s="600"/>
      <c r="L141" s="595"/>
      <c r="M141" s="595"/>
      <c r="N141" s="595"/>
      <c r="O141" s="595"/>
      <c r="P141" s="595"/>
      <c r="Q141" s="595"/>
      <c r="R141" s="601"/>
    </row>
    <row r="142" spans="1:18" ht="27" customHeight="1">
      <c r="A142" s="595"/>
      <c r="B142" s="595"/>
      <c r="C142" s="596"/>
      <c r="D142" s="597"/>
      <c r="E142" s="595"/>
      <c r="F142" s="595"/>
      <c r="G142" s="598"/>
      <c r="H142" s="599"/>
      <c r="I142" s="596"/>
      <c r="J142" s="596"/>
      <c r="K142" s="600"/>
      <c r="L142" s="595"/>
      <c r="M142" s="595"/>
      <c r="N142" s="595"/>
      <c r="O142" s="595"/>
      <c r="P142" s="595"/>
      <c r="Q142" s="595"/>
      <c r="R142" s="601"/>
    </row>
    <row r="143" spans="1:18" ht="27" customHeight="1">
      <c r="A143" s="595"/>
      <c r="B143" s="595"/>
      <c r="C143" s="596"/>
      <c r="D143" s="597"/>
      <c r="E143" s="595"/>
      <c r="F143" s="595"/>
      <c r="G143" s="598"/>
      <c r="H143" s="599"/>
      <c r="I143" s="596"/>
      <c r="J143" s="596"/>
      <c r="K143" s="600"/>
      <c r="L143" s="595"/>
      <c r="M143" s="595"/>
      <c r="N143" s="595"/>
      <c r="O143" s="595"/>
      <c r="P143" s="595"/>
      <c r="Q143" s="595"/>
      <c r="R143" s="601"/>
    </row>
    <row r="144" spans="1:18" ht="27" customHeight="1">
      <c r="A144" s="595"/>
      <c r="B144" s="595"/>
      <c r="C144" s="596"/>
      <c r="D144" s="597"/>
      <c r="E144" s="595"/>
      <c r="F144" s="595"/>
      <c r="G144" s="598"/>
      <c r="H144" s="599"/>
      <c r="I144" s="596"/>
      <c r="J144" s="596"/>
      <c r="K144" s="600"/>
      <c r="L144" s="595"/>
      <c r="M144" s="595"/>
      <c r="N144" s="595"/>
      <c r="O144" s="595"/>
      <c r="P144" s="595"/>
      <c r="Q144" s="595"/>
      <c r="R144" s="601"/>
    </row>
    <row r="145" spans="1:18" ht="27" customHeight="1">
      <c r="A145" s="595"/>
      <c r="B145" s="595"/>
      <c r="C145" s="596"/>
      <c r="D145" s="597"/>
      <c r="E145" s="595"/>
      <c r="F145" s="595"/>
      <c r="G145" s="598"/>
      <c r="H145" s="599"/>
      <c r="I145" s="596"/>
      <c r="J145" s="596"/>
      <c r="K145" s="600"/>
      <c r="L145" s="595"/>
      <c r="M145" s="595"/>
      <c r="N145" s="595"/>
      <c r="O145" s="595"/>
      <c r="P145" s="595"/>
      <c r="Q145" s="595"/>
      <c r="R145" s="601"/>
    </row>
    <row r="146" spans="1:18" ht="27" customHeight="1">
      <c r="A146" s="595"/>
      <c r="B146" s="595"/>
      <c r="C146" s="596"/>
      <c r="D146" s="597"/>
      <c r="E146" s="595"/>
      <c r="F146" s="595"/>
      <c r="G146" s="598"/>
      <c r="H146" s="599"/>
      <c r="I146" s="596"/>
      <c r="J146" s="596"/>
      <c r="K146" s="600"/>
      <c r="L146" s="595"/>
      <c r="M146" s="595"/>
      <c r="N146" s="595"/>
      <c r="O146" s="595"/>
      <c r="P146" s="595"/>
      <c r="Q146" s="595"/>
      <c r="R146" s="601"/>
    </row>
    <row r="147" spans="1:18" ht="27" customHeight="1">
      <c r="A147" s="595"/>
      <c r="B147" s="595"/>
      <c r="C147" s="596"/>
      <c r="D147" s="597"/>
      <c r="E147" s="595"/>
      <c r="F147" s="595"/>
      <c r="G147" s="598"/>
      <c r="H147" s="599"/>
      <c r="I147" s="596"/>
      <c r="J147" s="596"/>
      <c r="K147" s="600"/>
      <c r="L147" s="595"/>
      <c r="M147" s="595"/>
      <c r="N147" s="595"/>
      <c r="O147" s="595"/>
      <c r="P147" s="595"/>
      <c r="Q147" s="595"/>
      <c r="R147" s="601"/>
    </row>
    <row r="148" spans="1:18" ht="27" customHeight="1">
      <c r="A148" s="595"/>
      <c r="B148" s="595"/>
      <c r="C148" s="596"/>
      <c r="D148" s="597"/>
      <c r="E148" s="595"/>
      <c r="F148" s="595"/>
      <c r="G148" s="598"/>
      <c r="H148" s="599"/>
      <c r="I148" s="596"/>
      <c r="J148" s="596"/>
      <c r="K148" s="600"/>
      <c r="L148" s="595"/>
      <c r="M148" s="595"/>
      <c r="N148" s="595"/>
      <c r="O148" s="595"/>
      <c r="P148" s="595"/>
      <c r="Q148" s="595"/>
      <c r="R148" s="601"/>
    </row>
    <row r="149" spans="1:18" ht="27" customHeight="1">
      <c r="A149" s="595"/>
      <c r="B149" s="595"/>
      <c r="C149" s="596"/>
      <c r="D149" s="597"/>
      <c r="E149" s="595"/>
      <c r="F149" s="595"/>
      <c r="G149" s="598"/>
      <c r="H149" s="599"/>
      <c r="I149" s="596"/>
      <c r="J149" s="596"/>
      <c r="K149" s="600"/>
      <c r="L149" s="595"/>
      <c r="M149" s="595"/>
      <c r="N149" s="595"/>
      <c r="O149" s="595"/>
      <c r="P149" s="595"/>
      <c r="Q149" s="595"/>
      <c r="R149" s="601"/>
    </row>
    <row r="150" spans="1:18" ht="27" customHeight="1">
      <c r="A150" s="595"/>
      <c r="B150" s="595"/>
      <c r="C150" s="596"/>
      <c r="D150" s="597"/>
      <c r="E150" s="595"/>
      <c r="F150" s="595"/>
      <c r="G150" s="598"/>
      <c r="H150" s="599"/>
      <c r="I150" s="596"/>
      <c r="J150" s="596"/>
      <c r="K150" s="600"/>
      <c r="L150" s="595"/>
      <c r="M150" s="595"/>
      <c r="N150" s="595"/>
      <c r="O150" s="595"/>
      <c r="P150" s="595"/>
      <c r="Q150" s="595"/>
      <c r="R150" s="601"/>
    </row>
    <row r="151" spans="1:18" ht="27" customHeight="1">
      <c r="A151" s="595"/>
      <c r="B151" s="595"/>
      <c r="C151" s="596"/>
      <c r="D151" s="597"/>
      <c r="E151" s="595"/>
      <c r="F151" s="595"/>
      <c r="G151" s="598"/>
      <c r="H151" s="599"/>
      <c r="I151" s="596"/>
      <c r="J151" s="596"/>
      <c r="K151" s="600"/>
      <c r="L151" s="595"/>
      <c r="M151" s="595"/>
      <c r="N151" s="595"/>
      <c r="O151" s="595"/>
      <c r="P151" s="595"/>
      <c r="Q151" s="595"/>
      <c r="R151" s="601"/>
    </row>
    <row r="152" spans="1:18" ht="27" customHeight="1">
      <c r="A152" s="595"/>
      <c r="B152" s="595"/>
      <c r="C152" s="596"/>
      <c r="D152" s="597"/>
      <c r="E152" s="595"/>
      <c r="F152" s="595"/>
      <c r="G152" s="598"/>
      <c r="H152" s="599"/>
      <c r="I152" s="596"/>
      <c r="J152" s="596"/>
      <c r="K152" s="600"/>
      <c r="L152" s="595"/>
      <c r="M152" s="595"/>
      <c r="N152" s="595"/>
      <c r="O152" s="595"/>
      <c r="P152" s="595"/>
      <c r="Q152" s="595"/>
      <c r="R152" s="601"/>
    </row>
    <row r="153" spans="1:18" ht="27" customHeight="1">
      <c r="A153" s="595"/>
      <c r="B153" s="595"/>
      <c r="C153" s="596"/>
      <c r="D153" s="597"/>
      <c r="E153" s="595"/>
      <c r="F153" s="595"/>
      <c r="G153" s="598"/>
      <c r="H153" s="599"/>
      <c r="I153" s="596"/>
      <c r="J153" s="596"/>
      <c r="K153" s="600"/>
      <c r="L153" s="595"/>
      <c r="M153" s="595"/>
      <c r="N153" s="595"/>
      <c r="O153" s="595"/>
      <c r="P153" s="595"/>
      <c r="Q153" s="595"/>
      <c r="R153" s="601"/>
    </row>
    <row r="154" spans="1:18" ht="27" customHeight="1">
      <c r="A154" s="595"/>
      <c r="B154" s="595"/>
      <c r="C154" s="596"/>
      <c r="D154" s="597"/>
      <c r="E154" s="595"/>
      <c r="F154" s="595"/>
      <c r="G154" s="598"/>
      <c r="H154" s="599"/>
      <c r="I154" s="596"/>
      <c r="J154" s="596"/>
      <c r="K154" s="600"/>
      <c r="L154" s="595"/>
      <c r="M154" s="595"/>
      <c r="N154" s="595"/>
      <c r="O154" s="595"/>
      <c r="P154" s="595"/>
      <c r="Q154" s="595"/>
      <c r="R154" s="601"/>
    </row>
    <row r="155" spans="1:18" ht="27" customHeight="1">
      <c r="A155" s="595"/>
      <c r="B155" s="595"/>
      <c r="C155" s="596"/>
      <c r="D155" s="597"/>
      <c r="E155" s="595"/>
      <c r="F155" s="595"/>
      <c r="G155" s="598"/>
      <c r="H155" s="599"/>
      <c r="I155" s="596"/>
      <c r="J155" s="596"/>
      <c r="K155" s="600"/>
      <c r="L155" s="595"/>
      <c r="M155" s="595"/>
      <c r="N155" s="595"/>
      <c r="O155" s="595"/>
      <c r="P155" s="595"/>
      <c r="Q155" s="595"/>
      <c r="R155" s="601"/>
    </row>
    <row r="156" spans="1:18" ht="27" customHeight="1">
      <c r="A156" s="595"/>
      <c r="B156" s="595"/>
      <c r="C156" s="596"/>
      <c r="D156" s="597"/>
      <c r="E156" s="595"/>
      <c r="F156" s="595"/>
      <c r="G156" s="598"/>
      <c r="H156" s="599"/>
      <c r="I156" s="596"/>
      <c r="J156" s="596"/>
      <c r="K156" s="600"/>
      <c r="L156" s="595"/>
      <c r="M156" s="595"/>
      <c r="N156" s="595"/>
      <c r="O156" s="595"/>
      <c r="P156" s="595"/>
      <c r="Q156" s="595"/>
      <c r="R156" s="601"/>
    </row>
    <row r="157" spans="1:18" ht="27" customHeight="1">
      <c r="A157" s="595"/>
      <c r="B157" s="595"/>
      <c r="C157" s="596"/>
      <c r="D157" s="597"/>
      <c r="E157" s="595"/>
      <c r="F157" s="595"/>
      <c r="G157" s="598"/>
      <c r="H157" s="599"/>
      <c r="I157" s="596"/>
      <c r="J157" s="596"/>
      <c r="K157" s="600"/>
      <c r="L157" s="595"/>
      <c r="M157" s="595"/>
      <c r="N157" s="595"/>
      <c r="O157" s="595"/>
      <c r="P157" s="595"/>
      <c r="Q157" s="595"/>
      <c r="R157" s="601"/>
    </row>
    <row r="158" spans="1:18" ht="27" customHeight="1">
      <c r="A158" s="595"/>
      <c r="B158" s="595"/>
      <c r="C158" s="596"/>
      <c r="D158" s="597"/>
      <c r="E158" s="595"/>
      <c r="F158" s="595"/>
      <c r="G158" s="598"/>
      <c r="H158" s="599"/>
      <c r="I158" s="596"/>
      <c r="J158" s="596"/>
      <c r="K158" s="600"/>
      <c r="L158" s="595"/>
      <c r="M158" s="595"/>
      <c r="N158" s="595"/>
      <c r="O158" s="595"/>
      <c r="P158" s="595"/>
      <c r="Q158" s="595"/>
      <c r="R158" s="601"/>
    </row>
    <row r="159" spans="1:18" ht="27" customHeight="1">
      <c r="A159" s="595"/>
      <c r="B159" s="595"/>
      <c r="C159" s="596"/>
      <c r="D159" s="597"/>
      <c r="E159" s="595"/>
      <c r="F159" s="595"/>
      <c r="G159" s="598"/>
      <c r="H159" s="599"/>
      <c r="I159" s="596"/>
      <c r="J159" s="596"/>
      <c r="K159" s="600"/>
      <c r="L159" s="595"/>
      <c r="M159" s="595"/>
      <c r="N159" s="595"/>
      <c r="O159" s="595"/>
      <c r="P159" s="595"/>
      <c r="Q159" s="595"/>
      <c r="R159" s="601"/>
    </row>
    <row r="160" spans="1:18" ht="27" customHeight="1">
      <c r="A160" s="595"/>
      <c r="B160" s="595"/>
      <c r="C160" s="596"/>
      <c r="D160" s="597"/>
      <c r="E160" s="595"/>
      <c r="F160" s="595"/>
      <c r="G160" s="598"/>
      <c r="H160" s="599"/>
      <c r="I160" s="596"/>
      <c r="J160" s="596"/>
      <c r="K160" s="600"/>
      <c r="L160" s="595"/>
      <c r="M160" s="595"/>
      <c r="N160" s="595"/>
      <c r="O160" s="595"/>
      <c r="P160" s="595"/>
      <c r="Q160" s="595"/>
      <c r="R160" s="601"/>
    </row>
    <row r="161" spans="1:18" ht="27" customHeight="1">
      <c r="A161" s="595"/>
      <c r="B161" s="595"/>
      <c r="C161" s="596"/>
      <c r="D161" s="597"/>
      <c r="E161" s="595"/>
      <c r="F161" s="595"/>
      <c r="G161" s="598"/>
      <c r="H161" s="599"/>
      <c r="I161" s="596"/>
      <c r="J161" s="596"/>
      <c r="K161" s="600"/>
      <c r="L161" s="595"/>
      <c r="M161" s="595"/>
      <c r="N161" s="595"/>
      <c r="O161" s="595"/>
      <c r="P161" s="595"/>
      <c r="Q161" s="595"/>
      <c r="R161" s="601"/>
    </row>
    <row r="162" spans="1:18" ht="27" customHeight="1">
      <c r="A162" s="595"/>
      <c r="B162" s="595"/>
      <c r="C162" s="596"/>
      <c r="D162" s="597"/>
      <c r="E162" s="595"/>
      <c r="F162" s="595"/>
      <c r="G162" s="598"/>
      <c r="H162" s="599"/>
      <c r="I162" s="596"/>
      <c r="J162" s="596"/>
      <c r="K162" s="600"/>
      <c r="L162" s="595"/>
      <c r="M162" s="595"/>
      <c r="N162" s="595"/>
      <c r="O162" s="595"/>
      <c r="P162" s="595"/>
      <c r="Q162" s="595"/>
      <c r="R162" s="601"/>
    </row>
    <row r="163" spans="1:18" ht="27" customHeight="1">
      <c r="A163" s="595"/>
      <c r="B163" s="595"/>
      <c r="C163" s="596"/>
      <c r="D163" s="597"/>
      <c r="E163" s="595"/>
      <c r="F163" s="595"/>
      <c r="G163" s="598"/>
      <c r="H163" s="599"/>
      <c r="I163" s="596"/>
      <c r="J163" s="596"/>
      <c r="K163" s="600"/>
      <c r="L163" s="595"/>
      <c r="M163" s="595"/>
      <c r="N163" s="595"/>
      <c r="O163" s="595"/>
      <c r="P163" s="595"/>
      <c r="Q163" s="595"/>
      <c r="R163" s="601"/>
    </row>
    <row r="164" spans="1:18" ht="27" customHeight="1">
      <c r="A164" s="595"/>
      <c r="B164" s="595"/>
      <c r="C164" s="596"/>
      <c r="D164" s="597"/>
      <c r="E164" s="595"/>
      <c r="F164" s="595"/>
      <c r="G164" s="598"/>
      <c r="H164" s="599"/>
      <c r="I164" s="596"/>
      <c r="J164" s="596"/>
      <c r="K164" s="600"/>
      <c r="L164" s="595"/>
      <c r="M164" s="595"/>
      <c r="N164" s="595"/>
      <c r="O164" s="595"/>
      <c r="P164" s="595"/>
      <c r="Q164" s="595"/>
      <c r="R164" s="601"/>
    </row>
    <row r="165" spans="1:18" ht="27" customHeight="1">
      <c r="A165" s="595"/>
      <c r="B165" s="595"/>
      <c r="C165" s="596"/>
      <c r="D165" s="597"/>
      <c r="E165" s="595"/>
      <c r="F165" s="595"/>
      <c r="G165" s="598"/>
      <c r="H165" s="599"/>
      <c r="I165" s="596"/>
      <c r="J165" s="596"/>
      <c r="K165" s="600"/>
      <c r="L165" s="595"/>
      <c r="M165" s="595"/>
      <c r="N165" s="595"/>
      <c r="O165" s="595"/>
      <c r="P165" s="595"/>
      <c r="Q165" s="595"/>
      <c r="R165" s="601"/>
    </row>
    <row r="166" spans="1:18" ht="27" customHeight="1">
      <c r="A166" s="595"/>
      <c r="B166" s="595"/>
      <c r="C166" s="596"/>
      <c r="D166" s="597"/>
      <c r="E166" s="595"/>
      <c r="F166" s="595"/>
      <c r="G166" s="598"/>
      <c r="H166" s="599"/>
      <c r="I166" s="596"/>
      <c r="J166" s="596"/>
      <c r="K166" s="600"/>
      <c r="L166" s="595"/>
      <c r="M166" s="595"/>
      <c r="N166" s="595"/>
      <c r="O166" s="595"/>
      <c r="P166" s="595"/>
      <c r="Q166" s="595"/>
      <c r="R166" s="601"/>
    </row>
    <row r="167" spans="1:18" ht="27" customHeight="1">
      <c r="A167" s="595"/>
      <c r="B167" s="595"/>
      <c r="C167" s="596"/>
      <c r="D167" s="597"/>
      <c r="E167" s="595"/>
      <c r="F167" s="595"/>
      <c r="G167" s="598"/>
      <c r="H167" s="599"/>
      <c r="I167" s="596"/>
      <c r="J167" s="596"/>
      <c r="K167" s="600"/>
      <c r="L167" s="595"/>
      <c r="M167" s="595"/>
      <c r="N167" s="595"/>
      <c r="O167" s="595"/>
      <c r="P167" s="595"/>
      <c r="Q167" s="595"/>
      <c r="R167" s="601"/>
    </row>
    <row r="168" spans="1:18" ht="27" customHeight="1">
      <c r="A168" s="595"/>
      <c r="B168" s="595"/>
      <c r="C168" s="596"/>
      <c r="D168" s="597"/>
      <c r="E168" s="595"/>
      <c r="F168" s="595"/>
      <c r="G168" s="598"/>
      <c r="H168" s="599"/>
      <c r="I168" s="596"/>
      <c r="J168" s="596"/>
      <c r="K168" s="600"/>
      <c r="L168" s="595"/>
      <c r="M168" s="595"/>
      <c r="N168" s="595"/>
      <c r="O168" s="595"/>
      <c r="P168" s="595"/>
      <c r="Q168" s="595"/>
      <c r="R168" s="601"/>
    </row>
    <row r="169" spans="1:18" ht="27" customHeight="1">
      <c r="A169" s="595"/>
      <c r="B169" s="595"/>
      <c r="C169" s="596"/>
      <c r="D169" s="597"/>
      <c r="E169" s="595"/>
      <c r="F169" s="595"/>
      <c r="G169" s="598"/>
      <c r="H169" s="599"/>
      <c r="I169" s="596"/>
      <c r="J169" s="596"/>
      <c r="K169" s="600"/>
      <c r="L169" s="595"/>
      <c r="M169" s="595"/>
      <c r="N169" s="595"/>
      <c r="O169" s="595"/>
      <c r="P169" s="595"/>
      <c r="Q169" s="595"/>
      <c r="R169" s="601"/>
    </row>
    <row r="170" spans="1:18" ht="27" customHeight="1">
      <c r="A170" s="595"/>
      <c r="B170" s="595"/>
      <c r="C170" s="596"/>
      <c r="D170" s="597"/>
      <c r="E170" s="595"/>
      <c r="F170" s="595"/>
      <c r="G170" s="598"/>
      <c r="H170" s="599"/>
      <c r="I170" s="596"/>
      <c r="J170" s="596"/>
      <c r="K170" s="600"/>
      <c r="L170" s="595"/>
      <c r="M170" s="595"/>
      <c r="N170" s="595"/>
      <c r="O170" s="595"/>
      <c r="P170" s="595"/>
      <c r="Q170" s="595"/>
      <c r="R170" s="601"/>
    </row>
    <row r="171" spans="1:18" ht="27" customHeight="1">
      <c r="A171" s="595"/>
      <c r="B171" s="595"/>
      <c r="C171" s="596"/>
      <c r="D171" s="597"/>
      <c r="E171" s="595"/>
      <c r="F171" s="595"/>
      <c r="G171" s="598"/>
      <c r="H171" s="599"/>
      <c r="I171" s="596"/>
      <c r="J171" s="596"/>
      <c r="K171" s="600"/>
      <c r="L171" s="595"/>
      <c r="M171" s="595"/>
      <c r="N171" s="595"/>
      <c r="O171" s="595"/>
      <c r="P171" s="595"/>
      <c r="Q171" s="595"/>
      <c r="R171" s="601"/>
    </row>
    <row r="172" spans="1:18" ht="27" customHeight="1">
      <c r="A172" s="595"/>
      <c r="B172" s="595"/>
      <c r="C172" s="596"/>
      <c r="D172" s="597"/>
      <c r="E172" s="595"/>
      <c r="F172" s="595"/>
      <c r="G172" s="598"/>
      <c r="H172" s="599"/>
      <c r="I172" s="596"/>
      <c r="J172" s="596"/>
      <c r="K172" s="600"/>
      <c r="L172" s="595"/>
      <c r="M172" s="595"/>
      <c r="N172" s="595"/>
      <c r="O172" s="595"/>
      <c r="P172" s="595"/>
      <c r="Q172" s="595"/>
      <c r="R172" s="601"/>
    </row>
    <row r="173" spans="1:18" ht="27" customHeight="1">
      <c r="A173" s="595"/>
      <c r="B173" s="595"/>
      <c r="C173" s="596"/>
      <c r="D173" s="597"/>
      <c r="E173" s="595"/>
      <c r="F173" s="595"/>
      <c r="G173" s="598"/>
      <c r="H173" s="599"/>
      <c r="I173" s="596"/>
      <c r="J173" s="596"/>
      <c r="K173" s="600"/>
      <c r="L173" s="595"/>
      <c r="M173" s="595"/>
      <c r="N173" s="595"/>
      <c r="O173" s="595"/>
      <c r="P173" s="595"/>
      <c r="Q173" s="595"/>
      <c r="R173" s="601"/>
    </row>
    <row r="174" spans="1:18" ht="27" customHeight="1">
      <c r="A174" s="595"/>
      <c r="B174" s="595"/>
      <c r="C174" s="596"/>
      <c r="D174" s="597"/>
      <c r="E174" s="595"/>
      <c r="F174" s="595"/>
      <c r="G174" s="598"/>
      <c r="H174" s="599"/>
      <c r="I174" s="596"/>
      <c r="J174" s="596"/>
      <c r="K174" s="600"/>
      <c r="L174" s="595"/>
      <c r="M174" s="595"/>
      <c r="N174" s="595"/>
      <c r="O174" s="595"/>
      <c r="P174" s="595"/>
      <c r="Q174" s="595"/>
      <c r="R174" s="601"/>
    </row>
    <row r="175" spans="1:18" ht="27" customHeight="1">
      <c r="A175" s="595"/>
      <c r="B175" s="595"/>
      <c r="C175" s="596"/>
      <c r="D175" s="597"/>
      <c r="E175" s="595"/>
      <c r="F175" s="595"/>
      <c r="G175" s="598"/>
      <c r="H175" s="599"/>
      <c r="I175" s="596"/>
      <c r="J175" s="596"/>
      <c r="K175" s="600"/>
      <c r="L175" s="595"/>
      <c r="M175" s="595"/>
      <c r="N175" s="595"/>
      <c r="O175" s="595"/>
      <c r="P175" s="595"/>
      <c r="Q175" s="595"/>
      <c r="R175" s="601"/>
    </row>
    <row r="176" spans="1:18" ht="27" customHeight="1">
      <c r="A176" s="595"/>
      <c r="B176" s="595"/>
      <c r="C176" s="596"/>
      <c r="D176" s="597"/>
      <c r="E176" s="595"/>
      <c r="F176" s="595"/>
      <c r="G176" s="598"/>
      <c r="H176" s="599"/>
      <c r="I176" s="596"/>
      <c r="J176" s="596"/>
      <c r="K176" s="600"/>
      <c r="L176" s="595"/>
      <c r="M176" s="595"/>
      <c r="N176" s="595"/>
      <c r="O176" s="595"/>
      <c r="P176" s="595"/>
      <c r="Q176" s="595"/>
      <c r="R176" s="601"/>
    </row>
    <row r="177" spans="1:18" ht="27" customHeight="1">
      <c r="A177" s="595"/>
      <c r="B177" s="595"/>
      <c r="C177" s="596"/>
      <c r="D177" s="597"/>
      <c r="E177" s="595"/>
      <c r="F177" s="595"/>
      <c r="G177" s="598"/>
      <c r="H177" s="599"/>
      <c r="I177" s="596"/>
      <c r="J177" s="596"/>
      <c r="K177" s="600"/>
      <c r="L177" s="595"/>
      <c r="M177" s="595"/>
      <c r="N177" s="595"/>
      <c r="O177" s="595"/>
      <c r="P177" s="595"/>
      <c r="Q177" s="595"/>
      <c r="R177" s="601"/>
    </row>
    <row r="178" spans="1:18" ht="27" customHeight="1">
      <c r="A178" s="595"/>
      <c r="B178" s="595"/>
      <c r="C178" s="596"/>
      <c r="D178" s="597"/>
      <c r="E178" s="595"/>
      <c r="F178" s="595"/>
      <c r="G178" s="598"/>
      <c r="H178" s="599"/>
      <c r="I178" s="596"/>
      <c r="J178" s="596"/>
      <c r="K178" s="600"/>
      <c r="L178" s="595"/>
      <c r="M178" s="595"/>
      <c r="N178" s="595"/>
      <c r="O178" s="595"/>
      <c r="P178" s="595"/>
      <c r="Q178" s="595"/>
      <c r="R178" s="601"/>
    </row>
    <row r="179" spans="1:18" ht="27" customHeight="1">
      <c r="A179" s="595"/>
      <c r="B179" s="595"/>
      <c r="C179" s="596"/>
      <c r="D179" s="597"/>
      <c r="E179" s="595"/>
      <c r="F179" s="595"/>
      <c r="G179" s="598"/>
      <c r="H179" s="599"/>
      <c r="I179" s="596"/>
      <c r="J179" s="596"/>
      <c r="K179" s="600"/>
      <c r="L179" s="595"/>
      <c r="M179" s="595"/>
      <c r="N179" s="595"/>
      <c r="O179" s="595"/>
      <c r="P179" s="595"/>
      <c r="Q179" s="595"/>
      <c r="R179" s="601"/>
    </row>
    <row r="180" spans="1:18" ht="27" customHeight="1">
      <c r="A180" s="595"/>
      <c r="B180" s="595"/>
      <c r="C180" s="596"/>
      <c r="D180" s="597"/>
      <c r="E180" s="595"/>
      <c r="F180" s="595"/>
      <c r="G180" s="598"/>
      <c r="H180" s="599"/>
      <c r="I180" s="596"/>
      <c r="J180" s="596"/>
      <c r="K180" s="600"/>
      <c r="L180" s="595"/>
      <c r="M180" s="595"/>
      <c r="N180" s="595"/>
      <c r="O180" s="595"/>
      <c r="P180" s="595"/>
      <c r="Q180" s="595"/>
      <c r="R180" s="601"/>
    </row>
    <row r="181" spans="1:18" ht="27" customHeight="1">
      <c r="A181" s="595"/>
      <c r="B181" s="595"/>
      <c r="C181" s="596"/>
      <c r="D181" s="597"/>
      <c r="E181" s="595"/>
      <c r="F181" s="595"/>
      <c r="G181" s="598"/>
      <c r="H181" s="599"/>
      <c r="I181" s="596"/>
      <c r="J181" s="596"/>
      <c r="K181" s="600"/>
      <c r="L181" s="595"/>
      <c r="M181" s="595"/>
      <c r="N181" s="595"/>
      <c r="O181" s="595"/>
      <c r="P181" s="595"/>
      <c r="Q181" s="595"/>
      <c r="R181" s="601"/>
    </row>
    <row r="182" spans="1:18" ht="27" customHeight="1">
      <c r="A182" s="595"/>
      <c r="B182" s="595"/>
      <c r="C182" s="596"/>
      <c r="D182" s="597"/>
      <c r="E182" s="595"/>
      <c r="F182" s="595"/>
      <c r="G182" s="598"/>
      <c r="H182" s="599"/>
      <c r="I182" s="596"/>
      <c r="J182" s="596"/>
      <c r="K182" s="600"/>
      <c r="L182" s="595"/>
      <c r="M182" s="595"/>
      <c r="N182" s="595"/>
      <c r="O182" s="595"/>
      <c r="P182" s="595"/>
      <c r="Q182" s="595"/>
      <c r="R182" s="601"/>
    </row>
    <row r="183" spans="1:18" ht="27" customHeight="1">
      <c r="A183" s="595"/>
      <c r="B183" s="595"/>
      <c r="C183" s="596"/>
      <c r="D183" s="597"/>
      <c r="E183" s="595"/>
      <c r="F183" s="595"/>
      <c r="G183" s="598"/>
      <c r="H183" s="599"/>
      <c r="I183" s="596"/>
      <c r="J183" s="596"/>
      <c r="K183" s="600"/>
      <c r="L183" s="595"/>
      <c r="M183" s="595"/>
      <c r="N183" s="595"/>
      <c r="O183" s="595"/>
      <c r="P183" s="595"/>
      <c r="Q183" s="595"/>
      <c r="R183" s="601"/>
    </row>
    <row r="184" spans="1:18" ht="27" customHeight="1">
      <c r="A184" s="595"/>
      <c r="B184" s="595"/>
      <c r="C184" s="596"/>
      <c r="D184" s="597"/>
      <c r="E184" s="595"/>
      <c r="F184" s="595"/>
      <c r="G184" s="598"/>
      <c r="H184" s="599"/>
      <c r="I184" s="596"/>
      <c r="J184" s="596"/>
      <c r="K184" s="600"/>
      <c r="L184" s="595"/>
      <c r="M184" s="595"/>
      <c r="N184" s="595"/>
      <c r="O184" s="595"/>
      <c r="P184" s="595"/>
      <c r="Q184" s="595"/>
      <c r="R184" s="601"/>
    </row>
    <row r="185" spans="1:18" ht="27" customHeight="1">
      <c r="A185" s="595"/>
      <c r="B185" s="595"/>
      <c r="C185" s="596"/>
      <c r="D185" s="597"/>
      <c r="E185" s="595"/>
      <c r="F185" s="595"/>
      <c r="G185" s="598"/>
      <c r="H185" s="599"/>
      <c r="I185" s="596"/>
      <c r="J185" s="596"/>
      <c r="K185" s="600"/>
      <c r="L185" s="595"/>
      <c r="M185" s="595"/>
      <c r="N185" s="595"/>
      <c r="O185" s="595"/>
      <c r="P185" s="595"/>
      <c r="Q185" s="595"/>
      <c r="R185" s="601"/>
    </row>
    <row r="186" spans="1:18" ht="27" customHeight="1">
      <c r="A186" s="595"/>
      <c r="B186" s="595"/>
      <c r="C186" s="596"/>
      <c r="D186" s="597"/>
      <c r="E186" s="595"/>
      <c r="F186" s="595"/>
      <c r="G186" s="598"/>
      <c r="H186" s="599"/>
      <c r="I186" s="596"/>
      <c r="J186" s="596"/>
      <c r="K186" s="600"/>
      <c r="L186" s="595"/>
      <c r="M186" s="595"/>
      <c r="N186" s="595"/>
      <c r="O186" s="595"/>
      <c r="P186" s="595"/>
      <c r="Q186" s="595"/>
      <c r="R186" s="601"/>
    </row>
    <row r="187" spans="1:18" ht="27" customHeight="1">
      <c r="A187" s="595"/>
      <c r="B187" s="595"/>
      <c r="C187" s="596"/>
      <c r="D187" s="597"/>
      <c r="E187" s="595"/>
      <c r="F187" s="595"/>
      <c r="G187" s="598"/>
      <c r="H187" s="599"/>
      <c r="I187" s="596"/>
      <c r="J187" s="596"/>
      <c r="K187" s="600"/>
      <c r="L187" s="595"/>
      <c r="M187" s="595"/>
      <c r="N187" s="595"/>
      <c r="O187" s="595"/>
      <c r="P187" s="595"/>
      <c r="Q187" s="595"/>
      <c r="R187" s="601"/>
    </row>
    <row r="188" spans="1:18" ht="27" customHeight="1">
      <c r="A188" s="595"/>
      <c r="B188" s="595"/>
      <c r="C188" s="596"/>
      <c r="D188" s="597"/>
      <c r="E188" s="595"/>
      <c r="F188" s="595"/>
      <c r="G188" s="598"/>
      <c r="H188" s="599"/>
      <c r="I188" s="596"/>
      <c r="J188" s="596"/>
      <c r="K188" s="600"/>
      <c r="L188" s="595"/>
      <c r="M188" s="595"/>
      <c r="N188" s="595"/>
      <c r="O188" s="595"/>
      <c r="P188" s="595"/>
      <c r="Q188" s="595"/>
      <c r="R188" s="601"/>
    </row>
    <row r="189" spans="1:18" ht="27" customHeight="1">
      <c r="A189" s="595"/>
      <c r="B189" s="595"/>
      <c r="C189" s="596"/>
      <c r="D189" s="597"/>
      <c r="E189" s="595"/>
      <c r="F189" s="595"/>
      <c r="G189" s="598"/>
      <c r="H189" s="599"/>
      <c r="I189" s="596"/>
      <c r="J189" s="596"/>
      <c r="K189" s="600"/>
      <c r="L189" s="595"/>
      <c r="M189" s="595"/>
      <c r="N189" s="595"/>
      <c r="O189" s="595"/>
      <c r="P189" s="595"/>
      <c r="Q189" s="595"/>
      <c r="R189" s="601"/>
    </row>
    <row r="190" spans="1:18" ht="27" customHeight="1">
      <c r="A190" s="595"/>
      <c r="B190" s="595"/>
      <c r="C190" s="596"/>
      <c r="D190" s="597"/>
      <c r="E190" s="595"/>
      <c r="F190" s="595"/>
      <c r="G190" s="598"/>
      <c r="H190" s="599"/>
      <c r="I190" s="596"/>
      <c r="J190" s="596"/>
      <c r="K190" s="600"/>
      <c r="L190" s="595"/>
      <c r="M190" s="595"/>
      <c r="N190" s="595"/>
      <c r="O190" s="595"/>
      <c r="P190" s="595"/>
      <c r="Q190" s="595"/>
      <c r="R190" s="601"/>
    </row>
    <row r="191" spans="1:18" ht="27" customHeight="1">
      <c r="A191" s="595"/>
      <c r="B191" s="595"/>
      <c r="C191" s="596"/>
      <c r="D191" s="597"/>
      <c r="E191" s="595"/>
      <c r="F191" s="595"/>
      <c r="G191" s="598"/>
      <c r="H191" s="599"/>
      <c r="I191" s="596"/>
      <c r="J191" s="596"/>
      <c r="K191" s="600"/>
      <c r="L191" s="595"/>
      <c r="M191" s="595"/>
      <c r="N191" s="595"/>
      <c r="O191" s="595"/>
      <c r="P191" s="595"/>
      <c r="Q191" s="595"/>
      <c r="R191" s="601"/>
    </row>
    <row r="192" spans="1:18" ht="27" customHeight="1">
      <c r="A192" s="595"/>
      <c r="B192" s="595"/>
      <c r="C192" s="596"/>
      <c r="D192" s="597"/>
      <c r="E192" s="595"/>
      <c r="F192" s="595"/>
      <c r="G192" s="598"/>
      <c r="H192" s="599"/>
      <c r="I192" s="596"/>
      <c r="J192" s="596"/>
      <c r="K192" s="600"/>
      <c r="L192" s="595"/>
      <c r="M192" s="595"/>
      <c r="N192" s="595"/>
      <c r="O192" s="595"/>
      <c r="P192" s="595"/>
      <c r="Q192" s="595"/>
      <c r="R192" s="601"/>
    </row>
    <row r="193" spans="1:18" ht="27" customHeight="1">
      <c r="A193" s="595"/>
      <c r="B193" s="595"/>
      <c r="C193" s="596"/>
      <c r="D193" s="597"/>
      <c r="E193" s="595"/>
      <c r="F193" s="595"/>
      <c r="G193" s="598"/>
      <c r="H193" s="599"/>
      <c r="I193" s="596"/>
      <c r="J193" s="596"/>
      <c r="K193" s="600"/>
      <c r="L193" s="595"/>
      <c r="M193" s="595"/>
      <c r="N193" s="595"/>
      <c r="O193" s="595"/>
      <c r="P193" s="595"/>
      <c r="Q193" s="595"/>
      <c r="R193" s="601"/>
    </row>
    <row r="194" spans="1:18" ht="27" customHeight="1">
      <c r="A194" s="595"/>
      <c r="B194" s="595"/>
      <c r="C194" s="596"/>
      <c r="D194" s="597"/>
      <c r="E194" s="595"/>
      <c r="F194" s="595"/>
      <c r="G194" s="598"/>
      <c r="H194" s="599"/>
      <c r="I194" s="596"/>
      <c r="J194" s="596"/>
      <c r="K194" s="600"/>
      <c r="L194" s="595"/>
      <c r="M194" s="595"/>
      <c r="N194" s="595"/>
      <c r="O194" s="595"/>
      <c r="P194" s="595"/>
      <c r="Q194" s="595"/>
      <c r="R194" s="601"/>
    </row>
    <row r="195" spans="1:18" ht="27" customHeight="1">
      <c r="A195" s="595"/>
      <c r="B195" s="595"/>
      <c r="C195" s="596"/>
      <c r="D195" s="597"/>
      <c r="E195" s="595"/>
      <c r="F195" s="595"/>
      <c r="G195" s="598"/>
      <c r="H195" s="599"/>
      <c r="I195" s="596"/>
      <c r="J195" s="596"/>
      <c r="K195" s="600"/>
      <c r="L195" s="595"/>
      <c r="M195" s="595"/>
      <c r="N195" s="595"/>
      <c r="O195" s="595"/>
      <c r="P195" s="595"/>
      <c r="Q195" s="595"/>
      <c r="R195" s="601"/>
    </row>
    <row r="196" spans="1:18" ht="27" customHeight="1">
      <c r="A196" s="595"/>
      <c r="B196" s="595"/>
      <c r="C196" s="596"/>
      <c r="D196" s="597"/>
      <c r="E196" s="595"/>
      <c r="F196" s="595"/>
      <c r="G196" s="598"/>
      <c r="H196" s="599"/>
      <c r="I196" s="596"/>
      <c r="J196" s="596"/>
      <c r="K196" s="600"/>
      <c r="L196" s="595"/>
      <c r="M196" s="595"/>
      <c r="N196" s="595"/>
      <c r="O196" s="595"/>
      <c r="P196" s="595"/>
      <c r="Q196" s="595"/>
      <c r="R196" s="601"/>
    </row>
    <row r="197" spans="1:18" ht="27" customHeight="1">
      <c r="A197" s="595"/>
      <c r="B197" s="595"/>
      <c r="C197" s="596"/>
      <c r="D197" s="597"/>
      <c r="E197" s="595"/>
      <c r="F197" s="595"/>
      <c r="G197" s="598"/>
      <c r="H197" s="599"/>
      <c r="I197" s="596"/>
      <c r="J197" s="596"/>
      <c r="K197" s="600"/>
      <c r="L197" s="595"/>
      <c r="M197" s="595"/>
      <c r="N197" s="595"/>
      <c r="O197" s="595"/>
      <c r="P197" s="595"/>
      <c r="Q197" s="595"/>
      <c r="R197" s="601"/>
    </row>
    <row r="198" spans="1:18" ht="27" customHeight="1">
      <c r="A198" s="595"/>
      <c r="B198" s="595"/>
      <c r="C198" s="596"/>
      <c r="D198" s="597"/>
      <c r="E198" s="595"/>
      <c r="F198" s="595"/>
      <c r="G198" s="598"/>
      <c r="H198" s="599"/>
      <c r="I198" s="596"/>
      <c r="J198" s="596"/>
      <c r="K198" s="600"/>
      <c r="L198" s="595"/>
      <c r="M198" s="595"/>
      <c r="N198" s="595"/>
      <c r="O198" s="595"/>
      <c r="P198" s="595"/>
      <c r="Q198" s="595"/>
      <c r="R198" s="601"/>
    </row>
    <row r="199" spans="1:18" ht="27" customHeight="1">
      <c r="A199" s="595"/>
      <c r="B199" s="595"/>
      <c r="C199" s="596"/>
      <c r="D199" s="597"/>
      <c r="E199" s="595"/>
      <c r="F199" s="595"/>
      <c r="G199" s="598"/>
      <c r="H199" s="599"/>
      <c r="I199" s="596"/>
      <c r="J199" s="596"/>
      <c r="K199" s="600"/>
      <c r="L199" s="595"/>
      <c r="M199" s="595"/>
      <c r="N199" s="595"/>
      <c r="O199" s="595"/>
      <c r="P199" s="595"/>
      <c r="Q199" s="595"/>
      <c r="R199" s="601"/>
    </row>
    <row r="200" spans="1:18" ht="27" customHeight="1">
      <c r="A200" s="595"/>
      <c r="B200" s="595"/>
      <c r="C200" s="596"/>
      <c r="D200" s="597"/>
      <c r="E200" s="595"/>
      <c r="F200" s="595"/>
      <c r="G200" s="598"/>
      <c r="H200" s="599"/>
      <c r="I200" s="596"/>
      <c r="J200" s="596"/>
      <c r="K200" s="600"/>
      <c r="L200" s="595"/>
      <c r="M200" s="595"/>
      <c r="N200" s="595"/>
      <c r="O200" s="595"/>
      <c r="P200" s="595"/>
      <c r="Q200" s="595"/>
      <c r="R200" s="601"/>
    </row>
    <row r="201" spans="1:18" ht="27" customHeight="1">
      <c r="A201" s="595"/>
      <c r="B201" s="595"/>
      <c r="C201" s="596"/>
      <c r="D201" s="597"/>
      <c r="E201" s="595"/>
      <c r="F201" s="595"/>
      <c r="G201" s="598"/>
      <c r="H201" s="599"/>
      <c r="I201" s="596"/>
      <c r="J201" s="596"/>
      <c r="K201" s="600"/>
      <c r="L201" s="595"/>
      <c r="M201" s="595"/>
      <c r="N201" s="595"/>
      <c r="O201" s="595"/>
      <c r="P201" s="595"/>
      <c r="Q201" s="595"/>
      <c r="R201" s="601"/>
    </row>
    <row r="202" spans="1:18" ht="27" customHeight="1">
      <c r="A202" s="595"/>
      <c r="B202" s="595"/>
      <c r="C202" s="596"/>
      <c r="D202" s="597"/>
      <c r="E202" s="595"/>
      <c r="F202" s="595"/>
      <c r="G202" s="598"/>
      <c r="H202" s="599"/>
      <c r="I202" s="596"/>
      <c r="J202" s="596"/>
      <c r="K202" s="600"/>
      <c r="L202" s="595"/>
      <c r="M202" s="595"/>
      <c r="N202" s="595"/>
      <c r="O202" s="595"/>
      <c r="P202" s="595"/>
      <c r="Q202" s="595"/>
      <c r="R202" s="601"/>
    </row>
    <row r="203" spans="1:18" ht="27" customHeight="1">
      <c r="A203" s="595"/>
      <c r="B203" s="595"/>
      <c r="C203" s="596"/>
      <c r="D203" s="597"/>
      <c r="E203" s="595"/>
      <c r="F203" s="595"/>
      <c r="G203" s="598"/>
      <c r="H203" s="599"/>
      <c r="I203" s="596"/>
      <c r="J203" s="596"/>
      <c r="K203" s="600"/>
      <c r="L203" s="595"/>
      <c r="M203" s="595"/>
      <c r="N203" s="595"/>
      <c r="O203" s="595"/>
      <c r="P203" s="595"/>
      <c r="Q203" s="595"/>
      <c r="R203" s="601"/>
    </row>
    <row r="204" spans="1:18" ht="27" customHeight="1">
      <c r="A204" s="595"/>
      <c r="B204" s="595"/>
      <c r="C204" s="596"/>
      <c r="D204" s="597"/>
      <c r="E204" s="595"/>
      <c r="F204" s="595"/>
      <c r="G204" s="598"/>
      <c r="H204" s="599"/>
      <c r="I204" s="596"/>
      <c r="J204" s="596"/>
      <c r="K204" s="600"/>
      <c r="L204" s="595"/>
      <c r="M204" s="595"/>
      <c r="N204" s="595"/>
      <c r="O204" s="595"/>
      <c r="P204" s="595"/>
      <c r="Q204" s="595"/>
      <c r="R204" s="601"/>
    </row>
    <row r="205" spans="1:18" ht="27" customHeight="1">
      <c r="A205" s="595"/>
      <c r="B205" s="595"/>
      <c r="C205" s="596"/>
      <c r="D205" s="597"/>
      <c r="E205" s="595"/>
      <c r="F205" s="595"/>
      <c r="G205" s="598"/>
      <c r="H205" s="599"/>
      <c r="I205" s="596"/>
      <c r="J205" s="596"/>
      <c r="K205" s="600"/>
      <c r="L205" s="595"/>
      <c r="M205" s="596"/>
      <c r="N205" s="596"/>
      <c r="O205" s="595"/>
      <c r="P205" s="595"/>
      <c r="Q205" s="596"/>
      <c r="R205" s="601"/>
    </row>
    <row r="206" spans="1:18" ht="27" customHeight="1">
      <c r="A206" s="595"/>
      <c r="B206" s="595"/>
      <c r="C206" s="596"/>
      <c r="D206" s="597"/>
      <c r="E206" s="595"/>
      <c r="F206" s="595"/>
      <c r="G206" s="598"/>
      <c r="H206" s="599"/>
      <c r="I206" s="596"/>
      <c r="J206" s="596"/>
      <c r="K206" s="600"/>
      <c r="L206" s="595"/>
      <c r="M206" s="596"/>
      <c r="N206" s="596"/>
      <c r="O206" s="595"/>
      <c r="P206" s="595"/>
      <c r="Q206" s="596"/>
      <c r="R206" s="601"/>
    </row>
    <row r="207" spans="1:18" ht="27" customHeight="1">
      <c r="A207" s="595"/>
      <c r="B207" s="595"/>
      <c r="C207" s="596"/>
      <c r="D207" s="597"/>
      <c r="E207" s="595"/>
      <c r="F207" s="595"/>
      <c r="G207" s="598"/>
      <c r="H207" s="599"/>
      <c r="I207" s="596"/>
      <c r="J207" s="596"/>
      <c r="K207" s="600"/>
      <c r="L207" s="595"/>
      <c r="M207" s="596"/>
      <c r="N207" s="596"/>
      <c r="O207" s="595"/>
      <c r="P207" s="595"/>
      <c r="Q207" s="596"/>
      <c r="R207" s="601"/>
    </row>
    <row r="208" spans="1:18" ht="27" customHeight="1">
      <c r="A208" s="595"/>
      <c r="B208" s="595"/>
      <c r="C208" s="596"/>
      <c r="D208" s="597"/>
      <c r="E208" s="595"/>
      <c r="F208" s="595"/>
      <c r="G208" s="598"/>
      <c r="H208" s="599"/>
      <c r="I208" s="596"/>
      <c r="J208" s="596"/>
      <c r="K208" s="600"/>
      <c r="L208" s="595"/>
      <c r="M208" s="596"/>
      <c r="N208" s="596"/>
      <c r="O208" s="595"/>
      <c r="P208" s="595"/>
      <c r="Q208" s="596"/>
      <c r="R208" s="601"/>
    </row>
    <row r="209" spans="1:18" ht="27" customHeight="1">
      <c r="A209" s="595"/>
      <c r="B209" s="595"/>
      <c r="C209" s="596"/>
      <c r="D209" s="597"/>
      <c r="E209" s="595"/>
      <c r="F209" s="595"/>
      <c r="G209" s="598"/>
      <c r="H209" s="599"/>
      <c r="I209" s="596"/>
      <c r="J209" s="596"/>
      <c r="K209" s="600"/>
      <c r="L209" s="595"/>
      <c r="M209" s="596"/>
      <c r="N209" s="596"/>
      <c r="O209" s="595"/>
      <c r="P209" s="595"/>
      <c r="Q209" s="596"/>
      <c r="R209" s="601"/>
    </row>
    <row r="210" spans="1:18" ht="27" customHeight="1">
      <c r="A210" s="595"/>
      <c r="B210" s="595"/>
      <c r="C210" s="596"/>
      <c r="D210" s="597"/>
      <c r="E210" s="595"/>
      <c r="F210" s="595"/>
      <c r="G210" s="598"/>
      <c r="H210" s="599"/>
      <c r="I210" s="596"/>
      <c r="J210" s="596"/>
      <c r="K210" s="600"/>
      <c r="L210" s="595"/>
      <c r="M210" s="596"/>
      <c r="N210" s="596"/>
      <c r="O210" s="595"/>
      <c r="P210" s="595"/>
      <c r="Q210" s="596"/>
      <c r="R210" s="601"/>
    </row>
    <row r="211" spans="1:18" ht="27" customHeight="1">
      <c r="A211" s="595"/>
      <c r="B211" s="595"/>
      <c r="C211" s="596"/>
      <c r="D211" s="597"/>
      <c r="E211" s="595"/>
      <c r="F211" s="595"/>
      <c r="G211" s="598"/>
      <c r="H211" s="599"/>
      <c r="I211" s="596"/>
      <c r="J211" s="596"/>
      <c r="K211" s="600"/>
      <c r="L211" s="595"/>
      <c r="M211" s="596"/>
      <c r="N211" s="596"/>
      <c r="O211" s="595"/>
      <c r="P211" s="595"/>
      <c r="Q211" s="596"/>
      <c r="R211" s="601"/>
    </row>
    <row r="212" spans="1:18" ht="27" customHeight="1">
      <c r="A212" s="595"/>
      <c r="B212" s="595"/>
      <c r="C212" s="596"/>
      <c r="D212" s="597"/>
      <c r="E212" s="595"/>
      <c r="F212" s="595"/>
      <c r="G212" s="598"/>
      <c r="H212" s="599"/>
      <c r="I212" s="596"/>
      <c r="J212" s="596"/>
      <c r="K212" s="600"/>
      <c r="L212" s="595"/>
      <c r="M212" s="596"/>
      <c r="N212" s="596"/>
      <c r="O212" s="595"/>
      <c r="P212" s="595"/>
      <c r="Q212" s="596"/>
      <c r="R212" s="601"/>
    </row>
    <row r="213" spans="1:18" ht="27" customHeight="1">
      <c r="A213" s="595"/>
      <c r="B213" s="595"/>
      <c r="C213" s="596"/>
      <c r="D213" s="597"/>
      <c r="E213" s="595"/>
      <c r="F213" s="595"/>
      <c r="G213" s="598"/>
      <c r="H213" s="599"/>
      <c r="I213" s="596"/>
      <c r="J213" s="596"/>
      <c r="K213" s="600"/>
      <c r="L213" s="595"/>
      <c r="M213" s="596"/>
      <c r="N213" s="596"/>
      <c r="O213" s="595"/>
      <c r="P213" s="595"/>
      <c r="Q213" s="596"/>
      <c r="R213" s="601"/>
    </row>
    <row r="214" spans="1:18" ht="27" customHeight="1">
      <c r="A214" s="595"/>
      <c r="B214" s="595"/>
      <c r="C214" s="596"/>
      <c r="D214" s="597"/>
      <c r="E214" s="595"/>
      <c r="F214" s="595"/>
      <c r="G214" s="598"/>
      <c r="H214" s="599"/>
      <c r="I214" s="596"/>
      <c r="J214" s="596"/>
      <c r="K214" s="600"/>
      <c r="L214" s="595"/>
      <c r="M214" s="596"/>
      <c r="N214" s="596"/>
      <c r="O214" s="595"/>
      <c r="P214" s="595"/>
      <c r="Q214" s="596"/>
      <c r="R214" s="601"/>
    </row>
    <row r="215" spans="1:18" ht="27" customHeight="1">
      <c r="A215" s="595"/>
      <c r="B215" s="595"/>
      <c r="C215" s="596"/>
      <c r="D215" s="597"/>
      <c r="E215" s="595"/>
      <c r="F215" s="595"/>
      <c r="G215" s="598"/>
      <c r="H215" s="599"/>
      <c r="I215" s="596"/>
      <c r="J215" s="596"/>
      <c r="K215" s="600"/>
      <c r="L215" s="595"/>
      <c r="M215" s="596"/>
      <c r="N215" s="596"/>
      <c r="O215" s="595"/>
      <c r="P215" s="595"/>
      <c r="Q215" s="596"/>
      <c r="R215" s="601"/>
    </row>
    <row r="216" spans="1:18" ht="27" customHeight="1">
      <c r="A216" s="595"/>
      <c r="B216" s="595"/>
      <c r="C216" s="596"/>
      <c r="D216" s="597"/>
      <c r="E216" s="595"/>
      <c r="F216" s="595"/>
      <c r="G216" s="598"/>
      <c r="H216" s="599"/>
      <c r="I216" s="596"/>
      <c r="J216" s="596"/>
      <c r="K216" s="600"/>
      <c r="L216" s="595"/>
      <c r="M216" s="596"/>
      <c r="N216" s="596"/>
      <c r="O216" s="595"/>
      <c r="P216" s="595"/>
      <c r="Q216" s="596"/>
      <c r="R216" s="601"/>
    </row>
    <row r="217" spans="1:18" ht="27" customHeight="1">
      <c r="A217" s="595"/>
      <c r="B217" s="595"/>
      <c r="C217" s="596"/>
      <c r="D217" s="597"/>
      <c r="E217" s="595"/>
      <c r="F217" s="595"/>
      <c r="G217" s="598"/>
      <c r="H217" s="599"/>
      <c r="I217" s="596"/>
      <c r="J217" s="596"/>
      <c r="K217" s="600"/>
      <c r="L217" s="595"/>
      <c r="M217" s="596"/>
      <c r="N217" s="596"/>
      <c r="O217" s="595"/>
      <c r="P217" s="595"/>
      <c r="Q217" s="596"/>
      <c r="R217" s="601"/>
    </row>
    <row r="218" spans="1:18" ht="27" customHeight="1">
      <c r="A218" s="595"/>
      <c r="B218" s="595"/>
      <c r="C218" s="596"/>
      <c r="D218" s="597"/>
      <c r="E218" s="595"/>
      <c r="F218" s="595"/>
      <c r="G218" s="598"/>
      <c r="H218" s="599"/>
      <c r="I218" s="596"/>
      <c r="J218" s="596"/>
      <c r="K218" s="600"/>
      <c r="L218" s="595"/>
      <c r="M218" s="596"/>
      <c r="N218" s="596"/>
      <c r="O218" s="595"/>
      <c r="P218" s="595"/>
      <c r="Q218" s="596"/>
      <c r="R218" s="601"/>
    </row>
    <row r="219" spans="1:18" ht="27" customHeight="1">
      <c r="A219" s="595"/>
      <c r="B219" s="595"/>
      <c r="C219" s="596"/>
      <c r="D219" s="597"/>
      <c r="E219" s="595"/>
      <c r="F219" s="595"/>
      <c r="G219" s="598"/>
      <c r="H219" s="599"/>
      <c r="I219" s="596"/>
      <c r="J219" s="596"/>
      <c r="K219" s="600"/>
      <c r="L219" s="595"/>
      <c r="M219" s="596"/>
      <c r="N219" s="596"/>
      <c r="O219" s="595"/>
      <c r="P219" s="595"/>
      <c r="Q219" s="596"/>
      <c r="R219" s="601"/>
    </row>
    <row r="220" spans="1:18" ht="27" customHeight="1">
      <c r="A220" s="595"/>
      <c r="B220" s="595"/>
      <c r="C220" s="596"/>
      <c r="D220" s="597"/>
      <c r="E220" s="595"/>
      <c r="F220" s="595"/>
      <c r="G220" s="598"/>
      <c r="H220" s="599"/>
      <c r="I220" s="596"/>
      <c r="J220" s="596"/>
      <c r="K220" s="600"/>
      <c r="L220" s="595"/>
      <c r="M220" s="596"/>
      <c r="N220" s="596"/>
      <c r="O220" s="595"/>
      <c r="P220" s="595"/>
      <c r="Q220" s="596"/>
      <c r="R220" s="601"/>
    </row>
    <row r="221" spans="1:18" ht="27" customHeight="1">
      <c r="A221" s="595"/>
      <c r="B221" s="595"/>
      <c r="C221" s="596"/>
      <c r="D221" s="597"/>
      <c r="E221" s="595"/>
      <c r="F221" s="595"/>
      <c r="G221" s="598"/>
      <c r="H221" s="599"/>
      <c r="I221" s="596"/>
      <c r="J221" s="596"/>
      <c r="K221" s="600"/>
      <c r="L221" s="595"/>
      <c r="M221" s="596"/>
      <c r="N221" s="596"/>
      <c r="O221" s="595"/>
      <c r="P221" s="595"/>
      <c r="Q221" s="596"/>
      <c r="R221" s="601"/>
    </row>
    <row r="222" spans="1:18" ht="27" customHeight="1">
      <c r="A222" s="595"/>
      <c r="B222" s="595"/>
      <c r="C222" s="596"/>
      <c r="D222" s="597"/>
      <c r="E222" s="595"/>
      <c r="F222" s="595"/>
      <c r="G222" s="598"/>
      <c r="H222" s="599"/>
      <c r="I222" s="596"/>
      <c r="J222" s="596"/>
      <c r="K222" s="600"/>
      <c r="L222" s="595"/>
      <c r="M222" s="596"/>
      <c r="N222" s="596"/>
      <c r="O222" s="595"/>
      <c r="P222" s="595"/>
      <c r="Q222" s="596"/>
      <c r="R222" s="601"/>
    </row>
    <row r="223" spans="1:18" ht="27" customHeight="1">
      <c r="A223" s="595"/>
      <c r="B223" s="595"/>
      <c r="C223" s="596"/>
      <c r="D223" s="597"/>
      <c r="E223" s="595"/>
      <c r="F223" s="595"/>
      <c r="G223" s="598"/>
      <c r="H223" s="599"/>
      <c r="I223" s="596"/>
      <c r="J223" s="596"/>
      <c r="K223" s="600"/>
      <c r="L223" s="595"/>
      <c r="M223" s="596"/>
      <c r="N223" s="596"/>
      <c r="O223" s="595"/>
      <c r="P223" s="595"/>
      <c r="Q223" s="596"/>
      <c r="R223" s="601"/>
    </row>
    <row r="224" spans="1:18" ht="27" customHeight="1">
      <c r="A224" s="595"/>
      <c r="B224" s="595"/>
      <c r="C224" s="596"/>
      <c r="D224" s="597"/>
      <c r="E224" s="595"/>
      <c r="F224" s="595"/>
      <c r="G224" s="598"/>
      <c r="H224" s="599"/>
      <c r="I224" s="596"/>
      <c r="J224" s="596"/>
      <c r="K224" s="600"/>
      <c r="L224" s="595"/>
      <c r="M224" s="596"/>
      <c r="N224" s="596"/>
      <c r="O224" s="595"/>
      <c r="P224" s="595"/>
      <c r="Q224" s="596"/>
      <c r="R224" s="601"/>
    </row>
    <row r="225" spans="1:18" ht="27" customHeight="1">
      <c r="A225" s="595"/>
      <c r="B225" s="595"/>
      <c r="C225" s="596"/>
      <c r="D225" s="597"/>
      <c r="E225" s="595"/>
      <c r="F225" s="595"/>
      <c r="G225" s="598"/>
      <c r="H225" s="599"/>
      <c r="I225" s="596"/>
      <c r="J225" s="596"/>
      <c r="K225" s="600"/>
      <c r="L225" s="595"/>
      <c r="M225" s="596"/>
      <c r="N225" s="596"/>
      <c r="O225" s="595"/>
      <c r="P225" s="595"/>
      <c r="Q225" s="596"/>
      <c r="R225" s="601"/>
    </row>
    <row r="226" spans="1:18" ht="27" customHeight="1">
      <c r="A226" s="595"/>
      <c r="B226" s="595"/>
      <c r="C226" s="596"/>
      <c r="D226" s="597"/>
      <c r="E226" s="595"/>
      <c r="F226" s="595"/>
      <c r="G226" s="598"/>
      <c r="H226" s="599"/>
      <c r="I226" s="596"/>
      <c r="J226" s="596"/>
      <c r="K226" s="600"/>
      <c r="L226" s="595"/>
      <c r="M226" s="596"/>
      <c r="N226" s="596"/>
      <c r="O226" s="595"/>
      <c r="P226" s="595"/>
      <c r="Q226" s="596"/>
      <c r="R226" s="601"/>
    </row>
    <row r="227" spans="1:18" ht="27" customHeight="1">
      <c r="A227" s="595"/>
      <c r="B227" s="595"/>
      <c r="C227" s="596"/>
      <c r="D227" s="597"/>
      <c r="E227" s="595"/>
      <c r="F227" s="595"/>
      <c r="G227" s="598"/>
      <c r="H227" s="599"/>
      <c r="I227" s="596"/>
      <c r="J227" s="596"/>
      <c r="K227" s="600"/>
      <c r="L227" s="595"/>
      <c r="M227" s="596"/>
      <c r="N227" s="596"/>
      <c r="O227" s="595"/>
      <c r="P227" s="595"/>
      <c r="Q227" s="596"/>
      <c r="R227" s="601"/>
    </row>
    <row r="228" spans="1:18" ht="27" customHeight="1">
      <c r="A228" s="595"/>
      <c r="B228" s="595"/>
      <c r="C228" s="596"/>
      <c r="D228" s="597"/>
      <c r="E228" s="595"/>
      <c r="F228" s="595"/>
      <c r="G228" s="598"/>
      <c r="H228" s="599"/>
      <c r="I228" s="596"/>
      <c r="J228" s="596"/>
      <c r="K228" s="600"/>
      <c r="L228" s="595"/>
      <c r="M228" s="596"/>
      <c r="N228" s="596"/>
      <c r="O228" s="595"/>
      <c r="P228" s="595"/>
      <c r="Q228" s="596"/>
      <c r="R228" s="601"/>
    </row>
    <row r="229" spans="1:18" ht="27" customHeight="1">
      <c r="A229" s="595"/>
      <c r="B229" s="595"/>
      <c r="C229" s="596"/>
      <c r="D229" s="597"/>
      <c r="E229" s="595"/>
      <c r="F229" s="595"/>
      <c r="G229" s="598"/>
      <c r="H229" s="599"/>
      <c r="I229" s="596"/>
      <c r="J229" s="596"/>
      <c r="K229" s="600"/>
      <c r="L229" s="595"/>
      <c r="M229" s="596"/>
      <c r="N229" s="596"/>
      <c r="O229" s="595"/>
      <c r="P229" s="595"/>
      <c r="Q229" s="596"/>
      <c r="R229" s="601"/>
    </row>
    <row r="230" spans="1:18" ht="27" customHeight="1">
      <c r="A230" s="595"/>
      <c r="B230" s="595"/>
      <c r="C230" s="596"/>
      <c r="D230" s="597"/>
      <c r="E230" s="595"/>
      <c r="F230" s="595"/>
      <c r="G230" s="598"/>
      <c r="H230" s="599"/>
      <c r="I230" s="596"/>
      <c r="J230" s="596"/>
      <c r="K230" s="600"/>
      <c r="L230" s="595"/>
      <c r="M230" s="596"/>
      <c r="N230" s="596"/>
      <c r="O230" s="595"/>
      <c r="P230" s="595"/>
      <c r="Q230" s="596"/>
      <c r="R230" s="601"/>
    </row>
    <row r="231" spans="1:18" ht="27" customHeight="1">
      <c r="A231" s="595"/>
      <c r="B231" s="595"/>
      <c r="C231" s="596"/>
      <c r="D231" s="597"/>
      <c r="E231" s="595"/>
      <c r="F231" s="595"/>
      <c r="G231" s="598"/>
      <c r="H231" s="599"/>
      <c r="I231" s="596"/>
      <c r="J231" s="596"/>
      <c r="K231" s="600"/>
      <c r="L231" s="595"/>
      <c r="M231" s="596"/>
      <c r="N231" s="596"/>
      <c r="O231" s="595"/>
      <c r="P231" s="595"/>
      <c r="Q231" s="596"/>
      <c r="R231" s="601"/>
    </row>
    <row r="232" spans="1:18" ht="27" customHeight="1">
      <c r="A232" s="595"/>
      <c r="B232" s="595"/>
      <c r="C232" s="596"/>
      <c r="D232" s="597"/>
      <c r="E232" s="595"/>
      <c r="F232" s="595"/>
      <c r="G232" s="598"/>
      <c r="H232" s="599"/>
      <c r="I232" s="596"/>
      <c r="J232" s="596"/>
      <c r="K232" s="600"/>
      <c r="L232" s="595"/>
      <c r="M232" s="596"/>
      <c r="N232" s="596"/>
      <c r="O232" s="595"/>
      <c r="P232" s="595"/>
      <c r="Q232" s="596"/>
      <c r="R232" s="601"/>
    </row>
    <row r="233" spans="1:18" ht="27" customHeight="1">
      <c r="A233" s="595"/>
      <c r="B233" s="595"/>
      <c r="C233" s="596"/>
      <c r="D233" s="597"/>
      <c r="E233" s="595"/>
      <c r="F233" s="595"/>
      <c r="G233" s="598"/>
      <c r="H233" s="599"/>
      <c r="I233" s="596"/>
      <c r="J233" s="596"/>
      <c r="K233" s="600"/>
      <c r="L233" s="595"/>
      <c r="M233" s="596"/>
      <c r="N233" s="596"/>
      <c r="O233" s="595"/>
      <c r="P233" s="595"/>
      <c r="Q233" s="596"/>
      <c r="R233" s="601"/>
    </row>
    <row r="234" spans="1:18" ht="27" customHeight="1">
      <c r="A234" s="595"/>
      <c r="B234" s="595"/>
      <c r="C234" s="596"/>
      <c r="D234" s="597"/>
      <c r="E234" s="595"/>
      <c r="F234" s="595"/>
      <c r="G234" s="598"/>
      <c r="H234" s="599"/>
      <c r="I234" s="596"/>
      <c r="J234" s="596"/>
      <c r="K234" s="600"/>
      <c r="L234" s="595"/>
      <c r="M234" s="596"/>
      <c r="N234" s="596"/>
      <c r="O234" s="595"/>
      <c r="P234" s="595"/>
      <c r="Q234" s="596"/>
      <c r="R234" s="601"/>
    </row>
    <row r="235" spans="1:18" ht="27" customHeight="1">
      <c r="A235" s="595"/>
      <c r="B235" s="595"/>
      <c r="C235" s="596"/>
      <c r="D235" s="597"/>
      <c r="E235" s="595"/>
      <c r="F235" s="595"/>
      <c r="G235" s="598"/>
      <c r="H235" s="599"/>
      <c r="I235" s="596"/>
      <c r="J235" s="596"/>
      <c r="K235" s="600"/>
      <c r="L235" s="595"/>
      <c r="M235" s="596"/>
      <c r="N235" s="596"/>
      <c r="O235" s="595"/>
      <c r="P235" s="595"/>
      <c r="Q235" s="596"/>
      <c r="R235" s="601"/>
    </row>
    <row r="236" spans="1:18" ht="27" customHeight="1">
      <c r="A236" s="595"/>
      <c r="B236" s="595"/>
      <c r="C236" s="596"/>
      <c r="D236" s="597"/>
      <c r="E236" s="595"/>
      <c r="F236" s="595"/>
      <c r="G236" s="598"/>
      <c r="H236" s="599"/>
      <c r="I236" s="596"/>
      <c r="J236" s="596"/>
      <c r="K236" s="600"/>
      <c r="L236" s="595"/>
      <c r="M236" s="596"/>
      <c r="N236" s="596"/>
      <c r="O236" s="595"/>
      <c r="P236" s="595"/>
      <c r="Q236" s="596"/>
      <c r="R236" s="601"/>
    </row>
    <row r="237" spans="1:18" ht="27" customHeight="1">
      <c r="A237" s="595"/>
      <c r="B237" s="595"/>
      <c r="C237" s="596"/>
      <c r="D237" s="597"/>
      <c r="E237" s="595"/>
      <c r="F237" s="595"/>
      <c r="G237" s="598"/>
      <c r="H237" s="599"/>
      <c r="I237" s="596"/>
      <c r="J237" s="596"/>
      <c r="K237" s="600"/>
      <c r="L237" s="595"/>
      <c r="M237" s="596"/>
      <c r="N237" s="596"/>
      <c r="O237" s="595"/>
      <c r="P237" s="595"/>
      <c r="Q237" s="596"/>
      <c r="R237" s="601"/>
    </row>
    <row r="238" spans="1:18" ht="27" customHeight="1">
      <c r="A238" s="595"/>
      <c r="B238" s="595"/>
      <c r="C238" s="596"/>
      <c r="D238" s="597"/>
      <c r="E238" s="595"/>
      <c r="F238" s="595"/>
      <c r="G238" s="598"/>
      <c r="H238" s="599"/>
      <c r="I238" s="596"/>
      <c r="J238" s="596"/>
      <c r="K238" s="600"/>
      <c r="L238" s="595"/>
      <c r="M238" s="596"/>
      <c r="N238" s="596"/>
      <c r="O238" s="595"/>
      <c r="P238" s="595"/>
      <c r="Q238" s="596"/>
      <c r="R238" s="601"/>
    </row>
    <row r="239" spans="1:18" ht="27" customHeight="1">
      <c r="A239" s="595"/>
      <c r="B239" s="595"/>
      <c r="C239" s="596"/>
      <c r="D239" s="597"/>
      <c r="E239" s="595"/>
      <c r="F239" s="595"/>
      <c r="G239" s="598"/>
      <c r="H239" s="599"/>
      <c r="I239" s="596"/>
      <c r="J239" s="596"/>
      <c r="K239" s="600"/>
      <c r="L239" s="595"/>
      <c r="M239" s="596"/>
      <c r="N239" s="596"/>
      <c r="O239" s="595"/>
      <c r="P239" s="595"/>
      <c r="Q239" s="596"/>
      <c r="R239" s="601"/>
    </row>
    <row r="240" spans="1:18" ht="27" customHeight="1">
      <c r="A240" s="595"/>
      <c r="B240" s="595"/>
      <c r="C240" s="596"/>
      <c r="D240" s="597"/>
      <c r="E240" s="595"/>
      <c r="F240" s="595"/>
      <c r="G240" s="598"/>
      <c r="H240" s="599"/>
      <c r="I240" s="596"/>
      <c r="J240" s="596"/>
      <c r="K240" s="600"/>
      <c r="L240" s="595"/>
      <c r="M240" s="596"/>
      <c r="N240" s="596"/>
      <c r="O240" s="595"/>
      <c r="P240" s="595"/>
      <c r="Q240" s="596"/>
      <c r="R240" s="601"/>
    </row>
    <row r="241" spans="1:18" ht="27" customHeight="1">
      <c r="A241" s="595"/>
      <c r="B241" s="595"/>
      <c r="C241" s="596"/>
      <c r="D241" s="597"/>
      <c r="E241" s="595"/>
      <c r="F241" s="595"/>
      <c r="G241" s="598"/>
      <c r="H241" s="599"/>
      <c r="I241" s="596"/>
      <c r="J241" s="596"/>
      <c r="K241" s="600"/>
      <c r="L241" s="595"/>
      <c r="M241" s="596"/>
      <c r="N241" s="596"/>
      <c r="O241" s="595"/>
      <c r="P241" s="595"/>
      <c r="Q241" s="596"/>
      <c r="R241" s="601"/>
    </row>
    <row r="242" spans="1:18" ht="27" customHeight="1">
      <c r="A242" s="595"/>
      <c r="B242" s="595"/>
      <c r="C242" s="596"/>
      <c r="D242" s="597"/>
      <c r="E242" s="595"/>
      <c r="F242" s="595"/>
      <c r="G242" s="598"/>
      <c r="H242" s="599"/>
      <c r="I242" s="596"/>
      <c r="J242" s="596"/>
      <c r="K242" s="600"/>
      <c r="L242" s="595"/>
      <c r="M242" s="596"/>
      <c r="N242" s="596"/>
      <c r="O242" s="595"/>
      <c r="P242" s="595"/>
      <c r="Q242" s="596"/>
      <c r="R242" s="601"/>
    </row>
    <row r="243" spans="1:18" ht="27" customHeight="1">
      <c r="A243" s="595"/>
      <c r="B243" s="595"/>
      <c r="C243" s="596"/>
      <c r="D243" s="597"/>
      <c r="E243" s="595"/>
      <c r="F243" s="595"/>
      <c r="G243" s="598"/>
      <c r="H243" s="599"/>
      <c r="I243" s="596"/>
      <c r="J243" s="596"/>
      <c r="K243" s="600"/>
      <c r="L243" s="595"/>
      <c r="M243" s="596"/>
      <c r="N243" s="596"/>
      <c r="O243" s="595"/>
      <c r="P243" s="595"/>
      <c r="Q243" s="596"/>
      <c r="R243" s="601"/>
    </row>
    <row r="244" spans="1:18" ht="27" customHeight="1">
      <c r="A244" s="595"/>
      <c r="B244" s="595"/>
      <c r="C244" s="596"/>
      <c r="D244" s="597"/>
      <c r="E244" s="595"/>
      <c r="F244" s="595"/>
      <c r="G244" s="598"/>
      <c r="H244" s="599"/>
      <c r="I244" s="596"/>
      <c r="J244" s="596"/>
      <c r="K244" s="600"/>
      <c r="L244" s="595"/>
      <c r="M244" s="596"/>
      <c r="N244" s="596"/>
      <c r="O244" s="595"/>
      <c r="P244" s="595"/>
      <c r="Q244" s="596"/>
      <c r="R244" s="601"/>
    </row>
    <row r="245" spans="1:18" ht="27" customHeight="1">
      <c r="A245" s="595"/>
      <c r="B245" s="595"/>
      <c r="C245" s="596"/>
      <c r="D245" s="597"/>
      <c r="E245" s="595"/>
      <c r="F245" s="595"/>
      <c r="G245" s="598"/>
      <c r="H245" s="599"/>
      <c r="I245" s="596"/>
      <c r="J245" s="596"/>
      <c r="K245" s="600"/>
      <c r="L245" s="595"/>
      <c r="M245" s="596"/>
      <c r="N245" s="596"/>
      <c r="O245" s="595"/>
      <c r="P245" s="595"/>
      <c r="Q245" s="596"/>
      <c r="R245" s="601"/>
    </row>
    <row r="246" spans="1:18" ht="27" customHeight="1">
      <c r="A246" s="595"/>
      <c r="B246" s="595"/>
      <c r="C246" s="596"/>
      <c r="D246" s="597"/>
      <c r="E246" s="595"/>
      <c r="F246" s="595"/>
      <c r="G246" s="598"/>
      <c r="H246" s="599"/>
      <c r="I246" s="596"/>
      <c r="J246" s="596"/>
      <c r="K246" s="600"/>
      <c r="L246" s="595"/>
      <c r="M246" s="596"/>
      <c r="N246" s="596"/>
      <c r="O246" s="595"/>
      <c r="P246" s="595"/>
      <c r="Q246" s="596"/>
      <c r="R246" s="601"/>
    </row>
    <row r="247" spans="1:18" ht="27" customHeight="1">
      <c r="A247" s="595"/>
      <c r="B247" s="595"/>
      <c r="C247" s="596"/>
      <c r="D247" s="597"/>
      <c r="E247" s="595"/>
      <c r="F247" s="595"/>
      <c r="G247" s="598"/>
      <c r="H247" s="599"/>
      <c r="I247" s="596"/>
      <c r="J247" s="596"/>
      <c r="K247" s="600"/>
      <c r="L247" s="595"/>
      <c r="M247" s="596"/>
      <c r="N247" s="596"/>
      <c r="O247" s="595"/>
      <c r="P247" s="595"/>
      <c r="Q247" s="596"/>
      <c r="R247" s="601"/>
    </row>
    <row r="248" spans="1:18" ht="27" customHeight="1">
      <c r="A248" s="595"/>
      <c r="B248" s="595"/>
      <c r="C248" s="596"/>
      <c r="D248" s="597"/>
      <c r="E248" s="595"/>
      <c r="F248" s="595"/>
      <c r="G248" s="598"/>
      <c r="H248" s="599"/>
      <c r="I248" s="596"/>
      <c r="J248" s="596"/>
      <c r="K248" s="600"/>
      <c r="L248" s="595"/>
      <c r="M248" s="596"/>
      <c r="N248" s="596"/>
      <c r="O248" s="595"/>
      <c r="P248" s="595"/>
      <c r="Q248" s="596"/>
      <c r="R248" s="601"/>
    </row>
    <row r="249" spans="1:18" ht="27" customHeight="1">
      <c r="A249" s="595"/>
      <c r="B249" s="595"/>
      <c r="C249" s="596"/>
      <c r="D249" s="597"/>
      <c r="E249" s="595"/>
      <c r="F249" s="595"/>
      <c r="G249" s="598"/>
      <c r="H249" s="599"/>
      <c r="I249" s="596"/>
      <c r="J249" s="596"/>
      <c r="K249" s="600"/>
      <c r="L249" s="595"/>
      <c r="M249" s="596"/>
      <c r="N249" s="596"/>
      <c r="O249" s="595"/>
      <c r="P249" s="595"/>
      <c r="Q249" s="596"/>
      <c r="R249" s="601"/>
    </row>
    <row r="250" spans="1:18" ht="27" customHeight="1">
      <c r="A250" s="595"/>
      <c r="B250" s="595"/>
      <c r="C250" s="596"/>
      <c r="D250" s="597"/>
      <c r="E250" s="595"/>
      <c r="F250" s="595"/>
      <c r="G250" s="598"/>
      <c r="H250" s="599"/>
      <c r="I250" s="596"/>
      <c r="J250" s="596"/>
      <c r="K250" s="600"/>
      <c r="L250" s="595"/>
      <c r="M250" s="596"/>
      <c r="N250" s="596"/>
      <c r="O250" s="595"/>
      <c r="P250" s="595"/>
      <c r="Q250" s="596"/>
      <c r="R250" s="601"/>
    </row>
    <row r="251" spans="1:18" ht="27" customHeight="1">
      <c r="A251" s="595"/>
      <c r="B251" s="595"/>
      <c r="C251" s="596"/>
      <c r="D251" s="597"/>
      <c r="E251" s="595"/>
      <c r="F251" s="595"/>
      <c r="G251" s="598"/>
      <c r="H251" s="599"/>
      <c r="I251" s="596"/>
      <c r="J251" s="596"/>
      <c r="K251" s="600"/>
      <c r="L251" s="595"/>
      <c r="M251" s="596"/>
      <c r="N251" s="596"/>
      <c r="O251" s="595"/>
      <c r="P251" s="595"/>
      <c r="Q251" s="596"/>
      <c r="R251" s="601"/>
    </row>
    <row r="252" spans="1:18" ht="27" customHeight="1">
      <c r="A252" s="595"/>
      <c r="B252" s="595"/>
      <c r="C252" s="596"/>
      <c r="D252" s="597"/>
      <c r="E252" s="595"/>
      <c r="F252" s="595"/>
      <c r="G252" s="598"/>
      <c r="H252" s="599"/>
      <c r="I252" s="596"/>
      <c r="J252" s="596"/>
      <c r="K252" s="600"/>
      <c r="L252" s="595"/>
      <c r="M252" s="596"/>
      <c r="N252" s="596"/>
      <c r="O252" s="595"/>
      <c r="P252" s="595"/>
      <c r="Q252" s="596"/>
      <c r="R252" s="601"/>
    </row>
    <row r="253" spans="1:18" ht="27" customHeight="1">
      <c r="A253" s="595"/>
      <c r="B253" s="595"/>
      <c r="C253" s="596"/>
      <c r="D253" s="597"/>
      <c r="E253" s="595"/>
      <c r="F253" s="595"/>
      <c r="G253" s="598"/>
      <c r="H253" s="599"/>
      <c r="I253" s="596"/>
      <c r="J253" s="596"/>
      <c r="K253" s="600"/>
      <c r="L253" s="595"/>
      <c r="M253" s="596"/>
      <c r="N253" s="596"/>
      <c r="O253" s="595"/>
      <c r="P253" s="595"/>
      <c r="Q253" s="596"/>
      <c r="R253" s="601"/>
    </row>
    <row r="254" spans="1:18" ht="27" customHeight="1">
      <c r="A254" s="595"/>
      <c r="B254" s="595"/>
      <c r="C254" s="596"/>
      <c r="D254" s="597"/>
      <c r="E254" s="595"/>
      <c r="F254" s="595"/>
      <c r="G254" s="598"/>
      <c r="H254" s="599"/>
      <c r="I254" s="596"/>
      <c r="J254" s="596"/>
      <c r="K254" s="600"/>
      <c r="L254" s="595"/>
      <c r="M254" s="596"/>
      <c r="N254" s="596"/>
      <c r="O254" s="595"/>
      <c r="P254" s="595"/>
      <c r="Q254" s="596"/>
      <c r="R254" s="601"/>
    </row>
    <row r="255" spans="1:18" ht="27" customHeight="1">
      <c r="A255" s="595"/>
      <c r="B255" s="595"/>
      <c r="C255" s="596"/>
      <c r="D255" s="597"/>
      <c r="E255" s="595"/>
      <c r="F255" s="595"/>
      <c r="G255" s="598"/>
      <c r="H255" s="599"/>
      <c r="I255" s="596"/>
      <c r="J255" s="596"/>
      <c r="K255" s="600"/>
      <c r="L255" s="595"/>
      <c r="M255" s="596"/>
      <c r="N255" s="596"/>
      <c r="O255" s="595"/>
      <c r="P255" s="595"/>
      <c r="Q255" s="596"/>
      <c r="R255" s="601"/>
    </row>
    <row r="256" spans="1:18" ht="27" customHeight="1">
      <c r="A256" s="595"/>
      <c r="B256" s="595"/>
      <c r="C256" s="596"/>
      <c r="D256" s="597"/>
      <c r="E256" s="595"/>
      <c r="F256" s="595"/>
      <c r="G256" s="598"/>
      <c r="H256" s="599"/>
      <c r="I256" s="596"/>
      <c r="J256" s="596"/>
      <c r="K256" s="600"/>
      <c r="L256" s="595"/>
      <c r="M256" s="596"/>
      <c r="N256" s="596"/>
      <c r="O256" s="595"/>
      <c r="P256" s="595"/>
      <c r="Q256" s="596"/>
      <c r="R256" s="601"/>
    </row>
    <row r="257" spans="1:18" ht="27" customHeight="1">
      <c r="A257" s="595"/>
      <c r="B257" s="595"/>
      <c r="C257" s="596"/>
      <c r="D257" s="597"/>
      <c r="E257" s="595"/>
      <c r="F257" s="595"/>
      <c r="G257" s="598"/>
      <c r="H257" s="599"/>
      <c r="I257" s="596"/>
      <c r="J257" s="596"/>
      <c r="K257" s="600"/>
      <c r="L257" s="595"/>
      <c r="M257" s="596"/>
      <c r="N257" s="596"/>
      <c r="O257" s="595"/>
      <c r="P257" s="595"/>
      <c r="Q257" s="596"/>
      <c r="R257" s="601"/>
    </row>
    <row r="258" spans="1:18" ht="27" customHeight="1">
      <c r="A258" s="595"/>
      <c r="B258" s="595"/>
      <c r="C258" s="596"/>
      <c r="D258" s="597"/>
      <c r="E258" s="595"/>
      <c r="F258" s="595"/>
      <c r="G258" s="598"/>
      <c r="H258" s="599"/>
      <c r="I258" s="596"/>
      <c r="J258" s="596"/>
      <c r="K258" s="600"/>
      <c r="L258" s="595"/>
      <c r="M258" s="596"/>
      <c r="N258" s="596"/>
      <c r="O258" s="595"/>
      <c r="P258" s="595"/>
      <c r="Q258" s="596"/>
      <c r="R258" s="601"/>
    </row>
    <row r="259" spans="1:18" ht="27" customHeight="1">
      <c r="A259" s="595"/>
      <c r="B259" s="595"/>
      <c r="C259" s="596"/>
      <c r="D259" s="597"/>
      <c r="E259" s="595"/>
      <c r="F259" s="595"/>
      <c r="G259" s="598"/>
      <c r="H259" s="599"/>
      <c r="I259" s="596"/>
      <c r="J259" s="596"/>
      <c r="K259" s="600"/>
      <c r="L259" s="595"/>
      <c r="M259" s="596"/>
      <c r="N259" s="596"/>
      <c r="O259" s="595"/>
      <c r="P259" s="595"/>
      <c r="Q259" s="596"/>
      <c r="R259" s="601"/>
    </row>
    <row r="260" spans="1:18" ht="27" customHeight="1">
      <c r="A260" s="595"/>
      <c r="B260" s="595"/>
      <c r="C260" s="596"/>
      <c r="D260" s="597"/>
      <c r="E260" s="595"/>
      <c r="F260" s="595"/>
      <c r="G260" s="598"/>
      <c r="H260" s="599"/>
      <c r="I260" s="596"/>
      <c r="J260" s="596"/>
      <c r="K260" s="600"/>
      <c r="L260" s="595"/>
      <c r="M260" s="596"/>
      <c r="N260" s="596"/>
      <c r="O260" s="595"/>
      <c r="P260" s="595"/>
      <c r="Q260" s="596"/>
      <c r="R260" s="601"/>
    </row>
    <row r="261" spans="1:18" ht="27" customHeight="1">
      <c r="A261" s="595"/>
      <c r="B261" s="595"/>
      <c r="C261" s="596"/>
      <c r="D261" s="597"/>
      <c r="E261" s="595"/>
      <c r="F261" s="595"/>
      <c r="G261" s="598"/>
      <c r="H261" s="599"/>
      <c r="I261" s="596"/>
      <c r="J261" s="596"/>
      <c r="K261" s="600"/>
      <c r="L261" s="595"/>
      <c r="M261" s="596"/>
      <c r="N261" s="596"/>
      <c r="O261" s="595"/>
      <c r="P261" s="595"/>
      <c r="Q261" s="596"/>
      <c r="R261" s="601"/>
    </row>
    <row r="262" spans="1:18" ht="27" customHeight="1">
      <c r="A262" s="595"/>
      <c r="B262" s="595"/>
      <c r="C262" s="596"/>
      <c r="D262" s="597"/>
      <c r="E262" s="595"/>
      <c r="F262" s="595"/>
      <c r="G262" s="598"/>
      <c r="H262" s="599"/>
      <c r="I262" s="596"/>
      <c r="J262" s="596"/>
      <c r="K262" s="600"/>
      <c r="L262" s="595"/>
      <c r="M262" s="596"/>
      <c r="N262" s="596"/>
      <c r="O262" s="595"/>
      <c r="P262" s="595"/>
      <c r="Q262" s="596"/>
      <c r="R262" s="601"/>
    </row>
    <row r="263" spans="1:18" ht="27" customHeight="1">
      <c r="A263" s="595"/>
      <c r="B263" s="595"/>
      <c r="C263" s="596"/>
      <c r="D263" s="597"/>
      <c r="E263" s="595"/>
      <c r="F263" s="595"/>
      <c r="G263" s="598"/>
      <c r="H263" s="599"/>
      <c r="I263" s="596"/>
      <c r="J263" s="596"/>
      <c r="K263" s="600"/>
      <c r="L263" s="595"/>
      <c r="M263" s="596"/>
      <c r="N263" s="596"/>
      <c r="O263" s="595"/>
      <c r="P263" s="595"/>
      <c r="Q263" s="596"/>
      <c r="R263" s="601"/>
    </row>
    <row r="264" spans="1:18" ht="27" customHeight="1">
      <c r="A264" s="595"/>
      <c r="B264" s="595"/>
      <c r="C264" s="596"/>
      <c r="D264" s="597"/>
      <c r="E264" s="595"/>
      <c r="F264" s="595"/>
      <c r="G264" s="598"/>
      <c r="H264" s="599"/>
      <c r="I264" s="596"/>
      <c r="J264" s="596"/>
      <c r="K264" s="600"/>
      <c r="L264" s="595"/>
      <c r="M264" s="596"/>
      <c r="N264" s="596"/>
      <c r="O264" s="595"/>
      <c r="P264" s="595"/>
      <c r="Q264" s="596"/>
      <c r="R264" s="601"/>
    </row>
    <row r="265" spans="1:18" ht="27" customHeight="1">
      <c r="A265" s="595"/>
      <c r="B265" s="595"/>
      <c r="C265" s="596"/>
      <c r="D265" s="597"/>
      <c r="E265" s="595"/>
      <c r="F265" s="595"/>
      <c r="G265" s="598"/>
      <c r="H265" s="599"/>
      <c r="I265" s="596"/>
      <c r="J265" s="596"/>
      <c r="K265" s="600"/>
      <c r="L265" s="595"/>
      <c r="M265" s="596"/>
      <c r="N265" s="596"/>
      <c r="O265" s="595"/>
      <c r="P265" s="595"/>
      <c r="Q265" s="596"/>
      <c r="R265" s="601"/>
    </row>
    <row r="266" spans="1:18" ht="27" customHeight="1">
      <c r="A266" s="595"/>
      <c r="B266" s="595"/>
      <c r="C266" s="596"/>
      <c r="D266" s="597"/>
      <c r="E266" s="595"/>
      <c r="F266" s="595"/>
      <c r="G266" s="598"/>
      <c r="H266" s="599"/>
      <c r="I266" s="596"/>
      <c r="J266" s="596"/>
      <c r="K266" s="600"/>
      <c r="L266" s="595"/>
      <c r="M266" s="596"/>
      <c r="N266" s="596"/>
      <c r="O266" s="595"/>
      <c r="P266" s="595"/>
      <c r="Q266" s="596"/>
      <c r="R266" s="601"/>
    </row>
    <row r="267" spans="1:18" ht="27" customHeight="1">
      <c r="A267" s="595"/>
      <c r="B267" s="595"/>
      <c r="C267" s="596"/>
      <c r="D267" s="597"/>
      <c r="E267" s="595"/>
      <c r="F267" s="595"/>
      <c r="G267" s="598"/>
      <c r="H267" s="599"/>
      <c r="I267" s="596"/>
      <c r="J267" s="596"/>
      <c r="K267" s="600"/>
      <c r="L267" s="595"/>
      <c r="M267" s="596"/>
      <c r="N267" s="596"/>
      <c r="O267" s="595"/>
      <c r="P267" s="595"/>
      <c r="Q267" s="596"/>
      <c r="R267" s="601"/>
    </row>
    <row r="268" spans="1:18" ht="27" customHeight="1">
      <c r="A268" s="595"/>
      <c r="B268" s="595"/>
      <c r="C268" s="596"/>
      <c r="D268" s="597"/>
      <c r="E268" s="595"/>
      <c r="F268" s="595"/>
      <c r="G268" s="598"/>
      <c r="H268" s="599"/>
      <c r="I268" s="596"/>
      <c r="J268" s="596"/>
      <c r="K268" s="600"/>
      <c r="L268" s="595"/>
      <c r="M268" s="596"/>
      <c r="N268" s="596"/>
      <c r="O268" s="595"/>
      <c r="P268" s="595"/>
      <c r="Q268" s="596"/>
      <c r="R268" s="601"/>
    </row>
    <row r="269" spans="1:18" ht="27" customHeight="1">
      <c r="A269" s="595"/>
      <c r="B269" s="595"/>
      <c r="C269" s="596"/>
      <c r="D269" s="597"/>
      <c r="E269" s="595"/>
      <c r="F269" s="595"/>
      <c r="G269" s="598"/>
      <c r="H269" s="599"/>
      <c r="I269" s="596"/>
      <c r="J269" s="596"/>
      <c r="K269" s="600"/>
      <c r="L269" s="595"/>
      <c r="M269" s="596"/>
      <c r="N269" s="596"/>
      <c r="O269" s="595"/>
      <c r="P269" s="595"/>
      <c r="Q269" s="596"/>
      <c r="R269" s="601"/>
    </row>
    <row r="270" spans="1:18" ht="27" customHeight="1">
      <c r="A270" s="595"/>
      <c r="B270" s="595"/>
      <c r="C270" s="596"/>
      <c r="D270" s="597"/>
      <c r="E270" s="595"/>
      <c r="F270" s="595"/>
      <c r="G270" s="598"/>
      <c r="H270" s="599"/>
      <c r="I270" s="596"/>
      <c r="J270" s="596"/>
      <c r="K270" s="600"/>
      <c r="L270" s="595"/>
      <c r="M270" s="596"/>
      <c r="N270" s="596"/>
      <c r="O270" s="595"/>
      <c r="P270" s="595"/>
      <c r="Q270" s="596"/>
      <c r="R270" s="601"/>
    </row>
    <row r="271" spans="1:18" ht="27" customHeight="1">
      <c r="A271" s="595"/>
      <c r="B271" s="595"/>
      <c r="C271" s="596"/>
      <c r="D271" s="597"/>
      <c r="E271" s="595"/>
      <c r="F271" s="595"/>
      <c r="G271" s="598"/>
      <c r="H271" s="599"/>
      <c r="I271" s="596"/>
      <c r="J271" s="596"/>
      <c r="K271" s="600"/>
      <c r="L271" s="595"/>
      <c r="M271" s="596"/>
      <c r="N271" s="596"/>
      <c r="O271" s="595"/>
      <c r="P271" s="595"/>
      <c r="Q271" s="596"/>
      <c r="R271" s="601"/>
    </row>
    <row r="272" spans="1:18" ht="27" customHeight="1">
      <c r="A272" s="595"/>
      <c r="B272" s="595"/>
      <c r="C272" s="596"/>
      <c r="D272" s="597"/>
      <c r="E272" s="595"/>
      <c r="F272" s="595"/>
      <c r="G272" s="598"/>
      <c r="H272" s="599"/>
      <c r="I272" s="596"/>
      <c r="J272" s="596"/>
      <c r="K272" s="600"/>
      <c r="L272" s="595"/>
      <c r="M272" s="596"/>
      <c r="N272" s="596"/>
      <c r="O272" s="595"/>
      <c r="P272" s="595"/>
      <c r="Q272" s="596"/>
      <c r="R272" s="601"/>
    </row>
    <row r="273" spans="1:18" ht="27" customHeight="1">
      <c r="A273" s="595"/>
      <c r="B273" s="595"/>
      <c r="C273" s="596"/>
      <c r="D273" s="597"/>
      <c r="E273" s="595"/>
      <c r="F273" s="595"/>
      <c r="G273" s="598"/>
      <c r="H273" s="599"/>
      <c r="I273" s="596"/>
      <c r="J273" s="596"/>
      <c r="K273" s="600"/>
      <c r="L273" s="595"/>
      <c r="M273" s="596"/>
      <c r="N273" s="596"/>
      <c r="O273" s="595"/>
      <c r="P273" s="595"/>
      <c r="Q273" s="596"/>
      <c r="R273" s="601"/>
    </row>
    <row r="274" spans="1:18" ht="27" customHeight="1">
      <c r="A274" s="595"/>
      <c r="B274" s="595"/>
      <c r="C274" s="596"/>
      <c r="D274" s="597"/>
      <c r="E274" s="595"/>
      <c r="F274" s="595"/>
      <c r="G274" s="598"/>
      <c r="H274" s="599"/>
      <c r="I274" s="596"/>
      <c r="J274" s="596"/>
      <c r="K274" s="600"/>
      <c r="L274" s="595"/>
      <c r="M274" s="596"/>
      <c r="N274" s="596"/>
      <c r="O274" s="595"/>
      <c r="P274" s="595"/>
      <c r="Q274" s="596"/>
      <c r="R274" s="601"/>
    </row>
    <row r="275" spans="1:18" ht="27" customHeight="1">
      <c r="A275" s="595"/>
      <c r="B275" s="595"/>
      <c r="C275" s="596"/>
      <c r="D275" s="597"/>
      <c r="E275" s="595"/>
      <c r="F275" s="595"/>
      <c r="G275" s="598"/>
      <c r="H275" s="599"/>
      <c r="I275" s="596"/>
      <c r="J275" s="596"/>
      <c r="K275" s="600"/>
      <c r="L275" s="595"/>
      <c r="M275" s="596"/>
      <c r="N275" s="596"/>
      <c r="O275" s="595"/>
      <c r="P275" s="595"/>
      <c r="Q275" s="596"/>
      <c r="R275" s="601"/>
    </row>
    <row r="276" spans="1:18" ht="27" customHeight="1">
      <c r="A276" s="595"/>
      <c r="B276" s="595"/>
      <c r="C276" s="596"/>
      <c r="D276" s="597"/>
      <c r="E276" s="595"/>
      <c r="F276" s="595"/>
      <c r="G276" s="598"/>
      <c r="H276" s="599"/>
      <c r="I276" s="596"/>
      <c r="J276" s="596"/>
      <c r="K276" s="600"/>
      <c r="L276" s="595"/>
      <c r="M276" s="596"/>
      <c r="N276" s="596"/>
      <c r="O276" s="595"/>
      <c r="P276" s="595"/>
      <c r="Q276" s="596"/>
      <c r="R276" s="601"/>
    </row>
    <row r="277" spans="1:18" ht="27" customHeight="1">
      <c r="A277" s="595"/>
      <c r="B277" s="595"/>
      <c r="C277" s="596"/>
      <c r="D277" s="597"/>
      <c r="E277" s="595"/>
      <c r="F277" s="595"/>
      <c r="G277" s="598"/>
      <c r="H277" s="599"/>
      <c r="I277" s="596"/>
      <c r="J277" s="596"/>
      <c r="K277" s="600"/>
      <c r="L277" s="595"/>
      <c r="M277" s="596"/>
      <c r="N277" s="596"/>
      <c r="O277" s="595"/>
      <c r="P277" s="595"/>
      <c r="Q277" s="596"/>
      <c r="R277" s="601"/>
    </row>
    <row r="278" spans="1:18" ht="27" customHeight="1">
      <c r="A278" s="595"/>
      <c r="B278" s="595"/>
      <c r="C278" s="596"/>
      <c r="D278" s="597"/>
      <c r="E278" s="595"/>
      <c r="F278" s="595"/>
      <c r="G278" s="598"/>
      <c r="H278" s="599"/>
      <c r="I278" s="596"/>
      <c r="J278" s="596"/>
      <c r="K278" s="600"/>
      <c r="L278" s="595"/>
      <c r="M278" s="596"/>
      <c r="N278" s="596"/>
      <c r="O278" s="595"/>
      <c r="P278" s="595"/>
      <c r="Q278" s="596"/>
      <c r="R278" s="601"/>
    </row>
    <row r="279" spans="1:18" ht="27" customHeight="1">
      <c r="A279" s="595"/>
      <c r="B279" s="595"/>
      <c r="C279" s="596"/>
      <c r="D279" s="597"/>
      <c r="E279" s="595"/>
      <c r="F279" s="595"/>
      <c r="G279" s="598"/>
      <c r="H279" s="599"/>
      <c r="I279" s="596"/>
      <c r="J279" s="596"/>
      <c r="K279" s="600"/>
      <c r="L279" s="595"/>
      <c r="M279" s="596"/>
      <c r="N279" s="596"/>
      <c r="O279" s="595"/>
      <c r="P279" s="595"/>
      <c r="Q279" s="596"/>
      <c r="R279" s="601"/>
    </row>
    <row r="280" spans="1:18" ht="27" customHeight="1">
      <c r="A280" s="595"/>
      <c r="B280" s="595"/>
      <c r="C280" s="596"/>
      <c r="D280" s="597"/>
      <c r="E280" s="595"/>
      <c r="F280" s="595"/>
      <c r="G280" s="598"/>
      <c r="H280" s="599"/>
      <c r="I280" s="596"/>
      <c r="J280" s="596"/>
      <c r="K280" s="600"/>
      <c r="L280" s="595"/>
      <c r="M280" s="596"/>
      <c r="N280" s="596"/>
      <c r="O280" s="595"/>
      <c r="P280" s="595"/>
      <c r="Q280" s="596"/>
      <c r="R280" s="601"/>
    </row>
    <row r="281" spans="1:18" ht="27" customHeight="1">
      <c r="A281" s="595"/>
      <c r="B281" s="595"/>
      <c r="C281" s="596"/>
      <c r="D281" s="597"/>
      <c r="E281" s="595"/>
      <c r="F281" s="595"/>
      <c r="G281" s="598"/>
      <c r="H281" s="599"/>
      <c r="I281" s="596"/>
      <c r="J281" s="596"/>
      <c r="K281" s="600"/>
      <c r="L281" s="595"/>
      <c r="M281" s="596"/>
      <c r="N281" s="596"/>
      <c r="O281" s="595"/>
      <c r="P281" s="595"/>
      <c r="Q281" s="596"/>
      <c r="R281" s="601"/>
    </row>
    <row r="282" spans="1:18" ht="27" customHeight="1">
      <c r="A282" s="595"/>
      <c r="B282" s="595"/>
      <c r="C282" s="596"/>
      <c r="D282" s="597"/>
      <c r="E282" s="595"/>
      <c r="F282" s="595"/>
      <c r="G282" s="598"/>
      <c r="H282" s="599"/>
      <c r="I282" s="596"/>
      <c r="J282" s="596"/>
      <c r="K282" s="600"/>
      <c r="L282" s="595"/>
      <c r="M282" s="596"/>
      <c r="N282" s="596"/>
      <c r="O282" s="595"/>
      <c r="P282" s="595"/>
      <c r="Q282" s="596"/>
      <c r="R282" s="601"/>
    </row>
    <row r="283" spans="1:18" ht="27" customHeight="1">
      <c r="A283" s="595"/>
      <c r="B283" s="595"/>
      <c r="C283" s="596"/>
      <c r="D283" s="597"/>
      <c r="E283" s="595"/>
      <c r="F283" s="595"/>
      <c r="G283" s="598"/>
      <c r="H283" s="599"/>
      <c r="I283" s="596"/>
      <c r="J283" s="596"/>
      <c r="K283" s="600"/>
      <c r="L283" s="595"/>
      <c r="M283" s="596"/>
      <c r="N283" s="596"/>
      <c r="O283" s="595"/>
      <c r="P283" s="595"/>
      <c r="Q283" s="596"/>
      <c r="R283" s="601"/>
    </row>
    <row r="284" spans="1:18" ht="27" customHeight="1">
      <c r="A284" s="595"/>
      <c r="B284" s="595"/>
      <c r="C284" s="596"/>
      <c r="D284" s="597"/>
      <c r="E284" s="595"/>
      <c r="F284" s="595"/>
      <c r="G284" s="598"/>
      <c r="H284" s="599"/>
      <c r="I284" s="596"/>
      <c r="J284" s="596"/>
      <c r="K284" s="600"/>
      <c r="L284" s="595"/>
      <c r="M284" s="596"/>
      <c r="N284" s="596"/>
      <c r="O284" s="595"/>
      <c r="P284" s="595"/>
      <c r="Q284" s="596"/>
      <c r="R284" s="601"/>
    </row>
    <row r="285" spans="1:18" ht="27" customHeight="1">
      <c r="A285" s="595"/>
      <c r="B285" s="595"/>
      <c r="C285" s="596"/>
      <c r="D285" s="597"/>
      <c r="E285" s="595"/>
      <c r="F285" s="595"/>
      <c r="G285" s="598"/>
      <c r="H285" s="599"/>
      <c r="I285" s="596"/>
      <c r="J285" s="596"/>
      <c r="K285" s="600"/>
      <c r="L285" s="595"/>
      <c r="M285" s="596"/>
      <c r="N285" s="596"/>
      <c r="O285" s="595"/>
      <c r="P285" s="595"/>
      <c r="Q285" s="596"/>
      <c r="R285" s="601"/>
    </row>
    <row r="286" spans="1:18" ht="27" customHeight="1">
      <c r="A286" s="595"/>
      <c r="B286" s="595"/>
      <c r="C286" s="596"/>
      <c r="D286" s="597"/>
      <c r="E286" s="595"/>
      <c r="F286" s="595"/>
      <c r="G286" s="598"/>
      <c r="H286" s="599"/>
      <c r="I286" s="596"/>
      <c r="J286" s="596"/>
      <c r="K286" s="600"/>
      <c r="L286" s="595"/>
      <c r="M286" s="596"/>
      <c r="N286" s="596"/>
      <c r="O286" s="595"/>
      <c r="P286" s="595"/>
      <c r="Q286" s="596"/>
      <c r="R286" s="601"/>
    </row>
    <row r="287" spans="1:18" ht="27" customHeight="1">
      <c r="A287" s="595"/>
      <c r="B287" s="595"/>
      <c r="C287" s="596"/>
      <c r="D287" s="597"/>
      <c r="E287" s="595"/>
      <c r="F287" s="595"/>
      <c r="G287" s="598"/>
      <c r="H287" s="599"/>
      <c r="I287" s="596"/>
      <c r="J287" s="596"/>
      <c r="K287" s="600"/>
      <c r="L287" s="595"/>
      <c r="M287" s="596"/>
      <c r="N287" s="596"/>
      <c r="O287" s="595"/>
      <c r="P287" s="595"/>
      <c r="Q287" s="596"/>
      <c r="R287" s="601"/>
    </row>
    <row r="288" spans="1:18" ht="27" customHeight="1">
      <c r="A288" s="595"/>
      <c r="B288" s="595"/>
      <c r="C288" s="596"/>
      <c r="D288" s="597"/>
      <c r="E288" s="595"/>
      <c r="F288" s="595"/>
      <c r="G288" s="598"/>
      <c r="H288" s="599"/>
      <c r="I288" s="596"/>
      <c r="J288" s="596"/>
      <c r="K288" s="600"/>
      <c r="L288" s="595"/>
      <c r="M288" s="596"/>
      <c r="N288" s="596"/>
      <c r="O288" s="595"/>
      <c r="P288" s="595"/>
      <c r="Q288" s="596"/>
      <c r="R288" s="601"/>
    </row>
    <row r="289" spans="1:18" ht="27" customHeight="1">
      <c r="A289" s="595"/>
      <c r="B289" s="595"/>
      <c r="C289" s="596"/>
      <c r="D289" s="597"/>
      <c r="E289" s="595"/>
      <c r="F289" s="595"/>
      <c r="G289" s="598"/>
      <c r="H289" s="599"/>
      <c r="I289" s="596"/>
      <c r="J289" s="596"/>
      <c r="K289" s="600"/>
      <c r="L289" s="595"/>
      <c r="M289" s="596"/>
      <c r="N289" s="596"/>
      <c r="O289" s="595"/>
      <c r="P289" s="595"/>
      <c r="Q289" s="596"/>
      <c r="R289" s="601"/>
    </row>
    <row r="290" spans="1:18" ht="27" customHeight="1">
      <c r="A290" s="595"/>
      <c r="B290" s="595"/>
      <c r="C290" s="596"/>
      <c r="D290" s="597"/>
      <c r="E290" s="595"/>
      <c r="F290" s="595"/>
      <c r="G290" s="598"/>
      <c r="H290" s="599"/>
      <c r="I290" s="596"/>
      <c r="J290" s="596"/>
      <c r="K290" s="600"/>
      <c r="L290" s="595"/>
      <c r="M290" s="596"/>
      <c r="N290" s="596"/>
      <c r="O290" s="595"/>
      <c r="P290" s="595"/>
      <c r="Q290" s="596"/>
      <c r="R290" s="601"/>
    </row>
    <row r="291" spans="1:18" ht="27" customHeight="1">
      <c r="A291" s="595"/>
      <c r="B291" s="595"/>
      <c r="C291" s="596"/>
      <c r="D291" s="597"/>
      <c r="E291" s="595"/>
      <c r="F291" s="595"/>
      <c r="G291" s="598"/>
      <c r="H291" s="599"/>
      <c r="I291" s="596"/>
      <c r="J291" s="596"/>
      <c r="K291" s="600"/>
      <c r="L291" s="595"/>
      <c r="M291" s="596"/>
      <c r="N291" s="596"/>
      <c r="O291" s="595"/>
      <c r="P291" s="595"/>
      <c r="Q291" s="596"/>
      <c r="R291" s="601"/>
    </row>
    <row r="292" spans="1:18" ht="27" customHeight="1">
      <c r="A292" s="595"/>
      <c r="B292" s="595"/>
      <c r="C292" s="596"/>
      <c r="D292" s="597"/>
      <c r="E292" s="595"/>
      <c r="F292" s="595"/>
      <c r="G292" s="598"/>
      <c r="H292" s="599"/>
      <c r="I292" s="596"/>
      <c r="J292" s="596"/>
      <c r="K292" s="600"/>
      <c r="L292" s="595"/>
      <c r="M292" s="596"/>
      <c r="N292" s="596"/>
      <c r="O292" s="595"/>
      <c r="P292" s="595"/>
      <c r="Q292" s="596"/>
      <c r="R292" s="601"/>
    </row>
    <row r="293" spans="1:18" ht="27" customHeight="1">
      <c r="A293" s="595"/>
      <c r="B293" s="595"/>
      <c r="C293" s="596"/>
      <c r="D293" s="597"/>
      <c r="E293" s="595"/>
      <c r="F293" s="595"/>
      <c r="G293" s="598"/>
      <c r="H293" s="599"/>
      <c r="I293" s="596"/>
      <c r="J293" s="596"/>
      <c r="K293" s="600"/>
      <c r="L293" s="595"/>
      <c r="M293" s="596"/>
      <c r="N293" s="596"/>
      <c r="O293" s="595"/>
      <c r="P293" s="595"/>
      <c r="Q293" s="596"/>
      <c r="R293" s="601"/>
    </row>
    <row r="294" spans="1:18" ht="27" customHeight="1">
      <c r="A294" s="595"/>
      <c r="B294" s="595"/>
      <c r="C294" s="596"/>
      <c r="D294" s="597"/>
      <c r="E294" s="595"/>
      <c r="F294" s="595"/>
      <c r="G294" s="598"/>
      <c r="H294" s="599"/>
      <c r="I294" s="596"/>
      <c r="J294" s="596"/>
      <c r="K294" s="600"/>
      <c r="L294" s="595"/>
      <c r="M294" s="596"/>
      <c r="N294" s="596"/>
      <c r="O294" s="595"/>
      <c r="P294" s="595"/>
      <c r="Q294" s="596"/>
      <c r="R294" s="601"/>
    </row>
    <row r="295" spans="1:18" ht="27" customHeight="1">
      <c r="A295" s="595"/>
      <c r="B295" s="595"/>
      <c r="C295" s="596"/>
      <c r="D295" s="597"/>
      <c r="E295" s="595"/>
      <c r="F295" s="595"/>
      <c r="G295" s="598"/>
      <c r="H295" s="599"/>
      <c r="I295" s="596"/>
      <c r="J295" s="596"/>
      <c r="K295" s="600"/>
      <c r="L295" s="595"/>
      <c r="M295" s="596"/>
      <c r="N295" s="596"/>
      <c r="O295" s="595"/>
      <c r="P295" s="595"/>
      <c r="Q295" s="596"/>
      <c r="R295" s="601"/>
    </row>
    <row r="296" spans="1:18" ht="27" customHeight="1">
      <c r="A296" s="595"/>
      <c r="B296" s="595"/>
      <c r="C296" s="596"/>
      <c r="D296" s="597"/>
      <c r="E296" s="595"/>
      <c r="F296" s="595"/>
      <c r="G296" s="598"/>
      <c r="H296" s="599"/>
      <c r="I296" s="596"/>
      <c r="J296" s="596"/>
      <c r="K296" s="600"/>
      <c r="L296" s="595"/>
      <c r="M296" s="596"/>
      <c r="N296" s="596"/>
      <c r="O296" s="595"/>
      <c r="P296" s="595"/>
      <c r="Q296" s="596"/>
      <c r="R296" s="601"/>
    </row>
    <row r="297" spans="1:18" ht="27" customHeight="1">
      <c r="A297" s="595"/>
      <c r="B297" s="595"/>
      <c r="C297" s="596"/>
      <c r="D297" s="597"/>
      <c r="E297" s="595"/>
      <c r="F297" s="595"/>
      <c r="G297" s="598"/>
      <c r="H297" s="599"/>
      <c r="I297" s="596"/>
      <c r="J297" s="596"/>
      <c r="K297" s="600"/>
      <c r="L297" s="595"/>
      <c r="M297" s="596"/>
      <c r="N297" s="596"/>
      <c r="O297" s="595"/>
      <c r="P297" s="595"/>
      <c r="Q297" s="596"/>
      <c r="R297" s="601"/>
    </row>
    <row r="298" spans="1:18" ht="27" customHeight="1">
      <c r="A298" s="595"/>
      <c r="B298" s="595"/>
      <c r="C298" s="596"/>
      <c r="D298" s="597"/>
      <c r="E298" s="595"/>
      <c r="F298" s="595"/>
      <c r="G298" s="598"/>
      <c r="H298" s="599"/>
      <c r="I298" s="596"/>
      <c r="J298" s="596"/>
      <c r="K298" s="600"/>
      <c r="L298" s="595"/>
      <c r="M298" s="596"/>
      <c r="N298" s="596"/>
      <c r="O298" s="595"/>
      <c r="P298" s="595"/>
      <c r="Q298" s="596"/>
      <c r="R298" s="601"/>
    </row>
    <row r="299" spans="1:18" ht="27" customHeight="1">
      <c r="A299" s="595"/>
      <c r="B299" s="595"/>
      <c r="C299" s="596"/>
      <c r="D299" s="597"/>
      <c r="E299" s="595"/>
      <c r="F299" s="595"/>
      <c r="G299" s="598"/>
      <c r="H299" s="599"/>
      <c r="I299" s="596"/>
      <c r="J299" s="596"/>
      <c r="K299" s="600"/>
      <c r="L299" s="595"/>
      <c r="M299" s="596"/>
      <c r="N299" s="596"/>
      <c r="O299" s="595"/>
      <c r="P299" s="595"/>
      <c r="Q299" s="596"/>
      <c r="R299" s="601"/>
    </row>
    <row r="300" spans="1:18" ht="27" customHeight="1">
      <c r="A300" s="595"/>
      <c r="B300" s="595"/>
      <c r="C300" s="596"/>
      <c r="D300" s="597"/>
      <c r="E300" s="595"/>
      <c r="F300" s="595"/>
      <c r="G300" s="598"/>
      <c r="H300" s="599"/>
      <c r="I300" s="596"/>
      <c r="J300" s="596"/>
      <c r="K300" s="600"/>
      <c r="L300" s="595"/>
      <c r="M300" s="596"/>
      <c r="N300" s="596"/>
      <c r="O300" s="595"/>
      <c r="P300" s="595"/>
      <c r="Q300" s="596"/>
      <c r="R300" s="601"/>
    </row>
    <row r="301" spans="1:18" ht="27" customHeight="1">
      <c r="A301" s="595"/>
      <c r="B301" s="595"/>
      <c r="C301" s="596"/>
      <c r="D301" s="597"/>
      <c r="E301" s="595"/>
      <c r="F301" s="595"/>
      <c r="G301" s="598"/>
      <c r="H301" s="599"/>
      <c r="I301" s="596"/>
      <c r="J301" s="596"/>
      <c r="K301" s="600"/>
      <c r="L301" s="595"/>
      <c r="M301" s="596"/>
      <c r="N301" s="596"/>
      <c r="O301" s="595"/>
      <c r="P301" s="595"/>
      <c r="Q301" s="596"/>
      <c r="R301" s="601"/>
    </row>
    <row r="302" spans="1:18" ht="27" customHeight="1">
      <c r="A302" s="595"/>
      <c r="B302" s="595"/>
      <c r="C302" s="596"/>
      <c r="D302" s="597"/>
      <c r="E302" s="595"/>
      <c r="F302" s="595"/>
      <c r="G302" s="598"/>
      <c r="H302" s="599"/>
      <c r="I302" s="596"/>
      <c r="J302" s="596"/>
      <c r="K302" s="600"/>
      <c r="L302" s="595"/>
      <c r="M302" s="596"/>
      <c r="N302" s="596"/>
      <c r="O302" s="595"/>
      <c r="P302" s="595"/>
      <c r="Q302" s="596"/>
      <c r="R302" s="601"/>
    </row>
    <row r="303" spans="1:18" ht="27" customHeight="1">
      <c r="A303" s="595"/>
      <c r="B303" s="595"/>
      <c r="C303" s="596"/>
      <c r="D303" s="597"/>
      <c r="E303" s="595"/>
      <c r="F303" s="595"/>
      <c r="G303" s="598"/>
      <c r="H303" s="599"/>
      <c r="I303" s="596"/>
      <c r="J303" s="596"/>
      <c r="K303" s="600"/>
      <c r="L303" s="595"/>
      <c r="M303" s="596"/>
      <c r="N303" s="596"/>
      <c r="O303" s="595"/>
      <c r="P303" s="595"/>
      <c r="Q303" s="596"/>
      <c r="R303" s="601"/>
    </row>
    <row r="304" spans="1:18" ht="27" customHeight="1">
      <c r="A304" s="595"/>
      <c r="B304" s="595"/>
      <c r="C304" s="596"/>
      <c r="D304" s="597"/>
      <c r="E304" s="595"/>
      <c r="F304" s="595"/>
      <c r="G304" s="598"/>
      <c r="H304" s="599"/>
      <c r="I304" s="596"/>
      <c r="J304" s="596"/>
      <c r="K304" s="600"/>
      <c r="L304" s="595"/>
      <c r="M304" s="596"/>
      <c r="N304" s="596"/>
      <c r="O304" s="595"/>
      <c r="P304" s="595"/>
      <c r="Q304" s="596"/>
      <c r="R304" s="601"/>
    </row>
    <row r="305" spans="1:18" ht="27" customHeight="1">
      <c r="A305" s="595"/>
      <c r="B305" s="595"/>
      <c r="C305" s="596"/>
      <c r="D305" s="597"/>
      <c r="E305" s="595"/>
      <c r="F305" s="595"/>
      <c r="G305" s="598"/>
      <c r="H305" s="599"/>
      <c r="I305" s="596"/>
      <c r="J305" s="596"/>
      <c r="K305" s="600"/>
      <c r="L305" s="595"/>
      <c r="M305" s="596"/>
      <c r="N305" s="596"/>
      <c r="O305" s="595"/>
      <c r="P305" s="595"/>
      <c r="Q305" s="596"/>
      <c r="R305" s="601"/>
    </row>
    <row r="306" spans="1:18" ht="27" customHeight="1">
      <c r="A306" s="595"/>
      <c r="B306" s="595"/>
      <c r="C306" s="596"/>
      <c r="D306" s="597"/>
      <c r="E306" s="595"/>
      <c r="F306" s="595"/>
      <c r="G306" s="598"/>
      <c r="H306" s="599"/>
      <c r="I306" s="596"/>
      <c r="J306" s="596"/>
      <c r="K306" s="600"/>
      <c r="L306" s="595"/>
      <c r="M306" s="596"/>
      <c r="N306" s="596"/>
      <c r="O306" s="595"/>
      <c r="P306" s="595"/>
      <c r="Q306" s="596"/>
      <c r="R306" s="601"/>
    </row>
    <row r="307" spans="1:18" ht="27" customHeight="1">
      <c r="A307" s="595"/>
      <c r="B307" s="595"/>
      <c r="C307" s="596"/>
      <c r="D307" s="597"/>
      <c r="E307" s="595"/>
      <c r="F307" s="595"/>
      <c r="G307" s="598"/>
      <c r="H307" s="599"/>
      <c r="I307" s="596"/>
      <c r="J307" s="596"/>
      <c r="K307" s="600"/>
      <c r="L307" s="595"/>
      <c r="M307" s="596"/>
      <c r="N307" s="596"/>
      <c r="O307" s="595"/>
      <c r="P307" s="595"/>
      <c r="Q307" s="596"/>
      <c r="R307" s="601"/>
    </row>
    <row r="308" spans="1:18" ht="27" customHeight="1">
      <c r="A308" s="595"/>
      <c r="B308" s="595"/>
      <c r="C308" s="596"/>
      <c r="D308" s="597"/>
      <c r="E308" s="595"/>
      <c r="F308" s="595"/>
      <c r="G308" s="598"/>
      <c r="H308" s="599"/>
      <c r="I308" s="596"/>
      <c r="J308" s="596"/>
      <c r="K308" s="600"/>
      <c r="L308" s="595"/>
      <c r="M308" s="596"/>
      <c r="N308" s="596"/>
      <c r="O308" s="595"/>
      <c r="P308" s="595"/>
      <c r="Q308" s="596"/>
      <c r="R308" s="601"/>
    </row>
    <row r="309" spans="1:18" ht="27" customHeight="1">
      <c r="A309" s="595"/>
      <c r="B309" s="595"/>
      <c r="C309" s="596"/>
      <c r="D309" s="597"/>
      <c r="E309" s="595"/>
      <c r="F309" s="595"/>
      <c r="G309" s="598"/>
      <c r="H309" s="599"/>
      <c r="I309" s="596"/>
      <c r="J309" s="596"/>
      <c r="K309" s="600"/>
      <c r="L309" s="595"/>
      <c r="M309" s="596"/>
      <c r="N309" s="596"/>
      <c r="O309" s="595"/>
      <c r="P309" s="595"/>
      <c r="Q309" s="596"/>
      <c r="R309" s="601"/>
    </row>
    <row r="310" spans="1:18" ht="27" customHeight="1">
      <c r="A310" s="595"/>
      <c r="B310" s="595"/>
      <c r="C310" s="596"/>
      <c r="D310" s="597"/>
      <c r="E310" s="595"/>
      <c r="F310" s="595"/>
      <c r="G310" s="598"/>
      <c r="H310" s="599"/>
      <c r="I310" s="596"/>
      <c r="J310" s="596"/>
      <c r="K310" s="600"/>
      <c r="L310" s="595"/>
      <c r="M310" s="596"/>
      <c r="N310" s="596"/>
      <c r="O310" s="595"/>
      <c r="P310" s="595"/>
      <c r="Q310" s="596"/>
      <c r="R310" s="601"/>
    </row>
    <row r="311" spans="1:18" ht="27" customHeight="1">
      <c r="A311" s="595"/>
      <c r="B311" s="595"/>
      <c r="C311" s="596"/>
      <c r="D311" s="597"/>
      <c r="E311" s="595"/>
      <c r="F311" s="595"/>
      <c r="G311" s="598"/>
      <c r="H311" s="599"/>
      <c r="I311" s="596"/>
      <c r="J311" s="596"/>
      <c r="K311" s="600"/>
      <c r="L311" s="595"/>
      <c r="M311" s="596"/>
      <c r="N311" s="596"/>
      <c r="O311" s="595"/>
      <c r="P311" s="595"/>
      <c r="Q311" s="596"/>
      <c r="R311" s="601"/>
    </row>
    <row r="312" spans="1:18" ht="27" customHeight="1">
      <c r="A312" s="595"/>
      <c r="B312" s="595"/>
      <c r="C312" s="596"/>
      <c r="D312" s="597"/>
      <c r="E312" s="595"/>
      <c r="F312" s="595"/>
      <c r="G312" s="598"/>
      <c r="H312" s="599"/>
      <c r="I312" s="596"/>
      <c r="J312" s="596"/>
      <c r="K312" s="600"/>
      <c r="L312" s="595"/>
      <c r="M312" s="596"/>
      <c r="N312" s="596"/>
      <c r="O312" s="595"/>
      <c r="P312" s="595"/>
      <c r="Q312" s="596"/>
      <c r="R312" s="601"/>
    </row>
    <row r="313" spans="1:18" ht="27" customHeight="1">
      <c r="A313" s="595"/>
      <c r="B313" s="595"/>
      <c r="C313" s="596"/>
      <c r="D313" s="597"/>
      <c r="E313" s="595"/>
      <c r="F313" s="595"/>
      <c r="G313" s="598"/>
      <c r="H313" s="599"/>
      <c r="I313" s="596"/>
      <c r="J313" s="596"/>
      <c r="K313" s="600"/>
      <c r="L313" s="595"/>
      <c r="M313" s="596"/>
      <c r="N313" s="596"/>
      <c r="O313" s="595"/>
      <c r="P313" s="595"/>
      <c r="Q313" s="596"/>
      <c r="R313" s="601"/>
    </row>
    <row r="314" spans="1:18" ht="27" customHeight="1">
      <c r="A314" s="595"/>
      <c r="B314" s="595"/>
      <c r="C314" s="596"/>
      <c r="D314" s="597"/>
      <c r="E314" s="595"/>
      <c r="F314" s="595"/>
      <c r="G314" s="598"/>
      <c r="H314" s="599"/>
      <c r="I314" s="596"/>
      <c r="J314" s="596"/>
      <c r="K314" s="600"/>
      <c r="L314" s="595"/>
      <c r="M314" s="596"/>
      <c r="N314" s="596"/>
      <c r="O314" s="595"/>
      <c r="P314" s="595"/>
      <c r="Q314" s="596"/>
      <c r="R314" s="601"/>
    </row>
    <row r="315" spans="1:18" ht="27" customHeight="1">
      <c r="A315" s="595"/>
      <c r="B315" s="595"/>
      <c r="C315" s="596"/>
      <c r="D315" s="597"/>
      <c r="E315" s="595"/>
      <c r="F315" s="595"/>
      <c r="G315" s="598"/>
      <c r="H315" s="599"/>
      <c r="I315" s="596"/>
      <c r="J315" s="596"/>
      <c r="K315" s="600"/>
      <c r="L315" s="595"/>
      <c r="M315" s="596"/>
      <c r="N315" s="596"/>
      <c r="O315" s="595"/>
      <c r="P315" s="595"/>
      <c r="Q315" s="596"/>
      <c r="R315" s="601"/>
    </row>
    <row r="316" spans="1:18" ht="27" customHeight="1">
      <c r="A316" s="595"/>
      <c r="B316" s="595"/>
      <c r="C316" s="596"/>
      <c r="D316" s="597"/>
      <c r="E316" s="595"/>
      <c r="F316" s="595"/>
      <c r="G316" s="598"/>
      <c r="H316" s="599"/>
      <c r="I316" s="596"/>
      <c r="J316" s="596"/>
      <c r="K316" s="600"/>
      <c r="L316" s="595"/>
      <c r="M316" s="596"/>
      <c r="N316" s="596"/>
      <c r="O316" s="595"/>
      <c r="P316" s="595"/>
      <c r="Q316" s="596"/>
      <c r="R316" s="601"/>
    </row>
    <row r="317" spans="1:18" ht="27" customHeight="1">
      <c r="A317" s="595"/>
      <c r="B317" s="595"/>
      <c r="C317" s="596"/>
      <c r="D317" s="597"/>
      <c r="E317" s="595"/>
      <c r="F317" s="595"/>
      <c r="G317" s="598"/>
      <c r="H317" s="599"/>
      <c r="I317" s="596"/>
      <c r="J317" s="596"/>
      <c r="K317" s="600"/>
      <c r="L317" s="595"/>
      <c r="M317" s="596"/>
      <c r="N317" s="596"/>
      <c r="O317" s="595"/>
      <c r="P317" s="595"/>
      <c r="Q317" s="596"/>
      <c r="R317" s="601"/>
    </row>
    <row r="318" spans="1:18" ht="27" customHeight="1">
      <c r="A318" s="595"/>
      <c r="B318" s="595"/>
      <c r="C318" s="596"/>
      <c r="D318" s="597"/>
      <c r="E318" s="595"/>
      <c r="F318" s="595"/>
      <c r="G318" s="598"/>
      <c r="H318" s="599"/>
      <c r="I318" s="596"/>
      <c r="J318" s="596"/>
      <c r="K318" s="600"/>
      <c r="L318" s="595"/>
      <c r="M318" s="596"/>
      <c r="N318" s="596"/>
      <c r="O318" s="595"/>
      <c r="P318" s="595"/>
      <c r="Q318" s="596"/>
      <c r="R318" s="601"/>
    </row>
    <row r="319" spans="1:18" ht="27" customHeight="1">
      <c r="A319" s="595"/>
      <c r="B319" s="595"/>
      <c r="C319" s="596"/>
      <c r="D319" s="597"/>
      <c r="E319" s="595"/>
      <c r="F319" s="595"/>
      <c r="G319" s="598"/>
      <c r="H319" s="599"/>
      <c r="I319" s="596"/>
      <c r="J319" s="596"/>
      <c r="K319" s="600"/>
      <c r="L319" s="595"/>
      <c r="M319" s="596"/>
      <c r="N319" s="596"/>
      <c r="O319" s="595"/>
      <c r="P319" s="595"/>
      <c r="Q319" s="596"/>
      <c r="R319" s="601"/>
    </row>
    <row r="320" spans="1:18" ht="27" customHeight="1">
      <c r="A320" s="595"/>
      <c r="B320" s="595"/>
      <c r="C320" s="596"/>
      <c r="D320" s="597"/>
      <c r="E320" s="595"/>
      <c r="F320" s="595"/>
      <c r="G320" s="598"/>
      <c r="H320" s="599"/>
      <c r="I320" s="596"/>
      <c r="J320" s="596"/>
      <c r="K320" s="600"/>
      <c r="L320" s="595"/>
      <c r="M320" s="596"/>
      <c r="N320" s="596"/>
      <c r="O320" s="595"/>
      <c r="P320" s="595"/>
      <c r="Q320" s="596"/>
      <c r="R320" s="601"/>
    </row>
    <row r="321" spans="1:18" ht="27" customHeight="1">
      <c r="A321" s="595"/>
      <c r="B321" s="595"/>
      <c r="C321" s="596"/>
      <c r="D321" s="597"/>
      <c r="E321" s="595"/>
      <c r="F321" s="595"/>
      <c r="G321" s="598"/>
      <c r="H321" s="599"/>
      <c r="I321" s="596"/>
      <c r="J321" s="596"/>
      <c r="K321" s="600"/>
      <c r="L321" s="595"/>
      <c r="M321" s="596"/>
      <c r="N321" s="596"/>
      <c r="O321" s="595"/>
      <c r="P321" s="595"/>
      <c r="Q321" s="596"/>
      <c r="R321" s="601"/>
    </row>
    <row r="322" spans="1:18" ht="27" customHeight="1">
      <c r="A322" s="595"/>
      <c r="B322" s="595"/>
      <c r="C322" s="596"/>
      <c r="D322" s="597"/>
      <c r="E322" s="595"/>
      <c r="F322" s="595"/>
      <c r="G322" s="598"/>
      <c r="H322" s="599"/>
      <c r="I322" s="596"/>
      <c r="J322" s="596"/>
      <c r="K322" s="600"/>
      <c r="L322" s="595"/>
      <c r="M322" s="596"/>
      <c r="N322" s="596"/>
      <c r="O322" s="595"/>
      <c r="P322" s="595"/>
      <c r="Q322" s="596"/>
      <c r="R322" s="601"/>
    </row>
    <row r="323" spans="1:18" ht="27" customHeight="1">
      <c r="A323" s="595"/>
      <c r="B323" s="595"/>
      <c r="C323" s="596"/>
      <c r="D323" s="597"/>
      <c r="E323" s="595"/>
      <c r="F323" s="595"/>
      <c r="G323" s="598"/>
      <c r="H323" s="599"/>
      <c r="I323" s="596"/>
      <c r="J323" s="596"/>
      <c r="K323" s="600"/>
      <c r="L323" s="595"/>
      <c r="M323" s="596"/>
      <c r="N323" s="596"/>
      <c r="O323" s="595"/>
      <c r="P323" s="595"/>
      <c r="Q323" s="596"/>
      <c r="R323" s="601"/>
    </row>
    <row r="324" spans="1:18" ht="27" customHeight="1">
      <c r="A324" s="595"/>
      <c r="B324" s="595"/>
      <c r="C324" s="596"/>
      <c r="D324" s="597"/>
      <c r="E324" s="595"/>
      <c r="F324" s="595"/>
      <c r="G324" s="598"/>
      <c r="H324" s="599"/>
      <c r="I324" s="596"/>
      <c r="J324" s="596"/>
      <c r="K324" s="600"/>
      <c r="L324" s="595"/>
      <c r="M324" s="596"/>
      <c r="N324" s="596"/>
      <c r="O324" s="595"/>
      <c r="P324" s="595"/>
      <c r="Q324" s="596"/>
      <c r="R324" s="601"/>
    </row>
    <row r="325" spans="1:18" ht="27" customHeight="1">
      <c r="A325" s="595"/>
      <c r="B325" s="595"/>
      <c r="C325" s="596"/>
      <c r="D325" s="597"/>
      <c r="E325" s="595"/>
      <c r="F325" s="595"/>
      <c r="G325" s="598"/>
      <c r="H325" s="599"/>
      <c r="I325" s="596"/>
      <c r="J325" s="596"/>
      <c r="K325" s="600"/>
      <c r="L325" s="595"/>
      <c r="M325" s="596"/>
      <c r="N325" s="596"/>
      <c r="O325" s="595"/>
      <c r="P325" s="595"/>
      <c r="Q325" s="596"/>
      <c r="R325" s="601"/>
    </row>
    <row r="326" spans="1:18" ht="27" customHeight="1">
      <c r="A326" s="595"/>
      <c r="B326" s="595"/>
      <c r="C326" s="596"/>
      <c r="D326" s="597"/>
      <c r="E326" s="595"/>
      <c r="F326" s="595"/>
      <c r="G326" s="598"/>
      <c r="H326" s="599"/>
      <c r="I326" s="596"/>
      <c r="J326" s="596"/>
      <c r="K326" s="600"/>
      <c r="L326" s="595"/>
      <c r="M326" s="596"/>
      <c r="N326" s="596"/>
      <c r="O326" s="595"/>
      <c r="P326" s="595"/>
      <c r="Q326" s="596"/>
      <c r="R326" s="601"/>
    </row>
    <row r="327" spans="1:18" ht="27" customHeight="1">
      <c r="A327" s="595"/>
      <c r="B327" s="595"/>
      <c r="C327" s="596"/>
      <c r="D327" s="597"/>
      <c r="E327" s="595"/>
      <c r="F327" s="595"/>
      <c r="G327" s="598"/>
      <c r="H327" s="599"/>
      <c r="I327" s="596"/>
      <c r="J327" s="596"/>
      <c r="K327" s="600"/>
      <c r="L327" s="595"/>
      <c r="M327" s="596"/>
      <c r="N327" s="596"/>
      <c r="O327" s="595"/>
      <c r="P327" s="595"/>
      <c r="Q327" s="596"/>
      <c r="R327" s="601"/>
    </row>
    <row r="328" spans="1:18" ht="27" customHeight="1">
      <c r="A328" s="595"/>
      <c r="B328" s="595"/>
      <c r="C328" s="596"/>
      <c r="D328" s="597"/>
      <c r="E328" s="595"/>
      <c r="F328" s="595"/>
      <c r="G328" s="598"/>
      <c r="H328" s="599"/>
      <c r="I328" s="596"/>
      <c r="J328" s="596"/>
      <c r="K328" s="600"/>
      <c r="L328" s="595"/>
      <c r="M328" s="596"/>
      <c r="N328" s="596"/>
      <c r="O328" s="595"/>
      <c r="P328" s="595"/>
      <c r="Q328" s="596"/>
      <c r="R328" s="601"/>
    </row>
    <row r="329" spans="1:18" ht="27" customHeight="1">
      <c r="A329" s="595"/>
      <c r="B329" s="595"/>
      <c r="C329" s="596"/>
      <c r="D329" s="597"/>
      <c r="E329" s="595"/>
      <c r="F329" s="595"/>
      <c r="G329" s="598"/>
      <c r="H329" s="599"/>
      <c r="I329" s="596"/>
      <c r="J329" s="596"/>
      <c r="K329" s="600"/>
      <c r="L329" s="595"/>
      <c r="M329" s="596"/>
      <c r="N329" s="596"/>
      <c r="O329" s="595"/>
      <c r="P329" s="595"/>
      <c r="Q329" s="596"/>
      <c r="R329" s="601"/>
    </row>
    <row r="330" spans="1:18" ht="27" customHeight="1">
      <c r="A330" s="595"/>
      <c r="B330" s="595"/>
      <c r="C330" s="596"/>
      <c r="D330" s="597"/>
      <c r="E330" s="595"/>
      <c r="F330" s="595"/>
      <c r="G330" s="598"/>
      <c r="H330" s="599"/>
      <c r="I330" s="596"/>
      <c r="J330" s="596"/>
      <c r="K330" s="600"/>
      <c r="L330" s="595"/>
      <c r="M330" s="596"/>
      <c r="N330" s="596"/>
      <c r="O330" s="595"/>
      <c r="P330" s="595"/>
      <c r="Q330" s="596"/>
      <c r="R330" s="601"/>
    </row>
    <row r="331" spans="1:18" ht="27" customHeight="1">
      <c r="A331" s="595"/>
      <c r="B331" s="595"/>
      <c r="C331" s="596"/>
      <c r="D331" s="597"/>
      <c r="E331" s="595"/>
      <c r="F331" s="595"/>
      <c r="G331" s="598"/>
      <c r="H331" s="599"/>
      <c r="I331" s="596"/>
      <c r="J331" s="596"/>
      <c r="K331" s="600"/>
      <c r="L331" s="595"/>
      <c r="M331" s="596"/>
      <c r="N331" s="596"/>
      <c r="O331" s="595"/>
      <c r="P331" s="595"/>
      <c r="Q331" s="596"/>
      <c r="R331" s="601"/>
    </row>
    <row r="332" spans="1:18" ht="27" customHeight="1">
      <c r="A332" s="595"/>
      <c r="B332" s="595"/>
      <c r="C332" s="596"/>
      <c r="D332" s="597"/>
      <c r="E332" s="595"/>
      <c r="F332" s="595"/>
      <c r="G332" s="598"/>
      <c r="H332" s="599"/>
      <c r="I332" s="596"/>
      <c r="J332" s="596"/>
      <c r="K332" s="600"/>
      <c r="L332" s="595"/>
      <c r="M332" s="596"/>
      <c r="N332" s="596"/>
      <c r="O332" s="595"/>
      <c r="P332" s="595"/>
      <c r="Q332" s="596"/>
      <c r="R332" s="601"/>
    </row>
    <row r="333" spans="1:18" ht="27" customHeight="1">
      <c r="A333" s="595"/>
      <c r="B333" s="595"/>
      <c r="C333" s="596"/>
      <c r="D333" s="597"/>
      <c r="E333" s="595"/>
      <c r="F333" s="595"/>
      <c r="G333" s="598"/>
      <c r="H333" s="599"/>
      <c r="I333" s="596"/>
      <c r="J333" s="596"/>
      <c r="K333" s="600"/>
      <c r="L333" s="595"/>
      <c r="M333" s="596"/>
      <c r="N333" s="596"/>
      <c r="O333" s="595"/>
      <c r="P333" s="595"/>
      <c r="Q333" s="596"/>
      <c r="R333" s="601"/>
    </row>
    <row r="334" spans="1:18" ht="27" customHeight="1">
      <c r="A334" s="595"/>
      <c r="B334" s="595"/>
      <c r="C334" s="596"/>
      <c r="D334" s="597"/>
      <c r="E334" s="595"/>
      <c r="F334" s="595"/>
      <c r="G334" s="598"/>
      <c r="H334" s="599"/>
      <c r="I334" s="596"/>
      <c r="J334" s="596"/>
      <c r="K334" s="600"/>
      <c r="L334" s="595"/>
      <c r="M334" s="596"/>
      <c r="N334" s="596"/>
      <c r="O334" s="595"/>
      <c r="P334" s="595"/>
      <c r="Q334" s="596"/>
      <c r="R334" s="601"/>
    </row>
    <row r="335" spans="1:18" ht="27" customHeight="1">
      <c r="A335" s="595"/>
      <c r="B335" s="595"/>
      <c r="C335" s="596"/>
      <c r="D335" s="597"/>
      <c r="E335" s="595"/>
      <c r="F335" s="595"/>
      <c r="G335" s="598"/>
      <c r="H335" s="599"/>
      <c r="I335" s="596"/>
      <c r="J335" s="596"/>
      <c r="K335" s="600"/>
      <c r="L335" s="595"/>
      <c r="M335" s="596"/>
      <c r="N335" s="596"/>
      <c r="O335" s="595"/>
      <c r="P335" s="595"/>
      <c r="Q335" s="596"/>
      <c r="R335" s="601"/>
    </row>
    <row r="336" spans="1:18" ht="27" customHeight="1">
      <c r="A336" s="595"/>
      <c r="B336" s="595"/>
      <c r="C336" s="596"/>
      <c r="D336" s="597"/>
      <c r="E336" s="595"/>
      <c r="F336" s="595"/>
      <c r="G336" s="598"/>
      <c r="H336" s="599"/>
      <c r="I336" s="596"/>
      <c r="J336" s="596"/>
      <c r="K336" s="600"/>
      <c r="L336" s="595"/>
      <c r="M336" s="596"/>
      <c r="N336" s="596"/>
      <c r="O336" s="595"/>
      <c r="P336" s="595"/>
      <c r="Q336" s="596"/>
      <c r="R336" s="601"/>
    </row>
    <row r="337" spans="1:18" ht="27" customHeight="1">
      <c r="A337" s="595"/>
      <c r="B337" s="595"/>
      <c r="C337" s="596"/>
      <c r="D337" s="597"/>
      <c r="E337" s="595"/>
      <c r="F337" s="595"/>
      <c r="G337" s="598"/>
      <c r="H337" s="599"/>
      <c r="I337" s="596"/>
      <c r="J337" s="596"/>
      <c r="K337" s="600"/>
      <c r="L337" s="595"/>
      <c r="M337" s="596"/>
      <c r="N337" s="596"/>
      <c r="O337" s="595"/>
      <c r="P337" s="595"/>
      <c r="Q337" s="596"/>
      <c r="R337" s="601"/>
    </row>
    <row r="338" spans="1:18" ht="27" customHeight="1">
      <c r="A338" s="595"/>
      <c r="B338" s="595"/>
      <c r="C338" s="596"/>
      <c r="D338" s="597"/>
      <c r="E338" s="595"/>
      <c r="F338" s="595"/>
      <c r="G338" s="598"/>
      <c r="H338" s="599"/>
      <c r="I338" s="596"/>
      <c r="J338" s="596"/>
      <c r="K338" s="600"/>
      <c r="L338" s="595"/>
      <c r="M338" s="596"/>
      <c r="N338" s="596"/>
      <c r="O338" s="595"/>
      <c r="P338" s="595"/>
      <c r="Q338" s="596"/>
      <c r="R338" s="601"/>
    </row>
    <row r="339" spans="1:18" ht="27" customHeight="1">
      <c r="A339" s="595"/>
      <c r="B339" s="595"/>
      <c r="C339" s="596"/>
      <c r="D339" s="597"/>
      <c r="E339" s="595"/>
      <c r="F339" s="595"/>
      <c r="G339" s="598"/>
      <c r="H339" s="599"/>
      <c r="I339" s="596"/>
      <c r="J339" s="596"/>
      <c r="K339" s="600"/>
      <c r="L339" s="595"/>
      <c r="M339" s="596"/>
      <c r="N339" s="596"/>
      <c r="O339" s="595"/>
      <c r="P339" s="595"/>
      <c r="Q339" s="596"/>
      <c r="R339" s="601"/>
    </row>
    <row r="340" spans="1:18" ht="27" customHeight="1">
      <c r="A340" s="595"/>
      <c r="B340" s="595"/>
      <c r="C340" s="596"/>
      <c r="D340" s="597"/>
      <c r="E340" s="595"/>
      <c r="F340" s="595"/>
      <c r="G340" s="598"/>
      <c r="H340" s="599"/>
      <c r="I340" s="596"/>
      <c r="J340" s="596"/>
      <c r="K340" s="600"/>
      <c r="L340" s="595"/>
      <c r="M340" s="596"/>
      <c r="N340" s="596"/>
      <c r="O340" s="595"/>
      <c r="P340" s="595"/>
      <c r="Q340" s="596"/>
      <c r="R340" s="601"/>
    </row>
    <row r="341" spans="1:18" ht="27" customHeight="1">
      <c r="A341" s="595"/>
      <c r="B341" s="595"/>
      <c r="C341" s="596"/>
      <c r="D341" s="597"/>
      <c r="E341" s="595"/>
      <c r="F341" s="595"/>
      <c r="G341" s="598"/>
      <c r="H341" s="599"/>
      <c r="I341" s="596"/>
      <c r="J341" s="596"/>
      <c r="K341" s="600"/>
      <c r="L341" s="595"/>
      <c r="M341" s="596"/>
      <c r="N341" s="596"/>
      <c r="O341" s="595"/>
      <c r="P341" s="595"/>
      <c r="Q341" s="596"/>
      <c r="R341" s="601"/>
    </row>
    <row r="342" spans="1:18" ht="27" customHeight="1">
      <c r="A342" s="595"/>
      <c r="B342" s="595"/>
      <c r="C342" s="596"/>
      <c r="D342" s="597"/>
      <c r="E342" s="595"/>
      <c r="F342" s="595"/>
      <c r="G342" s="598"/>
      <c r="H342" s="599"/>
      <c r="I342" s="596"/>
      <c r="J342" s="596"/>
      <c r="K342" s="600"/>
      <c r="L342" s="595"/>
      <c r="M342" s="596"/>
      <c r="N342" s="596"/>
      <c r="O342" s="595"/>
      <c r="P342" s="595"/>
      <c r="Q342" s="596"/>
      <c r="R342" s="601"/>
    </row>
    <row r="343" spans="1:18" ht="27" customHeight="1">
      <c r="A343" s="595"/>
      <c r="B343" s="595"/>
      <c r="C343" s="596"/>
      <c r="D343" s="597"/>
      <c r="E343" s="595"/>
      <c r="F343" s="595"/>
      <c r="G343" s="598"/>
      <c r="H343" s="599"/>
      <c r="I343" s="596"/>
      <c r="J343" s="596"/>
      <c r="K343" s="600"/>
      <c r="L343" s="595"/>
      <c r="M343" s="596"/>
      <c r="N343" s="596"/>
      <c r="O343" s="595"/>
      <c r="P343" s="595"/>
      <c r="Q343" s="596"/>
      <c r="R343" s="601"/>
    </row>
    <row r="344" spans="1:18" ht="27" customHeight="1">
      <c r="A344" s="595"/>
      <c r="B344" s="595"/>
      <c r="C344" s="596"/>
      <c r="D344" s="597"/>
      <c r="E344" s="595"/>
      <c r="F344" s="595"/>
      <c r="G344" s="598"/>
      <c r="H344" s="599"/>
      <c r="I344" s="596"/>
      <c r="J344" s="596"/>
      <c r="K344" s="600"/>
      <c r="L344" s="595"/>
      <c r="M344" s="596"/>
      <c r="N344" s="596"/>
      <c r="O344" s="595"/>
      <c r="P344" s="595"/>
      <c r="Q344" s="596"/>
      <c r="R344" s="601"/>
    </row>
    <row r="345" spans="1:18" ht="27" customHeight="1">
      <c r="A345" s="595"/>
      <c r="B345" s="595"/>
      <c r="C345" s="596"/>
      <c r="D345" s="597"/>
      <c r="E345" s="595"/>
      <c r="F345" s="595"/>
      <c r="G345" s="598"/>
      <c r="H345" s="599"/>
      <c r="I345" s="596"/>
      <c r="J345" s="596"/>
      <c r="K345" s="600"/>
      <c r="L345" s="595"/>
      <c r="M345" s="596"/>
      <c r="N345" s="596"/>
      <c r="O345" s="595"/>
      <c r="P345" s="595"/>
      <c r="Q345" s="596"/>
      <c r="R345" s="601"/>
    </row>
    <row r="346" spans="1:18" ht="27" customHeight="1">
      <c r="A346" s="595"/>
      <c r="B346" s="595"/>
      <c r="C346" s="596"/>
      <c r="D346" s="597"/>
      <c r="E346" s="595"/>
      <c r="F346" s="595"/>
      <c r="G346" s="598"/>
      <c r="H346" s="599"/>
      <c r="I346" s="596"/>
      <c r="J346" s="596"/>
      <c r="K346" s="600"/>
      <c r="L346" s="595"/>
      <c r="M346" s="596"/>
      <c r="N346" s="596"/>
      <c r="O346" s="595"/>
      <c r="P346" s="595"/>
      <c r="Q346" s="596"/>
      <c r="R346" s="601"/>
    </row>
    <row r="347" spans="1:18" ht="27" customHeight="1">
      <c r="A347" s="595"/>
      <c r="B347" s="595"/>
      <c r="C347" s="596"/>
      <c r="D347" s="597"/>
      <c r="E347" s="595"/>
      <c r="F347" s="595"/>
      <c r="G347" s="598"/>
      <c r="H347" s="599"/>
      <c r="I347" s="596"/>
      <c r="J347" s="596"/>
      <c r="K347" s="600"/>
      <c r="L347" s="595"/>
      <c r="M347" s="596"/>
      <c r="N347" s="596"/>
      <c r="O347" s="595"/>
      <c r="P347" s="595"/>
      <c r="Q347" s="596"/>
      <c r="R347" s="601"/>
    </row>
    <row r="348" spans="1:18" ht="27" customHeight="1">
      <c r="A348" s="595"/>
      <c r="B348" s="595"/>
      <c r="C348" s="596"/>
      <c r="D348" s="597"/>
      <c r="E348" s="595"/>
      <c r="F348" s="595"/>
      <c r="G348" s="598"/>
      <c r="H348" s="599"/>
      <c r="I348" s="596"/>
      <c r="J348" s="596"/>
      <c r="K348" s="600"/>
      <c r="L348" s="595"/>
      <c r="M348" s="596"/>
      <c r="N348" s="596"/>
      <c r="O348" s="595"/>
      <c r="P348" s="595"/>
      <c r="Q348" s="596"/>
      <c r="R348" s="601"/>
    </row>
    <row r="349" spans="1:18" ht="27" customHeight="1">
      <c r="A349" s="595"/>
      <c r="B349" s="595"/>
      <c r="C349" s="596"/>
      <c r="D349" s="597"/>
      <c r="E349" s="595"/>
      <c r="F349" s="595"/>
      <c r="G349" s="598"/>
      <c r="H349" s="599"/>
      <c r="I349" s="596"/>
      <c r="J349" s="596"/>
      <c r="K349" s="600"/>
      <c r="L349" s="595"/>
      <c r="M349" s="596"/>
      <c r="N349" s="596"/>
      <c r="O349" s="595"/>
      <c r="P349" s="595"/>
      <c r="Q349" s="596"/>
      <c r="R349" s="601"/>
    </row>
    <row r="350" spans="1:18" ht="27" customHeight="1">
      <c r="A350" s="595"/>
      <c r="B350" s="595"/>
      <c r="C350" s="596"/>
      <c r="D350" s="597"/>
      <c r="E350" s="595"/>
      <c r="F350" s="595"/>
      <c r="G350" s="598"/>
      <c r="H350" s="599"/>
      <c r="I350" s="596"/>
      <c r="J350" s="596"/>
      <c r="K350" s="600"/>
      <c r="L350" s="595"/>
      <c r="M350" s="596"/>
      <c r="N350" s="596"/>
      <c r="O350" s="595"/>
      <c r="P350" s="595"/>
      <c r="Q350" s="596"/>
      <c r="R350" s="601"/>
    </row>
    <row r="351" spans="1:18" ht="27" customHeight="1">
      <c r="A351" s="595"/>
      <c r="B351" s="595"/>
      <c r="C351" s="596"/>
      <c r="D351" s="597"/>
      <c r="E351" s="595"/>
      <c r="F351" s="595"/>
      <c r="G351" s="598"/>
      <c r="H351" s="599"/>
      <c r="I351" s="596"/>
      <c r="J351" s="596"/>
      <c r="K351" s="600"/>
      <c r="L351" s="595"/>
      <c r="M351" s="596"/>
      <c r="N351" s="596"/>
      <c r="O351" s="595"/>
      <c r="P351" s="595"/>
      <c r="Q351" s="596"/>
      <c r="R351" s="601"/>
    </row>
    <row r="352" spans="1:18" ht="27" customHeight="1">
      <c r="A352" s="595"/>
      <c r="B352" s="595"/>
      <c r="C352" s="596"/>
      <c r="D352" s="597"/>
      <c r="E352" s="595"/>
      <c r="F352" s="595"/>
      <c r="G352" s="598"/>
      <c r="H352" s="599"/>
      <c r="I352" s="596"/>
      <c r="J352" s="596"/>
      <c r="K352" s="600"/>
      <c r="L352" s="595"/>
      <c r="M352" s="596"/>
      <c r="N352" s="596"/>
      <c r="O352" s="595"/>
      <c r="P352" s="595"/>
      <c r="Q352" s="596"/>
      <c r="R352" s="601"/>
    </row>
    <row r="353" spans="1:18" ht="27" customHeight="1">
      <c r="A353" s="595"/>
      <c r="B353" s="595"/>
      <c r="C353" s="596"/>
      <c r="D353" s="597"/>
      <c r="E353" s="595"/>
      <c r="F353" s="595"/>
      <c r="G353" s="598"/>
      <c r="H353" s="599"/>
      <c r="I353" s="596"/>
      <c r="J353" s="596"/>
      <c r="K353" s="600"/>
      <c r="L353" s="595"/>
      <c r="M353" s="596"/>
      <c r="N353" s="596"/>
      <c r="O353" s="595"/>
      <c r="P353" s="595"/>
      <c r="Q353" s="596"/>
      <c r="R353" s="601"/>
    </row>
    <row r="354" spans="1:18" ht="27" customHeight="1">
      <c r="A354" s="595"/>
      <c r="B354" s="595"/>
      <c r="C354" s="596"/>
      <c r="D354" s="597"/>
      <c r="E354" s="595"/>
      <c r="F354" s="595"/>
      <c r="G354" s="598"/>
      <c r="H354" s="599"/>
      <c r="I354" s="596"/>
      <c r="J354" s="596"/>
      <c r="K354" s="600"/>
      <c r="L354" s="595"/>
      <c r="M354" s="596"/>
      <c r="N354" s="596"/>
      <c r="O354" s="595"/>
      <c r="P354" s="595"/>
      <c r="Q354" s="596"/>
      <c r="R354" s="601"/>
    </row>
    <row r="355" spans="1:18" ht="27" customHeight="1">
      <c r="A355" s="595"/>
      <c r="B355" s="595"/>
      <c r="C355" s="596"/>
      <c r="D355" s="597"/>
      <c r="E355" s="595"/>
      <c r="F355" s="595"/>
      <c r="G355" s="598"/>
      <c r="H355" s="599"/>
      <c r="I355" s="596"/>
      <c r="J355" s="596"/>
      <c r="K355" s="600"/>
      <c r="L355" s="595"/>
      <c r="M355" s="596"/>
      <c r="N355" s="596"/>
      <c r="O355" s="595"/>
      <c r="P355" s="595"/>
      <c r="Q355" s="596"/>
      <c r="R355" s="601"/>
    </row>
    <row r="356" spans="1:18" ht="27" customHeight="1">
      <c r="A356" s="595"/>
      <c r="B356" s="595"/>
      <c r="C356" s="596"/>
      <c r="D356" s="597"/>
      <c r="E356" s="595"/>
      <c r="F356" s="595"/>
      <c r="G356" s="598"/>
      <c r="H356" s="599"/>
      <c r="I356" s="596"/>
      <c r="J356" s="596"/>
      <c r="K356" s="600"/>
      <c r="L356" s="595"/>
      <c r="M356" s="596"/>
      <c r="N356" s="596"/>
      <c r="O356" s="595"/>
      <c r="P356" s="595"/>
      <c r="Q356" s="596"/>
      <c r="R356" s="601"/>
    </row>
    <row r="357" spans="1:18" ht="27" customHeight="1">
      <c r="A357" s="595"/>
      <c r="B357" s="595"/>
      <c r="C357" s="596"/>
      <c r="D357" s="597"/>
      <c r="E357" s="595"/>
      <c r="F357" s="595"/>
      <c r="G357" s="598"/>
      <c r="H357" s="599"/>
      <c r="I357" s="596"/>
      <c r="J357" s="596"/>
      <c r="K357" s="600"/>
      <c r="L357" s="595"/>
      <c r="M357" s="596"/>
      <c r="N357" s="596"/>
      <c r="O357" s="595"/>
      <c r="P357" s="595"/>
      <c r="Q357" s="596"/>
      <c r="R357" s="601"/>
    </row>
    <row r="358" spans="1:18" ht="27" customHeight="1">
      <c r="A358" s="595"/>
      <c r="B358" s="595"/>
      <c r="C358" s="596"/>
      <c r="D358" s="597"/>
      <c r="E358" s="595"/>
      <c r="F358" s="595"/>
      <c r="G358" s="598"/>
      <c r="H358" s="599"/>
      <c r="I358" s="596"/>
      <c r="J358" s="596"/>
      <c r="K358" s="600"/>
      <c r="L358" s="595"/>
      <c r="M358" s="596"/>
      <c r="N358" s="596"/>
      <c r="O358" s="595"/>
      <c r="P358" s="595"/>
      <c r="Q358" s="596"/>
      <c r="R358" s="601"/>
    </row>
    <row r="359" spans="1:18" ht="27" customHeight="1">
      <c r="A359" s="595"/>
      <c r="B359" s="595"/>
      <c r="C359" s="596"/>
      <c r="D359" s="597"/>
      <c r="E359" s="595"/>
      <c r="F359" s="595"/>
      <c r="G359" s="598"/>
      <c r="H359" s="599"/>
      <c r="I359" s="596"/>
      <c r="J359" s="596"/>
      <c r="K359" s="600"/>
      <c r="L359" s="595"/>
      <c r="M359" s="596"/>
      <c r="N359" s="596"/>
      <c r="O359" s="595"/>
      <c r="P359" s="595"/>
      <c r="Q359" s="596"/>
      <c r="R359" s="601"/>
    </row>
    <row r="360" spans="1:18" ht="27" customHeight="1">
      <c r="A360" s="595"/>
      <c r="B360" s="595"/>
      <c r="C360" s="596"/>
      <c r="D360" s="597"/>
      <c r="E360" s="595"/>
      <c r="F360" s="595"/>
      <c r="G360" s="598"/>
      <c r="H360" s="599"/>
      <c r="I360" s="596"/>
      <c r="J360" s="596"/>
      <c r="K360" s="600"/>
      <c r="L360" s="595"/>
      <c r="M360" s="596"/>
      <c r="N360" s="596"/>
      <c r="O360" s="595"/>
      <c r="P360" s="595"/>
      <c r="Q360" s="596"/>
      <c r="R360" s="601"/>
    </row>
    <row r="361" spans="1:18" ht="27" customHeight="1">
      <c r="A361" s="595"/>
      <c r="B361" s="595"/>
      <c r="C361" s="596"/>
      <c r="D361" s="597"/>
      <c r="E361" s="595"/>
      <c r="F361" s="595"/>
      <c r="G361" s="598"/>
      <c r="H361" s="599"/>
      <c r="I361" s="596"/>
      <c r="J361" s="596"/>
      <c r="K361" s="600"/>
      <c r="L361" s="595"/>
      <c r="M361" s="596"/>
      <c r="N361" s="596"/>
      <c r="O361" s="595"/>
      <c r="P361" s="595"/>
      <c r="Q361" s="596"/>
      <c r="R361" s="601"/>
    </row>
    <row r="362" spans="1:18" ht="27" customHeight="1">
      <c r="A362" s="595"/>
      <c r="B362" s="595"/>
      <c r="C362" s="596"/>
      <c r="D362" s="597"/>
      <c r="E362" s="595"/>
      <c r="F362" s="595"/>
      <c r="G362" s="598"/>
      <c r="H362" s="599"/>
      <c r="I362" s="596"/>
      <c r="J362" s="596"/>
      <c r="K362" s="600"/>
      <c r="L362" s="595"/>
      <c r="M362" s="596"/>
      <c r="N362" s="596"/>
      <c r="O362" s="595"/>
      <c r="P362" s="595"/>
      <c r="Q362" s="596"/>
      <c r="R362" s="601"/>
    </row>
    <row r="363" spans="1:18" ht="27" customHeight="1">
      <c r="A363" s="595"/>
      <c r="B363" s="595"/>
      <c r="C363" s="596"/>
      <c r="D363" s="597"/>
      <c r="E363" s="595"/>
      <c r="F363" s="595"/>
      <c r="G363" s="598"/>
      <c r="H363" s="599"/>
      <c r="I363" s="596"/>
      <c r="J363" s="596"/>
      <c r="K363" s="600"/>
      <c r="L363" s="595"/>
      <c r="M363" s="596"/>
      <c r="N363" s="596"/>
      <c r="O363" s="595"/>
      <c r="P363" s="595"/>
      <c r="Q363" s="596"/>
      <c r="R363" s="601"/>
    </row>
    <row r="364" spans="1:18" ht="27" customHeight="1">
      <c r="A364" s="595"/>
      <c r="B364" s="595"/>
      <c r="C364" s="596"/>
      <c r="D364" s="597"/>
      <c r="E364" s="595"/>
      <c r="F364" s="595"/>
      <c r="G364" s="598"/>
      <c r="H364" s="599"/>
      <c r="I364" s="596"/>
      <c r="J364" s="596"/>
      <c r="K364" s="600"/>
      <c r="L364" s="595"/>
      <c r="M364" s="596"/>
      <c r="N364" s="596"/>
      <c r="O364" s="595"/>
      <c r="P364" s="595"/>
      <c r="Q364" s="596"/>
      <c r="R364" s="601"/>
    </row>
    <row r="365" spans="1:18" ht="27" customHeight="1">
      <c r="A365" s="595"/>
      <c r="B365" s="595"/>
      <c r="C365" s="596"/>
      <c r="D365" s="597"/>
      <c r="E365" s="595"/>
      <c r="F365" s="595"/>
      <c r="G365" s="598"/>
      <c r="H365" s="599"/>
      <c r="I365" s="596"/>
      <c r="J365" s="596"/>
      <c r="K365" s="600"/>
      <c r="L365" s="595"/>
      <c r="M365" s="596"/>
      <c r="N365" s="596"/>
      <c r="O365" s="595"/>
      <c r="P365" s="595"/>
      <c r="Q365" s="596"/>
      <c r="R365" s="601"/>
    </row>
    <row r="366" spans="1:18" ht="27" customHeight="1">
      <c r="A366" s="595"/>
      <c r="B366" s="595"/>
      <c r="C366" s="596"/>
      <c r="D366" s="597"/>
      <c r="E366" s="595"/>
      <c r="F366" s="595"/>
      <c r="G366" s="598"/>
      <c r="H366" s="599"/>
      <c r="I366" s="596"/>
      <c r="J366" s="596"/>
      <c r="K366" s="600"/>
      <c r="L366" s="595"/>
      <c r="M366" s="596"/>
      <c r="N366" s="596"/>
      <c r="O366" s="595"/>
      <c r="P366" s="595"/>
      <c r="Q366" s="596"/>
      <c r="R366" s="601"/>
    </row>
    <row r="367" spans="1:18" ht="27" customHeight="1">
      <c r="A367" s="595"/>
      <c r="B367" s="595"/>
      <c r="C367" s="596"/>
      <c r="D367" s="597"/>
      <c r="E367" s="595"/>
      <c r="F367" s="595"/>
      <c r="G367" s="598"/>
      <c r="H367" s="599"/>
      <c r="I367" s="596"/>
      <c r="J367" s="596"/>
      <c r="K367" s="600"/>
      <c r="L367" s="595"/>
      <c r="M367" s="596"/>
      <c r="N367" s="596"/>
      <c r="O367" s="595"/>
      <c r="P367" s="595"/>
      <c r="Q367" s="596"/>
      <c r="R367" s="601"/>
    </row>
    <row r="368" spans="1:18" ht="27" customHeight="1">
      <c r="A368" s="595"/>
      <c r="B368" s="595"/>
      <c r="C368" s="596"/>
      <c r="D368" s="597"/>
      <c r="E368" s="595"/>
      <c r="F368" s="595"/>
      <c r="G368" s="598"/>
      <c r="H368" s="599"/>
      <c r="I368" s="596"/>
      <c r="J368" s="596"/>
      <c r="K368" s="600"/>
      <c r="L368" s="595"/>
      <c r="M368" s="596"/>
      <c r="N368" s="596"/>
      <c r="O368" s="595"/>
      <c r="P368" s="595"/>
      <c r="Q368" s="596"/>
      <c r="R368" s="601"/>
    </row>
    <row r="369" spans="1:18" ht="27" customHeight="1">
      <c r="A369" s="595"/>
      <c r="B369" s="595"/>
      <c r="C369" s="596"/>
      <c r="D369" s="597"/>
      <c r="E369" s="595"/>
      <c r="F369" s="595"/>
      <c r="G369" s="598"/>
      <c r="H369" s="599"/>
      <c r="I369" s="596"/>
      <c r="J369" s="596"/>
      <c r="K369" s="600"/>
      <c r="L369" s="595"/>
      <c r="M369" s="596"/>
      <c r="N369" s="596"/>
      <c r="O369" s="595"/>
      <c r="P369" s="595"/>
      <c r="Q369" s="596"/>
      <c r="R369" s="601"/>
    </row>
    <row r="370" spans="1:18" ht="27" customHeight="1">
      <c r="A370" s="595"/>
      <c r="B370" s="595"/>
      <c r="C370" s="596"/>
      <c r="D370" s="597"/>
      <c r="E370" s="595"/>
      <c r="F370" s="595"/>
      <c r="G370" s="598"/>
      <c r="H370" s="599"/>
      <c r="I370" s="596"/>
      <c r="J370" s="596"/>
      <c r="K370" s="600"/>
      <c r="L370" s="595"/>
      <c r="M370" s="596"/>
      <c r="N370" s="596"/>
      <c r="O370" s="595"/>
      <c r="P370" s="595"/>
      <c r="Q370" s="596"/>
      <c r="R370" s="601"/>
    </row>
    <row r="371" spans="1:18" ht="27" customHeight="1">
      <c r="A371" s="595"/>
      <c r="B371" s="595"/>
      <c r="C371" s="596"/>
      <c r="D371" s="597"/>
      <c r="E371" s="595"/>
      <c r="F371" s="595"/>
      <c r="G371" s="598"/>
      <c r="H371" s="599"/>
      <c r="I371" s="596"/>
      <c r="J371" s="596"/>
      <c r="K371" s="600"/>
      <c r="L371" s="595"/>
      <c r="M371" s="596"/>
      <c r="N371" s="596"/>
      <c r="O371" s="595"/>
      <c r="P371" s="595"/>
      <c r="Q371" s="596"/>
      <c r="R371" s="601"/>
    </row>
    <row r="372" spans="1:18" ht="27" customHeight="1">
      <c r="A372" s="595"/>
      <c r="B372" s="595"/>
      <c r="C372" s="596"/>
      <c r="D372" s="597"/>
      <c r="E372" s="595"/>
      <c r="F372" s="595"/>
      <c r="G372" s="598"/>
      <c r="H372" s="599"/>
      <c r="I372" s="596"/>
      <c r="J372" s="596"/>
      <c r="K372" s="600"/>
      <c r="L372" s="595"/>
      <c r="M372" s="596"/>
      <c r="N372" s="596"/>
      <c r="O372" s="595"/>
      <c r="P372" s="595"/>
      <c r="Q372" s="596"/>
      <c r="R372" s="601"/>
    </row>
    <row r="373" spans="1:18" ht="27" customHeight="1">
      <c r="A373" s="595"/>
      <c r="B373" s="595"/>
      <c r="C373" s="596"/>
      <c r="D373" s="597"/>
      <c r="E373" s="595"/>
      <c r="F373" s="595"/>
      <c r="G373" s="598"/>
      <c r="H373" s="599"/>
      <c r="I373" s="596"/>
      <c r="J373" s="596"/>
      <c r="K373" s="600"/>
      <c r="L373" s="595"/>
      <c r="M373" s="596"/>
      <c r="N373" s="596"/>
      <c r="O373" s="595"/>
      <c r="P373" s="595"/>
      <c r="Q373" s="596"/>
      <c r="R373" s="601"/>
    </row>
    <row r="374" spans="1:18" ht="27" customHeight="1">
      <c r="A374" s="595"/>
      <c r="B374" s="595"/>
      <c r="C374" s="596"/>
      <c r="D374" s="597"/>
      <c r="E374" s="595"/>
      <c r="F374" s="595"/>
      <c r="G374" s="598"/>
      <c r="H374" s="599"/>
      <c r="I374" s="596"/>
      <c r="J374" s="596"/>
      <c r="K374" s="600"/>
      <c r="L374" s="595"/>
      <c r="M374" s="596"/>
      <c r="N374" s="596"/>
      <c r="O374" s="595"/>
      <c r="P374" s="595"/>
      <c r="Q374" s="596"/>
      <c r="R374" s="601"/>
    </row>
    <row r="375" spans="1:18" ht="27" customHeight="1">
      <c r="A375" s="595"/>
      <c r="B375" s="595"/>
      <c r="C375" s="596"/>
      <c r="D375" s="597"/>
      <c r="E375" s="595"/>
      <c r="F375" s="595"/>
      <c r="G375" s="598"/>
      <c r="H375" s="599"/>
      <c r="I375" s="596"/>
      <c r="J375" s="596"/>
      <c r="K375" s="600"/>
      <c r="L375" s="595"/>
      <c r="M375" s="596"/>
      <c r="N375" s="596"/>
      <c r="O375" s="595"/>
      <c r="P375" s="595"/>
      <c r="Q375" s="596"/>
      <c r="R375" s="601"/>
    </row>
    <row r="376" spans="1:18" ht="27" customHeight="1">
      <c r="A376" s="595"/>
      <c r="B376" s="595"/>
      <c r="C376" s="596"/>
      <c r="D376" s="597"/>
      <c r="E376" s="595"/>
      <c r="F376" s="595"/>
      <c r="G376" s="598"/>
      <c r="H376" s="599"/>
      <c r="I376" s="596"/>
      <c r="J376" s="596"/>
      <c r="K376" s="600"/>
      <c r="L376" s="595"/>
      <c r="M376" s="596"/>
      <c r="N376" s="596"/>
      <c r="O376" s="595"/>
      <c r="P376" s="595"/>
      <c r="Q376" s="596"/>
      <c r="R376" s="601"/>
    </row>
    <row r="377" spans="1:18" ht="27" customHeight="1">
      <c r="A377" s="595"/>
      <c r="B377" s="595"/>
      <c r="C377" s="596"/>
      <c r="D377" s="597"/>
      <c r="E377" s="595"/>
      <c r="F377" s="595"/>
      <c r="G377" s="598"/>
      <c r="H377" s="599"/>
      <c r="I377" s="596"/>
      <c r="J377" s="596"/>
      <c r="K377" s="600"/>
      <c r="L377" s="595"/>
      <c r="M377" s="596"/>
      <c r="N377" s="596"/>
      <c r="O377" s="595"/>
      <c r="P377" s="595"/>
      <c r="Q377" s="596"/>
      <c r="R377" s="601"/>
    </row>
    <row r="378" spans="1:18" ht="27" customHeight="1">
      <c r="A378" s="595"/>
      <c r="B378" s="595"/>
      <c r="C378" s="596"/>
      <c r="D378" s="597"/>
      <c r="E378" s="595"/>
      <c r="F378" s="595"/>
      <c r="G378" s="598"/>
      <c r="H378" s="599"/>
      <c r="I378" s="596"/>
      <c r="J378" s="596"/>
      <c r="K378" s="600"/>
      <c r="L378" s="595"/>
      <c r="M378" s="596"/>
      <c r="N378" s="596"/>
      <c r="O378" s="595"/>
      <c r="P378" s="595"/>
      <c r="Q378" s="596"/>
      <c r="R378" s="601"/>
    </row>
    <row r="379" spans="1:18" ht="27" customHeight="1">
      <c r="A379" s="595"/>
      <c r="B379" s="595"/>
      <c r="C379" s="596"/>
      <c r="D379" s="597"/>
      <c r="E379" s="595"/>
      <c r="F379" s="595"/>
      <c r="G379" s="598"/>
      <c r="H379" s="599"/>
      <c r="I379" s="596"/>
      <c r="J379" s="596"/>
      <c r="K379" s="600"/>
      <c r="L379" s="595"/>
      <c r="M379" s="596"/>
      <c r="N379" s="596"/>
      <c r="O379" s="595"/>
      <c r="P379" s="595"/>
      <c r="Q379" s="596"/>
      <c r="R379" s="601"/>
    </row>
    <row r="380" spans="1:18" ht="27" customHeight="1">
      <c r="A380" s="595"/>
      <c r="B380" s="595"/>
      <c r="C380" s="596"/>
      <c r="D380" s="597"/>
      <c r="E380" s="595"/>
      <c r="F380" s="595"/>
      <c r="G380" s="598"/>
      <c r="H380" s="599"/>
      <c r="I380" s="596"/>
      <c r="J380" s="596"/>
      <c r="K380" s="600"/>
      <c r="L380" s="595"/>
      <c r="M380" s="596"/>
      <c r="N380" s="596"/>
      <c r="O380" s="595"/>
      <c r="P380" s="595"/>
      <c r="Q380" s="596"/>
      <c r="R380" s="601"/>
    </row>
    <row r="381" spans="1:18" ht="27" customHeight="1">
      <c r="A381" s="595"/>
      <c r="B381" s="595"/>
      <c r="C381" s="596"/>
      <c r="D381" s="597"/>
      <c r="E381" s="595"/>
      <c r="F381" s="595"/>
      <c r="G381" s="598"/>
      <c r="H381" s="599"/>
      <c r="I381" s="596"/>
      <c r="J381" s="596"/>
      <c r="K381" s="600"/>
      <c r="L381" s="595"/>
      <c r="M381" s="596"/>
      <c r="N381" s="596"/>
      <c r="O381" s="595"/>
      <c r="P381" s="595"/>
      <c r="Q381" s="596"/>
      <c r="R381" s="601"/>
    </row>
    <row r="382" spans="1:18" ht="27" customHeight="1">
      <c r="A382" s="595"/>
      <c r="B382" s="595"/>
      <c r="C382" s="596"/>
      <c r="D382" s="597"/>
      <c r="E382" s="595"/>
      <c r="F382" s="595"/>
      <c r="G382" s="598"/>
      <c r="H382" s="599"/>
      <c r="I382" s="596"/>
      <c r="J382" s="596"/>
      <c r="K382" s="600"/>
      <c r="L382" s="595"/>
      <c r="M382" s="596"/>
      <c r="N382" s="596"/>
      <c r="O382" s="595"/>
      <c r="P382" s="595"/>
      <c r="Q382" s="596"/>
      <c r="R382" s="601"/>
    </row>
    <row r="383" spans="1:18" ht="27" customHeight="1">
      <c r="A383" s="595"/>
      <c r="B383" s="595"/>
      <c r="C383" s="596"/>
      <c r="D383" s="597"/>
      <c r="E383" s="595"/>
      <c r="F383" s="595"/>
      <c r="G383" s="598"/>
      <c r="H383" s="599"/>
      <c r="I383" s="596"/>
      <c r="J383" s="596"/>
      <c r="K383" s="600"/>
      <c r="L383" s="595"/>
      <c r="M383" s="596"/>
      <c r="N383" s="596"/>
      <c r="O383" s="595"/>
      <c r="P383" s="595"/>
      <c r="Q383" s="596"/>
      <c r="R383" s="601"/>
    </row>
    <row r="384" spans="1:18" ht="27" customHeight="1">
      <c r="A384" s="595"/>
      <c r="B384" s="595"/>
      <c r="C384" s="596"/>
      <c r="D384" s="597"/>
      <c r="E384" s="595"/>
      <c r="F384" s="595"/>
      <c r="G384" s="598"/>
      <c r="H384" s="599"/>
      <c r="I384" s="596"/>
      <c r="J384" s="596"/>
      <c r="K384" s="600"/>
      <c r="L384" s="595"/>
      <c r="M384" s="596"/>
      <c r="N384" s="596"/>
      <c r="O384" s="595"/>
      <c r="P384" s="595"/>
      <c r="Q384" s="596"/>
      <c r="R384" s="601"/>
    </row>
    <row r="385" spans="1:18" ht="27" customHeight="1">
      <c r="A385" s="595"/>
      <c r="B385" s="595"/>
      <c r="C385" s="596"/>
      <c r="D385" s="597"/>
      <c r="E385" s="595"/>
      <c r="F385" s="595"/>
      <c r="G385" s="598"/>
      <c r="H385" s="599"/>
      <c r="I385" s="596"/>
      <c r="J385" s="596"/>
      <c r="K385" s="600"/>
      <c r="L385" s="595"/>
      <c r="M385" s="596"/>
      <c r="N385" s="596"/>
      <c r="O385" s="595"/>
      <c r="P385" s="595"/>
      <c r="Q385" s="596"/>
      <c r="R385" s="601"/>
    </row>
    <row r="386" spans="1:18" ht="27" customHeight="1">
      <c r="A386" s="595"/>
      <c r="B386" s="595"/>
      <c r="C386" s="596"/>
      <c r="D386" s="597"/>
      <c r="E386" s="595"/>
      <c r="F386" s="595"/>
      <c r="G386" s="598"/>
      <c r="H386" s="599"/>
      <c r="I386" s="596"/>
      <c r="J386" s="596"/>
      <c r="K386" s="600"/>
      <c r="L386" s="595"/>
      <c r="M386" s="596"/>
      <c r="N386" s="596"/>
      <c r="O386" s="595"/>
      <c r="P386" s="595"/>
      <c r="Q386" s="596"/>
      <c r="R386" s="601"/>
    </row>
    <row r="387" spans="1:18" ht="27" customHeight="1">
      <c r="A387" s="595"/>
      <c r="B387" s="595"/>
      <c r="C387" s="596"/>
      <c r="D387" s="597"/>
      <c r="E387" s="595"/>
      <c r="F387" s="595"/>
      <c r="G387" s="598"/>
      <c r="H387" s="599"/>
      <c r="I387" s="596"/>
      <c r="J387" s="596"/>
      <c r="K387" s="600"/>
      <c r="L387" s="595"/>
      <c r="M387" s="596"/>
      <c r="N387" s="596"/>
      <c r="O387" s="595"/>
      <c r="P387" s="595"/>
      <c r="Q387" s="596"/>
      <c r="R387" s="601"/>
    </row>
    <row r="388" spans="1:18" ht="27" customHeight="1">
      <c r="A388" s="595"/>
      <c r="B388" s="595"/>
      <c r="C388" s="596"/>
      <c r="D388" s="597"/>
      <c r="E388" s="595"/>
      <c r="F388" s="595"/>
      <c r="G388" s="598"/>
      <c r="H388" s="599"/>
      <c r="I388" s="596"/>
      <c r="J388" s="596"/>
      <c r="K388" s="600"/>
      <c r="L388" s="595"/>
      <c r="M388" s="596"/>
      <c r="N388" s="596"/>
      <c r="O388" s="595"/>
      <c r="P388" s="595"/>
      <c r="Q388" s="596"/>
      <c r="R388" s="601"/>
    </row>
    <row r="389" spans="1:18" ht="27" customHeight="1">
      <c r="A389" s="595"/>
      <c r="B389" s="595"/>
      <c r="C389" s="596"/>
      <c r="D389" s="597"/>
      <c r="E389" s="595"/>
      <c r="F389" s="595"/>
      <c r="G389" s="598"/>
      <c r="H389" s="599"/>
      <c r="I389" s="596"/>
      <c r="J389" s="596"/>
      <c r="K389" s="600"/>
      <c r="L389" s="595"/>
      <c r="M389" s="596"/>
      <c r="N389" s="596"/>
      <c r="O389" s="595"/>
      <c r="P389" s="595"/>
      <c r="Q389" s="596"/>
      <c r="R389" s="601"/>
    </row>
    <row r="390" spans="1:18" ht="27" customHeight="1">
      <c r="A390" s="595"/>
      <c r="B390" s="595"/>
      <c r="C390" s="596"/>
      <c r="D390" s="597"/>
      <c r="E390" s="595"/>
      <c r="F390" s="595"/>
      <c r="G390" s="598"/>
      <c r="H390" s="599"/>
      <c r="I390" s="596"/>
      <c r="J390" s="596"/>
      <c r="K390" s="600"/>
      <c r="L390" s="595"/>
      <c r="M390" s="596"/>
      <c r="N390" s="596"/>
      <c r="O390" s="595"/>
      <c r="P390" s="595"/>
      <c r="Q390" s="596"/>
      <c r="R390" s="601"/>
    </row>
    <row r="391" spans="1:18" ht="27" customHeight="1">
      <c r="A391" s="595"/>
      <c r="B391" s="595"/>
      <c r="C391" s="596"/>
      <c r="D391" s="597"/>
      <c r="E391" s="595"/>
      <c r="F391" s="595"/>
      <c r="G391" s="598"/>
      <c r="H391" s="599"/>
      <c r="I391" s="596"/>
      <c r="J391" s="596"/>
      <c r="K391" s="600"/>
      <c r="L391" s="595"/>
      <c r="M391" s="596"/>
      <c r="N391" s="596"/>
      <c r="O391" s="595"/>
      <c r="P391" s="595"/>
      <c r="Q391" s="596"/>
      <c r="R391" s="601"/>
    </row>
    <row r="392" spans="1:18" ht="27" customHeight="1">
      <c r="A392" s="595"/>
      <c r="B392" s="595"/>
      <c r="C392" s="596"/>
      <c r="D392" s="597"/>
      <c r="E392" s="595"/>
      <c r="F392" s="595"/>
      <c r="G392" s="598"/>
      <c r="H392" s="599"/>
      <c r="I392" s="596"/>
      <c r="J392" s="596"/>
      <c r="K392" s="600"/>
      <c r="L392" s="595"/>
      <c r="M392" s="596"/>
      <c r="N392" s="596"/>
      <c r="O392" s="595"/>
      <c r="P392" s="595"/>
      <c r="Q392" s="596"/>
      <c r="R392" s="601"/>
    </row>
    <row r="393" spans="1:18" ht="27" customHeight="1">
      <c r="A393" s="595"/>
      <c r="B393" s="595"/>
      <c r="C393" s="596"/>
      <c r="D393" s="597"/>
      <c r="E393" s="595"/>
      <c r="F393" s="595"/>
      <c r="G393" s="598"/>
      <c r="H393" s="599"/>
      <c r="I393" s="596"/>
      <c r="J393" s="596"/>
      <c r="K393" s="600"/>
      <c r="L393" s="595"/>
      <c r="M393" s="596"/>
      <c r="N393" s="596"/>
      <c r="O393" s="595"/>
      <c r="P393" s="595"/>
      <c r="Q393" s="596"/>
      <c r="R393" s="601"/>
    </row>
    <row r="394" spans="1:18" ht="27" customHeight="1">
      <c r="A394" s="595"/>
      <c r="B394" s="595"/>
      <c r="C394" s="596"/>
      <c r="D394" s="597"/>
      <c r="E394" s="595"/>
      <c r="F394" s="595"/>
      <c r="G394" s="598"/>
      <c r="H394" s="599"/>
      <c r="I394" s="596"/>
      <c r="J394" s="596"/>
      <c r="K394" s="600"/>
      <c r="L394" s="595"/>
      <c r="M394" s="596"/>
      <c r="N394" s="596"/>
      <c r="O394" s="595"/>
      <c r="P394" s="595"/>
      <c r="Q394" s="596"/>
      <c r="R394" s="601"/>
    </row>
    <row r="395" spans="1:18" ht="27" customHeight="1">
      <c r="A395" s="595"/>
      <c r="B395" s="595"/>
      <c r="C395" s="596"/>
      <c r="D395" s="597"/>
      <c r="E395" s="595"/>
      <c r="F395" s="595"/>
      <c r="G395" s="598"/>
      <c r="H395" s="599"/>
      <c r="I395" s="596"/>
      <c r="J395" s="596"/>
      <c r="K395" s="600"/>
      <c r="L395" s="595"/>
      <c r="M395" s="596"/>
      <c r="N395" s="596"/>
      <c r="O395" s="595"/>
      <c r="P395" s="595"/>
      <c r="Q395" s="596"/>
      <c r="R395" s="601"/>
    </row>
    <row r="396" spans="1:18" ht="27" customHeight="1">
      <c r="A396" s="595"/>
      <c r="B396" s="595"/>
      <c r="C396" s="596"/>
      <c r="D396" s="597"/>
      <c r="E396" s="595"/>
      <c r="F396" s="595"/>
      <c r="G396" s="598"/>
      <c r="H396" s="599"/>
      <c r="I396" s="596"/>
      <c r="J396" s="596"/>
      <c r="K396" s="600"/>
      <c r="L396" s="595"/>
      <c r="M396" s="596"/>
      <c r="N396" s="596"/>
      <c r="O396" s="595"/>
      <c r="P396" s="595"/>
      <c r="Q396" s="596"/>
      <c r="R396" s="601"/>
    </row>
    <row r="397" spans="1:18" ht="27" customHeight="1">
      <c r="A397" s="595"/>
      <c r="B397" s="595"/>
      <c r="C397" s="596"/>
      <c r="D397" s="597"/>
      <c r="E397" s="595"/>
      <c r="F397" s="595"/>
      <c r="G397" s="598"/>
      <c r="H397" s="599"/>
      <c r="I397" s="596"/>
      <c r="J397" s="596"/>
      <c r="K397" s="600"/>
      <c r="L397" s="595"/>
      <c r="M397" s="596"/>
      <c r="N397" s="596"/>
      <c r="O397" s="595"/>
      <c r="P397" s="595"/>
      <c r="Q397" s="596"/>
      <c r="R397" s="601"/>
    </row>
    <row r="398" spans="1:18" ht="27" customHeight="1">
      <c r="A398" s="595"/>
      <c r="B398" s="595"/>
      <c r="C398" s="596"/>
      <c r="D398" s="597"/>
      <c r="E398" s="595"/>
      <c r="F398" s="595"/>
      <c r="G398" s="598"/>
      <c r="H398" s="599"/>
      <c r="I398" s="596"/>
      <c r="J398" s="596"/>
      <c r="K398" s="600"/>
      <c r="L398" s="595"/>
      <c r="M398" s="596"/>
      <c r="N398" s="596"/>
      <c r="O398" s="595"/>
      <c r="P398" s="595"/>
      <c r="Q398" s="596"/>
      <c r="R398" s="601"/>
    </row>
    <row r="399" spans="1:18" ht="27" customHeight="1">
      <c r="A399" s="595"/>
      <c r="B399" s="595"/>
      <c r="C399" s="596"/>
      <c r="D399" s="597"/>
      <c r="E399" s="595"/>
      <c r="F399" s="595"/>
      <c r="G399" s="598"/>
      <c r="H399" s="599"/>
      <c r="I399" s="596"/>
      <c r="J399" s="596"/>
      <c r="K399" s="600"/>
      <c r="L399" s="595"/>
      <c r="M399" s="596"/>
      <c r="N399" s="596"/>
      <c r="O399" s="595"/>
      <c r="P399" s="595"/>
      <c r="Q399" s="596"/>
      <c r="R399" s="601"/>
    </row>
    <row r="400" spans="1:18" ht="27" customHeight="1">
      <c r="A400" s="595"/>
      <c r="B400" s="595"/>
      <c r="C400" s="596"/>
      <c r="D400" s="597"/>
      <c r="E400" s="595"/>
      <c r="F400" s="595"/>
      <c r="G400" s="598"/>
      <c r="H400" s="599"/>
      <c r="I400" s="596"/>
      <c r="J400" s="596"/>
      <c r="K400" s="600"/>
      <c r="L400" s="595"/>
      <c r="M400" s="596"/>
      <c r="N400" s="596"/>
      <c r="O400" s="595"/>
      <c r="P400" s="595"/>
      <c r="Q400" s="596"/>
      <c r="R400" s="601"/>
    </row>
    <row r="401" spans="1:18" ht="27" customHeight="1">
      <c r="A401" s="595"/>
      <c r="B401" s="595"/>
      <c r="C401" s="596"/>
      <c r="D401" s="597"/>
      <c r="E401" s="595"/>
      <c r="F401" s="595"/>
      <c r="G401" s="598"/>
      <c r="H401" s="599"/>
      <c r="I401" s="596"/>
      <c r="J401" s="596"/>
      <c r="K401" s="600"/>
      <c r="L401" s="595"/>
      <c r="M401" s="596"/>
      <c r="N401" s="596"/>
      <c r="O401" s="595"/>
      <c r="P401" s="595"/>
      <c r="Q401" s="596"/>
      <c r="R401" s="601"/>
    </row>
    <row r="402" spans="1:18" ht="27" customHeight="1">
      <c r="A402" s="595"/>
      <c r="B402" s="595"/>
      <c r="C402" s="596"/>
      <c r="D402" s="597"/>
      <c r="E402" s="595"/>
      <c r="F402" s="595"/>
      <c r="G402" s="598"/>
      <c r="H402" s="599"/>
      <c r="I402" s="596"/>
      <c r="J402" s="596"/>
      <c r="K402" s="600"/>
      <c r="L402" s="595"/>
      <c r="M402" s="596"/>
      <c r="N402" s="596"/>
      <c r="O402" s="595"/>
      <c r="P402" s="595"/>
      <c r="Q402" s="596"/>
      <c r="R402" s="601"/>
    </row>
    <row r="403" spans="1:18" ht="27" customHeight="1">
      <c r="A403" s="595"/>
      <c r="B403" s="595"/>
      <c r="C403" s="596"/>
      <c r="D403" s="597"/>
      <c r="E403" s="595"/>
      <c r="F403" s="595"/>
      <c r="G403" s="598"/>
      <c r="H403" s="599"/>
      <c r="I403" s="596"/>
      <c r="J403" s="596"/>
      <c r="K403" s="600"/>
      <c r="L403" s="595"/>
      <c r="M403" s="596"/>
      <c r="N403" s="596"/>
      <c r="O403" s="595"/>
      <c r="P403" s="595"/>
      <c r="Q403" s="596"/>
      <c r="R403" s="601"/>
    </row>
    <row r="404" spans="1:18" ht="27" customHeight="1">
      <c r="A404" s="595"/>
      <c r="B404" s="595"/>
      <c r="C404" s="596"/>
      <c r="D404" s="597"/>
      <c r="E404" s="595"/>
      <c r="F404" s="595"/>
      <c r="G404" s="598"/>
      <c r="H404" s="599"/>
      <c r="I404" s="596"/>
      <c r="J404" s="596"/>
      <c r="K404" s="600"/>
      <c r="L404" s="595"/>
      <c r="M404" s="596"/>
      <c r="N404" s="596"/>
      <c r="O404" s="595"/>
      <c r="P404" s="595"/>
      <c r="Q404" s="596"/>
      <c r="R404" s="601"/>
    </row>
    <row r="405" spans="1:18" ht="27" customHeight="1">
      <c r="A405" s="595"/>
      <c r="B405" s="595"/>
      <c r="C405" s="596"/>
      <c r="D405" s="597"/>
      <c r="E405" s="595"/>
      <c r="F405" s="595"/>
      <c r="G405" s="598"/>
      <c r="H405" s="599"/>
      <c r="I405" s="596"/>
      <c r="J405" s="596"/>
      <c r="K405" s="600"/>
      <c r="L405" s="595"/>
      <c r="M405" s="596"/>
      <c r="N405" s="596"/>
      <c r="O405" s="595"/>
      <c r="P405" s="595"/>
      <c r="Q405" s="596"/>
      <c r="R405" s="601"/>
    </row>
    <row r="406" spans="1:18" ht="27" customHeight="1">
      <c r="A406" s="595"/>
      <c r="B406" s="595"/>
      <c r="C406" s="596"/>
      <c r="D406" s="597"/>
      <c r="E406" s="595"/>
      <c r="F406" s="595"/>
      <c r="G406" s="598"/>
      <c r="H406" s="599"/>
      <c r="I406" s="596"/>
      <c r="J406" s="596"/>
      <c r="K406" s="600"/>
      <c r="L406" s="595"/>
      <c r="M406" s="596"/>
      <c r="N406" s="596"/>
      <c r="O406" s="595"/>
      <c r="P406" s="595"/>
      <c r="Q406" s="596"/>
      <c r="R406" s="601"/>
    </row>
    <row r="407" spans="1:18" ht="27" customHeight="1">
      <c r="A407" s="595"/>
      <c r="B407" s="595"/>
      <c r="C407" s="596"/>
      <c r="D407" s="597"/>
      <c r="E407" s="595"/>
      <c r="F407" s="595"/>
      <c r="G407" s="598"/>
      <c r="H407" s="599"/>
      <c r="I407" s="596"/>
      <c r="J407" s="596"/>
      <c r="K407" s="600"/>
      <c r="L407" s="595"/>
      <c r="M407" s="596"/>
      <c r="N407" s="596"/>
      <c r="O407" s="595"/>
      <c r="P407" s="595"/>
      <c r="Q407" s="596"/>
      <c r="R407" s="601"/>
    </row>
    <row r="408" spans="1:18" ht="27" customHeight="1">
      <c r="A408" s="595"/>
      <c r="B408" s="595"/>
      <c r="C408" s="596"/>
      <c r="D408" s="597"/>
      <c r="E408" s="595"/>
      <c r="F408" s="595"/>
      <c r="G408" s="598"/>
      <c r="H408" s="599"/>
      <c r="I408" s="596"/>
      <c r="J408" s="596"/>
      <c r="K408" s="600"/>
      <c r="L408" s="595"/>
      <c r="M408" s="596"/>
      <c r="N408" s="596"/>
      <c r="O408" s="595"/>
      <c r="P408" s="595"/>
      <c r="Q408" s="596"/>
      <c r="R408" s="601"/>
    </row>
    <row r="409" spans="1:18" ht="27" customHeight="1">
      <c r="A409" s="595"/>
      <c r="B409" s="595"/>
      <c r="C409" s="596"/>
      <c r="D409" s="597"/>
      <c r="E409" s="595"/>
      <c r="F409" s="595"/>
      <c r="G409" s="598"/>
      <c r="H409" s="599"/>
      <c r="I409" s="596"/>
      <c r="J409" s="596"/>
      <c r="K409" s="600"/>
      <c r="L409" s="595"/>
      <c r="M409" s="596"/>
      <c r="N409" s="596"/>
      <c r="O409" s="595"/>
      <c r="P409" s="595"/>
      <c r="Q409" s="596"/>
      <c r="R409" s="601"/>
    </row>
    <row r="410" spans="1:18" ht="27" customHeight="1">
      <c r="A410" s="595"/>
      <c r="B410" s="595"/>
      <c r="C410" s="596"/>
      <c r="D410" s="597"/>
      <c r="E410" s="595"/>
      <c r="F410" s="595"/>
      <c r="G410" s="598"/>
      <c r="H410" s="599"/>
      <c r="I410" s="596"/>
      <c r="J410" s="596"/>
      <c r="K410" s="600"/>
      <c r="L410" s="595"/>
      <c r="M410" s="596"/>
      <c r="N410" s="596"/>
      <c r="O410" s="595"/>
      <c r="P410" s="595"/>
      <c r="Q410" s="596"/>
      <c r="R410" s="601"/>
    </row>
    <row r="411" spans="1:18" ht="27" customHeight="1">
      <c r="A411" s="595"/>
      <c r="B411" s="595"/>
      <c r="C411" s="596"/>
      <c r="D411" s="597"/>
      <c r="E411" s="595"/>
      <c r="F411" s="595"/>
      <c r="G411" s="598"/>
      <c r="H411" s="599"/>
      <c r="I411" s="596"/>
      <c r="J411" s="596"/>
      <c r="K411" s="600"/>
      <c r="L411" s="595"/>
      <c r="M411" s="596"/>
      <c r="N411" s="596"/>
      <c r="O411" s="595"/>
      <c r="P411" s="595"/>
      <c r="Q411" s="596"/>
      <c r="R411" s="601"/>
    </row>
    <row r="412" spans="1:18" ht="27" customHeight="1">
      <c r="A412" s="595"/>
      <c r="B412" s="595"/>
      <c r="C412" s="596"/>
      <c r="D412" s="597"/>
      <c r="E412" s="595"/>
      <c r="F412" s="595"/>
      <c r="G412" s="598"/>
      <c r="H412" s="599"/>
      <c r="I412" s="596"/>
      <c r="J412" s="596"/>
      <c r="K412" s="600"/>
      <c r="L412" s="595"/>
      <c r="M412" s="596"/>
      <c r="N412" s="596"/>
      <c r="O412" s="595"/>
      <c r="P412" s="595"/>
      <c r="Q412" s="596"/>
      <c r="R412" s="601"/>
    </row>
    <row r="413" spans="1:18" ht="27" customHeight="1">
      <c r="A413" s="595"/>
      <c r="B413" s="595"/>
      <c r="C413" s="596"/>
      <c r="D413" s="597"/>
      <c r="E413" s="595"/>
      <c r="F413" s="595"/>
      <c r="G413" s="598"/>
      <c r="H413" s="599"/>
      <c r="I413" s="596"/>
      <c r="J413" s="596"/>
      <c r="K413" s="600"/>
      <c r="L413" s="595"/>
      <c r="M413" s="596"/>
      <c r="N413" s="596"/>
      <c r="O413" s="595"/>
      <c r="P413" s="595"/>
      <c r="Q413" s="596"/>
      <c r="R413" s="601"/>
    </row>
    <row r="414" spans="1:18" ht="27" customHeight="1">
      <c r="A414" s="595"/>
      <c r="B414" s="595"/>
      <c r="C414" s="596"/>
      <c r="D414" s="597"/>
      <c r="E414" s="595"/>
      <c r="F414" s="595"/>
      <c r="G414" s="598"/>
      <c r="H414" s="599"/>
      <c r="I414" s="596"/>
      <c r="J414" s="596"/>
      <c r="K414" s="600"/>
      <c r="L414" s="595"/>
      <c r="M414" s="596"/>
      <c r="N414" s="596"/>
      <c r="O414" s="595"/>
      <c r="P414" s="595"/>
      <c r="Q414" s="596"/>
      <c r="R414" s="601"/>
    </row>
    <row r="415" spans="1:18" ht="27" customHeight="1">
      <c r="A415" s="595"/>
      <c r="B415" s="595"/>
      <c r="C415" s="596"/>
      <c r="D415" s="597"/>
      <c r="E415" s="595"/>
      <c r="F415" s="595"/>
      <c r="G415" s="598"/>
      <c r="H415" s="599"/>
      <c r="I415" s="596"/>
      <c r="J415" s="596"/>
      <c r="K415" s="600"/>
      <c r="L415" s="595"/>
      <c r="M415" s="596"/>
      <c r="N415" s="596"/>
      <c r="O415" s="595"/>
      <c r="P415" s="595"/>
      <c r="Q415" s="596"/>
      <c r="R415" s="601"/>
    </row>
    <row r="416" spans="1:18" ht="27" customHeight="1">
      <c r="A416" s="595"/>
      <c r="B416" s="595"/>
      <c r="C416" s="596"/>
      <c r="D416" s="597"/>
      <c r="E416" s="595"/>
      <c r="F416" s="595"/>
      <c r="G416" s="598"/>
      <c r="H416" s="599"/>
      <c r="I416" s="596"/>
      <c r="J416" s="596"/>
      <c r="K416" s="600"/>
      <c r="L416" s="595"/>
      <c r="M416" s="596"/>
      <c r="N416" s="596"/>
      <c r="O416" s="595"/>
      <c r="P416" s="595"/>
      <c r="Q416" s="596"/>
      <c r="R416" s="601"/>
    </row>
    <row r="417" spans="1:18" ht="27" customHeight="1">
      <c r="A417" s="595"/>
      <c r="B417" s="595"/>
      <c r="C417" s="596"/>
      <c r="D417" s="597"/>
      <c r="E417" s="595"/>
      <c r="F417" s="595"/>
      <c r="G417" s="598"/>
      <c r="H417" s="599"/>
      <c r="I417" s="596"/>
      <c r="J417" s="596"/>
      <c r="K417" s="600"/>
      <c r="L417" s="595"/>
      <c r="M417" s="596"/>
      <c r="N417" s="596"/>
      <c r="O417" s="595"/>
      <c r="P417" s="595"/>
      <c r="Q417" s="596"/>
      <c r="R417" s="601"/>
    </row>
    <row r="418" spans="1:18" ht="27" customHeight="1">
      <c r="A418" s="595"/>
      <c r="B418" s="595"/>
      <c r="C418" s="596"/>
      <c r="D418" s="597"/>
      <c r="E418" s="595"/>
      <c r="F418" s="595"/>
      <c r="G418" s="598"/>
      <c r="H418" s="599"/>
      <c r="I418" s="596"/>
      <c r="J418" s="596"/>
      <c r="K418" s="600"/>
      <c r="L418" s="595"/>
      <c r="M418" s="596"/>
      <c r="N418" s="596"/>
      <c r="O418" s="595"/>
      <c r="P418" s="595"/>
      <c r="Q418" s="596"/>
      <c r="R418" s="601"/>
    </row>
    <row r="419" spans="1:18" ht="27" customHeight="1">
      <c r="A419" s="595"/>
      <c r="B419" s="595"/>
      <c r="C419" s="596"/>
      <c r="D419" s="597"/>
      <c r="E419" s="595"/>
      <c r="F419" s="595"/>
      <c r="G419" s="598"/>
      <c r="H419" s="599"/>
      <c r="I419" s="596"/>
      <c r="J419" s="596"/>
      <c r="K419" s="600"/>
      <c r="L419" s="595"/>
      <c r="M419" s="596"/>
      <c r="N419" s="596"/>
      <c r="O419" s="595"/>
      <c r="P419" s="595"/>
      <c r="Q419" s="596"/>
      <c r="R419" s="601"/>
    </row>
    <row r="420" spans="1:18" ht="27" customHeight="1">
      <c r="A420" s="595"/>
      <c r="B420" s="595"/>
      <c r="C420" s="596"/>
      <c r="D420" s="597"/>
      <c r="E420" s="595"/>
      <c r="F420" s="595"/>
      <c r="G420" s="598"/>
      <c r="H420" s="599"/>
      <c r="I420" s="596"/>
      <c r="J420" s="596"/>
      <c r="K420" s="600"/>
      <c r="L420" s="595"/>
      <c r="M420" s="596"/>
      <c r="N420" s="596"/>
      <c r="O420" s="595"/>
      <c r="P420" s="595"/>
      <c r="Q420" s="596"/>
      <c r="R420" s="601"/>
    </row>
    <row r="421" spans="1:18" ht="27" customHeight="1">
      <c r="A421" s="595"/>
      <c r="B421" s="595"/>
      <c r="C421" s="596"/>
      <c r="D421" s="597"/>
      <c r="E421" s="595"/>
      <c r="F421" s="595"/>
      <c r="G421" s="598"/>
      <c r="H421" s="599"/>
      <c r="I421" s="596"/>
      <c r="J421" s="596"/>
      <c r="K421" s="600"/>
      <c r="L421" s="595"/>
      <c r="M421" s="596"/>
      <c r="N421" s="596"/>
      <c r="O421" s="595"/>
      <c r="P421" s="595"/>
      <c r="Q421" s="596"/>
      <c r="R421" s="601"/>
    </row>
    <row r="422" spans="1:18" ht="27" customHeight="1">
      <c r="A422" s="595"/>
      <c r="B422" s="595"/>
      <c r="C422" s="596"/>
      <c r="D422" s="597"/>
      <c r="E422" s="595"/>
      <c r="F422" s="595"/>
      <c r="G422" s="598"/>
      <c r="H422" s="599"/>
      <c r="I422" s="596"/>
      <c r="J422" s="596"/>
      <c r="K422" s="600"/>
      <c r="L422" s="595"/>
      <c r="M422" s="596"/>
      <c r="N422" s="596"/>
      <c r="O422" s="595"/>
      <c r="P422" s="595"/>
      <c r="Q422" s="596"/>
      <c r="R422" s="601"/>
    </row>
    <row r="423" spans="1:18" ht="27" customHeight="1">
      <c r="A423" s="595"/>
      <c r="B423" s="595"/>
      <c r="C423" s="596"/>
      <c r="D423" s="597"/>
      <c r="E423" s="595"/>
      <c r="F423" s="595"/>
      <c r="G423" s="598"/>
      <c r="H423" s="599"/>
      <c r="I423" s="596"/>
      <c r="J423" s="596"/>
      <c r="K423" s="600"/>
      <c r="L423" s="595"/>
      <c r="M423" s="596"/>
      <c r="N423" s="596"/>
      <c r="O423" s="595"/>
      <c r="P423" s="595"/>
      <c r="Q423" s="596"/>
      <c r="R423" s="601"/>
    </row>
    <row r="424" spans="1:18" ht="27" customHeight="1">
      <c r="A424" s="595"/>
      <c r="B424" s="595"/>
      <c r="C424" s="596"/>
      <c r="D424" s="597"/>
      <c r="E424" s="595"/>
      <c r="F424" s="595"/>
      <c r="G424" s="598"/>
      <c r="H424" s="599"/>
      <c r="I424" s="596"/>
      <c r="J424" s="596"/>
      <c r="K424" s="600"/>
      <c r="L424" s="595"/>
      <c r="M424" s="596"/>
      <c r="N424" s="596"/>
      <c r="O424" s="595"/>
      <c r="P424" s="595"/>
      <c r="Q424" s="596"/>
      <c r="R424" s="601"/>
    </row>
    <row r="425" spans="1:18" ht="27" customHeight="1">
      <c r="A425" s="595"/>
      <c r="B425" s="595"/>
      <c r="C425" s="596"/>
      <c r="D425" s="597"/>
      <c r="E425" s="595"/>
      <c r="F425" s="595"/>
      <c r="G425" s="598"/>
      <c r="H425" s="599"/>
      <c r="I425" s="596"/>
      <c r="J425" s="596"/>
      <c r="K425" s="600"/>
      <c r="L425" s="595"/>
      <c r="M425" s="596"/>
      <c r="N425" s="596"/>
      <c r="O425" s="595"/>
      <c r="P425" s="595"/>
      <c r="Q425" s="596"/>
      <c r="R425" s="601"/>
    </row>
    <row r="426" spans="1:18" ht="27" customHeight="1">
      <c r="A426" s="595"/>
      <c r="B426" s="595"/>
      <c r="C426" s="596"/>
      <c r="D426" s="597"/>
      <c r="E426" s="595"/>
      <c r="F426" s="595"/>
      <c r="G426" s="598"/>
      <c r="H426" s="599"/>
      <c r="I426" s="596"/>
      <c r="J426" s="596"/>
      <c r="K426" s="600"/>
      <c r="L426" s="595"/>
      <c r="M426" s="596"/>
      <c r="N426" s="596"/>
      <c r="O426" s="595"/>
      <c r="P426" s="595"/>
      <c r="Q426" s="596"/>
      <c r="R426" s="601"/>
    </row>
    <row r="427" spans="1:18" ht="27" customHeight="1">
      <c r="A427" s="595"/>
      <c r="B427" s="595"/>
      <c r="C427" s="596"/>
      <c r="D427" s="597"/>
      <c r="E427" s="595"/>
      <c r="F427" s="595"/>
      <c r="G427" s="598"/>
      <c r="H427" s="599"/>
      <c r="I427" s="596"/>
      <c r="J427" s="596"/>
      <c r="K427" s="600"/>
      <c r="L427" s="595"/>
      <c r="M427" s="596"/>
      <c r="N427" s="596"/>
      <c r="O427" s="595"/>
      <c r="P427" s="595"/>
      <c r="Q427" s="596"/>
      <c r="R427" s="601"/>
    </row>
    <row r="428" spans="1:18" ht="27" customHeight="1">
      <c r="A428" s="595"/>
      <c r="B428" s="595"/>
      <c r="C428" s="596"/>
      <c r="D428" s="597"/>
      <c r="E428" s="595"/>
      <c r="F428" s="595"/>
      <c r="G428" s="598"/>
      <c r="H428" s="599"/>
      <c r="I428" s="596"/>
      <c r="J428" s="596"/>
      <c r="K428" s="600"/>
      <c r="L428" s="595"/>
      <c r="M428" s="596"/>
      <c r="N428" s="596"/>
      <c r="O428" s="595"/>
      <c r="P428" s="595"/>
      <c r="Q428" s="596"/>
      <c r="R428" s="601"/>
    </row>
    <row r="429" spans="1:18" ht="27" customHeight="1">
      <c r="A429" s="595"/>
      <c r="B429" s="595"/>
      <c r="C429" s="596"/>
      <c r="D429" s="597"/>
      <c r="E429" s="595"/>
      <c r="F429" s="595"/>
      <c r="G429" s="598"/>
      <c r="H429" s="599"/>
      <c r="I429" s="596"/>
      <c r="J429" s="596"/>
      <c r="K429" s="600"/>
      <c r="L429" s="595"/>
      <c r="M429" s="596"/>
      <c r="N429" s="596"/>
      <c r="O429" s="595"/>
      <c r="P429" s="595"/>
      <c r="Q429" s="596"/>
      <c r="R429" s="601"/>
    </row>
    <row r="430" spans="1:18" ht="27" customHeight="1">
      <c r="A430" s="595"/>
      <c r="B430" s="595"/>
      <c r="C430" s="596"/>
      <c r="D430" s="597"/>
      <c r="E430" s="595"/>
      <c r="F430" s="595"/>
      <c r="G430" s="598"/>
      <c r="H430" s="599"/>
      <c r="I430" s="596"/>
      <c r="J430" s="596"/>
      <c r="K430" s="600"/>
      <c r="L430" s="595"/>
      <c r="M430" s="596"/>
      <c r="N430" s="596"/>
      <c r="O430" s="595"/>
      <c r="P430" s="595"/>
      <c r="Q430" s="596"/>
      <c r="R430" s="601"/>
    </row>
    <row r="431" spans="1:18" ht="27" customHeight="1">
      <c r="A431" s="595"/>
      <c r="B431" s="595"/>
      <c r="C431" s="596"/>
      <c r="D431" s="597"/>
      <c r="E431" s="595"/>
      <c r="F431" s="595"/>
      <c r="G431" s="598"/>
      <c r="H431" s="599"/>
      <c r="I431" s="596"/>
      <c r="J431" s="596"/>
      <c r="K431" s="600"/>
      <c r="L431" s="595"/>
      <c r="M431" s="596"/>
      <c r="N431" s="596"/>
      <c r="O431" s="595"/>
      <c r="P431" s="595"/>
      <c r="Q431" s="596"/>
      <c r="R431" s="601"/>
    </row>
    <row r="432" spans="1:18" ht="27" customHeight="1">
      <c r="A432" s="595"/>
      <c r="B432" s="595"/>
      <c r="C432" s="596"/>
      <c r="D432" s="597"/>
      <c r="E432" s="595"/>
      <c r="F432" s="595"/>
      <c r="G432" s="598"/>
      <c r="H432" s="599"/>
      <c r="I432" s="596"/>
      <c r="J432" s="596"/>
      <c r="K432" s="600"/>
      <c r="L432" s="595"/>
      <c r="M432" s="596"/>
      <c r="N432" s="596"/>
      <c r="O432" s="595"/>
      <c r="P432" s="595"/>
      <c r="Q432" s="596"/>
      <c r="R432" s="601"/>
    </row>
    <row r="433" spans="1:18" ht="27" customHeight="1">
      <c r="A433" s="595"/>
      <c r="B433" s="595"/>
      <c r="C433" s="596"/>
      <c r="D433" s="597"/>
      <c r="E433" s="595"/>
      <c r="F433" s="595"/>
      <c r="G433" s="598"/>
      <c r="H433" s="599"/>
      <c r="I433" s="596"/>
      <c r="J433" s="596"/>
      <c r="K433" s="600"/>
      <c r="L433" s="595"/>
      <c r="M433" s="596"/>
      <c r="N433" s="596"/>
      <c r="O433" s="595"/>
      <c r="P433" s="595"/>
      <c r="Q433" s="596"/>
      <c r="R433" s="601"/>
    </row>
    <row r="434" spans="1:18" ht="27" customHeight="1">
      <c r="A434" s="595"/>
      <c r="B434" s="595"/>
      <c r="C434" s="596"/>
      <c r="D434" s="597"/>
      <c r="E434" s="595"/>
      <c r="F434" s="595"/>
      <c r="G434" s="598"/>
      <c r="H434" s="599"/>
      <c r="I434" s="596"/>
      <c r="J434" s="596"/>
      <c r="K434" s="600"/>
      <c r="L434" s="595"/>
      <c r="M434" s="596"/>
      <c r="N434" s="596"/>
      <c r="O434" s="595"/>
      <c r="P434" s="595"/>
      <c r="Q434" s="596"/>
      <c r="R434" s="601"/>
    </row>
    <row r="435" spans="1:18" ht="27" customHeight="1">
      <c r="A435" s="595"/>
      <c r="B435" s="595"/>
      <c r="C435" s="596"/>
      <c r="D435" s="597"/>
      <c r="E435" s="595"/>
      <c r="F435" s="595"/>
      <c r="G435" s="598"/>
      <c r="H435" s="599"/>
      <c r="I435" s="596"/>
      <c r="J435" s="596"/>
      <c r="K435" s="600"/>
      <c r="L435" s="595"/>
      <c r="M435" s="596"/>
      <c r="N435" s="596"/>
      <c r="O435" s="595"/>
      <c r="P435" s="595"/>
      <c r="Q435" s="596"/>
      <c r="R435" s="601"/>
    </row>
    <row r="436" spans="1:18" ht="27" customHeight="1">
      <c r="A436" s="595"/>
      <c r="B436" s="595"/>
      <c r="C436" s="596"/>
      <c r="D436" s="597"/>
      <c r="E436" s="595"/>
      <c r="F436" s="595"/>
      <c r="G436" s="598"/>
      <c r="H436" s="599"/>
      <c r="I436" s="596"/>
      <c r="J436" s="596"/>
      <c r="K436" s="600"/>
      <c r="L436" s="595"/>
      <c r="M436" s="596"/>
      <c r="N436" s="596"/>
      <c r="O436" s="595"/>
      <c r="P436" s="595"/>
      <c r="Q436" s="596"/>
      <c r="R436" s="601"/>
    </row>
    <row r="437" spans="1:18" ht="27" customHeight="1">
      <c r="A437" s="595"/>
      <c r="B437" s="595"/>
      <c r="C437" s="596"/>
      <c r="D437" s="597"/>
      <c r="E437" s="595"/>
      <c r="F437" s="595"/>
      <c r="G437" s="598"/>
      <c r="H437" s="599"/>
      <c r="I437" s="596"/>
      <c r="J437" s="596"/>
      <c r="K437" s="600"/>
      <c r="L437" s="595"/>
      <c r="M437" s="596"/>
      <c r="N437" s="596"/>
      <c r="O437" s="595"/>
      <c r="P437" s="595"/>
      <c r="Q437" s="596"/>
      <c r="R437" s="601"/>
    </row>
    <row r="438" spans="1:18" ht="27" customHeight="1">
      <c r="A438" s="595"/>
      <c r="B438" s="595"/>
      <c r="C438" s="596"/>
      <c r="D438" s="597"/>
      <c r="E438" s="595"/>
      <c r="F438" s="595"/>
      <c r="G438" s="598"/>
      <c r="H438" s="599"/>
      <c r="I438" s="596"/>
      <c r="J438" s="596"/>
      <c r="K438" s="600"/>
      <c r="L438" s="595"/>
      <c r="M438" s="596"/>
      <c r="N438" s="596"/>
      <c r="O438" s="595"/>
      <c r="P438" s="595"/>
      <c r="Q438" s="596"/>
      <c r="R438" s="601"/>
    </row>
    <row r="439" spans="1:18" ht="27" customHeight="1">
      <c r="A439" s="595"/>
      <c r="B439" s="595"/>
      <c r="C439" s="596"/>
      <c r="D439" s="597"/>
      <c r="E439" s="595"/>
      <c r="F439" s="595"/>
      <c r="G439" s="598"/>
      <c r="H439" s="599"/>
      <c r="I439" s="596"/>
      <c r="J439" s="596"/>
      <c r="K439" s="600"/>
      <c r="L439" s="595"/>
      <c r="M439" s="596"/>
      <c r="N439" s="596"/>
      <c r="O439" s="595"/>
      <c r="P439" s="595"/>
      <c r="Q439" s="596"/>
      <c r="R439" s="601"/>
    </row>
    <row r="440" spans="1:18" ht="27" customHeight="1">
      <c r="A440" s="595"/>
      <c r="B440" s="595"/>
      <c r="C440" s="596"/>
      <c r="D440" s="597"/>
      <c r="E440" s="595"/>
      <c r="F440" s="595"/>
      <c r="G440" s="598"/>
      <c r="H440" s="599"/>
      <c r="I440" s="596"/>
      <c r="J440" s="596"/>
      <c r="K440" s="600"/>
      <c r="L440" s="595"/>
      <c r="M440" s="596"/>
      <c r="N440" s="596"/>
      <c r="O440" s="595"/>
      <c r="P440" s="595"/>
      <c r="Q440" s="596"/>
      <c r="R440" s="601"/>
    </row>
    <row r="441" spans="1:18" ht="27" customHeight="1">
      <c r="A441" s="595"/>
      <c r="B441" s="595"/>
      <c r="C441" s="596"/>
      <c r="D441" s="597"/>
      <c r="E441" s="595"/>
      <c r="F441" s="595"/>
      <c r="G441" s="598"/>
      <c r="H441" s="599"/>
      <c r="I441" s="596"/>
      <c r="J441" s="596"/>
      <c r="K441" s="600"/>
      <c r="L441" s="595"/>
      <c r="M441" s="596"/>
      <c r="N441" s="596"/>
      <c r="O441" s="595"/>
      <c r="P441" s="595"/>
      <c r="Q441" s="596"/>
      <c r="R441" s="601"/>
    </row>
    <row r="442" spans="1:18" ht="27" customHeight="1">
      <c r="A442" s="595"/>
      <c r="B442" s="595"/>
      <c r="C442" s="596"/>
      <c r="D442" s="597"/>
      <c r="E442" s="595"/>
      <c r="F442" s="595"/>
      <c r="G442" s="598"/>
      <c r="H442" s="599"/>
      <c r="I442" s="596"/>
      <c r="J442" s="596"/>
      <c r="K442" s="600"/>
      <c r="L442" s="595"/>
      <c r="M442" s="596"/>
      <c r="N442" s="596"/>
      <c r="O442" s="595"/>
      <c r="P442" s="595"/>
      <c r="Q442" s="596"/>
      <c r="R442" s="601"/>
    </row>
    <row r="443" spans="1:18" ht="27" customHeight="1">
      <c r="A443" s="595"/>
      <c r="B443" s="595"/>
      <c r="C443" s="596"/>
      <c r="D443" s="597"/>
      <c r="E443" s="595"/>
      <c r="F443" s="595"/>
      <c r="G443" s="598"/>
      <c r="H443" s="599"/>
      <c r="I443" s="596"/>
      <c r="J443" s="596"/>
      <c r="K443" s="600"/>
      <c r="L443" s="595"/>
      <c r="M443" s="596"/>
      <c r="N443" s="596"/>
      <c r="O443" s="595"/>
      <c r="P443" s="595"/>
      <c r="Q443" s="596"/>
      <c r="R443" s="601"/>
    </row>
    <row r="444" spans="1:18" ht="27" customHeight="1">
      <c r="A444" s="595"/>
      <c r="B444" s="595"/>
      <c r="C444" s="596"/>
      <c r="D444" s="597"/>
      <c r="E444" s="595"/>
      <c r="F444" s="595"/>
      <c r="G444" s="598"/>
      <c r="H444" s="599"/>
      <c r="I444" s="596"/>
      <c r="J444" s="596"/>
      <c r="K444" s="600"/>
      <c r="L444" s="595"/>
      <c r="M444" s="596"/>
      <c r="N444" s="596"/>
      <c r="O444" s="595"/>
      <c r="P444" s="595"/>
      <c r="Q444" s="596"/>
      <c r="R444" s="601"/>
    </row>
    <row r="445" spans="1:18" ht="27" customHeight="1">
      <c r="A445" s="595"/>
      <c r="B445" s="595"/>
      <c r="C445" s="596"/>
      <c r="D445" s="597"/>
      <c r="E445" s="595"/>
      <c r="F445" s="595"/>
      <c r="G445" s="598"/>
      <c r="H445" s="599"/>
      <c r="I445" s="596"/>
      <c r="J445" s="596"/>
      <c r="K445" s="600"/>
      <c r="L445" s="595"/>
      <c r="M445" s="596"/>
      <c r="N445" s="596"/>
      <c r="O445" s="595"/>
      <c r="P445" s="595"/>
      <c r="Q445" s="596"/>
      <c r="R445" s="601"/>
    </row>
    <row r="446" spans="1:18" ht="27" customHeight="1">
      <c r="A446" s="595"/>
      <c r="B446" s="595"/>
      <c r="C446" s="596"/>
      <c r="D446" s="597"/>
      <c r="E446" s="595"/>
      <c r="F446" s="595"/>
      <c r="G446" s="598"/>
      <c r="H446" s="599"/>
      <c r="I446" s="596"/>
      <c r="J446" s="596"/>
      <c r="K446" s="600"/>
      <c r="L446" s="595"/>
      <c r="M446" s="596"/>
      <c r="N446" s="596"/>
      <c r="O446" s="595"/>
      <c r="P446" s="595"/>
      <c r="Q446" s="596"/>
      <c r="R446" s="601"/>
    </row>
    <row r="447" spans="1:18" ht="27" customHeight="1">
      <c r="A447" s="595"/>
      <c r="B447" s="595"/>
      <c r="C447" s="596"/>
      <c r="D447" s="597"/>
      <c r="E447" s="595"/>
      <c r="F447" s="595"/>
      <c r="G447" s="598"/>
      <c r="H447" s="599"/>
      <c r="I447" s="596"/>
      <c r="J447" s="596"/>
      <c r="K447" s="600"/>
      <c r="L447" s="595"/>
      <c r="M447" s="596"/>
      <c r="N447" s="596"/>
      <c r="O447" s="595"/>
      <c r="P447" s="595"/>
      <c r="Q447" s="596"/>
      <c r="R447" s="601"/>
    </row>
    <row r="448" spans="1:18" ht="27" customHeight="1">
      <c r="A448" s="595"/>
      <c r="B448" s="595"/>
      <c r="C448" s="596"/>
      <c r="D448" s="597"/>
      <c r="E448" s="595"/>
      <c r="F448" s="595"/>
      <c r="G448" s="598"/>
      <c r="H448" s="599"/>
      <c r="I448" s="596"/>
      <c r="J448" s="596"/>
      <c r="K448" s="600"/>
      <c r="L448" s="595"/>
      <c r="M448" s="596"/>
      <c r="N448" s="596"/>
      <c r="O448" s="595"/>
      <c r="P448" s="595"/>
      <c r="Q448" s="596"/>
      <c r="R448" s="601"/>
    </row>
    <row r="449" spans="1:18" ht="27" customHeight="1">
      <c r="A449" s="595"/>
      <c r="B449" s="595"/>
      <c r="C449" s="596"/>
      <c r="D449" s="597"/>
      <c r="E449" s="595"/>
      <c r="F449" s="595"/>
      <c r="G449" s="598"/>
      <c r="H449" s="599"/>
      <c r="I449" s="596"/>
      <c r="J449" s="596"/>
      <c r="K449" s="600"/>
      <c r="L449" s="595"/>
      <c r="M449" s="596"/>
      <c r="N449" s="596"/>
      <c r="O449" s="595"/>
      <c r="P449" s="595"/>
      <c r="Q449" s="596"/>
      <c r="R449" s="601"/>
    </row>
    <row r="450" spans="1:18" ht="27" customHeight="1">
      <c r="A450" s="595"/>
      <c r="B450" s="595"/>
      <c r="C450" s="596"/>
      <c r="D450" s="597"/>
      <c r="E450" s="595"/>
      <c r="F450" s="595"/>
      <c r="G450" s="598"/>
      <c r="H450" s="599"/>
      <c r="I450" s="596"/>
      <c r="J450" s="596"/>
      <c r="K450" s="600"/>
      <c r="L450" s="595"/>
      <c r="M450" s="596"/>
      <c r="N450" s="596"/>
      <c r="O450" s="595"/>
      <c r="P450" s="595"/>
      <c r="Q450" s="596"/>
      <c r="R450" s="601"/>
    </row>
    <row r="451" spans="1:18" ht="27" customHeight="1">
      <c r="A451" s="595"/>
      <c r="B451" s="595"/>
      <c r="C451" s="596"/>
      <c r="D451" s="597"/>
      <c r="E451" s="595"/>
      <c r="F451" s="595"/>
      <c r="G451" s="598"/>
      <c r="H451" s="599"/>
      <c r="I451" s="596"/>
      <c r="J451" s="596"/>
      <c r="K451" s="600"/>
      <c r="L451" s="595"/>
      <c r="M451" s="596"/>
      <c r="N451" s="596"/>
      <c r="O451" s="595"/>
      <c r="P451" s="595"/>
      <c r="Q451" s="596"/>
      <c r="R451" s="601"/>
    </row>
    <row r="452" spans="1:18" ht="27" customHeight="1">
      <c r="A452" s="595"/>
      <c r="B452" s="595"/>
      <c r="C452" s="596"/>
      <c r="D452" s="597"/>
      <c r="E452" s="595"/>
      <c r="F452" s="595"/>
      <c r="G452" s="598"/>
      <c r="H452" s="599"/>
      <c r="I452" s="596"/>
      <c r="J452" s="596"/>
      <c r="K452" s="600"/>
      <c r="L452" s="595"/>
      <c r="M452" s="596"/>
      <c r="N452" s="596"/>
      <c r="O452" s="595"/>
      <c r="P452" s="595"/>
      <c r="Q452" s="596"/>
      <c r="R452" s="601"/>
    </row>
    <row r="453" spans="1:18" ht="27" customHeight="1">
      <c r="A453" s="595"/>
      <c r="B453" s="595"/>
      <c r="C453" s="596"/>
      <c r="D453" s="597"/>
      <c r="E453" s="595"/>
      <c r="F453" s="595"/>
      <c r="G453" s="598"/>
      <c r="H453" s="599"/>
      <c r="I453" s="596"/>
      <c r="J453" s="596"/>
      <c r="K453" s="600"/>
      <c r="L453" s="595"/>
      <c r="M453" s="596"/>
      <c r="N453" s="596"/>
      <c r="O453" s="595"/>
      <c r="P453" s="595"/>
      <c r="Q453" s="596"/>
      <c r="R453" s="601"/>
    </row>
    <row r="454" spans="1:18" ht="27" customHeight="1">
      <c r="A454" s="595"/>
      <c r="B454" s="595"/>
      <c r="C454" s="596"/>
      <c r="D454" s="597"/>
      <c r="E454" s="595"/>
      <c r="F454" s="595"/>
      <c r="G454" s="598"/>
      <c r="H454" s="599"/>
      <c r="I454" s="596"/>
      <c r="J454" s="596"/>
      <c r="K454" s="600"/>
      <c r="L454" s="595"/>
      <c r="M454" s="596"/>
      <c r="N454" s="596"/>
      <c r="O454" s="595"/>
      <c r="P454" s="595"/>
      <c r="Q454" s="596"/>
      <c r="R454" s="601"/>
    </row>
    <row r="455" spans="1:18" ht="27" customHeight="1">
      <c r="A455" s="595"/>
      <c r="B455" s="595"/>
      <c r="C455" s="596"/>
      <c r="D455" s="597"/>
      <c r="E455" s="595"/>
      <c r="F455" s="595"/>
      <c r="G455" s="598"/>
      <c r="H455" s="599"/>
      <c r="I455" s="596"/>
      <c r="J455" s="596"/>
      <c r="K455" s="600"/>
      <c r="L455" s="595"/>
      <c r="M455" s="596"/>
      <c r="N455" s="596"/>
      <c r="O455" s="595"/>
      <c r="P455" s="595"/>
      <c r="Q455" s="596"/>
      <c r="R455" s="601"/>
    </row>
    <row r="456" spans="1:18" ht="27" customHeight="1">
      <c r="A456" s="595"/>
      <c r="B456" s="595"/>
      <c r="C456" s="596"/>
      <c r="D456" s="597"/>
      <c r="E456" s="595"/>
      <c r="F456" s="595"/>
      <c r="G456" s="598"/>
      <c r="H456" s="599"/>
      <c r="I456" s="596"/>
      <c r="J456" s="596"/>
      <c r="K456" s="600"/>
      <c r="L456" s="595"/>
      <c r="M456" s="596"/>
      <c r="N456" s="596"/>
      <c r="O456" s="595"/>
      <c r="P456" s="595"/>
      <c r="Q456" s="596"/>
      <c r="R456" s="601"/>
    </row>
    <row r="457" spans="1:18" ht="27" customHeight="1">
      <c r="A457" s="595"/>
      <c r="B457" s="595"/>
      <c r="C457" s="596"/>
      <c r="D457" s="597"/>
      <c r="E457" s="595"/>
      <c r="F457" s="595"/>
      <c r="G457" s="598"/>
      <c r="H457" s="599"/>
      <c r="I457" s="596"/>
      <c r="J457" s="596"/>
      <c r="K457" s="600"/>
      <c r="L457" s="595"/>
      <c r="M457" s="596"/>
      <c r="N457" s="596"/>
      <c r="O457" s="595"/>
      <c r="P457" s="595"/>
      <c r="Q457" s="596"/>
      <c r="R457" s="601"/>
    </row>
    <row r="458" spans="1:18" ht="27" customHeight="1">
      <c r="A458" s="595"/>
      <c r="B458" s="595"/>
      <c r="C458" s="596"/>
      <c r="D458" s="597"/>
      <c r="E458" s="595"/>
      <c r="F458" s="595"/>
      <c r="G458" s="598"/>
      <c r="H458" s="599"/>
      <c r="I458" s="596"/>
      <c r="J458" s="596"/>
      <c r="K458" s="600"/>
      <c r="L458" s="595"/>
      <c r="M458" s="596"/>
      <c r="N458" s="596"/>
      <c r="O458" s="595"/>
      <c r="P458" s="595"/>
      <c r="Q458" s="596"/>
      <c r="R458" s="601"/>
    </row>
    <row r="459" spans="1:18" ht="27" customHeight="1">
      <c r="A459" s="595"/>
      <c r="B459" s="595"/>
      <c r="C459" s="596"/>
      <c r="D459" s="597"/>
      <c r="E459" s="595"/>
      <c r="F459" s="595"/>
      <c r="G459" s="598"/>
      <c r="H459" s="599"/>
      <c r="I459" s="596"/>
      <c r="J459" s="596"/>
      <c r="K459" s="600"/>
      <c r="L459" s="595"/>
      <c r="M459" s="596"/>
      <c r="N459" s="596"/>
      <c r="O459" s="595"/>
      <c r="P459" s="595"/>
      <c r="Q459" s="596"/>
      <c r="R459" s="601"/>
    </row>
    <row r="460" spans="1:18" ht="27" customHeight="1">
      <c r="A460" s="595"/>
      <c r="B460" s="595"/>
      <c r="C460" s="596"/>
      <c r="D460" s="597"/>
      <c r="E460" s="595"/>
      <c r="F460" s="595"/>
      <c r="G460" s="598"/>
      <c r="H460" s="599"/>
      <c r="I460" s="596"/>
      <c r="J460" s="596"/>
      <c r="K460" s="600"/>
      <c r="L460" s="595"/>
      <c r="M460" s="596"/>
      <c r="N460" s="596"/>
      <c r="O460" s="595"/>
      <c r="P460" s="595"/>
      <c r="Q460" s="596"/>
      <c r="R460" s="601"/>
    </row>
    <row r="461" spans="1:18" ht="27" customHeight="1">
      <c r="A461" s="595"/>
      <c r="B461" s="595"/>
      <c r="C461" s="596"/>
      <c r="D461" s="597"/>
      <c r="E461" s="595"/>
      <c r="F461" s="595"/>
      <c r="G461" s="598"/>
      <c r="H461" s="599"/>
      <c r="I461" s="596"/>
      <c r="J461" s="596"/>
      <c r="K461" s="600"/>
      <c r="L461" s="595"/>
      <c r="M461" s="596"/>
      <c r="N461" s="596"/>
      <c r="O461" s="595"/>
      <c r="P461" s="595"/>
      <c r="Q461" s="596"/>
      <c r="R461" s="601"/>
    </row>
    <row r="462" spans="1:18" ht="27" customHeight="1">
      <c r="A462" s="595"/>
      <c r="B462" s="595"/>
      <c r="C462" s="596"/>
      <c r="D462" s="597"/>
      <c r="E462" s="595"/>
      <c r="F462" s="595"/>
      <c r="G462" s="598"/>
      <c r="H462" s="599"/>
      <c r="I462" s="596"/>
      <c r="J462" s="596"/>
      <c r="K462" s="600"/>
      <c r="L462" s="595"/>
      <c r="M462" s="596"/>
      <c r="N462" s="596"/>
      <c r="O462" s="595"/>
      <c r="P462" s="595"/>
      <c r="Q462" s="596"/>
      <c r="R462" s="601"/>
    </row>
    <row r="463" spans="1:18" ht="27" customHeight="1">
      <c r="A463" s="595"/>
      <c r="B463" s="595"/>
      <c r="C463" s="596"/>
      <c r="D463" s="597"/>
      <c r="E463" s="595"/>
      <c r="F463" s="595"/>
      <c r="G463" s="598"/>
      <c r="H463" s="599"/>
      <c r="I463" s="596"/>
      <c r="J463" s="596"/>
      <c r="K463" s="600"/>
      <c r="L463" s="595"/>
      <c r="M463" s="596"/>
      <c r="N463" s="596"/>
      <c r="O463" s="595"/>
      <c r="P463" s="595"/>
      <c r="Q463" s="596"/>
      <c r="R463" s="601"/>
    </row>
    <row r="464" spans="1:18" ht="27" customHeight="1">
      <c r="A464" s="595"/>
      <c r="B464" s="595"/>
      <c r="C464" s="596"/>
      <c r="D464" s="597"/>
      <c r="E464" s="595"/>
      <c r="F464" s="595"/>
      <c r="G464" s="598"/>
      <c r="H464" s="599"/>
      <c r="I464" s="596"/>
      <c r="J464" s="596"/>
      <c r="K464" s="600"/>
      <c r="L464" s="595"/>
      <c r="M464" s="596"/>
      <c r="N464" s="596"/>
      <c r="O464" s="595"/>
      <c r="P464" s="595"/>
      <c r="Q464" s="596"/>
      <c r="R464" s="601"/>
    </row>
    <row r="465" spans="1:18" ht="27" customHeight="1">
      <c r="A465" s="595"/>
      <c r="B465" s="595"/>
      <c r="C465" s="596"/>
      <c r="D465" s="597"/>
      <c r="E465" s="595"/>
      <c r="F465" s="595"/>
      <c r="G465" s="598"/>
      <c r="H465" s="599"/>
      <c r="I465" s="596"/>
      <c r="J465" s="596"/>
      <c r="K465" s="600"/>
      <c r="L465" s="595"/>
      <c r="M465" s="596"/>
      <c r="N465" s="596"/>
      <c r="O465" s="595"/>
      <c r="P465" s="595"/>
      <c r="Q465" s="596"/>
      <c r="R465" s="601"/>
    </row>
    <row r="466" spans="1:18" ht="27" customHeight="1">
      <c r="A466" s="595"/>
      <c r="B466" s="595"/>
      <c r="C466" s="596"/>
      <c r="D466" s="597"/>
      <c r="E466" s="595"/>
      <c r="F466" s="595"/>
      <c r="G466" s="598"/>
      <c r="H466" s="599"/>
      <c r="I466" s="596"/>
      <c r="J466" s="596"/>
      <c r="K466" s="600"/>
      <c r="L466" s="595"/>
      <c r="M466" s="596"/>
      <c r="N466" s="596"/>
      <c r="O466" s="595"/>
      <c r="P466" s="595"/>
      <c r="Q466" s="596"/>
      <c r="R466" s="601"/>
    </row>
    <row r="467" spans="1:18" ht="27" customHeight="1">
      <c r="A467" s="595"/>
      <c r="B467" s="595"/>
      <c r="C467" s="596"/>
      <c r="D467" s="597"/>
      <c r="E467" s="595"/>
      <c r="F467" s="595"/>
      <c r="G467" s="598"/>
      <c r="H467" s="599"/>
      <c r="I467" s="596"/>
      <c r="J467" s="596"/>
      <c r="K467" s="600"/>
      <c r="L467" s="595"/>
      <c r="M467" s="596"/>
      <c r="N467" s="596"/>
      <c r="O467" s="595"/>
      <c r="P467" s="595"/>
      <c r="Q467" s="596"/>
      <c r="R467" s="601"/>
    </row>
    <row r="468" spans="1:18" ht="27" customHeight="1">
      <c r="A468" s="595"/>
      <c r="B468" s="595"/>
      <c r="C468" s="596"/>
      <c r="D468" s="597"/>
      <c r="E468" s="595"/>
      <c r="F468" s="595"/>
      <c r="G468" s="598"/>
      <c r="H468" s="599"/>
      <c r="I468" s="596"/>
      <c r="J468" s="596"/>
      <c r="K468" s="600"/>
      <c r="L468" s="595"/>
      <c r="M468" s="596"/>
      <c r="N468" s="596"/>
      <c r="O468" s="595"/>
      <c r="P468" s="595"/>
      <c r="Q468" s="596"/>
      <c r="R468" s="601"/>
    </row>
    <row r="469" spans="1:18" ht="27" customHeight="1">
      <c r="A469" s="595"/>
      <c r="B469" s="595"/>
      <c r="C469" s="596"/>
      <c r="D469" s="597"/>
      <c r="E469" s="595"/>
      <c r="F469" s="595"/>
      <c r="G469" s="598"/>
      <c r="H469" s="599"/>
      <c r="I469" s="596"/>
      <c r="J469" s="596"/>
      <c r="K469" s="600"/>
      <c r="L469" s="595"/>
      <c r="M469" s="596"/>
      <c r="N469" s="596"/>
      <c r="O469" s="595"/>
      <c r="P469" s="595"/>
      <c r="Q469" s="596"/>
      <c r="R469" s="601"/>
    </row>
    <row r="470" spans="1:18" ht="27" customHeight="1">
      <c r="A470" s="595"/>
      <c r="B470" s="595"/>
      <c r="C470" s="596"/>
      <c r="D470" s="597"/>
      <c r="E470" s="595"/>
      <c r="F470" s="595"/>
      <c r="G470" s="598"/>
      <c r="H470" s="599"/>
      <c r="I470" s="596"/>
      <c r="J470" s="596"/>
      <c r="K470" s="600"/>
      <c r="L470" s="595"/>
      <c r="M470" s="596"/>
      <c r="N470" s="596"/>
      <c r="O470" s="595"/>
      <c r="P470" s="595"/>
      <c r="Q470" s="596"/>
      <c r="R470" s="601"/>
    </row>
    <row r="471" spans="1:18" ht="27" customHeight="1">
      <c r="A471" s="595"/>
      <c r="B471" s="595"/>
      <c r="C471" s="596"/>
      <c r="D471" s="597"/>
      <c r="E471" s="595"/>
      <c r="F471" s="595"/>
      <c r="G471" s="598"/>
      <c r="H471" s="599"/>
      <c r="I471" s="596"/>
      <c r="J471" s="596"/>
      <c r="K471" s="600"/>
      <c r="L471" s="595"/>
      <c r="M471" s="596"/>
      <c r="N471" s="596"/>
      <c r="O471" s="595"/>
      <c r="P471" s="595"/>
      <c r="Q471" s="596"/>
      <c r="R471" s="601"/>
    </row>
    <row r="472" spans="1:18" ht="27" customHeight="1">
      <c r="A472" s="595"/>
      <c r="B472" s="595"/>
      <c r="C472" s="596"/>
      <c r="D472" s="597"/>
      <c r="E472" s="595"/>
      <c r="F472" s="595"/>
      <c r="G472" s="598"/>
      <c r="H472" s="599"/>
      <c r="I472" s="596"/>
      <c r="J472" s="596"/>
      <c r="K472" s="600"/>
      <c r="L472" s="595"/>
      <c r="M472" s="596"/>
      <c r="N472" s="596"/>
      <c r="O472" s="595"/>
      <c r="P472" s="595"/>
      <c r="Q472" s="596"/>
      <c r="R472" s="601"/>
    </row>
    <row r="473" spans="1:18" ht="27" customHeight="1">
      <c r="A473" s="595"/>
      <c r="B473" s="595"/>
      <c r="C473" s="596"/>
      <c r="D473" s="597"/>
      <c r="E473" s="595"/>
      <c r="F473" s="595"/>
      <c r="G473" s="598"/>
      <c r="H473" s="599"/>
      <c r="I473" s="596"/>
      <c r="J473" s="596"/>
      <c r="K473" s="600"/>
      <c r="L473" s="595"/>
      <c r="M473" s="596"/>
      <c r="N473" s="596"/>
      <c r="O473" s="595"/>
      <c r="P473" s="595"/>
      <c r="Q473" s="596"/>
      <c r="R473" s="601"/>
    </row>
    <row r="474" spans="1:18" ht="27" customHeight="1">
      <c r="A474" s="595"/>
      <c r="B474" s="595"/>
      <c r="C474" s="596"/>
      <c r="D474" s="597"/>
      <c r="E474" s="595"/>
      <c r="F474" s="595"/>
      <c r="G474" s="598"/>
      <c r="H474" s="599"/>
      <c r="I474" s="596"/>
      <c r="J474" s="596"/>
      <c r="K474" s="600"/>
      <c r="L474" s="595"/>
      <c r="M474" s="596"/>
      <c r="N474" s="596"/>
      <c r="O474" s="595"/>
      <c r="P474" s="595"/>
      <c r="Q474" s="596"/>
      <c r="R474" s="601"/>
    </row>
    <row r="475" spans="1:18" ht="27" customHeight="1">
      <c r="A475" s="595"/>
      <c r="B475" s="595"/>
      <c r="C475" s="596"/>
      <c r="D475" s="597"/>
      <c r="E475" s="595"/>
      <c r="F475" s="595"/>
      <c r="G475" s="598"/>
      <c r="H475" s="599"/>
      <c r="I475" s="596"/>
      <c r="J475" s="596"/>
      <c r="K475" s="600"/>
      <c r="L475" s="595"/>
      <c r="M475" s="596"/>
      <c r="N475" s="596"/>
      <c r="O475" s="595"/>
      <c r="P475" s="595"/>
      <c r="Q475" s="596"/>
      <c r="R475" s="601"/>
    </row>
    <row r="476" spans="1:18" ht="27" customHeight="1">
      <c r="A476" s="595"/>
      <c r="B476" s="595"/>
      <c r="C476" s="596"/>
      <c r="D476" s="597"/>
      <c r="E476" s="595"/>
      <c r="F476" s="595"/>
      <c r="G476" s="598"/>
      <c r="H476" s="599"/>
      <c r="I476" s="596"/>
      <c r="J476" s="596"/>
      <c r="K476" s="600"/>
      <c r="L476" s="595"/>
      <c r="M476" s="596"/>
      <c r="N476" s="596"/>
      <c r="O476" s="595"/>
      <c r="P476" s="595"/>
      <c r="Q476" s="596"/>
      <c r="R476" s="601"/>
    </row>
    <row r="477" spans="1:18" ht="27" customHeight="1">
      <c r="A477" s="595"/>
      <c r="B477" s="595"/>
      <c r="C477" s="596"/>
      <c r="D477" s="597"/>
      <c r="E477" s="595"/>
      <c r="F477" s="595"/>
      <c r="G477" s="598"/>
      <c r="H477" s="599"/>
      <c r="I477" s="596"/>
      <c r="J477" s="596"/>
      <c r="K477" s="600"/>
      <c r="L477" s="595"/>
      <c r="M477" s="596"/>
      <c r="N477" s="596"/>
      <c r="O477" s="595"/>
      <c r="P477" s="595"/>
      <c r="Q477" s="596"/>
      <c r="R477" s="601"/>
    </row>
    <row r="478" spans="1:18" ht="27" customHeight="1">
      <c r="A478" s="595"/>
      <c r="B478" s="595"/>
      <c r="C478" s="596"/>
      <c r="D478" s="597"/>
      <c r="E478" s="595"/>
      <c r="F478" s="595"/>
      <c r="G478" s="598"/>
      <c r="H478" s="599"/>
      <c r="I478" s="596"/>
      <c r="J478" s="596"/>
      <c r="K478" s="600"/>
      <c r="L478" s="595"/>
      <c r="M478" s="596"/>
      <c r="N478" s="596"/>
      <c r="O478" s="595"/>
      <c r="P478" s="595"/>
      <c r="Q478" s="596"/>
      <c r="R478" s="601"/>
    </row>
    <row r="479" spans="1:18" ht="27" customHeight="1">
      <c r="A479" s="595"/>
      <c r="B479" s="595"/>
      <c r="C479" s="596"/>
      <c r="D479" s="597"/>
      <c r="E479" s="595"/>
      <c r="F479" s="595"/>
      <c r="G479" s="598"/>
      <c r="H479" s="599"/>
      <c r="I479" s="596"/>
      <c r="J479" s="596"/>
      <c r="K479" s="600"/>
      <c r="L479" s="595"/>
      <c r="M479" s="596"/>
      <c r="N479" s="596"/>
      <c r="O479" s="595"/>
      <c r="P479" s="595"/>
      <c r="Q479" s="596"/>
      <c r="R479" s="601"/>
    </row>
    <row r="480" spans="1:18" ht="27" customHeight="1">
      <c r="A480" s="595"/>
      <c r="B480" s="595"/>
      <c r="C480" s="596"/>
      <c r="D480" s="597"/>
      <c r="E480" s="595"/>
      <c r="F480" s="595"/>
      <c r="G480" s="598"/>
      <c r="H480" s="599"/>
      <c r="I480" s="596"/>
      <c r="J480" s="596"/>
      <c r="K480" s="600"/>
      <c r="L480" s="595"/>
      <c r="M480" s="596"/>
      <c r="N480" s="596"/>
      <c r="O480" s="595"/>
      <c r="P480" s="595"/>
      <c r="Q480" s="596"/>
      <c r="R480" s="601"/>
    </row>
    <row r="481" spans="1:18" ht="27" customHeight="1">
      <c r="A481" s="595"/>
      <c r="B481" s="595"/>
      <c r="C481" s="596"/>
      <c r="D481" s="597"/>
      <c r="E481" s="595"/>
      <c r="F481" s="595"/>
      <c r="G481" s="598"/>
      <c r="H481" s="599"/>
      <c r="I481" s="596"/>
      <c r="J481" s="596"/>
      <c r="K481" s="600"/>
      <c r="L481" s="595"/>
      <c r="M481" s="596"/>
      <c r="N481" s="596"/>
      <c r="O481" s="595"/>
      <c r="P481" s="595"/>
      <c r="Q481" s="596"/>
      <c r="R481" s="601"/>
    </row>
    <row r="482" spans="1:18" ht="27" customHeight="1">
      <c r="A482" s="595"/>
      <c r="B482" s="595"/>
      <c r="C482" s="596"/>
      <c r="D482" s="597"/>
      <c r="E482" s="595"/>
      <c r="F482" s="595"/>
      <c r="G482" s="598"/>
      <c r="H482" s="599"/>
      <c r="I482" s="596"/>
      <c r="J482" s="596"/>
      <c r="K482" s="600"/>
      <c r="L482" s="595"/>
      <c r="M482" s="596"/>
      <c r="N482" s="596"/>
      <c r="O482" s="595"/>
      <c r="P482" s="595"/>
      <c r="Q482" s="596"/>
      <c r="R482" s="601"/>
    </row>
    <row r="483" spans="1:18" ht="27" customHeight="1">
      <c r="A483" s="595"/>
      <c r="B483" s="595"/>
      <c r="C483" s="596"/>
      <c r="D483" s="597"/>
      <c r="E483" s="595"/>
      <c r="F483" s="595"/>
      <c r="G483" s="598"/>
      <c r="H483" s="599"/>
      <c r="I483" s="596"/>
      <c r="J483" s="596"/>
      <c r="K483" s="600"/>
      <c r="L483" s="595"/>
      <c r="M483" s="596"/>
      <c r="N483" s="596"/>
      <c r="O483" s="595"/>
      <c r="P483" s="595"/>
      <c r="Q483" s="596"/>
      <c r="R483" s="601"/>
    </row>
    <row r="484" spans="1:18" ht="27" customHeight="1">
      <c r="A484" s="595"/>
      <c r="B484" s="595"/>
      <c r="C484" s="596"/>
      <c r="D484" s="597"/>
      <c r="E484" s="595"/>
      <c r="F484" s="595"/>
      <c r="G484" s="598"/>
      <c r="H484" s="599"/>
      <c r="I484" s="596"/>
      <c r="J484" s="596"/>
      <c r="K484" s="600"/>
      <c r="L484" s="595"/>
      <c r="M484" s="596"/>
      <c r="N484" s="596"/>
      <c r="O484" s="595"/>
      <c r="P484" s="595"/>
      <c r="Q484" s="596"/>
      <c r="R484" s="601"/>
    </row>
    <row r="485" spans="1:18" ht="27" customHeight="1">
      <c r="A485" s="595"/>
      <c r="B485" s="595"/>
      <c r="C485" s="596"/>
      <c r="D485" s="597"/>
      <c r="E485" s="595"/>
      <c r="F485" s="595"/>
      <c r="G485" s="598"/>
      <c r="H485" s="599"/>
      <c r="I485" s="596"/>
      <c r="J485" s="596"/>
      <c r="K485" s="600"/>
      <c r="L485" s="595"/>
      <c r="M485" s="596"/>
      <c r="N485" s="596"/>
      <c r="O485" s="595"/>
      <c r="P485" s="595"/>
      <c r="Q485" s="596"/>
      <c r="R485" s="601"/>
    </row>
    <row r="486" spans="1:18" ht="27" customHeight="1">
      <c r="A486" s="595"/>
      <c r="B486" s="595"/>
      <c r="C486" s="596"/>
      <c r="D486" s="597"/>
      <c r="E486" s="595"/>
      <c r="F486" s="595"/>
      <c r="G486" s="598"/>
      <c r="H486" s="599"/>
      <c r="I486" s="596"/>
      <c r="J486" s="596"/>
      <c r="K486" s="600"/>
      <c r="L486" s="595"/>
      <c r="M486" s="596"/>
      <c r="N486" s="596"/>
      <c r="O486" s="595"/>
      <c r="P486" s="595"/>
      <c r="Q486" s="596"/>
      <c r="R486" s="601"/>
    </row>
    <row r="487" spans="1:18" ht="27" customHeight="1">
      <c r="A487" s="595"/>
      <c r="B487" s="595"/>
      <c r="C487" s="596"/>
      <c r="D487" s="597"/>
      <c r="E487" s="595"/>
      <c r="F487" s="595"/>
      <c r="G487" s="598"/>
      <c r="H487" s="599"/>
      <c r="I487" s="596"/>
      <c r="J487" s="596"/>
      <c r="K487" s="600"/>
      <c r="L487" s="595"/>
      <c r="M487" s="596"/>
      <c r="N487" s="596"/>
      <c r="O487" s="595"/>
      <c r="P487" s="595"/>
      <c r="Q487" s="596"/>
      <c r="R487" s="601"/>
    </row>
    <row r="488" spans="1:18" ht="27" customHeight="1">
      <c r="A488" s="595"/>
      <c r="B488" s="595"/>
      <c r="C488" s="596"/>
      <c r="D488" s="597"/>
      <c r="E488" s="595"/>
      <c r="F488" s="595"/>
      <c r="G488" s="598"/>
      <c r="H488" s="599"/>
      <c r="I488" s="596"/>
      <c r="J488" s="596"/>
      <c r="K488" s="600"/>
      <c r="L488" s="595"/>
      <c r="M488" s="596"/>
      <c r="N488" s="596"/>
      <c r="O488" s="595"/>
      <c r="P488" s="595"/>
      <c r="Q488" s="596"/>
      <c r="R488" s="601"/>
    </row>
    <row r="489" spans="1:18" ht="27" customHeight="1">
      <c r="A489" s="595"/>
      <c r="B489" s="595"/>
      <c r="C489" s="596"/>
      <c r="D489" s="597"/>
      <c r="E489" s="595"/>
      <c r="F489" s="595"/>
      <c r="G489" s="598"/>
      <c r="H489" s="599"/>
      <c r="I489" s="596"/>
      <c r="J489" s="596"/>
      <c r="K489" s="600"/>
      <c r="L489" s="595"/>
      <c r="M489" s="596"/>
      <c r="N489" s="596"/>
      <c r="O489" s="595"/>
      <c r="P489" s="595"/>
      <c r="Q489" s="596"/>
      <c r="R489" s="601"/>
    </row>
    <row r="490" spans="1:18" ht="27" customHeight="1">
      <c r="A490" s="595"/>
      <c r="B490" s="595"/>
      <c r="C490" s="596"/>
      <c r="D490" s="597"/>
      <c r="E490" s="595"/>
      <c r="F490" s="595"/>
      <c r="G490" s="598"/>
      <c r="H490" s="599"/>
      <c r="I490" s="596"/>
      <c r="J490" s="596"/>
      <c r="K490" s="600"/>
      <c r="L490" s="595"/>
      <c r="M490" s="596"/>
      <c r="N490" s="596"/>
      <c r="O490" s="595"/>
      <c r="P490" s="595"/>
      <c r="Q490" s="596"/>
      <c r="R490" s="601"/>
    </row>
    <row r="491" spans="1:18" ht="27" customHeight="1">
      <c r="A491" s="595"/>
      <c r="B491" s="595"/>
      <c r="C491" s="596"/>
      <c r="D491" s="597"/>
      <c r="E491" s="595"/>
      <c r="F491" s="595"/>
      <c r="G491" s="598"/>
      <c r="H491" s="599"/>
      <c r="I491" s="596"/>
      <c r="J491" s="596"/>
      <c r="K491" s="600"/>
      <c r="L491" s="595"/>
      <c r="M491" s="596"/>
      <c r="N491" s="596"/>
      <c r="O491" s="595"/>
      <c r="P491" s="595"/>
      <c r="Q491" s="596"/>
      <c r="R491" s="601"/>
    </row>
    <row r="492" spans="1:18" ht="27" customHeight="1">
      <c r="A492" s="595"/>
      <c r="B492" s="595"/>
      <c r="C492" s="596"/>
      <c r="D492" s="597"/>
      <c r="E492" s="595"/>
      <c r="F492" s="595"/>
      <c r="G492" s="598"/>
      <c r="H492" s="599"/>
      <c r="I492" s="596"/>
      <c r="J492" s="596"/>
      <c r="K492" s="600"/>
      <c r="L492" s="595"/>
      <c r="M492" s="596"/>
      <c r="N492" s="596"/>
      <c r="O492" s="595"/>
      <c r="P492" s="595"/>
      <c r="Q492" s="596"/>
      <c r="R492" s="601"/>
    </row>
    <row r="493" spans="1:18" ht="27" customHeight="1">
      <c r="A493" s="595"/>
      <c r="B493" s="595"/>
      <c r="C493" s="596"/>
      <c r="D493" s="597"/>
      <c r="E493" s="595"/>
      <c r="F493" s="595"/>
      <c r="G493" s="598"/>
      <c r="H493" s="599"/>
      <c r="I493" s="596"/>
      <c r="J493" s="596"/>
      <c r="K493" s="600"/>
      <c r="L493" s="595"/>
      <c r="M493" s="596"/>
      <c r="N493" s="596"/>
      <c r="O493" s="595"/>
      <c r="P493" s="595"/>
      <c r="Q493" s="596"/>
      <c r="R493" s="601"/>
    </row>
    <row r="494" spans="1:18" ht="27" customHeight="1">
      <c r="A494" s="595"/>
      <c r="B494" s="595"/>
      <c r="C494" s="596"/>
      <c r="D494" s="597"/>
      <c r="E494" s="595"/>
      <c r="F494" s="595"/>
      <c r="G494" s="598"/>
      <c r="H494" s="599"/>
      <c r="I494" s="596"/>
      <c r="J494" s="596"/>
      <c r="K494" s="600"/>
      <c r="L494" s="595"/>
      <c r="M494" s="596"/>
      <c r="N494" s="596"/>
      <c r="O494" s="595"/>
      <c r="P494" s="595"/>
      <c r="Q494" s="596"/>
      <c r="R494" s="601"/>
    </row>
    <row r="495" spans="1:18" ht="27" customHeight="1">
      <c r="A495" s="595"/>
      <c r="B495" s="595"/>
      <c r="C495" s="596"/>
      <c r="D495" s="597"/>
      <c r="E495" s="595"/>
      <c r="F495" s="595"/>
      <c r="G495" s="598"/>
      <c r="H495" s="599"/>
      <c r="I495" s="596"/>
      <c r="J495" s="596"/>
      <c r="K495" s="600"/>
      <c r="L495" s="595"/>
      <c r="M495" s="596"/>
      <c r="N495" s="596"/>
      <c r="O495" s="595"/>
      <c r="P495" s="595"/>
      <c r="Q495" s="596"/>
      <c r="R495" s="601"/>
    </row>
    <row r="496" spans="1:18" ht="27" customHeight="1">
      <c r="A496" s="595"/>
      <c r="B496" s="595"/>
      <c r="C496" s="596"/>
      <c r="D496" s="597"/>
      <c r="E496" s="595"/>
      <c r="F496" s="595"/>
      <c r="G496" s="598"/>
      <c r="H496" s="599"/>
      <c r="I496" s="596"/>
      <c r="J496" s="596"/>
      <c r="K496" s="600"/>
      <c r="L496" s="595"/>
      <c r="M496" s="596"/>
      <c r="N496" s="596"/>
      <c r="O496" s="595"/>
      <c r="P496" s="595"/>
      <c r="Q496" s="596"/>
      <c r="R496" s="601"/>
    </row>
    <row r="497" spans="1:18" ht="27" customHeight="1">
      <c r="A497" s="595"/>
      <c r="B497" s="595"/>
      <c r="C497" s="596"/>
      <c r="D497" s="597"/>
      <c r="E497" s="595"/>
      <c r="F497" s="595"/>
      <c r="G497" s="598"/>
      <c r="H497" s="599"/>
      <c r="I497" s="596"/>
      <c r="J497" s="596"/>
      <c r="K497" s="600"/>
      <c r="L497" s="595"/>
      <c r="M497" s="596"/>
      <c r="N497" s="596"/>
      <c r="O497" s="595"/>
      <c r="P497" s="595"/>
      <c r="Q497" s="596"/>
      <c r="R497" s="601"/>
    </row>
    <row r="498" spans="1:18" ht="27" customHeight="1">
      <c r="A498" s="595"/>
      <c r="B498" s="595"/>
      <c r="C498" s="596"/>
      <c r="D498" s="597"/>
      <c r="E498" s="595"/>
      <c r="F498" s="595"/>
      <c r="G498" s="598"/>
      <c r="H498" s="599"/>
      <c r="I498" s="596"/>
      <c r="J498" s="596"/>
      <c r="K498" s="600"/>
      <c r="L498" s="595"/>
      <c r="M498" s="596"/>
      <c r="N498" s="596"/>
      <c r="O498" s="595"/>
      <c r="P498" s="595"/>
      <c r="Q498" s="596"/>
      <c r="R498" s="601"/>
    </row>
    <row r="499" spans="1:18" ht="27" customHeight="1">
      <c r="A499" s="595"/>
      <c r="B499" s="595"/>
      <c r="C499" s="596"/>
      <c r="D499" s="597"/>
      <c r="E499" s="595"/>
      <c r="F499" s="595"/>
      <c r="G499" s="598"/>
      <c r="H499" s="599"/>
      <c r="I499" s="596"/>
      <c r="J499" s="596"/>
      <c r="K499" s="600"/>
      <c r="L499" s="595"/>
      <c r="M499" s="596"/>
      <c r="N499" s="596"/>
      <c r="O499" s="595"/>
      <c r="P499" s="595"/>
      <c r="Q499" s="596"/>
      <c r="R499" s="601"/>
    </row>
    <row r="500" spans="1:18" ht="27" customHeight="1">
      <c r="A500" s="595"/>
      <c r="B500" s="595"/>
      <c r="C500" s="596"/>
      <c r="D500" s="597"/>
      <c r="E500" s="595"/>
      <c r="F500" s="595"/>
      <c r="G500" s="598"/>
      <c r="H500" s="599"/>
      <c r="I500" s="596"/>
      <c r="J500" s="596"/>
      <c r="K500" s="600"/>
      <c r="L500" s="595"/>
      <c r="M500" s="596"/>
      <c r="N500" s="596"/>
      <c r="O500" s="595"/>
      <c r="P500" s="595"/>
      <c r="Q500" s="596"/>
      <c r="R500" s="601"/>
    </row>
    <row r="501" spans="1:18" ht="27" customHeight="1">
      <c r="A501" s="595"/>
      <c r="B501" s="595"/>
      <c r="C501" s="596"/>
      <c r="D501" s="597"/>
      <c r="E501" s="595"/>
      <c r="F501" s="595"/>
      <c r="G501" s="598"/>
      <c r="H501" s="599"/>
      <c r="I501" s="596"/>
      <c r="J501" s="596"/>
      <c r="K501" s="600"/>
      <c r="L501" s="595"/>
      <c r="M501" s="596"/>
      <c r="N501" s="596"/>
      <c r="O501" s="595"/>
      <c r="P501" s="595"/>
      <c r="Q501" s="596"/>
      <c r="R501" s="601"/>
    </row>
    <row r="502" spans="1:18" ht="27" customHeight="1">
      <c r="A502" s="595"/>
      <c r="B502" s="595"/>
      <c r="C502" s="596"/>
      <c r="D502" s="597"/>
      <c r="E502" s="595"/>
      <c r="F502" s="595"/>
      <c r="G502" s="598"/>
      <c r="H502" s="599"/>
      <c r="I502" s="596"/>
      <c r="J502" s="596"/>
      <c r="K502" s="600"/>
      <c r="L502" s="595"/>
      <c r="M502" s="596"/>
      <c r="N502" s="596"/>
      <c r="O502" s="595"/>
      <c r="P502" s="595"/>
      <c r="Q502" s="596"/>
      <c r="R502" s="601"/>
    </row>
    <row r="503" spans="1:18" ht="27" customHeight="1">
      <c r="A503" s="595"/>
      <c r="B503" s="595"/>
      <c r="C503" s="596"/>
      <c r="D503" s="597"/>
      <c r="E503" s="595"/>
      <c r="F503" s="595"/>
      <c r="G503" s="598"/>
      <c r="H503" s="599"/>
      <c r="I503" s="596"/>
      <c r="J503" s="596"/>
      <c r="K503" s="600"/>
      <c r="L503" s="595"/>
      <c r="M503" s="596"/>
      <c r="N503" s="596"/>
      <c r="O503" s="595"/>
      <c r="P503" s="595"/>
      <c r="Q503" s="596"/>
      <c r="R503" s="601"/>
    </row>
    <row r="504" spans="1:18" ht="27" customHeight="1">
      <c r="A504" s="595"/>
      <c r="B504" s="595"/>
      <c r="C504" s="596"/>
      <c r="D504" s="597"/>
      <c r="E504" s="595"/>
      <c r="F504" s="595"/>
      <c r="G504" s="598"/>
      <c r="H504" s="599"/>
      <c r="I504" s="596"/>
      <c r="J504" s="596"/>
      <c r="K504" s="600"/>
      <c r="L504" s="595"/>
      <c r="M504" s="596"/>
      <c r="N504" s="596"/>
      <c r="O504" s="595"/>
      <c r="P504" s="595"/>
      <c r="Q504" s="596"/>
      <c r="R504" s="601"/>
    </row>
  </sheetData>
  <sheetProtection algorithmName="SHA-512" hashValue="4nVu4Dl47MlMBLmIde1VL3orOV+SRid99j1Tulg8sWFvMtoSsGSIPHruAhvOZTbfrtDLi4bTzQS4/RHjtB7/Iw==" saltValue="H+y/sVKM0j8quj83K55Yzw==" spinCount="100000" sheet="1" objects="1" scenarios="1" sort="0" autoFilter="0"/>
  <sortState xmlns:xlrd2="http://schemas.microsoft.com/office/spreadsheetml/2017/richdata2" ref="A4:R11">
    <sortCondition descending="1" ref="Q4"/>
  </sortState>
  <mergeCells count="2">
    <mergeCell ref="A1:P1"/>
    <mergeCell ref="A2:R2"/>
  </mergeCells>
  <phoneticPr fontId="16"/>
  <pageMargins left="0.74803149606299213" right="0.74803149606299213" top="0.98425196850393704" bottom="0.98425196850393704" header="0.51181102362204722" footer="0.51181102362204722"/>
  <pageSetup paperSize="9" scale="50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3" r:id="rId4" name="Button 7">
              <controlPr defaultSize="0" print="0" autoFill="0" autoPict="0" macro="[0]!買い抽出_スコア4">
                <anchor moveWithCells="1" sizeWithCells="1">
                  <from>
                    <xdr:col>10</xdr:col>
                    <xdr:colOff>314325</xdr:colOff>
                    <xdr:row>0</xdr:row>
                    <xdr:rowOff>38100</xdr:rowOff>
                  </from>
                  <to>
                    <xdr:col>11</xdr:col>
                    <xdr:colOff>257175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5" name="Button 8">
              <controlPr defaultSize="0" print="0" autoFill="0" autoPict="0" macro="[0]!買い抽出_スコア4_緩和">
                <anchor moveWithCells="1" sizeWithCells="1">
                  <from>
                    <xdr:col>11</xdr:col>
                    <xdr:colOff>352425</xdr:colOff>
                    <xdr:row>0</xdr:row>
                    <xdr:rowOff>38100</xdr:rowOff>
                  </from>
                  <to>
                    <xdr:col>12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6" name="Button 9">
              <controlPr defaultSize="0" print="0" autoFill="0" autoPict="0" macro="[0]!株価抽出">
                <anchor moveWithCells="1" sizeWithCells="1">
                  <from>
                    <xdr:col>3</xdr:col>
                    <xdr:colOff>219075</xdr:colOff>
                    <xdr:row>0</xdr:row>
                    <xdr:rowOff>0</xdr:rowOff>
                  </from>
                  <to>
                    <xdr:col>6</xdr:col>
                    <xdr:colOff>19050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0F8E5-5BFB-401C-8D4B-F813C943976D}">
  <sheetPr codeName="Sheet12">
    <tabColor rgb="FF00B0F0"/>
  </sheetPr>
  <dimension ref="A1:Z502"/>
  <sheetViews>
    <sheetView showGridLines="0" workbookViewId="0">
      <pane xSplit="4" ySplit="2" topLeftCell="E72" activePane="bottomRight" state="frozen"/>
      <selection pane="topRight" activeCell="E1" sqref="E1"/>
      <selection pane="bottomLeft" activeCell="A3" sqref="A3"/>
      <selection pane="bottomRight" activeCell="AG82" sqref="AG82"/>
    </sheetView>
  </sheetViews>
  <sheetFormatPr defaultRowHeight="13.5"/>
  <cols>
    <col min="1" max="1" width="5.625" style="1" customWidth="1"/>
    <col min="2" max="2" width="7.625" style="1" customWidth="1"/>
    <col min="3" max="3" width="8.625" style="1" customWidth="1"/>
    <col min="4" max="4" width="18.625" style="1" customWidth="1"/>
    <col min="5" max="5" width="11.625" style="1" customWidth="1"/>
    <col min="6" max="12" width="10.625" style="1" customWidth="1"/>
    <col min="13" max="13" width="12.625" style="1" customWidth="1"/>
    <col min="14" max="19" width="10.625" style="1" customWidth="1"/>
    <col min="20" max="20" width="9.625" style="1" customWidth="1"/>
    <col min="21" max="21" width="14.625" style="1" customWidth="1"/>
    <col min="22" max="22" width="8.625" style="1" customWidth="1"/>
    <col min="23" max="24" width="14.625" style="1" customWidth="1"/>
    <col min="25" max="25" width="8.625" style="1" customWidth="1"/>
    <col min="26" max="26" width="20.625" style="1" customWidth="1"/>
    <col min="27" max="16384" width="9" style="1"/>
  </cols>
  <sheetData>
    <row r="1" spans="1:26" ht="44.1" customHeight="1" thickBot="1">
      <c r="A1" s="538" t="s">
        <v>482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  <c r="O1" s="538"/>
      <c r="P1" s="538"/>
      <c r="Q1" s="538"/>
      <c r="R1" s="538"/>
      <c r="S1" s="538"/>
      <c r="T1" s="538"/>
      <c r="U1" s="538"/>
      <c r="V1" s="538"/>
      <c r="W1" s="538"/>
      <c r="X1" s="538"/>
      <c r="Y1" s="539"/>
      <c r="Z1" s="539"/>
    </row>
    <row r="2" spans="1:26" ht="38.1" customHeight="1" thickTop="1">
      <c r="A2" s="122" t="s">
        <v>483</v>
      </c>
      <c r="B2" s="122" t="s">
        <v>4</v>
      </c>
      <c r="C2" s="122" t="s">
        <v>7</v>
      </c>
      <c r="D2" s="122" t="s">
        <v>8</v>
      </c>
      <c r="E2" s="123" t="s">
        <v>9</v>
      </c>
      <c r="F2" s="124" t="s">
        <v>24</v>
      </c>
      <c r="G2" s="124" t="s">
        <v>10</v>
      </c>
      <c r="H2" s="124" t="s">
        <v>11</v>
      </c>
      <c r="I2" s="124" t="s">
        <v>12</v>
      </c>
      <c r="J2" s="124" t="s">
        <v>36</v>
      </c>
      <c r="K2" s="124" t="s">
        <v>37</v>
      </c>
      <c r="L2" s="124" t="s">
        <v>26</v>
      </c>
      <c r="M2" s="125" t="s">
        <v>30</v>
      </c>
      <c r="N2" s="125" t="s">
        <v>16</v>
      </c>
      <c r="O2" s="125" t="s">
        <v>17</v>
      </c>
      <c r="P2" s="125" t="s">
        <v>484</v>
      </c>
      <c r="Q2" s="126" t="s">
        <v>485</v>
      </c>
      <c r="R2" s="126" t="s">
        <v>19</v>
      </c>
      <c r="S2" s="127" t="s">
        <v>35</v>
      </c>
      <c r="T2" s="127" t="s">
        <v>486</v>
      </c>
      <c r="U2" s="127" t="s">
        <v>18</v>
      </c>
      <c r="V2" s="127" t="s">
        <v>13</v>
      </c>
      <c r="W2" s="128" t="s">
        <v>14</v>
      </c>
      <c r="X2" s="129" t="s">
        <v>15</v>
      </c>
      <c r="Y2" s="130" t="s">
        <v>21</v>
      </c>
      <c r="Z2" s="131" t="s">
        <v>33</v>
      </c>
    </row>
    <row r="3" spans="1:26" ht="26.1" customHeight="1">
      <c r="A3" s="146">
        <f>IF(分析!C122&lt;&gt;"",ROW()-2,"")</f>
        <v>1</v>
      </c>
      <c r="B3" s="147" t="str">
        <f>IF(分析!C122&lt;&gt;"",HYPERLINK("https://kabutan.jp/stock/?code="&amp;分析!C122,"株探"),"")</f>
        <v>株探</v>
      </c>
      <c r="C3" s="148">
        <f>IF(分析!C122&lt;&gt;"",分析!C122,"")</f>
        <v>1662</v>
      </c>
      <c r="D3" s="149" t="str">
        <f>IF(分析!D122&lt;&gt;"",分析!D122,"")</f>
        <v>石油資源開発</v>
      </c>
      <c r="E3" s="150">
        <f>IF(分析!E122&lt;&gt;"",分析!E122,"")</f>
        <v>1645</v>
      </c>
      <c r="F3" s="151">
        <f>IF(分析!F122&lt;&gt;"",分析!F122,"")</f>
        <v>1636</v>
      </c>
      <c r="G3" s="151">
        <f>IF(分析!H122&lt;&gt;"",分析!H122,"")</f>
        <v>1660</v>
      </c>
      <c r="H3" s="151">
        <f>IF(分析!I122&lt;&gt;"",分析!I122,"")</f>
        <v>1621</v>
      </c>
      <c r="I3" s="151">
        <f>IF(分析!J122&lt;&gt;"",分析!J122,"")</f>
        <v>1154600</v>
      </c>
      <c r="J3" s="151">
        <f>IF(分析!AB122&lt;&gt;"",分析!AB122,"")</f>
        <v>1525.4297352342153</v>
      </c>
      <c r="K3" s="151">
        <f>IF(分析!AC122&lt;&gt;"",分析!AC122,"")</f>
        <v>1520.6483909415967</v>
      </c>
      <c r="L3" s="151">
        <f>IF(分析!K122&lt;&gt;"",分析!K122,"")</f>
        <v>2819</v>
      </c>
      <c r="M3" s="146" t="str">
        <f>IF(分析!P122&lt;&gt;"",分析!P122,"")</f>
        <v>減少↓</v>
      </c>
      <c r="N3" s="152">
        <f>IF(分析!O122&lt;&gt;"",分析!O122,"")</f>
        <v>0.77590957353870138</v>
      </c>
      <c r="O3" s="153">
        <f>IF(分析!X122&lt;&gt;"",分析!X122,"")</f>
        <v>-40.992252397119501</v>
      </c>
      <c r="P3" s="154">
        <f>IF(分析!L122&lt;&gt;"",分析!L122,"")</f>
        <v>-41.645973749556582</v>
      </c>
      <c r="Q3" s="151">
        <f>IF(分析!S122&lt;&gt;"",分析!S122,"")</f>
        <v>1579</v>
      </c>
      <c r="R3" s="151">
        <f>IF(分析!R122&lt;&gt;"",分析!R122,"")</f>
        <v>1777</v>
      </c>
      <c r="S3" s="146" t="str">
        <f>IF(分析!AA122&lt;&gt;"",分析!AA122,"")</f>
        <v>下落▼</v>
      </c>
      <c r="T3" s="155">
        <f>IF(分析!Z122&lt;&gt;"",分析!Z122,"")</f>
        <v>-0.18203883495145631</v>
      </c>
      <c r="U3" s="146" t="str">
        <f>IF(分析!V122&lt;&gt;"",分析!V122,"")</f>
        <v>通常</v>
      </c>
      <c r="V3" s="156">
        <f>IF(分析!W122&lt;&gt;"",分析!W122,"")</f>
        <v>23.033707865168537</v>
      </c>
      <c r="W3" s="157" t="str">
        <f>IF(分析!AD122&lt;&gt;"",分析!AD122,"")</f>
        <v>パーフェクト▲</v>
      </c>
      <c r="X3" s="158" t="str">
        <f>IF(分析!AE122&lt;&gt;"",分析!AE122,"")</f>
        <v>なし</v>
      </c>
      <c r="Y3" s="159">
        <f>IF(分析!T122&lt;&gt;"",分析!T122,"")</f>
        <v>4</v>
      </c>
      <c r="Z3" s="160" t="str">
        <f>IF(分析!Y122&lt;&gt;"",分析!Y122,"")</f>
        <v>様子見</v>
      </c>
    </row>
    <row r="4" spans="1:26" ht="21.95" customHeight="1">
      <c r="A4" s="146">
        <f>IF(分析!C180&lt;&gt;"",ROW()-2,"")</f>
        <v>2</v>
      </c>
      <c r="B4" s="147" t="str">
        <f>IF(分析!C180&lt;&gt;"",HYPERLINK("https://kabutan.jp/stock/?code="&amp;分析!C180,"株探"),"")</f>
        <v>株探</v>
      </c>
      <c r="C4" s="148">
        <f>IF(分析!C180&lt;&gt;"",分析!C180,"")</f>
        <v>1833</v>
      </c>
      <c r="D4" s="149" t="str">
        <f>IF(分析!D180&lt;&gt;"",分析!D180,"")</f>
        <v>奥村組</v>
      </c>
      <c r="E4" s="150">
        <f>IF(分析!E180&lt;&gt;"",分析!E180,"")</f>
        <v>5700</v>
      </c>
      <c r="F4" s="151">
        <f>IF(分析!F180&lt;&gt;"",分析!F180,"")</f>
        <v>5760</v>
      </c>
      <c r="G4" s="151">
        <f>IF(分析!H180&lt;&gt;"",分析!H180,"")</f>
        <v>5790</v>
      </c>
      <c r="H4" s="151">
        <f>IF(分析!I180&lt;&gt;"",分析!I180,"")</f>
        <v>5700</v>
      </c>
      <c r="I4" s="151">
        <f>IF(分析!J180&lt;&gt;"",分析!J180,"")</f>
        <v>53400</v>
      </c>
      <c r="J4" s="151">
        <f>IF(分析!AB180&lt;&gt;"",分析!AB180,"")</f>
        <v>2198.2973523421583</v>
      </c>
      <c r="K4" s="151">
        <f>IF(分析!AC180&lt;&gt;"",分析!AC180,"")</f>
        <v>2183.3003575685334</v>
      </c>
      <c r="L4" s="151">
        <f>IF(分析!K180&lt;&gt;"",分析!K180,"")</f>
        <v>7490</v>
      </c>
      <c r="M4" s="146" t="str">
        <f>IF(分析!P180&lt;&gt;"",分析!P180,"")</f>
        <v>減少↓</v>
      </c>
      <c r="N4" s="152">
        <f>IF(分析!O180&lt;&gt;"",分析!O180,"")</f>
        <v>0.55474755869520054</v>
      </c>
      <c r="O4" s="153">
        <f>IF(分析!X180&lt;&gt;"",分析!X180,"")</f>
        <v>-13.858835610712049</v>
      </c>
      <c r="P4" s="154">
        <f>IF(分析!L180&lt;&gt;"",分析!L180,"")</f>
        <v>-23.89853137516689</v>
      </c>
      <c r="Q4" s="151">
        <f>IF(分析!S180&lt;&gt;"",分析!S180,"")</f>
        <v>5472</v>
      </c>
      <c r="R4" s="151">
        <f>IF(分析!R180&lt;&gt;"",分析!R180,"")</f>
        <v>6156</v>
      </c>
      <c r="S4" s="146" t="str">
        <f>IF(分析!AA180&lt;&gt;"",分析!AA180,"")</f>
        <v>下落▼</v>
      </c>
      <c r="T4" s="155">
        <f>IF(分析!Z180&lt;&gt;"",分析!Z180,"")</f>
        <v>-0.34965034965034963</v>
      </c>
      <c r="U4" s="146" t="str">
        <f>IF(分析!V180&lt;&gt;"",分析!V180,"")</f>
        <v>通常</v>
      </c>
      <c r="V4" s="156">
        <f>IF(分析!W180&lt;&gt;"",分析!W180,"")</f>
        <v>64.444444444444443</v>
      </c>
      <c r="W4" s="157" t="str">
        <f>IF(分析!AD180&lt;&gt;"",分析!AD180,"")</f>
        <v>パーフェクト▲</v>
      </c>
      <c r="X4" s="158" t="str">
        <f>IF(分析!AE180&lt;&gt;"",分析!AE180,"")</f>
        <v>なし</v>
      </c>
      <c r="Y4" s="159">
        <f>IF(分析!T180&lt;&gt;"",分析!T180,"")</f>
        <v>1</v>
      </c>
      <c r="Z4" s="160" t="str">
        <f>IF(分析!Y180&lt;&gt;"",分析!Y180,"")</f>
        <v>見送り</v>
      </c>
    </row>
    <row r="5" spans="1:26" ht="21.95" customHeight="1">
      <c r="A5" s="161">
        <f>IF(分析!C181&lt;&gt;"",ROW()-2,"")</f>
        <v>3</v>
      </c>
      <c r="B5" s="162" t="str">
        <f>IF(分析!C181&lt;&gt;"",HYPERLINK("https://kabutan.jp/stock/?code="&amp;分析!C181,"株探"),"")</f>
        <v>株探</v>
      </c>
      <c r="C5" s="163">
        <f>IF(分析!C181&lt;&gt;"",分析!C181,"")</f>
        <v>1925</v>
      </c>
      <c r="D5" s="164" t="str">
        <f>IF(分析!D181&lt;&gt;"",分析!D181,"")</f>
        <v>大和ハウス</v>
      </c>
      <c r="E5" s="165">
        <f>IF(分析!E181&lt;&gt;"",分析!E181,"")</f>
        <v>4358</v>
      </c>
      <c r="F5" s="166">
        <f>IF(分析!F181&lt;&gt;"",分析!F181,"")</f>
        <v>4400</v>
      </c>
      <c r="G5" s="166">
        <f>IF(分析!H181&lt;&gt;"",分析!H181,"")</f>
        <v>4435</v>
      </c>
      <c r="H5" s="166">
        <f>IF(分析!I181&lt;&gt;"",分析!I181,"")</f>
        <v>4358</v>
      </c>
      <c r="I5" s="166">
        <f>IF(分析!J181&lt;&gt;"",分析!J181,"")</f>
        <v>2281300</v>
      </c>
      <c r="J5" s="166">
        <f>IF(分析!AB181&lt;&gt;"",分析!AB181,"")</f>
        <v>14585.773930753561</v>
      </c>
      <c r="K5" s="166">
        <f>IF(分析!AC181&lt;&gt;"",分析!AC181,"")</f>
        <v>14270.7032181168</v>
      </c>
      <c r="L5" s="166">
        <f>IF(分析!K181&lt;&gt;"",分析!K181,"")</f>
        <v>5805</v>
      </c>
      <c r="M5" s="161" t="str">
        <f>IF(分析!P181&lt;&gt;"",分析!P181,"")</f>
        <v>減少↓</v>
      </c>
      <c r="N5" s="167">
        <f>IF(分析!O181&lt;&gt;"",分析!O181,"")</f>
        <v>0.9538962016424426</v>
      </c>
      <c r="O5" s="168">
        <f>IF(分析!X181&lt;&gt;"",分析!X181,"")</f>
        <v>-29.991834468372872</v>
      </c>
      <c r="P5" s="169">
        <f>IF(分析!L181&lt;&gt;"",分析!L181,"")</f>
        <v>-24.926787252368648</v>
      </c>
      <c r="Q5" s="166">
        <f>IF(分析!S181&lt;&gt;"",分析!S181,"")</f>
        <v>4184</v>
      </c>
      <c r="R5" s="166">
        <f>IF(分析!R181&lt;&gt;"",分析!R181,"")</f>
        <v>4707</v>
      </c>
      <c r="S5" s="161" t="str">
        <f>IF(分析!AA181&lt;&gt;"",分析!AA181,"")</f>
        <v>上昇▲</v>
      </c>
      <c r="T5" s="170">
        <f>IF(分析!Z181&lt;&gt;"",分析!Z181,"")</f>
        <v>0.2761159687068569</v>
      </c>
      <c r="U5" s="161" t="str">
        <f>IF(分析!V181&lt;&gt;"",分析!V181,"")</f>
        <v>通常</v>
      </c>
      <c r="V5" s="171">
        <f>IF(分析!W181&lt;&gt;"",分析!W181,"")</f>
        <v>44.310575635876837</v>
      </c>
      <c r="W5" s="172" t="str">
        <f>IF(分析!AD181&lt;&gt;"",分析!AD181,"")</f>
        <v>もみ合い→</v>
      </c>
      <c r="X5" s="173" t="str">
        <f>IF(分析!AE181&lt;&gt;"",分析!AE181,"")</f>
        <v>なし</v>
      </c>
      <c r="Y5" s="174">
        <f>IF(分析!T181&lt;&gt;"",分析!T181,"")</f>
        <v>0</v>
      </c>
      <c r="Z5" s="160" t="str">
        <f>IF(分析!Y181&lt;&gt;"",分析!Y181,"")</f>
        <v>見送り</v>
      </c>
    </row>
    <row r="6" spans="1:26" ht="21.95" customHeight="1">
      <c r="A6" s="146">
        <f>IF(分析!C32&lt;&gt;"",ROW()-2,"")</f>
        <v>4</v>
      </c>
      <c r="B6" s="147" t="str">
        <f>IF(分析!C32&lt;&gt;"",HYPERLINK("https://kabutan.jp/stock/?code="&amp;分析!C32,"株探"),"")</f>
        <v>株探</v>
      </c>
      <c r="C6" s="148">
        <f>IF(分析!C32&lt;&gt;"",分析!C32,"")</f>
        <v>1942</v>
      </c>
      <c r="D6" s="149" t="str">
        <f>IF(分析!D32&lt;&gt;"",分析!D32,"")</f>
        <v>関電工</v>
      </c>
      <c r="E6" s="150">
        <f>IF(分析!E32&lt;&gt;"",分析!E32,"")</f>
        <v>6467</v>
      </c>
      <c r="F6" s="151">
        <f>IF(分析!F32&lt;&gt;"",分析!F32,"")</f>
        <v>6400</v>
      </c>
      <c r="G6" s="151">
        <f>IF(分析!H32&lt;&gt;"",分析!H32,"")</f>
        <v>6500</v>
      </c>
      <c r="H6" s="151">
        <f>IF(分析!I32&lt;&gt;"",分析!I32,"")</f>
        <v>6388</v>
      </c>
      <c r="I6" s="151">
        <f>IF(分析!J32&lt;&gt;"",分析!J32,"")</f>
        <v>836500</v>
      </c>
      <c r="J6" s="151">
        <f>IF(分析!AB32&lt;&gt;"",分析!AB32,"")</f>
        <v>4314.1099796333992</v>
      </c>
      <c r="K6" s="151">
        <f>IF(分析!AC32&lt;&gt;"",分析!AC32,"")</f>
        <v>4247.9558998808088</v>
      </c>
      <c r="L6" s="151">
        <f>IF(分析!K32&lt;&gt;"",分析!K32,"")</f>
        <v>7460</v>
      </c>
      <c r="M6" s="146" t="str">
        <f>IF(分析!P32&lt;&gt;"",分析!P32,"")</f>
        <v>減少↓</v>
      </c>
      <c r="N6" s="152">
        <f>IF(分析!O32&lt;&gt;"",分析!O32,"")</f>
        <v>0.85684141519677137</v>
      </c>
      <c r="O6" s="153">
        <f>IF(分析!X32&lt;&gt;"",分析!X32,"")</f>
        <v>-70.312264417544611</v>
      </c>
      <c r="P6" s="154">
        <f>IF(分析!L32&lt;&gt;"",分析!L32,"")</f>
        <v>-13.310991957104557</v>
      </c>
      <c r="Q6" s="151">
        <f>IF(分析!S32&lt;&gt;"",分析!S32,"")</f>
        <v>6208</v>
      </c>
      <c r="R6" s="151">
        <f>IF(分析!R32&lt;&gt;"",分析!R32,"")</f>
        <v>6984</v>
      </c>
      <c r="S6" s="146" t="str">
        <f>IF(分析!AA32&lt;&gt;"",分析!AA32,"")</f>
        <v>上昇▲</v>
      </c>
      <c r="T6" s="155">
        <f>IF(分析!Z32&lt;&gt;"",分析!Z32,"")</f>
        <v>3.6876703543370208</v>
      </c>
      <c r="U6" s="146" t="str">
        <f>IF(分析!V32&lt;&gt;"",分析!V32,"")</f>
        <v>通常</v>
      </c>
      <c r="V6" s="156">
        <f>IF(分析!W32&lt;&gt;"",分析!W32,"")</f>
        <v>44.608100999473955</v>
      </c>
      <c r="W6" s="157" t="str">
        <f>IF(分析!AD32&lt;&gt;"",分析!AD32,"")</f>
        <v>パーフェクト▲</v>
      </c>
      <c r="X6" s="158" t="str">
        <f>IF(分析!AE32&lt;&gt;"",分析!AE32,"")</f>
        <v>なし</v>
      </c>
      <c r="Y6" s="159">
        <f>IF(分析!T32&lt;&gt;"",分析!T32,"")</f>
        <v>3</v>
      </c>
      <c r="Z6" s="160" t="str">
        <f>IF(分析!Y32&lt;&gt;"",分析!Y32,"")</f>
        <v>様子見</v>
      </c>
    </row>
    <row r="7" spans="1:26" ht="21.95" customHeight="1">
      <c r="A7" s="161">
        <f>IF(分析!C51&lt;&gt;"",ROW()-2,"")</f>
        <v>5</v>
      </c>
      <c r="B7" s="162" t="str">
        <f>IF(分析!C51&lt;&gt;"",HYPERLINK("https://kabutan.jp/stock/?code="&amp;分析!C51,"株探"),"")</f>
        <v>株探</v>
      </c>
      <c r="C7" s="163">
        <f>IF(分析!C51&lt;&gt;"",分析!C51,"")</f>
        <v>1961</v>
      </c>
      <c r="D7" s="164" t="str">
        <f>IF(分析!D51&lt;&gt;"",分析!D51,"")</f>
        <v>三機工業</v>
      </c>
      <c r="E7" s="165">
        <f>IF(分析!E51&lt;&gt;"",分析!E51,"")</f>
        <v>2700</v>
      </c>
      <c r="F7" s="166">
        <f>IF(分析!F51&lt;&gt;"",分析!F51,"")</f>
        <v>2650</v>
      </c>
      <c r="G7" s="166">
        <f>IF(分析!H51&lt;&gt;"",分析!H51,"")</f>
        <v>2700</v>
      </c>
      <c r="H7" s="166">
        <f>IF(分析!I51&lt;&gt;"",分析!I51,"")</f>
        <v>2639</v>
      </c>
      <c r="I7" s="166">
        <f>IF(分析!J51&lt;&gt;"",分析!J51,"")</f>
        <v>376500</v>
      </c>
      <c r="J7" s="166">
        <f>IF(分析!AB51&lt;&gt;"",分析!AB51,"")</f>
        <v>7274.6364562118106</v>
      </c>
      <c r="K7" s="166">
        <f>IF(分析!AC51&lt;&gt;"",分析!AC51,"")</f>
        <v>7075.3003575685298</v>
      </c>
      <c r="L7" s="166">
        <f>IF(分析!K51&lt;&gt;"",分析!K51,"")</f>
        <v>2730</v>
      </c>
      <c r="M7" s="161" t="str">
        <f>IF(分析!P51&lt;&gt;"",分析!P51,"")</f>
        <v>減少↓</v>
      </c>
      <c r="N7" s="167">
        <f>IF(分析!O51&lt;&gt;"",分析!O51,"")</f>
        <v>0.61279296875</v>
      </c>
      <c r="O7" s="168">
        <f>IF(分析!X51&lt;&gt;"",分析!X51,"")</f>
        <v>22.375142792320275</v>
      </c>
      <c r="P7" s="169">
        <f>IF(分析!L51&lt;&gt;"",分析!L51,"")</f>
        <v>-1.098901098901099</v>
      </c>
      <c r="Q7" s="166">
        <f>IF(分析!S51&lt;&gt;"",分析!S51,"")</f>
        <v>2592</v>
      </c>
      <c r="R7" s="166">
        <f>IF(分析!R51&lt;&gt;"",分析!R51,"")</f>
        <v>2916</v>
      </c>
      <c r="S7" s="161" t="str">
        <f>IF(分析!AA51&lt;&gt;"",分析!AA51,"")</f>
        <v>上昇▲</v>
      </c>
      <c r="T7" s="170">
        <f>IF(分析!Z51&lt;&gt;"",分析!Z51,"")</f>
        <v>4.2471042471042466</v>
      </c>
      <c r="U7" s="161" t="str">
        <f>IF(分析!V51&lt;&gt;"",分析!V51,"")</f>
        <v>高値圏</v>
      </c>
      <c r="V7" s="171">
        <f>IF(分析!W51&lt;&gt;"",分析!W51,"")</f>
        <v>76.556291390728475</v>
      </c>
      <c r="W7" s="172" t="str">
        <f>IF(分析!AD51&lt;&gt;"",分析!AD51,"")</f>
        <v>もみ合い→</v>
      </c>
      <c r="X7" s="173" t="str">
        <f>IF(分析!AE51&lt;&gt;"",分析!AE51,"")</f>
        <v>なし</v>
      </c>
      <c r="Y7" s="174">
        <f>IF(分析!T51&lt;&gt;"",分析!T51,"")</f>
        <v>6</v>
      </c>
      <c r="Z7" s="160" t="str">
        <f>IF(分析!Y51&lt;&gt;"",分析!Y51,"")</f>
        <v>△注目</v>
      </c>
    </row>
    <row r="8" spans="1:26" ht="21.95" customHeight="1">
      <c r="A8" s="161">
        <f>IF(分析!C187&lt;&gt;"",ROW()-2,"")</f>
        <v>6</v>
      </c>
      <c r="B8" s="162" t="str">
        <f>IF(分析!C187&lt;&gt;"",HYPERLINK("https://kabutan.jp/stock/?code="&amp;分析!C187,"株探"),"")</f>
        <v>株探</v>
      </c>
      <c r="C8" s="163">
        <f>IF(分析!C187&lt;&gt;"",分析!C187,"")</f>
        <v>2160</v>
      </c>
      <c r="D8" s="164" t="str">
        <f>IF(分析!D187&lt;&gt;"",分析!D187,"")</f>
        <v>ジーエヌアイグループ</v>
      </c>
      <c r="E8" s="165">
        <f>IF(分析!E187&lt;&gt;"",分析!E187,"")</f>
        <v>2542</v>
      </c>
      <c r="F8" s="166">
        <f>IF(分析!F187&lt;&gt;"",分析!F187,"")</f>
        <v>2500</v>
      </c>
      <c r="G8" s="166">
        <f>IF(分析!H187&lt;&gt;"",分析!H187,"")</f>
        <v>2595</v>
      </c>
      <c r="H8" s="166">
        <f>IF(分析!I187&lt;&gt;"",分析!I187,"")</f>
        <v>2500</v>
      </c>
      <c r="I8" s="166">
        <f>IF(分析!J187&lt;&gt;"",分析!J187,"")</f>
        <v>850200</v>
      </c>
      <c r="J8" s="166">
        <f>IF(分析!AB187&lt;&gt;"",分析!AB187,"")</f>
        <v>1783.5122199592668</v>
      </c>
      <c r="K8" s="166">
        <f>IF(分析!AC187&lt;&gt;"",分析!AC187,"")</f>
        <v>1786.4404052443381</v>
      </c>
      <c r="L8" s="166">
        <f>IF(分析!K187&lt;&gt;"",分析!K187,"")</f>
        <v>3740</v>
      </c>
      <c r="M8" s="161" t="str">
        <f>IF(分析!P187&lt;&gt;"",分析!P187,"")</f>
        <v>減少↓</v>
      </c>
      <c r="N8" s="167">
        <f>IF(分析!O187&lt;&gt;"",分析!O187,"")</f>
        <v>0.61371215730434403</v>
      </c>
      <c r="O8" s="168">
        <f>IF(分析!X187&lt;&gt;"",分析!X187,"")</f>
        <v>-29.731835025612327</v>
      </c>
      <c r="P8" s="169">
        <f>IF(分析!L187&lt;&gt;"",分析!L187,"")</f>
        <v>-32.032085561497325</v>
      </c>
      <c r="Q8" s="166">
        <f>IF(分析!S187&lt;&gt;"",分析!S187,"")</f>
        <v>2440</v>
      </c>
      <c r="R8" s="166">
        <f>IF(分析!R187&lt;&gt;"",分析!R187,"")</f>
        <v>2745</v>
      </c>
      <c r="S8" s="161" t="str">
        <f>IF(分析!AA187&lt;&gt;"",分析!AA187,"")</f>
        <v>上昇▲</v>
      </c>
      <c r="T8" s="170">
        <f>IF(分析!Z187&lt;&gt;"",分析!Z187,"")</f>
        <v>1.965503409546731</v>
      </c>
      <c r="U8" s="161" t="str">
        <f>IF(分析!V187&lt;&gt;"",分析!V187,"")</f>
        <v>通常</v>
      </c>
      <c r="V8" s="171">
        <f>IF(分析!W187&lt;&gt;"",分析!W187,"")</f>
        <v>31.400437636761495</v>
      </c>
      <c r="W8" s="172" t="str">
        <f>IF(分析!AD187&lt;&gt;"",分析!AD187,"")</f>
        <v>上昇トレンド▲</v>
      </c>
      <c r="X8" s="173" t="str">
        <f>IF(分析!AE187&lt;&gt;"",分析!AE187,"")</f>
        <v>なし</v>
      </c>
      <c r="Y8" s="174">
        <f>IF(分析!T187&lt;&gt;"",分析!T187,"")</f>
        <v>3</v>
      </c>
      <c r="Z8" s="160" t="str">
        <f>IF(分析!Y187&lt;&gt;"",分析!Y187,"")</f>
        <v>様子見</v>
      </c>
    </row>
    <row r="9" spans="1:26" ht="21.95" customHeight="1">
      <c r="A9" s="146">
        <f>IF(分析!C154&lt;&gt;"",ROW()-2,"")</f>
        <v>7</v>
      </c>
      <c r="B9" s="147" t="str">
        <f>IF(分析!C154&lt;&gt;"",HYPERLINK("https://kabutan.jp/stock/?code="&amp;分析!C154,"株探"),"")</f>
        <v>株探</v>
      </c>
      <c r="C9" s="148">
        <f>IF(分析!C154&lt;&gt;"",分析!C154,"")</f>
        <v>2327</v>
      </c>
      <c r="D9" s="149" t="str">
        <f>IF(分析!D154&lt;&gt;"",分析!D154,"")</f>
        <v>日鉄ソリューションズ</v>
      </c>
      <c r="E9" s="150">
        <f>IF(分析!E154&lt;&gt;"",分析!E154,"")</f>
        <v>3135</v>
      </c>
      <c r="F9" s="151">
        <f>IF(分析!F154&lt;&gt;"",分析!F154,"")</f>
        <v>3133</v>
      </c>
      <c r="G9" s="151">
        <f>IF(分析!H154&lt;&gt;"",分析!H154,"")</f>
        <v>3167</v>
      </c>
      <c r="H9" s="151">
        <f>IF(分析!I154&lt;&gt;"",分析!I154,"")</f>
        <v>3086</v>
      </c>
      <c r="I9" s="151">
        <f>IF(分析!J154&lt;&gt;"",分析!J154,"")</f>
        <v>325900</v>
      </c>
      <c r="J9" s="151">
        <f>IF(分析!AB154&lt;&gt;"",分析!AB154,"")</f>
        <v>2476.9195519348264</v>
      </c>
      <c r="K9" s="151">
        <f>IF(分析!AC154&lt;&gt;"",分析!AC154,"")</f>
        <v>2462.0309892729433</v>
      </c>
      <c r="L9" s="151">
        <f>IF(分析!K154&lt;&gt;"",分析!K154,"")</f>
        <v>4655</v>
      </c>
      <c r="M9" s="146" t="str">
        <f>IF(分析!P154&lt;&gt;"",分析!P154,"")</f>
        <v>普通→</v>
      </c>
      <c r="N9" s="152">
        <f>IF(分析!O154&lt;&gt;"",分析!O154,"")</f>
        <v>1.2156818860041778</v>
      </c>
      <c r="O9" s="153">
        <f>IF(分析!X154&lt;&gt;"",分析!X154,"")</f>
        <v>-51.756590338281967</v>
      </c>
      <c r="P9" s="154">
        <f>IF(分析!L154&lt;&gt;"",分析!L154,"")</f>
        <v>-32.653061224489797</v>
      </c>
      <c r="Q9" s="151">
        <f>IF(分析!S154&lt;&gt;"",分析!S154,"")</f>
        <v>3010</v>
      </c>
      <c r="R9" s="151">
        <f>IF(分析!R154&lt;&gt;"",分析!R154,"")</f>
        <v>3386</v>
      </c>
      <c r="S9" s="146" t="str">
        <f>IF(分析!AA154&lt;&gt;"",分析!AA154,"")</f>
        <v>上昇▲</v>
      </c>
      <c r="T9" s="155">
        <f>IF(分析!Z154&lt;&gt;"",分析!Z154,"")</f>
        <v>0.48076923076923078</v>
      </c>
      <c r="U9" s="146" t="str">
        <f>IF(分析!V154&lt;&gt;"",分析!V154,"")</f>
        <v>通常</v>
      </c>
      <c r="V9" s="156">
        <f>IF(分析!W154&lt;&gt;"",分析!W154,"")</f>
        <v>12.798874824191273</v>
      </c>
      <c r="W9" s="157" t="str">
        <f>IF(分析!AD154&lt;&gt;"",分析!AD154,"")</f>
        <v>パーフェクト▲</v>
      </c>
      <c r="X9" s="158" t="str">
        <f>IF(分析!AE154&lt;&gt;"",分析!AE154,"")</f>
        <v>なし</v>
      </c>
      <c r="Y9" s="159">
        <f>IF(分析!T154&lt;&gt;"",分析!T154,"")</f>
        <v>6</v>
      </c>
      <c r="Z9" s="160" t="str">
        <f>IF(分析!Y154&lt;&gt;"",分析!Y154,"")</f>
        <v>△注目</v>
      </c>
    </row>
    <row r="10" spans="1:26" ht="21.95" customHeight="1">
      <c r="A10" s="161">
        <f>IF(分析!C23&lt;&gt;"",ROW()-2,"")</f>
        <v>8</v>
      </c>
      <c r="B10" s="162" t="str">
        <f>IF(分析!C23&lt;&gt;"",HYPERLINK("https://kabutan.jp/stock/?code="&amp;分析!C23,"株探"),"")</f>
        <v>株探</v>
      </c>
      <c r="C10" s="163">
        <f>IF(分析!C23&lt;&gt;"",分析!C23,"")</f>
        <v>2802</v>
      </c>
      <c r="D10" s="164" t="str">
        <f>IF(分析!D23&lt;&gt;"",分析!D23,"")</f>
        <v>味の素</v>
      </c>
      <c r="E10" s="165">
        <f>IF(分析!E23&lt;&gt;"",分析!E23,"")</f>
        <v>5340</v>
      </c>
      <c r="F10" s="166">
        <f>IF(分析!F23&lt;&gt;"",分析!F23,"")</f>
        <v>5187</v>
      </c>
      <c r="G10" s="166">
        <f>IF(分析!H23&lt;&gt;"",分析!H23,"")</f>
        <v>5350</v>
      </c>
      <c r="H10" s="166">
        <f>IF(分析!I23&lt;&gt;"",分析!I23,"")</f>
        <v>5084</v>
      </c>
      <c r="I10" s="166">
        <f>IF(分析!J23&lt;&gt;"",分析!J23,"")</f>
        <v>7021300</v>
      </c>
      <c r="J10" s="166">
        <f>IF(分析!AB23&lt;&gt;"",分析!AB23,"")</f>
        <v>6471.7515274949074</v>
      </c>
      <c r="K10" s="166">
        <f>IF(分析!AC23&lt;&gt;"",分析!AC23,"")</f>
        <v>6774.2586412395685</v>
      </c>
      <c r="L10" s="166">
        <f>IF(分析!K23&lt;&gt;"",分析!K23,"")</f>
        <v>5739</v>
      </c>
      <c r="M10" s="161" t="str">
        <f>IF(分析!P23&lt;&gt;"",分析!P23,"")</f>
        <v>普通→</v>
      </c>
      <c r="N10" s="167">
        <f>IF(分析!O23&lt;&gt;"",分析!O23,"")</f>
        <v>1.1591659512646106</v>
      </c>
      <c r="O10" s="168">
        <f>IF(分析!X23&lt;&gt;"",分析!X23,"")</f>
        <v>-23.812716178616938</v>
      </c>
      <c r="P10" s="169">
        <f>IF(分析!L23&lt;&gt;"",分析!L23,"")</f>
        <v>-6.9524307370622056</v>
      </c>
      <c r="Q10" s="166">
        <f>IF(分析!S23&lt;&gt;"",分析!S23,"")</f>
        <v>5126</v>
      </c>
      <c r="R10" s="166">
        <f>IF(分析!R23&lt;&gt;"",分析!R23,"")</f>
        <v>5767</v>
      </c>
      <c r="S10" s="161" t="str">
        <f>IF(分析!AA23&lt;&gt;"",分析!AA23,"")</f>
        <v>上昇▲</v>
      </c>
      <c r="T10" s="170">
        <f>IF(分析!Z23&lt;&gt;"",分析!Z23,"")</f>
        <v>3.7699183832102605</v>
      </c>
      <c r="U10" s="161" t="str">
        <f>IF(分析!V23&lt;&gt;"",分析!V23,"")</f>
        <v>通常</v>
      </c>
      <c r="V10" s="171">
        <f>IF(分析!W23&lt;&gt;"",分析!W23,"")</f>
        <v>40.108238123872518</v>
      </c>
      <c r="W10" s="172" t="str">
        <f>IF(分析!AD23&lt;&gt;"",分析!AD23,"")</f>
        <v>下降トレンド▼</v>
      </c>
      <c r="X10" s="173" t="str">
        <f>IF(分析!AE23&lt;&gt;"",分析!AE23,"")</f>
        <v>なし</v>
      </c>
      <c r="Y10" s="174">
        <f>IF(分析!T23&lt;&gt;"",分析!T23,"")</f>
        <v>1</v>
      </c>
      <c r="Z10" s="160" t="str">
        <f>IF(分析!Y23&lt;&gt;"",分析!Y23,"")</f>
        <v>見送り</v>
      </c>
    </row>
    <row r="11" spans="1:26" ht="21.95" customHeight="1">
      <c r="A11" s="161">
        <f>IF(分析!C81&lt;&gt;"",ROW()-2,"")</f>
        <v>9</v>
      </c>
      <c r="B11" s="162" t="str">
        <f>IF(分析!C81&lt;&gt;"",HYPERLINK("https://kabutan.jp/stock/?code="&amp;分析!C81,"株探"),"")</f>
        <v>株探</v>
      </c>
      <c r="C11" s="163">
        <f>IF(分析!C81&lt;&gt;"",分析!C81,"")</f>
        <v>3103</v>
      </c>
      <c r="D11" s="164" t="str">
        <f>IF(分析!D81&lt;&gt;"",分析!D81,"")</f>
        <v>ユニチカ</v>
      </c>
      <c r="E11" s="165">
        <f>IF(分析!E81&lt;&gt;"",分析!E81,"")</f>
        <v>1236</v>
      </c>
      <c r="F11" s="166">
        <f>IF(分析!F81&lt;&gt;"",分析!F81,"")</f>
        <v>1125</v>
      </c>
      <c r="G11" s="166">
        <f>IF(分析!H81&lt;&gt;"",分析!H81,"")</f>
        <v>1260</v>
      </c>
      <c r="H11" s="166">
        <f>IF(分析!I81&lt;&gt;"",分析!I81,"")</f>
        <v>1125</v>
      </c>
      <c r="I11" s="166">
        <f>IF(分析!J81&lt;&gt;"",分析!J81,"")</f>
        <v>6382500</v>
      </c>
      <c r="J11" s="166">
        <f>IF(分析!AB81&lt;&gt;"",分析!AB81,"")</f>
        <v>4325.3818737270876</v>
      </c>
      <c r="K11" s="166">
        <f>IF(分析!AC81&lt;&gt;"",分析!AC81,"")</f>
        <v>4350.3396901072692</v>
      </c>
      <c r="L11" s="166">
        <f>IF(分析!K81&lt;&gt;"",分析!K81,"")</f>
        <v>4380</v>
      </c>
      <c r="M11" s="161" t="str">
        <f>IF(分析!P81&lt;&gt;"",分析!P81,"")</f>
        <v>普通→</v>
      </c>
      <c r="N11" s="167">
        <f>IF(分析!O81&lt;&gt;"",分析!O81,"")</f>
        <v>1.3916082696307797</v>
      </c>
      <c r="O11" s="168">
        <f>IF(分析!X81&lt;&gt;"",分析!X81,"")</f>
        <v>-56.287797674723834</v>
      </c>
      <c r="P11" s="169">
        <f>IF(分析!L81&lt;&gt;"",分析!L81,"")</f>
        <v>-71.780821917808225</v>
      </c>
      <c r="Q11" s="166">
        <f>IF(分析!S81&lt;&gt;"",分析!S81,"")</f>
        <v>1187</v>
      </c>
      <c r="R11" s="166">
        <f>IF(分析!R81&lt;&gt;"",分析!R81,"")</f>
        <v>1335</v>
      </c>
      <c r="S11" s="161" t="str">
        <f>IF(分析!AA81&lt;&gt;"",分析!AA81,"")</f>
        <v>上昇▲</v>
      </c>
      <c r="T11" s="170">
        <f>IF(分析!Z81&lt;&gt;"",分析!Z81,"")</f>
        <v>9.4774136403897256</v>
      </c>
      <c r="U11" s="161" t="str">
        <f>IF(分析!V81&lt;&gt;"",分析!V81,"")</f>
        <v>通常</v>
      </c>
      <c r="V11" s="171">
        <f>IF(分析!W81&lt;&gt;"",分析!W81,"")</f>
        <v>19.701086956521735</v>
      </c>
      <c r="W11" s="172" t="str">
        <f>IF(分析!AD81&lt;&gt;"",分析!AD81,"")</f>
        <v>下降トレンド▼</v>
      </c>
      <c r="X11" s="173" t="str">
        <f>IF(分析!AE81&lt;&gt;"",分析!AE81,"")</f>
        <v>なし</v>
      </c>
      <c r="Y11" s="174">
        <f>IF(分析!T81&lt;&gt;"",分析!T81,"")</f>
        <v>3</v>
      </c>
      <c r="Z11" s="160" t="str">
        <f>IF(分析!Y81&lt;&gt;"",分析!Y81,"")</f>
        <v>様子見</v>
      </c>
    </row>
    <row r="12" spans="1:26" ht="21.95" customHeight="1">
      <c r="A12" s="161">
        <f>IF(分析!C183&lt;&gt;"",ROW()-2,"")</f>
        <v>10</v>
      </c>
      <c r="B12" s="162" t="str">
        <f>IF(分析!C183&lt;&gt;"",HYPERLINK("https://kabutan.jp/stock/?code="&amp;分析!C183,"株探"),"")</f>
        <v>株探</v>
      </c>
      <c r="C12" s="163">
        <f>IF(分析!C183&lt;&gt;"",分析!C183,"")</f>
        <v>3407</v>
      </c>
      <c r="D12" s="164" t="str">
        <f>IF(分析!D183&lt;&gt;"",分析!D183,"")</f>
        <v>旭化成</v>
      </c>
      <c r="E12" s="165">
        <f>IF(分析!E183&lt;&gt;"",分析!E183,"")</f>
        <v>1790</v>
      </c>
      <c r="F12" s="166">
        <f>IF(分析!F183&lt;&gt;"",分析!F183,"")</f>
        <v>1765</v>
      </c>
      <c r="G12" s="166">
        <f>IF(分析!H183&lt;&gt;"",分析!H183,"")</f>
        <v>1790</v>
      </c>
      <c r="H12" s="166">
        <f>IF(分析!I183&lt;&gt;"",分析!I183,"")</f>
        <v>1750</v>
      </c>
      <c r="I12" s="166">
        <f>IF(分析!J183&lt;&gt;"",分析!J183,"")</f>
        <v>3657500</v>
      </c>
      <c r="J12" s="166">
        <f>IF(分析!AB183&lt;&gt;"",分析!AB183,"")</f>
        <v>2233.3727087576372</v>
      </c>
      <c r="K12" s="166">
        <f>IF(分析!AC183&lt;&gt;"",分析!AC183,"")</f>
        <v>2215.8986889153753</v>
      </c>
      <c r="L12" s="166">
        <f>IF(分析!K183&lt;&gt;"",分析!K183,"")</f>
        <v>1889</v>
      </c>
      <c r="M12" s="161" t="str">
        <f>IF(分析!P183&lt;&gt;"",分析!P183,"")</f>
        <v>減少↓</v>
      </c>
      <c r="N12" s="167">
        <f>IF(分析!O183&lt;&gt;"",分析!O183,"")</f>
        <v>0.74450804455445541</v>
      </c>
      <c r="O12" s="168">
        <f>IF(分析!X183&lt;&gt;"",分析!X183,"")</f>
        <v>8.4256713726770158</v>
      </c>
      <c r="P12" s="169">
        <f>IF(分析!L183&lt;&gt;"",分析!L183,"")</f>
        <v>-5.2408681842244569</v>
      </c>
      <c r="Q12" s="166">
        <f>IF(分析!S183&lt;&gt;"",分析!S183,"")</f>
        <v>1718</v>
      </c>
      <c r="R12" s="166">
        <f>IF(分析!R183&lt;&gt;"",分析!R183,"")</f>
        <v>1933</v>
      </c>
      <c r="S12" s="161" t="str">
        <f>IF(分析!AA183&lt;&gt;"",分析!AA183,"")</f>
        <v>上昇▲</v>
      </c>
      <c r="T12" s="170">
        <f>IF(分析!Z183&lt;&gt;"",分析!Z183,"")</f>
        <v>1.6179392563156401</v>
      </c>
      <c r="U12" s="161" t="str">
        <f>IF(分析!V183&lt;&gt;"",分析!V183,"")</f>
        <v>通常</v>
      </c>
      <c r="V12" s="171">
        <f>IF(分析!W183&lt;&gt;"",分析!W183,"")</f>
        <v>48.336594911937375</v>
      </c>
      <c r="W12" s="172" t="str">
        <f>IF(分析!AD183&lt;&gt;"",分析!AD183,"")</f>
        <v>もみ合い→</v>
      </c>
      <c r="X12" s="173" t="str">
        <f>IF(分析!AE183&lt;&gt;"",分析!AE183,"")</f>
        <v>なし</v>
      </c>
      <c r="Y12" s="174">
        <f>IF(分析!T183&lt;&gt;"",分析!T183,"")</f>
        <v>4</v>
      </c>
      <c r="Z12" s="160" t="str">
        <f>IF(分析!Y183&lt;&gt;"",分析!Y183,"")</f>
        <v>様子見</v>
      </c>
    </row>
    <row r="13" spans="1:26" ht="21.95" customHeight="1">
      <c r="A13" s="146">
        <f>IF(分析!C4&lt;&gt;"",ROW()-2,"")</f>
        <v>11</v>
      </c>
      <c r="B13" s="147" t="str">
        <f>IF(分析!C4&lt;&gt;"",HYPERLINK("https://kabutan.jp/stock/?code="&amp;分析!C4,"株探"),"")</f>
        <v>株探</v>
      </c>
      <c r="C13" s="148">
        <f>IF(分析!C4&lt;&gt;"",分析!C4,"")</f>
        <v>3436</v>
      </c>
      <c r="D13" s="149" t="str">
        <f>IF(分析!D4&lt;&gt;"",分析!D4,"")</f>
        <v>ＳＵＭＣＯ</v>
      </c>
      <c r="E13" s="150">
        <f>IF(分析!E4&lt;&gt;"",分析!E4,"")</f>
        <v>4152</v>
      </c>
      <c r="F13" s="151">
        <f>IF(分析!F4&lt;&gt;"",分析!F4,"")</f>
        <v>4015</v>
      </c>
      <c r="G13" s="151">
        <f>IF(分析!H4&lt;&gt;"",分析!H4,"")</f>
        <v>4212</v>
      </c>
      <c r="H13" s="151">
        <f>IF(分析!I4&lt;&gt;"",分析!I4,"")</f>
        <v>3978</v>
      </c>
      <c r="I13" s="151">
        <f>IF(分析!J4&lt;&gt;"",分析!J4,"")</f>
        <v>8223600</v>
      </c>
      <c r="J13" s="151">
        <f>IF(分析!AB4&lt;&gt;"",分析!AB4,"")</f>
        <v>50906.975560081468</v>
      </c>
      <c r="K13" s="151">
        <f>IF(分析!AC4&lt;&gt;"",分析!AC4,"")</f>
        <v>48810.8939213349</v>
      </c>
      <c r="L13" s="151">
        <f>IF(分析!K4&lt;&gt;"",分析!K4,"")</f>
        <v>4564</v>
      </c>
      <c r="M13" s="146" t="str">
        <f>IF(分析!P4&lt;&gt;"",分析!P4,"")</f>
        <v>減少↓</v>
      </c>
      <c r="N13" s="152">
        <f>IF(分析!O4&lt;&gt;"",分析!O4,"")</f>
        <v>0.54469007322940621</v>
      </c>
      <c r="O13" s="153">
        <f>IF(分析!X4&lt;&gt;"",分析!X4,"")</f>
        <v>102.19314079422429</v>
      </c>
      <c r="P13" s="154">
        <f>IF(分析!L4&lt;&gt;"",分析!L4,"")</f>
        <v>-9.027169149868536</v>
      </c>
      <c r="Q13" s="151">
        <f>IF(分析!S4&lt;&gt;"",分析!S4,"")</f>
        <v>3986</v>
      </c>
      <c r="R13" s="151">
        <f>IF(分析!R4&lt;&gt;"",分析!R4,"")</f>
        <v>4484</v>
      </c>
      <c r="S13" s="146" t="str">
        <f>IF(分析!AA4&lt;&gt;"",分析!AA4,"")</f>
        <v>下落▼</v>
      </c>
      <c r="T13" s="155">
        <f>IF(分析!Z4&lt;&gt;"",分析!Z4,"")</f>
        <v>-7.2202166064981949E-2</v>
      </c>
      <c r="U13" s="146" t="str">
        <f>IF(分析!V4&lt;&gt;"",分析!V4,"")</f>
        <v>通常</v>
      </c>
      <c r="V13" s="156">
        <f>IF(分析!W4&lt;&gt;"",分析!W4,"")</f>
        <v>59.827213822894166</v>
      </c>
      <c r="W13" s="157" t="str">
        <f>IF(分析!AD4&lt;&gt;"",分析!AD4,"")</f>
        <v>もみ合い→</v>
      </c>
      <c r="X13" s="158" t="str">
        <f>IF(分析!AE4&lt;&gt;"",分析!AE4,"")</f>
        <v>なし</v>
      </c>
      <c r="Y13" s="159">
        <f>IF(分析!T4&lt;&gt;"",分析!T4,"")</f>
        <v>5</v>
      </c>
      <c r="Z13" s="160" t="str">
        <f>IF(分析!Y4&lt;&gt;"",分析!Y4,"")</f>
        <v>様子見</v>
      </c>
    </row>
    <row r="14" spans="1:26" ht="21.95" customHeight="1">
      <c r="A14" s="146">
        <f>IF(分析!C142&lt;&gt;"",ROW()-2,"")</f>
        <v>12</v>
      </c>
      <c r="B14" s="147" t="str">
        <f>IF(分析!C142&lt;&gt;"",HYPERLINK("https://kabutan.jp/stock/?code="&amp;分析!C142,"株探"),"")</f>
        <v>株探</v>
      </c>
      <c r="C14" s="148">
        <f>IF(分析!C142&lt;&gt;"",分析!C142,"")</f>
        <v>3941</v>
      </c>
      <c r="D14" s="149" t="str">
        <f>IF(分析!D142&lt;&gt;"",分析!D142,"")</f>
        <v>レンゴー</v>
      </c>
      <c r="E14" s="150">
        <f>IF(分析!E142&lt;&gt;"",分析!E142,"")</f>
        <v>1408</v>
      </c>
      <c r="F14" s="151">
        <f>IF(分析!F142&lt;&gt;"",分析!F142,"")</f>
        <v>1416.5</v>
      </c>
      <c r="G14" s="151">
        <f>IF(分析!H142&lt;&gt;"",分析!H142,"")</f>
        <v>1429</v>
      </c>
      <c r="H14" s="151">
        <f>IF(分析!I142&lt;&gt;"",分析!I142,"")</f>
        <v>1400</v>
      </c>
      <c r="I14" s="151">
        <f>IF(分析!J142&lt;&gt;"",分析!J142,"")</f>
        <v>825300</v>
      </c>
      <c r="J14" s="151">
        <f>IF(分析!AB142&lt;&gt;"",分析!AB142,"")</f>
        <v>24770.366598778</v>
      </c>
      <c r="K14" s="151">
        <f>IF(分析!AC142&lt;&gt;"",分析!AC142,"")</f>
        <v>25713.837902264586</v>
      </c>
      <c r="L14" s="151">
        <f>IF(分析!K142&lt;&gt;"",分析!K142,"")</f>
        <v>1565</v>
      </c>
      <c r="M14" s="146" t="str">
        <f>IF(分析!P142&lt;&gt;"",分析!P142,"")</f>
        <v>普通→</v>
      </c>
      <c r="N14" s="152">
        <f>IF(分析!O142&lt;&gt;"",分析!O142,"")</f>
        <v>1.0278220583839792</v>
      </c>
      <c r="O14" s="153">
        <f>IF(分析!X142&lt;&gt;"",分析!X142,"")</f>
        <v>1.6214291969010901</v>
      </c>
      <c r="P14" s="154">
        <f>IF(分析!L142&lt;&gt;"",分析!L142,"")</f>
        <v>-10.031948881789138</v>
      </c>
      <c r="Q14" s="151">
        <f>IF(分析!S142&lt;&gt;"",分析!S142,"")</f>
        <v>1352</v>
      </c>
      <c r="R14" s="151">
        <f>IF(分析!R142&lt;&gt;"",分析!R142,"")</f>
        <v>1521</v>
      </c>
      <c r="S14" s="146" t="str">
        <f>IF(分析!AA142&lt;&gt;"",分析!AA142,"")</f>
        <v>下落▼</v>
      </c>
      <c r="T14" s="155">
        <f>IF(分析!Z142&lt;&gt;"",分析!Z142,"")</f>
        <v>-0.35385704175513089</v>
      </c>
      <c r="U14" s="146" t="str">
        <f>IF(分析!V142&lt;&gt;"",分析!V142,"")</f>
        <v>通常</v>
      </c>
      <c r="V14" s="156">
        <f>IF(分析!W142&lt;&gt;"",分析!W142,"")</f>
        <v>55.2</v>
      </c>
      <c r="W14" s="157" t="str">
        <f>IF(分析!AD142&lt;&gt;"",分析!AD142,"")</f>
        <v>下降トレンド▼</v>
      </c>
      <c r="X14" s="158" t="str">
        <f>IF(分析!AE142&lt;&gt;"",分析!AE142,"")</f>
        <v>なし</v>
      </c>
      <c r="Y14" s="159">
        <f>IF(分析!T142&lt;&gt;"",分析!T142,"")</f>
        <v>2</v>
      </c>
      <c r="Z14" s="160" t="str">
        <f>IF(分析!Y142&lt;&gt;"",分析!Y142,"")</f>
        <v>見送り</v>
      </c>
    </row>
    <row r="15" spans="1:26" ht="21.95" customHeight="1">
      <c r="A15" s="146">
        <f>IF(分析!C178&lt;&gt;"",ROW()-2,"")</f>
        <v>13</v>
      </c>
      <c r="B15" s="147" t="str">
        <f>IF(分析!C178&lt;&gt;"",HYPERLINK("https://kabutan.jp/stock/?code="&amp;分析!C178,"株探"),"")</f>
        <v>株探</v>
      </c>
      <c r="C15" s="148">
        <f>IF(分析!C178&lt;&gt;"",分析!C178,"")</f>
        <v>4045</v>
      </c>
      <c r="D15" s="149" t="str">
        <f>IF(分析!D178&lt;&gt;"",分析!D178,"")</f>
        <v>東亞合成</v>
      </c>
      <c r="E15" s="150">
        <f>IF(分析!E178&lt;&gt;"",分析!E178,"")</f>
        <v>1758.5</v>
      </c>
      <c r="F15" s="151">
        <f>IF(分析!F178&lt;&gt;"",分析!F178,"")</f>
        <v>1758.5</v>
      </c>
      <c r="G15" s="151">
        <f>IF(分析!H178&lt;&gt;"",分析!H178,"")</f>
        <v>1768.5</v>
      </c>
      <c r="H15" s="151">
        <f>IF(分析!I178&lt;&gt;"",分析!I178,"")</f>
        <v>1749</v>
      </c>
      <c r="I15" s="151">
        <f>IF(分析!J178&lt;&gt;"",分析!J178,"")</f>
        <v>170600</v>
      </c>
      <c r="J15" s="151">
        <f>IF(分析!AB178&lt;&gt;"",分析!AB178,"")</f>
        <v>1746.9857433808552</v>
      </c>
      <c r="K15" s="151">
        <f>IF(分析!AC178&lt;&gt;"",分析!AC178,"")</f>
        <v>1770.7342073897494</v>
      </c>
      <c r="L15" s="151">
        <f>IF(分析!K178&lt;&gt;"",分析!K178,"")</f>
        <v>1922.5</v>
      </c>
      <c r="M15" s="146" t="str">
        <f>IF(分析!P178&lt;&gt;"",分析!P178,"")</f>
        <v>減少↓</v>
      </c>
      <c r="N15" s="152">
        <f>IF(分析!O178&lt;&gt;"",分析!O178,"")</f>
        <v>0.71765101800437492</v>
      </c>
      <c r="O15" s="153">
        <f>IF(分析!X178&lt;&gt;"",分析!X178,"")</f>
        <v>1.2140262857285506</v>
      </c>
      <c r="P15" s="154">
        <f>IF(分析!L178&lt;&gt;"",分析!L178,"")</f>
        <v>-8.5305591677503241</v>
      </c>
      <c r="Q15" s="151">
        <f>IF(分析!S178&lt;&gt;"",分析!S178,"")</f>
        <v>1688</v>
      </c>
      <c r="R15" s="151">
        <f>IF(分析!R178&lt;&gt;"",分析!R178,"")</f>
        <v>1899</v>
      </c>
      <c r="S15" s="146" t="str">
        <f>IF(分析!AA178&lt;&gt;"",分析!AA178,"")</f>
        <v>下落▼</v>
      </c>
      <c r="T15" s="155">
        <f>IF(分析!Z178&lt;&gt;"",分析!Z178,"")</f>
        <v>-2.8425241614553721E-2</v>
      </c>
      <c r="U15" s="146" t="str">
        <f>IF(分析!V178&lt;&gt;"",分析!V178,"")</f>
        <v>通常</v>
      </c>
      <c r="V15" s="156">
        <f>IF(分析!W178&lt;&gt;"",分析!W178,"")</f>
        <v>56.96821515892421</v>
      </c>
      <c r="W15" s="157" t="str">
        <f>IF(分析!AD178&lt;&gt;"",分析!AD178,"")</f>
        <v>もみ合い→</v>
      </c>
      <c r="X15" s="158" t="str">
        <f>IF(分析!AE178&lt;&gt;"",分析!AE178,"")</f>
        <v>5日押し目○</v>
      </c>
      <c r="Y15" s="159">
        <f>IF(分析!T178&lt;&gt;"",分析!T178,"")</f>
        <v>0</v>
      </c>
      <c r="Z15" s="160" t="str">
        <f>IF(分析!Y178&lt;&gt;"",分析!Y178,"")</f>
        <v>見送り</v>
      </c>
    </row>
    <row r="16" spans="1:26" ht="21.95" customHeight="1">
      <c r="A16" s="161">
        <f>IF(分析!C9&lt;&gt;"",ROW()-2,"")</f>
        <v>14</v>
      </c>
      <c r="B16" s="162" t="str">
        <f>IF(分析!C9&lt;&gt;"",HYPERLINK("https://kabutan.jp/stock/?code="&amp;分析!C9,"株探"),"")</f>
        <v>株探</v>
      </c>
      <c r="C16" s="163">
        <f>IF(分析!C9&lt;&gt;"",分析!C9,"")</f>
        <v>4082</v>
      </c>
      <c r="D16" s="164" t="str">
        <f>IF(分析!D9&lt;&gt;"",分析!D9,"")</f>
        <v>第一稀元素化学工</v>
      </c>
      <c r="E16" s="165">
        <f>IF(分析!E9&lt;&gt;"",分析!E9,"")</f>
        <v>2065</v>
      </c>
      <c r="F16" s="166">
        <f>IF(分析!F9&lt;&gt;"",分析!F9,"")</f>
        <v>1990</v>
      </c>
      <c r="G16" s="166">
        <f>IF(分析!H9&lt;&gt;"",分析!H9,"")</f>
        <v>2130</v>
      </c>
      <c r="H16" s="166">
        <f>IF(分析!I9&lt;&gt;"",分析!I9,"")</f>
        <v>1941</v>
      </c>
      <c r="I16" s="166">
        <f>IF(分析!J9&lt;&gt;"",分析!J9,"")</f>
        <v>270500</v>
      </c>
      <c r="J16" s="166">
        <f>IF(分析!AB9&lt;&gt;"",分析!AB9,"")</f>
        <v>3921.810590631364</v>
      </c>
      <c r="K16" s="166">
        <f>IF(分析!AC9&lt;&gt;"",分析!AC9,"")</f>
        <v>4080.7628128724659</v>
      </c>
      <c r="L16" s="166">
        <f>IF(分析!K9&lt;&gt;"",分析!K9,"")</f>
        <v>4400</v>
      </c>
      <c r="M16" s="161" t="str">
        <f>IF(分析!P9&lt;&gt;"",分析!P9,"")</f>
        <v>減少↓</v>
      </c>
      <c r="N16" s="167">
        <f>IF(分析!O9&lt;&gt;"",分析!O9,"")</f>
        <v>0.93449872175775583</v>
      </c>
      <c r="O16" s="168">
        <f>IF(分析!X9&lt;&gt;"",分析!X9,"")</f>
        <v>-28.58063039575768</v>
      </c>
      <c r="P16" s="169">
        <f>IF(分析!L9&lt;&gt;"",分析!L9,"")</f>
        <v>-53.068181818181813</v>
      </c>
      <c r="Q16" s="166">
        <f>IF(分析!S9&lt;&gt;"",分析!S9,"")</f>
        <v>1982</v>
      </c>
      <c r="R16" s="166">
        <f>IF(分析!R9&lt;&gt;"",分析!R9,"")</f>
        <v>2230</v>
      </c>
      <c r="S16" s="161" t="str">
        <f>IF(分析!AA9&lt;&gt;"",分析!AA9,"")</f>
        <v>上昇▲</v>
      </c>
      <c r="T16" s="170">
        <f>IF(分析!Z9&lt;&gt;"",分析!Z9,"")</f>
        <v>2.481389578163772</v>
      </c>
      <c r="U16" s="161" t="str">
        <f>IF(分析!V9&lt;&gt;"",分析!V9,"")</f>
        <v>通常</v>
      </c>
      <c r="V16" s="171">
        <f>IF(分析!W9&lt;&gt;"",分析!W9,"")</f>
        <v>49.489795918367342</v>
      </c>
      <c r="W16" s="172" t="str">
        <f>IF(分析!AD9&lt;&gt;"",分析!AD9,"")</f>
        <v>下降トレンド▼</v>
      </c>
      <c r="X16" s="173" t="str">
        <f>IF(分析!AE9&lt;&gt;"",分析!AE9,"")</f>
        <v>なし</v>
      </c>
      <c r="Y16" s="174">
        <f>IF(分析!T9&lt;&gt;"",分析!T9,"")</f>
        <v>0</v>
      </c>
      <c r="Z16" s="160" t="str">
        <f>IF(分析!Y9&lt;&gt;"",分析!Y9,"")</f>
        <v>見送り</v>
      </c>
    </row>
    <row r="17" spans="1:26" ht="21.95" customHeight="1">
      <c r="A17" s="161">
        <f>IF(分析!C75&lt;&gt;"",ROW()-2,"")</f>
        <v>15</v>
      </c>
      <c r="B17" s="162" t="str">
        <f>IF(分析!C75&lt;&gt;"",HYPERLINK("https://kabutan.jp/stock/?code="&amp;分析!C75,"株探"),"")</f>
        <v>株探</v>
      </c>
      <c r="C17" s="163">
        <f>IF(分析!C75&lt;&gt;"",分析!C75,"")</f>
        <v>4182</v>
      </c>
      <c r="D17" s="164" t="str">
        <f>IF(分析!D75&lt;&gt;"",分析!D75,"")</f>
        <v>三菱瓦斯化学</v>
      </c>
      <c r="E17" s="165">
        <f>IF(分析!E75&lt;&gt;"",分析!E75,"")</f>
        <v>5116</v>
      </c>
      <c r="F17" s="166">
        <f>IF(分析!F75&lt;&gt;"",分析!F75,"")</f>
        <v>5000</v>
      </c>
      <c r="G17" s="166">
        <f>IF(分析!H75&lt;&gt;"",分析!H75,"")</f>
        <v>5174</v>
      </c>
      <c r="H17" s="166">
        <f>IF(分析!I75&lt;&gt;"",分析!I75,"")</f>
        <v>4945</v>
      </c>
      <c r="I17" s="166">
        <f>IF(分析!J75&lt;&gt;"",分析!J75,"")</f>
        <v>1114200</v>
      </c>
      <c r="J17" s="166">
        <f>IF(分析!AB75&lt;&gt;"",分析!AB75,"")</f>
        <v>2810.7902240325861</v>
      </c>
      <c r="K17" s="166">
        <f>IF(分析!AC75&lt;&gt;"",分析!AC75,"")</f>
        <v>2875.3676996424301</v>
      </c>
      <c r="L17" s="166">
        <f>IF(分析!K75&lt;&gt;"",分析!K75,"")</f>
        <v>5626</v>
      </c>
      <c r="M17" s="161" t="str">
        <f>IF(分析!P75&lt;&gt;"",分析!P75,"")</f>
        <v>減少↓</v>
      </c>
      <c r="N17" s="167">
        <f>IF(分析!O75&lt;&gt;"",分析!O75,"")</f>
        <v>0.75265475965305739</v>
      </c>
      <c r="O17" s="168">
        <f>IF(分析!X75&lt;&gt;"",分析!X75,"")</f>
        <v>-11.330868217112766</v>
      </c>
      <c r="P17" s="169">
        <f>IF(分析!L75&lt;&gt;"",分析!L75,"")</f>
        <v>-9.0650551013153216</v>
      </c>
      <c r="Q17" s="166">
        <f>IF(分析!S75&lt;&gt;"",分析!S75,"")</f>
        <v>4911</v>
      </c>
      <c r="R17" s="166">
        <f>IF(分析!R75&lt;&gt;"",分析!R75,"")</f>
        <v>5525</v>
      </c>
      <c r="S17" s="161" t="str">
        <f>IF(分析!AA75&lt;&gt;"",分析!AA75,"")</f>
        <v>上昇▲</v>
      </c>
      <c r="T17" s="170">
        <f>IF(分析!Z75&lt;&gt;"",分析!Z75,"")</f>
        <v>0.51080550098231825</v>
      </c>
      <c r="U17" s="161" t="str">
        <f>IF(分析!V75&lt;&gt;"",分析!V75,"")</f>
        <v>通常</v>
      </c>
      <c r="V17" s="171">
        <f>IF(分析!W75&lt;&gt;"",分析!W75,"")</f>
        <v>46.770789362600254</v>
      </c>
      <c r="W17" s="172" t="str">
        <f>IF(分析!AD75&lt;&gt;"",分析!AD75,"")</f>
        <v>上昇トレンド▲</v>
      </c>
      <c r="X17" s="173" t="str">
        <f>IF(分析!AE75&lt;&gt;"",分析!AE75,"")</f>
        <v>なし</v>
      </c>
      <c r="Y17" s="174">
        <f>IF(分析!T75&lt;&gt;"",分析!T75,"")</f>
        <v>3</v>
      </c>
      <c r="Z17" s="160" t="str">
        <f>IF(分析!Y75&lt;&gt;"",分析!Y75,"")</f>
        <v>様子見</v>
      </c>
    </row>
    <row r="18" spans="1:26" ht="21.95" customHeight="1">
      <c r="A18" s="161">
        <f>IF(分析!C145&lt;&gt;"",ROW()-2,"")</f>
        <v>16</v>
      </c>
      <c r="B18" s="162" t="str">
        <f>IF(分析!C145&lt;&gt;"",HYPERLINK("https://kabutan.jp/stock/?code="&amp;分析!C145,"株探"),"")</f>
        <v>株探</v>
      </c>
      <c r="C18" s="163">
        <f>IF(分析!C145&lt;&gt;"",分析!C145,"")</f>
        <v>4188</v>
      </c>
      <c r="D18" s="164" t="str">
        <f>IF(分析!D145&lt;&gt;"",分析!D145,"")</f>
        <v>三菱ケミカルグループ</v>
      </c>
      <c r="E18" s="165">
        <f>IF(分析!E145&lt;&gt;"",分析!E145,"")</f>
        <v>1140</v>
      </c>
      <c r="F18" s="166">
        <f>IF(分析!F145&lt;&gt;"",分析!F145,"")</f>
        <v>1098</v>
      </c>
      <c r="G18" s="166">
        <f>IF(分析!H145&lt;&gt;"",分析!H145,"")</f>
        <v>1140</v>
      </c>
      <c r="H18" s="166">
        <f>IF(分析!I145&lt;&gt;"",分析!I145,"")</f>
        <v>1093</v>
      </c>
      <c r="I18" s="166">
        <f>IF(分析!J145&lt;&gt;"",分析!J145,"")</f>
        <v>7563000</v>
      </c>
      <c r="J18" s="166">
        <f>IF(分析!AB145&lt;&gt;"",分析!AB145,"")</f>
        <v>14378.044806517308</v>
      </c>
      <c r="K18" s="166">
        <f>IF(分析!AC145&lt;&gt;"",分析!AC145,"")</f>
        <v>12560.989272943976</v>
      </c>
      <c r="L18" s="166">
        <f>IF(分析!K145&lt;&gt;"",分析!K145,"")</f>
        <v>1171</v>
      </c>
      <c r="M18" s="161" t="str">
        <f>IF(分析!P145&lt;&gt;"",分析!P145,"")</f>
        <v>普通→</v>
      </c>
      <c r="N18" s="167">
        <f>IF(分析!O145&lt;&gt;"",分析!O145,"")</f>
        <v>1.21006838334352</v>
      </c>
      <c r="O18" s="168">
        <f>IF(分析!X145&lt;&gt;"",分析!X145,"")</f>
        <v>6.0984120697826256</v>
      </c>
      <c r="P18" s="169">
        <f>IF(分析!L145&lt;&gt;"",分析!L145,"")</f>
        <v>-2.6473099914602902</v>
      </c>
      <c r="Q18" s="166">
        <f>IF(分析!S145&lt;&gt;"",分析!S145,"")</f>
        <v>1094</v>
      </c>
      <c r="R18" s="166">
        <f>IF(分析!R145&lt;&gt;"",分析!R145,"")</f>
        <v>1231</v>
      </c>
      <c r="S18" s="161" t="str">
        <f>IF(分析!AA145&lt;&gt;"",分析!AA145,"")</f>
        <v>上昇▲</v>
      </c>
      <c r="T18" s="170">
        <f>IF(分析!Z145&lt;&gt;"",分析!Z145,"")</f>
        <v>3.2141240380262559</v>
      </c>
      <c r="U18" s="161" t="str">
        <f>IF(分析!V145&lt;&gt;"",分析!V145,"")</f>
        <v>高値圏</v>
      </c>
      <c r="V18" s="171">
        <f>IF(分析!W145&lt;&gt;"",分析!W145,"")</f>
        <v>52.500000000000007</v>
      </c>
      <c r="W18" s="172" t="str">
        <f>IF(分析!AD145&lt;&gt;"",分析!AD145,"")</f>
        <v>もみ合い→</v>
      </c>
      <c r="X18" s="173" t="str">
        <f>IF(分析!AE145&lt;&gt;"",分析!AE145,"")</f>
        <v>なし</v>
      </c>
      <c r="Y18" s="174">
        <f>IF(分析!T145&lt;&gt;"",分析!T145,"")</f>
        <v>8</v>
      </c>
      <c r="Z18" s="160" t="str">
        <f>IF(分析!Y145&lt;&gt;"",分析!Y145,"")</f>
        <v>△注目</v>
      </c>
    </row>
    <row r="19" spans="1:26" ht="21.95" customHeight="1">
      <c r="A19" s="161">
        <f>IF(分析!C151&lt;&gt;"",ROW()-2,"")</f>
        <v>17</v>
      </c>
      <c r="B19" s="162" t="str">
        <f>IF(分析!C151&lt;&gt;"",HYPERLINK("https://kabutan.jp/stock/?code="&amp;分析!C151,"株探"),"")</f>
        <v>株探</v>
      </c>
      <c r="C19" s="163">
        <f>IF(分析!C151&lt;&gt;"",分析!C151,"")</f>
        <v>4307</v>
      </c>
      <c r="D19" s="164" t="str">
        <f>IF(分析!D151&lt;&gt;"",分析!D151,"")</f>
        <v>野村総合研究所</v>
      </c>
      <c r="E19" s="165">
        <f>IF(分析!E151&lt;&gt;"",分析!E151,"")</f>
        <v>4596</v>
      </c>
      <c r="F19" s="166">
        <f>IF(分析!F151&lt;&gt;"",分析!F151,"")</f>
        <v>4550</v>
      </c>
      <c r="G19" s="166">
        <f>IF(分析!H151&lt;&gt;"",分析!H151,"")</f>
        <v>4649</v>
      </c>
      <c r="H19" s="166">
        <f>IF(分析!I151&lt;&gt;"",分析!I151,"")</f>
        <v>4475</v>
      </c>
      <c r="I19" s="166">
        <f>IF(分析!J151&lt;&gt;"",分析!J151,"")</f>
        <v>1885500</v>
      </c>
      <c r="J19" s="166">
        <f>IF(分析!AB151&lt;&gt;"",分析!AB151,"")</f>
        <v>3117.5651731160897</v>
      </c>
      <c r="K19" s="166">
        <f>IF(分析!AC151&lt;&gt;"",分析!AC151,"")</f>
        <v>3126.9404052443365</v>
      </c>
      <c r="L19" s="166">
        <f>IF(分析!K151&lt;&gt;"",分析!K151,"")</f>
        <v>6300</v>
      </c>
      <c r="M19" s="161" t="str">
        <f>IF(分析!P151&lt;&gt;"",分析!P151,"")</f>
        <v>減少↓</v>
      </c>
      <c r="N19" s="167">
        <f>IF(分析!O151&lt;&gt;"",分析!O151,"")</f>
        <v>0.88370937655252579</v>
      </c>
      <c r="O19" s="168">
        <f>IF(分析!X151&lt;&gt;"",分析!X151,"")</f>
        <v>2.1919009389466737</v>
      </c>
      <c r="P19" s="169">
        <f>IF(分析!L151&lt;&gt;"",分析!L151,"")</f>
        <v>-27.047619047619047</v>
      </c>
      <c r="Q19" s="166">
        <f>IF(分析!S151&lt;&gt;"",分析!S151,"")</f>
        <v>4412</v>
      </c>
      <c r="R19" s="166">
        <f>IF(分析!R151&lt;&gt;"",分析!R151,"")</f>
        <v>4964</v>
      </c>
      <c r="S19" s="161" t="str">
        <f>IF(分析!AA151&lt;&gt;"",分析!AA151,"")</f>
        <v>上昇▲</v>
      </c>
      <c r="T19" s="170">
        <f>IF(分析!Z151&lt;&gt;"",分析!Z151,"")</f>
        <v>2.0199778024417312</v>
      </c>
      <c r="U19" s="161" t="str">
        <f>IF(分析!V151&lt;&gt;"",分析!V151,"")</f>
        <v>通常</v>
      </c>
      <c r="V19" s="171">
        <f>IF(分析!W151&lt;&gt;"",分析!W151,"")</f>
        <v>46.711739397664417</v>
      </c>
      <c r="W19" s="172" t="str">
        <f>IF(分析!AD151&lt;&gt;"",分析!AD151,"")</f>
        <v>上昇トレンド▲</v>
      </c>
      <c r="X19" s="173" t="str">
        <f>IF(分析!AE151&lt;&gt;"",分析!AE151,"")</f>
        <v>なし</v>
      </c>
      <c r="Y19" s="174">
        <f>IF(分析!T151&lt;&gt;"",分析!T151,"")</f>
        <v>8</v>
      </c>
      <c r="Z19" s="160" t="str">
        <f>IF(分析!Y151&lt;&gt;"",分析!Y151,"")</f>
        <v>△注目</v>
      </c>
    </row>
    <row r="20" spans="1:26" ht="21.95" customHeight="1">
      <c r="A20" s="146">
        <f>IF(分析!C192&lt;&gt;"",ROW()-2,"")</f>
        <v>18</v>
      </c>
      <c r="B20" s="147" t="str">
        <f>IF(分析!C192&lt;&gt;"",HYPERLINK("https://kabutan.jp/stock/?code="&amp;分析!C192,"株探"),"")</f>
        <v>株探</v>
      </c>
      <c r="C20" s="148">
        <f>IF(分析!C192&lt;&gt;"",分析!C192,"")</f>
        <v>4382</v>
      </c>
      <c r="D20" s="149" t="str">
        <f>IF(分析!D192&lt;&gt;"",分析!D192,"")</f>
        <v>ＨＥＲＯＺ</v>
      </c>
      <c r="E20" s="150">
        <f>IF(分析!E192&lt;&gt;"",分析!E192,"")</f>
        <v>787</v>
      </c>
      <c r="F20" s="151">
        <f>IF(分析!F192&lt;&gt;"",分析!F192,"")</f>
        <v>792</v>
      </c>
      <c r="G20" s="151">
        <f>IF(分析!H192&lt;&gt;"",分析!H192,"")</f>
        <v>800</v>
      </c>
      <c r="H20" s="151">
        <f>IF(分析!I192&lt;&gt;"",分析!I192,"")</f>
        <v>781</v>
      </c>
      <c r="I20" s="151">
        <f>IF(分析!J192&lt;&gt;"",分析!J192,"")</f>
        <v>27300</v>
      </c>
      <c r="J20" s="151">
        <f>IF(分析!AB192&lt;&gt;"",分析!AB192,"")</f>
        <v>7414.1038696537662</v>
      </c>
      <c r="K20" s="151">
        <f>IF(分析!AC192&lt;&gt;"",分析!AC192,"")</f>
        <v>7604.0286054827138</v>
      </c>
      <c r="L20" s="151">
        <f>IF(分析!K192&lt;&gt;"",分析!K192,"")</f>
        <v>995</v>
      </c>
      <c r="M20" s="146" t="str">
        <f>IF(分析!P192&lt;&gt;"",分析!P192,"")</f>
        <v>減少↓</v>
      </c>
      <c r="N20" s="152">
        <f>IF(分析!O192&lt;&gt;"",分析!O192,"")</f>
        <v>0.41151643050949654</v>
      </c>
      <c r="O20" s="153">
        <f>IF(分析!X192&lt;&gt;"",分析!X192,"")</f>
        <v>0.77487770608877327</v>
      </c>
      <c r="P20" s="154">
        <f>IF(分析!L192&lt;&gt;"",分析!L192,"")</f>
        <v>-20.904522613065328</v>
      </c>
      <c r="Q20" s="151">
        <f>IF(分析!S192&lt;&gt;"",分析!S192,"")</f>
        <v>756</v>
      </c>
      <c r="R20" s="151">
        <f>IF(分析!R192&lt;&gt;"",分析!R192,"")</f>
        <v>850</v>
      </c>
      <c r="S20" s="146" t="str">
        <f>IF(分析!AA192&lt;&gt;"",分析!AA192,"")</f>
        <v>下落▼</v>
      </c>
      <c r="T20" s="155">
        <f>IF(分析!Z192&lt;&gt;"",分析!Z192,"")</f>
        <v>-0.63131313131313127</v>
      </c>
      <c r="U20" s="146" t="str">
        <f>IF(分析!V192&lt;&gt;"",分析!V192,"")</f>
        <v>通常</v>
      </c>
      <c r="V20" s="156">
        <f>IF(分析!W192&lt;&gt;"",分析!W192,"")</f>
        <v>58.82352941176471</v>
      </c>
      <c r="W20" s="157" t="str">
        <f>IF(分析!AD192&lt;&gt;"",分析!AD192,"")</f>
        <v>下降トレンド▼</v>
      </c>
      <c r="X20" s="158" t="str">
        <f>IF(分析!AE192&lt;&gt;"",分析!AE192,"")</f>
        <v>なし</v>
      </c>
      <c r="Y20" s="159">
        <f>IF(分析!T192&lt;&gt;"",分析!T192,"")</f>
        <v>1</v>
      </c>
      <c r="Z20" s="160" t="str">
        <f>IF(分析!Y192&lt;&gt;"",分析!Y192,"")</f>
        <v>見送り</v>
      </c>
    </row>
    <row r="21" spans="1:26" ht="21.95" customHeight="1">
      <c r="A21" s="146">
        <f>IF(分析!C188&lt;&gt;"",ROW()-2,"")</f>
        <v>19</v>
      </c>
      <c r="B21" s="147" t="str">
        <f>IF(分析!C188&lt;&gt;"",HYPERLINK("https://kabutan.jp/stock/?code="&amp;分析!C188,"株探"),"")</f>
        <v>株探</v>
      </c>
      <c r="C21" s="148">
        <f>IF(分析!C188&lt;&gt;"",分析!C188,"")</f>
        <v>4422</v>
      </c>
      <c r="D21" s="149" t="str">
        <f>IF(分析!D188&lt;&gt;"",分析!D188,"")</f>
        <v>ＶＡＬＵＥＮＥＸ</v>
      </c>
      <c r="E21" s="150">
        <f>IF(分析!E188&lt;&gt;"",分析!E188,"")</f>
        <v>632</v>
      </c>
      <c r="F21" s="151">
        <f>IF(分析!F188&lt;&gt;"",分析!F188,"")</f>
        <v>665</v>
      </c>
      <c r="G21" s="151">
        <f>IF(分析!H188&lt;&gt;"",分析!H188,"")</f>
        <v>703</v>
      </c>
      <c r="H21" s="151">
        <f>IF(分析!I188&lt;&gt;"",分析!I188,"")</f>
        <v>632</v>
      </c>
      <c r="I21" s="151">
        <f>IF(分析!J188&lt;&gt;"",分析!J188,"")</f>
        <v>243000</v>
      </c>
      <c r="J21" s="151">
        <f>IF(分析!AB188&lt;&gt;"",分析!AB188,"")</f>
        <v>1525.3340122199588</v>
      </c>
      <c r="K21" s="151">
        <f>IF(分析!AC188&lt;&gt;"",分析!AC188,"")</f>
        <v>1495.9278903456482</v>
      </c>
      <c r="L21" s="151">
        <f>IF(分析!K188&lt;&gt;"",分析!K188,"")</f>
        <v>1630</v>
      </c>
      <c r="M21" s="146" t="str">
        <f>IF(分析!P188&lt;&gt;"",分析!P188,"")</f>
        <v>減少↓</v>
      </c>
      <c r="N21" s="152">
        <f>IF(分析!O188&lt;&gt;"",分析!O188,"")</f>
        <v>0.57926102502979737</v>
      </c>
      <c r="O21" s="153">
        <f>IF(分析!X188&lt;&gt;"",分析!X188,"")</f>
        <v>-18.735061037497871</v>
      </c>
      <c r="P21" s="154">
        <f>IF(分析!L188&lt;&gt;"",分析!L188,"")</f>
        <v>-61.226993865030678</v>
      </c>
      <c r="Q21" s="151">
        <f>IF(分析!S188&lt;&gt;"",分析!S188,"")</f>
        <v>607</v>
      </c>
      <c r="R21" s="151">
        <f>IF(分析!R188&lt;&gt;"",分析!R188,"")</f>
        <v>683</v>
      </c>
      <c r="S21" s="146" t="str">
        <f>IF(分析!AA188&lt;&gt;"",分析!AA188,"")</f>
        <v>上昇▲</v>
      </c>
      <c r="T21" s="155">
        <f>IF(分析!Z188&lt;&gt;"",分析!Z188,"")</f>
        <v>1.1199999999999999</v>
      </c>
      <c r="U21" s="146" t="str">
        <f>IF(分析!V188&lt;&gt;"",分析!V188,"")</f>
        <v>通常</v>
      </c>
      <c r="V21" s="156">
        <f>IF(分析!W188&lt;&gt;"",分析!W188,"")</f>
        <v>36.953807740324599</v>
      </c>
      <c r="W21" s="157" t="str">
        <f>IF(分析!AD188&lt;&gt;"",分析!AD188,"")</f>
        <v>もみ合い→</v>
      </c>
      <c r="X21" s="158" t="str">
        <f>IF(分析!AE188&lt;&gt;"",分析!AE188,"")</f>
        <v>なし</v>
      </c>
      <c r="Y21" s="159">
        <f>IF(分析!T188&lt;&gt;"",分析!T188,"")</f>
        <v>1</v>
      </c>
      <c r="Z21" s="160" t="str">
        <f>IF(分析!Y188&lt;&gt;"",分析!Y188,"")</f>
        <v>見送り</v>
      </c>
    </row>
    <row r="22" spans="1:26" ht="21.95" customHeight="1">
      <c r="A22" s="146">
        <f>IF(分析!C184&lt;&gt;"",ROW()-2,"")</f>
        <v>20</v>
      </c>
      <c r="B22" s="147" t="str">
        <f>IF(分析!C184&lt;&gt;"",HYPERLINK("https://kabutan.jp/stock/?code="&amp;分析!C184,"株探"),"")</f>
        <v>株探</v>
      </c>
      <c r="C22" s="148">
        <f>IF(分析!C184&lt;&gt;"",分析!C184,"")</f>
        <v>4523</v>
      </c>
      <c r="D22" s="149" t="str">
        <f>IF(分析!D184&lt;&gt;"",分析!D184,"")</f>
        <v>エーザイ</v>
      </c>
      <c r="E22" s="150">
        <f>IF(分析!E184&lt;&gt;"",分析!E184,"")</f>
        <v>3829</v>
      </c>
      <c r="F22" s="151">
        <f>IF(分析!F184&lt;&gt;"",分析!F184,"")</f>
        <v>3857</v>
      </c>
      <c r="G22" s="151">
        <f>IF(分析!H184&lt;&gt;"",分析!H184,"")</f>
        <v>3886</v>
      </c>
      <c r="H22" s="151">
        <f>IF(分析!I184&lt;&gt;"",分析!I184,"")</f>
        <v>3813</v>
      </c>
      <c r="I22" s="151">
        <f>IF(分析!J184&lt;&gt;"",分析!J184,"")</f>
        <v>1988700</v>
      </c>
      <c r="J22" s="151">
        <f>IF(分析!AB184&lt;&gt;"",分析!AB184,"")</f>
        <v>1031.2339103869651</v>
      </c>
      <c r="K22" s="151">
        <f>IF(分析!AC184&lt;&gt;"",分析!AC184,"")</f>
        <v>1016.7145411203808</v>
      </c>
      <c r="L22" s="151">
        <f>IF(分析!K184&lt;&gt;"",分析!K184,"")</f>
        <v>5243</v>
      </c>
      <c r="M22" s="146" t="str">
        <f>IF(分析!P184&lt;&gt;"",分析!P184,"")</f>
        <v>普通→</v>
      </c>
      <c r="N22" s="152">
        <f>IF(分析!O184&lt;&gt;"",分析!O184,"")</f>
        <v>1.0642157649703001</v>
      </c>
      <c r="O22" s="153">
        <f>IF(分析!X184&lt;&gt;"",分析!X184,"")</f>
        <v>-76.773751288611038</v>
      </c>
      <c r="P22" s="154">
        <f>IF(分析!L184&lt;&gt;"",分析!L184,"")</f>
        <v>-26.969292389853138</v>
      </c>
      <c r="Q22" s="151">
        <f>IF(分析!S184&lt;&gt;"",分析!S184,"")</f>
        <v>3676</v>
      </c>
      <c r="R22" s="151">
        <f>IF(分析!R184&lt;&gt;"",分析!R184,"")</f>
        <v>4135</v>
      </c>
      <c r="S22" s="146" t="str">
        <f>IF(分析!AA184&lt;&gt;"",分析!AA184,"")</f>
        <v>上昇▲</v>
      </c>
      <c r="T22" s="155">
        <f>IF(分析!Z184&lt;&gt;"",分析!Z184,"")</f>
        <v>2.1066666666666669</v>
      </c>
      <c r="U22" s="146" t="str">
        <f>IF(分析!V184&lt;&gt;"",分析!V184,"")</f>
        <v>通常</v>
      </c>
      <c r="V22" s="156">
        <f>IF(分析!W184&lt;&gt;"",分析!W184,"")</f>
        <v>27.335640138408309</v>
      </c>
      <c r="W22" s="157" t="str">
        <f>IF(分析!AD184&lt;&gt;"",分析!AD184,"")</f>
        <v>パーフェクト▲</v>
      </c>
      <c r="X22" s="158" t="str">
        <f>IF(分析!AE184&lt;&gt;"",分析!AE184,"")</f>
        <v>なし</v>
      </c>
      <c r="Y22" s="159">
        <f>IF(分析!T184&lt;&gt;"",分析!T184,"")</f>
        <v>6</v>
      </c>
      <c r="Z22" s="160" t="str">
        <f>IF(分析!Y184&lt;&gt;"",分析!Y184,"")</f>
        <v>△注目</v>
      </c>
    </row>
    <row r="23" spans="1:26" ht="21.95" customHeight="1">
      <c r="A23" s="146">
        <f>IF(分析!C124&lt;&gt;"",ROW()-2,"")</f>
        <v>21</v>
      </c>
      <c r="B23" s="147" t="str">
        <f>IF(分析!C124&lt;&gt;"",HYPERLINK("https://kabutan.jp/stock/?code="&amp;分析!C124,"株探"),"")</f>
        <v>株探</v>
      </c>
      <c r="C23" s="148">
        <f>IF(分析!C124&lt;&gt;"",分析!C124,"")</f>
        <v>4540</v>
      </c>
      <c r="D23" s="149" t="str">
        <f>IF(分析!D124&lt;&gt;"",分析!D124,"")</f>
        <v>ツムラ</v>
      </c>
      <c r="E23" s="150">
        <f>IF(分析!E124&lt;&gt;"",分析!E124,"")</f>
        <v>3704</v>
      </c>
      <c r="F23" s="151">
        <f>IF(分析!F124&lt;&gt;"",分析!F124,"")</f>
        <v>3776</v>
      </c>
      <c r="G23" s="151">
        <f>IF(分析!H124&lt;&gt;"",分析!H124,"")</f>
        <v>3784</v>
      </c>
      <c r="H23" s="151">
        <f>IF(分析!I124&lt;&gt;"",分析!I124,"")</f>
        <v>3703</v>
      </c>
      <c r="I23" s="151">
        <f>IF(分析!J124&lt;&gt;"",分析!J124,"")</f>
        <v>162100</v>
      </c>
      <c r="J23" s="151">
        <f>IF(分析!AB124&lt;&gt;"",分析!AB124,"")</f>
        <v>1015.9969450101833</v>
      </c>
      <c r="K23" s="151">
        <f>IF(分析!AC124&lt;&gt;"",分析!AC124,"")</f>
        <v>1030.4648390941593</v>
      </c>
      <c r="L23" s="151">
        <f>IF(分析!K124&lt;&gt;"",分析!K124,"")</f>
        <v>4403</v>
      </c>
      <c r="M23" s="146" t="str">
        <f>IF(分析!P124&lt;&gt;"",分析!P124,"")</f>
        <v>減少↓</v>
      </c>
      <c r="N23" s="152">
        <f>IF(分析!O124&lt;&gt;"",分析!O124,"")</f>
        <v>0.76246472248353714</v>
      </c>
      <c r="O23" s="153">
        <f>IF(分析!X124&lt;&gt;"",分析!X124,"")</f>
        <v>-11.111764097134255</v>
      </c>
      <c r="P23" s="154">
        <f>IF(分析!L124&lt;&gt;"",分析!L124,"")</f>
        <v>-15.875539404951169</v>
      </c>
      <c r="Q23" s="151">
        <f>IF(分析!S124&lt;&gt;"",分析!S124,"")</f>
        <v>3556</v>
      </c>
      <c r="R23" s="151">
        <f>IF(分析!R124&lt;&gt;"",分析!R124,"")</f>
        <v>4000</v>
      </c>
      <c r="S23" s="146" t="str">
        <f>IF(分析!AA124&lt;&gt;"",分析!AA124,"")</f>
        <v>下落▼</v>
      </c>
      <c r="T23" s="155">
        <f>IF(分析!Z124&lt;&gt;"",分析!Z124,"")</f>
        <v>-1.5155543738367456</v>
      </c>
      <c r="U23" s="146" t="str">
        <f>IF(分析!V124&lt;&gt;"",分析!V124,"")</f>
        <v>通常</v>
      </c>
      <c r="V23" s="156">
        <f>IF(分析!W124&lt;&gt;"",分析!W124,"")</f>
        <v>50.810810810810807</v>
      </c>
      <c r="W23" s="157" t="str">
        <f>IF(分析!AD124&lt;&gt;"",分析!AD124,"")</f>
        <v>上昇トレンド▲</v>
      </c>
      <c r="X23" s="158" t="str">
        <f>IF(分析!AE124&lt;&gt;"",分析!AE124,"")</f>
        <v>なし</v>
      </c>
      <c r="Y23" s="159">
        <f>IF(分析!T124&lt;&gt;"",分析!T124,"")</f>
        <v>1</v>
      </c>
      <c r="Z23" s="160" t="str">
        <f>IF(分析!Y124&lt;&gt;"",分析!Y124,"")</f>
        <v>見送り</v>
      </c>
    </row>
    <row r="24" spans="1:26" ht="21.95" customHeight="1">
      <c r="A24" s="161">
        <f>IF(分析!C103&lt;&gt;"",ROW()-2,"")</f>
        <v>22</v>
      </c>
      <c r="B24" s="162" t="str">
        <f>IF(分析!C103&lt;&gt;"",HYPERLINK("https://kabutan.jp/stock/?code="&amp;分析!C103,"株探"),"")</f>
        <v>株探</v>
      </c>
      <c r="C24" s="163">
        <f>IF(分析!C103&lt;&gt;"",分析!C103,"")</f>
        <v>4661</v>
      </c>
      <c r="D24" s="164" t="str">
        <f>IF(分析!D103&lt;&gt;"",分析!D103,"")</f>
        <v>オリエンタルランド</v>
      </c>
      <c r="E24" s="165">
        <f>IF(分析!E103&lt;&gt;"",分析!E103,"")</f>
        <v>2291</v>
      </c>
      <c r="F24" s="166">
        <f>IF(分析!F103&lt;&gt;"",分析!F103,"")</f>
        <v>2290</v>
      </c>
      <c r="G24" s="166">
        <f>IF(分析!H103&lt;&gt;"",分析!H103,"")</f>
        <v>2303.5</v>
      </c>
      <c r="H24" s="166">
        <f>IF(分析!I103&lt;&gt;"",分析!I103,"")</f>
        <v>2260.5</v>
      </c>
      <c r="I24" s="166">
        <f>IF(分析!J103&lt;&gt;"",分析!J103,"")</f>
        <v>4234100</v>
      </c>
      <c r="J24" s="166">
        <f>IF(分析!AB103&lt;&gt;"",分析!AB103,"")</f>
        <v>4288.6099796334001</v>
      </c>
      <c r="K24" s="166">
        <f>IF(分析!AC103&lt;&gt;"",分析!AC103,"")</f>
        <v>4116.4445768772339</v>
      </c>
      <c r="L24" s="166">
        <f>IF(分析!K103&lt;&gt;"",分析!K103,"")</f>
        <v>2947</v>
      </c>
      <c r="M24" s="161" t="str">
        <f>IF(分析!P103&lt;&gt;"",分析!P103,"")</f>
        <v>減少↓</v>
      </c>
      <c r="N24" s="167">
        <f>IF(分析!O103&lt;&gt;"",分析!O103,"")</f>
        <v>0.75446718127454548</v>
      </c>
      <c r="O24" s="168">
        <f>IF(分析!X103&lt;&gt;"",分析!X103,"")</f>
        <v>12.932807008466625</v>
      </c>
      <c r="P24" s="169">
        <f>IF(分析!L103&lt;&gt;"",分析!L103,"")</f>
        <v>-22.259925347811333</v>
      </c>
      <c r="Q24" s="166">
        <f>IF(分析!S103&lt;&gt;"",分析!S103,"")</f>
        <v>2199</v>
      </c>
      <c r="R24" s="166">
        <f>IF(分析!R103&lt;&gt;"",分析!R103,"")</f>
        <v>2474</v>
      </c>
      <c r="S24" s="161" t="str">
        <f>IF(分析!AA103&lt;&gt;"",分析!AA103,"")</f>
        <v>上昇▲</v>
      </c>
      <c r="T24" s="170">
        <f>IF(分析!Z103&lt;&gt;"",分析!Z103,"")</f>
        <v>0.65905096660808438</v>
      </c>
      <c r="U24" s="161" t="str">
        <f>IF(分析!V103&lt;&gt;"",分析!V103,"")</f>
        <v>通常</v>
      </c>
      <c r="V24" s="171">
        <f>IF(分析!W103&lt;&gt;"",分析!W103,"")</f>
        <v>64.625850340136054</v>
      </c>
      <c r="W24" s="172" t="str">
        <f>IF(分析!AD103&lt;&gt;"",分析!AD103,"")</f>
        <v>もみ合い→</v>
      </c>
      <c r="X24" s="173" t="str">
        <f>IF(分析!AE103&lt;&gt;"",分析!AE103,"")</f>
        <v>なし</v>
      </c>
      <c r="Y24" s="174">
        <f>IF(分析!T103&lt;&gt;"",分析!T103,"")</f>
        <v>3</v>
      </c>
      <c r="Z24" s="160" t="str">
        <f>IF(分析!Y103&lt;&gt;"",分析!Y103,"")</f>
        <v>様子見</v>
      </c>
    </row>
    <row r="25" spans="1:26" ht="21.95" customHeight="1">
      <c r="A25" s="161">
        <f>IF(分析!C133&lt;&gt;"",ROW()-2,"")</f>
        <v>23</v>
      </c>
      <c r="B25" s="162" t="str">
        <f>IF(分析!C133&lt;&gt;"",HYPERLINK("https://kabutan.jp/stock/?code="&amp;分析!C133,"株探"),"")</f>
        <v>株探</v>
      </c>
      <c r="C25" s="163">
        <f>IF(分析!C133&lt;&gt;"",分析!C133,"")</f>
        <v>4733</v>
      </c>
      <c r="D25" s="164" t="str">
        <f>IF(分析!D133&lt;&gt;"",分析!D133,"")</f>
        <v>オービックビジネスＣ</v>
      </c>
      <c r="E25" s="165">
        <f>IF(分析!E133&lt;&gt;"",分析!E133,"")</f>
        <v>5893</v>
      </c>
      <c r="F25" s="166">
        <f>IF(分析!F133&lt;&gt;"",分析!F133,"")</f>
        <v>5844</v>
      </c>
      <c r="G25" s="166">
        <f>IF(分析!H133&lt;&gt;"",分析!H133,"")</f>
        <v>5939</v>
      </c>
      <c r="H25" s="166">
        <f>IF(分析!I133&lt;&gt;"",分析!I133,"")</f>
        <v>5824</v>
      </c>
      <c r="I25" s="166">
        <f>IF(分析!J133&lt;&gt;"",分析!J133,"")</f>
        <v>292500</v>
      </c>
      <c r="J25" s="166">
        <f>IF(分析!AB133&lt;&gt;"",分析!AB133,"")</f>
        <v>1827.0549898167003</v>
      </c>
      <c r="K25" s="166">
        <f>IF(分析!AC133&lt;&gt;"",分析!AC133,"")</f>
        <v>2183.0786650774721</v>
      </c>
      <c r="L25" s="166">
        <f>IF(分析!K133&lt;&gt;"",分析!K133,"")</f>
        <v>8595</v>
      </c>
      <c r="M25" s="161" t="str">
        <f>IF(分析!P133&lt;&gt;"",分析!P133,"")</f>
        <v>普通→</v>
      </c>
      <c r="N25" s="167">
        <f>IF(分析!O133&lt;&gt;"",分析!O133,"")</f>
        <v>1.2006403415154749</v>
      </c>
      <c r="O25" s="168">
        <f>IF(分析!X133&lt;&gt;"",分析!X133,"")</f>
        <v>-24.443633353100267</v>
      </c>
      <c r="P25" s="169">
        <f>IF(分析!L133&lt;&gt;"",分析!L133,"")</f>
        <v>-31.436881908086097</v>
      </c>
      <c r="Q25" s="166">
        <f>IF(分析!S133&lt;&gt;"",分析!S133,"")</f>
        <v>5657</v>
      </c>
      <c r="R25" s="166">
        <f>IF(分析!R133&lt;&gt;"",分析!R133,"")</f>
        <v>6364</v>
      </c>
      <c r="S25" s="161" t="str">
        <f>IF(分析!AA133&lt;&gt;"",分析!AA133,"")</f>
        <v>上昇▲</v>
      </c>
      <c r="T25" s="170">
        <f>IF(分析!Z133&lt;&gt;"",分析!Z133,"")</f>
        <v>0.89025851737716144</v>
      </c>
      <c r="U25" s="161" t="str">
        <f>IF(分析!V133&lt;&gt;"",分析!V133,"")</f>
        <v>通常</v>
      </c>
      <c r="V25" s="171">
        <f>IF(分析!W133&lt;&gt;"",分析!W133,"")</f>
        <v>44.54976303317536</v>
      </c>
      <c r="W25" s="172" t="str">
        <f>IF(分析!AD133&lt;&gt;"",分析!AD133,"")</f>
        <v>上昇トレンド▲</v>
      </c>
      <c r="X25" s="173" t="str">
        <f>IF(分析!AE133&lt;&gt;"",分析!AE133,"")</f>
        <v>なし</v>
      </c>
      <c r="Y25" s="174">
        <f>IF(分析!T133&lt;&gt;"",分析!T133,"")</f>
        <v>3</v>
      </c>
      <c r="Z25" s="160" t="str">
        <f>IF(分析!Y133&lt;&gt;"",分析!Y133,"")</f>
        <v>様子見</v>
      </c>
    </row>
    <row r="26" spans="1:26" ht="21.95" customHeight="1">
      <c r="A26" s="161">
        <f>IF(分析!C195&lt;&gt;"",ROW()-2,"")</f>
        <v>24</v>
      </c>
      <c r="B26" s="162" t="str">
        <f>IF(分析!C195&lt;&gt;"",HYPERLINK("https://kabutan.jp/stock/?code="&amp;分析!C195,"株探"),"")</f>
        <v>株探</v>
      </c>
      <c r="C26" s="163">
        <f>IF(分析!C195&lt;&gt;"",分析!C195,"")</f>
        <v>4887</v>
      </c>
      <c r="D26" s="164" t="str">
        <f>IF(分析!D195&lt;&gt;"",分析!D195,"")</f>
        <v>サワイグループＨＤ</v>
      </c>
      <c r="E26" s="165">
        <f>IF(分析!E195&lt;&gt;"",分析!E195,"")</f>
        <v>1676.5</v>
      </c>
      <c r="F26" s="166">
        <f>IF(分析!F195&lt;&gt;"",分析!F195,"")</f>
        <v>1662.5</v>
      </c>
      <c r="G26" s="166">
        <f>IF(分析!H195&lt;&gt;"",分析!H195,"")</f>
        <v>1683</v>
      </c>
      <c r="H26" s="166">
        <f>IF(分析!I195&lt;&gt;"",分析!I195,"")</f>
        <v>1646.5</v>
      </c>
      <c r="I26" s="166">
        <f>IF(分析!J195&lt;&gt;"",分析!J195,"")</f>
        <v>653900</v>
      </c>
      <c r="J26" s="166">
        <f>IF(分析!AB195&lt;&gt;"",分析!AB195,"")</f>
        <v>80550.896130346213</v>
      </c>
      <c r="K26" s="166">
        <f>IF(分析!AC195&lt;&gt;"",分析!AC195,"")</f>
        <v>72714.469606674567</v>
      </c>
      <c r="L26" s="166">
        <f>IF(分析!K195&lt;&gt;"",分析!K195,"")</f>
        <v>2447</v>
      </c>
      <c r="M26" s="161" t="str">
        <f>IF(分析!P195&lt;&gt;"",分析!P195,"")</f>
        <v>普通→</v>
      </c>
      <c r="N26" s="167">
        <f>IF(分析!O195&lt;&gt;"",分析!O195,"")</f>
        <v>1.3638259708839111</v>
      </c>
      <c r="O26" s="168">
        <f>IF(分析!X195&lt;&gt;"",分析!X195,"")</f>
        <v>-25.619543542203473</v>
      </c>
      <c r="P26" s="169">
        <f>IF(分析!L195&lt;&gt;"",分析!L195,"")</f>
        <v>-31.487535758071104</v>
      </c>
      <c r="Q26" s="166">
        <f>IF(分析!S195&lt;&gt;"",分析!S195,"")</f>
        <v>1609</v>
      </c>
      <c r="R26" s="166">
        <f>IF(分析!R195&lt;&gt;"",分析!R195,"")</f>
        <v>1811</v>
      </c>
      <c r="S26" s="161" t="str">
        <f>IF(分析!AA195&lt;&gt;"",分析!AA195,"")</f>
        <v>上昇▲</v>
      </c>
      <c r="T26" s="170">
        <f>IF(分析!Z195&lt;&gt;"",分析!Z195,"")</f>
        <v>1.5752802181157224</v>
      </c>
      <c r="U26" s="161" t="str">
        <f>IF(分析!V195&lt;&gt;"",分析!V195,"")</f>
        <v>通常</v>
      </c>
      <c r="V26" s="171">
        <f>IF(分析!W195&lt;&gt;"",分析!W195,"")</f>
        <v>28.675136116152444</v>
      </c>
      <c r="W26" s="172" t="str">
        <f>IF(分析!AD195&lt;&gt;"",分析!AD195,"")</f>
        <v>もみ合い→</v>
      </c>
      <c r="X26" s="173" t="str">
        <f>IF(分析!AE195&lt;&gt;"",分析!AE195,"")</f>
        <v>なし</v>
      </c>
      <c r="Y26" s="174">
        <f>IF(分析!T195&lt;&gt;"",分析!T195,"")</f>
        <v>3</v>
      </c>
      <c r="Z26" s="160" t="str">
        <f>IF(分析!Y195&lt;&gt;"",分析!Y195,"")</f>
        <v>様子見</v>
      </c>
    </row>
    <row r="27" spans="1:26" ht="21.95" customHeight="1">
      <c r="A27" s="161">
        <f>IF(分析!C131&lt;&gt;"",ROW()-2,"")</f>
        <v>25</v>
      </c>
      <c r="B27" s="162" t="str">
        <f>IF(分析!C131&lt;&gt;"",HYPERLINK("https://kabutan.jp/stock/?code="&amp;分析!C131,"株探"),"")</f>
        <v>株探</v>
      </c>
      <c r="C27" s="163">
        <f>IF(分析!C131&lt;&gt;"",分析!C131,"")</f>
        <v>4888</v>
      </c>
      <c r="D27" s="164" t="str">
        <f>IF(分析!D131&lt;&gt;"",分析!D131,"")</f>
        <v>ステラファーマ</v>
      </c>
      <c r="E27" s="165">
        <f>IF(分析!E131&lt;&gt;"",分析!E131,"")</f>
        <v>350</v>
      </c>
      <c r="F27" s="166">
        <f>IF(分析!F131&lt;&gt;"",分析!F131,"")</f>
        <v>333</v>
      </c>
      <c r="G27" s="166">
        <f>IF(分析!H131&lt;&gt;"",分析!H131,"")</f>
        <v>361</v>
      </c>
      <c r="H27" s="166">
        <f>IF(分析!I131&lt;&gt;"",分析!I131,"")</f>
        <v>333</v>
      </c>
      <c r="I27" s="166">
        <f>IF(分析!J131&lt;&gt;"",分析!J131,"")</f>
        <v>331200</v>
      </c>
      <c r="J27" s="166">
        <f>IF(分析!AB131&lt;&gt;"",分析!AB131,"")</f>
        <v>4183.2281059063125</v>
      </c>
      <c r="K27" s="166">
        <f>IF(分析!AC131&lt;&gt;"",分析!AC131,"")</f>
        <v>3861.5053635280087</v>
      </c>
      <c r="L27" s="166">
        <f>IF(分析!K131&lt;&gt;"",分析!K131,"")</f>
        <v>995</v>
      </c>
      <c r="M27" s="161" t="str">
        <f>IF(分析!P131&lt;&gt;"",分析!P131,"")</f>
        <v>普通→</v>
      </c>
      <c r="N27" s="167">
        <f>IF(分析!O131&lt;&gt;"",分析!O131,"")</f>
        <v>1.0813634582734752</v>
      </c>
      <c r="O27" s="168">
        <f>IF(分析!X131&lt;&gt;"",分析!X131,"")</f>
        <v>-15.107308180656503</v>
      </c>
      <c r="P27" s="169">
        <f>IF(分析!L131&lt;&gt;"",分析!L131,"")</f>
        <v>-64.824120603015075</v>
      </c>
      <c r="Q27" s="166">
        <f>IF(分析!S131&lt;&gt;"",分析!S131,"")</f>
        <v>336</v>
      </c>
      <c r="R27" s="166">
        <f>IF(分析!R131&lt;&gt;"",分析!R131,"")</f>
        <v>378</v>
      </c>
      <c r="S27" s="161" t="str">
        <f>IF(分析!AA131&lt;&gt;"",分析!AA131,"")</f>
        <v>上昇▲</v>
      </c>
      <c r="T27" s="170">
        <f>IF(分析!Z131&lt;&gt;"",分析!Z131,"")</f>
        <v>5.4216867469879517</v>
      </c>
      <c r="U27" s="161" t="str">
        <f>IF(分析!V131&lt;&gt;"",分析!V131,"")</f>
        <v>通常</v>
      </c>
      <c r="V27" s="171">
        <f>IF(分析!W131&lt;&gt;"",分析!W131,"")</f>
        <v>23.831775700934571</v>
      </c>
      <c r="W27" s="172" t="str">
        <f>IF(分析!AD131&lt;&gt;"",分析!AD131,"")</f>
        <v>もみ合い→</v>
      </c>
      <c r="X27" s="173" t="str">
        <f>IF(分析!AE131&lt;&gt;"",分析!AE131,"")</f>
        <v>なし</v>
      </c>
      <c r="Y27" s="174">
        <f>IF(分析!T131&lt;&gt;"",分析!T131,"")</f>
        <v>3</v>
      </c>
      <c r="Z27" s="160" t="str">
        <f>IF(分析!Y131&lt;&gt;"",分析!Y131,"")</f>
        <v>様子見</v>
      </c>
    </row>
    <row r="28" spans="1:26" ht="21.95" customHeight="1">
      <c r="A28" s="146">
        <f>IF(分析!C34&lt;&gt;"",ROW()-2,"")</f>
        <v>26</v>
      </c>
      <c r="B28" s="147" t="str">
        <f>IF(分析!C34&lt;&gt;"",HYPERLINK("https://kabutan.jp/stock/?code="&amp;分析!C34,"株探"),"")</f>
        <v>株探</v>
      </c>
      <c r="C28" s="148">
        <f>IF(分析!C34&lt;&gt;"",分析!C34,"")</f>
        <v>4966</v>
      </c>
      <c r="D28" s="149" t="str">
        <f>IF(分析!D34&lt;&gt;"",分析!D34,"")</f>
        <v>上村工業</v>
      </c>
      <c r="E28" s="150">
        <f>IF(分析!E34&lt;&gt;"",分析!E34,"")</f>
        <v>26340</v>
      </c>
      <c r="F28" s="151">
        <f>IF(分析!F34&lt;&gt;"",分析!F34,"")</f>
        <v>26000</v>
      </c>
      <c r="G28" s="151">
        <f>IF(分析!H34&lt;&gt;"",分析!H34,"")</f>
        <v>26440</v>
      </c>
      <c r="H28" s="151">
        <f>IF(分析!I34&lt;&gt;"",分析!I34,"")</f>
        <v>25750</v>
      </c>
      <c r="I28" s="151">
        <f>IF(分析!J34&lt;&gt;"",分析!J34,"")</f>
        <v>32600</v>
      </c>
      <c r="J28" s="151">
        <f>IF(分析!AB34&lt;&gt;"",分析!AB34,"")</f>
        <v>1725.2118126272908</v>
      </c>
      <c r="K28" s="151">
        <f>IF(分析!AC34&lt;&gt;"",分析!AC34,"")</f>
        <v>1700.2193087008338</v>
      </c>
      <c r="L28" s="151">
        <f>IF(分析!K34&lt;&gt;"",分析!K34,"")</f>
        <v>26960</v>
      </c>
      <c r="M28" s="146" t="str">
        <f>IF(分析!P34&lt;&gt;"",分析!P34,"")</f>
        <v>減少↓</v>
      </c>
      <c r="N28" s="152">
        <f>IF(分析!O34&lt;&gt;"",分析!O34,"")</f>
        <v>0.76418190342240977</v>
      </c>
      <c r="O28" s="153">
        <f>IF(分析!X34&lt;&gt;"",分析!X34,"")</f>
        <v>96.776256870954967</v>
      </c>
      <c r="P28" s="154">
        <f>IF(分析!L34&lt;&gt;"",分析!L34,"")</f>
        <v>-2.2997032640949553</v>
      </c>
      <c r="Q28" s="151">
        <f>IF(分析!S34&lt;&gt;"",分析!S34,"")</f>
        <v>25286</v>
      </c>
      <c r="R28" s="151">
        <f>IF(分析!R34&lt;&gt;"",分析!R34,"")</f>
        <v>28447</v>
      </c>
      <c r="S28" s="146" t="str">
        <f>IF(分析!AA34&lt;&gt;"",分析!AA34,"")</f>
        <v>下落▼</v>
      </c>
      <c r="T28" s="155">
        <f>IF(分析!Z34&lt;&gt;"",分析!Z34,"")</f>
        <v>-0.26505111700113593</v>
      </c>
      <c r="U28" s="146" t="str">
        <f>IF(分析!V34&lt;&gt;"",分析!V34,"")</f>
        <v>高値圏</v>
      </c>
      <c r="V28" s="156">
        <f>IF(分析!W34&lt;&gt;"",分析!W34,"")</f>
        <v>66.710875331564978</v>
      </c>
      <c r="W28" s="157" t="str">
        <f>IF(分析!AD34&lt;&gt;"",分析!AD34,"")</f>
        <v>パーフェクト▲</v>
      </c>
      <c r="X28" s="158" t="str">
        <f>IF(分析!AE34&lt;&gt;"",分析!AE34,"")</f>
        <v>なし</v>
      </c>
      <c r="Y28" s="159">
        <f>IF(分析!T34&lt;&gt;"",分析!T34,"")</f>
        <v>6</v>
      </c>
      <c r="Z28" s="160" t="str">
        <f>IF(分析!Y34&lt;&gt;"",分析!Y34,"")</f>
        <v>△注目</v>
      </c>
    </row>
    <row r="29" spans="1:26" ht="21.95" customHeight="1">
      <c r="A29" s="146">
        <f>IF(分析!C88&lt;&gt;"",ROW()-2,"")</f>
        <v>27</v>
      </c>
      <c r="B29" s="147" t="str">
        <f>IF(分析!C88&lt;&gt;"",HYPERLINK("https://kabutan.jp/stock/?code="&amp;分析!C88,"株探"),"")</f>
        <v>株探</v>
      </c>
      <c r="C29" s="148">
        <f>IF(分析!C88&lt;&gt;"",分析!C88,"")</f>
        <v>5021</v>
      </c>
      <c r="D29" s="149" t="str">
        <f>IF(分析!D88&lt;&gt;"",分析!D88,"")</f>
        <v>コスモエネルギーＨＬＤＧＳ</v>
      </c>
      <c r="E29" s="150">
        <f>IF(分析!E88&lt;&gt;"",分析!E88,"")</f>
        <v>3669</v>
      </c>
      <c r="F29" s="151">
        <f>IF(分析!F88&lt;&gt;"",分析!F88,"")</f>
        <v>3690</v>
      </c>
      <c r="G29" s="151">
        <f>IF(分析!H88&lt;&gt;"",分析!H88,"")</f>
        <v>3693</v>
      </c>
      <c r="H29" s="151">
        <f>IF(分析!I88&lt;&gt;"",分析!I88,"")</f>
        <v>3617</v>
      </c>
      <c r="I29" s="151">
        <f>IF(分析!J88&lt;&gt;"",分析!J88,"")</f>
        <v>524700</v>
      </c>
      <c r="J29" s="151">
        <f>IF(分析!AB88&lt;&gt;"",分析!AB88,"")</f>
        <v>4294.6181262729124</v>
      </c>
      <c r="K29" s="151">
        <f>IF(分析!AC88&lt;&gt;"",分析!AC88,"")</f>
        <v>4057.2824791418334</v>
      </c>
      <c r="L29" s="151">
        <f>IF(分析!K88&lt;&gt;"",分析!K88,"")</f>
        <v>5034</v>
      </c>
      <c r="M29" s="146" t="str">
        <f>IF(分析!P88&lt;&gt;"",分析!P88,"")</f>
        <v>減少↓</v>
      </c>
      <c r="N29" s="152">
        <f>IF(分析!O88&lt;&gt;"",分析!O88,"")</f>
        <v>0.74124826943180855</v>
      </c>
      <c r="O29" s="153">
        <f>IF(分析!X88&lt;&gt;"",分析!X88,"")</f>
        <v>-19.730722539095041</v>
      </c>
      <c r="P29" s="154">
        <f>IF(分析!L88&lt;&gt;"",分析!L88,"")</f>
        <v>-27.115613825983313</v>
      </c>
      <c r="Q29" s="151">
        <f>IF(分析!S88&lt;&gt;"",分析!S88,"")</f>
        <v>3522</v>
      </c>
      <c r="R29" s="151">
        <f>IF(分析!R88&lt;&gt;"",分析!R88,"")</f>
        <v>3963</v>
      </c>
      <c r="S29" s="146" t="str">
        <f>IF(分析!AA88&lt;&gt;"",分析!AA88,"")</f>
        <v>下落▼</v>
      </c>
      <c r="T29" s="155">
        <f>IF(分析!Z88&lt;&gt;"",分析!Z88,"")</f>
        <v>-0.19042437431991296</v>
      </c>
      <c r="U29" s="146" t="str">
        <f>IF(分析!V88&lt;&gt;"",分析!V88,"")</f>
        <v>通常</v>
      </c>
      <c r="V29" s="156">
        <f>IF(分析!W88&lt;&gt;"",分析!W88,"")</f>
        <v>49.77116704805492</v>
      </c>
      <c r="W29" s="157" t="str">
        <f>IF(分析!AD88&lt;&gt;"",分析!AD88,"")</f>
        <v>もみ合い→</v>
      </c>
      <c r="X29" s="158" t="str">
        <f>IF(分析!AE88&lt;&gt;"",分析!AE88,"")</f>
        <v>なし</v>
      </c>
      <c r="Y29" s="159">
        <f>IF(分析!T88&lt;&gt;"",分析!T88,"")</f>
        <v>-1</v>
      </c>
      <c r="Z29" s="160" t="str">
        <f>IF(分析!Y88&lt;&gt;"",分析!Y88,"")</f>
        <v>見送り</v>
      </c>
    </row>
    <row r="30" spans="1:26" ht="21.95" customHeight="1">
      <c r="A30" s="146">
        <f>IF(分析!C170&lt;&gt;"",ROW()-2,"")</f>
        <v>28</v>
      </c>
      <c r="B30" s="147" t="str">
        <f>IF(分析!C170&lt;&gt;"",HYPERLINK("https://kabutan.jp/stock/?code="&amp;分析!C170,"株探"),"")</f>
        <v>株探</v>
      </c>
      <c r="C30" s="148">
        <f>IF(分析!C170&lt;&gt;"",分析!C170,"")</f>
        <v>5233</v>
      </c>
      <c r="D30" s="149" t="str">
        <f>IF(分析!D170&lt;&gt;"",分析!D170,"")</f>
        <v>太平洋セメント</v>
      </c>
      <c r="E30" s="150">
        <f>IF(分析!E170&lt;&gt;"",分析!E170,"")</f>
        <v>4425</v>
      </c>
      <c r="F30" s="151">
        <f>IF(分析!F170&lt;&gt;"",分析!F170,"")</f>
        <v>4367</v>
      </c>
      <c r="G30" s="151">
        <f>IF(分析!H170&lt;&gt;"",分析!H170,"")</f>
        <v>4447</v>
      </c>
      <c r="H30" s="151">
        <f>IF(分析!I170&lt;&gt;"",分析!I170,"")</f>
        <v>4302</v>
      </c>
      <c r="I30" s="151">
        <f>IF(分析!J170&lt;&gt;"",分析!J170,"")</f>
        <v>606300</v>
      </c>
      <c r="J30" s="151">
        <f>IF(分析!AB170&lt;&gt;"",分析!AB170,"")</f>
        <v>1441.4460285132377</v>
      </c>
      <c r="K30" s="151">
        <f>IF(分析!AC170&lt;&gt;"",分析!AC170,"")</f>
        <v>1456.0232419547076</v>
      </c>
      <c r="L30" s="151">
        <f>IF(分析!K170&lt;&gt;"",分析!K170,"")</f>
        <v>4968</v>
      </c>
      <c r="M30" s="146" t="str">
        <f>IF(分析!P170&lt;&gt;"",分析!P170,"")</f>
        <v>減少↓</v>
      </c>
      <c r="N30" s="152">
        <f>IF(分析!O170&lt;&gt;"",分析!O170,"")</f>
        <v>0.85941486647389009</v>
      </c>
      <c r="O30" s="153">
        <f>IF(分析!X170&lt;&gt;"",分析!X170,"")</f>
        <v>36.447366849893115</v>
      </c>
      <c r="P30" s="154">
        <f>IF(分析!L170&lt;&gt;"",分析!L170,"")</f>
        <v>-10.929951690821255</v>
      </c>
      <c r="Q30" s="151">
        <f>IF(分析!S170&lt;&gt;"",分析!S170,"")</f>
        <v>4248</v>
      </c>
      <c r="R30" s="151">
        <f>IF(分析!R170&lt;&gt;"",分析!R170,"")</f>
        <v>4779</v>
      </c>
      <c r="S30" s="146" t="str">
        <f>IF(分析!AA170&lt;&gt;"",分析!AA170,"")</f>
        <v>上昇▲</v>
      </c>
      <c r="T30" s="155">
        <f>IF(分析!Z170&lt;&gt;"",分析!Z170,"")</f>
        <v>1.2585812356979404</v>
      </c>
      <c r="U30" s="146" t="str">
        <f>IF(分析!V170&lt;&gt;"",分析!V170,"")</f>
        <v>通常</v>
      </c>
      <c r="V30" s="156">
        <f>IF(分析!W170&lt;&gt;"",分析!W170,"")</f>
        <v>58.569299552906109</v>
      </c>
      <c r="W30" s="157" t="str">
        <f>IF(分析!AD170&lt;&gt;"",分析!AD170,"")</f>
        <v>上昇トレンド▲</v>
      </c>
      <c r="X30" s="158" t="str">
        <f>IF(分析!AE170&lt;&gt;"",分析!AE170,"")</f>
        <v>なし</v>
      </c>
      <c r="Y30" s="159">
        <f>IF(分析!T170&lt;&gt;"",分析!T170,"")</f>
        <v>8</v>
      </c>
      <c r="Z30" s="160" t="str">
        <f>IF(分析!Y170&lt;&gt;"",分析!Y170,"")</f>
        <v>△注目</v>
      </c>
    </row>
    <row r="31" spans="1:26" ht="21.95" customHeight="1">
      <c r="A31" s="146">
        <f>IF(分析!C138&lt;&gt;"",ROW()-2,"")</f>
        <v>29</v>
      </c>
      <c r="B31" s="147" t="str">
        <f>IF(分析!C138&lt;&gt;"",HYPERLINK("https://kabutan.jp/stock/?code="&amp;分析!C138,"株探"),"")</f>
        <v>株探</v>
      </c>
      <c r="C31" s="148">
        <f>IF(分析!C138&lt;&gt;"",分析!C138,"")</f>
        <v>5243</v>
      </c>
      <c r="D31" s="149" t="str">
        <f>IF(分析!D138&lt;&gt;"",分析!D138,"")</f>
        <v>ＮＯＴＥ</v>
      </c>
      <c r="E31" s="150">
        <f>IF(分析!E138&lt;&gt;"",分析!E138,"")</f>
        <v>1821</v>
      </c>
      <c r="F31" s="151">
        <f>IF(分析!F138&lt;&gt;"",分析!F138,"")</f>
        <v>1749</v>
      </c>
      <c r="G31" s="151">
        <f>IF(分析!H138&lt;&gt;"",分析!H138,"")</f>
        <v>1855</v>
      </c>
      <c r="H31" s="151">
        <f>IF(分析!I138&lt;&gt;"",分析!I138,"")</f>
        <v>1720</v>
      </c>
      <c r="I31" s="151">
        <f>IF(分析!J138&lt;&gt;"",分析!J138,"")</f>
        <v>265800</v>
      </c>
      <c r="J31" s="151">
        <f>IF(分析!AB138&lt;&gt;"",分析!AB138,"")</f>
        <v>50.876782077393059</v>
      </c>
      <c r="K31" s="151">
        <f>IF(分析!AC138&lt;&gt;"",分析!AC138,"")</f>
        <v>57.576877234803312</v>
      </c>
      <c r="L31" s="151">
        <f>IF(分析!K138&lt;&gt;"",分析!K138,"")</f>
        <v>3405</v>
      </c>
      <c r="M31" s="146" t="str">
        <f>IF(分析!P138&lt;&gt;"",分析!P138,"")</f>
        <v>普通→</v>
      </c>
      <c r="N31" s="152">
        <f>IF(分析!O138&lt;&gt;"",分析!O138,"")</f>
        <v>1.3153206650831355</v>
      </c>
      <c r="O31" s="153">
        <f>IF(分析!X138&lt;&gt;"",分析!X138,"")</f>
        <v>-66.329091024879745</v>
      </c>
      <c r="P31" s="154">
        <f>IF(分析!L138&lt;&gt;"",分析!L138,"")</f>
        <v>-46.519823788546255</v>
      </c>
      <c r="Q31" s="151">
        <f>IF(分析!S138&lt;&gt;"",分析!S138,"")</f>
        <v>1748</v>
      </c>
      <c r="R31" s="151">
        <f>IF(分析!R138&lt;&gt;"",分析!R138,"")</f>
        <v>1967</v>
      </c>
      <c r="S31" s="146" t="str">
        <f>IF(分析!AA138&lt;&gt;"",分析!AA138,"")</f>
        <v>上昇▲</v>
      </c>
      <c r="T31" s="155">
        <f>IF(分析!Z138&lt;&gt;"",分析!Z138,"")</f>
        <v>5.3819444444444446</v>
      </c>
      <c r="U31" s="146" t="str">
        <f>IF(分析!V138&lt;&gt;"",分析!V138,"")</f>
        <v>通常</v>
      </c>
      <c r="V31" s="156">
        <f>IF(分析!W138&lt;&gt;"",分析!W138,"")</f>
        <v>20.129032258064512</v>
      </c>
      <c r="W31" s="157" t="str">
        <f>IF(分析!AD138&lt;&gt;"",分析!AD138,"")</f>
        <v>上昇トレンド▲</v>
      </c>
      <c r="X31" s="158" t="str">
        <f>IF(分析!AE138&lt;&gt;"",分析!AE138,"")</f>
        <v>なし</v>
      </c>
      <c r="Y31" s="159">
        <f>IF(分析!T138&lt;&gt;"",分析!T138,"")</f>
        <v>5</v>
      </c>
      <c r="Z31" s="160" t="str">
        <f>IF(分析!Y138&lt;&gt;"",分析!Y138,"")</f>
        <v>様子見</v>
      </c>
    </row>
    <row r="32" spans="1:26" ht="21.95" customHeight="1">
      <c r="A32" s="161">
        <f>IF(分析!C173&lt;&gt;"",ROW()-2,"")</f>
        <v>30</v>
      </c>
      <c r="B32" s="162" t="str">
        <f>IF(分析!C173&lt;&gt;"",HYPERLINK("https://kabutan.jp/stock/?code="&amp;分析!C173,"株探"),"")</f>
        <v>株探</v>
      </c>
      <c r="C32" s="163">
        <f>IF(分析!C173&lt;&gt;"",分析!C173,"")</f>
        <v>5401</v>
      </c>
      <c r="D32" s="164" t="str">
        <f>IF(分析!D173&lt;&gt;"",分析!D173,"")</f>
        <v>日本製鉄</v>
      </c>
      <c r="E32" s="165">
        <f>IF(分析!E173&lt;&gt;"",分析!E173,"")</f>
        <v>557.5</v>
      </c>
      <c r="F32" s="166">
        <f>IF(分析!F173&lt;&gt;"",分析!F173,"")</f>
        <v>566</v>
      </c>
      <c r="G32" s="166">
        <f>IF(分析!H173&lt;&gt;"",分析!H173,"")</f>
        <v>566.29999999999995</v>
      </c>
      <c r="H32" s="166">
        <f>IF(分析!I173&lt;&gt;"",分析!I173,"")</f>
        <v>556.6</v>
      </c>
      <c r="I32" s="166">
        <f>IF(分析!J173&lt;&gt;"",分析!J173,"")</f>
        <v>23078200</v>
      </c>
      <c r="J32" s="166">
        <f>IF(分析!AB173&lt;&gt;"",分析!AB173,"")</f>
        <v>6131.4124236252537</v>
      </c>
      <c r="K32" s="166">
        <f>IF(分析!AC173&lt;&gt;"",分析!AC173,"")</f>
        <v>6154.261025029793</v>
      </c>
      <c r="L32" s="166">
        <f>IF(分析!K173&lt;&gt;"",分析!K173,"")</f>
        <v>699.8</v>
      </c>
      <c r="M32" s="161" t="str">
        <f>IF(分析!P173&lt;&gt;"",分析!P173,"")</f>
        <v>減少↓</v>
      </c>
      <c r="N32" s="167">
        <f>IF(分析!O173&lt;&gt;"",分析!O173,"")</f>
        <v>0.86103240913123713</v>
      </c>
      <c r="O32" s="168">
        <f>IF(分析!X173&lt;&gt;"",分析!X173,"")</f>
        <v>-0.93965208427005109</v>
      </c>
      <c r="P32" s="169">
        <f>IF(分析!L173&lt;&gt;"",分析!L173,"")</f>
        <v>-20.334381251786219</v>
      </c>
      <c r="Q32" s="166">
        <f>IF(分析!S173&lt;&gt;"",分析!S173,"")</f>
        <v>535</v>
      </c>
      <c r="R32" s="166">
        <f>IF(分析!R173&lt;&gt;"",分析!R173,"")</f>
        <v>602</v>
      </c>
      <c r="S32" s="161" t="str">
        <f>IF(分析!AA173&lt;&gt;"",分析!AA173,"")</f>
        <v>下落▼</v>
      </c>
      <c r="T32" s="170">
        <f>IF(分析!Z173&lt;&gt;"",分析!Z173,"")</f>
        <v>-1.5017667844522968</v>
      </c>
      <c r="U32" s="161" t="str">
        <f>IF(分析!V173&lt;&gt;"",分析!V173,"")</f>
        <v>通常</v>
      </c>
      <c r="V32" s="171">
        <f>IF(分析!W173&lt;&gt;"",分析!W173,"")</f>
        <v>54.328621908127182</v>
      </c>
      <c r="W32" s="172" t="str">
        <f>IF(分析!AD173&lt;&gt;"",分析!AD173,"")</f>
        <v>下降トレンド▼</v>
      </c>
      <c r="X32" s="173" t="str">
        <f>IF(分析!AE173&lt;&gt;"",分析!AE173,"")</f>
        <v>なし</v>
      </c>
      <c r="Y32" s="174">
        <f>IF(分析!T173&lt;&gt;"",分析!T173,"")</f>
        <v>-1</v>
      </c>
      <c r="Z32" s="160" t="str">
        <f>IF(分析!Y173&lt;&gt;"",分析!Y173,"")</f>
        <v>見送り</v>
      </c>
    </row>
    <row r="33" spans="1:26" ht="21.95" customHeight="1">
      <c r="A33" s="146">
        <f>IF(分析!C118&lt;&gt;"",ROW()-2,"")</f>
        <v>31</v>
      </c>
      <c r="B33" s="147" t="str">
        <f>IF(分析!C118&lt;&gt;"",HYPERLINK("https://kabutan.jp/stock/?code="&amp;分析!C118,"株探"),"")</f>
        <v>株探</v>
      </c>
      <c r="C33" s="148">
        <f>IF(分析!C118&lt;&gt;"",分析!C118,"")</f>
        <v>5410</v>
      </c>
      <c r="D33" s="149" t="str">
        <f>IF(分析!D118&lt;&gt;"",分析!D118,"")</f>
        <v>合同製鐵</v>
      </c>
      <c r="E33" s="150">
        <f>IF(分析!E118&lt;&gt;"",分析!E118,"")</f>
        <v>2617</v>
      </c>
      <c r="F33" s="151">
        <f>IF(分析!F118&lt;&gt;"",分析!F118,"")</f>
        <v>2610</v>
      </c>
      <c r="G33" s="151">
        <f>IF(分析!H118&lt;&gt;"",分析!H118,"")</f>
        <v>2668</v>
      </c>
      <c r="H33" s="151">
        <f>IF(分析!I118&lt;&gt;"",分析!I118,"")</f>
        <v>2609</v>
      </c>
      <c r="I33" s="151">
        <f>IF(分析!J118&lt;&gt;"",分析!J118,"")</f>
        <v>101300</v>
      </c>
      <c r="J33" s="151">
        <f>IF(分析!AB118&lt;&gt;"",分析!AB118,"")</f>
        <v>4233.7474541751526</v>
      </c>
      <c r="K33" s="151">
        <f>IF(分析!AC118&lt;&gt;"",分析!AC118,"")</f>
        <v>4454.0107270560175</v>
      </c>
      <c r="L33" s="151">
        <f>IF(分析!K118&lt;&gt;"",分析!K118,"")</f>
        <v>4280</v>
      </c>
      <c r="M33" s="146" t="str">
        <f>IF(分析!P118&lt;&gt;"",分析!P118,"")</f>
        <v>減少↓</v>
      </c>
      <c r="N33" s="152">
        <f>IF(分析!O118&lt;&gt;"",分析!O118,"")</f>
        <v>0.92410144134282068</v>
      </c>
      <c r="O33" s="153">
        <f>IF(分析!X118&lt;&gt;"",分析!X118,"")</f>
        <v>-24.178616775259343</v>
      </c>
      <c r="P33" s="154">
        <f>IF(分析!L118&lt;&gt;"",分析!L118,"")</f>
        <v>-38.855140186915889</v>
      </c>
      <c r="Q33" s="151">
        <f>IF(分析!S118&lt;&gt;"",分析!S118,"")</f>
        <v>2512</v>
      </c>
      <c r="R33" s="151">
        <f>IF(分析!R118&lt;&gt;"",分析!R118,"")</f>
        <v>2826</v>
      </c>
      <c r="S33" s="146" t="str">
        <f>IF(分析!AA118&lt;&gt;"",分析!AA118,"")</f>
        <v>上昇▲</v>
      </c>
      <c r="T33" s="155">
        <f>IF(分析!Z118&lt;&gt;"",分析!Z118,"")</f>
        <v>0.88666152659984576</v>
      </c>
      <c r="U33" s="146" t="str">
        <f>IF(分析!V118&lt;&gt;"",分析!V118,"")</f>
        <v>通常</v>
      </c>
      <c r="V33" s="156">
        <f>IF(分析!W118&lt;&gt;"",分析!W118,"")</f>
        <v>43.415637860082299</v>
      </c>
      <c r="W33" s="157" t="str">
        <f>IF(分析!AD118&lt;&gt;"",分析!AD118,"")</f>
        <v>下降トレンド▼</v>
      </c>
      <c r="X33" s="158" t="str">
        <f>IF(分析!AE118&lt;&gt;"",分析!AE118,"")</f>
        <v>なし</v>
      </c>
      <c r="Y33" s="159">
        <f>IF(分析!T118&lt;&gt;"",分析!T118,"")</f>
        <v>0</v>
      </c>
      <c r="Z33" s="160" t="str">
        <f>IF(分析!Y118&lt;&gt;"",分析!Y118,"")</f>
        <v>見送り</v>
      </c>
    </row>
    <row r="34" spans="1:26" ht="21.95" customHeight="1">
      <c r="A34" s="146">
        <f>IF(分析!C156&lt;&gt;"",ROW()-2,"")</f>
        <v>32</v>
      </c>
      <c r="B34" s="147" t="str">
        <f>IF(分析!C156&lt;&gt;"",HYPERLINK("https://kabutan.jp/stock/?code="&amp;分析!C156,"株探"),"")</f>
        <v>株探</v>
      </c>
      <c r="C34" s="148">
        <f>IF(分析!C156&lt;&gt;"",分析!C156,"")</f>
        <v>5440</v>
      </c>
      <c r="D34" s="149" t="str">
        <f>IF(分析!D156&lt;&gt;"",分析!D156,"")</f>
        <v>共英製鋼</v>
      </c>
      <c r="E34" s="150">
        <f>IF(分析!E156&lt;&gt;"",分析!E156,"")</f>
        <v>1755</v>
      </c>
      <c r="F34" s="151">
        <f>IF(分析!F156&lt;&gt;"",分析!F156,"")</f>
        <v>1744</v>
      </c>
      <c r="G34" s="151">
        <f>IF(分析!H156&lt;&gt;"",分析!H156,"")</f>
        <v>1787</v>
      </c>
      <c r="H34" s="151">
        <f>IF(分析!I156&lt;&gt;"",分析!I156,"")</f>
        <v>1742</v>
      </c>
      <c r="I34" s="151">
        <f>IF(分析!J156&lt;&gt;"",分析!J156,"")</f>
        <v>113000</v>
      </c>
      <c r="J34" s="151">
        <f>IF(分析!AB156&lt;&gt;"",分析!AB156,"")</f>
        <v>28554.745417515271</v>
      </c>
      <c r="K34" s="151">
        <f>IF(分析!AC156&lt;&gt;"",分析!AC156,"")</f>
        <v>27328.802145411188</v>
      </c>
      <c r="L34" s="151">
        <f>IF(分析!K156&lt;&gt;"",分析!K156,"")</f>
        <v>2696</v>
      </c>
      <c r="M34" s="146" t="str">
        <f>IF(分析!P156&lt;&gt;"",分析!P156,"")</f>
        <v>普通→</v>
      </c>
      <c r="N34" s="152">
        <f>IF(分析!O156&lt;&gt;"",分析!O156,"")</f>
        <v>1.0378398236590742</v>
      </c>
      <c r="O34" s="153">
        <f>IF(分析!X156&lt;&gt;"",分析!X156,"")</f>
        <v>-14.513134903418177</v>
      </c>
      <c r="P34" s="154">
        <f>IF(分析!L156&lt;&gt;"",分析!L156,"")</f>
        <v>-34.903560830860535</v>
      </c>
      <c r="Q34" s="151">
        <f>IF(分析!S156&lt;&gt;"",分析!S156,"")</f>
        <v>1685</v>
      </c>
      <c r="R34" s="151">
        <f>IF(分析!R156&lt;&gt;"",分析!R156,"")</f>
        <v>1895</v>
      </c>
      <c r="S34" s="146" t="str">
        <f>IF(分析!AA156&lt;&gt;"",分析!AA156,"")</f>
        <v>上昇▲</v>
      </c>
      <c r="T34" s="155">
        <f>IF(分析!Z156&lt;&gt;"",分析!Z156,"")</f>
        <v>0.11409013120365087</v>
      </c>
      <c r="U34" s="146" t="str">
        <f>IF(分析!V156&lt;&gt;"",分析!V156,"")</f>
        <v>通常</v>
      </c>
      <c r="V34" s="156">
        <f>IF(分析!W156&lt;&gt;"",分析!W156,"")</f>
        <v>30.290456431535276</v>
      </c>
      <c r="W34" s="157" t="str">
        <f>IF(分析!AD156&lt;&gt;"",分析!AD156,"")</f>
        <v>もみ合い→</v>
      </c>
      <c r="X34" s="158" t="str">
        <f>IF(分析!AE156&lt;&gt;"",分析!AE156,"")</f>
        <v>なし</v>
      </c>
      <c r="Y34" s="159">
        <f>IF(分析!T156&lt;&gt;"",分析!T156,"")</f>
        <v>2</v>
      </c>
      <c r="Z34" s="160" t="str">
        <f>IF(分析!Y156&lt;&gt;"",分析!Y156,"")</f>
        <v>見送り</v>
      </c>
    </row>
    <row r="35" spans="1:26" ht="21.95" customHeight="1">
      <c r="A35" s="161">
        <f>IF(分析!C97&lt;&gt;"",ROW()-2,"")</f>
        <v>33</v>
      </c>
      <c r="B35" s="162" t="str">
        <f>IF(分析!C97&lt;&gt;"",HYPERLINK("https://kabutan.jp/stock/?code="&amp;分析!C97,"株探"),"")</f>
        <v>株探</v>
      </c>
      <c r="C35" s="163">
        <f>IF(分析!C97&lt;&gt;"",分析!C97,"")</f>
        <v>5449</v>
      </c>
      <c r="D35" s="164" t="str">
        <f>IF(分析!D97&lt;&gt;"",分析!D97,"")</f>
        <v>大阪製鐵</v>
      </c>
      <c r="E35" s="165">
        <f>IF(分析!E97&lt;&gt;"",分析!E97,"")</f>
        <v>2238</v>
      </c>
      <c r="F35" s="166">
        <f>IF(分析!F97&lt;&gt;"",分析!F97,"")</f>
        <v>2380</v>
      </c>
      <c r="G35" s="166">
        <f>IF(分析!H97&lt;&gt;"",分析!H97,"")</f>
        <v>2401</v>
      </c>
      <c r="H35" s="166">
        <f>IF(分析!I97&lt;&gt;"",分析!I97,"")</f>
        <v>2238</v>
      </c>
      <c r="I35" s="166">
        <f>IF(分析!J97&lt;&gt;"",分析!J97,"")</f>
        <v>91100</v>
      </c>
      <c r="J35" s="166">
        <f>IF(分析!AB97&lt;&gt;"",分析!AB97,"")</f>
        <v>3783.163951120162</v>
      </c>
      <c r="K35" s="166">
        <f>IF(分析!AC97&lt;&gt;"",分析!AC97,"")</f>
        <v>3932.8271752085802</v>
      </c>
      <c r="L35" s="166">
        <f>IF(分析!K97&lt;&gt;"",分析!K97,"")</f>
        <v>3935</v>
      </c>
      <c r="M35" s="161" t="str">
        <f>IF(分析!P97&lt;&gt;"",分析!P97,"")</f>
        <v>増加↑</v>
      </c>
      <c r="N35" s="167">
        <f>IF(分析!O97&lt;&gt;"",分析!O97,"")</f>
        <v>1.8853476821192052</v>
      </c>
      <c r="O35" s="168">
        <f>IF(分析!X97&lt;&gt;"",分析!X97,"")</f>
        <v>-20.047815028717196</v>
      </c>
      <c r="P35" s="169">
        <f>IF(分析!L97&lt;&gt;"",分析!L97,"")</f>
        <v>-43.125794155019058</v>
      </c>
      <c r="Q35" s="166">
        <f>IF(分析!S97&lt;&gt;"",分析!S97,"")</f>
        <v>2148</v>
      </c>
      <c r="R35" s="166">
        <f>IF(分析!R97&lt;&gt;"",分析!R97,"")</f>
        <v>2417</v>
      </c>
      <c r="S35" s="161" t="str">
        <f>IF(分析!AA97&lt;&gt;"",分析!AA97,"")</f>
        <v>下落▼</v>
      </c>
      <c r="T35" s="170">
        <f>IF(分析!Z97&lt;&gt;"",分析!Z97,"")</f>
        <v>-6.982543640897755</v>
      </c>
      <c r="U35" s="161" t="str">
        <f>IF(分析!V97&lt;&gt;"",分析!V97,"")</f>
        <v>通常</v>
      </c>
      <c r="V35" s="171">
        <f>IF(分析!W97&lt;&gt;"",分析!W97,"")</f>
        <v>44.191343963553528</v>
      </c>
      <c r="W35" s="172" t="str">
        <f>IF(分析!AD97&lt;&gt;"",分析!AD97,"")</f>
        <v>下降トレンド▼</v>
      </c>
      <c r="X35" s="173" t="str">
        <f>IF(分析!AE97&lt;&gt;"",分析!AE97,"")</f>
        <v>なし</v>
      </c>
      <c r="Y35" s="174">
        <f>IF(分析!T97&lt;&gt;"",分析!T97,"")</f>
        <v>2</v>
      </c>
      <c r="Z35" s="160" t="str">
        <f>IF(分析!Y97&lt;&gt;"",分析!Y97,"")</f>
        <v>見送り</v>
      </c>
    </row>
    <row r="36" spans="1:26" ht="21.95" customHeight="1">
      <c r="A36" s="146">
        <f>IF(分析!C90&lt;&gt;"",ROW()-2,"")</f>
        <v>34</v>
      </c>
      <c r="B36" s="147" t="str">
        <f>IF(分析!C90&lt;&gt;"",HYPERLINK("https://kabutan.jp/stock/?code="&amp;分析!C90,"株探"),"")</f>
        <v>株探</v>
      </c>
      <c r="C36" s="148">
        <f>IF(分析!C90&lt;&gt;"",分析!C90,"")</f>
        <v>5541</v>
      </c>
      <c r="D36" s="149" t="str">
        <f>IF(分析!D90&lt;&gt;"",分析!D90,"")</f>
        <v>大平洋金属</v>
      </c>
      <c r="E36" s="150">
        <f>IF(分析!E90&lt;&gt;"",分析!E90,"")</f>
        <v>2285</v>
      </c>
      <c r="F36" s="151">
        <f>IF(分析!F90&lt;&gt;"",分析!F90,"")</f>
        <v>2260</v>
      </c>
      <c r="G36" s="151">
        <f>IF(分析!H90&lt;&gt;"",分析!H90,"")</f>
        <v>2316</v>
      </c>
      <c r="H36" s="151">
        <f>IF(分析!I90&lt;&gt;"",分析!I90,"")</f>
        <v>2257</v>
      </c>
      <c r="I36" s="151">
        <f>IF(分析!J90&lt;&gt;"",分析!J90,"")</f>
        <v>138100</v>
      </c>
      <c r="J36" s="151">
        <f>IF(分析!AB90&lt;&gt;"",分析!AB90,"")</f>
        <v>7960.5050916496921</v>
      </c>
      <c r="K36" s="151">
        <f>IF(分析!AC90&lt;&gt;"",分析!AC90,"")</f>
        <v>7761.5435041716319</v>
      </c>
      <c r="L36" s="151">
        <f>IF(分析!K90&lt;&gt;"",分析!K90,"")</f>
        <v>3865</v>
      </c>
      <c r="M36" s="146" t="str">
        <f>IF(分析!P90&lt;&gt;"",分析!P90,"")</f>
        <v>減少↓</v>
      </c>
      <c r="N36" s="152">
        <f>IF(分析!O90&lt;&gt;"",分析!O90,"")</f>
        <v>0.54775503728383312</v>
      </c>
      <c r="O36" s="153">
        <f>IF(分析!X90&lt;&gt;"",分析!X90,"")</f>
        <v>-6.5698080313950413</v>
      </c>
      <c r="P36" s="154">
        <f>IF(分析!L90&lt;&gt;"",分析!L90,"")</f>
        <v>-40.879689521345405</v>
      </c>
      <c r="Q36" s="151">
        <f>IF(分析!S90&lt;&gt;"",分析!S90,"")</f>
        <v>2194</v>
      </c>
      <c r="R36" s="151">
        <f>IF(分析!R90&lt;&gt;"",分析!R90,"")</f>
        <v>2468</v>
      </c>
      <c r="S36" s="146" t="str">
        <f>IF(分析!AA90&lt;&gt;"",分析!AA90,"")</f>
        <v>上昇▲</v>
      </c>
      <c r="T36" s="155">
        <f>IF(分析!Z90&lt;&gt;"",分析!Z90,"")</f>
        <v>0.61646851607221487</v>
      </c>
      <c r="U36" s="146" t="str">
        <f>IF(分析!V90&lt;&gt;"",分析!V90,"")</f>
        <v>通常</v>
      </c>
      <c r="V36" s="156">
        <f>IF(分析!W90&lt;&gt;"",分析!W90,"")</f>
        <v>53.422818791946312</v>
      </c>
      <c r="W36" s="157" t="str">
        <f>IF(分析!AD90&lt;&gt;"",分析!AD90,"")</f>
        <v>もみ合い→</v>
      </c>
      <c r="X36" s="158" t="str">
        <f>IF(分析!AE90&lt;&gt;"",分析!AE90,"")</f>
        <v>なし</v>
      </c>
      <c r="Y36" s="159">
        <f>IF(分析!T90&lt;&gt;"",分析!T90,"")</f>
        <v>0</v>
      </c>
      <c r="Z36" s="160" t="str">
        <f>IF(分析!Y90&lt;&gt;"",分析!Y90,"")</f>
        <v>見送り</v>
      </c>
    </row>
    <row r="37" spans="1:26" ht="21.95" customHeight="1">
      <c r="A37" s="146">
        <f>IF(分析!C58&lt;&gt;"",ROW()-2,"")</f>
        <v>35</v>
      </c>
      <c r="B37" s="147" t="str">
        <f>IF(分析!C58&lt;&gt;"",HYPERLINK("https://kabutan.jp/stock/?code="&amp;分析!C58,"株探"),"")</f>
        <v>株探</v>
      </c>
      <c r="C37" s="148">
        <f>IF(分析!C58&lt;&gt;"",分析!C58,"")</f>
        <v>5803</v>
      </c>
      <c r="D37" s="149" t="str">
        <f>IF(分析!D58&lt;&gt;"",分析!D58,"")</f>
        <v>フジクラ</v>
      </c>
      <c r="E37" s="150">
        <f>IF(分析!E58&lt;&gt;"",分析!E58,"")</f>
        <v>4729</v>
      </c>
      <c r="F37" s="151">
        <f>IF(分析!F58&lt;&gt;"",分析!F58,"")</f>
        <v>4600</v>
      </c>
      <c r="G37" s="151">
        <f>IF(分析!H58&lt;&gt;"",分析!H58,"")</f>
        <v>4763</v>
      </c>
      <c r="H37" s="151">
        <f>IF(分析!I58&lt;&gt;"",分析!I58,"")</f>
        <v>4562</v>
      </c>
      <c r="I37" s="151">
        <f>IF(分析!J58&lt;&gt;"",分析!J58,"")</f>
        <v>35504300</v>
      </c>
      <c r="J37" s="151">
        <f>IF(分析!AB58&lt;&gt;"",分析!AB58,"")</f>
        <v>3402.0519348268831</v>
      </c>
      <c r="K37" s="151">
        <f>IF(分析!AC58&lt;&gt;"",分析!AC58,"")</f>
        <v>3449.6829558998797</v>
      </c>
      <c r="L37" s="151">
        <f>IF(分析!K58&lt;&gt;"",分析!K58,"")</f>
        <v>7933</v>
      </c>
      <c r="M37" s="146" t="str">
        <f>IF(分析!P58&lt;&gt;"",分析!P58,"")</f>
        <v>減少↓</v>
      </c>
      <c r="N37" s="152">
        <f>IF(分析!O58&lt;&gt;"",分析!O58,"")</f>
        <v>0.69639460353662852</v>
      </c>
      <c r="O37" s="153">
        <f>IF(分析!X58&lt;&gt;"",分析!X58,"")</f>
        <v>-129.06635713404194</v>
      </c>
      <c r="P37" s="154">
        <f>IF(分析!L58&lt;&gt;"",分析!L58,"")</f>
        <v>-40.388251607210385</v>
      </c>
      <c r="Q37" s="151">
        <f>IF(分析!S58&lt;&gt;"",分析!S58,"")</f>
        <v>4540</v>
      </c>
      <c r="R37" s="151">
        <f>IF(分析!R58&lt;&gt;"",分析!R58,"")</f>
        <v>5107</v>
      </c>
      <c r="S37" s="146" t="str">
        <f>IF(分析!AA58&lt;&gt;"",分析!AA58,"")</f>
        <v>下落▼</v>
      </c>
      <c r="T37" s="155">
        <f>IF(分析!Z58&lt;&gt;"",分析!Z58,"")</f>
        <v>-0.18995356690586745</v>
      </c>
      <c r="U37" s="146" t="str">
        <f>IF(分析!V58&lt;&gt;"",分析!V58,"")</f>
        <v>通常</v>
      </c>
      <c r="V37" s="156">
        <f>IF(分析!W58&lt;&gt;"",分析!W58,"")</f>
        <v>35.794261721483565</v>
      </c>
      <c r="W37" s="157" t="str">
        <f>IF(分析!AD58&lt;&gt;"",分析!AD58,"")</f>
        <v>上昇トレンド▲</v>
      </c>
      <c r="X37" s="158" t="str">
        <f>IF(分析!AE58&lt;&gt;"",分析!AE58,"")</f>
        <v>なし</v>
      </c>
      <c r="Y37" s="159">
        <f>IF(分析!T58&lt;&gt;"",分析!T58,"")</f>
        <v>2</v>
      </c>
      <c r="Z37" s="160" t="str">
        <f>IF(分析!Y58&lt;&gt;"",分析!Y58,"")</f>
        <v>見送り</v>
      </c>
    </row>
    <row r="38" spans="1:26" ht="21.95" customHeight="1">
      <c r="A38" s="146">
        <f>IF(分析!C52&lt;&gt;"",ROW()-2,"")</f>
        <v>36</v>
      </c>
      <c r="B38" s="147" t="str">
        <f>IF(分析!C52&lt;&gt;"",HYPERLINK("https://kabutan.jp/stock/?code="&amp;分析!C52,"株探"),"")</f>
        <v>株探</v>
      </c>
      <c r="C38" s="148">
        <f>IF(分析!C52&lt;&gt;"",分析!C52,"")</f>
        <v>5857</v>
      </c>
      <c r="D38" s="149" t="str">
        <f>IF(分析!D52&lt;&gt;"",分析!D52,"")</f>
        <v>ＡＲＥホールディングス</v>
      </c>
      <c r="E38" s="150">
        <f>IF(分析!E52&lt;&gt;"",分析!E52,"")</f>
        <v>3305</v>
      </c>
      <c r="F38" s="151">
        <f>IF(分析!F52&lt;&gt;"",分析!F52,"")</f>
        <v>3205</v>
      </c>
      <c r="G38" s="151">
        <f>IF(分析!H52&lt;&gt;"",分析!H52,"")</f>
        <v>3320</v>
      </c>
      <c r="H38" s="151">
        <f>IF(分析!I52&lt;&gt;"",分析!I52,"")</f>
        <v>3190</v>
      </c>
      <c r="I38" s="151">
        <f>IF(分析!J52&lt;&gt;"",分析!J52,"")</f>
        <v>574600</v>
      </c>
      <c r="J38" s="151">
        <f>IF(分析!AB52&lt;&gt;"",分析!AB52,"")</f>
        <v>6161.7331975560073</v>
      </c>
      <c r="K38" s="151">
        <f>IF(分析!AC52&lt;&gt;"",分析!AC52,"")</f>
        <v>6018.7914183551829</v>
      </c>
      <c r="L38" s="151">
        <f>IF(分析!K52&lt;&gt;"",分析!K52,"")</f>
        <v>4720</v>
      </c>
      <c r="M38" s="146" t="str">
        <f>IF(分析!P52&lt;&gt;"",分析!P52,"")</f>
        <v>減少↓</v>
      </c>
      <c r="N38" s="152">
        <f>IF(分析!O52&lt;&gt;"",分析!O52,"")</f>
        <v>0.92328952019796251</v>
      </c>
      <c r="O38" s="153">
        <f>IF(分析!X52&lt;&gt;"",分析!X52,"")</f>
        <v>-62.935431999013417</v>
      </c>
      <c r="P38" s="154">
        <f>IF(分析!L52&lt;&gt;"",分析!L52,"")</f>
        <v>-29.978813559322031</v>
      </c>
      <c r="Q38" s="151">
        <f>IF(分析!S52&lt;&gt;"",分析!S52,"")</f>
        <v>3173</v>
      </c>
      <c r="R38" s="151">
        <f>IF(分析!R52&lt;&gt;"",分析!R52,"")</f>
        <v>3569</v>
      </c>
      <c r="S38" s="146" t="str">
        <f>IF(分析!AA52&lt;&gt;"",分析!AA52,"")</f>
        <v>上昇▲</v>
      </c>
      <c r="T38" s="155">
        <f>IF(分析!Z52&lt;&gt;"",分析!Z52,"")</f>
        <v>3.9308176100628929</v>
      </c>
      <c r="U38" s="146" t="str">
        <f>IF(分析!V52&lt;&gt;"",分析!V52,"")</f>
        <v>通常</v>
      </c>
      <c r="V38" s="156">
        <f>IF(分析!W52&lt;&gt;"",分析!W52,"")</f>
        <v>37.043330501274426</v>
      </c>
      <c r="W38" s="157" t="str">
        <f>IF(分析!AD52&lt;&gt;"",分析!AD52,"")</f>
        <v>もみ合い→</v>
      </c>
      <c r="X38" s="158" t="str">
        <f>IF(分析!AE52&lt;&gt;"",分析!AE52,"")</f>
        <v>なし</v>
      </c>
      <c r="Y38" s="159">
        <f>IF(分析!T52&lt;&gt;"",分析!T52,"")</f>
        <v>1</v>
      </c>
      <c r="Z38" s="160" t="str">
        <f>IF(分析!Y52&lt;&gt;"",分析!Y52,"")</f>
        <v>見送り</v>
      </c>
    </row>
    <row r="39" spans="1:26" ht="21.95" customHeight="1">
      <c r="A39" s="146">
        <f>IF(分析!C74&lt;&gt;"",ROW()-2,"")</f>
        <v>37</v>
      </c>
      <c r="B39" s="147" t="str">
        <f>IF(分析!C74&lt;&gt;"",HYPERLINK("https://kabutan.jp/stock/?code="&amp;分析!C74,"株探"),"")</f>
        <v>株探</v>
      </c>
      <c r="C39" s="148">
        <f>IF(分析!C74&lt;&gt;"",分析!C74,"")</f>
        <v>5892</v>
      </c>
      <c r="D39" s="149" t="str">
        <f>IF(分析!D74&lt;&gt;"",分析!D74,"")</f>
        <v>ＹＵＴＯＲＩ</v>
      </c>
      <c r="E39" s="150">
        <f>IF(分析!E74&lt;&gt;"",分析!E74,"")</f>
        <v>2192</v>
      </c>
      <c r="F39" s="151">
        <f>IF(分析!F74&lt;&gt;"",分析!F74,"")</f>
        <v>2046</v>
      </c>
      <c r="G39" s="151">
        <f>IF(分析!H74&lt;&gt;"",分析!H74,"")</f>
        <v>2214</v>
      </c>
      <c r="H39" s="151">
        <f>IF(分析!I74&lt;&gt;"",分析!I74,"")</f>
        <v>2046</v>
      </c>
      <c r="I39" s="151">
        <f>IF(分析!J74&lt;&gt;"",分析!J74,"")</f>
        <v>109600</v>
      </c>
      <c r="J39" s="151">
        <f>IF(分析!AB74&lt;&gt;"",分析!AB74,"")</f>
        <v>5159.6527494908341</v>
      </c>
      <c r="K39" s="151">
        <f>IF(分析!AC74&lt;&gt;"",分析!AC74,"")</f>
        <v>5156.9928486293193</v>
      </c>
      <c r="L39" s="151">
        <f>IF(分析!K74&lt;&gt;"",分析!K74,"")</f>
        <v>2993</v>
      </c>
      <c r="M39" s="146" t="str">
        <f>IF(分析!P74&lt;&gt;"",分析!P74,"")</f>
        <v>普通→</v>
      </c>
      <c r="N39" s="152">
        <f>IF(分析!O74&lt;&gt;"",分析!O74,"")</f>
        <v>1.2248547161376844</v>
      </c>
      <c r="O39" s="153">
        <f>IF(分析!X74&lt;&gt;"",分析!X74,"")</f>
        <v>-35.319950326183061</v>
      </c>
      <c r="P39" s="154">
        <f>IF(分析!L74&lt;&gt;"",分析!L74,"")</f>
        <v>-26.762445706648847</v>
      </c>
      <c r="Q39" s="151">
        <f>IF(分析!S74&lt;&gt;"",分析!S74,"")</f>
        <v>2104</v>
      </c>
      <c r="R39" s="151">
        <f>IF(分析!R74&lt;&gt;"",分析!R74,"")</f>
        <v>2367</v>
      </c>
      <c r="S39" s="146" t="str">
        <f>IF(分析!AA74&lt;&gt;"",分析!AA74,"")</f>
        <v>上昇▲</v>
      </c>
      <c r="T39" s="155">
        <f>IF(分析!Z74&lt;&gt;"",分析!Z74,"")</f>
        <v>7.4509803921568629</v>
      </c>
      <c r="U39" s="146" t="str">
        <f>IF(分析!V74&lt;&gt;"",分析!V74,"")</f>
        <v>通常</v>
      </c>
      <c r="V39" s="156">
        <f>IF(分析!W74&lt;&gt;"",分析!W74,"")</f>
        <v>30.854605993340726</v>
      </c>
      <c r="W39" s="157" t="str">
        <f>IF(分析!AD74&lt;&gt;"",分析!AD74,"")</f>
        <v>もみ合い→</v>
      </c>
      <c r="X39" s="158" t="str">
        <f>IF(分析!AE74&lt;&gt;"",分析!AE74,"")</f>
        <v>なし</v>
      </c>
      <c r="Y39" s="159">
        <f>IF(分析!T74&lt;&gt;"",分析!T74,"")</f>
        <v>7</v>
      </c>
      <c r="Z39" s="160" t="str">
        <f>IF(分析!Y74&lt;&gt;"",分析!Y74,"")</f>
        <v>△注目</v>
      </c>
    </row>
    <row r="40" spans="1:26" ht="21.95" customHeight="1">
      <c r="A40" s="161">
        <f>IF(分析!C71&lt;&gt;"",ROW()-2,"")</f>
        <v>38</v>
      </c>
      <c r="B40" s="162" t="str">
        <f>IF(分析!C71&lt;&gt;"",HYPERLINK("https://kabutan.jp/stock/?code="&amp;分析!C71,"株探"),"")</f>
        <v>株探</v>
      </c>
      <c r="C40" s="163">
        <f>IF(分析!C71&lt;&gt;"",分析!C71,"")</f>
        <v>5901</v>
      </c>
      <c r="D40" s="164" t="str">
        <f>IF(分析!D71&lt;&gt;"",分析!D71,"")</f>
        <v>東洋製罐グループＨＤ</v>
      </c>
      <c r="E40" s="165">
        <f>IF(分析!E71&lt;&gt;"",分析!E71,"")</f>
        <v>4076</v>
      </c>
      <c r="F40" s="166">
        <f>IF(分析!F71&lt;&gt;"",分析!F71,"")</f>
        <v>4004</v>
      </c>
      <c r="G40" s="166">
        <f>IF(分析!H71&lt;&gt;"",分析!H71,"")</f>
        <v>4088</v>
      </c>
      <c r="H40" s="166">
        <f>IF(分析!I71&lt;&gt;"",分析!I71,"")</f>
        <v>3964</v>
      </c>
      <c r="I40" s="166">
        <f>IF(分析!J71&lt;&gt;"",分析!J71,"")</f>
        <v>249600</v>
      </c>
      <c r="J40" s="166">
        <f>IF(分析!AB71&lt;&gt;"",分析!AB71,"")</f>
        <v>7166.5987780040714</v>
      </c>
      <c r="K40" s="166">
        <f>IF(分析!AC71&lt;&gt;"",分析!AC71,"")</f>
        <v>6976.9129916567308</v>
      </c>
      <c r="L40" s="166">
        <f>IF(分析!K71&lt;&gt;"",分析!K71,"")</f>
        <v>4404</v>
      </c>
      <c r="M40" s="161" t="str">
        <f>IF(分析!P71&lt;&gt;"",分析!P71,"")</f>
        <v>減少↓</v>
      </c>
      <c r="N40" s="167">
        <f>IF(分析!O71&lt;&gt;"",分析!O71,"")</f>
        <v>0.93764087152516906</v>
      </c>
      <c r="O40" s="168">
        <f>IF(分析!X71&lt;&gt;"",分析!X71,"")</f>
        <v>6.2719979780217727</v>
      </c>
      <c r="P40" s="169">
        <f>IF(分析!L71&lt;&gt;"",分析!L71,"")</f>
        <v>-7.447774750227067</v>
      </c>
      <c r="Q40" s="166">
        <f>IF(分析!S71&lt;&gt;"",分析!S71,"")</f>
        <v>3913</v>
      </c>
      <c r="R40" s="166">
        <f>IF(分析!R71&lt;&gt;"",分析!R71,"")</f>
        <v>4402</v>
      </c>
      <c r="S40" s="161" t="str">
        <f>IF(分析!AA71&lt;&gt;"",分析!AA71,"")</f>
        <v>上昇▲</v>
      </c>
      <c r="T40" s="170">
        <f>IF(分析!Z71&lt;&gt;"",分析!Z71,"")</f>
        <v>2.1297920320721624</v>
      </c>
      <c r="U40" s="161" t="str">
        <f>IF(分析!V71&lt;&gt;"",分析!V71,"")</f>
        <v>通常</v>
      </c>
      <c r="V40" s="171">
        <f>IF(分析!W71&lt;&gt;"",分析!W71,"")</f>
        <v>51.165803108808298</v>
      </c>
      <c r="W40" s="172" t="str">
        <f>IF(分析!AD71&lt;&gt;"",分析!AD71,"")</f>
        <v>もみ合い→</v>
      </c>
      <c r="X40" s="173" t="str">
        <f>IF(分析!AE71&lt;&gt;"",分析!AE71,"")</f>
        <v>なし</v>
      </c>
      <c r="Y40" s="174">
        <f>IF(分析!T71&lt;&gt;"",分析!T71,"")</f>
        <v>6</v>
      </c>
      <c r="Z40" s="160" t="str">
        <f>IF(分析!Y71&lt;&gt;"",分析!Y71,"")</f>
        <v>△注目</v>
      </c>
    </row>
    <row r="41" spans="1:26" ht="21.95" customHeight="1">
      <c r="A41" s="161">
        <f>IF(分析!C93&lt;&gt;"",ROW()-2,"")</f>
        <v>39</v>
      </c>
      <c r="B41" s="162" t="str">
        <f>IF(分析!C93&lt;&gt;"",HYPERLINK("https://kabutan.jp/stock/?code="&amp;分析!C93,"株探"),"")</f>
        <v>株探</v>
      </c>
      <c r="C41" s="163">
        <f>IF(分析!C93&lt;&gt;"",分析!C93,"")</f>
        <v>5938</v>
      </c>
      <c r="D41" s="164" t="str">
        <f>IF(分析!D93&lt;&gt;"",分析!D93,"")</f>
        <v>ＬＩＸＩＬ</v>
      </c>
      <c r="E41" s="165">
        <f>IF(分析!E93&lt;&gt;"",分析!E93,"")</f>
        <v>1721.5</v>
      </c>
      <c r="F41" s="166">
        <f>IF(分析!F93&lt;&gt;"",分析!F93,"")</f>
        <v>1728</v>
      </c>
      <c r="G41" s="166">
        <f>IF(分析!H93&lt;&gt;"",分析!H93,"")</f>
        <v>1743.5</v>
      </c>
      <c r="H41" s="166">
        <f>IF(分析!I93&lt;&gt;"",分析!I93,"")</f>
        <v>1717</v>
      </c>
      <c r="I41" s="166">
        <f>IF(分析!J93&lt;&gt;"",分析!J93,"")</f>
        <v>1721200</v>
      </c>
      <c r="J41" s="166">
        <f>IF(分析!AB93&lt;&gt;"",分析!AB93,"")</f>
        <v>1297.6496945010181</v>
      </c>
      <c r="K41" s="166">
        <f>IF(分析!AC93&lt;&gt;"",分析!AC93,"")</f>
        <v>1281.3146603098921</v>
      </c>
      <c r="L41" s="166">
        <f>IF(分析!K93&lt;&gt;"",分析!K93,"")</f>
        <v>1943</v>
      </c>
      <c r="M41" s="161" t="str">
        <f>IF(分析!P93&lt;&gt;"",分析!P93,"")</f>
        <v>減少↓</v>
      </c>
      <c r="N41" s="167">
        <f>IF(分析!O93&lt;&gt;"",分析!O93,"")</f>
        <v>0.92218340798525533</v>
      </c>
      <c r="O41" s="168">
        <f>IF(分析!X93&lt;&gt;"",分析!X93,"")</f>
        <v>10.28163123559716</v>
      </c>
      <c r="P41" s="169">
        <f>IF(分析!L93&lt;&gt;"",分析!L93,"")</f>
        <v>-11.399897066392176</v>
      </c>
      <c r="Q41" s="166">
        <f>IF(分析!S93&lt;&gt;"",分析!S93,"")</f>
        <v>1653</v>
      </c>
      <c r="R41" s="166">
        <f>IF(分析!R93&lt;&gt;"",分析!R93,"")</f>
        <v>1859</v>
      </c>
      <c r="S41" s="161" t="str">
        <f>IF(分析!AA93&lt;&gt;"",分析!AA93,"")</f>
        <v>下落▼</v>
      </c>
      <c r="T41" s="170">
        <f>IF(分析!Z93&lt;&gt;"",分析!Z93,"")</f>
        <v>-0.83525345622119818</v>
      </c>
      <c r="U41" s="161" t="str">
        <f>IF(分析!V93&lt;&gt;"",分析!V93,"")</f>
        <v>通常</v>
      </c>
      <c r="V41" s="171">
        <f>IF(分析!W93&lt;&gt;"",分析!W93,"")</f>
        <v>75.138121546961329</v>
      </c>
      <c r="W41" s="172" t="str">
        <f>IF(分析!AD93&lt;&gt;"",分析!AD93,"")</f>
        <v>パーフェクト▲</v>
      </c>
      <c r="X41" s="173" t="str">
        <f>IF(分析!AE93&lt;&gt;"",分析!AE93,"")</f>
        <v>なし</v>
      </c>
      <c r="Y41" s="174">
        <f>IF(分析!T93&lt;&gt;"",分析!T93,"")</f>
        <v>3</v>
      </c>
      <c r="Z41" s="160" t="str">
        <f>IF(分析!Y93&lt;&gt;"",分析!Y93,"")</f>
        <v>様子見</v>
      </c>
    </row>
    <row r="42" spans="1:26" ht="21.95" customHeight="1">
      <c r="A42" s="146">
        <f>IF(分析!C150&lt;&gt;"",ROW()-2,"")</f>
        <v>40</v>
      </c>
      <c r="B42" s="147" t="str">
        <f>IF(分析!C150&lt;&gt;"",HYPERLINK("https://kabutan.jp/stock/?code="&amp;分析!C150,"株探"),"")</f>
        <v>株探</v>
      </c>
      <c r="C42" s="148">
        <f>IF(分析!C150&lt;&gt;"",分析!C150,"")</f>
        <v>6085</v>
      </c>
      <c r="D42" s="149" t="str">
        <f>IF(分析!D150&lt;&gt;"",分析!D150,"")</f>
        <v>アーキテクツＳＪ</v>
      </c>
      <c r="E42" s="150">
        <f>IF(分析!E150&lt;&gt;"",分析!E150,"")</f>
        <v>320</v>
      </c>
      <c r="F42" s="151">
        <f>IF(分析!F150&lt;&gt;"",分析!F150,"")</f>
        <v>321</v>
      </c>
      <c r="G42" s="151">
        <f>IF(分析!H150&lt;&gt;"",分析!H150,"")</f>
        <v>327</v>
      </c>
      <c r="H42" s="151">
        <f>IF(分析!I150&lt;&gt;"",分析!I150,"")</f>
        <v>308</v>
      </c>
      <c r="I42" s="151">
        <f>IF(分析!J150&lt;&gt;"",分析!J150,"")</f>
        <v>1747900</v>
      </c>
      <c r="J42" s="151">
        <f>IF(分析!AB150&lt;&gt;"",分析!AB150,"")</f>
        <v>987.37881873727065</v>
      </c>
      <c r="K42" s="151">
        <f>IF(分析!AC150&lt;&gt;"",分析!AC150,"")</f>
        <v>1009.9356376638854</v>
      </c>
      <c r="L42" s="151">
        <f>IF(分析!K150&lt;&gt;"",分析!K150,"")</f>
        <v>720</v>
      </c>
      <c r="M42" s="146" t="str">
        <f>IF(分析!P150&lt;&gt;"",分析!P150,"")</f>
        <v>減少↓</v>
      </c>
      <c r="N42" s="152">
        <f>IF(分析!O150&lt;&gt;"",分析!O150,"")</f>
        <v>0.42486217926903969</v>
      </c>
      <c r="O42" s="153">
        <f>IF(分析!X150&lt;&gt;"",分析!X150,"")</f>
        <v>-21.069503540453184</v>
      </c>
      <c r="P42" s="154">
        <f>IF(分析!L150&lt;&gt;"",分析!L150,"")</f>
        <v>-55.555555555555557</v>
      </c>
      <c r="Q42" s="151">
        <f>IF(分析!S150&lt;&gt;"",分析!S150,"")</f>
        <v>307</v>
      </c>
      <c r="R42" s="151">
        <f>IF(分析!R150&lt;&gt;"",分析!R150,"")</f>
        <v>346</v>
      </c>
      <c r="S42" s="146" t="str">
        <f>IF(分析!AA150&lt;&gt;"",分析!AA150,"")</f>
        <v>上昇▲</v>
      </c>
      <c r="T42" s="155">
        <f>IF(分析!Z150&lt;&gt;"",分析!Z150,"")</f>
        <v>2.2364217252396164</v>
      </c>
      <c r="U42" s="146" t="str">
        <f>IF(分析!V150&lt;&gt;"",分析!V150,"")</f>
        <v>通常</v>
      </c>
      <c r="V42" s="156">
        <f>IF(分析!W150&lt;&gt;"",分析!W150,"")</f>
        <v>33.542319749216304</v>
      </c>
      <c r="W42" s="157" t="str">
        <f>IF(分析!AD150&lt;&gt;"",分析!AD150,"")</f>
        <v>下降トレンド▼</v>
      </c>
      <c r="X42" s="158" t="str">
        <f>IF(分析!AE150&lt;&gt;"",分析!AE150,"")</f>
        <v>なし</v>
      </c>
      <c r="Y42" s="159">
        <f>IF(分析!T150&lt;&gt;"",分析!T150,"")</f>
        <v>1</v>
      </c>
      <c r="Z42" s="160" t="str">
        <f>IF(分析!Y150&lt;&gt;"",分析!Y150,"")</f>
        <v>見送り</v>
      </c>
    </row>
    <row r="43" spans="1:26" ht="21.95" customHeight="1">
      <c r="A43" s="161">
        <f>IF(分析!C25&lt;&gt;"",ROW()-2,"")</f>
        <v>41</v>
      </c>
      <c r="B43" s="162" t="str">
        <f>IF(分析!C25&lt;&gt;"",HYPERLINK("https://kabutan.jp/stock/?code="&amp;分析!C25,"株探"),"")</f>
        <v>株探</v>
      </c>
      <c r="C43" s="163">
        <f>IF(分析!C25&lt;&gt;"",分析!C25,"")</f>
        <v>6134</v>
      </c>
      <c r="D43" s="164" t="str">
        <f>IF(分析!D25&lt;&gt;"",分析!D25,"")</f>
        <v>ＦＵＪＩ</v>
      </c>
      <c r="E43" s="165">
        <f>IF(分析!E25&lt;&gt;"",分析!E25,"")</f>
        <v>8323</v>
      </c>
      <c r="F43" s="166">
        <f>IF(分析!F25&lt;&gt;"",分析!F25,"")</f>
        <v>8217</v>
      </c>
      <c r="G43" s="166">
        <f>IF(分析!H25&lt;&gt;"",分析!H25,"")</f>
        <v>8377</v>
      </c>
      <c r="H43" s="166">
        <f>IF(分析!I25&lt;&gt;"",分析!I25,"")</f>
        <v>8162</v>
      </c>
      <c r="I43" s="166">
        <f>IF(分析!J25&lt;&gt;"",分析!J25,"")</f>
        <v>460000</v>
      </c>
      <c r="J43" s="166">
        <f>IF(分析!AB25&lt;&gt;"",分析!AB25,"")</f>
        <v>1635.2856415478611</v>
      </c>
      <c r="K43" s="166">
        <f>IF(分析!AC25&lt;&gt;"",分析!AC25,"")</f>
        <v>1628.466030989272</v>
      </c>
      <c r="L43" s="166">
        <f>IF(分析!K25&lt;&gt;"",分析!K25,"")</f>
        <v>8701</v>
      </c>
      <c r="M43" s="161" t="str">
        <f>IF(分析!P25&lt;&gt;"",分析!P25,"")</f>
        <v>減少↓</v>
      </c>
      <c r="N43" s="167">
        <f>IF(分析!O25&lt;&gt;"",分析!O25,"")</f>
        <v>0.72434100714893079</v>
      </c>
      <c r="O43" s="168">
        <f>IF(分析!X25&lt;&gt;"",分析!X25,"")</f>
        <v>27.916617244935878</v>
      </c>
      <c r="P43" s="169">
        <f>IF(分析!L25&lt;&gt;"",分析!L25,"")</f>
        <v>-4.3443282381335475</v>
      </c>
      <c r="Q43" s="166">
        <f>IF(分析!S25&lt;&gt;"",分析!S25,"")</f>
        <v>7990</v>
      </c>
      <c r="R43" s="166">
        <f>IF(分析!R25&lt;&gt;"",分析!R25,"")</f>
        <v>8989</v>
      </c>
      <c r="S43" s="161" t="str">
        <f>IF(分析!AA25&lt;&gt;"",分析!AA25,"")</f>
        <v>上昇▲</v>
      </c>
      <c r="T43" s="170">
        <f>IF(分析!Z25&lt;&gt;"",分析!Z25,"")</f>
        <v>1.0195412064570943</v>
      </c>
      <c r="U43" s="161" t="str">
        <f>IF(分析!V25&lt;&gt;"",分析!V25,"")</f>
        <v>高値圏</v>
      </c>
      <c r="V43" s="171">
        <f>IF(分析!W25&lt;&gt;"",分析!W25,"")</f>
        <v>48.549723756906083</v>
      </c>
      <c r="W43" s="172" t="str">
        <f>IF(分析!AD25&lt;&gt;"",分析!AD25,"")</f>
        <v>パーフェクト▲</v>
      </c>
      <c r="X43" s="173" t="str">
        <f>IF(分析!AE25&lt;&gt;"",分析!AE25,"")</f>
        <v>なし</v>
      </c>
      <c r="Y43" s="174">
        <f>IF(分析!T25&lt;&gt;"",分析!T25,"")</f>
        <v>12</v>
      </c>
      <c r="Z43" s="160" t="str">
        <f>IF(分析!Y25&lt;&gt;"",分析!Y25,"")</f>
        <v>★強い買い</v>
      </c>
    </row>
    <row r="44" spans="1:26" ht="21.95" customHeight="1">
      <c r="A44" s="146">
        <f>IF(分析!C120&lt;&gt;"",ROW()-2,"")</f>
        <v>42</v>
      </c>
      <c r="B44" s="147" t="str">
        <f>IF(分析!C120&lt;&gt;"",HYPERLINK("https://kabutan.jp/stock/?code="&amp;分析!C120,"株探"),"")</f>
        <v>株探</v>
      </c>
      <c r="C44" s="148">
        <f>IF(分析!C120&lt;&gt;"",分析!C120,"")</f>
        <v>6146</v>
      </c>
      <c r="D44" s="149" t="str">
        <f>IF(分析!D120&lt;&gt;"",分析!D120,"")</f>
        <v>ディスコ</v>
      </c>
      <c r="E44" s="150">
        <f>IF(分析!E120&lt;&gt;"",分析!E120,"")</f>
        <v>83700</v>
      </c>
      <c r="F44" s="151">
        <f>IF(分析!F120&lt;&gt;"",分析!F120,"")</f>
        <v>80050</v>
      </c>
      <c r="G44" s="151">
        <f>IF(分析!H120&lt;&gt;"",分析!H120,"")</f>
        <v>85390</v>
      </c>
      <c r="H44" s="151">
        <f>IF(分析!I120&lt;&gt;"",分析!I120,"")</f>
        <v>80000</v>
      </c>
      <c r="I44" s="151">
        <f>IF(分析!J120&lt;&gt;"",分析!J120,"")</f>
        <v>2169600</v>
      </c>
      <c r="J44" s="151">
        <f>IF(分析!AB120&lt;&gt;"",分析!AB120,"")</f>
        <v>2319.6023421588598</v>
      </c>
      <c r="K44" s="151">
        <f>IF(分析!AC120&lt;&gt;"",分析!AC120,"")</f>
        <v>2279.8033373063163</v>
      </c>
      <c r="L44" s="151">
        <f>IF(分析!K120&lt;&gt;"",分析!K120,"")</f>
        <v>86140</v>
      </c>
      <c r="M44" s="146" t="str">
        <f>IF(分析!P120&lt;&gt;"",分析!P120,"")</f>
        <v>減少↓</v>
      </c>
      <c r="N44" s="152">
        <f>IF(分析!O120&lt;&gt;"",分析!O120,"")</f>
        <v>0.78341313343588193</v>
      </c>
      <c r="O44" s="153">
        <f>IF(分析!X120&lt;&gt;"",分析!X120,"")</f>
        <v>1859.6301728633116</v>
      </c>
      <c r="P44" s="154">
        <f>IF(分析!L120&lt;&gt;"",分析!L120,"")</f>
        <v>-2.8325980961225912</v>
      </c>
      <c r="Q44" s="151">
        <f>IF(分析!S120&lt;&gt;"",分析!S120,"")</f>
        <v>80352</v>
      </c>
      <c r="R44" s="151">
        <f>IF(分析!R120&lt;&gt;"",分析!R120,"")</f>
        <v>90396</v>
      </c>
      <c r="S44" s="146" t="str">
        <f>IF(分析!AA120&lt;&gt;"",分析!AA120,"")</f>
        <v>上昇▲</v>
      </c>
      <c r="T44" s="155">
        <f>IF(分析!Z120&lt;&gt;"",分析!Z120,"")</f>
        <v>2.6364193746167999</v>
      </c>
      <c r="U44" s="146" t="str">
        <f>IF(分析!V120&lt;&gt;"",分析!V120,"")</f>
        <v>高値圏</v>
      </c>
      <c r="V44" s="156">
        <f>IF(分析!W120&lt;&gt;"",分析!W120,"")</f>
        <v>67.700915564598176</v>
      </c>
      <c r="W44" s="157" t="str">
        <f>IF(分析!AD120&lt;&gt;"",分析!AD120,"")</f>
        <v>パーフェクト▲</v>
      </c>
      <c r="X44" s="158" t="str">
        <f>IF(分析!AE120&lt;&gt;"",分析!AE120,"")</f>
        <v>なし</v>
      </c>
      <c r="Y44" s="159">
        <f>IF(分析!T120&lt;&gt;"",分析!T120,"")</f>
        <v>11</v>
      </c>
      <c r="Z44" s="160" t="str">
        <f>IF(分析!Y120&lt;&gt;"",分析!Y120,"")</f>
        <v>○買い候補</v>
      </c>
    </row>
    <row r="45" spans="1:26" ht="21.95" customHeight="1">
      <c r="A45" s="146">
        <f>IF(分析!C50&lt;&gt;"",ROW()-2,"")</f>
        <v>43</v>
      </c>
      <c r="B45" s="147" t="str">
        <f>IF(分析!C50&lt;&gt;"",HYPERLINK("https://kabutan.jp/stock/?code="&amp;分析!C50,"株探"),"")</f>
        <v>株探</v>
      </c>
      <c r="C45" s="148">
        <f>IF(分析!C50&lt;&gt;"",分析!C50,"")</f>
        <v>6203</v>
      </c>
      <c r="D45" s="149" t="str">
        <f>IF(分析!D50&lt;&gt;"",分析!D50,"")</f>
        <v>豊和工業</v>
      </c>
      <c r="E45" s="150">
        <f>IF(分析!E50&lt;&gt;"",分析!E50,"")</f>
        <v>1630</v>
      </c>
      <c r="F45" s="151">
        <f>IF(分析!F50&lt;&gt;"",分析!F50,"")</f>
        <v>1573</v>
      </c>
      <c r="G45" s="151">
        <f>IF(分析!H50&lt;&gt;"",分析!H50,"")</f>
        <v>1679</v>
      </c>
      <c r="H45" s="151">
        <f>IF(分析!I50&lt;&gt;"",分析!I50,"")</f>
        <v>1570</v>
      </c>
      <c r="I45" s="151">
        <f>IF(分析!J50&lt;&gt;"",分析!J50,"")</f>
        <v>533500</v>
      </c>
      <c r="J45" s="151">
        <f>IF(分析!AB50&lt;&gt;"",分析!AB50,"")</f>
        <v>7278.395112016291</v>
      </c>
      <c r="K45" s="151">
        <f>IF(分析!AC50&lt;&gt;"",分析!AC50,"")</f>
        <v>7281.9249106078641</v>
      </c>
      <c r="L45" s="151">
        <f>IF(分析!K50&lt;&gt;"",分析!K50,"")</f>
        <v>2030</v>
      </c>
      <c r="M45" s="146" t="str">
        <f>IF(分析!P50&lt;&gt;"",分析!P50,"")</f>
        <v>減少↓</v>
      </c>
      <c r="N45" s="152">
        <f>IF(分析!O50&lt;&gt;"",分析!O50,"")</f>
        <v>0.83947004028197381</v>
      </c>
      <c r="O45" s="153">
        <f>IF(分析!X50&lt;&gt;"",分析!X50,"")</f>
        <v>38.972989862243139</v>
      </c>
      <c r="P45" s="154">
        <f>IF(分析!L50&lt;&gt;"",分析!L50,"")</f>
        <v>-19.704433497536947</v>
      </c>
      <c r="Q45" s="151">
        <f>IF(分析!S50&lt;&gt;"",分析!S50,"")</f>
        <v>1565</v>
      </c>
      <c r="R45" s="151">
        <f>IF(分析!R50&lt;&gt;"",分析!R50,"")</f>
        <v>1760</v>
      </c>
      <c r="S45" s="146" t="str">
        <f>IF(分析!AA50&lt;&gt;"",分析!AA50,"")</f>
        <v>上昇▲</v>
      </c>
      <c r="T45" s="155">
        <f>IF(分析!Z50&lt;&gt;"",分析!Z50,"")</f>
        <v>4.7557840616966578</v>
      </c>
      <c r="U45" s="146" t="str">
        <f>IF(分析!V50&lt;&gt;"",分析!V50,"")</f>
        <v>通常</v>
      </c>
      <c r="V45" s="156">
        <f>IF(分析!W50&lt;&gt;"",分析!W50,"")</f>
        <v>57.620211898940504</v>
      </c>
      <c r="W45" s="157" t="str">
        <f>IF(分析!AD50&lt;&gt;"",分析!AD50,"")</f>
        <v>下降トレンド▼</v>
      </c>
      <c r="X45" s="158" t="str">
        <f>IF(分析!AE50&lt;&gt;"",分析!AE50,"")</f>
        <v>なし</v>
      </c>
      <c r="Y45" s="159">
        <f>IF(分析!T50&lt;&gt;"",分析!T50,"")</f>
        <v>6</v>
      </c>
      <c r="Z45" s="160" t="str">
        <f>IF(分析!Y50&lt;&gt;"",分析!Y50,"")</f>
        <v>△注目</v>
      </c>
    </row>
    <row r="46" spans="1:26" ht="21.95" customHeight="1">
      <c r="A46" s="146">
        <f>IF(分析!C28&lt;&gt;"",ROW()-2,"")</f>
        <v>44</v>
      </c>
      <c r="B46" s="147" t="str">
        <f>IF(分析!C28&lt;&gt;"",HYPERLINK("https://kabutan.jp/stock/?code="&amp;分析!C28,"株探"),"")</f>
        <v>株探</v>
      </c>
      <c r="C46" s="148">
        <f>IF(分析!C28&lt;&gt;"",分析!C28,"")</f>
        <v>6232</v>
      </c>
      <c r="D46" s="149" t="str">
        <f>IF(分析!D28&lt;&gt;"",分析!D28,"")</f>
        <v>ＡＣＳＬ</v>
      </c>
      <c r="E46" s="150">
        <f>IF(分析!E28&lt;&gt;"",分析!E28,"")</f>
        <v>1764</v>
      </c>
      <c r="F46" s="151">
        <f>IF(分析!F28&lt;&gt;"",分析!F28,"")</f>
        <v>1865</v>
      </c>
      <c r="G46" s="151">
        <f>IF(分析!H28&lt;&gt;"",分析!H28,"")</f>
        <v>1895</v>
      </c>
      <c r="H46" s="151">
        <f>IF(分析!I28&lt;&gt;"",分析!I28,"")</f>
        <v>1761</v>
      </c>
      <c r="I46" s="151">
        <f>IF(分析!J28&lt;&gt;"",分析!J28,"")</f>
        <v>921600</v>
      </c>
      <c r="J46" s="151">
        <f>IF(分析!AB28&lt;&gt;"",分析!AB28,"")</f>
        <v>4506.0641547861505</v>
      </c>
      <c r="K46" s="151">
        <f>IF(分析!AC28&lt;&gt;"",分析!AC28,"")</f>
        <v>4466.0429082240753</v>
      </c>
      <c r="L46" s="151">
        <f>IF(分析!K28&lt;&gt;"",分析!K28,"")</f>
        <v>4130</v>
      </c>
      <c r="M46" s="146" t="str">
        <f>IF(分析!P28&lt;&gt;"",分析!P28,"")</f>
        <v>普通→</v>
      </c>
      <c r="N46" s="152">
        <f>IF(分析!O28&lt;&gt;"",分析!O28,"")</f>
        <v>1.0949009171696051</v>
      </c>
      <c r="O46" s="153">
        <f>IF(分析!X28&lt;&gt;"",分析!X28,"")</f>
        <v>-146.38499795015787</v>
      </c>
      <c r="P46" s="154">
        <f>IF(分析!L28&lt;&gt;"",分析!L28,"")</f>
        <v>-57.288135593220332</v>
      </c>
      <c r="Q46" s="151">
        <f>IF(分析!S28&lt;&gt;"",分析!S28,"")</f>
        <v>1693</v>
      </c>
      <c r="R46" s="151">
        <f>IF(分析!R28&lt;&gt;"",分析!R28,"")</f>
        <v>1905</v>
      </c>
      <c r="S46" s="146" t="str">
        <f>IF(分析!AA28&lt;&gt;"",分析!AA28,"")</f>
        <v>下落▼</v>
      </c>
      <c r="T46" s="155">
        <f>IF(分析!Z28&lt;&gt;"",分析!Z28,"")</f>
        <v>-3.8167938931297711</v>
      </c>
      <c r="U46" s="146" t="str">
        <f>IF(分析!V28&lt;&gt;"",分析!V28,"")</f>
        <v>通常</v>
      </c>
      <c r="V46" s="156">
        <f>IF(分析!W28&lt;&gt;"",分析!W28,"")</f>
        <v>22.810218978102199</v>
      </c>
      <c r="W46" s="157" t="str">
        <f>IF(分析!AD28&lt;&gt;"",分析!AD28,"")</f>
        <v>もみ合い→</v>
      </c>
      <c r="X46" s="158" t="str">
        <f>IF(分析!AE28&lt;&gt;"",分析!AE28,"")</f>
        <v>なし</v>
      </c>
      <c r="Y46" s="159">
        <f>IF(分析!T28&lt;&gt;"",分析!T28,"")</f>
        <v>2</v>
      </c>
      <c r="Z46" s="160" t="str">
        <f>IF(分析!Y28&lt;&gt;"",分析!Y28,"")</f>
        <v>見送り</v>
      </c>
    </row>
    <row r="47" spans="1:26" ht="21.95" customHeight="1">
      <c r="A47" s="161">
        <f>IF(分析!C85&lt;&gt;"",ROW()-2,"")</f>
        <v>45</v>
      </c>
      <c r="B47" s="162" t="str">
        <f>IF(分析!C85&lt;&gt;"",HYPERLINK("https://kabutan.jp/stock/?code="&amp;分析!C85,"株探"),"")</f>
        <v>株探</v>
      </c>
      <c r="C47" s="163">
        <f>IF(分析!C85&lt;&gt;"",分析!C85,"")</f>
        <v>6305</v>
      </c>
      <c r="D47" s="164" t="str">
        <f>IF(分析!D85&lt;&gt;"",分析!D85,"")</f>
        <v>日立建機</v>
      </c>
      <c r="E47" s="165">
        <f>IF(分析!E85&lt;&gt;"",分析!E85,"")</f>
        <v>5417</v>
      </c>
      <c r="F47" s="166">
        <f>IF(分析!F85&lt;&gt;"",分析!F85,"")</f>
        <v>5350</v>
      </c>
      <c r="G47" s="166">
        <f>IF(分析!H85&lt;&gt;"",分析!H85,"")</f>
        <v>5436</v>
      </c>
      <c r="H47" s="166">
        <f>IF(分析!I85&lt;&gt;"",分析!I85,"")</f>
        <v>5306</v>
      </c>
      <c r="I47" s="166">
        <f>IF(分析!J85&lt;&gt;"",分析!J85,"")</f>
        <v>1061100</v>
      </c>
      <c r="J47" s="166">
        <f>IF(分析!AB85&lt;&gt;"",分析!AB85,"")</f>
        <v>6123.3319755600796</v>
      </c>
      <c r="K47" s="166">
        <f>IF(分析!AC85&lt;&gt;"",分析!AC85,"")</f>
        <v>6144.9272943980905</v>
      </c>
      <c r="L47" s="166">
        <f>IF(分析!K85&lt;&gt;"",分析!K85,"")</f>
        <v>7225</v>
      </c>
      <c r="M47" s="161" t="str">
        <f>IF(分析!P85&lt;&gt;"",分析!P85,"")</f>
        <v>普通→</v>
      </c>
      <c r="N47" s="167">
        <f>IF(分析!O85&lt;&gt;"",分析!O85,"")</f>
        <v>1.1012516345974219</v>
      </c>
      <c r="O47" s="168">
        <f>IF(分析!X85&lt;&gt;"",分析!X85,"")</f>
        <v>28.292765056379721</v>
      </c>
      <c r="P47" s="169">
        <f>IF(分析!L85&lt;&gt;"",分析!L85,"")</f>
        <v>-25.024221453287197</v>
      </c>
      <c r="Q47" s="166">
        <f>IF(分析!S85&lt;&gt;"",分析!S85,"")</f>
        <v>5200</v>
      </c>
      <c r="R47" s="166">
        <f>IF(分析!R85&lt;&gt;"",分析!R85,"")</f>
        <v>5850</v>
      </c>
      <c r="S47" s="161" t="str">
        <f>IF(分析!AA85&lt;&gt;"",分析!AA85,"")</f>
        <v>下落▼</v>
      </c>
      <c r="T47" s="170">
        <f>IF(分析!Z85&lt;&gt;"",分析!Z85,"")</f>
        <v>-3.6907178446207785E-2</v>
      </c>
      <c r="U47" s="161" t="str">
        <f>IF(分析!V85&lt;&gt;"",分析!V85,"")</f>
        <v>通常</v>
      </c>
      <c r="V47" s="171">
        <f>IF(分析!W85&lt;&gt;"",分析!W85,"")</f>
        <v>64.230769230769226</v>
      </c>
      <c r="W47" s="172" t="str">
        <f>IF(分析!AD85&lt;&gt;"",分析!AD85,"")</f>
        <v>下降トレンド▼</v>
      </c>
      <c r="X47" s="173" t="str">
        <f>IF(分析!AE85&lt;&gt;"",分析!AE85,"")</f>
        <v>なし</v>
      </c>
      <c r="Y47" s="174">
        <f>IF(分析!T85&lt;&gt;"",分析!T85,"")</f>
        <v>1</v>
      </c>
      <c r="Z47" s="160" t="str">
        <f>IF(分析!Y85&lt;&gt;"",分析!Y85,"")</f>
        <v>見送り</v>
      </c>
    </row>
    <row r="48" spans="1:26" ht="21.95" customHeight="1">
      <c r="A48" s="161">
        <f>IF(分析!C41&lt;&gt;"",ROW()-2,"")</f>
        <v>46</v>
      </c>
      <c r="B48" s="162" t="str">
        <f>IF(分析!C41&lt;&gt;"",HYPERLINK("https://kabutan.jp/stock/?code="&amp;分析!C41,"株探"),"")</f>
        <v>株探</v>
      </c>
      <c r="C48" s="163">
        <f>IF(分析!C41&lt;&gt;"",分析!C41,"")</f>
        <v>6323</v>
      </c>
      <c r="D48" s="164" t="str">
        <f>IF(分析!D41&lt;&gt;"",分析!D41,"")</f>
        <v>ローツェ</v>
      </c>
      <c r="E48" s="165">
        <f>IF(分析!E41&lt;&gt;"",分析!E41,"")</f>
        <v>4554</v>
      </c>
      <c r="F48" s="166">
        <f>IF(分析!F41&lt;&gt;"",分析!F41,"")</f>
        <v>4309</v>
      </c>
      <c r="G48" s="166">
        <f>IF(分析!H41&lt;&gt;"",分析!H41,"")</f>
        <v>4580</v>
      </c>
      <c r="H48" s="166">
        <f>IF(分析!I41&lt;&gt;"",分析!I41,"")</f>
        <v>4305</v>
      </c>
      <c r="I48" s="166">
        <f>IF(分析!J41&lt;&gt;"",分析!J41,"")</f>
        <v>1602600</v>
      </c>
      <c r="J48" s="166">
        <f>IF(分析!AB41&lt;&gt;"",分析!AB41,"")</f>
        <v>1760.1023421588593</v>
      </c>
      <c r="K48" s="166">
        <f>IF(分析!AC41&lt;&gt;"",分析!AC41,"")</f>
        <v>1684.1323003575671</v>
      </c>
      <c r="L48" s="166">
        <f>IF(分析!K41&lt;&gt;"",分析!K41,"")</f>
        <v>4590</v>
      </c>
      <c r="M48" s="161" t="str">
        <f>IF(分析!P41&lt;&gt;"",分析!P41,"")</f>
        <v>普通→</v>
      </c>
      <c r="N48" s="167">
        <f>IF(分析!O41&lt;&gt;"",分析!O41,"")</f>
        <v>1.0264391668588118</v>
      </c>
      <c r="O48" s="168">
        <f>IF(分析!X41&lt;&gt;"",分析!X41,"")</f>
        <v>61.079892054975971</v>
      </c>
      <c r="P48" s="169">
        <f>IF(分析!L41&lt;&gt;"",分析!L41,"")</f>
        <v>-0.78431372549019607</v>
      </c>
      <c r="Q48" s="166">
        <f>IF(分析!S41&lt;&gt;"",分析!S41,"")</f>
        <v>4372</v>
      </c>
      <c r="R48" s="166">
        <f>IF(分析!R41&lt;&gt;"",分析!R41,"")</f>
        <v>4918</v>
      </c>
      <c r="S48" s="161" t="str">
        <f>IF(分析!AA41&lt;&gt;"",分析!AA41,"")</f>
        <v>上昇▲</v>
      </c>
      <c r="T48" s="170">
        <f>IF(分析!Z41&lt;&gt;"",分析!Z41,"")</f>
        <v>3.2653061224489797</v>
      </c>
      <c r="U48" s="161" t="str">
        <f>IF(分析!V41&lt;&gt;"",分析!V41,"")</f>
        <v>高値圏</v>
      </c>
      <c r="V48" s="171">
        <f>IF(分析!W41&lt;&gt;"",分析!W41,"")</f>
        <v>60.058881256133468</v>
      </c>
      <c r="W48" s="172" t="str">
        <f>IF(分析!AD41&lt;&gt;"",分析!AD41,"")</f>
        <v>パーフェクト▲</v>
      </c>
      <c r="X48" s="173" t="str">
        <f>IF(分析!AE41&lt;&gt;"",分析!AE41,"")</f>
        <v>なし</v>
      </c>
      <c r="Y48" s="174">
        <f>IF(分析!T41&lt;&gt;"",分析!T41,"")</f>
        <v>12</v>
      </c>
      <c r="Z48" s="160" t="str">
        <f>IF(分析!Y41&lt;&gt;"",分析!Y41,"")</f>
        <v>★強い買い</v>
      </c>
    </row>
    <row r="49" spans="1:26" ht="21.95" customHeight="1">
      <c r="A49" s="146">
        <f>IF(分析!C186&lt;&gt;"",ROW()-2,"")</f>
        <v>47</v>
      </c>
      <c r="B49" s="147" t="str">
        <f>IF(分析!C186&lt;&gt;"",HYPERLINK("https://kabutan.jp/stock/?code="&amp;分析!C186,"株探"),"")</f>
        <v>株探</v>
      </c>
      <c r="C49" s="148">
        <f>IF(分析!C186&lt;&gt;"",分析!C186,"")</f>
        <v>6330</v>
      </c>
      <c r="D49" s="149" t="str">
        <f>IF(分析!D186&lt;&gt;"",分析!D186,"")</f>
        <v>東洋エンジニア</v>
      </c>
      <c r="E49" s="150">
        <f>IF(分析!E186&lt;&gt;"",分析!E186,"")</f>
        <v>2198</v>
      </c>
      <c r="F49" s="151">
        <f>IF(分析!F186&lt;&gt;"",分析!F186,"")</f>
        <v>2091</v>
      </c>
      <c r="G49" s="151">
        <f>IF(分析!H186&lt;&gt;"",分析!H186,"")</f>
        <v>2266</v>
      </c>
      <c r="H49" s="151">
        <f>IF(分析!I186&lt;&gt;"",分析!I186,"")</f>
        <v>2091</v>
      </c>
      <c r="I49" s="151">
        <f>IF(分析!J186&lt;&gt;"",分析!J186,"")</f>
        <v>1837600</v>
      </c>
      <c r="J49" s="151">
        <f>IF(分析!AB186&lt;&gt;"",分析!AB186,"")</f>
        <v>609.63217922606918</v>
      </c>
      <c r="K49" s="151">
        <f>IF(分析!AC186&lt;&gt;"",分析!AC186,"")</f>
        <v>624.30631704409996</v>
      </c>
      <c r="L49" s="151">
        <f>IF(分析!K186&lt;&gt;"",分析!K186,"")</f>
        <v>8760</v>
      </c>
      <c r="M49" s="146" t="str">
        <f>IF(分析!P186&lt;&gt;"",分析!P186,"")</f>
        <v>普通→</v>
      </c>
      <c r="N49" s="152">
        <f>IF(分析!O186&lt;&gt;"",分析!O186,"")</f>
        <v>1.4586210728516773</v>
      </c>
      <c r="O49" s="153">
        <f>IF(分析!X186&lt;&gt;"",分析!X186,"")</f>
        <v>-16.152659419914471</v>
      </c>
      <c r="P49" s="154">
        <f>IF(分析!L186&lt;&gt;"",分析!L186,"")</f>
        <v>-74.908675799086751</v>
      </c>
      <c r="Q49" s="151">
        <f>IF(分析!S186&lt;&gt;"",分析!S186,"")</f>
        <v>2110</v>
      </c>
      <c r="R49" s="151">
        <f>IF(分析!R186&lt;&gt;"",分析!R186,"")</f>
        <v>2374</v>
      </c>
      <c r="S49" s="146" t="str">
        <f>IF(分析!AA186&lt;&gt;"",分析!AA186,"")</f>
        <v>上昇▲</v>
      </c>
      <c r="T49" s="155">
        <f>IF(分析!Z186&lt;&gt;"",分析!Z186,"")</f>
        <v>5.2681992337164747</v>
      </c>
      <c r="U49" s="146" t="str">
        <f>IF(分析!V186&lt;&gt;"",分析!V186,"")</f>
        <v>通常</v>
      </c>
      <c r="V49" s="156">
        <f>IF(分析!W186&lt;&gt;"",分析!W186,"")</f>
        <v>45.948717948717949</v>
      </c>
      <c r="W49" s="157" t="str">
        <f>IF(分析!AD186&lt;&gt;"",分析!AD186,"")</f>
        <v>上昇トレンド▲</v>
      </c>
      <c r="X49" s="158" t="str">
        <f>IF(分析!AE186&lt;&gt;"",分析!AE186,"")</f>
        <v>なし</v>
      </c>
      <c r="Y49" s="159">
        <f>IF(分析!T186&lt;&gt;"",分析!T186,"")</f>
        <v>4</v>
      </c>
      <c r="Z49" s="160" t="str">
        <f>IF(分析!Y186&lt;&gt;"",分析!Y186,"")</f>
        <v>様子見</v>
      </c>
    </row>
    <row r="50" spans="1:26" ht="21.95" customHeight="1">
      <c r="A50" s="146">
        <f>IF(分析!C64&lt;&gt;"",ROW()-2,"")</f>
        <v>48</v>
      </c>
      <c r="B50" s="147" t="str">
        <f>IF(分析!C64&lt;&gt;"",HYPERLINK("https://kabutan.jp/stock/?code="&amp;分析!C64,"株探"),"")</f>
        <v>株探</v>
      </c>
      <c r="C50" s="148">
        <f>IF(分析!C64&lt;&gt;"",分析!C64,"")</f>
        <v>6507</v>
      </c>
      <c r="D50" s="149" t="str">
        <f>IF(分析!D64&lt;&gt;"",分析!D64,"")</f>
        <v>シンフォニアテクノロジー</v>
      </c>
      <c r="E50" s="150">
        <f>IF(分析!E64&lt;&gt;"",分析!E64,"")</f>
        <v>15680</v>
      </c>
      <c r="F50" s="151">
        <f>IF(分析!F64&lt;&gt;"",分析!F64,"")</f>
        <v>14720</v>
      </c>
      <c r="G50" s="151">
        <f>IF(分析!H64&lt;&gt;"",分析!H64,"")</f>
        <v>15880</v>
      </c>
      <c r="H50" s="151">
        <f>IF(分析!I64&lt;&gt;"",分析!I64,"")</f>
        <v>14590</v>
      </c>
      <c r="I50" s="151">
        <f>IF(分析!J64&lt;&gt;"",分析!J64,"")</f>
        <v>248900</v>
      </c>
      <c r="J50" s="151">
        <f>IF(分析!AB64&lt;&gt;"",分析!AB64,"")</f>
        <v>7313.9276985743345</v>
      </c>
      <c r="K50" s="151">
        <f>IF(分析!AC64&lt;&gt;"",分析!AC64,"")</f>
        <v>7283.3504171632858</v>
      </c>
      <c r="L50" s="151">
        <f>IF(分析!K64&lt;&gt;"",分析!K64,"")</f>
        <v>16900</v>
      </c>
      <c r="M50" s="146" t="str">
        <f>IF(分析!P64&lt;&gt;"",分析!P64,"")</f>
        <v>普通→</v>
      </c>
      <c r="N50" s="152">
        <f>IF(分析!O64&lt;&gt;"",分析!O64,"")</f>
        <v>1.2644787644787645</v>
      </c>
      <c r="O50" s="153">
        <f>IF(分析!X64&lt;&gt;"",分析!X64,"")</f>
        <v>14.029111722307789</v>
      </c>
      <c r="P50" s="154">
        <f>IF(分析!L64&lt;&gt;"",分析!L64,"")</f>
        <v>-7.218934911242604</v>
      </c>
      <c r="Q50" s="151">
        <f>IF(分析!S64&lt;&gt;"",分析!S64,"")</f>
        <v>15053</v>
      </c>
      <c r="R50" s="151">
        <f>IF(分析!R64&lt;&gt;"",分析!R64,"")</f>
        <v>16934</v>
      </c>
      <c r="S50" s="146" t="str">
        <f>IF(分析!AA64&lt;&gt;"",分析!AA64,"")</f>
        <v>上昇▲</v>
      </c>
      <c r="T50" s="155">
        <f>IF(分析!Z64&lt;&gt;"",分析!Z64,"")</f>
        <v>6.5217391304347823</v>
      </c>
      <c r="U50" s="146" t="str">
        <f>IF(分析!V64&lt;&gt;"",分析!V64,"")</f>
        <v>通常</v>
      </c>
      <c r="V50" s="156">
        <f>IF(分析!W64&lt;&gt;"",分析!W64,"")</f>
        <v>51.856946354883085</v>
      </c>
      <c r="W50" s="157" t="str">
        <f>IF(分析!AD64&lt;&gt;"",分析!AD64,"")</f>
        <v>パーフェクト▲</v>
      </c>
      <c r="X50" s="158" t="str">
        <f>IF(分析!AE64&lt;&gt;"",分析!AE64,"")</f>
        <v>なし</v>
      </c>
      <c r="Y50" s="159">
        <f>IF(分析!T64&lt;&gt;"",分析!T64,"")</f>
        <v>5</v>
      </c>
      <c r="Z50" s="160" t="str">
        <f>IF(分析!Y64&lt;&gt;"",分析!Y64,"")</f>
        <v>様子見</v>
      </c>
    </row>
    <row r="51" spans="1:26" ht="21.95" customHeight="1">
      <c r="A51" s="161">
        <f>IF(分析!C111&lt;&gt;"",ROW()-2,"")</f>
        <v>49</v>
      </c>
      <c r="B51" s="162" t="str">
        <f>IF(分析!C111&lt;&gt;"",HYPERLINK("https://kabutan.jp/stock/?code="&amp;分析!C111,"株探"),"")</f>
        <v>株探</v>
      </c>
      <c r="C51" s="163">
        <f>IF(分析!C111&lt;&gt;"",分析!C111,"")</f>
        <v>6522</v>
      </c>
      <c r="D51" s="164" t="str">
        <f>IF(分析!D111&lt;&gt;"",分析!D111,"")</f>
        <v>アスタリスク</v>
      </c>
      <c r="E51" s="165">
        <f>IF(分析!E111&lt;&gt;"",分析!E111,"")</f>
        <v>731</v>
      </c>
      <c r="F51" s="166">
        <f>IF(分析!F111&lt;&gt;"",分析!F111,"")</f>
        <v>720</v>
      </c>
      <c r="G51" s="166">
        <f>IF(分析!H111&lt;&gt;"",分析!H111,"")</f>
        <v>740</v>
      </c>
      <c r="H51" s="166">
        <f>IF(分析!I111&lt;&gt;"",分析!I111,"")</f>
        <v>716</v>
      </c>
      <c r="I51" s="166">
        <f>IF(分析!J111&lt;&gt;"",分析!J111,"")</f>
        <v>95600</v>
      </c>
      <c r="J51" s="166">
        <f>IF(分析!AB111&lt;&gt;"",分析!AB111,"")</f>
        <v>3133.1904276985742</v>
      </c>
      <c r="K51" s="166">
        <f>IF(分析!AC111&lt;&gt;"",分析!AC111,"")</f>
        <v>3222.6209773539917</v>
      </c>
      <c r="L51" s="166">
        <f>IF(分析!K111&lt;&gt;"",分析!K111,"")</f>
        <v>1699</v>
      </c>
      <c r="M51" s="161" t="str">
        <f>IF(分析!P111&lt;&gt;"",分析!P111,"")</f>
        <v>減少↓</v>
      </c>
      <c r="N51" s="167">
        <f>IF(分析!O111&lt;&gt;"",分析!O111,"")</f>
        <v>0.64980967917346388</v>
      </c>
      <c r="O51" s="168">
        <f>IF(分析!X111&lt;&gt;"",分析!X111,"")</f>
        <v>-32.155039623625498</v>
      </c>
      <c r="P51" s="169">
        <f>IF(分析!L111&lt;&gt;"",分析!L111,"")</f>
        <v>-56.974690994702769</v>
      </c>
      <c r="Q51" s="166">
        <f>IF(分析!S111&lt;&gt;"",分析!S111,"")</f>
        <v>702</v>
      </c>
      <c r="R51" s="166">
        <f>IF(分析!R111&lt;&gt;"",分析!R111,"")</f>
        <v>789</v>
      </c>
      <c r="S51" s="161" t="str">
        <f>IF(分析!AA111&lt;&gt;"",分析!AA111,"")</f>
        <v>上昇▲</v>
      </c>
      <c r="T51" s="170">
        <f>IF(分析!Z111&lt;&gt;"",分析!Z111,"")</f>
        <v>1.5277777777777777</v>
      </c>
      <c r="U51" s="161" t="str">
        <f>IF(分析!V111&lt;&gt;"",分析!V111,"")</f>
        <v>通常</v>
      </c>
      <c r="V51" s="171">
        <f>IF(分析!W111&lt;&gt;"",分析!W111,"")</f>
        <v>31.133671742808801</v>
      </c>
      <c r="W51" s="172" t="str">
        <f>IF(分析!AD111&lt;&gt;"",分析!AD111,"")</f>
        <v>下降トレンド▼</v>
      </c>
      <c r="X51" s="173" t="str">
        <f>IF(分析!AE111&lt;&gt;"",分析!AE111,"")</f>
        <v>なし</v>
      </c>
      <c r="Y51" s="174">
        <f>IF(分析!T111&lt;&gt;"",分析!T111,"")</f>
        <v>1</v>
      </c>
      <c r="Z51" s="160" t="str">
        <f>IF(分析!Y111&lt;&gt;"",分析!Y111,"")</f>
        <v>見送り</v>
      </c>
    </row>
    <row r="52" spans="1:26" ht="21.95" customHeight="1">
      <c r="A52" s="161">
        <f>IF(分析!C189&lt;&gt;"",ROW()-2,"")</f>
        <v>50</v>
      </c>
      <c r="B52" s="162" t="str">
        <f>IF(分析!C189&lt;&gt;"",HYPERLINK("https://kabutan.jp/stock/?code="&amp;分析!C189,"株探"),"")</f>
        <v>株探</v>
      </c>
      <c r="C52" s="163">
        <f>IF(分析!C189&lt;&gt;"",分析!C189,"")</f>
        <v>6740</v>
      </c>
      <c r="D52" s="164" t="str">
        <f>IF(分析!D189&lt;&gt;"",分析!D189,"")</f>
        <v>ジャパンディスプレイ</v>
      </c>
      <c r="E52" s="165">
        <f>IF(分析!E189&lt;&gt;"",分析!E189,"")</f>
        <v>51</v>
      </c>
      <c r="F52" s="166">
        <f>IF(分析!F189&lt;&gt;"",分析!F189,"")</f>
        <v>45</v>
      </c>
      <c r="G52" s="166">
        <f>IF(分析!H189&lt;&gt;"",分析!H189,"")</f>
        <v>53</v>
      </c>
      <c r="H52" s="166">
        <f>IF(分析!I189&lt;&gt;"",分析!I189,"")</f>
        <v>44</v>
      </c>
      <c r="I52" s="166">
        <f>IF(分析!J189&lt;&gt;"",分析!J189,"")</f>
        <v>38359900</v>
      </c>
      <c r="J52" s="166">
        <f>IF(分析!AB189&lt;&gt;"",分析!AB189,"")</f>
        <v>1438.0264765784109</v>
      </c>
      <c r="K52" s="166">
        <f>IF(分析!AC189&lt;&gt;"",分析!AC189,"")</f>
        <v>1432.8760429082233</v>
      </c>
      <c r="L52" s="166">
        <f>IF(分析!K189&lt;&gt;"",分析!K189,"")</f>
        <v>164</v>
      </c>
      <c r="M52" s="161" t="str">
        <f>IF(分析!P189&lt;&gt;"",分析!P189,"")</f>
        <v>減少↓</v>
      </c>
      <c r="N52" s="167">
        <f>IF(分析!O189&lt;&gt;"",分析!O189,"")</f>
        <v>0.62436643569171713</v>
      </c>
      <c r="O52" s="168">
        <f>IF(分析!X189&lt;&gt;"",分析!X189,"")</f>
        <v>-2.7159676642559276</v>
      </c>
      <c r="P52" s="169">
        <f>IF(分析!L189&lt;&gt;"",分析!L189,"")</f>
        <v>-68.902439024390233</v>
      </c>
      <c r="Q52" s="166">
        <f>IF(分析!S189&lt;&gt;"",分析!S189,"")</f>
        <v>49</v>
      </c>
      <c r="R52" s="166">
        <f>IF(分析!R189&lt;&gt;"",分析!R189,"")</f>
        <v>55</v>
      </c>
      <c r="S52" s="161" t="str">
        <f>IF(分析!AA189&lt;&gt;"",分析!AA189,"")</f>
        <v>上昇▲</v>
      </c>
      <c r="T52" s="170">
        <f>IF(分析!Z189&lt;&gt;"",分析!Z189,"")</f>
        <v>13.333333333333334</v>
      </c>
      <c r="U52" s="161" t="str">
        <f>IF(分析!V189&lt;&gt;"",分析!V189,"")</f>
        <v>通常</v>
      </c>
      <c r="V52" s="171">
        <f>IF(分析!W189&lt;&gt;"",分析!W189,"")</f>
        <v>26.31578947368422</v>
      </c>
      <c r="W52" s="172" t="str">
        <f>IF(分析!AD189&lt;&gt;"",分析!AD189,"")</f>
        <v>もみ合い→</v>
      </c>
      <c r="X52" s="173" t="str">
        <f>IF(分析!AE189&lt;&gt;"",分析!AE189,"")</f>
        <v>なし</v>
      </c>
      <c r="Y52" s="174">
        <f>IF(分析!T189&lt;&gt;"",分析!T189,"")</f>
        <v>2</v>
      </c>
      <c r="Z52" s="160" t="str">
        <f>IF(分析!Y189&lt;&gt;"",分析!Y189,"")</f>
        <v>見送り</v>
      </c>
    </row>
    <row r="53" spans="1:26" ht="21.95" customHeight="1">
      <c r="A53" s="146">
        <f>IF(分析!C86&lt;&gt;"",ROW()-2,"")</f>
        <v>51</v>
      </c>
      <c r="B53" s="147" t="str">
        <f>IF(分析!C86&lt;&gt;"",HYPERLINK("https://kabutan.jp/stock/?code="&amp;分析!C86,"株探"),"")</f>
        <v>株探</v>
      </c>
      <c r="C53" s="148">
        <f>IF(分析!C86&lt;&gt;"",分析!C86,"")</f>
        <v>6758</v>
      </c>
      <c r="D53" s="149" t="str">
        <f>IF(分析!D86&lt;&gt;"",分析!D86,"")</f>
        <v>ソニーグループ</v>
      </c>
      <c r="E53" s="150">
        <f>IF(分析!E86&lt;&gt;"",分析!E86,"")</f>
        <v>3286</v>
      </c>
      <c r="F53" s="151">
        <f>IF(分析!F86&lt;&gt;"",分析!F86,"")</f>
        <v>3297</v>
      </c>
      <c r="G53" s="151">
        <f>IF(分析!H86&lt;&gt;"",分析!H86,"")</f>
        <v>3314</v>
      </c>
      <c r="H53" s="151">
        <f>IF(分析!I86&lt;&gt;"",分析!I86,"")</f>
        <v>3258</v>
      </c>
      <c r="I53" s="151">
        <f>IF(分析!J86&lt;&gt;"",分析!J86,"")</f>
        <v>13386100</v>
      </c>
      <c r="J53" s="151">
        <f>IF(分析!AB86&lt;&gt;"",分析!AB86,"")</f>
        <v>1709.5493890020364</v>
      </c>
      <c r="K53" s="151">
        <f>IF(分析!AC86&lt;&gt;"",分析!AC86,"")</f>
        <v>1697.7294398092961</v>
      </c>
      <c r="L53" s="151">
        <f>IF(分析!K86&lt;&gt;"",分析!K86,"")</f>
        <v>4124</v>
      </c>
      <c r="M53" s="146" t="str">
        <f>IF(分析!P86&lt;&gt;"",分析!P86,"")</f>
        <v>減少↓</v>
      </c>
      <c r="N53" s="152">
        <f>IF(分析!O86&lt;&gt;"",分析!O86,"")</f>
        <v>0.74390283210017327</v>
      </c>
      <c r="O53" s="153">
        <f>IF(分析!X86&lt;&gt;"",分析!X86,"")</f>
        <v>-38.862085504240895</v>
      </c>
      <c r="P53" s="154">
        <f>IF(分析!L86&lt;&gt;"",分析!L86,"")</f>
        <v>-20.320077594568382</v>
      </c>
      <c r="Q53" s="151">
        <f>IF(分析!S86&lt;&gt;"",分析!S86,"")</f>
        <v>3155</v>
      </c>
      <c r="R53" s="151">
        <f>IF(分析!R86&lt;&gt;"",分析!R86,"")</f>
        <v>3549</v>
      </c>
      <c r="S53" s="146" t="str">
        <f>IF(分析!AA86&lt;&gt;"",分析!AA86,"")</f>
        <v>上昇▲</v>
      </c>
      <c r="T53" s="155">
        <f>IF(分析!Z86&lt;&gt;"",分析!Z86,"")</f>
        <v>0.33587786259541985</v>
      </c>
      <c r="U53" s="146" t="str">
        <f>IF(分析!V86&lt;&gt;"",分析!V86,"")</f>
        <v>通常</v>
      </c>
      <c r="V53" s="156">
        <f>IF(分析!W86&lt;&gt;"",分析!W86,"")</f>
        <v>30.086313193588168</v>
      </c>
      <c r="W53" s="157" t="str">
        <f>IF(分析!AD86&lt;&gt;"",分析!AD86,"")</f>
        <v>パーフェクト▲</v>
      </c>
      <c r="X53" s="158" t="str">
        <f>IF(分析!AE86&lt;&gt;"",分析!AE86,"")</f>
        <v>なし</v>
      </c>
      <c r="Y53" s="159">
        <f>IF(分析!T86&lt;&gt;"",分析!T86,"")</f>
        <v>4</v>
      </c>
      <c r="Z53" s="160" t="str">
        <f>IF(分析!Y86&lt;&gt;"",分析!Y86,"")</f>
        <v>様子見</v>
      </c>
    </row>
    <row r="54" spans="1:26" ht="21.95" customHeight="1">
      <c r="A54" s="146">
        <f>IF(分析!C130&lt;&gt;"",ROW()-2,"")</f>
        <v>52</v>
      </c>
      <c r="B54" s="147" t="str">
        <f>IF(分析!C130&lt;&gt;"",HYPERLINK("https://kabutan.jp/stock/?code="&amp;分析!C130,"株探"),"")</f>
        <v>株探</v>
      </c>
      <c r="C54" s="148">
        <f>IF(分析!C130&lt;&gt;"",分析!C130,"")</f>
        <v>6777</v>
      </c>
      <c r="D54" s="149" t="str">
        <f>IF(分析!D130&lt;&gt;"",分析!D130,"")</f>
        <v>ＳＡＮＴＥＣＨＯＬＤＩＮＧＳ</v>
      </c>
      <c r="E54" s="150">
        <f>IF(分析!E130&lt;&gt;"",分析!E130,"")</f>
        <v>27070</v>
      </c>
      <c r="F54" s="151">
        <f>IF(分析!F130&lt;&gt;"",分析!F130,"")</f>
        <v>26230</v>
      </c>
      <c r="G54" s="151">
        <f>IF(分析!H130&lt;&gt;"",分析!H130,"")</f>
        <v>27580</v>
      </c>
      <c r="H54" s="151">
        <f>IF(分析!I130&lt;&gt;"",分析!I130,"")</f>
        <v>25600</v>
      </c>
      <c r="I54" s="151">
        <f>IF(分析!J130&lt;&gt;"",分析!J130,"")</f>
        <v>118600</v>
      </c>
      <c r="J54" s="151">
        <f>IF(分析!AB130&lt;&gt;"",分析!AB130,"")</f>
        <v>7736.1201629327898</v>
      </c>
      <c r="K54" s="151">
        <f>IF(分析!AC130&lt;&gt;"",分析!AC130,"")</f>
        <v>6884.6245530393298</v>
      </c>
      <c r="L54" s="151">
        <f>IF(分析!K130&lt;&gt;"",分析!K130,"")</f>
        <v>34700</v>
      </c>
      <c r="M54" s="146" t="str">
        <f>IF(分析!P130&lt;&gt;"",分析!P130,"")</f>
        <v>減少↓</v>
      </c>
      <c r="N54" s="152">
        <f>IF(分析!O130&lt;&gt;"",分析!O130,"")</f>
        <v>0.78470292444091572</v>
      </c>
      <c r="O54" s="153">
        <f>IF(分析!X130&lt;&gt;"",分析!X130,"")</f>
        <v>-546.1836538116986</v>
      </c>
      <c r="P54" s="154">
        <f>IF(分析!L130&lt;&gt;"",分析!L130,"")</f>
        <v>-21.988472622478387</v>
      </c>
      <c r="Q54" s="151">
        <f>IF(分析!S130&lt;&gt;"",分析!S130,"")</f>
        <v>25987</v>
      </c>
      <c r="R54" s="151">
        <f>IF(分析!R130&lt;&gt;"",分析!R130,"")</f>
        <v>29236</v>
      </c>
      <c r="S54" s="146" t="str">
        <f>IF(分析!AA130&lt;&gt;"",分析!AA130,"")</f>
        <v>上昇▲</v>
      </c>
      <c r="T54" s="155">
        <f>IF(分析!Z130&lt;&gt;"",分析!Z130,"")</f>
        <v>16.580534022394488</v>
      </c>
      <c r="U54" s="146" t="str">
        <f>IF(分析!V130&lt;&gt;"",分析!V130,"")</f>
        <v>通常</v>
      </c>
      <c r="V54" s="156">
        <f>IF(分析!W130&lt;&gt;"",分析!W130,"")</f>
        <v>31.764705882352942</v>
      </c>
      <c r="W54" s="157" t="str">
        <f>IF(分析!AD130&lt;&gt;"",分析!AD130,"")</f>
        <v>パーフェクト▲</v>
      </c>
      <c r="X54" s="158" t="str">
        <f>IF(分析!AE130&lt;&gt;"",分析!AE130,"")</f>
        <v>なし</v>
      </c>
      <c r="Y54" s="159">
        <f>IF(分析!T130&lt;&gt;"",分析!T130,"")</f>
        <v>4</v>
      </c>
      <c r="Z54" s="160" t="str">
        <f>IF(分析!Y130&lt;&gt;"",分析!Y130,"")</f>
        <v>様子見</v>
      </c>
    </row>
    <row r="55" spans="1:26" ht="21.95" customHeight="1">
      <c r="A55" s="146">
        <f>IF(分析!C6&lt;&gt;"",ROW()-2,"")</f>
        <v>53</v>
      </c>
      <c r="B55" s="147" t="str">
        <f>IF(分析!C6&lt;&gt;"",HYPERLINK("https://kabutan.jp/stock/?code="&amp;分析!C6,"株探"),"")</f>
        <v>株探</v>
      </c>
      <c r="C55" s="148">
        <f>IF(分析!C6&lt;&gt;"",分析!C6,"")</f>
        <v>6838</v>
      </c>
      <c r="D55" s="149" t="str">
        <f>IF(分析!D6&lt;&gt;"",分析!D6,"")</f>
        <v>多摩川ホールディングス</v>
      </c>
      <c r="E55" s="150">
        <f>IF(分析!E6&lt;&gt;"",分析!E6,"")</f>
        <v>2153</v>
      </c>
      <c r="F55" s="151">
        <f>IF(分析!F6&lt;&gt;"",分析!F6,"")</f>
        <v>2230</v>
      </c>
      <c r="G55" s="151">
        <f>IF(分析!H6&lt;&gt;"",分析!H6,"")</f>
        <v>2490</v>
      </c>
      <c r="H55" s="151">
        <f>IF(分析!I6&lt;&gt;"",分析!I6,"")</f>
        <v>2122</v>
      </c>
      <c r="I55" s="151">
        <f>IF(分析!J6&lt;&gt;"",分析!J6,"")</f>
        <v>1705200</v>
      </c>
      <c r="J55" s="151">
        <f>IF(分析!AB6&lt;&gt;"",分析!AB6,"")</f>
        <v>8696.9490835030538</v>
      </c>
      <c r="K55" s="151">
        <f>IF(分析!AC6&lt;&gt;"",分析!AC6,"")</f>
        <v>8884.4612634088189</v>
      </c>
      <c r="L55" s="151">
        <f>IF(分析!K6&lt;&gt;"",分析!K6,"")</f>
        <v>2496</v>
      </c>
      <c r="M55" s="146" t="str">
        <f>IF(分析!P6&lt;&gt;"",分析!P6,"")</f>
        <v>急増↑↑</v>
      </c>
      <c r="N55" s="152">
        <f>IF(分析!O6&lt;&gt;"",分析!O6,"")</f>
        <v>2.7896476131269834</v>
      </c>
      <c r="O55" s="153">
        <f>IF(分析!X6&lt;&gt;"",分析!X6,"")</f>
        <v>0.58639980257885327</v>
      </c>
      <c r="P55" s="154">
        <f>IF(分析!L6&lt;&gt;"",分析!L6,"")</f>
        <v>-13.741987179487181</v>
      </c>
      <c r="Q55" s="151">
        <f>IF(分析!S6&lt;&gt;"",分析!S6,"")</f>
        <v>2067</v>
      </c>
      <c r="R55" s="151">
        <f>IF(分析!R6&lt;&gt;"",分析!R6,"")</f>
        <v>2325</v>
      </c>
      <c r="S55" s="146" t="str">
        <f>IF(分析!AA6&lt;&gt;"",分析!AA6,"")</f>
        <v>下落▼</v>
      </c>
      <c r="T55" s="155">
        <f>IF(分析!Z6&lt;&gt;"",分析!Z6,"")</f>
        <v>-5.5701754385964914</v>
      </c>
      <c r="U55" s="146" t="str">
        <f>IF(分析!V6&lt;&gt;"",分析!V6,"")</f>
        <v>高値圏</v>
      </c>
      <c r="V55" s="156">
        <f>IF(分析!W6&lt;&gt;"",分析!W6,"")</f>
        <v>52.445961319681459</v>
      </c>
      <c r="W55" s="157" t="str">
        <f>IF(分析!AD6&lt;&gt;"",分析!AD6,"")</f>
        <v>下降トレンド▼</v>
      </c>
      <c r="X55" s="158" t="str">
        <f>IF(分析!AE6&lt;&gt;"",分析!AE6,"")</f>
        <v>なし</v>
      </c>
      <c r="Y55" s="159">
        <f>IF(分析!T6&lt;&gt;"",分析!T6,"")</f>
        <v>12</v>
      </c>
      <c r="Z55" s="160" t="str">
        <f>IF(分析!Y6&lt;&gt;"",分析!Y6,"")</f>
        <v>○買い候補</v>
      </c>
    </row>
    <row r="56" spans="1:26" ht="21.95" customHeight="1">
      <c r="A56" s="146">
        <f>IF(分析!C100&lt;&gt;"",ROW()-2,"")</f>
        <v>54</v>
      </c>
      <c r="B56" s="147" t="str">
        <f>IF(分析!C100&lt;&gt;"",HYPERLINK("https://kabutan.jp/stock/?code="&amp;分析!C100,"株探"),"")</f>
        <v>株探</v>
      </c>
      <c r="C56" s="148">
        <f>IF(分析!C100&lt;&gt;"",分析!C100,"")</f>
        <v>6841</v>
      </c>
      <c r="D56" s="149" t="str">
        <f>IF(分析!D100&lt;&gt;"",分析!D100,"")</f>
        <v>横河電機</v>
      </c>
      <c r="E56" s="150">
        <f>IF(分析!E100&lt;&gt;"",分析!E100,"")</f>
        <v>5380</v>
      </c>
      <c r="F56" s="151">
        <f>IF(分析!F100&lt;&gt;"",分析!F100,"")</f>
        <v>5151</v>
      </c>
      <c r="G56" s="151">
        <f>IF(分析!H100&lt;&gt;"",分析!H100,"")</f>
        <v>5413</v>
      </c>
      <c r="H56" s="151">
        <f>IF(分析!I100&lt;&gt;"",分析!I100,"")</f>
        <v>5150</v>
      </c>
      <c r="I56" s="151">
        <f>IF(分析!J100&lt;&gt;"",分析!J100,"")</f>
        <v>1378800</v>
      </c>
      <c r="J56" s="151">
        <f>IF(分析!AB100&lt;&gt;"",分析!AB100,"")</f>
        <v>11850.096741344194</v>
      </c>
      <c r="K56" s="151">
        <f>IF(分析!AC100&lt;&gt;"",分析!AC100,"")</f>
        <v>11989.213349225263</v>
      </c>
      <c r="L56" s="151">
        <f>IF(分析!K100&lt;&gt;"",分析!K100,"")</f>
        <v>6317</v>
      </c>
      <c r="M56" s="146" t="str">
        <f>IF(分析!P100&lt;&gt;"",分析!P100,"")</f>
        <v>減少↓</v>
      </c>
      <c r="N56" s="152">
        <f>IF(分析!O100&lt;&gt;"",分析!O100,"")</f>
        <v>0.94762886597938145</v>
      </c>
      <c r="O56" s="153">
        <f>IF(分析!X100&lt;&gt;"",分析!X100,"")</f>
        <v>25.604315014788881</v>
      </c>
      <c r="P56" s="154">
        <f>IF(分析!L100&lt;&gt;"",分析!L100,"")</f>
        <v>-14.832990343517494</v>
      </c>
      <c r="Q56" s="151">
        <f>IF(分析!S100&lt;&gt;"",分析!S100,"")</f>
        <v>5165</v>
      </c>
      <c r="R56" s="151">
        <f>IF(分析!R100&lt;&gt;"",分析!R100,"")</f>
        <v>5810</v>
      </c>
      <c r="S56" s="146" t="str">
        <f>IF(分析!AA100&lt;&gt;"",分析!AA100,"")</f>
        <v>上昇▲</v>
      </c>
      <c r="T56" s="155">
        <f>IF(分析!Z100&lt;&gt;"",分析!Z100,"")</f>
        <v>2.8680688336520075</v>
      </c>
      <c r="U56" s="146" t="str">
        <f>IF(分析!V100&lt;&gt;"",分析!V100,"")</f>
        <v>通常</v>
      </c>
      <c r="V56" s="156">
        <f>IF(分析!W100&lt;&gt;"",分析!W100,"")</f>
        <v>55.698529411764703</v>
      </c>
      <c r="W56" s="157" t="str">
        <f>IF(分析!AD100&lt;&gt;"",分析!AD100,"")</f>
        <v>下降トレンド▼</v>
      </c>
      <c r="X56" s="158" t="str">
        <f>IF(分析!AE100&lt;&gt;"",分析!AE100,"")</f>
        <v>なし</v>
      </c>
      <c r="Y56" s="159">
        <f>IF(分析!T100&lt;&gt;"",分析!T100,"")</f>
        <v>4</v>
      </c>
      <c r="Z56" s="160" t="str">
        <f>IF(分析!Y100&lt;&gt;"",分析!Y100,"")</f>
        <v>様子見</v>
      </c>
    </row>
    <row r="57" spans="1:26" ht="21.95" customHeight="1">
      <c r="A57" s="161">
        <f>IF(分析!C113&lt;&gt;"",ROW()-2,"")</f>
        <v>55</v>
      </c>
      <c r="B57" s="162" t="str">
        <f>IF(分析!C113&lt;&gt;"",HYPERLINK("https://kabutan.jp/stock/?code="&amp;分析!C113,"株探"),"")</f>
        <v>株探</v>
      </c>
      <c r="C57" s="163">
        <f>IF(分析!C113&lt;&gt;"",分析!C113,"")</f>
        <v>6857</v>
      </c>
      <c r="D57" s="164" t="str">
        <f>IF(分析!D113&lt;&gt;"",分析!D113,"")</f>
        <v>アドバンテスト</v>
      </c>
      <c r="E57" s="165">
        <f>IF(分析!E113&lt;&gt;"",分析!E113,"")</f>
        <v>30060</v>
      </c>
      <c r="F57" s="166">
        <f>IF(分析!F113&lt;&gt;"",分析!F113,"")</f>
        <v>29640</v>
      </c>
      <c r="G57" s="166">
        <f>IF(分析!H113&lt;&gt;"",分析!H113,"")</f>
        <v>31170</v>
      </c>
      <c r="H57" s="166">
        <f>IF(分析!I113&lt;&gt;"",分析!I113,"")</f>
        <v>29585</v>
      </c>
      <c r="I57" s="166">
        <f>IF(分析!J113&lt;&gt;"",分析!J113,"")</f>
        <v>7837500</v>
      </c>
      <c r="J57" s="166">
        <f>IF(分析!AB113&lt;&gt;"",分析!AB113,"")</f>
        <v>6237.2698574338074</v>
      </c>
      <c r="K57" s="166">
        <f>IF(分析!AC113&lt;&gt;"",分析!AC113,"")</f>
        <v>6342.0846245530374</v>
      </c>
      <c r="L57" s="166">
        <f>IF(分析!K113&lt;&gt;"",分析!K113,"")</f>
        <v>32400</v>
      </c>
      <c r="M57" s="161" t="str">
        <f>IF(分析!P113&lt;&gt;"",分析!P113,"")</f>
        <v>減少↓</v>
      </c>
      <c r="N57" s="167">
        <f>IF(分析!O113&lt;&gt;"",分析!O113,"")</f>
        <v>0.85795072653511606</v>
      </c>
      <c r="O57" s="168">
        <f>IF(分析!X113&lt;&gt;"",分析!X113,"")</f>
        <v>130.73819152282522</v>
      </c>
      <c r="P57" s="169">
        <f>IF(分析!L113&lt;&gt;"",分析!L113,"")</f>
        <v>-7.2222222222222214</v>
      </c>
      <c r="Q57" s="166">
        <f>IF(分析!S113&lt;&gt;"",分析!S113,"")</f>
        <v>28858</v>
      </c>
      <c r="R57" s="166">
        <f>IF(分析!R113&lt;&gt;"",分析!R113,"")</f>
        <v>32465</v>
      </c>
      <c r="S57" s="161" t="str">
        <f>IF(分析!AA113&lt;&gt;"",分析!AA113,"")</f>
        <v>下落▼</v>
      </c>
      <c r="T57" s="170">
        <f>IF(分析!Z113&lt;&gt;"",分析!Z113,"")</f>
        <v>-0.92287409360580097</v>
      </c>
      <c r="U57" s="161" t="str">
        <f>IF(分析!V113&lt;&gt;"",分析!V113,"")</f>
        <v>高値圏</v>
      </c>
      <c r="V57" s="171">
        <f>IF(分析!W113&lt;&gt;"",分析!W113,"")</f>
        <v>62.806888970318795</v>
      </c>
      <c r="W57" s="172" t="str">
        <f>IF(分析!AD113&lt;&gt;"",分析!AD113,"")</f>
        <v>上昇トレンド▲</v>
      </c>
      <c r="X57" s="173" t="str">
        <f>IF(分析!AE113&lt;&gt;"",分析!AE113,"")</f>
        <v>なし</v>
      </c>
      <c r="Y57" s="174">
        <f>IF(分析!T113&lt;&gt;"",分析!T113,"")</f>
        <v>6</v>
      </c>
      <c r="Z57" s="160" t="str">
        <f>IF(分析!Y113&lt;&gt;"",分析!Y113,"")</f>
        <v>△注目</v>
      </c>
    </row>
    <row r="58" spans="1:26" ht="21.95" customHeight="1">
      <c r="A58" s="161">
        <f>IF(分析!C33&lt;&gt;"",ROW()-2,"")</f>
        <v>56</v>
      </c>
      <c r="B58" s="162" t="str">
        <f>IF(分析!C33&lt;&gt;"",HYPERLINK("https://kabutan.jp/stock/?code="&amp;分析!C33,"株探"),"")</f>
        <v>株探</v>
      </c>
      <c r="C58" s="163">
        <f>IF(分析!C33&lt;&gt;"",分析!C33,"")</f>
        <v>6890</v>
      </c>
      <c r="D58" s="164" t="str">
        <f>IF(分析!D33&lt;&gt;"",分析!D33,"")</f>
        <v>フェローテック</v>
      </c>
      <c r="E58" s="165">
        <f>IF(分析!E33&lt;&gt;"",分析!E33,"")</f>
        <v>9440</v>
      </c>
      <c r="F58" s="166">
        <f>IF(分析!F33&lt;&gt;"",分析!F33,"")</f>
        <v>9020</v>
      </c>
      <c r="G58" s="166">
        <f>IF(分析!H33&lt;&gt;"",分析!H33,"")</f>
        <v>9500</v>
      </c>
      <c r="H58" s="166">
        <f>IF(分析!I33&lt;&gt;"",分析!I33,"")</f>
        <v>8990</v>
      </c>
      <c r="I58" s="166">
        <f>IF(分析!J33&lt;&gt;"",分析!J33,"")</f>
        <v>602200</v>
      </c>
      <c r="J58" s="166">
        <f>IF(分析!AB33&lt;&gt;"",分析!AB33,"")</f>
        <v>2140.7219959266795</v>
      </c>
      <c r="K58" s="166">
        <f>IF(分析!AC33&lt;&gt;"",分析!AC33,"")</f>
        <v>2096.325387365911</v>
      </c>
      <c r="L58" s="166">
        <f>IF(分析!K33&lt;&gt;"",分析!K33,"")</f>
        <v>10430</v>
      </c>
      <c r="M58" s="161" t="str">
        <f>IF(分析!P33&lt;&gt;"",分析!P33,"")</f>
        <v>減少↓</v>
      </c>
      <c r="N58" s="167">
        <f>IF(分析!O33&lt;&gt;"",分析!O33,"")</f>
        <v>0.72071425151993873</v>
      </c>
      <c r="O58" s="168">
        <f>IF(分析!X33&lt;&gt;"",分析!X33,"")</f>
        <v>-21.724533213391624</v>
      </c>
      <c r="P58" s="169">
        <f>IF(分析!L33&lt;&gt;"",分析!L33,"")</f>
        <v>-9.4918504314477481</v>
      </c>
      <c r="Q58" s="166">
        <f>IF(分析!S33&lt;&gt;"",分析!S33,"")</f>
        <v>9062</v>
      </c>
      <c r="R58" s="166">
        <f>IF(分析!R33&lt;&gt;"",分析!R33,"")</f>
        <v>10195</v>
      </c>
      <c r="S58" s="161" t="str">
        <f>IF(分析!AA33&lt;&gt;"",分析!AA33,"")</f>
        <v>上昇▲</v>
      </c>
      <c r="T58" s="170">
        <f>IF(分析!Z33&lt;&gt;"",分析!Z33,"")</f>
        <v>1.5053763440860215</v>
      </c>
      <c r="U58" s="161" t="str">
        <f>IF(分析!V33&lt;&gt;"",分析!V33,"")</f>
        <v>通常</v>
      </c>
      <c r="V58" s="171">
        <f>IF(分析!W33&lt;&gt;"",分析!W33,"")</f>
        <v>50.743494423791823</v>
      </c>
      <c r="W58" s="172" t="str">
        <f>IF(分析!AD33&lt;&gt;"",分析!AD33,"")</f>
        <v>パーフェクト▲</v>
      </c>
      <c r="X58" s="173" t="str">
        <f>IF(分析!AE33&lt;&gt;"",分析!AE33,"")</f>
        <v>なし</v>
      </c>
      <c r="Y58" s="174">
        <f>IF(分析!T33&lt;&gt;"",分析!T33,"")</f>
        <v>3</v>
      </c>
      <c r="Z58" s="160" t="str">
        <f>IF(分析!Y33&lt;&gt;"",分析!Y33,"")</f>
        <v>様子見</v>
      </c>
    </row>
    <row r="59" spans="1:26" ht="21.95" customHeight="1">
      <c r="A59" s="146">
        <f>IF(分析!C84&lt;&gt;"",ROW()-2,"")</f>
        <v>57</v>
      </c>
      <c r="B59" s="147" t="str">
        <f>IF(分析!C84&lt;&gt;"",HYPERLINK("https://kabutan.jp/stock/?code="&amp;分析!C84,"株探"),"")</f>
        <v>株探</v>
      </c>
      <c r="C59" s="148">
        <f>IF(分析!C84&lt;&gt;"",分析!C84,"")</f>
        <v>6920</v>
      </c>
      <c r="D59" s="149" t="str">
        <f>IF(分析!D84&lt;&gt;"",分析!D84,"")</f>
        <v>レーザーテック</v>
      </c>
      <c r="E59" s="150">
        <f>IF(分析!E84&lt;&gt;"",分析!E84,"")</f>
        <v>52700</v>
      </c>
      <c r="F59" s="151">
        <f>IF(分析!F84&lt;&gt;"",分析!F84,"")</f>
        <v>45870</v>
      </c>
      <c r="G59" s="151">
        <f>IF(分析!H84&lt;&gt;"",分析!H84,"")</f>
        <v>52980</v>
      </c>
      <c r="H59" s="151">
        <f>IF(分析!I84&lt;&gt;"",分析!I84,"")</f>
        <v>45770</v>
      </c>
      <c r="I59" s="151">
        <f>IF(分析!J84&lt;&gt;"",分析!J84,"")</f>
        <v>7716500</v>
      </c>
      <c r="J59" s="151">
        <f>IF(分析!AB84&lt;&gt;"",分析!AB84,"")</f>
        <v>2642.7647657841139</v>
      </c>
      <c r="K59" s="151">
        <f>IF(分析!AC84&lt;&gt;"",分析!AC84,"")</f>
        <v>2624.731227651966</v>
      </c>
      <c r="L59" s="151">
        <f>IF(分析!K84&lt;&gt;"",分析!K84,"")</f>
        <v>48640</v>
      </c>
      <c r="M59" s="146" t="str">
        <f>IF(分析!P84&lt;&gt;"",分析!P84,"")</f>
        <v>増加↑</v>
      </c>
      <c r="N59" s="152">
        <f>IF(分析!O84&lt;&gt;"",分析!O84,"")</f>
        <v>1.7764318042644494</v>
      </c>
      <c r="O59" s="153">
        <f>IF(分析!X84&lt;&gt;"",分析!X84,"")</f>
        <v>943.60043623801903</v>
      </c>
      <c r="P59" s="154">
        <f>IF(分析!L84&lt;&gt;"",分析!L84,"")</f>
        <v>8.3470394736842106</v>
      </c>
      <c r="Q59" s="151">
        <f>IF(分析!S84&lt;&gt;"",分析!S84,"")</f>
        <v>50592</v>
      </c>
      <c r="R59" s="151">
        <f>IF(分析!R84&lt;&gt;"",分析!R84,"")</f>
        <v>56916</v>
      </c>
      <c r="S59" s="146" t="str">
        <f>IF(分析!AA84&lt;&gt;"",分析!AA84,"")</f>
        <v>上昇▲</v>
      </c>
      <c r="T59" s="155">
        <f>IF(分析!Z84&lt;&gt;"",分析!Z84,"")</f>
        <v>13.162980459523299</v>
      </c>
      <c r="U59" s="146" t="str">
        <f>IF(分析!V84&lt;&gt;"",分析!V84,"")</f>
        <v>年初来高値更新●</v>
      </c>
      <c r="V59" s="156">
        <f>IF(分析!W84&lt;&gt;"",分析!W84,"")</f>
        <v>60.9375</v>
      </c>
      <c r="W59" s="157" t="str">
        <f>IF(分析!AD84&lt;&gt;"",分析!AD84,"")</f>
        <v>パーフェクト▲</v>
      </c>
      <c r="X59" s="158" t="str">
        <f>IF(分析!AE84&lt;&gt;"",分析!AE84,"")</f>
        <v>なし</v>
      </c>
      <c r="Y59" s="159">
        <f>IF(分析!T84&lt;&gt;"",分析!T84,"")</f>
        <v>17</v>
      </c>
      <c r="Z59" s="160" t="str">
        <f>IF(分析!Y84&lt;&gt;"",分析!Y84,"")</f>
        <v>★強い買い</v>
      </c>
    </row>
    <row r="60" spans="1:26" ht="21.95" customHeight="1">
      <c r="A60" s="146">
        <f>IF(分析!C42&lt;&gt;"",ROW()-2,"")</f>
        <v>58</v>
      </c>
      <c r="B60" s="147" t="str">
        <f>IF(分析!C42&lt;&gt;"",HYPERLINK("https://kabutan.jp/stock/?code="&amp;分析!C42,"株探"),"")</f>
        <v>株探</v>
      </c>
      <c r="C60" s="148">
        <f>IF(分析!C42&lt;&gt;"",分析!C42,"")</f>
        <v>6925</v>
      </c>
      <c r="D60" s="149" t="str">
        <f>IF(分析!D42&lt;&gt;"",分析!D42,"")</f>
        <v>ウシオ電機</v>
      </c>
      <c r="E60" s="150">
        <f>IF(分析!E42&lt;&gt;"",分析!E42,"")</f>
        <v>4596</v>
      </c>
      <c r="F60" s="151">
        <f>IF(分析!F42&lt;&gt;"",分析!F42,"")</f>
        <v>4478</v>
      </c>
      <c r="G60" s="151">
        <f>IF(分析!H42&lt;&gt;"",分析!H42,"")</f>
        <v>4620</v>
      </c>
      <c r="H60" s="151">
        <f>IF(分析!I42&lt;&gt;"",分析!I42,"")</f>
        <v>4405</v>
      </c>
      <c r="I60" s="151">
        <f>IF(分析!J42&lt;&gt;"",分析!J42,"")</f>
        <v>591100</v>
      </c>
      <c r="J60" s="151">
        <f>IF(分析!AB42&lt;&gt;"",分析!AB42,"")</f>
        <v>1158.8279022403258</v>
      </c>
      <c r="K60" s="151">
        <f>IF(分析!AC42&lt;&gt;"",分析!AC42,"")</f>
        <v>1136.0125148986883</v>
      </c>
      <c r="L60" s="151">
        <f>IF(分析!K42&lt;&gt;"",分析!K42,"")</f>
        <v>4416</v>
      </c>
      <c r="M60" s="146" t="str">
        <f>IF(分析!P42&lt;&gt;"",分析!P42,"")</f>
        <v>普通→</v>
      </c>
      <c r="N60" s="152">
        <f>IF(分析!O42&lt;&gt;"",分析!O42,"")</f>
        <v>1.310236290286829</v>
      </c>
      <c r="O60" s="153">
        <f>IF(分析!X42&lt;&gt;"",分析!X42,"")</f>
        <v>35.771108386834385</v>
      </c>
      <c r="P60" s="154">
        <f>IF(分析!L42&lt;&gt;"",分析!L42,"")</f>
        <v>4.0760869565217392</v>
      </c>
      <c r="Q60" s="151">
        <f>IF(分析!S42&lt;&gt;"",分析!S42,"")</f>
        <v>4412</v>
      </c>
      <c r="R60" s="151">
        <f>IF(分析!R42&lt;&gt;"",分析!R42,"")</f>
        <v>4964</v>
      </c>
      <c r="S60" s="146" t="str">
        <f>IF(分析!AA42&lt;&gt;"",分析!AA42,"")</f>
        <v>上昇▲</v>
      </c>
      <c r="T60" s="155">
        <f>IF(分析!Z42&lt;&gt;"",分析!Z42,"")</f>
        <v>6.8340306834030677</v>
      </c>
      <c r="U60" s="146" t="str">
        <f>IF(分析!V42&lt;&gt;"",分析!V42,"")</f>
        <v>年初来高値更新●</v>
      </c>
      <c r="V60" s="156">
        <f>IF(分析!W42&lt;&gt;"",分析!W42,"")</f>
        <v>53.470031545741328</v>
      </c>
      <c r="W60" s="157" t="str">
        <f>IF(分析!AD42&lt;&gt;"",分析!AD42,"")</f>
        <v>パーフェクト▲</v>
      </c>
      <c r="X60" s="158" t="str">
        <f>IF(分析!AE42&lt;&gt;"",分析!AE42,"")</f>
        <v>なし</v>
      </c>
      <c r="Y60" s="159">
        <f>IF(分析!T42&lt;&gt;"",分析!T42,"")</f>
        <v>14</v>
      </c>
      <c r="Z60" s="160" t="str">
        <f>IF(分析!Y42&lt;&gt;"",分析!Y42,"")</f>
        <v>★強い買い</v>
      </c>
    </row>
    <row r="61" spans="1:26" ht="21.95" customHeight="1">
      <c r="A61" s="161">
        <f>IF(分析!C197&lt;&gt;"",ROW()-2,"")</f>
        <v>59</v>
      </c>
      <c r="B61" s="162" t="str">
        <f>IF(分析!C197&lt;&gt;"",HYPERLINK("https://kabutan.jp/stock/?code="&amp;分析!C197,"株探"),"")</f>
        <v>株探</v>
      </c>
      <c r="C61" s="163">
        <f>IF(分析!C197&lt;&gt;"",分析!C197,"")</f>
        <v>7011</v>
      </c>
      <c r="D61" s="164" t="str">
        <f>IF(分析!D197&lt;&gt;"",分析!D197,"")</f>
        <v>三菱重工業</v>
      </c>
      <c r="E61" s="165">
        <f>IF(分析!E197&lt;&gt;"",分析!E197,"")</f>
        <v>3860</v>
      </c>
      <c r="F61" s="166">
        <f>IF(分析!F197&lt;&gt;"",分析!F197,"")</f>
        <v>3810</v>
      </c>
      <c r="G61" s="166">
        <f>IF(分析!H197&lt;&gt;"",分析!H197,"")</f>
        <v>3905</v>
      </c>
      <c r="H61" s="166">
        <f>IF(分析!I197&lt;&gt;"",分析!I197,"")</f>
        <v>3796</v>
      </c>
      <c r="I61" s="166">
        <f>IF(分析!J197&lt;&gt;"",分析!J197,"")</f>
        <v>23776900</v>
      </c>
      <c r="J61" s="166">
        <f>IF(分析!AB197&lt;&gt;"",分析!AB197,"")</f>
        <v>47556.863543788175</v>
      </c>
      <c r="K61" s="166">
        <f>IF(分析!AC197&lt;&gt;"",分析!AC197,"")</f>
        <v>42787.616209773529</v>
      </c>
      <c r="L61" s="166">
        <f>IF(分析!K197&lt;&gt;"",分析!K197,"")</f>
        <v>5208</v>
      </c>
      <c r="M61" s="161" t="str">
        <f>IF(分析!P197&lt;&gt;"",分析!P197,"")</f>
        <v>普通→</v>
      </c>
      <c r="N61" s="167">
        <f>IF(分析!O197&lt;&gt;"",分析!O197,"")</f>
        <v>1.116917731901037</v>
      </c>
      <c r="O61" s="168">
        <f>IF(分析!X197&lt;&gt;"",分析!X197,"")</f>
        <v>-50.738774632918648</v>
      </c>
      <c r="P61" s="169">
        <f>IF(分析!L197&lt;&gt;"",分析!L197,"")</f>
        <v>-25.883256528417821</v>
      </c>
      <c r="Q61" s="166">
        <f>IF(分析!S197&lt;&gt;"",分析!S197,"")</f>
        <v>3706</v>
      </c>
      <c r="R61" s="166">
        <f>IF(分析!R197&lt;&gt;"",分析!R197,"")</f>
        <v>4169</v>
      </c>
      <c r="S61" s="161" t="str">
        <f>IF(分析!AA197&lt;&gt;"",分析!AA197,"")</f>
        <v>上昇▲</v>
      </c>
      <c r="T61" s="170">
        <f>IF(分析!Z197&lt;&gt;"",分析!Z197,"")</f>
        <v>1.3123359580052494</v>
      </c>
      <c r="U61" s="161" t="str">
        <f>IF(分析!V197&lt;&gt;"",分析!V197,"")</f>
        <v>通常</v>
      </c>
      <c r="V61" s="171">
        <f>IF(分析!W197&lt;&gt;"",分析!W197,"")</f>
        <v>46.17784711388456</v>
      </c>
      <c r="W61" s="172" t="str">
        <f>IF(分析!AD197&lt;&gt;"",分析!AD197,"")</f>
        <v>もみ合い→</v>
      </c>
      <c r="X61" s="173" t="str">
        <f>IF(分析!AE197&lt;&gt;"",分析!AE197,"")</f>
        <v>なし</v>
      </c>
      <c r="Y61" s="174">
        <f>IF(分析!T197&lt;&gt;"",分析!T197,"")</f>
        <v>1</v>
      </c>
      <c r="Z61" s="160" t="str">
        <f>IF(分析!Y197&lt;&gt;"",分析!Y197,"")</f>
        <v>見送り</v>
      </c>
    </row>
    <row r="62" spans="1:26" ht="21.95" customHeight="1">
      <c r="A62" s="146">
        <f>IF(分析!C76&lt;&gt;"",ROW()-2,"")</f>
        <v>60</v>
      </c>
      <c r="B62" s="147" t="str">
        <f>IF(分析!C76&lt;&gt;"",HYPERLINK("https://kabutan.jp/stock/?code="&amp;分析!C76,"株探"),"")</f>
        <v>株探</v>
      </c>
      <c r="C62" s="148">
        <f>IF(分析!C76&lt;&gt;"",分析!C76,"")</f>
        <v>7021</v>
      </c>
      <c r="D62" s="149" t="str">
        <f>IF(分析!D76&lt;&gt;"",分析!D76,"")</f>
        <v>ニッチツ</v>
      </c>
      <c r="E62" s="150">
        <f>IF(分析!E76&lt;&gt;"",分析!E76,"")</f>
        <v>1800</v>
      </c>
      <c r="F62" s="151">
        <f>IF(分析!F76&lt;&gt;"",分析!F76,"")</f>
        <v>1809</v>
      </c>
      <c r="G62" s="151">
        <f>IF(分析!H76&lt;&gt;"",分析!H76,"")</f>
        <v>1810</v>
      </c>
      <c r="H62" s="151">
        <f>IF(分析!I76&lt;&gt;"",分析!I76,"")</f>
        <v>1800</v>
      </c>
      <c r="I62" s="151">
        <f>IF(分析!J76&lt;&gt;"",分析!J76,"")</f>
        <v>800</v>
      </c>
      <c r="J62" s="151">
        <f>IF(分析!AB76&lt;&gt;"",分析!AB76,"")</f>
        <v>7277.913441955192</v>
      </c>
      <c r="K62" s="151">
        <f>IF(分析!AC76&lt;&gt;"",分析!AC76,"")</f>
        <v>7534.8557806912968</v>
      </c>
      <c r="L62" s="151">
        <f>IF(分析!K76&lt;&gt;"",分析!K76,"")</f>
        <v>2539</v>
      </c>
      <c r="M62" s="146" t="str">
        <f>IF(分析!P76&lt;&gt;"",分析!P76,"")</f>
        <v>普通→</v>
      </c>
      <c r="N62" s="152">
        <f>IF(分析!O76&lt;&gt;"",分析!O76,"")</f>
        <v>1.0526315789473684</v>
      </c>
      <c r="O62" s="153">
        <f>IF(分析!X76&lt;&gt;"",分析!X76,"")</f>
        <v>-20.419210393289177</v>
      </c>
      <c r="P62" s="154">
        <f>IF(分析!L76&lt;&gt;"",分析!L76,"")</f>
        <v>-29.105947223316264</v>
      </c>
      <c r="Q62" s="151">
        <f>IF(分析!S76&lt;&gt;"",分析!S76,"")</f>
        <v>1728</v>
      </c>
      <c r="R62" s="151">
        <f>IF(分析!R76&lt;&gt;"",分析!R76,"")</f>
        <v>1944</v>
      </c>
      <c r="S62" s="146" t="str">
        <f>IF(分析!AA76&lt;&gt;"",分析!AA76,"")</f>
        <v>下落▼</v>
      </c>
      <c r="T62" s="155">
        <f>IF(分析!Z76&lt;&gt;"",分析!Z76,"")</f>
        <v>-0.49751243781094528</v>
      </c>
      <c r="U62" s="146" t="str">
        <f>IF(分析!V76&lt;&gt;"",分析!V76,"")</f>
        <v>通常</v>
      </c>
      <c r="V62" s="156">
        <f>IF(分析!W76&lt;&gt;"",分析!W76,"")</f>
        <v>50.666666666666671</v>
      </c>
      <c r="W62" s="157" t="str">
        <f>IF(分析!AD76&lt;&gt;"",分析!AD76,"")</f>
        <v>下降トレンド▼</v>
      </c>
      <c r="X62" s="158" t="str">
        <f>IF(分析!AE76&lt;&gt;"",分析!AE76,"")</f>
        <v>なし</v>
      </c>
      <c r="Y62" s="159">
        <f>IF(分析!T76&lt;&gt;"",分析!T76,"")</f>
        <v>0</v>
      </c>
      <c r="Z62" s="160" t="str">
        <f>IF(分析!Y76&lt;&gt;"",分析!Y76,"")</f>
        <v>見送り</v>
      </c>
    </row>
    <row r="63" spans="1:26" ht="21.95" customHeight="1">
      <c r="A63" s="161">
        <f>IF(分析!C73&lt;&gt;"",ROW()-2,"")</f>
        <v>61</v>
      </c>
      <c r="B63" s="162" t="str">
        <f>IF(分析!C73&lt;&gt;"",HYPERLINK("https://kabutan.jp/stock/?code="&amp;分析!C73,"株探"),"")</f>
        <v>株探</v>
      </c>
      <c r="C63" s="163">
        <f>IF(分析!C73&lt;&gt;"",分析!C73,"")</f>
        <v>7203</v>
      </c>
      <c r="D63" s="164" t="str">
        <f>IF(分析!D73&lt;&gt;"",分析!D73,"")</f>
        <v>トヨタ自動車</v>
      </c>
      <c r="E63" s="165">
        <f>IF(分析!E73&lt;&gt;"",分析!E73,"")</f>
        <v>2810</v>
      </c>
      <c r="F63" s="166">
        <f>IF(分析!F73&lt;&gt;"",分析!F73,"")</f>
        <v>2862.5</v>
      </c>
      <c r="G63" s="166">
        <f>IF(分析!H73&lt;&gt;"",分析!H73,"")</f>
        <v>2863.5</v>
      </c>
      <c r="H63" s="166">
        <f>IF(分析!I73&lt;&gt;"",分析!I73,"")</f>
        <v>2803.5</v>
      </c>
      <c r="I63" s="166">
        <f>IF(分析!J73&lt;&gt;"",分析!J73,"")</f>
        <v>26726100</v>
      </c>
      <c r="J63" s="166">
        <f>IF(分析!AB73&lt;&gt;"",分析!AB73,"")</f>
        <v>4948.0560081466392</v>
      </c>
      <c r="K63" s="166">
        <f>IF(分析!AC73&lt;&gt;"",分析!AC73,"")</f>
        <v>4881.4827175208547</v>
      </c>
      <c r="L63" s="166">
        <f>IF(分析!K73&lt;&gt;"",分析!K73,"")</f>
        <v>4000</v>
      </c>
      <c r="M63" s="161" t="str">
        <f>IF(分析!P73&lt;&gt;"",分析!P73,"")</f>
        <v>普通→</v>
      </c>
      <c r="N63" s="167">
        <f>IF(分析!O73&lt;&gt;"",分析!O73,"")</f>
        <v>1.0266270552823118</v>
      </c>
      <c r="O63" s="168">
        <f>IF(分析!X73&lt;&gt;"",分析!X73,"")</f>
        <v>-27.15499783075029</v>
      </c>
      <c r="P63" s="169">
        <f>IF(分析!L73&lt;&gt;"",分析!L73,"")</f>
        <v>-29.75</v>
      </c>
      <c r="Q63" s="166">
        <f>IF(分析!S73&lt;&gt;"",分析!S73,"")</f>
        <v>2698</v>
      </c>
      <c r="R63" s="166">
        <f>IF(分析!R73&lt;&gt;"",分析!R73,"")</f>
        <v>3035</v>
      </c>
      <c r="S63" s="161" t="str">
        <f>IF(分析!AA73&lt;&gt;"",分析!AA73,"")</f>
        <v>下落▼</v>
      </c>
      <c r="T63" s="170">
        <f>IF(分析!Z73&lt;&gt;"",分析!Z73,"")</f>
        <v>-1.3169446883230904</v>
      </c>
      <c r="U63" s="161" t="str">
        <f>IF(分析!V73&lt;&gt;"",分析!V73,"")</f>
        <v>通常</v>
      </c>
      <c r="V63" s="171">
        <f>IF(分析!W73&lt;&gt;"",分析!W73,"")</f>
        <v>33.578656853725846</v>
      </c>
      <c r="W63" s="172" t="str">
        <f>IF(分析!AD73&lt;&gt;"",分析!AD73,"")</f>
        <v>もみ合い→</v>
      </c>
      <c r="X63" s="173" t="str">
        <f>IF(分析!AE73&lt;&gt;"",分析!AE73,"")</f>
        <v>なし</v>
      </c>
      <c r="Y63" s="174">
        <f>IF(分析!T73&lt;&gt;"",分析!T73,"")</f>
        <v>1</v>
      </c>
      <c r="Z63" s="160" t="str">
        <f>IF(分析!Y73&lt;&gt;"",分析!Y73,"")</f>
        <v>見送り</v>
      </c>
    </row>
    <row r="64" spans="1:26" ht="21.95" customHeight="1">
      <c r="A64" s="161">
        <f>IF(分析!C137&lt;&gt;"",ROW()-2,"")</f>
        <v>62</v>
      </c>
      <c r="B64" s="162" t="str">
        <f>IF(分析!C137&lt;&gt;"",HYPERLINK("https://kabutan.jp/stock/?code="&amp;分析!C137,"株探"),"")</f>
        <v>株探</v>
      </c>
      <c r="C64" s="163">
        <f>IF(分析!C137&lt;&gt;"",分析!C137,"")</f>
        <v>7236</v>
      </c>
      <c r="D64" s="164" t="str">
        <f>IF(分析!D137&lt;&gt;"",分析!D137,"")</f>
        <v>ティラド</v>
      </c>
      <c r="E64" s="165">
        <f>IF(分析!E137&lt;&gt;"",分析!E137,"")</f>
        <v>14250</v>
      </c>
      <c r="F64" s="166">
        <f>IF(分析!F137&lt;&gt;"",分析!F137,"")</f>
        <v>14220</v>
      </c>
      <c r="G64" s="166">
        <f>IF(分析!H137&lt;&gt;"",分析!H137,"")</f>
        <v>14520</v>
      </c>
      <c r="H64" s="166">
        <f>IF(分析!I137&lt;&gt;"",分析!I137,"")</f>
        <v>14110</v>
      </c>
      <c r="I64" s="166">
        <f>IF(分析!J137&lt;&gt;"",分析!J137,"")</f>
        <v>27800</v>
      </c>
      <c r="J64" s="166">
        <f>IF(分析!AB137&lt;&gt;"",分析!AB137,"")</f>
        <v>672.94399185336033</v>
      </c>
      <c r="K64" s="166">
        <f>IF(分析!AC137&lt;&gt;"",分析!AC137,"")</f>
        <v>737.9511323003577</v>
      </c>
      <c r="L64" s="166">
        <f>IF(分析!K137&lt;&gt;"",分析!K137,"")</f>
        <v>15900</v>
      </c>
      <c r="M64" s="161" t="str">
        <f>IF(分析!P137&lt;&gt;"",分析!P137,"")</f>
        <v>減少↓</v>
      </c>
      <c r="N64" s="167">
        <f>IF(分析!O137&lt;&gt;"",分析!O137,"")</f>
        <v>0.84652862362971981</v>
      </c>
      <c r="O64" s="168">
        <f>IF(分析!X137&lt;&gt;"",分析!X137,"")</f>
        <v>-55.834165873926395</v>
      </c>
      <c r="P64" s="169">
        <f>IF(分析!L137&lt;&gt;"",分析!L137,"")</f>
        <v>-10.377358490566039</v>
      </c>
      <c r="Q64" s="166">
        <f>IF(分析!S137&lt;&gt;"",分析!S137,"")</f>
        <v>13680</v>
      </c>
      <c r="R64" s="166">
        <f>IF(分析!R137&lt;&gt;"",分析!R137,"")</f>
        <v>15390</v>
      </c>
      <c r="S64" s="161" t="str">
        <f>IF(分析!AA137&lt;&gt;"",分析!AA137,"")</f>
        <v>上昇▲</v>
      </c>
      <c r="T64" s="170">
        <f>IF(分析!Z137&lt;&gt;"",分析!Z137,"")</f>
        <v>0.14054813773717498</v>
      </c>
      <c r="U64" s="161" t="str">
        <f>IF(分析!V137&lt;&gt;"",分析!V137,"")</f>
        <v>通常</v>
      </c>
      <c r="V64" s="171">
        <f>IF(分析!W137&lt;&gt;"",分析!W137,"")</f>
        <v>34.526854219948845</v>
      </c>
      <c r="W64" s="172" t="str">
        <f>IF(分析!AD137&lt;&gt;"",分析!AD137,"")</f>
        <v>上昇トレンド▲</v>
      </c>
      <c r="X64" s="173" t="str">
        <f>IF(分析!AE137&lt;&gt;"",分析!AE137,"")</f>
        <v>なし</v>
      </c>
      <c r="Y64" s="174">
        <f>IF(分析!T137&lt;&gt;"",分析!T137,"")</f>
        <v>3</v>
      </c>
      <c r="Z64" s="160" t="str">
        <f>IF(分析!Y137&lt;&gt;"",分析!Y137,"")</f>
        <v>様子見</v>
      </c>
    </row>
    <row r="65" spans="1:26" ht="21.95" customHeight="1">
      <c r="A65" s="146">
        <f>IF(分析!C144&lt;&gt;"",ROW()-2,"")</f>
        <v>63</v>
      </c>
      <c r="B65" s="147" t="str">
        <f>IF(分析!C144&lt;&gt;"",HYPERLINK("https://kabutan.jp/stock/?code="&amp;分析!C144,"株探"),"")</f>
        <v>株探</v>
      </c>
      <c r="C65" s="148">
        <f>IF(分析!C144&lt;&gt;"",分析!C144,"")</f>
        <v>7746</v>
      </c>
      <c r="D65" s="149" t="str">
        <f>IF(分析!D144&lt;&gt;"",分析!D144,"")</f>
        <v>岡本硝子</v>
      </c>
      <c r="E65" s="150">
        <f>IF(分析!E144&lt;&gt;"",分析!E144,"")</f>
        <v>828</v>
      </c>
      <c r="F65" s="151">
        <f>IF(分析!F144&lt;&gt;"",分析!F144,"")</f>
        <v>852</v>
      </c>
      <c r="G65" s="151">
        <f>IF(分析!H144&lt;&gt;"",分析!H144,"")</f>
        <v>857</v>
      </c>
      <c r="H65" s="151">
        <f>IF(分析!I144&lt;&gt;"",分析!I144,"")</f>
        <v>811</v>
      </c>
      <c r="I65" s="151">
        <f>IF(分析!J144&lt;&gt;"",分析!J144,"")</f>
        <v>1408400</v>
      </c>
      <c r="J65" s="151">
        <f>IF(分析!AB144&lt;&gt;"",分析!AB144,"")</f>
        <v>334.38696537678203</v>
      </c>
      <c r="K65" s="151">
        <f>IF(分析!AC144&lt;&gt;"",分析!AC144,"")</f>
        <v>358.72228843861723</v>
      </c>
      <c r="L65" s="151">
        <f>IF(分析!K144&lt;&gt;"",分析!K144,"")</f>
        <v>1638</v>
      </c>
      <c r="M65" s="146" t="str">
        <f>IF(分析!P144&lt;&gt;"",分析!P144,"")</f>
        <v>減少↓</v>
      </c>
      <c r="N65" s="152">
        <f>IF(分析!O144&lt;&gt;"",分析!O144,"")</f>
        <v>0.57966958339850017</v>
      </c>
      <c r="O65" s="153">
        <f>IF(分析!X144&lt;&gt;"",分析!X144,"")</f>
        <v>-16.230891700730922</v>
      </c>
      <c r="P65" s="154">
        <f>IF(分析!L144&lt;&gt;"",分析!L144,"")</f>
        <v>-49.450549450549453</v>
      </c>
      <c r="Q65" s="151">
        <f>IF(分析!S144&lt;&gt;"",分析!S144,"")</f>
        <v>795</v>
      </c>
      <c r="R65" s="151">
        <f>IF(分析!R144&lt;&gt;"",分析!R144,"")</f>
        <v>894</v>
      </c>
      <c r="S65" s="146" t="str">
        <f>IF(分析!AA144&lt;&gt;"",分析!AA144,"")</f>
        <v>下落▼</v>
      </c>
      <c r="T65" s="155">
        <f>IF(分析!Z144&lt;&gt;"",分析!Z144,"")</f>
        <v>-7.6923076923076925</v>
      </c>
      <c r="U65" s="146" t="str">
        <f>IF(分析!V144&lt;&gt;"",分析!V144,"")</f>
        <v>通常</v>
      </c>
      <c r="V65" s="156">
        <f>IF(分析!W144&lt;&gt;"",分析!W144,"")</f>
        <v>50.401606425702802</v>
      </c>
      <c r="W65" s="157" t="str">
        <f>IF(分析!AD144&lt;&gt;"",分析!AD144,"")</f>
        <v>上昇トレンド▲</v>
      </c>
      <c r="X65" s="158" t="str">
        <f>IF(分析!AE144&lt;&gt;"",分析!AE144,"")</f>
        <v>なし</v>
      </c>
      <c r="Y65" s="159">
        <f>IF(分析!T144&lt;&gt;"",分析!T144,"")</f>
        <v>4</v>
      </c>
      <c r="Z65" s="160" t="str">
        <f>IF(分析!Y144&lt;&gt;"",分析!Y144,"")</f>
        <v>様子見</v>
      </c>
    </row>
    <row r="66" spans="1:26" ht="21.95" customHeight="1">
      <c r="A66" s="146">
        <f>IF(分析!C80&lt;&gt;"",ROW()-2,"")</f>
        <v>64</v>
      </c>
      <c r="B66" s="147" t="str">
        <f>IF(分析!C80&lt;&gt;"",HYPERLINK("https://kabutan.jp/stock/?code="&amp;分析!C80,"株探"),"")</f>
        <v>株探</v>
      </c>
      <c r="C66" s="148">
        <f>IF(分析!C80&lt;&gt;"",分析!C80,"")</f>
        <v>7794</v>
      </c>
      <c r="D66" s="149" t="str">
        <f>IF(分析!D80&lt;&gt;"",分析!D80,"")</f>
        <v>イーディーピー</v>
      </c>
      <c r="E66" s="150">
        <f>IF(分析!E80&lt;&gt;"",分析!E80,"")</f>
        <v>1097</v>
      </c>
      <c r="F66" s="151">
        <f>IF(分析!F80&lt;&gt;"",分析!F80,"")</f>
        <v>1074</v>
      </c>
      <c r="G66" s="151">
        <f>IF(分析!H80&lt;&gt;"",分析!H80,"")</f>
        <v>1098</v>
      </c>
      <c r="H66" s="151">
        <f>IF(分析!I80&lt;&gt;"",分析!I80,"")</f>
        <v>1062</v>
      </c>
      <c r="I66" s="151">
        <f>IF(分析!J80&lt;&gt;"",分析!J80,"")</f>
        <v>237400</v>
      </c>
      <c r="J66" s="151">
        <f>IF(分析!AB80&lt;&gt;"",分析!AB80,"")</f>
        <v>1388.6130346232178</v>
      </c>
      <c r="K66" s="151">
        <f>IF(分析!AC80&lt;&gt;"",分析!AC80,"")</f>
        <v>1368.1710369487482</v>
      </c>
      <c r="L66" s="151">
        <f>IF(分析!K80&lt;&gt;"",分析!K80,"")</f>
        <v>3100</v>
      </c>
      <c r="M66" s="146" t="str">
        <f>IF(分析!P80&lt;&gt;"",分析!P80,"")</f>
        <v>普通→</v>
      </c>
      <c r="N66" s="152">
        <f>IF(分析!O80&lt;&gt;"",分析!O80,"")</f>
        <v>1.1276838305149155</v>
      </c>
      <c r="O66" s="153">
        <f>IF(分析!X80&lt;&gt;"",分析!X80,"")</f>
        <v>-14.158643761517624</v>
      </c>
      <c r="P66" s="154">
        <f>IF(分析!L80&lt;&gt;"",分析!L80,"")</f>
        <v>-64.612903225806448</v>
      </c>
      <c r="Q66" s="151">
        <f>IF(分析!S80&lt;&gt;"",分析!S80,"")</f>
        <v>1053</v>
      </c>
      <c r="R66" s="151">
        <f>IF(分析!R80&lt;&gt;"",分析!R80,"")</f>
        <v>1185</v>
      </c>
      <c r="S66" s="146" t="str">
        <f>IF(分析!AA80&lt;&gt;"",分析!AA80,"")</f>
        <v>上昇▲</v>
      </c>
      <c r="T66" s="155">
        <f>IF(分析!Z80&lt;&gt;"",分析!Z80,"")</f>
        <v>2.7153558052434459</v>
      </c>
      <c r="U66" s="146" t="str">
        <f>IF(分析!V80&lt;&gt;"",分析!V80,"")</f>
        <v>通常</v>
      </c>
      <c r="V66" s="156">
        <f>IF(分析!W80&lt;&gt;"",分析!W80,"")</f>
        <v>43.386243386243379</v>
      </c>
      <c r="W66" s="157" t="str">
        <f>IF(分析!AD80&lt;&gt;"",分析!AD80,"")</f>
        <v>もみ合い→</v>
      </c>
      <c r="X66" s="158" t="str">
        <f>IF(分析!AE80&lt;&gt;"",分析!AE80,"")</f>
        <v>なし</v>
      </c>
      <c r="Y66" s="159">
        <f>IF(分析!T80&lt;&gt;"",分析!T80,"")</f>
        <v>1</v>
      </c>
      <c r="Z66" s="160" t="str">
        <f>IF(分析!Y80&lt;&gt;"",分析!Y80,"")</f>
        <v>見送り</v>
      </c>
    </row>
    <row r="67" spans="1:26" ht="21.95" customHeight="1">
      <c r="A67" s="146">
        <f>IF(分析!C116&lt;&gt;"",ROW()-2,"")</f>
        <v>65</v>
      </c>
      <c r="B67" s="147" t="str">
        <f>IF(分析!C116&lt;&gt;"",HYPERLINK("https://kabutan.jp/stock/?code="&amp;分析!C116,"株探"),"")</f>
        <v>株探</v>
      </c>
      <c r="C67" s="148">
        <f>IF(分析!C116&lt;&gt;"",分析!C116,"")</f>
        <v>7981</v>
      </c>
      <c r="D67" s="149" t="str">
        <f>IF(分析!D116&lt;&gt;"",分析!D116,"")</f>
        <v>タカラスタンダ－ド</v>
      </c>
      <c r="E67" s="150">
        <f>IF(分析!E116&lt;&gt;"",分析!E116,"")</f>
        <v>3000</v>
      </c>
      <c r="F67" s="151">
        <f>IF(分析!F116&lt;&gt;"",分析!F116,"")</f>
        <v>3010</v>
      </c>
      <c r="G67" s="151">
        <f>IF(分析!H116&lt;&gt;"",分析!H116,"")</f>
        <v>3020</v>
      </c>
      <c r="H67" s="151">
        <f>IF(分析!I116&lt;&gt;"",分析!I116,"")</f>
        <v>2994</v>
      </c>
      <c r="I67" s="151">
        <f>IF(分析!J116&lt;&gt;"",分析!J116,"")</f>
        <v>47900</v>
      </c>
      <c r="J67" s="151">
        <f>IF(分析!AB116&lt;&gt;"",分析!AB116,"")</f>
        <v>4538.5835030549906</v>
      </c>
      <c r="K67" s="151">
        <f>IF(分析!AC116&lt;&gt;"",分析!AC116,"")</f>
        <v>4484.2324195470783</v>
      </c>
      <c r="L67" s="151">
        <f>IF(分析!K116&lt;&gt;"",分析!K116,"")</f>
        <v>3265</v>
      </c>
      <c r="M67" s="146" t="str">
        <f>IF(分析!P116&lt;&gt;"",分析!P116,"")</f>
        <v>減少↓</v>
      </c>
      <c r="N67" s="152">
        <f>IF(分析!O116&lt;&gt;"",分析!O116,"")</f>
        <v>0.50816889454699765</v>
      </c>
      <c r="O67" s="153">
        <f>IF(分析!X116&lt;&gt;"",分析!X116,"")</f>
        <v>0.55517853517949334</v>
      </c>
      <c r="P67" s="154">
        <f>IF(分析!L116&lt;&gt;"",分析!L116,"")</f>
        <v>-8.1163859111791741</v>
      </c>
      <c r="Q67" s="151">
        <f>IF(分析!S116&lt;&gt;"",分析!S116,"")</f>
        <v>2880</v>
      </c>
      <c r="R67" s="151">
        <f>IF(分析!R116&lt;&gt;"",分析!R116,"")</f>
        <v>3240</v>
      </c>
      <c r="S67" s="146" t="str">
        <f>IF(分析!AA116&lt;&gt;"",分析!AA116,"")</f>
        <v>上昇▲</v>
      </c>
      <c r="T67" s="155">
        <f>IF(分析!Z116&lt;&gt;"",分析!Z116,"")</f>
        <v>1.1122345803842264</v>
      </c>
      <c r="U67" s="146" t="str">
        <f>IF(分析!V116&lt;&gt;"",分析!V116,"")</f>
        <v>通常</v>
      </c>
      <c r="V67" s="156">
        <f>IF(分析!W116&lt;&gt;"",分析!W116,"")</f>
        <v>60</v>
      </c>
      <c r="W67" s="157" t="str">
        <f>IF(分析!AD116&lt;&gt;"",分析!AD116,"")</f>
        <v>もみ合い→</v>
      </c>
      <c r="X67" s="158" t="str">
        <f>IF(分析!AE116&lt;&gt;"",分析!AE116,"")</f>
        <v>なし</v>
      </c>
      <c r="Y67" s="159">
        <f>IF(分析!T116&lt;&gt;"",分析!T116,"")</f>
        <v>1</v>
      </c>
      <c r="Z67" s="160" t="str">
        <f>IF(分析!Y116&lt;&gt;"",分析!Y116,"")</f>
        <v>見送り</v>
      </c>
    </row>
    <row r="68" spans="1:26" ht="21.95" customHeight="1">
      <c r="A68" s="161">
        <f>IF(分析!C191&lt;&gt;"",ROW()-2,"")</f>
        <v>66</v>
      </c>
      <c r="B68" s="162" t="str">
        <f>IF(分析!C191&lt;&gt;"",HYPERLINK("https://kabutan.jp/stock/?code="&amp;分析!C191,"株探"),"")</f>
        <v>株探</v>
      </c>
      <c r="C68" s="163">
        <f>IF(分析!C191&lt;&gt;"",分析!C191,"")</f>
        <v>8303</v>
      </c>
      <c r="D68" s="164" t="str">
        <f>IF(分析!D191&lt;&gt;"",分析!D191,"")</f>
        <v>ＳＢＩ新生銀行</v>
      </c>
      <c r="E68" s="165">
        <f>IF(分析!E191&lt;&gt;"",分析!E191,"")</f>
        <v>1445</v>
      </c>
      <c r="F68" s="166">
        <f>IF(分析!F191&lt;&gt;"",分析!F191,"")</f>
        <v>1470</v>
      </c>
      <c r="G68" s="166">
        <f>IF(分析!H191&lt;&gt;"",分析!H191,"")</f>
        <v>1496</v>
      </c>
      <c r="H68" s="166">
        <f>IF(分析!I191&lt;&gt;"",分析!I191,"")</f>
        <v>1445</v>
      </c>
      <c r="I68" s="166">
        <f>IF(分析!J191&lt;&gt;"",分析!J191,"")</f>
        <v>5468800</v>
      </c>
      <c r="J68" s="166">
        <f>IF(分析!AB191&lt;&gt;"",分析!AB191,"")</f>
        <v>1751.24032586558</v>
      </c>
      <c r="K68" s="166">
        <f>IF(分析!AC191&lt;&gt;"",分析!AC191,"")</f>
        <v>1905.5685339690094</v>
      </c>
      <c r="L68" s="166">
        <f>IF(分析!K191&lt;&gt;"",分析!K191,"")</f>
        <v>2200</v>
      </c>
      <c r="M68" s="161" t="str">
        <f>IF(分析!P191&lt;&gt;"",分析!P191,"")</f>
        <v>減少↓</v>
      </c>
      <c r="N68" s="167">
        <f>IF(分析!O191&lt;&gt;"",分析!O191,"")</f>
        <v>0.7928669807901414</v>
      </c>
      <c r="O68" s="168">
        <f>IF(分析!X191&lt;&gt;"",分析!X191,"")</f>
        <v>-16.208410119446853</v>
      </c>
      <c r="P68" s="169">
        <f>IF(分析!L191&lt;&gt;"",分析!L191,"")</f>
        <v>-34.31818181818182</v>
      </c>
      <c r="Q68" s="166">
        <f>IF(分析!S191&lt;&gt;"",分析!S191,"")</f>
        <v>1387</v>
      </c>
      <c r="R68" s="166">
        <f>IF(分析!R191&lt;&gt;"",分析!R191,"")</f>
        <v>1561</v>
      </c>
      <c r="S68" s="161" t="str">
        <f>IF(分析!AA191&lt;&gt;"",分析!AA191,"")</f>
        <v>下落▼</v>
      </c>
      <c r="T68" s="170">
        <f>IF(分析!Z191&lt;&gt;"",分析!Z191,"")</f>
        <v>-0.27605244996549344</v>
      </c>
      <c r="U68" s="161" t="str">
        <f>IF(分析!V191&lt;&gt;"",分析!V191,"")</f>
        <v>通常</v>
      </c>
      <c r="V68" s="171">
        <f>IF(分析!W191&lt;&gt;"",分析!W191,"")</f>
        <v>45.789473684210527</v>
      </c>
      <c r="W68" s="172" t="str">
        <f>IF(分析!AD191&lt;&gt;"",分析!AD191,"")</f>
        <v>下降トレンド▼</v>
      </c>
      <c r="X68" s="173" t="str">
        <f>IF(分析!AE191&lt;&gt;"",分析!AE191,"")</f>
        <v>なし</v>
      </c>
      <c r="Y68" s="174">
        <f>IF(分析!T191&lt;&gt;"",分析!T191,"")</f>
        <v>-1</v>
      </c>
      <c r="Z68" s="160" t="str">
        <f>IF(分析!Y191&lt;&gt;"",分析!Y191,"")</f>
        <v>見送り</v>
      </c>
    </row>
    <row r="69" spans="1:26" ht="21.95" customHeight="1">
      <c r="A69" s="161">
        <f>IF(分析!C185&lt;&gt;"",ROW()-2,"")</f>
        <v>67</v>
      </c>
      <c r="B69" s="162" t="str">
        <f>IF(分析!C185&lt;&gt;"",HYPERLINK("https://kabutan.jp/stock/?code="&amp;分析!C185,"株探"),"")</f>
        <v>株探</v>
      </c>
      <c r="C69" s="163">
        <f>IF(分析!C185&lt;&gt;"",分析!C185,"")</f>
        <v>8424</v>
      </c>
      <c r="D69" s="164" t="str">
        <f>IF(分析!D185&lt;&gt;"",分析!D185,"")</f>
        <v>芙蓉総合リース</v>
      </c>
      <c r="E69" s="165">
        <f>IF(分析!E185&lt;&gt;"",分析!E185,"")</f>
        <v>4236</v>
      </c>
      <c r="F69" s="166">
        <f>IF(分析!F185&lt;&gt;"",分析!F185,"")</f>
        <v>4302</v>
      </c>
      <c r="G69" s="166">
        <f>IF(分析!H185&lt;&gt;"",分析!H185,"")</f>
        <v>4333</v>
      </c>
      <c r="H69" s="166">
        <f>IF(分析!I185&lt;&gt;"",分析!I185,"")</f>
        <v>4236</v>
      </c>
      <c r="I69" s="166">
        <f>IF(分析!J185&lt;&gt;"",分析!J185,"")</f>
        <v>168700</v>
      </c>
      <c r="J69" s="166">
        <f>IF(分析!AB185&lt;&gt;"",分析!AB185,"")</f>
        <v>642.39154786150709</v>
      </c>
      <c r="K69" s="166">
        <f>IF(分析!AC185&lt;&gt;"",分析!AC185,"")</f>
        <v>644.40119189511279</v>
      </c>
      <c r="L69" s="166">
        <f>IF(分析!K185&lt;&gt;"",分析!K185,"")</f>
        <v>4664</v>
      </c>
      <c r="M69" s="161" t="str">
        <f>IF(分析!P185&lt;&gt;"",分析!P185,"")</f>
        <v>普通→</v>
      </c>
      <c r="N69" s="167">
        <f>IF(分析!O185&lt;&gt;"",分析!O185,"")</f>
        <v>1.0919093851132686</v>
      </c>
      <c r="O69" s="168">
        <f>IF(分析!X185&lt;&gt;"",分析!X185,"")</f>
        <v>-8.5874685060834963</v>
      </c>
      <c r="P69" s="169">
        <f>IF(分析!L185&lt;&gt;"",分析!L185,"")</f>
        <v>-9.1766723842195539</v>
      </c>
      <c r="Q69" s="166">
        <f>IF(分析!S185&lt;&gt;"",分析!S185,"")</f>
        <v>4067</v>
      </c>
      <c r="R69" s="166">
        <f>IF(分析!R185&lt;&gt;"",分析!R185,"")</f>
        <v>4575</v>
      </c>
      <c r="S69" s="161" t="str">
        <f>IF(分析!AA185&lt;&gt;"",分析!AA185,"")</f>
        <v>下落▼</v>
      </c>
      <c r="T69" s="170">
        <f>IF(分析!Z185&lt;&gt;"",分析!Z185,"")</f>
        <v>-1.051156271899089</v>
      </c>
      <c r="U69" s="161" t="str">
        <f>IF(分析!V185&lt;&gt;"",分析!V185,"")</f>
        <v>通常</v>
      </c>
      <c r="V69" s="171">
        <f>IF(分析!W185&lt;&gt;"",分析!W185,"")</f>
        <v>54.653465346534645</v>
      </c>
      <c r="W69" s="172" t="str">
        <f>IF(分析!AD185&lt;&gt;"",分析!AD185,"")</f>
        <v>上昇トレンド▲</v>
      </c>
      <c r="X69" s="173" t="str">
        <f>IF(分析!AE185&lt;&gt;"",分析!AE185,"")</f>
        <v>なし</v>
      </c>
      <c r="Y69" s="174">
        <f>IF(分析!T185&lt;&gt;"",分析!T185,"")</f>
        <v>2</v>
      </c>
      <c r="Z69" s="160" t="str">
        <f>IF(分析!Y185&lt;&gt;"",分析!Y185,"")</f>
        <v>見送り</v>
      </c>
    </row>
    <row r="70" spans="1:26" ht="21.95" customHeight="1">
      <c r="A70" s="161">
        <f>IF(分析!C171&lt;&gt;"",ROW()-2,"")</f>
        <v>68</v>
      </c>
      <c r="B70" s="162" t="str">
        <f>IF(分析!C171&lt;&gt;"",HYPERLINK("https://kabutan.jp/stock/?code="&amp;分析!C171,"株探"),"")</f>
        <v>株探</v>
      </c>
      <c r="C70" s="163">
        <f>IF(分析!C171&lt;&gt;"",分析!C171,"")</f>
        <v>8593</v>
      </c>
      <c r="D70" s="164" t="str">
        <f>IF(分析!D171&lt;&gt;"",分析!D171,"")</f>
        <v>三菱ＨＣキャピタル</v>
      </c>
      <c r="E70" s="165">
        <f>IF(分析!E171&lt;&gt;"",分析!E171,"")</f>
        <v>1325</v>
      </c>
      <c r="F70" s="166">
        <f>IF(分析!F171&lt;&gt;"",分析!F171,"")</f>
        <v>1330</v>
      </c>
      <c r="G70" s="166">
        <f>IF(分析!H171&lt;&gt;"",分析!H171,"")</f>
        <v>1338</v>
      </c>
      <c r="H70" s="166">
        <f>IF(分析!I171&lt;&gt;"",分析!I171,"")</f>
        <v>1318.5</v>
      </c>
      <c r="I70" s="166">
        <f>IF(分析!J171&lt;&gt;"",分析!J171,"")</f>
        <v>3327500</v>
      </c>
      <c r="J70" s="166">
        <f>IF(分析!AB171&lt;&gt;"",分析!AB171,"")</f>
        <v>777.08248472505068</v>
      </c>
      <c r="K70" s="166">
        <f>IF(分析!AC171&lt;&gt;"",分析!AC171,"")</f>
        <v>751.26817640047659</v>
      </c>
      <c r="L70" s="166">
        <f>IF(分析!K171&lt;&gt;"",分析!K171,"")</f>
        <v>1541.5</v>
      </c>
      <c r="M70" s="161" t="str">
        <f>IF(分析!P171&lt;&gt;"",分析!P171,"")</f>
        <v>減少↓</v>
      </c>
      <c r="N70" s="167">
        <f>IF(分析!O171&lt;&gt;"",分析!O171,"")</f>
        <v>0.68712520443394509</v>
      </c>
      <c r="O70" s="168">
        <f>IF(分析!X171&lt;&gt;"",分析!X171,"")</f>
        <v>-6.7325464995485618</v>
      </c>
      <c r="P70" s="169">
        <f>IF(分析!L171&lt;&gt;"",分析!L171,"")</f>
        <v>-14.044761595848199</v>
      </c>
      <c r="Q70" s="166">
        <f>IF(分析!S171&lt;&gt;"",分析!S171,"")</f>
        <v>1272</v>
      </c>
      <c r="R70" s="166">
        <f>IF(分析!R171&lt;&gt;"",分析!R171,"")</f>
        <v>1431</v>
      </c>
      <c r="S70" s="161" t="str">
        <f>IF(分析!AA171&lt;&gt;"",分析!AA171,"")</f>
        <v>上昇▲</v>
      </c>
      <c r="T70" s="170">
        <f>IF(分析!Z171&lt;&gt;"",分析!Z171,"")</f>
        <v>0.79878280715100802</v>
      </c>
      <c r="U70" s="161" t="str">
        <f>IF(分析!V171&lt;&gt;"",分析!V171,"")</f>
        <v>通常</v>
      </c>
      <c r="V70" s="171">
        <f>IF(分析!W171&lt;&gt;"",分析!W171,"")</f>
        <v>49.825783972125436</v>
      </c>
      <c r="W70" s="172" t="str">
        <f>IF(分析!AD171&lt;&gt;"",分析!AD171,"")</f>
        <v>パーフェクト▲</v>
      </c>
      <c r="X70" s="173" t="str">
        <f>IF(分析!AE171&lt;&gt;"",分析!AE171,"")</f>
        <v>なし</v>
      </c>
      <c r="Y70" s="174">
        <f>IF(分析!T171&lt;&gt;"",分析!T171,"")</f>
        <v>3</v>
      </c>
      <c r="Z70" s="160" t="str">
        <f>IF(分析!Y171&lt;&gt;"",分析!Y171,"")</f>
        <v>様子見</v>
      </c>
    </row>
    <row r="71" spans="1:26" ht="21.95" customHeight="1">
      <c r="A71" s="146">
        <f>IF(分析!C176&lt;&gt;"",ROW()-2,"")</f>
        <v>69</v>
      </c>
      <c r="B71" s="147" t="str">
        <f>IF(分析!C176&lt;&gt;"",HYPERLINK("https://kabutan.jp/stock/?code="&amp;分析!C176,"株探"),"")</f>
        <v>株探</v>
      </c>
      <c r="C71" s="148">
        <f>IF(分析!C176&lt;&gt;"",分析!C176,"")</f>
        <v>8630</v>
      </c>
      <c r="D71" s="149" t="str">
        <f>IF(分析!D176&lt;&gt;"",分析!D176,"")</f>
        <v>ＳＯＭＰＯホールディングス</v>
      </c>
      <c r="E71" s="150">
        <f>IF(分析!E176&lt;&gt;"",分析!E176,"")</f>
        <v>6194</v>
      </c>
      <c r="F71" s="151">
        <f>IF(分析!F176&lt;&gt;"",分析!F176,"")</f>
        <v>6330</v>
      </c>
      <c r="G71" s="151">
        <f>IF(分析!H176&lt;&gt;"",分析!H176,"")</f>
        <v>6406</v>
      </c>
      <c r="H71" s="151">
        <f>IF(分析!I176&lt;&gt;"",分析!I176,"")</f>
        <v>6194</v>
      </c>
      <c r="I71" s="151">
        <f>IF(分析!J176&lt;&gt;"",分析!J176,"")</f>
        <v>1584400</v>
      </c>
      <c r="J71" s="151">
        <f>IF(分析!AB176&lt;&gt;"",分析!AB176,"")</f>
        <v>3572.8238289205692</v>
      </c>
      <c r="K71" s="151">
        <f>IF(分析!AC176&lt;&gt;"",分析!AC176,"")</f>
        <v>3581.3682955899867</v>
      </c>
      <c r="L71" s="151">
        <f>IF(分析!K176&lt;&gt;"",分析!K176,"")</f>
        <v>6435</v>
      </c>
      <c r="M71" s="146" t="str">
        <f>IF(分析!P176&lt;&gt;"",分析!P176,"")</f>
        <v>減少↓</v>
      </c>
      <c r="N71" s="152">
        <f>IF(分析!O176&lt;&gt;"",分析!O176,"")</f>
        <v>0.66447467749240907</v>
      </c>
      <c r="O71" s="153">
        <f>IF(分析!X176&lt;&gt;"",分析!X176,"")</f>
        <v>33.003876786645378</v>
      </c>
      <c r="P71" s="154">
        <f>IF(分析!L176&lt;&gt;"",分析!L176,"")</f>
        <v>-3.7451437451437455</v>
      </c>
      <c r="Q71" s="151">
        <f>IF(分析!S176&lt;&gt;"",分析!S176,"")</f>
        <v>5946</v>
      </c>
      <c r="R71" s="151">
        <f>IF(分析!R176&lt;&gt;"",分析!R176,"")</f>
        <v>6690</v>
      </c>
      <c r="S71" s="146" t="str">
        <f>IF(分析!AA176&lt;&gt;"",分析!AA176,"")</f>
        <v>下落▼</v>
      </c>
      <c r="T71" s="155">
        <f>IF(分析!Z176&lt;&gt;"",分析!Z176,"")</f>
        <v>-0.86427656850192069</v>
      </c>
      <c r="U71" s="146" t="str">
        <f>IF(分析!V176&lt;&gt;"",分析!V176,"")</f>
        <v>高値圏</v>
      </c>
      <c r="V71" s="156">
        <f>IF(分析!W176&lt;&gt;"",分析!W176,"")</f>
        <v>72.807017543859644</v>
      </c>
      <c r="W71" s="157" t="str">
        <f>IF(分析!AD176&lt;&gt;"",分析!AD176,"")</f>
        <v>上昇トレンド▲</v>
      </c>
      <c r="X71" s="158" t="str">
        <f>IF(分析!AE176&lt;&gt;"",分析!AE176,"")</f>
        <v>なし</v>
      </c>
      <c r="Y71" s="159">
        <f>IF(分析!T176&lt;&gt;"",分析!T176,"")</f>
        <v>5</v>
      </c>
      <c r="Z71" s="160" t="str">
        <f>IF(分析!Y176&lt;&gt;"",分析!Y176,"")</f>
        <v>様子見</v>
      </c>
    </row>
    <row r="72" spans="1:26" ht="21.95" customHeight="1">
      <c r="A72" s="161">
        <f>IF(分析!C129&lt;&gt;"",ROW()-2,"")</f>
        <v>70</v>
      </c>
      <c r="B72" s="162" t="str">
        <f>IF(分析!C129&lt;&gt;"",HYPERLINK("https://kabutan.jp/stock/?code="&amp;分析!C129,"株探"),"")</f>
        <v>株探</v>
      </c>
      <c r="C72" s="163">
        <f>IF(分析!C129&lt;&gt;"",分析!C129,"")</f>
        <v>8801</v>
      </c>
      <c r="D72" s="164" t="str">
        <f>IF(分析!D129&lt;&gt;"",分析!D129,"")</f>
        <v>三井不動産</v>
      </c>
      <c r="E72" s="165">
        <f>IF(分析!E129&lt;&gt;"",分析!E129,"")</f>
        <v>1516.5</v>
      </c>
      <c r="F72" s="166">
        <f>IF(分析!F129&lt;&gt;"",分析!F129,"")</f>
        <v>1544.5</v>
      </c>
      <c r="G72" s="166">
        <f>IF(分析!H129&lt;&gt;"",分析!H129,"")</f>
        <v>1554.5</v>
      </c>
      <c r="H72" s="166">
        <f>IF(分析!I129&lt;&gt;"",分析!I129,"")</f>
        <v>1516.5</v>
      </c>
      <c r="I72" s="166">
        <f>IF(分析!J129&lt;&gt;"",分析!J129,"")</f>
        <v>9010400</v>
      </c>
      <c r="J72" s="166">
        <f>IF(分析!AB129&lt;&gt;"",分析!AB129,"")</f>
        <v>2579.7912423625248</v>
      </c>
      <c r="K72" s="166">
        <f>IF(分析!AC129&lt;&gt;"",分析!AC129,"")</f>
        <v>2682.3230035756847</v>
      </c>
      <c r="L72" s="166">
        <f>IF(分析!K129&lt;&gt;"",分析!K129,"")</f>
        <v>2158</v>
      </c>
      <c r="M72" s="161" t="str">
        <f>IF(分析!P129&lt;&gt;"",分析!P129,"")</f>
        <v>減少↓</v>
      </c>
      <c r="N72" s="167">
        <f>IF(分析!O129&lt;&gt;"",分析!O129,"")</f>
        <v>0.69339465101711328</v>
      </c>
      <c r="O72" s="168">
        <f>IF(分析!X129&lt;&gt;"",分析!X129,"")</f>
        <v>-2.1262085106213817</v>
      </c>
      <c r="P72" s="169">
        <f>IF(分析!L129&lt;&gt;"",分析!L129,"")</f>
        <v>-29.726598702502315</v>
      </c>
      <c r="Q72" s="166">
        <f>IF(分析!S129&lt;&gt;"",分析!S129,"")</f>
        <v>1456</v>
      </c>
      <c r="R72" s="166">
        <f>IF(分析!R129&lt;&gt;"",分析!R129,"")</f>
        <v>1638</v>
      </c>
      <c r="S72" s="161" t="str">
        <f>IF(分析!AA129&lt;&gt;"",分析!AA129,"")</f>
        <v>下落▼</v>
      </c>
      <c r="T72" s="170">
        <f>IF(分析!Z129&lt;&gt;"",分析!Z129,"")</f>
        <v>-0.88235294117647056</v>
      </c>
      <c r="U72" s="161" t="str">
        <f>IF(分析!V129&lt;&gt;"",分析!V129,"")</f>
        <v>通常</v>
      </c>
      <c r="V72" s="171">
        <f>IF(分析!W129&lt;&gt;"",分析!W129,"")</f>
        <v>50.899742930591266</v>
      </c>
      <c r="W72" s="172" t="str">
        <f>IF(分析!AD129&lt;&gt;"",分析!AD129,"")</f>
        <v>下降トレンド▼</v>
      </c>
      <c r="X72" s="173" t="str">
        <f>IF(分析!AE129&lt;&gt;"",分析!AE129,"")</f>
        <v>なし</v>
      </c>
      <c r="Y72" s="174">
        <f>IF(分析!T129&lt;&gt;"",分析!T129,"")</f>
        <v>-1</v>
      </c>
      <c r="Z72" s="160" t="str">
        <f>IF(分析!Y129&lt;&gt;"",分析!Y129,"")</f>
        <v>見送り</v>
      </c>
    </row>
    <row r="73" spans="1:26" ht="21.95" customHeight="1">
      <c r="A73" s="161">
        <f>IF(分析!C149&lt;&gt;"",ROW()-2,"")</f>
        <v>71</v>
      </c>
      <c r="B73" s="162" t="str">
        <f>IF(分析!C149&lt;&gt;"",HYPERLINK("https://kabutan.jp/stock/?code="&amp;分析!C149,"株探"),"")</f>
        <v>株探</v>
      </c>
      <c r="C73" s="163">
        <f>IF(分析!C149&lt;&gt;"",分析!C149,"")</f>
        <v>8934</v>
      </c>
      <c r="D73" s="164" t="str">
        <f>IF(分析!D149&lt;&gt;"",分析!D149,"")</f>
        <v>サンフロンティア不動産</v>
      </c>
      <c r="E73" s="165">
        <f>IF(分析!E149&lt;&gt;"",分析!E149,"")</f>
        <v>2359</v>
      </c>
      <c r="F73" s="166">
        <f>IF(分析!F149&lt;&gt;"",分析!F149,"")</f>
        <v>2388</v>
      </c>
      <c r="G73" s="166">
        <f>IF(分析!H149&lt;&gt;"",分析!H149,"")</f>
        <v>2395</v>
      </c>
      <c r="H73" s="166">
        <f>IF(分析!I149&lt;&gt;"",分析!I149,"")</f>
        <v>2353</v>
      </c>
      <c r="I73" s="166">
        <f>IF(分析!J149&lt;&gt;"",分析!J149,"")</f>
        <v>100500</v>
      </c>
      <c r="J73" s="166">
        <f>IF(分析!AB149&lt;&gt;"",分析!AB149,"")</f>
        <v>6551.8024439918509</v>
      </c>
      <c r="K73" s="166">
        <f>IF(分析!AC149&lt;&gt;"",分析!AC149,"")</f>
        <v>6723.6233611442167</v>
      </c>
      <c r="L73" s="166">
        <f>IF(分析!K149&lt;&gt;"",分析!K149,"")</f>
        <v>2885</v>
      </c>
      <c r="M73" s="161" t="str">
        <f>IF(分析!P149&lt;&gt;"",分析!P149,"")</f>
        <v>減少↓</v>
      </c>
      <c r="N73" s="167">
        <f>IF(分析!O149&lt;&gt;"",分析!O149,"")</f>
        <v>0.77248270561106835</v>
      </c>
      <c r="O73" s="168">
        <f>IF(分析!X149&lt;&gt;"",分析!X149,"")</f>
        <v>-8.7196135950225653</v>
      </c>
      <c r="P73" s="169">
        <f>IF(分析!L149&lt;&gt;"",分析!L149,"")</f>
        <v>-18.232235701906411</v>
      </c>
      <c r="Q73" s="166">
        <f>IF(分析!S149&lt;&gt;"",分析!S149,"")</f>
        <v>2265</v>
      </c>
      <c r="R73" s="166">
        <f>IF(分析!R149&lt;&gt;"",分析!R149,"")</f>
        <v>2548</v>
      </c>
      <c r="S73" s="161" t="str">
        <f>IF(分析!AA149&lt;&gt;"",分析!AA149,"")</f>
        <v>下落▼</v>
      </c>
      <c r="T73" s="170">
        <f>IF(分析!Z149&lt;&gt;"",分析!Z149,"")</f>
        <v>-8.4709868699703511E-2</v>
      </c>
      <c r="U73" s="161" t="str">
        <f>IF(分析!V149&lt;&gt;"",分析!V149,"")</f>
        <v>通常</v>
      </c>
      <c r="V73" s="171">
        <f>IF(分析!W149&lt;&gt;"",分析!W149,"")</f>
        <v>52.777777777777779</v>
      </c>
      <c r="W73" s="172" t="str">
        <f>IF(分析!AD149&lt;&gt;"",分析!AD149,"")</f>
        <v>下降トレンド▼</v>
      </c>
      <c r="X73" s="173" t="str">
        <f>IF(分析!AE149&lt;&gt;"",分析!AE149,"")</f>
        <v>なし</v>
      </c>
      <c r="Y73" s="174">
        <f>IF(分析!T149&lt;&gt;"",分析!T149,"")</f>
        <v>-1</v>
      </c>
      <c r="Z73" s="160" t="str">
        <f>IF(分析!Y149&lt;&gt;"",分析!Y149,"")</f>
        <v>見送り</v>
      </c>
    </row>
    <row r="74" spans="1:26" ht="21.95" customHeight="1">
      <c r="A74" s="161">
        <f>IF(分析!C159&lt;&gt;"",ROW()-2,"")</f>
        <v>72</v>
      </c>
      <c r="B74" s="162" t="str">
        <f>IF(分析!C159&lt;&gt;"",HYPERLINK("https://kabutan.jp/stock/?code="&amp;分析!C159,"株探"),"")</f>
        <v>株探</v>
      </c>
      <c r="C74" s="163">
        <f>IF(分析!C159&lt;&gt;"",分析!C159,"")</f>
        <v>9022</v>
      </c>
      <c r="D74" s="164" t="str">
        <f>IF(分析!D159&lt;&gt;"",分析!D159,"")</f>
        <v>東海旅客鉄道</v>
      </c>
      <c r="E74" s="165">
        <f>IF(分析!E159&lt;&gt;"",分析!E159,"")</f>
        <v>3297</v>
      </c>
      <c r="F74" s="166">
        <f>IF(分析!F159&lt;&gt;"",分析!F159,"")</f>
        <v>3364</v>
      </c>
      <c r="G74" s="166">
        <f>IF(分析!H159&lt;&gt;"",分析!H159,"")</f>
        <v>3371</v>
      </c>
      <c r="H74" s="166">
        <f>IF(分析!I159&lt;&gt;"",分析!I159,"")</f>
        <v>3284</v>
      </c>
      <c r="I74" s="166">
        <f>IF(分析!J159&lt;&gt;"",分析!J159,"")</f>
        <v>3410000</v>
      </c>
      <c r="J74" s="166">
        <f>IF(分析!AB159&lt;&gt;"",分析!AB159,"")</f>
        <v>1090.2199592668021</v>
      </c>
      <c r="K74" s="166">
        <f>IF(分析!AC159&lt;&gt;"",分析!AC159,"")</f>
        <v>1098.8688915375442</v>
      </c>
      <c r="L74" s="166">
        <f>IF(分析!K159&lt;&gt;"",分析!K159,"")</f>
        <v>4830</v>
      </c>
      <c r="M74" s="161" t="str">
        <f>IF(分析!P159&lt;&gt;"",分析!P159,"")</f>
        <v>減少↓</v>
      </c>
      <c r="N74" s="167">
        <f>IF(分析!O159&lt;&gt;"",分析!O159,"")</f>
        <v>0.92051203144317928</v>
      </c>
      <c r="O74" s="168">
        <f>IF(分析!X159&lt;&gt;"",分析!X159,"")</f>
        <v>-29.393989388589944</v>
      </c>
      <c r="P74" s="169">
        <f>IF(分析!L159&lt;&gt;"",分析!L159,"")</f>
        <v>-31.739130434782609</v>
      </c>
      <c r="Q74" s="166">
        <f>IF(分析!S159&lt;&gt;"",分析!S159,"")</f>
        <v>3165</v>
      </c>
      <c r="R74" s="166">
        <f>IF(分析!R159&lt;&gt;"",分析!R159,"")</f>
        <v>3561</v>
      </c>
      <c r="S74" s="161" t="str">
        <f>IF(分析!AA159&lt;&gt;"",分析!AA159,"")</f>
        <v>下落▼</v>
      </c>
      <c r="T74" s="170">
        <f>IF(分析!Z159&lt;&gt;"",分析!Z159,"")</f>
        <v>-1.6114592658907789</v>
      </c>
      <c r="U74" s="161" t="str">
        <f>IF(分析!V159&lt;&gt;"",分析!V159,"")</f>
        <v>通常</v>
      </c>
      <c r="V74" s="171">
        <f>IF(分析!W159&lt;&gt;"",分析!W159,"")</f>
        <v>34.222919937205646</v>
      </c>
      <c r="W74" s="172" t="str">
        <f>IF(分析!AD159&lt;&gt;"",分析!AD159,"")</f>
        <v>上昇トレンド▲</v>
      </c>
      <c r="X74" s="173" t="str">
        <f>IF(分析!AE159&lt;&gt;"",分析!AE159,"")</f>
        <v>なし</v>
      </c>
      <c r="Y74" s="174">
        <f>IF(分析!T159&lt;&gt;"",分析!T159,"")</f>
        <v>2</v>
      </c>
      <c r="Z74" s="160" t="str">
        <f>IF(分析!Y159&lt;&gt;"",分析!Y159,"")</f>
        <v>見送り</v>
      </c>
    </row>
    <row r="75" spans="1:26" ht="21.95" customHeight="1">
      <c r="A75" s="161">
        <f>IF(分析!C15&lt;&gt;"",ROW()-2,"")</f>
        <v>73</v>
      </c>
      <c r="B75" s="162" t="str">
        <f>IF(分析!C15&lt;&gt;"",HYPERLINK("https://kabutan.jp/stock/?code="&amp;分析!C15,"株探"),"")</f>
        <v>株探</v>
      </c>
      <c r="C75" s="163">
        <f>IF(分析!C15&lt;&gt;"",分析!C15,"")</f>
        <v>9424</v>
      </c>
      <c r="D75" s="164" t="str">
        <f>IF(分析!D15&lt;&gt;"",分析!D15,"")</f>
        <v>日本通信</v>
      </c>
      <c r="E75" s="165">
        <f>IF(分析!E15&lt;&gt;"",分析!E15,"")</f>
        <v>115</v>
      </c>
      <c r="F75" s="166">
        <f>IF(分析!F15&lt;&gt;"",分析!F15,"")</f>
        <v>113</v>
      </c>
      <c r="G75" s="166">
        <f>IF(分析!H15&lt;&gt;"",分析!H15,"")</f>
        <v>117</v>
      </c>
      <c r="H75" s="166">
        <f>IF(分析!I15&lt;&gt;"",分析!I15,"")</f>
        <v>113</v>
      </c>
      <c r="I75" s="166">
        <f>IF(分析!J15&lt;&gt;"",分析!J15,"")</f>
        <v>1549700</v>
      </c>
      <c r="J75" s="166">
        <f>IF(分析!AB15&lt;&gt;"",分析!AB15,"")</f>
        <v>6543.2209775967403</v>
      </c>
      <c r="K75" s="166">
        <f>IF(分析!AC15&lt;&gt;"",分析!AC15,"")</f>
        <v>6214.7604290822374</v>
      </c>
      <c r="L75" s="166">
        <f>IF(分析!K15&lt;&gt;"",分析!K15,"")</f>
        <v>155</v>
      </c>
      <c r="M75" s="161" t="str">
        <f>IF(分析!P15&lt;&gt;"",分析!P15,"")</f>
        <v>減少↓</v>
      </c>
      <c r="N75" s="167">
        <f>IF(分析!O15&lt;&gt;"",分析!O15,"")</f>
        <v>0.90692557088849091</v>
      </c>
      <c r="O75" s="168">
        <f>IF(分析!X15&lt;&gt;"",分析!X15,"")</f>
        <v>-1.5282082001599946</v>
      </c>
      <c r="P75" s="169">
        <f>IF(分析!L15&lt;&gt;"",分析!L15,"")</f>
        <v>-25.806451612903224</v>
      </c>
      <c r="Q75" s="166">
        <f>IF(分析!S15&lt;&gt;"",分析!S15,"")</f>
        <v>110</v>
      </c>
      <c r="R75" s="166">
        <f>IF(分析!R15&lt;&gt;"",分析!R15,"")</f>
        <v>124</v>
      </c>
      <c r="S75" s="161" t="str">
        <f>IF(分析!AA15&lt;&gt;"",分析!AA15,"")</f>
        <v>上昇▲</v>
      </c>
      <c r="T75" s="170">
        <f>IF(分析!Z15&lt;&gt;"",分析!Z15,"")</f>
        <v>2.6785714285714284</v>
      </c>
      <c r="U75" s="161" t="str">
        <f>IF(分析!V15&lt;&gt;"",分析!V15,"")</f>
        <v>通常</v>
      </c>
      <c r="V75" s="171">
        <f>IF(分析!W15&lt;&gt;"",分析!W15,"")</f>
        <v>32.142857142857139</v>
      </c>
      <c r="W75" s="172" t="str">
        <f>IF(分析!AD15&lt;&gt;"",分析!AD15,"")</f>
        <v>もみ合い→</v>
      </c>
      <c r="X75" s="173" t="str">
        <f>IF(分析!AE15&lt;&gt;"",分析!AE15,"")</f>
        <v>なし</v>
      </c>
      <c r="Y75" s="174">
        <f>IF(分析!T15&lt;&gt;"",分析!T15,"")</f>
        <v>1</v>
      </c>
      <c r="Z75" s="160" t="str">
        <f>IF(分析!Y15&lt;&gt;"",分析!Y15,"")</f>
        <v>見送り</v>
      </c>
    </row>
    <row r="76" spans="1:26" ht="21.95" customHeight="1">
      <c r="A76" s="161">
        <f>IF(分析!C157&lt;&gt;"",ROW()-2,"")</f>
        <v>74</v>
      </c>
      <c r="B76" s="162" t="str">
        <f>IF(分析!C157&lt;&gt;"",HYPERLINK("https://kabutan.jp/stock/?code="&amp;分析!C157,"株探"),"")</f>
        <v>株探</v>
      </c>
      <c r="C76" s="163">
        <f>IF(分析!C157&lt;&gt;"",分析!C157,"")</f>
        <v>9505</v>
      </c>
      <c r="D76" s="164" t="str">
        <f>IF(分析!D157&lt;&gt;"",分析!D157,"")</f>
        <v>北陸電力</v>
      </c>
      <c r="E76" s="165">
        <f>IF(分析!E157&lt;&gt;"",分析!E157,"")</f>
        <v>850</v>
      </c>
      <c r="F76" s="166">
        <f>IF(分析!F157&lt;&gt;"",分析!F157,"")</f>
        <v>849</v>
      </c>
      <c r="G76" s="166">
        <f>IF(分析!H157&lt;&gt;"",分析!H157,"")</f>
        <v>859.5</v>
      </c>
      <c r="H76" s="166">
        <f>IF(分析!I157&lt;&gt;"",分析!I157,"")</f>
        <v>840.1</v>
      </c>
      <c r="I76" s="166">
        <f>IF(分析!J157&lt;&gt;"",分析!J157,"")</f>
        <v>883400</v>
      </c>
      <c r="J76" s="166">
        <f>IF(分析!AB157&lt;&gt;"",分析!AB157,"")</f>
        <v>9218.2179226069238</v>
      </c>
      <c r="K76" s="166">
        <f>IF(分析!AC157&lt;&gt;"",分析!AC157,"")</f>
        <v>8269.1179976162039</v>
      </c>
      <c r="L76" s="166">
        <f>IF(分析!K157&lt;&gt;"",分析!K157,"")</f>
        <v>1142</v>
      </c>
      <c r="M76" s="161" t="str">
        <f>IF(分析!P157&lt;&gt;"",分析!P157,"")</f>
        <v>減少↓</v>
      </c>
      <c r="N76" s="167">
        <f>IF(分析!O157&lt;&gt;"",分析!O157,"")</f>
        <v>0.93491374748650646</v>
      </c>
      <c r="O76" s="168">
        <f>IF(分析!X157&lt;&gt;"",分析!X157,"")</f>
        <v>-3.8066611871565783</v>
      </c>
      <c r="P76" s="169">
        <f>IF(分析!L157&lt;&gt;"",分析!L157,"")</f>
        <v>-25.569176882661999</v>
      </c>
      <c r="Q76" s="166">
        <f>IF(分析!S157&lt;&gt;"",分析!S157,"")</f>
        <v>816</v>
      </c>
      <c r="R76" s="166">
        <f>IF(分析!R157&lt;&gt;"",分析!R157,"")</f>
        <v>918</v>
      </c>
      <c r="S76" s="161" t="str">
        <f>IF(分析!AA157&lt;&gt;"",分析!AA157,"")</f>
        <v>下落▼</v>
      </c>
      <c r="T76" s="170">
        <f>IF(分析!Z157&lt;&gt;"",分析!Z157,"")</f>
        <v>-0.19960079840319894</v>
      </c>
      <c r="U76" s="161" t="str">
        <f>IF(分析!V157&lt;&gt;"",分析!V157,"")</f>
        <v>通常</v>
      </c>
      <c r="V76" s="171">
        <f>IF(分析!W157&lt;&gt;"",分析!W157,"")</f>
        <v>50.79834417504437</v>
      </c>
      <c r="W76" s="172" t="str">
        <f>IF(分析!AD157&lt;&gt;"",分析!AD157,"")</f>
        <v>もみ合い→</v>
      </c>
      <c r="X76" s="173" t="str">
        <f>IF(分析!AE157&lt;&gt;"",分析!AE157,"")</f>
        <v>なし</v>
      </c>
      <c r="Y76" s="174">
        <f>IF(分析!T157&lt;&gt;"",分析!T157,"")</f>
        <v>-1</v>
      </c>
      <c r="Z76" s="160" t="str">
        <f>IF(分析!Y157&lt;&gt;"",分析!Y157,"")</f>
        <v>見送り</v>
      </c>
    </row>
    <row r="77" spans="1:26" ht="21.95" customHeight="1">
      <c r="A77" s="161">
        <f>IF(分析!C193&lt;&gt;"",ROW()-2,"")</f>
        <v>75</v>
      </c>
      <c r="B77" s="162" t="str">
        <f>IF(分析!C193&lt;&gt;"",HYPERLINK("https://kabutan.jp/stock/?code="&amp;分析!C193,"株探"),"")</f>
        <v>株探</v>
      </c>
      <c r="C77" s="163">
        <f>IF(分析!C193&lt;&gt;"",分析!C193,"")</f>
        <v>9506</v>
      </c>
      <c r="D77" s="164" t="str">
        <f>IF(分析!D193&lt;&gt;"",分析!D193,"")</f>
        <v>東北電力</v>
      </c>
      <c r="E77" s="165">
        <f>IF(分析!E193&lt;&gt;"",分析!E193,"")</f>
        <v>1046</v>
      </c>
      <c r="F77" s="166">
        <f>IF(分析!F193&lt;&gt;"",分析!F193,"")</f>
        <v>1043.5</v>
      </c>
      <c r="G77" s="166">
        <f>IF(分析!H193&lt;&gt;"",分析!H193,"")</f>
        <v>1053</v>
      </c>
      <c r="H77" s="166">
        <f>IF(分析!I193&lt;&gt;"",分析!I193,"")</f>
        <v>1032.5</v>
      </c>
      <c r="I77" s="166">
        <f>IF(分析!J193&lt;&gt;"",分析!J193,"")</f>
        <v>1967700</v>
      </c>
      <c r="J77" s="166">
        <f>IF(分析!AB193&lt;&gt;"",分析!AB193,"")</f>
        <v>8995.8248472505074</v>
      </c>
      <c r="K77" s="166">
        <f>IF(分析!AC193&lt;&gt;"",分析!AC193,"")</f>
        <v>8745.7926102502934</v>
      </c>
      <c r="L77" s="166">
        <f>IF(分析!K193&lt;&gt;"",分析!K193,"")</f>
        <v>1323</v>
      </c>
      <c r="M77" s="161" t="str">
        <f>IF(分析!P193&lt;&gt;"",分析!P193,"")</f>
        <v>減少↓</v>
      </c>
      <c r="N77" s="167">
        <f>IF(分析!O193&lt;&gt;"",分析!O193,"")</f>
        <v>0.92515797788309639</v>
      </c>
      <c r="O77" s="168">
        <f>IF(分析!X193&lt;&gt;"",分析!X193,"")</f>
        <v>0.86969817584099474</v>
      </c>
      <c r="P77" s="169">
        <f>IF(分析!L193&lt;&gt;"",分析!L193,"")</f>
        <v>-20.93726379440665</v>
      </c>
      <c r="Q77" s="166">
        <f>IF(分析!S193&lt;&gt;"",分析!S193,"")</f>
        <v>1004</v>
      </c>
      <c r="R77" s="166">
        <f>IF(分析!R193&lt;&gt;"",分析!R193,"")</f>
        <v>1130</v>
      </c>
      <c r="S77" s="161" t="str">
        <f>IF(分析!AA193&lt;&gt;"",分析!AA193,"")</f>
        <v>上昇▲</v>
      </c>
      <c r="T77" s="170">
        <f>IF(分析!Z193&lt;&gt;"",分析!Z193,"")</f>
        <v>0.23957834211787254</v>
      </c>
      <c r="U77" s="161" t="str">
        <f>IF(分析!V193&lt;&gt;"",分析!V193,"")</f>
        <v>通常</v>
      </c>
      <c r="V77" s="171">
        <f>IF(分析!W193&lt;&gt;"",分析!W193,"")</f>
        <v>61.569416498993967</v>
      </c>
      <c r="W77" s="172" t="str">
        <f>IF(分析!AD193&lt;&gt;"",分析!AD193,"")</f>
        <v>もみ合い→</v>
      </c>
      <c r="X77" s="173" t="str">
        <f>IF(分析!AE193&lt;&gt;"",分析!AE193,"")</f>
        <v>なし</v>
      </c>
      <c r="Y77" s="174">
        <f>IF(分析!T193&lt;&gt;"",分析!T193,"")</f>
        <v>0</v>
      </c>
      <c r="Z77" s="160" t="str">
        <f>IF(分析!Y193&lt;&gt;"",分析!Y193,"")</f>
        <v>見送り</v>
      </c>
    </row>
    <row r="78" spans="1:26" ht="21.95" customHeight="1">
      <c r="A78" s="146">
        <f>IF(分析!C160&lt;&gt;"",ROW()-2,"")</f>
        <v>76</v>
      </c>
      <c r="B78" s="147" t="str">
        <f>IF(分析!C160&lt;&gt;"",HYPERLINK("https://kabutan.jp/stock/?code="&amp;分析!C160,"株探"),"")</f>
        <v>株探</v>
      </c>
      <c r="C78" s="148">
        <f>IF(分析!C160&lt;&gt;"",分析!C160,"")</f>
        <v>9536</v>
      </c>
      <c r="D78" s="149" t="str">
        <f>IF(分析!D160&lt;&gt;"",分析!D160,"")</f>
        <v>西部ガスＨＬＤＧＳ</v>
      </c>
      <c r="E78" s="150">
        <f>IF(分析!E160&lt;&gt;"",分析!E160,"")</f>
        <v>2240</v>
      </c>
      <c r="F78" s="151">
        <f>IF(分析!F160&lt;&gt;"",分析!F160,"")</f>
        <v>2242</v>
      </c>
      <c r="G78" s="151">
        <f>IF(分析!H160&lt;&gt;"",分析!H160,"")</f>
        <v>2262</v>
      </c>
      <c r="H78" s="151">
        <f>IF(分析!I160&lt;&gt;"",分析!I160,"")</f>
        <v>2237</v>
      </c>
      <c r="I78" s="151">
        <f>IF(分析!J160&lt;&gt;"",分析!J160,"")</f>
        <v>55900</v>
      </c>
      <c r="J78" s="151">
        <f>IF(分析!AB160&lt;&gt;"",分析!AB160,"")</f>
        <v>4329.3686354378815</v>
      </c>
      <c r="K78" s="151">
        <f>IF(分析!AC160&lt;&gt;"",分析!AC160,"")</f>
        <v>4339.9106078665063</v>
      </c>
      <c r="L78" s="151">
        <f>IF(分析!K160&lt;&gt;"",分析!K160,"")</f>
        <v>2634</v>
      </c>
      <c r="M78" s="146" t="str">
        <f>IF(分析!P160&lt;&gt;"",分析!P160,"")</f>
        <v>減少↓</v>
      </c>
      <c r="N78" s="152">
        <f>IF(分析!O160&lt;&gt;"",分析!O160,"")</f>
        <v>0.87180286961946352</v>
      </c>
      <c r="O78" s="153">
        <f>IF(分析!X160&lt;&gt;"",分析!X160,"")</f>
        <v>1.9415178375966207</v>
      </c>
      <c r="P78" s="154">
        <f>IF(分析!L160&lt;&gt;"",分析!L160,"")</f>
        <v>-14.958238420653</v>
      </c>
      <c r="Q78" s="151">
        <f>IF(分析!S160&lt;&gt;"",分析!S160,"")</f>
        <v>2150</v>
      </c>
      <c r="R78" s="151">
        <f>IF(分析!R160&lt;&gt;"",分析!R160,"")</f>
        <v>2419</v>
      </c>
      <c r="S78" s="146" t="str">
        <f>IF(分析!AA160&lt;&gt;"",分析!AA160,"")</f>
        <v>上昇▲</v>
      </c>
      <c r="T78" s="155">
        <f>IF(分析!Z160&lt;&gt;"",分析!Z160,"")</f>
        <v>8.936550491510277E-2</v>
      </c>
      <c r="U78" s="146" t="str">
        <f>IF(分析!V160&lt;&gt;"",分析!V160,"")</f>
        <v>通常</v>
      </c>
      <c r="V78" s="156">
        <f>IF(分析!W160&lt;&gt;"",分析!W160,"")</f>
        <v>58.695652173913047</v>
      </c>
      <c r="W78" s="157" t="str">
        <f>IF(分析!AD160&lt;&gt;"",分析!AD160,"")</f>
        <v>下降トレンド▼</v>
      </c>
      <c r="X78" s="158" t="str">
        <f>IF(分析!AE160&lt;&gt;"",分析!AE160,"")</f>
        <v>なし</v>
      </c>
      <c r="Y78" s="159">
        <f>IF(分析!T160&lt;&gt;"",分析!T160,"")</f>
        <v>1</v>
      </c>
      <c r="Z78" s="160" t="str">
        <f>IF(分析!Y160&lt;&gt;"",分析!Y160,"")</f>
        <v>見送り</v>
      </c>
    </row>
    <row r="79" spans="1:26" ht="21.95" customHeight="1">
      <c r="A79" s="161">
        <f>IF(分析!C153&lt;&gt;"",ROW()-2,"")</f>
        <v>77</v>
      </c>
      <c r="B79" s="162" t="str">
        <f>IF(分析!C153&lt;&gt;"",HYPERLINK("https://kabutan.jp/stock/?code="&amp;分析!C153,"株探"),"")</f>
        <v>株探</v>
      </c>
      <c r="C79" s="163">
        <f>IF(分析!C153&lt;&gt;"",分析!C153,"")</f>
        <v>9733</v>
      </c>
      <c r="D79" s="164" t="str">
        <f>IF(分析!D153&lt;&gt;"",分析!D153,"")</f>
        <v>ナガセ</v>
      </c>
      <c r="E79" s="165">
        <f>IF(分析!E153&lt;&gt;"",分析!E153,"")</f>
        <v>2201</v>
      </c>
      <c r="F79" s="166">
        <f>IF(分析!F153&lt;&gt;"",分析!F153,"")</f>
        <v>2234</v>
      </c>
      <c r="G79" s="166">
        <f>IF(分析!H153&lt;&gt;"",分析!H153,"")</f>
        <v>2238</v>
      </c>
      <c r="H79" s="166">
        <f>IF(分析!I153&lt;&gt;"",分析!I153,"")</f>
        <v>2201</v>
      </c>
      <c r="I79" s="166">
        <f>IF(分析!J153&lt;&gt;"",分析!J153,"")</f>
        <v>27000</v>
      </c>
      <c r="J79" s="166">
        <f>IF(分析!AB153&lt;&gt;"",分析!AB153,"")</f>
        <v>4082.1873727087564</v>
      </c>
      <c r="K79" s="166">
        <f>IF(分析!AC153&lt;&gt;"",分析!AC153,"")</f>
        <v>4301.5959475566133</v>
      </c>
      <c r="L79" s="166">
        <f>IF(分析!K153&lt;&gt;"",分析!K153,"")</f>
        <v>2877</v>
      </c>
      <c r="M79" s="161" t="str">
        <f>IF(分析!P153&lt;&gt;"",分析!P153,"")</f>
        <v>普通→</v>
      </c>
      <c r="N79" s="167">
        <f>IF(分析!O153&lt;&gt;"",分析!O153,"")</f>
        <v>1.1231281198003327</v>
      </c>
      <c r="O79" s="168">
        <f>IF(分析!X153&lt;&gt;"",分析!X153,"")</f>
        <v>-11.285626435385439</v>
      </c>
      <c r="P79" s="169">
        <f>IF(分析!L153&lt;&gt;"",分析!L153,"")</f>
        <v>-23.496697949252692</v>
      </c>
      <c r="Q79" s="166">
        <f>IF(分析!S153&lt;&gt;"",分析!S153,"")</f>
        <v>2113</v>
      </c>
      <c r="R79" s="166">
        <f>IF(分析!R153&lt;&gt;"",分析!R153,"")</f>
        <v>2377</v>
      </c>
      <c r="S79" s="161" t="str">
        <f>IF(分析!AA153&lt;&gt;"",分析!AA153,"")</f>
        <v>下落▼</v>
      </c>
      <c r="T79" s="170">
        <f>IF(分析!Z153&lt;&gt;"",分析!Z153,"")</f>
        <v>-9.0785292782569221E-2</v>
      </c>
      <c r="U79" s="161" t="str">
        <f>IF(分析!V153&lt;&gt;"",分析!V153,"")</f>
        <v>通常</v>
      </c>
      <c r="V79" s="171">
        <f>IF(分析!W153&lt;&gt;"",分析!W153,"")</f>
        <v>36.742424242424242</v>
      </c>
      <c r="W79" s="172" t="str">
        <f>IF(分析!AD153&lt;&gt;"",分析!AD153,"")</f>
        <v>下降トレンド▼</v>
      </c>
      <c r="X79" s="173" t="str">
        <f>IF(分析!AE153&lt;&gt;"",分析!AE153,"")</f>
        <v>なし</v>
      </c>
      <c r="Y79" s="174">
        <f>IF(分析!T153&lt;&gt;"",分析!T153,"")</f>
        <v>1</v>
      </c>
      <c r="Z79" s="160" t="str">
        <f>IF(分析!Y153&lt;&gt;"",分析!Y153,"")</f>
        <v>見送り</v>
      </c>
    </row>
    <row r="80" spans="1:26" ht="21.95" customHeight="1">
      <c r="A80" s="146">
        <f>IF(分析!C128&lt;&gt;"",ROW()-2,"")</f>
        <v>78</v>
      </c>
      <c r="B80" s="147" t="str">
        <f>IF(分析!C128&lt;&gt;"",HYPERLINK("https://kabutan.jp/stock/?code="&amp;分析!C128,"株探"),"")</f>
        <v>株探</v>
      </c>
      <c r="C80" s="148">
        <f>IF(分析!C128&lt;&gt;"",分析!C128,"")</f>
        <v>9882</v>
      </c>
      <c r="D80" s="149" t="str">
        <f>IF(分析!D128&lt;&gt;"",分析!D128,"")</f>
        <v>イエローハット</v>
      </c>
      <c r="E80" s="150">
        <f>IF(分析!E128&lt;&gt;"",分析!E128,"")</f>
        <v>1736</v>
      </c>
      <c r="F80" s="151">
        <f>IF(分析!F128&lt;&gt;"",分析!F128,"")</f>
        <v>1743</v>
      </c>
      <c r="G80" s="151">
        <f>IF(分析!H128&lt;&gt;"",分析!H128,"")</f>
        <v>1757</v>
      </c>
      <c r="H80" s="151">
        <f>IF(分析!I128&lt;&gt;"",分析!I128,"")</f>
        <v>1735</v>
      </c>
      <c r="I80" s="151">
        <f>IF(分析!J128&lt;&gt;"",分析!J128,"")</f>
        <v>140600</v>
      </c>
      <c r="J80" s="151">
        <f>IF(分析!AB128&lt;&gt;"",分析!AB128,"")</f>
        <v>7546.688391038696</v>
      </c>
      <c r="K80" s="151">
        <f>IF(分析!AC128&lt;&gt;"",分析!AC128,"")</f>
        <v>7653.2228843861703</v>
      </c>
      <c r="L80" s="151">
        <f>IF(分析!K128&lt;&gt;"",分析!K128,"")</f>
        <v>1759</v>
      </c>
      <c r="M80" s="146" t="str">
        <f>IF(分析!P128&lt;&gt;"",分析!P128,"")</f>
        <v>減少↓</v>
      </c>
      <c r="N80" s="152">
        <f>IF(分析!O128&lt;&gt;"",分析!O128,"")</f>
        <v>0.85315533980582525</v>
      </c>
      <c r="O80" s="153">
        <f>IF(分析!X128&lt;&gt;"",分析!X128,"")</f>
        <v>14.592035870227846</v>
      </c>
      <c r="P80" s="154">
        <f>IF(分析!L128&lt;&gt;"",分析!L128,"")</f>
        <v>-1.3075611142694712</v>
      </c>
      <c r="Q80" s="151">
        <f>IF(分析!S128&lt;&gt;"",分析!S128,"")</f>
        <v>1667</v>
      </c>
      <c r="R80" s="151">
        <f>IF(分析!R128&lt;&gt;"",分析!R128,"")</f>
        <v>1875</v>
      </c>
      <c r="S80" s="146" t="str">
        <f>IF(分析!AA128&lt;&gt;"",分析!AA128,"")</f>
        <v>下落▼</v>
      </c>
      <c r="T80" s="155">
        <f>IF(分析!Z128&lt;&gt;"",分析!Z128,"")</f>
        <v>-0.40160642570281119</v>
      </c>
      <c r="U80" s="146" t="str">
        <f>IF(分析!V128&lt;&gt;"",分析!V128,"")</f>
        <v>高値圏</v>
      </c>
      <c r="V80" s="156">
        <f>IF(分析!W128&lt;&gt;"",分析!W128,"")</f>
        <v>73.962264150943398</v>
      </c>
      <c r="W80" s="157" t="str">
        <f>IF(分析!AD128&lt;&gt;"",分析!AD128,"")</f>
        <v>下降トレンド▼</v>
      </c>
      <c r="X80" s="158" t="str">
        <f>IF(分析!AE128&lt;&gt;"",分析!AE128,"")</f>
        <v>なし</v>
      </c>
      <c r="Y80" s="159">
        <f>IF(分析!T128&lt;&gt;"",分析!T128,"")</f>
        <v>7</v>
      </c>
      <c r="Z80" s="160" t="str">
        <f>IF(分析!Y128&lt;&gt;"",分析!Y128,"")</f>
        <v>△注目</v>
      </c>
    </row>
    <row r="81" spans="1:26" ht="21.95" customHeight="1">
      <c r="A81" s="161">
        <f>IF(分析!C119&lt;&gt;"",ROW()-2,"")</f>
        <v>79</v>
      </c>
      <c r="B81" s="162" t="str">
        <f>IF(分析!C119&lt;&gt;"",HYPERLINK("https://kabutan.jp/stock/?code="&amp;分析!C119,"株探"),"")</f>
        <v>株探</v>
      </c>
      <c r="C81" s="163" t="str">
        <f>IF(分析!C119&lt;&gt;"",分析!C119,"")</f>
        <v>7181</v>
      </c>
      <c r="D81" s="164" t="str">
        <f>IF(分析!D119&lt;&gt;"",分析!D119,"")</f>
        <v>かんぽ生命保険</v>
      </c>
      <c r="E81" s="165">
        <f>IF(分析!E119&lt;&gt;"",分析!E119,"")</f>
        <v>1516</v>
      </c>
      <c r="F81" s="166">
        <f>IF(分析!F119&lt;&gt;"",分析!F119,"")</f>
        <v>1580</v>
      </c>
      <c r="G81" s="166">
        <f>IF(分析!H119&lt;&gt;"",分析!H119,"")</f>
        <v>1596</v>
      </c>
      <c r="H81" s="166">
        <f>IF(分析!I119&lt;&gt;"",分析!I119,"")</f>
        <v>1516</v>
      </c>
      <c r="I81" s="166">
        <f>IF(分析!J119&lt;&gt;"",分析!J119,"")</f>
        <v>1669300</v>
      </c>
      <c r="J81" s="166">
        <f>IF(分析!AB119&lt;&gt;"",分析!AB119,"")</f>
        <v>3678.4368635437868</v>
      </c>
      <c r="K81" s="166">
        <f>IF(分析!AC119&lt;&gt;"",分析!AC119,"")</f>
        <v>3741.2812872467225</v>
      </c>
      <c r="L81" s="166">
        <f>IF(分析!K119&lt;&gt;"",分析!K119,"")</f>
        <v>1676.5</v>
      </c>
      <c r="M81" s="161" t="str">
        <f>IF(分析!P119&lt;&gt;"",分析!P119,"")</f>
        <v>減少↓</v>
      </c>
      <c r="N81" s="167">
        <f>IF(分析!O119&lt;&gt;"",分析!O119,"")</f>
        <v>0.6403096255494779</v>
      </c>
      <c r="O81" s="168">
        <f>IF(分析!X119&lt;&gt;"",分析!X119,"")</f>
        <v>0.19216662222038394</v>
      </c>
      <c r="P81" s="169">
        <f>IF(分析!L119&lt;&gt;"",分析!L119,"")</f>
        <v>-9.5735162541008059</v>
      </c>
      <c r="Q81" s="166">
        <f>IF(分析!S119&lt;&gt;"",分析!S119,"")</f>
        <v>1455</v>
      </c>
      <c r="R81" s="166">
        <f>IF(分析!R119&lt;&gt;"",分析!R119,"")</f>
        <v>1637</v>
      </c>
      <c r="S81" s="161" t="str">
        <f>IF(分析!AA119&lt;&gt;"",分析!AA119,"")</f>
        <v>下落▼</v>
      </c>
      <c r="T81" s="170">
        <f>IF(分析!Z119&lt;&gt;"",分析!Z119,"")</f>
        <v>-2.8205128205128207</v>
      </c>
      <c r="U81" s="161" t="str">
        <f>IF(分析!V119&lt;&gt;"",分析!V119,"")</f>
        <v>高値圏</v>
      </c>
      <c r="V81" s="171">
        <f>IF(分析!W119&lt;&gt;"",分析!W119,"")</f>
        <v>61.366622864651781</v>
      </c>
      <c r="W81" s="172" t="str">
        <f>IF(分析!AD119&lt;&gt;"",分析!AD119,"")</f>
        <v>下降トレンド▼</v>
      </c>
      <c r="X81" s="173" t="str">
        <f>IF(分析!AE119&lt;&gt;"",分析!AE119,"")</f>
        <v>なし</v>
      </c>
      <c r="Y81" s="174">
        <f>IF(分析!T119&lt;&gt;"",分析!T119,"")</f>
        <v>1</v>
      </c>
      <c r="Z81" s="160" t="str">
        <f>IF(分析!Y119&lt;&gt;"",分析!Y119,"")</f>
        <v>見送り</v>
      </c>
    </row>
    <row r="82" spans="1:26" ht="21.95" customHeight="1">
      <c r="A82" s="146">
        <f>IF(分析!C166&lt;&gt;"",ROW()-2,"")</f>
        <v>80</v>
      </c>
      <c r="B82" s="147" t="str">
        <f>IF(分析!C166&lt;&gt;"",HYPERLINK("https://kabutan.jp/stock/?code="&amp;分析!C166,"株探"),"")</f>
        <v>株探</v>
      </c>
      <c r="C82" s="148">
        <f>IF(分析!C166&lt;&gt;"",分析!C166,"")</f>
        <v>1605</v>
      </c>
      <c r="D82" s="149" t="str">
        <f>IF(分析!D166&lt;&gt;"",分析!D166,"")</f>
        <v>ＩＮＰＥＸ</v>
      </c>
      <c r="E82" s="150">
        <f>IF(分析!E166&lt;&gt;"",分析!E166,"")</f>
        <v>3406</v>
      </c>
      <c r="F82" s="151">
        <f>IF(分析!F166&lt;&gt;"",分析!F166,"")</f>
        <v>3328</v>
      </c>
      <c r="G82" s="151">
        <f>IF(分析!H166&lt;&gt;"",分析!H166,"")</f>
        <v>3428</v>
      </c>
      <c r="H82" s="151">
        <f>IF(分析!I166&lt;&gt;"",分析!I166,"")</f>
        <v>3293</v>
      </c>
      <c r="I82" s="151">
        <f>IF(分析!J166&lt;&gt;"",分析!J166,"")</f>
        <v>7587200</v>
      </c>
      <c r="J82" s="151">
        <f>IF(分析!AB166&lt;&gt;"",分析!AB166,"")</f>
        <v>2016.2729124236246</v>
      </c>
      <c r="K82" s="151">
        <f>IF(分析!AC166&lt;&gt;"",分析!AC166,"")</f>
        <v>2038.319427890345</v>
      </c>
      <c r="L82" s="151">
        <f>IF(分析!K166&lt;&gt;"",分析!K166,"")</f>
        <v>4955</v>
      </c>
      <c r="M82" s="146" t="str">
        <f>IF(分析!P166&lt;&gt;"",分析!P166,"")</f>
        <v>普通→</v>
      </c>
      <c r="N82" s="152">
        <f>IF(分析!O166&lt;&gt;"",分析!O166,"")</f>
        <v>1.2590355447877601</v>
      </c>
      <c r="O82" s="153">
        <f>IF(分析!X166&lt;&gt;"",分析!X166,"")</f>
        <v>-49.259485987446169</v>
      </c>
      <c r="P82" s="154">
        <f>IF(分析!L166&lt;&gt;"",分析!L166,"")</f>
        <v>-31.261352169525729</v>
      </c>
      <c r="Q82" s="151">
        <f>IF(分析!S166&lt;&gt;"",分析!S166,"")</f>
        <v>3270</v>
      </c>
      <c r="R82" s="151">
        <f>IF(分析!R166&lt;&gt;"",分析!R166,"")</f>
        <v>3678</v>
      </c>
      <c r="S82" s="146" t="str">
        <f>IF(分析!AA166&lt;&gt;"",分析!AA166,"")</f>
        <v>上昇▲</v>
      </c>
      <c r="T82" s="155">
        <f>IF(分析!Z166&lt;&gt;"",分析!Z166,"")</f>
        <v>0.82889283599763175</v>
      </c>
      <c r="U82" s="146" t="str">
        <f>IF(分析!V166&lt;&gt;"",分析!V166,"")</f>
        <v>通常</v>
      </c>
      <c r="V82" s="156">
        <f>IF(分析!W166&lt;&gt;"",分析!W166,"")</f>
        <v>38.835725677830943</v>
      </c>
      <c r="W82" s="157" t="str">
        <f>IF(分析!AD166&lt;&gt;"",分析!AD166,"")</f>
        <v>上昇トレンド▲</v>
      </c>
      <c r="X82" s="158" t="str">
        <f>IF(分析!AE166&lt;&gt;"",分析!AE166,"")</f>
        <v>なし</v>
      </c>
      <c r="Y82" s="159">
        <f>IF(分析!T166&lt;&gt;"",分析!T166,"")</f>
        <v>4</v>
      </c>
      <c r="Z82" s="160" t="str">
        <f>IF(分析!Y166&lt;&gt;"",分析!Y166,"")</f>
        <v>様子見</v>
      </c>
    </row>
    <row r="83" spans="1:26" ht="21.95" customHeight="1">
      <c r="A83" s="161">
        <f>IF(分析!C121&lt;&gt;"",ROW()-2,"")</f>
        <v>81</v>
      </c>
      <c r="B83" s="162" t="str">
        <f>IF(分析!C121&lt;&gt;"",HYPERLINK("https://kabutan.jp/stock/?code="&amp;分析!C121,"株探"),"")</f>
        <v>株探</v>
      </c>
      <c r="C83" s="163">
        <f>IF(分析!C121&lt;&gt;"",分析!C121,"")</f>
        <v>1812</v>
      </c>
      <c r="D83" s="164" t="str">
        <f>IF(分析!D121&lt;&gt;"",分析!D121,"")</f>
        <v>鹿島建設</v>
      </c>
      <c r="E83" s="165">
        <f>IF(分析!E121&lt;&gt;"",分析!E121,"")</f>
        <v>5920</v>
      </c>
      <c r="F83" s="166">
        <f>IF(分析!F121&lt;&gt;"",分析!F121,"")</f>
        <v>5968</v>
      </c>
      <c r="G83" s="166">
        <f>IF(分析!H121&lt;&gt;"",分析!H121,"")</f>
        <v>6044</v>
      </c>
      <c r="H83" s="166">
        <f>IF(分析!I121&lt;&gt;"",分析!I121,"")</f>
        <v>5871</v>
      </c>
      <c r="I83" s="166">
        <f>IF(分析!J121&lt;&gt;"",分析!J121,"")</f>
        <v>2120900</v>
      </c>
      <c r="J83" s="166">
        <f>IF(分析!AB121&lt;&gt;"",分析!AB121,"")</f>
        <v>2320.8345213849284</v>
      </c>
      <c r="K83" s="166">
        <f>IF(分析!AC121&lt;&gt;"",分析!AC121,"")</f>
        <v>2325.6323003575676</v>
      </c>
      <c r="L83" s="166">
        <f>IF(分析!K121&lt;&gt;"",分析!K121,"")</f>
        <v>8040</v>
      </c>
      <c r="M83" s="161" t="str">
        <f>IF(分析!P121&lt;&gt;"",分析!P121,"")</f>
        <v>減少↓</v>
      </c>
      <c r="N83" s="167">
        <f>IF(分析!O121&lt;&gt;"",分析!O121,"")</f>
        <v>0.96110099060152077</v>
      </c>
      <c r="O83" s="168">
        <f>IF(分析!X121&lt;&gt;"",分析!X121,"")</f>
        <v>-18.323743527079387</v>
      </c>
      <c r="P83" s="169">
        <f>IF(分析!L121&lt;&gt;"",分析!L121,"")</f>
        <v>-26.368159203980102</v>
      </c>
      <c r="Q83" s="166">
        <f>IF(分析!S121&lt;&gt;"",分析!S121,"")</f>
        <v>5683</v>
      </c>
      <c r="R83" s="166">
        <f>IF(分析!R121&lt;&gt;"",分析!R121,"")</f>
        <v>6394</v>
      </c>
      <c r="S83" s="161" t="str">
        <f>IF(分析!AA121&lt;&gt;"",分析!AA121,"")</f>
        <v>上昇▲</v>
      </c>
      <c r="T83" s="170">
        <f>IF(分析!Z121&lt;&gt;"",分析!Z121,"")</f>
        <v>0.35599254110866252</v>
      </c>
      <c r="U83" s="161" t="str">
        <f>IF(分析!V121&lt;&gt;"",分析!V121,"")</f>
        <v>通常</v>
      </c>
      <c r="V83" s="171">
        <f>IF(分析!W121&lt;&gt;"",分析!W121,"")</f>
        <v>56.96275071633238</v>
      </c>
      <c r="W83" s="172" t="str">
        <f>IF(分析!AD121&lt;&gt;"",分析!AD121,"")</f>
        <v>上昇トレンド▲</v>
      </c>
      <c r="X83" s="173" t="str">
        <f>IF(分析!AE121&lt;&gt;"",分析!AE121,"")</f>
        <v>なし</v>
      </c>
      <c r="Y83" s="174">
        <f>IF(分析!T121&lt;&gt;"",分析!T121,"")</f>
        <v>2</v>
      </c>
      <c r="Z83" s="160" t="str">
        <f>IF(分析!Y121&lt;&gt;"",分析!Y121,"")</f>
        <v>見送り</v>
      </c>
    </row>
    <row r="84" spans="1:26" ht="21.95" customHeight="1">
      <c r="A84" s="161">
        <f>IF(分析!C83&lt;&gt;"",ROW()-2,"")</f>
        <v>82</v>
      </c>
      <c r="B84" s="162" t="str">
        <f>IF(分析!C83&lt;&gt;"",HYPERLINK("https://kabutan.jp/stock/?code="&amp;分析!C83,"株探"),"")</f>
        <v>株探</v>
      </c>
      <c r="C84" s="163">
        <f>IF(分析!C83&lt;&gt;"",分析!C83,"")</f>
        <v>1930</v>
      </c>
      <c r="D84" s="164" t="str">
        <f>IF(分析!D83&lt;&gt;"",分析!D83,"")</f>
        <v>北陸電気工事</v>
      </c>
      <c r="E84" s="165">
        <f>IF(分析!E83&lt;&gt;"",分析!E83,"")</f>
        <v>1699</v>
      </c>
      <c r="F84" s="166">
        <f>IF(分析!F83&lt;&gt;"",分析!F83,"")</f>
        <v>1664</v>
      </c>
      <c r="G84" s="166">
        <f>IF(分析!H83&lt;&gt;"",分析!H83,"")</f>
        <v>1701</v>
      </c>
      <c r="H84" s="166">
        <f>IF(分析!I83&lt;&gt;"",分析!I83,"")</f>
        <v>1664</v>
      </c>
      <c r="I84" s="166">
        <f>IF(分析!J83&lt;&gt;"",分析!J83,"")</f>
        <v>65400</v>
      </c>
      <c r="J84" s="166">
        <f>IF(分析!AB83&lt;&gt;"",分析!AB83,"")</f>
        <v>3151.7107942973512</v>
      </c>
      <c r="K84" s="166">
        <f>IF(分析!AC83&lt;&gt;"",分析!AC83,"")</f>
        <v>3100.4362336114414</v>
      </c>
      <c r="L84" s="166">
        <f>IF(分析!K83&lt;&gt;"",分析!K83,"")</f>
        <v>1821</v>
      </c>
      <c r="M84" s="161" t="str">
        <f>IF(分析!P83&lt;&gt;"",分析!P83,"")</f>
        <v>普通→</v>
      </c>
      <c r="N84" s="167">
        <f>IF(分析!O83&lt;&gt;"",分析!O83,"")</f>
        <v>1.0228339067876133</v>
      </c>
      <c r="O84" s="168">
        <f>IF(分析!X83&lt;&gt;"",分析!X83,"")</f>
        <v>-4.8957486695926491</v>
      </c>
      <c r="P84" s="169">
        <f>IF(分析!L83&lt;&gt;"",分析!L83,"")</f>
        <v>-6.6996155958264687</v>
      </c>
      <c r="Q84" s="166">
        <f>IF(分析!S83&lt;&gt;"",分析!S83,"")</f>
        <v>1631</v>
      </c>
      <c r="R84" s="166">
        <f>IF(分析!R83&lt;&gt;"",分析!R83,"")</f>
        <v>1835</v>
      </c>
      <c r="S84" s="161" t="str">
        <f>IF(分析!AA83&lt;&gt;"",分析!AA83,"")</f>
        <v>上昇▲</v>
      </c>
      <c r="T84" s="170">
        <f>IF(分析!Z83&lt;&gt;"",分析!Z83,"")</f>
        <v>2.9073288915808604</v>
      </c>
      <c r="U84" s="161" t="str">
        <f>IF(分析!V83&lt;&gt;"",分析!V83,"")</f>
        <v>通常</v>
      </c>
      <c r="V84" s="171">
        <f>IF(分析!W83&lt;&gt;"",分析!W83,"")</f>
        <v>54.852320675105481</v>
      </c>
      <c r="W84" s="172" t="str">
        <f>IF(分析!AD83&lt;&gt;"",分析!AD83,"")</f>
        <v>もみ合い→</v>
      </c>
      <c r="X84" s="173" t="str">
        <f>IF(分析!AE83&lt;&gt;"",分析!AE83,"")</f>
        <v>なし</v>
      </c>
      <c r="Y84" s="174">
        <f>IF(分析!T83&lt;&gt;"",分析!T83,"")</f>
        <v>1</v>
      </c>
      <c r="Z84" s="160" t="str">
        <f>IF(分析!Y83&lt;&gt;"",分析!Y83,"")</f>
        <v>見送り</v>
      </c>
    </row>
    <row r="85" spans="1:26" ht="21.95" customHeight="1">
      <c r="A85" s="161">
        <f>IF(分析!C117&lt;&gt;"",ROW()-2,"")</f>
        <v>83</v>
      </c>
      <c r="B85" s="162" t="str">
        <f>IF(分析!C117&lt;&gt;"",HYPERLINK("https://kabutan.jp/stock/?code="&amp;分析!C117,"株探"),"")</f>
        <v>株探</v>
      </c>
      <c r="C85" s="163">
        <f>IF(分析!C117&lt;&gt;"",分析!C117,"")</f>
        <v>1938</v>
      </c>
      <c r="D85" s="164" t="str">
        <f>IF(分析!D117&lt;&gt;"",分析!D117,"")</f>
        <v>日本リーテック</v>
      </c>
      <c r="E85" s="165">
        <f>IF(分析!E117&lt;&gt;"",分析!E117,"")</f>
        <v>2767</v>
      </c>
      <c r="F85" s="166">
        <f>IF(分析!F117&lt;&gt;"",分析!F117,"")</f>
        <v>2804</v>
      </c>
      <c r="G85" s="166">
        <f>IF(分析!H117&lt;&gt;"",分析!H117,"")</f>
        <v>2841</v>
      </c>
      <c r="H85" s="166">
        <f>IF(分析!I117&lt;&gt;"",分析!I117,"")</f>
        <v>2767</v>
      </c>
      <c r="I85" s="166">
        <f>IF(分析!J117&lt;&gt;"",分析!J117,"")</f>
        <v>67700</v>
      </c>
      <c r="J85" s="166">
        <f>IF(分析!AB117&lt;&gt;"",分析!AB117,"")</f>
        <v>2853.225560081466</v>
      </c>
      <c r="K85" s="166">
        <f>IF(分析!AC117&lt;&gt;"",分析!AC117,"")</f>
        <v>2862.1579261025013</v>
      </c>
      <c r="L85" s="166">
        <f>IF(分析!K117&lt;&gt;"",分析!K117,"")</f>
        <v>3245</v>
      </c>
      <c r="M85" s="161" t="str">
        <f>IF(分析!P117&lt;&gt;"",分析!P117,"")</f>
        <v>減少↓</v>
      </c>
      <c r="N85" s="167">
        <f>IF(分析!O117&lt;&gt;"",分析!O117,"")</f>
        <v>0.90896885069817401</v>
      </c>
      <c r="O85" s="168">
        <f>IF(分析!X117&lt;&gt;"",分析!X117,"")</f>
        <v>-10.255577358610481</v>
      </c>
      <c r="P85" s="169">
        <f>IF(分析!L117&lt;&gt;"",分析!L117,"")</f>
        <v>-14.730354391371339</v>
      </c>
      <c r="Q85" s="166">
        <f>IF(分析!S117&lt;&gt;"",分析!S117,"")</f>
        <v>2656</v>
      </c>
      <c r="R85" s="166">
        <f>IF(分析!R117&lt;&gt;"",分析!R117,"")</f>
        <v>2988</v>
      </c>
      <c r="S85" s="161" t="str">
        <f>IF(分析!AA117&lt;&gt;"",分析!AA117,"")</f>
        <v>上昇▲</v>
      </c>
      <c r="T85" s="170">
        <f>IF(分析!Z117&lt;&gt;"",分析!Z117,"")</f>
        <v>0.32632342277012327</v>
      </c>
      <c r="U85" s="161" t="str">
        <f>IF(分析!V117&lt;&gt;"",分析!V117,"")</f>
        <v>通常</v>
      </c>
      <c r="V85" s="171">
        <f>IF(分析!W117&lt;&gt;"",分析!W117,"")</f>
        <v>44.285714285714278</v>
      </c>
      <c r="W85" s="172" t="str">
        <f>IF(分析!AD117&lt;&gt;"",分析!AD117,"")</f>
        <v>下降トレンド▼</v>
      </c>
      <c r="X85" s="173" t="str">
        <f>IF(分析!AE117&lt;&gt;"",分析!AE117,"")</f>
        <v>なし</v>
      </c>
      <c r="Y85" s="174">
        <f>IF(分析!T117&lt;&gt;"",分析!T117,"")</f>
        <v>0</v>
      </c>
      <c r="Z85" s="160" t="str">
        <f>IF(分析!Y117&lt;&gt;"",分析!Y117,"")</f>
        <v>見送り</v>
      </c>
    </row>
    <row r="86" spans="1:26" ht="21.95" customHeight="1">
      <c r="A86" s="146">
        <f>IF(分析!C206&lt;&gt;"",ROW()-2,"")</f>
        <v>84</v>
      </c>
      <c r="B86" s="147" t="str">
        <f>IF(分析!C206&lt;&gt;"",HYPERLINK("https://kabutan.jp/stock/?code="&amp;分析!C206,"株探"),"")</f>
        <v>株探</v>
      </c>
      <c r="C86" s="148">
        <f>IF(分析!C206&lt;&gt;"",分析!C206,"")</f>
        <v>2768</v>
      </c>
      <c r="D86" s="149" t="str">
        <f>IF(分析!D206&lt;&gt;"",分析!D206,"")</f>
        <v>双日</v>
      </c>
      <c r="E86" s="150">
        <f>IF(分析!E206&lt;&gt;"",分析!E206,"")</f>
        <v>5296</v>
      </c>
      <c r="F86" s="151">
        <f>IF(分析!F206&lt;&gt;"",分析!F206,"")</f>
        <v>5366</v>
      </c>
      <c r="G86" s="151">
        <f>IF(分析!H206&lt;&gt;"",分析!H206,"")</f>
        <v>5372</v>
      </c>
      <c r="H86" s="151">
        <f>IF(分析!I206&lt;&gt;"",分析!I206,"")</f>
        <v>5239</v>
      </c>
      <c r="I86" s="151">
        <f>IF(分析!J206&lt;&gt;"",分析!J206,"")</f>
        <v>845400</v>
      </c>
      <c r="J86" s="151">
        <f>IF(分析!AB206&lt;&gt;"",分析!AB206,"")</f>
        <v>5211.7557603686628</v>
      </c>
      <c r="K86" s="151">
        <f>IF(分析!AC206&lt;&gt;"",分析!AC206,"")</f>
        <v>5298.4183551847427</v>
      </c>
      <c r="L86" s="151">
        <f>IF(分析!K206&lt;&gt;"",分析!K206,"")</f>
        <v>7257</v>
      </c>
      <c r="M86" s="146" t="str">
        <f>IF(分析!P206&lt;&gt;"",分析!P206,"")</f>
        <v>減少↓</v>
      </c>
      <c r="N86" s="152">
        <f>IF(分析!O206&lt;&gt;"",分析!O206,"")</f>
        <v>0.72442159383033422</v>
      </c>
      <c r="O86" s="153">
        <f>IF(分析!X206&lt;&gt;"",分析!X206,"")</f>
        <v>-69.286153821658445</v>
      </c>
      <c r="P86" s="154">
        <f>IF(分析!L206&lt;&gt;"",分析!L206,"")</f>
        <v>-27.022185476092048</v>
      </c>
      <c r="Q86" s="151">
        <f>IF(分析!S206&lt;&gt;"",分析!S206,"")</f>
        <v>5084</v>
      </c>
      <c r="R86" s="151">
        <f>IF(分析!R206&lt;&gt;"",分析!R206,"")</f>
        <v>5720</v>
      </c>
      <c r="S86" s="146" t="str">
        <f>IF(分析!AA206&lt;&gt;"",分析!AA206,"")</f>
        <v>上昇▲</v>
      </c>
      <c r="T86" s="155">
        <f>IF(分析!Z206&lt;&gt;"",分析!Z206,"")</f>
        <v>9.45000945000945E-2</v>
      </c>
      <c r="U86" s="146" t="str">
        <f>IF(分析!V206&lt;&gt;"",分析!V206,"")</f>
        <v>通常</v>
      </c>
      <c r="V86" s="156">
        <f>IF(分析!W206&lt;&gt;"",分析!W206,"")</f>
        <v>34.429599177800625</v>
      </c>
      <c r="W86" s="157" t="str">
        <f>IF(分析!AD206&lt;&gt;"",分析!AD206,"")</f>
        <v>もみ合い→</v>
      </c>
      <c r="X86" s="158" t="str">
        <f>IF(分析!AE206&lt;&gt;"",分析!AE206,"")</f>
        <v>なし</v>
      </c>
      <c r="Y86" s="159">
        <f>IF(分析!T206&lt;&gt;"",分析!T206,"")</f>
        <v>1</v>
      </c>
      <c r="Z86" s="160" t="str">
        <f>IF(分析!Y206&lt;&gt;"",分析!Y206,"")</f>
        <v>見送り</v>
      </c>
    </row>
    <row r="87" spans="1:26" ht="21.95" customHeight="1">
      <c r="A87" s="161">
        <f>IF(分析!C169&lt;&gt;"",ROW()-2,"")</f>
        <v>85</v>
      </c>
      <c r="B87" s="162" t="str">
        <f>IF(分析!C169&lt;&gt;"",HYPERLINK("https://kabutan.jp/stock/?code="&amp;分析!C169,"株探"),"")</f>
        <v>株探</v>
      </c>
      <c r="C87" s="163">
        <f>IF(分析!C169&lt;&gt;"",分析!C169,"")</f>
        <v>3401</v>
      </c>
      <c r="D87" s="164" t="str">
        <f>IF(分析!D169&lt;&gt;"",分析!D169,"")</f>
        <v>帝人</v>
      </c>
      <c r="E87" s="165">
        <f>IF(分析!E169&lt;&gt;"",分析!E169,"")</f>
        <v>1648</v>
      </c>
      <c r="F87" s="166">
        <f>IF(分析!F169&lt;&gt;"",分析!F169,"")</f>
        <v>1648.5</v>
      </c>
      <c r="G87" s="166">
        <f>IF(分析!H169&lt;&gt;"",分析!H169,"")</f>
        <v>1675</v>
      </c>
      <c r="H87" s="166">
        <f>IF(分析!I169&lt;&gt;"",分析!I169,"")</f>
        <v>1628</v>
      </c>
      <c r="I87" s="166">
        <f>IF(分析!J169&lt;&gt;"",分析!J169,"")</f>
        <v>982500</v>
      </c>
      <c r="J87" s="166">
        <f>IF(分析!AB169&lt;&gt;"",分析!AB169,"")</f>
        <v>2971.4837067209778</v>
      </c>
      <c r="K87" s="166">
        <f>IF(分析!AC169&lt;&gt;"",分析!AC169,"")</f>
        <v>2960.0452920143025</v>
      </c>
      <c r="L87" s="166">
        <f>IF(分析!K169&lt;&gt;"",分析!K169,"")</f>
        <v>1773</v>
      </c>
      <c r="M87" s="161" t="str">
        <f>IF(分析!P169&lt;&gt;"",分析!P169,"")</f>
        <v>普通→</v>
      </c>
      <c r="N87" s="167">
        <f>IF(分析!O169&lt;&gt;"",分析!O169,"")</f>
        <v>1.2211643631301581</v>
      </c>
      <c r="O87" s="168">
        <f>IF(分析!X169&lt;&gt;"",分析!X169,"")</f>
        <v>1.29754735530787</v>
      </c>
      <c r="P87" s="169">
        <f>IF(分析!L169&lt;&gt;"",分析!L169,"")</f>
        <v>-7.0501974055273546</v>
      </c>
      <c r="Q87" s="166">
        <f>IF(分析!S169&lt;&gt;"",分析!S169,"")</f>
        <v>1582</v>
      </c>
      <c r="R87" s="166">
        <f>IF(分析!R169&lt;&gt;"",分析!R169,"")</f>
        <v>1780</v>
      </c>
      <c r="S87" s="161" t="str">
        <f>IF(分析!AA169&lt;&gt;"",分析!AA169,"")</f>
        <v>上昇▲</v>
      </c>
      <c r="T87" s="170">
        <f>IF(分析!Z169&lt;&gt;"",分析!Z169,"")</f>
        <v>0.42656916514320536</v>
      </c>
      <c r="U87" s="161" t="str">
        <f>IF(分析!V169&lt;&gt;"",分析!V169,"")</f>
        <v>通常</v>
      </c>
      <c r="V87" s="171">
        <f>IF(分析!W169&lt;&gt;"",分析!W169,"")</f>
        <v>52.199999999999996</v>
      </c>
      <c r="W87" s="172" t="str">
        <f>IF(分析!AD169&lt;&gt;"",分析!AD169,"")</f>
        <v>もみ合い→</v>
      </c>
      <c r="X87" s="173" t="str">
        <f>IF(分析!AE169&lt;&gt;"",分析!AE169,"")</f>
        <v>なし</v>
      </c>
      <c r="Y87" s="174">
        <f>IF(分析!T169&lt;&gt;"",分析!T169,"")</f>
        <v>2</v>
      </c>
      <c r="Z87" s="160" t="str">
        <f>IF(分析!Y169&lt;&gt;"",分析!Y169,"")</f>
        <v>見送り</v>
      </c>
    </row>
    <row r="88" spans="1:26" ht="21.95" customHeight="1">
      <c r="A88" s="146">
        <f>IF(分析!C172&lt;&gt;"",ROW()-2,"")</f>
        <v>86</v>
      </c>
      <c r="B88" s="147" t="str">
        <f>IF(分析!C172&lt;&gt;"",HYPERLINK("https://kabutan.jp/stock/?code="&amp;分析!C172,"株探"),"")</f>
        <v>株探</v>
      </c>
      <c r="C88" s="148">
        <f>IF(分析!C172&lt;&gt;"",分析!C172,"")</f>
        <v>3402</v>
      </c>
      <c r="D88" s="149" t="str">
        <f>IF(分析!D172&lt;&gt;"",分析!D172,"")</f>
        <v>東レ</v>
      </c>
      <c r="E88" s="150">
        <f>IF(分析!E172&lt;&gt;"",分析!E172,"")</f>
        <v>1190</v>
      </c>
      <c r="F88" s="151">
        <f>IF(分析!F172&lt;&gt;"",分析!F172,"")</f>
        <v>1170.5</v>
      </c>
      <c r="G88" s="151">
        <f>IF(分析!H172&lt;&gt;"",分析!H172,"")</f>
        <v>1190.5</v>
      </c>
      <c r="H88" s="151">
        <f>IF(分析!I172&lt;&gt;"",分析!I172,"")</f>
        <v>1170</v>
      </c>
      <c r="I88" s="151">
        <f>IF(分析!J172&lt;&gt;"",分析!J172,"")</f>
        <v>2949300</v>
      </c>
      <c r="J88" s="151">
        <f>IF(分析!AB172&lt;&gt;"",分析!AB172,"")</f>
        <v>3192.1720977596738</v>
      </c>
      <c r="K88" s="151">
        <f>IF(分析!AC172&lt;&gt;"",分析!AC172,"")</f>
        <v>3378.8235995232399</v>
      </c>
      <c r="L88" s="151">
        <f>IF(分析!K172&lt;&gt;"",分析!K172,"")</f>
        <v>1353.5</v>
      </c>
      <c r="M88" s="146" t="str">
        <f>IF(分析!P172&lt;&gt;"",分析!P172,"")</f>
        <v>減少↓</v>
      </c>
      <c r="N88" s="152">
        <f>IF(分析!O172&lt;&gt;"",分析!O172,"")</f>
        <v>0.73795595233925004</v>
      </c>
      <c r="O88" s="153">
        <f>IF(分析!X172&lt;&gt;"",分析!X172,"")</f>
        <v>4.2701401852427807</v>
      </c>
      <c r="P88" s="154">
        <f>IF(分析!L172&lt;&gt;"",分析!L172,"")</f>
        <v>-12.07979312892501</v>
      </c>
      <c r="Q88" s="151">
        <f>IF(分析!S172&lt;&gt;"",分析!S172,"")</f>
        <v>1142</v>
      </c>
      <c r="R88" s="151">
        <f>IF(分析!R172&lt;&gt;"",分析!R172,"")</f>
        <v>1285</v>
      </c>
      <c r="S88" s="146" t="str">
        <f>IF(分析!AA172&lt;&gt;"",分析!AA172,"")</f>
        <v>上昇▲</v>
      </c>
      <c r="T88" s="155">
        <f>IF(分析!Z172&lt;&gt;"",分析!Z172,"")</f>
        <v>1.1045029736618521</v>
      </c>
      <c r="U88" s="146" t="str">
        <f>IF(分析!V172&lt;&gt;"",分析!V172,"")</f>
        <v>通常</v>
      </c>
      <c r="V88" s="156">
        <f>IF(分析!W172&lt;&gt;"",分析!W172,"")</f>
        <v>55.920114122681881</v>
      </c>
      <c r="W88" s="157" t="str">
        <f>IF(分析!AD172&lt;&gt;"",分析!AD172,"")</f>
        <v>下降トレンド▼</v>
      </c>
      <c r="X88" s="158" t="str">
        <f>IF(分析!AE172&lt;&gt;"",分析!AE172,"")</f>
        <v>なし</v>
      </c>
      <c r="Y88" s="159">
        <f>IF(分析!T172&lt;&gt;"",分析!T172,"")</f>
        <v>2</v>
      </c>
      <c r="Z88" s="160" t="str">
        <f>IF(分析!Y172&lt;&gt;"",分析!Y172,"")</f>
        <v>見送り</v>
      </c>
    </row>
    <row r="89" spans="1:26" ht="21.95" customHeight="1">
      <c r="A89" s="161">
        <f>IF(分析!C123&lt;&gt;"",ROW()-2,"")</f>
        <v>87</v>
      </c>
      <c r="B89" s="162" t="str">
        <f>IF(分析!C123&lt;&gt;"",HYPERLINK("https://kabutan.jp/stock/?code="&amp;分析!C123,"株探"),"")</f>
        <v>株探</v>
      </c>
      <c r="C89" s="163">
        <f>IF(分析!C123&lt;&gt;"",分析!C123,"")</f>
        <v>3861</v>
      </c>
      <c r="D89" s="164" t="str">
        <f>IF(分析!D123&lt;&gt;"",分析!D123,"")</f>
        <v>王子ホールディングス</v>
      </c>
      <c r="E89" s="165">
        <f>IF(分析!E123&lt;&gt;"",分析!E123,"")</f>
        <v>799.6</v>
      </c>
      <c r="F89" s="166">
        <f>IF(分析!F123&lt;&gt;"",分析!F123,"")</f>
        <v>800.6</v>
      </c>
      <c r="G89" s="166">
        <f>IF(分析!H123&lt;&gt;"",分析!H123,"")</f>
        <v>805.9</v>
      </c>
      <c r="H89" s="166">
        <f>IF(分析!I123&lt;&gt;"",分析!I123,"")</f>
        <v>796.8</v>
      </c>
      <c r="I89" s="166">
        <f>IF(分析!J123&lt;&gt;"",分析!J123,"")</f>
        <v>3088900</v>
      </c>
      <c r="J89" s="166">
        <f>IF(分析!AB123&lt;&gt;"",分析!AB123,"")</f>
        <v>2359.2209775967408</v>
      </c>
      <c r="K89" s="166">
        <f>IF(分析!AC123&lt;&gt;"",分析!AC123,"")</f>
        <v>2363.6817640047666</v>
      </c>
      <c r="L89" s="166">
        <f>IF(分析!K123&lt;&gt;"",分析!K123,"")</f>
        <v>990.7</v>
      </c>
      <c r="M89" s="161" t="str">
        <f>IF(分析!P123&lt;&gt;"",分析!P123,"")</f>
        <v>減少↓</v>
      </c>
      <c r="N89" s="167">
        <f>IF(分析!O123&lt;&gt;"",分析!O123,"")</f>
        <v>0.80458542582675197</v>
      </c>
      <c r="O89" s="168">
        <f>IF(分析!X123&lt;&gt;"",分析!X123,"")</f>
        <v>-1.9078922858315082</v>
      </c>
      <c r="P89" s="169">
        <f>IF(分析!L123&lt;&gt;"",分析!L123,"")</f>
        <v>-19.289391339456952</v>
      </c>
      <c r="Q89" s="166">
        <f>IF(分析!S123&lt;&gt;"",分析!S123,"")</f>
        <v>768</v>
      </c>
      <c r="R89" s="166">
        <f>IF(分析!R123&lt;&gt;"",分析!R123,"")</f>
        <v>864</v>
      </c>
      <c r="S89" s="161" t="str">
        <f>IF(分析!AA123&lt;&gt;"",分析!AA123,"")</f>
        <v>上昇▲</v>
      </c>
      <c r="T89" s="170">
        <f>IF(分析!Z123&lt;&gt;"",分析!Z123,"")</f>
        <v>0.71797455598942506</v>
      </c>
      <c r="U89" s="161" t="str">
        <f>IF(分析!V123&lt;&gt;"",分析!V123,"")</f>
        <v>通常</v>
      </c>
      <c r="V89" s="171">
        <f>IF(分析!W123&lt;&gt;"",分析!W123,"")</f>
        <v>60.659599528857463</v>
      </c>
      <c r="W89" s="172" t="str">
        <f>IF(分析!AD123&lt;&gt;"",分析!AD123,"")</f>
        <v>下降トレンド▼</v>
      </c>
      <c r="X89" s="173" t="str">
        <f>IF(分析!AE123&lt;&gt;"",分析!AE123,"")</f>
        <v>なし</v>
      </c>
      <c r="Y89" s="174">
        <f>IF(分析!T123&lt;&gt;"",分析!T123,"")</f>
        <v>-1</v>
      </c>
      <c r="Z89" s="160" t="str">
        <f>IF(分析!Y123&lt;&gt;"",分析!Y123,"")</f>
        <v>見送り</v>
      </c>
    </row>
    <row r="90" spans="1:26" ht="21.95" customHeight="1">
      <c r="A90" s="161">
        <f>IF(分析!C21&lt;&gt;"",ROW()-2,"")</f>
        <v>88</v>
      </c>
      <c r="B90" s="162" t="str">
        <f>IF(分析!C21&lt;&gt;"",HYPERLINK("https://kabutan.jp/stock/?code="&amp;分析!C21,"株探"),"")</f>
        <v>株探</v>
      </c>
      <c r="C90" s="163">
        <f>IF(分析!C21&lt;&gt;"",分析!C21,"")</f>
        <v>3863</v>
      </c>
      <c r="D90" s="164" t="str">
        <f>IF(分析!D21&lt;&gt;"",分析!D21,"")</f>
        <v>日本製紙</v>
      </c>
      <c r="E90" s="165">
        <f>IF(分析!E21&lt;&gt;"",分析!E21,"")</f>
        <v>1242</v>
      </c>
      <c r="F90" s="166">
        <f>IF(分析!F21&lt;&gt;"",分析!F21,"")</f>
        <v>1245</v>
      </c>
      <c r="G90" s="166">
        <f>IF(分析!H21&lt;&gt;"",分析!H21,"")</f>
        <v>1259</v>
      </c>
      <c r="H90" s="166">
        <f>IF(分析!I21&lt;&gt;"",分析!I21,"")</f>
        <v>1241</v>
      </c>
      <c r="I90" s="166">
        <f>IF(分析!J21&lt;&gt;"",分析!J21,"")</f>
        <v>606200</v>
      </c>
      <c r="J90" s="166">
        <f>IF(分析!AB21&lt;&gt;"",分析!AB21,"")</f>
        <v>4713.4175152749494</v>
      </c>
      <c r="K90" s="166">
        <f>IF(分析!AC21&lt;&gt;"",分析!AC21,"")</f>
        <v>4400.3635280095341</v>
      </c>
      <c r="L90" s="166">
        <f>IF(分析!K21&lt;&gt;"",分析!K21,"")</f>
        <v>1612</v>
      </c>
      <c r="M90" s="161" t="str">
        <f>IF(分析!P21&lt;&gt;"",分析!P21,"")</f>
        <v>減少↓</v>
      </c>
      <c r="N90" s="167">
        <f>IF(分析!O21&lt;&gt;"",分析!O21,"")</f>
        <v>0.78841951930080112</v>
      </c>
      <c r="O90" s="168">
        <f>IF(分析!X21&lt;&gt;"",分析!X21,"")</f>
        <v>-27.691916860041374</v>
      </c>
      <c r="P90" s="169">
        <f>IF(分析!L21&lt;&gt;"",分析!L21,"")</f>
        <v>-22.95285359801489</v>
      </c>
      <c r="Q90" s="166">
        <f>IF(分析!S21&lt;&gt;"",分析!S21,"")</f>
        <v>1192</v>
      </c>
      <c r="R90" s="166">
        <f>IF(分析!R21&lt;&gt;"",分析!R21,"")</f>
        <v>1341</v>
      </c>
      <c r="S90" s="161" t="str">
        <f>IF(分析!AA21&lt;&gt;"",分析!AA21,"")</f>
        <v>上昇▲</v>
      </c>
      <c r="T90" s="170">
        <f>IF(分析!Z21&lt;&gt;"",分析!Z21,"")</f>
        <v>0.89358245329000818</v>
      </c>
      <c r="U90" s="161" t="str">
        <f>IF(分析!V21&lt;&gt;"",分析!V21,"")</f>
        <v>通常</v>
      </c>
      <c r="V90" s="171">
        <f>IF(分析!W21&lt;&gt;"",分析!W21,"")</f>
        <v>30.630630630630634</v>
      </c>
      <c r="W90" s="172" t="str">
        <f>IF(分析!AD21&lt;&gt;"",分析!AD21,"")</f>
        <v>もみ合い→</v>
      </c>
      <c r="X90" s="173" t="str">
        <f>IF(分析!AE21&lt;&gt;"",分析!AE21,"")</f>
        <v>なし</v>
      </c>
      <c r="Y90" s="174">
        <f>IF(分析!T21&lt;&gt;"",分析!T21,"")</f>
        <v>1</v>
      </c>
      <c r="Z90" s="160" t="str">
        <f>IF(分析!Y21&lt;&gt;"",分析!Y21,"")</f>
        <v>見送り</v>
      </c>
    </row>
    <row r="91" spans="1:26" ht="21.95" customHeight="1">
      <c r="A91" s="161">
        <f>IF(分析!C177&lt;&gt;"",ROW()-2,"")</f>
        <v>89</v>
      </c>
      <c r="B91" s="162" t="str">
        <f>IF(分析!C177&lt;&gt;"",HYPERLINK("https://kabutan.jp/stock/?code="&amp;分析!C177,"株探"),"")</f>
        <v>株探</v>
      </c>
      <c r="C91" s="163">
        <f>IF(分析!C177&lt;&gt;"",分析!C177,"")</f>
        <v>4676</v>
      </c>
      <c r="D91" s="164" t="str">
        <f>IF(分析!D177&lt;&gt;"",分析!D177,"")</f>
        <v>フジ・メディア・ＨＤ</v>
      </c>
      <c r="E91" s="165">
        <f>IF(分析!E177&lt;&gt;"",分析!E177,"")</f>
        <v>4007</v>
      </c>
      <c r="F91" s="166">
        <f>IF(分析!F177&lt;&gt;"",分析!F177,"")</f>
        <v>4050</v>
      </c>
      <c r="G91" s="166">
        <f>IF(分析!H177&lt;&gt;"",分析!H177,"")</f>
        <v>4063</v>
      </c>
      <c r="H91" s="166">
        <f>IF(分析!I177&lt;&gt;"",分析!I177,"")</f>
        <v>3999</v>
      </c>
      <c r="I91" s="166">
        <f>IF(分析!J177&lt;&gt;"",分析!J177,"")</f>
        <v>435200</v>
      </c>
      <c r="J91" s="166">
        <f>IF(分析!AB177&lt;&gt;"",分析!AB177,"")</f>
        <v>2589.1537678207737</v>
      </c>
      <c r="K91" s="166">
        <f>IF(分析!AC177&lt;&gt;"",分析!AC177,"")</f>
        <v>2626.7377830750875</v>
      </c>
      <c r="L91" s="166">
        <f>IF(分析!K177&lt;&gt;"",分析!K177,"")</f>
        <v>4466</v>
      </c>
      <c r="M91" s="161" t="str">
        <f>IF(分析!P177&lt;&gt;"",分析!P177,"")</f>
        <v>減少↓</v>
      </c>
      <c r="N91" s="167">
        <f>IF(分析!O177&lt;&gt;"",分析!O177,"")</f>
        <v>0.86369770580296901</v>
      </c>
      <c r="O91" s="168">
        <f>IF(分析!X177&lt;&gt;"",分析!X177,"")</f>
        <v>37.634491460324625</v>
      </c>
      <c r="P91" s="169">
        <f>IF(分析!L177&lt;&gt;"",分析!L177,"")</f>
        <v>-10.277653381101656</v>
      </c>
      <c r="Q91" s="166">
        <f>IF(分析!S177&lt;&gt;"",分析!S177,"")</f>
        <v>3847</v>
      </c>
      <c r="R91" s="166">
        <f>IF(分析!R177&lt;&gt;"",分析!R177,"")</f>
        <v>4328</v>
      </c>
      <c r="S91" s="161" t="str">
        <f>IF(分析!AA177&lt;&gt;"",分析!AA177,"")</f>
        <v>下落▼</v>
      </c>
      <c r="T91" s="170">
        <f>IF(分析!Z177&lt;&gt;"",分析!Z177,"")</f>
        <v>-0.34817209649340958</v>
      </c>
      <c r="U91" s="161" t="str">
        <f>IF(分析!V177&lt;&gt;"",分析!V177,"")</f>
        <v>通常</v>
      </c>
      <c r="V91" s="171">
        <f>IF(分析!W177&lt;&gt;"",分析!W177,"")</f>
        <v>63.670411985018724</v>
      </c>
      <c r="W91" s="172" t="str">
        <f>IF(分析!AD177&lt;&gt;"",分析!AD177,"")</f>
        <v>上昇トレンド▲</v>
      </c>
      <c r="X91" s="173" t="str">
        <f>IF(分析!AE177&lt;&gt;"",分析!AE177,"")</f>
        <v>なし</v>
      </c>
      <c r="Y91" s="174">
        <f>IF(分析!T177&lt;&gt;"",分析!T177,"")</f>
        <v>4</v>
      </c>
      <c r="Z91" s="160" t="str">
        <f>IF(分析!Y177&lt;&gt;"",分析!Y177,"")</f>
        <v>様子見</v>
      </c>
    </row>
    <row r="92" spans="1:26" ht="21.95" customHeight="1">
      <c r="A92" s="146">
        <f>IF(分析!C140&lt;&gt;"",ROW()-2,"")</f>
        <v>90</v>
      </c>
      <c r="B92" s="147" t="str">
        <f>IF(分析!C140&lt;&gt;"",HYPERLINK("https://kabutan.jp/stock/?code="&amp;分析!C140,"株探"),"")</f>
        <v>株探</v>
      </c>
      <c r="C92" s="148">
        <f>IF(分析!C140&lt;&gt;"",分析!C140,"")</f>
        <v>5019</v>
      </c>
      <c r="D92" s="149" t="str">
        <f>IF(分析!D140&lt;&gt;"",分析!D140,"")</f>
        <v>出光興産</v>
      </c>
      <c r="E92" s="150">
        <f>IF(分析!E140&lt;&gt;"",分析!E140,"")</f>
        <v>1284.5</v>
      </c>
      <c r="F92" s="151">
        <f>IF(分析!F140&lt;&gt;"",分析!F140,"")</f>
        <v>1284.5</v>
      </c>
      <c r="G92" s="151">
        <f>IF(分析!H140&lt;&gt;"",分析!H140,"")</f>
        <v>1293</v>
      </c>
      <c r="H92" s="151">
        <f>IF(分析!I140&lt;&gt;"",分析!I140,"")</f>
        <v>1251</v>
      </c>
      <c r="I92" s="151">
        <f>IF(分析!J140&lt;&gt;"",分析!J140,"")</f>
        <v>4040400</v>
      </c>
      <c r="J92" s="151">
        <f>IF(分析!AB140&lt;&gt;"",分析!AB140,"")</f>
        <v>2535.3971486761702</v>
      </c>
      <c r="K92" s="151">
        <f>IF(分析!AC140&lt;&gt;"",分析!AC140,"")</f>
        <v>2563.9165673420721</v>
      </c>
      <c r="L92" s="151">
        <f>IF(分析!K140&lt;&gt;"",分析!K140,"")</f>
        <v>1671</v>
      </c>
      <c r="M92" s="146" t="str">
        <f>IF(分析!P140&lt;&gt;"",分析!P140,"")</f>
        <v>減少↓</v>
      </c>
      <c r="N92" s="152">
        <f>IF(分析!O140&lt;&gt;"",分析!O140,"")</f>
        <v>0.98736107445529453</v>
      </c>
      <c r="O92" s="153">
        <f>IF(分析!X140&lt;&gt;"",分析!X140,"")</f>
        <v>-3.862528309696927</v>
      </c>
      <c r="P92" s="154">
        <f>IF(分析!L140&lt;&gt;"",分析!L140,"")</f>
        <v>-23.129862357869538</v>
      </c>
      <c r="Q92" s="151">
        <f>IF(分析!S140&lt;&gt;"",分析!S140,"")</f>
        <v>1233</v>
      </c>
      <c r="R92" s="151">
        <f>IF(分析!R140&lt;&gt;"",分析!R140,"")</f>
        <v>1387</v>
      </c>
      <c r="S92" s="146" t="str">
        <f>IF(分析!AA140&lt;&gt;"",分析!AA140,"")</f>
        <v>下落▼</v>
      </c>
      <c r="T92" s="155">
        <f>IF(分析!Z140&lt;&gt;"",分析!Z140,"")</f>
        <v>-0.23300970873786409</v>
      </c>
      <c r="U92" s="146" t="str">
        <f>IF(分析!V140&lt;&gt;"",分析!V140,"")</f>
        <v>通常</v>
      </c>
      <c r="V92" s="156">
        <f>IF(分析!W140&lt;&gt;"",分析!W140,"")</f>
        <v>46.362339514978608</v>
      </c>
      <c r="W92" s="157" t="str">
        <f>IF(分析!AD140&lt;&gt;"",分析!AD140,"")</f>
        <v>下降トレンド▼</v>
      </c>
      <c r="X92" s="158" t="str">
        <f>IF(分析!AE140&lt;&gt;"",分析!AE140,"")</f>
        <v>なし</v>
      </c>
      <c r="Y92" s="159">
        <f>IF(分析!T140&lt;&gt;"",分析!T140,"")</f>
        <v>-1</v>
      </c>
      <c r="Z92" s="160" t="str">
        <f>IF(分析!Y140&lt;&gt;"",分析!Y140,"")</f>
        <v>見送り</v>
      </c>
    </row>
    <row r="93" spans="1:26" ht="21.95" customHeight="1">
      <c r="A93" s="161">
        <f>IF(分析!C141&lt;&gt;"",ROW()-2,"")</f>
        <v>91</v>
      </c>
      <c r="B93" s="162" t="str">
        <f>IF(分析!C141&lt;&gt;"",HYPERLINK("https://kabutan.jp/stock/?code="&amp;分析!C141,"株探"),"")</f>
        <v>株探</v>
      </c>
      <c r="C93" s="163">
        <f>IF(分析!C141&lt;&gt;"",分析!C141,"")</f>
        <v>5020</v>
      </c>
      <c r="D93" s="164" t="str">
        <f>IF(分析!D141&lt;&gt;"",分析!D141,"")</f>
        <v>ＥＮＥＯＳホールディングス</v>
      </c>
      <c r="E93" s="165">
        <f>IF(分析!E141&lt;&gt;"",分析!E141,"")</f>
        <v>1246.5</v>
      </c>
      <c r="F93" s="166">
        <f>IF(分析!F141&lt;&gt;"",分析!F141,"")</f>
        <v>1240</v>
      </c>
      <c r="G93" s="166">
        <f>IF(分析!H141&lt;&gt;"",分析!H141,"")</f>
        <v>1259</v>
      </c>
      <c r="H93" s="166">
        <f>IF(分析!I141&lt;&gt;"",分析!I141,"")</f>
        <v>1228.5</v>
      </c>
      <c r="I93" s="166">
        <f>IF(分析!J141&lt;&gt;"",分析!J141,"")</f>
        <v>6788300</v>
      </c>
      <c r="J93" s="166">
        <f>IF(分析!AB141&lt;&gt;"",分析!AB141,"")</f>
        <v>731.79938900203649</v>
      </c>
      <c r="K93" s="166">
        <f>IF(分析!AC141&lt;&gt;"",分析!AC141,"")</f>
        <v>816.61501787842644</v>
      </c>
      <c r="L93" s="166">
        <f>IF(分析!K141&lt;&gt;"",分析!K141,"")</f>
        <v>1552.5</v>
      </c>
      <c r="M93" s="161" t="str">
        <f>IF(分析!P141&lt;&gt;"",分析!P141,"")</f>
        <v>減少↓</v>
      </c>
      <c r="N93" s="167">
        <f>IF(分析!O141&lt;&gt;"",分析!O141,"")</f>
        <v>0.7905948066226276</v>
      </c>
      <c r="O93" s="168">
        <f>IF(分析!X141&lt;&gt;"",分析!X141,"")</f>
        <v>-10.834497231719524</v>
      </c>
      <c r="P93" s="169">
        <f>IF(分析!L141&lt;&gt;"",分析!L141,"")</f>
        <v>-19.710144927536234</v>
      </c>
      <c r="Q93" s="166">
        <f>IF(分析!S141&lt;&gt;"",分析!S141,"")</f>
        <v>1197</v>
      </c>
      <c r="R93" s="166">
        <f>IF(分析!R141&lt;&gt;"",分析!R141,"")</f>
        <v>1346</v>
      </c>
      <c r="S93" s="161" t="str">
        <f>IF(分析!AA141&lt;&gt;"",分析!AA141,"")</f>
        <v>上昇▲</v>
      </c>
      <c r="T93" s="170">
        <f>IF(分析!Z141&lt;&gt;"",分析!Z141,"")</f>
        <v>0.44319097502014509</v>
      </c>
      <c r="U93" s="161" t="str">
        <f>IF(分析!V141&lt;&gt;"",分析!V141,"")</f>
        <v>通常</v>
      </c>
      <c r="V93" s="171">
        <f>IF(分析!W141&lt;&gt;"",分析!W141,"")</f>
        <v>41.32379248658318</v>
      </c>
      <c r="W93" s="172" t="str">
        <f>IF(分析!AD141&lt;&gt;"",分析!AD141,"")</f>
        <v>上昇トレンド▲</v>
      </c>
      <c r="X93" s="173" t="str">
        <f>IF(分析!AE141&lt;&gt;"",分析!AE141,"")</f>
        <v>なし</v>
      </c>
      <c r="Y93" s="174">
        <f>IF(分析!T141&lt;&gt;"",分析!T141,"")</f>
        <v>2</v>
      </c>
      <c r="Z93" s="160" t="str">
        <f>IF(分析!Y141&lt;&gt;"",分析!Y141,"")</f>
        <v>見送り</v>
      </c>
    </row>
    <row r="94" spans="1:26" ht="21.95" customHeight="1">
      <c r="A94" s="161">
        <f>IF(分析!C7&lt;&gt;"",ROW()-2,"")</f>
        <v>92</v>
      </c>
      <c r="B94" s="162" t="str">
        <f>IF(分析!C7&lt;&gt;"",HYPERLINK("https://kabutan.jp/stock/?code="&amp;分析!C7,"株探"),"")</f>
        <v>株探</v>
      </c>
      <c r="C94" s="163">
        <f>IF(分析!C7&lt;&gt;"",分析!C7,"")</f>
        <v>5411</v>
      </c>
      <c r="D94" s="164" t="str">
        <f>IF(分析!D7&lt;&gt;"",分析!D7,"")</f>
        <v>ＪＦＥホールディングス</v>
      </c>
      <c r="E94" s="165">
        <f>IF(分析!E7&lt;&gt;"",分析!E7,"")</f>
        <v>1637</v>
      </c>
      <c r="F94" s="166">
        <f>IF(分析!F7&lt;&gt;"",分析!F7,"")</f>
        <v>1652</v>
      </c>
      <c r="G94" s="166">
        <f>IF(分析!H7&lt;&gt;"",分析!H7,"")</f>
        <v>1653</v>
      </c>
      <c r="H94" s="166">
        <f>IF(分析!I7&lt;&gt;"",分析!I7,"")</f>
        <v>1630.5</v>
      </c>
      <c r="I94" s="166">
        <f>IF(分析!J7&lt;&gt;"",分析!J7,"")</f>
        <v>2749000</v>
      </c>
      <c r="J94" s="166">
        <f>IF(分析!AB7&lt;&gt;"",分析!AB7,"")</f>
        <v>4772.3920570264754</v>
      </c>
      <c r="K94" s="166">
        <f>IF(分析!AC7&lt;&gt;"",分析!AC7,"")</f>
        <v>4926.9082240762791</v>
      </c>
      <c r="L94" s="166">
        <f>IF(分析!K7&lt;&gt;"",分析!K7,"")</f>
        <v>2359</v>
      </c>
      <c r="M94" s="161" t="str">
        <f>IF(分析!P7&lt;&gt;"",分析!P7,"")</f>
        <v>減少↓</v>
      </c>
      <c r="N94" s="167">
        <f>IF(分析!O7&lt;&gt;"",分析!O7,"")</f>
        <v>0.56192637108808074</v>
      </c>
      <c r="O94" s="168">
        <f>IF(分析!X7&lt;&gt;"",分析!X7,"")</f>
        <v>-8.0933414000210178</v>
      </c>
      <c r="P94" s="169">
        <f>IF(分析!L7&lt;&gt;"",分析!L7,"")</f>
        <v>-30.606189063162358</v>
      </c>
      <c r="Q94" s="166">
        <f>IF(分析!S7&lt;&gt;"",分析!S7,"")</f>
        <v>1572</v>
      </c>
      <c r="R94" s="166">
        <f>IF(分析!R7&lt;&gt;"",分析!R7,"")</f>
        <v>1768</v>
      </c>
      <c r="S94" s="161" t="str">
        <f>IF(分析!AA7&lt;&gt;"",分析!AA7,"")</f>
        <v>下落▼</v>
      </c>
      <c r="T94" s="170">
        <f>IF(分析!Z7&lt;&gt;"",分析!Z7,"")</f>
        <v>-0.60716454159077105</v>
      </c>
      <c r="U94" s="161" t="str">
        <f>IF(分析!V7&lt;&gt;"",分析!V7,"")</f>
        <v>通常</v>
      </c>
      <c r="V94" s="171">
        <f>IF(分析!W7&lt;&gt;"",分析!W7,"")</f>
        <v>52.689873417721515</v>
      </c>
      <c r="W94" s="172" t="str">
        <f>IF(分析!AD7&lt;&gt;"",分析!AD7,"")</f>
        <v>下降トレンド▼</v>
      </c>
      <c r="X94" s="173" t="str">
        <f>IF(分析!AE7&lt;&gt;"",分析!AE7,"")</f>
        <v>なし</v>
      </c>
      <c r="Y94" s="174">
        <f>IF(分析!T7&lt;&gt;"",分析!T7,"")</f>
        <v>-1</v>
      </c>
      <c r="Z94" s="160" t="str">
        <f>IF(分析!Y7&lt;&gt;"",分析!Y7,"")</f>
        <v>見送り</v>
      </c>
    </row>
    <row r="95" spans="1:26" ht="21.95" customHeight="1">
      <c r="A95" s="161">
        <f>IF(分析!C165&lt;&gt;"",ROW()-2,"")</f>
        <v>93</v>
      </c>
      <c r="B95" s="162" t="str">
        <f>IF(分析!C165&lt;&gt;"",HYPERLINK("https://kabutan.jp/stock/?code="&amp;分析!C165,"株探"),"")</f>
        <v>株探</v>
      </c>
      <c r="C95" s="163">
        <f>IF(分析!C165&lt;&gt;"",分析!C165,"")</f>
        <v>5423</v>
      </c>
      <c r="D95" s="164" t="str">
        <f>IF(分析!D165&lt;&gt;"",分析!D165,"")</f>
        <v>東京製鐵</v>
      </c>
      <c r="E95" s="165">
        <f>IF(分析!E165&lt;&gt;"",分析!E165,"")</f>
        <v>1771</v>
      </c>
      <c r="F95" s="166">
        <f>IF(分析!F165&lt;&gt;"",分析!F165,"")</f>
        <v>1755</v>
      </c>
      <c r="G95" s="166">
        <f>IF(分析!H165&lt;&gt;"",分析!H165,"")</f>
        <v>1788</v>
      </c>
      <c r="H95" s="166">
        <f>IF(分析!I165&lt;&gt;"",分析!I165,"")</f>
        <v>1749</v>
      </c>
      <c r="I95" s="166">
        <f>IF(分析!J165&lt;&gt;"",分析!J165,"")</f>
        <v>385700</v>
      </c>
      <c r="J95" s="166">
        <f>IF(分析!AB165&lt;&gt;"",分析!AB165,"")</f>
        <v>3288.6048879837053</v>
      </c>
      <c r="K95" s="166">
        <f>IF(分析!AC165&lt;&gt;"",分析!AC165,"")</f>
        <v>3284.350417163289</v>
      </c>
      <c r="L95" s="166">
        <f>IF(分析!K165&lt;&gt;"",分析!K165,"")</f>
        <v>1973</v>
      </c>
      <c r="M95" s="161" t="str">
        <f>IF(分析!P165&lt;&gt;"",分析!P165,"")</f>
        <v>普通→</v>
      </c>
      <c r="N95" s="167">
        <f>IF(分析!O165&lt;&gt;"",分析!O165,"")</f>
        <v>1.1025670344748728</v>
      </c>
      <c r="O95" s="168">
        <f>IF(分析!X165&lt;&gt;"",分析!X165,"")</f>
        <v>-1.2460545536316658</v>
      </c>
      <c r="P95" s="169">
        <f>IF(分析!L165&lt;&gt;"",分析!L165,"")</f>
        <v>-10.238215914850482</v>
      </c>
      <c r="Q95" s="166">
        <f>IF(分析!S165&lt;&gt;"",分析!S165,"")</f>
        <v>1700</v>
      </c>
      <c r="R95" s="166">
        <f>IF(分析!R165&lt;&gt;"",分析!R165,"")</f>
        <v>1913</v>
      </c>
      <c r="S95" s="161" t="str">
        <f>IF(分析!AA165&lt;&gt;"",分析!AA165,"")</f>
        <v>上昇▲</v>
      </c>
      <c r="T95" s="170">
        <f>IF(分析!Z165&lt;&gt;"",分析!Z165,"")</f>
        <v>1.6647531572904706</v>
      </c>
      <c r="U95" s="161" t="str">
        <f>IF(分析!V165&lt;&gt;"",分析!V165,"")</f>
        <v>通常</v>
      </c>
      <c r="V95" s="171">
        <f>IF(分析!W165&lt;&gt;"",分析!W165,"")</f>
        <v>53.744493392070488</v>
      </c>
      <c r="W95" s="172" t="str">
        <f>IF(分析!AD165&lt;&gt;"",分析!AD165,"")</f>
        <v>もみ合い→</v>
      </c>
      <c r="X95" s="173" t="str">
        <f>IF(分析!AE165&lt;&gt;"",分析!AE165,"")</f>
        <v>なし</v>
      </c>
      <c r="Y95" s="174">
        <f>IF(分析!T165&lt;&gt;"",分析!T165,"")</f>
        <v>4</v>
      </c>
      <c r="Z95" s="160" t="str">
        <f>IF(分析!Y165&lt;&gt;"",分析!Y165,"")</f>
        <v>様子見</v>
      </c>
    </row>
    <row r="96" spans="1:26" ht="21.95" customHeight="1">
      <c r="A96" s="161">
        <f>IF(分析!C87&lt;&gt;"",ROW()-2,"")</f>
        <v>94</v>
      </c>
      <c r="B96" s="162" t="str">
        <f>IF(分析!C87&lt;&gt;"",HYPERLINK("https://kabutan.jp/stock/?code="&amp;分析!C87,"株探"),"")</f>
        <v>株探</v>
      </c>
      <c r="C96" s="163">
        <f>IF(分析!C87&lt;&gt;"",分析!C87,"")</f>
        <v>5711</v>
      </c>
      <c r="D96" s="164" t="str">
        <f>IF(分析!D87&lt;&gt;"",分析!D87,"")</f>
        <v>三菱マテリアル</v>
      </c>
      <c r="E96" s="165">
        <f>IF(分析!E87&lt;&gt;"",分析!E87,"")</f>
        <v>4882</v>
      </c>
      <c r="F96" s="166">
        <f>IF(分析!F87&lt;&gt;"",分析!F87,"")</f>
        <v>4870</v>
      </c>
      <c r="G96" s="166">
        <f>IF(分析!H87&lt;&gt;"",分析!H87,"")</f>
        <v>4965</v>
      </c>
      <c r="H96" s="166">
        <f>IF(分析!I87&lt;&gt;"",分析!I87,"")</f>
        <v>4842</v>
      </c>
      <c r="I96" s="166">
        <f>IF(分析!J87&lt;&gt;"",分析!J87,"")</f>
        <v>659400</v>
      </c>
      <c r="J96" s="166">
        <f>IF(分析!AB87&lt;&gt;"",分析!AB87,"")</f>
        <v>2127.6272912423619</v>
      </c>
      <c r="K96" s="166">
        <f>IF(分析!AC87&lt;&gt;"",分析!AC87,"")</f>
        <v>2213.3575685339674</v>
      </c>
      <c r="L96" s="166">
        <f>IF(分析!K87&lt;&gt;"",分析!K87,"")</f>
        <v>6126</v>
      </c>
      <c r="M96" s="161" t="str">
        <f>IF(分析!P87&lt;&gt;"",分析!P87,"")</f>
        <v>減少↓</v>
      </c>
      <c r="N96" s="167">
        <f>IF(分析!O87&lt;&gt;"",分析!O87,"")</f>
        <v>0.71594536492150007</v>
      </c>
      <c r="O96" s="168">
        <f>IF(分析!X87&lt;&gt;"",分析!X87,"")</f>
        <v>-66.449116180208875</v>
      </c>
      <c r="P96" s="169">
        <f>IF(分析!L87&lt;&gt;"",分析!L87,"")</f>
        <v>-20.306888671237349</v>
      </c>
      <c r="Q96" s="166">
        <f>IF(分析!S87&lt;&gt;"",分析!S87,"")</f>
        <v>4687</v>
      </c>
      <c r="R96" s="166">
        <f>IF(分析!R87&lt;&gt;"",分析!R87,"")</f>
        <v>5273</v>
      </c>
      <c r="S96" s="161" t="str">
        <f>IF(分析!AA87&lt;&gt;"",分析!AA87,"")</f>
        <v>下落▼</v>
      </c>
      <c r="T96" s="170">
        <f>IF(分析!Z87&lt;&gt;"",分析!Z87,"")</f>
        <v>-0.32666394446712943</v>
      </c>
      <c r="U96" s="161" t="str">
        <f>IF(分析!V87&lt;&gt;"",分析!V87,"")</f>
        <v>通常</v>
      </c>
      <c r="V96" s="171">
        <f>IF(分析!W87&lt;&gt;"",分析!W87,"")</f>
        <v>39.001848428835487</v>
      </c>
      <c r="W96" s="172" t="str">
        <f>IF(分析!AD87&lt;&gt;"",分析!AD87,"")</f>
        <v>上昇トレンド▲</v>
      </c>
      <c r="X96" s="173" t="str">
        <f>IF(分析!AE87&lt;&gt;"",分析!AE87,"")</f>
        <v>なし</v>
      </c>
      <c r="Y96" s="174">
        <f>IF(分析!T87&lt;&gt;"",分析!T87,"")</f>
        <v>2</v>
      </c>
      <c r="Z96" s="160" t="str">
        <f>IF(分析!Y87&lt;&gt;"",分析!Y87,"")</f>
        <v>見送り</v>
      </c>
    </row>
    <row r="97" spans="1:26" ht="21.95" customHeight="1">
      <c r="A97" s="146">
        <f>IF(分析!C46&lt;&gt;"",ROW()-2,"")</f>
        <v>95</v>
      </c>
      <c r="B97" s="147" t="str">
        <f>IF(分析!C46&lt;&gt;"",HYPERLINK("https://kabutan.jp/stock/?code="&amp;分析!C46,"株探"),"")</f>
        <v>株探</v>
      </c>
      <c r="C97" s="148">
        <f>IF(分析!C46&lt;&gt;"",分析!C46,"")</f>
        <v>5713</v>
      </c>
      <c r="D97" s="149" t="str">
        <f>IF(分析!D46&lt;&gt;"",分析!D46,"")</f>
        <v>住友鉱山</v>
      </c>
      <c r="E97" s="150">
        <f>IF(分析!E46&lt;&gt;"",分析!E46,"")</f>
        <v>9155</v>
      </c>
      <c r="F97" s="151">
        <f>IF(分析!F46&lt;&gt;"",分析!F46,"")</f>
        <v>8899</v>
      </c>
      <c r="G97" s="151">
        <f>IF(分析!H46&lt;&gt;"",分析!H46,"")</f>
        <v>9255</v>
      </c>
      <c r="H97" s="151">
        <f>IF(分析!I46&lt;&gt;"",分析!I46,"")</f>
        <v>8779</v>
      </c>
      <c r="I97" s="151">
        <f>IF(分析!J46&lt;&gt;"",分析!J46,"")</f>
        <v>2551700</v>
      </c>
      <c r="J97" s="151">
        <f>IF(分析!AB46&lt;&gt;"",分析!AB46,"")</f>
        <v>1397.8828920570261</v>
      </c>
      <c r="K97" s="151">
        <f>IF(分析!AC46&lt;&gt;"",分析!AC46,"")</f>
        <v>1391.4791418355182</v>
      </c>
      <c r="L97" s="151">
        <f>IF(分析!K46&lt;&gt;"",分析!K46,"")</f>
        <v>13300</v>
      </c>
      <c r="M97" s="146" t="str">
        <f>IF(分析!P46&lt;&gt;"",分析!P46,"")</f>
        <v>減少↓</v>
      </c>
      <c r="N97" s="152">
        <f>IF(分析!O46&lt;&gt;"",分析!O46,"")</f>
        <v>0.71900342073971379</v>
      </c>
      <c r="O97" s="153">
        <f>IF(分析!X46&lt;&gt;"",分析!X46,"")</f>
        <v>-157.70382981941657</v>
      </c>
      <c r="P97" s="154">
        <f>IF(分析!L46&lt;&gt;"",分析!L46,"")</f>
        <v>-31.165413533834585</v>
      </c>
      <c r="Q97" s="151">
        <f>IF(分析!S46&lt;&gt;"",分析!S46,"")</f>
        <v>8789</v>
      </c>
      <c r="R97" s="151">
        <f>IF(分析!R46&lt;&gt;"",分析!R46,"")</f>
        <v>9887</v>
      </c>
      <c r="S97" s="146" t="str">
        <f>IF(分析!AA46&lt;&gt;"",分析!AA46,"")</f>
        <v>上昇▲</v>
      </c>
      <c r="T97" s="155">
        <f>IF(分析!Z46&lt;&gt;"",分析!Z46,"")</f>
        <v>3.2945955094211894</v>
      </c>
      <c r="U97" s="146" t="str">
        <f>IF(分析!V46&lt;&gt;"",分析!V46,"")</f>
        <v>通常</v>
      </c>
      <c r="V97" s="156">
        <f>IF(分析!W46&lt;&gt;"",分析!W46,"")</f>
        <v>38.842581567039772</v>
      </c>
      <c r="W97" s="157" t="str">
        <f>IF(分析!AD46&lt;&gt;"",分析!AD46,"")</f>
        <v>パーフェクト▲</v>
      </c>
      <c r="X97" s="158" t="str">
        <f>IF(分析!AE46&lt;&gt;"",分析!AE46,"")</f>
        <v>なし</v>
      </c>
      <c r="Y97" s="159">
        <f>IF(分析!T46&lt;&gt;"",分析!T46,"")</f>
        <v>4</v>
      </c>
      <c r="Z97" s="160" t="str">
        <f>IF(分析!Y46&lt;&gt;"",分析!Y46,"")</f>
        <v>様子見</v>
      </c>
    </row>
    <row r="98" spans="1:26" ht="21.95" customHeight="1">
      <c r="A98" s="161">
        <f>IF(分析!C69&lt;&gt;"",ROW()-2,"")</f>
        <v>96</v>
      </c>
      <c r="B98" s="162" t="str">
        <f>IF(分析!C69&lt;&gt;"",HYPERLINK("https://kabutan.jp/stock/?code="&amp;分析!C69,"株探"),"")</f>
        <v>株探</v>
      </c>
      <c r="C98" s="163">
        <f>IF(分析!C69&lt;&gt;"",分析!C69,"")</f>
        <v>5929</v>
      </c>
      <c r="D98" s="164" t="str">
        <f>IF(分析!D69&lt;&gt;"",分析!D69,"")</f>
        <v>三和ホールディングス</v>
      </c>
      <c r="E98" s="165">
        <f>IF(分析!E69&lt;&gt;"",分析!E69,"")</f>
        <v>3713</v>
      </c>
      <c r="F98" s="166">
        <f>IF(分析!F69&lt;&gt;"",分析!F69,"")</f>
        <v>3750</v>
      </c>
      <c r="G98" s="166">
        <f>IF(分析!H69&lt;&gt;"",分析!H69,"")</f>
        <v>3779</v>
      </c>
      <c r="H98" s="166">
        <f>IF(分析!I69&lt;&gt;"",分析!I69,"")</f>
        <v>3698</v>
      </c>
      <c r="I98" s="166">
        <f>IF(分析!J69&lt;&gt;"",分析!J69,"")</f>
        <v>424400</v>
      </c>
      <c r="J98" s="166">
        <f>IF(分析!AB69&lt;&gt;"",分析!AB69,"")</f>
        <v>2258.4246435845207</v>
      </c>
      <c r="K98" s="166">
        <f>IF(分析!AC69&lt;&gt;"",分析!AC69,"")</f>
        <v>2407.5220500595942</v>
      </c>
      <c r="L98" s="166">
        <f>IF(分析!K69&lt;&gt;"",分析!K69,"")</f>
        <v>4284</v>
      </c>
      <c r="M98" s="161" t="str">
        <f>IF(分析!P69&lt;&gt;"",分析!P69,"")</f>
        <v>減少↓</v>
      </c>
      <c r="N98" s="167">
        <f>IF(分析!O69&lt;&gt;"",分析!O69,"")</f>
        <v>0.65688459633481922</v>
      </c>
      <c r="O98" s="168">
        <f>IF(分析!X69&lt;&gt;"",分析!X69,"")</f>
        <v>34.800249961194368</v>
      </c>
      <c r="P98" s="169">
        <f>IF(分析!L69&lt;&gt;"",分析!L69,"")</f>
        <v>-13.328664799253035</v>
      </c>
      <c r="Q98" s="166">
        <f>IF(分析!S69&lt;&gt;"",分析!S69,"")</f>
        <v>3564</v>
      </c>
      <c r="R98" s="166">
        <f>IF(分析!R69&lt;&gt;"",分析!R69,"")</f>
        <v>4010</v>
      </c>
      <c r="S98" s="161" t="str">
        <f>IF(分析!AA69&lt;&gt;"",分析!AA69,"")</f>
        <v>上昇▲</v>
      </c>
      <c r="T98" s="170">
        <f>IF(分析!Z69&lt;&gt;"",分析!Z69,"")</f>
        <v>0.29713668287412209</v>
      </c>
      <c r="U98" s="161" t="str">
        <f>IF(分析!V69&lt;&gt;"",分析!V69,"")</f>
        <v>通常</v>
      </c>
      <c r="V98" s="171">
        <f>IF(分析!W69&lt;&gt;"",分析!W69,"")</f>
        <v>67.032967032967036</v>
      </c>
      <c r="W98" s="172" t="str">
        <f>IF(分析!AD69&lt;&gt;"",分析!AD69,"")</f>
        <v>上昇トレンド▲</v>
      </c>
      <c r="X98" s="173" t="str">
        <f>IF(分析!AE69&lt;&gt;"",分析!AE69,"")</f>
        <v>なし</v>
      </c>
      <c r="Y98" s="174">
        <f>IF(分析!T69&lt;&gt;"",分析!T69,"")</f>
        <v>3</v>
      </c>
      <c r="Z98" s="160" t="str">
        <f>IF(分析!Y69&lt;&gt;"",分析!Y69,"")</f>
        <v>様子見</v>
      </c>
    </row>
    <row r="99" spans="1:26" ht="21.95" customHeight="1">
      <c r="A99" s="146">
        <f>IF(分析!C96&lt;&gt;"",ROW()-2,"")</f>
        <v>97</v>
      </c>
      <c r="B99" s="147" t="str">
        <f>IF(分析!C96&lt;&gt;"",HYPERLINK("https://kabutan.jp/stock/?code="&amp;分析!C96,"株探"),"")</f>
        <v>株探</v>
      </c>
      <c r="C99" s="148">
        <f>IF(分析!C96&lt;&gt;"",分析!C96,"")</f>
        <v>5947</v>
      </c>
      <c r="D99" s="149" t="str">
        <f>IF(分析!D96&lt;&gt;"",分析!D96,"")</f>
        <v>リンナイ</v>
      </c>
      <c r="E99" s="150">
        <f>IF(分析!E96&lt;&gt;"",分析!E96,"")</f>
        <v>3465</v>
      </c>
      <c r="F99" s="151">
        <f>IF(分析!F96&lt;&gt;"",分析!F96,"")</f>
        <v>3428</v>
      </c>
      <c r="G99" s="151">
        <f>IF(分析!H96&lt;&gt;"",分析!H96,"")</f>
        <v>3465</v>
      </c>
      <c r="H99" s="151">
        <f>IF(分析!I96&lt;&gt;"",分析!I96,"")</f>
        <v>3428</v>
      </c>
      <c r="I99" s="151">
        <f>IF(分析!J96&lt;&gt;"",分析!J96,"")</f>
        <v>423300</v>
      </c>
      <c r="J99" s="151">
        <f>IF(分析!AB96&lt;&gt;"",分析!AB96,"")</f>
        <v>1095.4511201629327</v>
      </c>
      <c r="K99" s="151">
        <f>IF(分析!AC96&lt;&gt;"",分析!AC96,"")</f>
        <v>1070.4723480333728</v>
      </c>
      <c r="L99" s="151">
        <f>IF(分析!K96&lt;&gt;"",分析!K96,"")</f>
        <v>4456</v>
      </c>
      <c r="M99" s="146" t="str">
        <f>IF(分析!P96&lt;&gt;"",分析!P96,"")</f>
        <v>減少↓</v>
      </c>
      <c r="N99" s="152">
        <f>IF(分析!O96&lt;&gt;"",分析!O96,"")</f>
        <v>0.99891447989427973</v>
      </c>
      <c r="O99" s="153">
        <f>IF(分析!X96&lt;&gt;"",分析!X96,"")</f>
        <v>-4.6373771588005184</v>
      </c>
      <c r="P99" s="154">
        <f>IF(分析!L96&lt;&gt;"",分析!L96,"")</f>
        <v>-22.239676840215438</v>
      </c>
      <c r="Q99" s="151">
        <f>IF(分析!S96&lt;&gt;"",分析!S96,"")</f>
        <v>3326</v>
      </c>
      <c r="R99" s="151">
        <f>IF(分析!R96&lt;&gt;"",分析!R96,"")</f>
        <v>3742</v>
      </c>
      <c r="S99" s="146" t="str">
        <f>IF(分析!AA96&lt;&gt;"",分析!AA96,"")</f>
        <v>上昇▲</v>
      </c>
      <c r="T99" s="155">
        <f>IF(分析!Z96&lt;&gt;"",分析!Z96,"")</f>
        <v>1.2861736334405145</v>
      </c>
      <c r="U99" s="146" t="str">
        <f>IF(分析!V96&lt;&gt;"",分析!V96,"")</f>
        <v>通常</v>
      </c>
      <c r="V99" s="156">
        <f>IF(分析!W96&lt;&gt;"",分析!W96,"")</f>
        <v>41.650294695481328</v>
      </c>
      <c r="W99" s="157" t="str">
        <f>IF(分析!AD96&lt;&gt;"",分析!AD96,"")</f>
        <v>パーフェクト▲</v>
      </c>
      <c r="X99" s="158" t="str">
        <f>IF(分析!AE96&lt;&gt;"",分析!AE96,"")</f>
        <v>なし</v>
      </c>
      <c r="Y99" s="159">
        <f>IF(分析!T96&lt;&gt;"",分析!T96,"")</f>
        <v>6</v>
      </c>
      <c r="Z99" s="160" t="str">
        <f>IF(分析!Y96&lt;&gt;"",分析!Y96,"")</f>
        <v>△注目</v>
      </c>
    </row>
    <row r="100" spans="1:26" ht="21.95" customHeight="1">
      <c r="A100" s="146">
        <f>IF(分析!C98&lt;&gt;"",ROW()-2,"")</f>
        <v>98</v>
      </c>
      <c r="B100" s="147" t="str">
        <f>IF(分析!C98&lt;&gt;"",HYPERLINK("https://kabutan.jp/stock/?code="&amp;分析!C98,"株探"),"")</f>
        <v>株探</v>
      </c>
      <c r="C100" s="148">
        <f>IF(分析!C98&lt;&gt;"",分析!C98,"")</f>
        <v>6027</v>
      </c>
      <c r="D100" s="149" t="str">
        <f>IF(分析!D98&lt;&gt;"",分析!D98,"")</f>
        <v>弁護士ドットコム</v>
      </c>
      <c r="E100" s="150">
        <f>IF(分析!E98&lt;&gt;"",分析!E98,"")</f>
        <v>2134</v>
      </c>
      <c r="F100" s="151">
        <f>IF(分析!F98&lt;&gt;"",分析!F98,"")</f>
        <v>2110</v>
      </c>
      <c r="G100" s="151">
        <f>IF(分析!H98&lt;&gt;"",分析!H98,"")</f>
        <v>2174</v>
      </c>
      <c r="H100" s="151">
        <f>IF(分析!I98&lt;&gt;"",分析!I98,"")</f>
        <v>2097</v>
      </c>
      <c r="I100" s="151">
        <f>IF(分析!J98&lt;&gt;"",分析!J98,"")</f>
        <v>110400</v>
      </c>
      <c r="J100" s="151">
        <f>IF(分析!AB98&lt;&gt;"",分析!AB98,"")</f>
        <v>2239.7983706720979</v>
      </c>
      <c r="K100" s="151">
        <f>IF(分析!AC98&lt;&gt;"",分析!AC98,"")</f>
        <v>2298.6323003575676</v>
      </c>
      <c r="L100" s="151">
        <f>IF(分析!K98&lt;&gt;"",分析!K98,"")</f>
        <v>3490</v>
      </c>
      <c r="M100" s="146" t="str">
        <f>IF(分析!P98&lt;&gt;"",分析!P98,"")</f>
        <v>普通→</v>
      </c>
      <c r="N100" s="152">
        <f>IF(分析!O98&lt;&gt;"",分析!O98,"")</f>
        <v>1.0926365795724466</v>
      </c>
      <c r="O100" s="153">
        <f>IF(分析!X98&lt;&gt;"",分析!X98,"")</f>
        <v>-68.028114663726228</v>
      </c>
      <c r="P100" s="154">
        <f>IF(分析!L98&lt;&gt;"",分析!L98,"")</f>
        <v>-38.853868194842406</v>
      </c>
      <c r="Q100" s="151">
        <f>IF(分析!S98&lt;&gt;"",分析!S98,"")</f>
        <v>2049</v>
      </c>
      <c r="R100" s="151">
        <f>IF(分析!R98&lt;&gt;"",分析!R98,"")</f>
        <v>2305</v>
      </c>
      <c r="S100" s="146" t="str">
        <f>IF(分析!AA98&lt;&gt;"",分析!AA98,"")</f>
        <v>上昇▲</v>
      </c>
      <c r="T100" s="155">
        <f>IF(分析!Z98&lt;&gt;"",分析!Z98,"")</f>
        <v>1.3776722090261282</v>
      </c>
      <c r="U100" s="146" t="str">
        <f>IF(分析!V98&lt;&gt;"",分析!V98,"")</f>
        <v>通常</v>
      </c>
      <c r="V100" s="156">
        <f>IF(分析!W98&lt;&gt;"",分析!W98,"")</f>
        <v>10.732538330494023</v>
      </c>
      <c r="W100" s="157" t="str">
        <f>IF(分析!AD98&lt;&gt;"",分析!AD98,"")</f>
        <v>下降トレンド▼</v>
      </c>
      <c r="X100" s="158" t="str">
        <f>IF(分析!AE98&lt;&gt;"",分析!AE98,"")</f>
        <v>なし</v>
      </c>
      <c r="Y100" s="159">
        <f>IF(分析!T98&lt;&gt;"",分析!T98,"")</f>
        <v>3</v>
      </c>
      <c r="Z100" s="160" t="str">
        <f>IF(分析!Y98&lt;&gt;"",分析!Y98,"")</f>
        <v>様子見</v>
      </c>
    </row>
    <row r="101" spans="1:26" ht="21.95" customHeight="1">
      <c r="A101" s="146">
        <f>IF(分析!C108&lt;&gt;"",ROW()-2,"")</f>
        <v>99</v>
      </c>
      <c r="B101" s="147" t="str">
        <f>IF(分析!C108&lt;&gt;"",HYPERLINK("https://kabutan.jp/stock/?code="&amp;分析!C108,"株探"),"")</f>
        <v>株探</v>
      </c>
      <c r="C101" s="148">
        <f>IF(分析!C108&lt;&gt;"",分析!C108,"")</f>
        <v>6227</v>
      </c>
      <c r="D101" s="149" t="str">
        <f>IF(分析!D108&lt;&gt;"",分析!D108,"")</f>
        <v>ＡＩメカテック</v>
      </c>
      <c r="E101" s="150">
        <f>IF(分析!E108&lt;&gt;"",分析!E108,"")</f>
        <v>8160</v>
      </c>
      <c r="F101" s="151">
        <f>IF(分析!F108&lt;&gt;"",分析!F108,"")</f>
        <v>7930</v>
      </c>
      <c r="G101" s="151">
        <f>IF(分析!H108&lt;&gt;"",分析!H108,"")</f>
        <v>8830</v>
      </c>
      <c r="H101" s="151">
        <f>IF(分析!I108&lt;&gt;"",分析!I108,"")</f>
        <v>7920</v>
      </c>
      <c r="I101" s="151">
        <f>IF(分析!J108&lt;&gt;"",分析!J108,"")</f>
        <v>1363100</v>
      </c>
      <c r="J101" s="151">
        <f>IF(分析!AB108&lt;&gt;"",分析!AB108,"")</f>
        <v>1924.2352342158858</v>
      </c>
      <c r="K101" s="151">
        <f>IF(分析!AC108&lt;&gt;"",分析!AC108,"")</f>
        <v>1931.87127532777</v>
      </c>
      <c r="L101" s="151">
        <f>IF(分析!K108&lt;&gt;"",分析!K108,"")</f>
        <v>9190</v>
      </c>
      <c r="M101" s="146" t="str">
        <f>IF(分析!P108&lt;&gt;"",分析!P108,"")</f>
        <v>減少↓</v>
      </c>
      <c r="N101" s="152">
        <f>IF(分析!O108&lt;&gt;"",分析!O108,"")</f>
        <v>0.88484258357676082</v>
      </c>
      <c r="O101" s="153">
        <f>IF(分析!X108&lt;&gt;"",分析!X108,"")</f>
        <v>199.61110735196689</v>
      </c>
      <c r="P101" s="154">
        <f>IF(分析!L108&lt;&gt;"",分析!L108,"")</f>
        <v>-11.207834602829161</v>
      </c>
      <c r="Q101" s="151">
        <f>IF(分析!S108&lt;&gt;"",分析!S108,"")</f>
        <v>7834</v>
      </c>
      <c r="R101" s="151">
        <f>IF(分析!R108&lt;&gt;"",分析!R108,"")</f>
        <v>8813</v>
      </c>
      <c r="S101" s="146" t="str">
        <f>IF(分析!AA108&lt;&gt;"",分析!AA108,"")</f>
        <v>上昇▲</v>
      </c>
      <c r="T101" s="155">
        <f>IF(分析!Z108&lt;&gt;"",分析!Z108,"")</f>
        <v>0.99009900990099009</v>
      </c>
      <c r="U101" s="146" t="str">
        <f>IF(分析!V108&lt;&gt;"",分析!V108,"")</f>
        <v>高値圏</v>
      </c>
      <c r="V101" s="156">
        <f>IF(分析!W108&lt;&gt;"",分析!W108,"")</f>
        <v>70.043103448275872</v>
      </c>
      <c r="W101" s="157" t="str">
        <f>IF(分析!AD108&lt;&gt;"",分析!AD108,"")</f>
        <v>上昇トレンド▲</v>
      </c>
      <c r="X101" s="158" t="str">
        <f>IF(分析!AE108&lt;&gt;"",分析!AE108,"")</f>
        <v>なし</v>
      </c>
      <c r="Y101" s="159">
        <f>IF(分析!T108&lt;&gt;"",分析!T108,"")</f>
        <v>9</v>
      </c>
      <c r="Z101" s="160" t="str">
        <f>IF(分析!Y108&lt;&gt;"",分析!Y108,"")</f>
        <v>△注目</v>
      </c>
    </row>
    <row r="102" spans="1:26" ht="21.95" customHeight="1">
      <c r="A102" s="161">
        <f>IF(分析!C155&lt;&gt;"",ROW()-2,"")</f>
        <v>100</v>
      </c>
      <c r="B102" s="162" t="str">
        <f>IF(分析!C155&lt;&gt;"",HYPERLINK("https://kabutan.jp/stock/?code="&amp;分析!C155,"株探"),"")</f>
        <v>株探</v>
      </c>
      <c r="C102" s="163">
        <f>IF(分析!C155&lt;&gt;"",分析!C155,"")</f>
        <v>6436</v>
      </c>
      <c r="D102" s="164" t="str">
        <f>IF(分析!D155&lt;&gt;"",分析!D155,"")</f>
        <v>アマノ</v>
      </c>
      <c r="E102" s="165">
        <f>IF(分析!E155&lt;&gt;"",分析!E155,"")</f>
        <v>3565</v>
      </c>
      <c r="F102" s="166">
        <f>IF(分析!F155&lt;&gt;"",分析!F155,"")</f>
        <v>3595</v>
      </c>
      <c r="G102" s="166">
        <f>IF(分析!H155&lt;&gt;"",分析!H155,"")</f>
        <v>3599</v>
      </c>
      <c r="H102" s="166">
        <f>IF(分析!I155&lt;&gt;"",分析!I155,"")</f>
        <v>3546</v>
      </c>
      <c r="I102" s="166">
        <f>IF(分析!J155&lt;&gt;"",分析!J155,"")</f>
        <v>212400</v>
      </c>
      <c r="J102" s="166">
        <f>IF(分析!AB155&lt;&gt;"",分析!AB155,"")</f>
        <v>5493.80346232179</v>
      </c>
      <c r="K102" s="166">
        <f>IF(分析!AC155&lt;&gt;"",分析!AC155,"")</f>
        <v>5706.8152562574469</v>
      </c>
      <c r="L102" s="166">
        <f>IF(分析!K155&lt;&gt;"",分析!K155,"")</f>
        <v>4310</v>
      </c>
      <c r="M102" s="161" t="str">
        <f>IF(分析!P155&lt;&gt;"",分析!P155,"")</f>
        <v>普通→</v>
      </c>
      <c r="N102" s="167">
        <f>IF(分析!O155&lt;&gt;"",分析!O155,"")</f>
        <v>1.0216450216450217</v>
      </c>
      <c r="O102" s="168">
        <f>IF(分析!X155&lt;&gt;"",分析!X155,"")</f>
        <v>-7.8359808787645306</v>
      </c>
      <c r="P102" s="169">
        <f>IF(分析!L155&lt;&gt;"",分析!L155,"")</f>
        <v>-17.28538283062645</v>
      </c>
      <c r="Q102" s="166">
        <f>IF(分析!S155&lt;&gt;"",分析!S155,"")</f>
        <v>3422</v>
      </c>
      <c r="R102" s="166">
        <f>IF(分析!R155&lt;&gt;"",分析!R155,"")</f>
        <v>3850</v>
      </c>
      <c r="S102" s="161" t="str">
        <f>IF(分析!AA155&lt;&gt;"",分析!AA155,"")</f>
        <v>上昇▲</v>
      </c>
      <c r="T102" s="170">
        <f>IF(分析!Z155&lt;&gt;"",分析!Z155,"")</f>
        <v>5.6132472635419595E-2</v>
      </c>
      <c r="U102" s="161" t="str">
        <f>IF(分析!V155&lt;&gt;"",分析!V155,"")</f>
        <v>通常</v>
      </c>
      <c r="V102" s="171">
        <f>IF(分析!W155&lt;&gt;"",分析!W155,"")</f>
        <v>45.079365079365076</v>
      </c>
      <c r="W102" s="172" t="str">
        <f>IF(分析!AD155&lt;&gt;"",分析!AD155,"")</f>
        <v>下降トレンド▼</v>
      </c>
      <c r="X102" s="173" t="str">
        <f>IF(分析!AE155&lt;&gt;"",分析!AE155,"")</f>
        <v>なし</v>
      </c>
      <c r="Y102" s="174">
        <f>IF(分析!T155&lt;&gt;"",分析!T155,"")</f>
        <v>1</v>
      </c>
      <c r="Z102" s="160" t="str">
        <f>IF(分析!Y155&lt;&gt;"",分析!Y155,"")</f>
        <v>見送り</v>
      </c>
    </row>
    <row r="103" spans="1:26" ht="21.95" customHeight="1">
      <c r="A103" s="161">
        <f>IF(分析!C139&lt;&gt;"",ROW()-2,"")</f>
        <v>101</v>
      </c>
      <c r="B103" s="162" t="str">
        <f>IF(分析!C139&lt;&gt;"",HYPERLINK("https://kabutan.jp/stock/?code="&amp;分析!C139,"株探"),"")</f>
        <v>株探</v>
      </c>
      <c r="C103" s="163">
        <f>IF(分析!C139&lt;&gt;"",分析!C139,"")</f>
        <v>6701</v>
      </c>
      <c r="D103" s="164" t="str">
        <f>IF(分析!D139&lt;&gt;"",分析!D139,"")</f>
        <v>日本電気</v>
      </c>
      <c r="E103" s="165">
        <f>IF(分析!E139&lt;&gt;"",分析!E139,"")</f>
        <v>3852</v>
      </c>
      <c r="F103" s="166">
        <f>IF(分析!F139&lt;&gt;"",分析!F139,"")</f>
        <v>3877</v>
      </c>
      <c r="G103" s="166">
        <f>IF(分析!H139&lt;&gt;"",分析!H139,"")</f>
        <v>3891</v>
      </c>
      <c r="H103" s="166">
        <f>IF(分析!I139&lt;&gt;"",分析!I139,"")</f>
        <v>3796</v>
      </c>
      <c r="I103" s="166">
        <f>IF(分析!J139&lt;&gt;"",分析!J139,"")</f>
        <v>5022300</v>
      </c>
      <c r="J103" s="166">
        <f>IF(分析!AB139&lt;&gt;"",分析!AB139,"")</f>
        <v>2468.2260692464351</v>
      </c>
      <c r="K103" s="166">
        <f>IF(分析!AC139&lt;&gt;"",分析!AC139,"")</f>
        <v>2476.2240762812871</v>
      </c>
      <c r="L103" s="166">
        <f>IF(分析!K139&lt;&gt;"",分析!K139,"")</f>
        <v>6036</v>
      </c>
      <c r="M103" s="161" t="str">
        <f>IF(分析!P139&lt;&gt;"",分析!P139,"")</f>
        <v>減少↓</v>
      </c>
      <c r="N103" s="167">
        <f>IF(分析!O139&lt;&gt;"",分析!O139,"")</f>
        <v>0.78142795795291176</v>
      </c>
      <c r="O103" s="168">
        <f>IF(分析!X139&lt;&gt;"",分析!X139,"")</f>
        <v>-22.131187833098465</v>
      </c>
      <c r="P103" s="169">
        <f>IF(分析!L139&lt;&gt;"",分析!L139,"")</f>
        <v>-36.182902584493043</v>
      </c>
      <c r="Q103" s="166">
        <f>IF(分析!S139&lt;&gt;"",分析!S139,"")</f>
        <v>3698</v>
      </c>
      <c r="R103" s="166">
        <f>IF(分析!R139&lt;&gt;"",分析!R139,"")</f>
        <v>4160</v>
      </c>
      <c r="S103" s="161" t="str">
        <f>IF(分析!AA139&lt;&gt;"",分析!AA139,"")</f>
        <v>上昇▲</v>
      </c>
      <c r="T103" s="170">
        <f>IF(分析!Z139&lt;&gt;"",分析!Z139,"")</f>
        <v>7.7942322681215898E-2</v>
      </c>
      <c r="U103" s="161" t="str">
        <f>IF(分析!V139&lt;&gt;"",分析!V139,"")</f>
        <v>通常</v>
      </c>
      <c r="V103" s="171">
        <f>IF(分析!W139&lt;&gt;"",分析!W139,"")</f>
        <v>38.221814848762605</v>
      </c>
      <c r="W103" s="172" t="str">
        <f>IF(分析!AD139&lt;&gt;"",分析!AD139,"")</f>
        <v>上昇トレンド▲</v>
      </c>
      <c r="X103" s="173" t="str">
        <f>IF(分析!AE139&lt;&gt;"",分析!AE139,"")</f>
        <v>なし</v>
      </c>
      <c r="Y103" s="174">
        <f>IF(分析!T139&lt;&gt;"",分析!T139,"")</f>
        <v>3</v>
      </c>
      <c r="Z103" s="160" t="str">
        <f>IF(分析!Y139&lt;&gt;"",分析!Y139,"")</f>
        <v>様子見</v>
      </c>
    </row>
    <row r="104" spans="1:26" ht="21.95" customHeight="1">
      <c r="A104" s="146">
        <f>IF(分析!C18&lt;&gt;"",ROW()-2,"")</f>
        <v>102</v>
      </c>
      <c r="B104" s="147" t="str">
        <f>IF(分析!C18&lt;&gt;"",HYPERLINK("https://kabutan.jp/stock/?code="&amp;分析!C18,"株探"),"")</f>
        <v>株探</v>
      </c>
      <c r="C104" s="148">
        <f>IF(分析!C18&lt;&gt;"",分析!C18,"")</f>
        <v>7729</v>
      </c>
      <c r="D104" s="149" t="str">
        <f>IF(分析!D18&lt;&gt;"",分析!D18,"")</f>
        <v>東京精密</v>
      </c>
      <c r="E104" s="150">
        <f>IF(分析!E18&lt;&gt;"",分析!E18,"")</f>
        <v>19255</v>
      </c>
      <c r="F104" s="151">
        <f>IF(分析!F18&lt;&gt;"",分析!F18,"")</f>
        <v>18490</v>
      </c>
      <c r="G104" s="151">
        <f>IF(分析!H18&lt;&gt;"",分析!H18,"")</f>
        <v>19530</v>
      </c>
      <c r="H104" s="151">
        <f>IF(分析!I18&lt;&gt;"",分析!I18,"")</f>
        <v>18485</v>
      </c>
      <c r="I104" s="151">
        <f>IF(分析!J18&lt;&gt;"",分析!J18,"")</f>
        <v>346200</v>
      </c>
      <c r="J104" s="151">
        <f>IF(分析!AB18&lt;&gt;"",分析!AB18,"")</f>
        <v>2232.7219959266795</v>
      </c>
      <c r="K104" s="151">
        <f>IF(分析!AC18&lt;&gt;"",分析!AC18,"")</f>
        <v>2241.8176400476755</v>
      </c>
      <c r="L104" s="151">
        <f>IF(分析!K18&lt;&gt;"",分析!K18,"")</f>
        <v>19880</v>
      </c>
      <c r="M104" s="146" t="str">
        <f>IF(分析!P18&lt;&gt;"",分析!P18,"")</f>
        <v>減少↓</v>
      </c>
      <c r="N104" s="152">
        <f>IF(分析!O18&lt;&gt;"",分析!O18,"")</f>
        <v>0.73369219683804521</v>
      </c>
      <c r="O104" s="153">
        <f>IF(分析!X18&lt;&gt;"",分析!X18,"")</f>
        <v>156.40830046291376</v>
      </c>
      <c r="P104" s="154">
        <f>IF(分析!L18&lt;&gt;"",分析!L18,"")</f>
        <v>-3.1438631790744465</v>
      </c>
      <c r="Q104" s="151">
        <f>IF(分析!S18&lt;&gt;"",分析!S18,"")</f>
        <v>18485</v>
      </c>
      <c r="R104" s="151">
        <f>IF(分析!R18&lt;&gt;"",分析!R18,"")</f>
        <v>20795</v>
      </c>
      <c r="S104" s="146" t="str">
        <f>IF(分析!AA18&lt;&gt;"",分析!AA18,"")</f>
        <v>上昇▲</v>
      </c>
      <c r="T104" s="155">
        <f>IF(分析!Z18&lt;&gt;"",分析!Z18,"")</f>
        <v>0.33871808233454925</v>
      </c>
      <c r="U104" s="146" t="str">
        <f>IF(分析!V18&lt;&gt;"",分析!V18,"")</f>
        <v>高値圏</v>
      </c>
      <c r="V104" s="156">
        <f>IF(分析!W18&lt;&gt;"",分析!W18,"")</f>
        <v>55.777166437414024</v>
      </c>
      <c r="W104" s="157" t="str">
        <f>IF(分析!AD18&lt;&gt;"",分析!AD18,"")</f>
        <v>上昇トレンド▲</v>
      </c>
      <c r="X104" s="158" t="str">
        <f>IF(分析!AE18&lt;&gt;"",分析!AE18,"")</f>
        <v>なし</v>
      </c>
      <c r="Y104" s="159">
        <f>IF(分析!T18&lt;&gt;"",分析!T18,"")</f>
        <v>9</v>
      </c>
      <c r="Z104" s="160" t="str">
        <f>IF(分析!Y18&lt;&gt;"",分析!Y18,"")</f>
        <v>△注目</v>
      </c>
    </row>
    <row r="105" spans="1:26" ht="21.95" customHeight="1">
      <c r="A105" s="161">
        <f>IF(分析!C55&lt;&gt;"",ROW()-2,"")</f>
        <v>103</v>
      </c>
      <c r="B105" s="162" t="str">
        <f>IF(分析!C55&lt;&gt;"",HYPERLINK("https://kabutan.jp/stock/?code="&amp;分析!C55,"株探"),"")</f>
        <v>株探</v>
      </c>
      <c r="C105" s="163">
        <f>IF(分析!C55&lt;&gt;"",分析!C55,"")</f>
        <v>7806</v>
      </c>
      <c r="D105" s="164" t="str">
        <f>IF(分析!D55&lt;&gt;"",分析!D55,"")</f>
        <v>ＭＴＧ</v>
      </c>
      <c r="E105" s="165">
        <f>IF(分析!E55&lt;&gt;"",分析!E55,"")</f>
        <v>7310</v>
      </c>
      <c r="F105" s="166">
        <f>IF(分析!F55&lt;&gt;"",分析!F55,"")</f>
        <v>7260</v>
      </c>
      <c r="G105" s="166">
        <f>IF(分析!H55&lt;&gt;"",分析!H55,"")</f>
        <v>7410</v>
      </c>
      <c r="H105" s="166">
        <f>IF(分析!I55&lt;&gt;"",分析!I55,"")</f>
        <v>7150</v>
      </c>
      <c r="I105" s="166">
        <f>IF(分析!J55&lt;&gt;"",分析!J55,"")</f>
        <v>101100</v>
      </c>
      <c r="J105" s="166">
        <f>IF(分析!AB55&lt;&gt;"",分析!AB55,"")</f>
        <v>1621.0356415478611</v>
      </c>
      <c r="K105" s="166">
        <f>IF(分析!AC55&lt;&gt;"",分析!AC55,"")</f>
        <v>1613.2133492252676</v>
      </c>
      <c r="L105" s="166">
        <f>IF(分析!K55&lt;&gt;"",分析!K55,"")</f>
        <v>7600</v>
      </c>
      <c r="M105" s="161" t="str">
        <f>IF(分析!P55&lt;&gt;"",分析!P55,"")</f>
        <v>普通→</v>
      </c>
      <c r="N105" s="167">
        <f>IF(分析!O55&lt;&gt;"",分析!O55,"")</f>
        <v>1.1158940397350994</v>
      </c>
      <c r="O105" s="168">
        <f>IF(分析!X55&lt;&gt;"",分析!X55,"")</f>
        <v>66.941736752655743</v>
      </c>
      <c r="P105" s="169">
        <f>IF(分析!L55&lt;&gt;"",分析!L55,"")</f>
        <v>-3.8157894736842106</v>
      </c>
      <c r="Q105" s="166">
        <f>IF(分析!S55&lt;&gt;"",分析!S55,"")</f>
        <v>7018</v>
      </c>
      <c r="R105" s="166">
        <f>IF(分析!R55&lt;&gt;"",分析!R55,"")</f>
        <v>7895</v>
      </c>
      <c r="S105" s="161" t="str">
        <f>IF(分析!AA55&lt;&gt;"",分析!AA55,"")</f>
        <v>上昇▲</v>
      </c>
      <c r="T105" s="170">
        <f>IF(分析!Z55&lt;&gt;"",分析!Z55,"")</f>
        <v>0.68870523415977969</v>
      </c>
      <c r="U105" s="161" t="str">
        <f>IF(分析!V55&lt;&gt;"",分析!V55,"")</f>
        <v>高値圏</v>
      </c>
      <c r="V105" s="171">
        <f>IF(分析!W55&lt;&gt;"",分析!W55,"")</f>
        <v>63.141993957703924</v>
      </c>
      <c r="W105" s="172" t="str">
        <f>IF(分析!AD55&lt;&gt;"",分析!AD55,"")</f>
        <v>パーフェクト▲</v>
      </c>
      <c r="X105" s="173" t="str">
        <f>IF(分析!AE55&lt;&gt;"",分析!AE55,"")</f>
        <v>なし</v>
      </c>
      <c r="Y105" s="174">
        <f>IF(分析!T55&lt;&gt;"",分析!T55,"")</f>
        <v>8</v>
      </c>
      <c r="Z105" s="160" t="str">
        <f>IF(分析!Y55&lt;&gt;"",分析!Y55,"")</f>
        <v>△注目</v>
      </c>
    </row>
    <row r="106" spans="1:26" ht="21.95" customHeight="1">
      <c r="A106" s="161">
        <f>IF(分析!C167&lt;&gt;"",ROW()-2,"")</f>
        <v>104</v>
      </c>
      <c r="B106" s="162" t="str">
        <f>IF(分析!C167&lt;&gt;"",HYPERLINK("https://kabutan.jp/stock/?code="&amp;分析!C167,"株探"),"")</f>
        <v>株探</v>
      </c>
      <c r="C106" s="163">
        <f>IF(分析!C167&lt;&gt;"",分析!C167,"")</f>
        <v>8002</v>
      </c>
      <c r="D106" s="164" t="str">
        <f>IF(分析!D167&lt;&gt;"",分析!D167,"")</f>
        <v>丸紅</v>
      </c>
      <c r="E106" s="165">
        <f>IF(分析!E167&lt;&gt;"",分析!E167,"")</f>
        <v>4949</v>
      </c>
      <c r="F106" s="166">
        <f>IF(分析!F167&lt;&gt;"",分析!F167,"")</f>
        <v>4981</v>
      </c>
      <c r="G106" s="166">
        <f>IF(分析!H167&lt;&gt;"",分析!H167,"")</f>
        <v>5019</v>
      </c>
      <c r="H106" s="166">
        <f>IF(分析!I167&lt;&gt;"",分析!I167,"")</f>
        <v>4886</v>
      </c>
      <c r="I106" s="166">
        <f>IF(分析!J167&lt;&gt;"",分析!J167,"")</f>
        <v>3994600</v>
      </c>
      <c r="J106" s="166">
        <f>IF(分析!AB167&lt;&gt;"",分析!AB167,"")</f>
        <v>871.49389002036651</v>
      </c>
      <c r="K106" s="166">
        <f>IF(分析!AC167&lt;&gt;"",分析!AC167,"")</f>
        <v>879.85458879618545</v>
      </c>
      <c r="L106" s="166">
        <f>IF(分析!K167&lt;&gt;"",分析!K167,"")</f>
        <v>6328</v>
      </c>
      <c r="M106" s="161" t="str">
        <f>IF(分析!P167&lt;&gt;"",分析!P167,"")</f>
        <v>減少↓</v>
      </c>
      <c r="N106" s="167">
        <f>IF(分析!O167&lt;&gt;"",分析!O167,"")</f>
        <v>0.90866491360563406</v>
      </c>
      <c r="O106" s="168">
        <f>IF(分析!X167&lt;&gt;"",分析!X167,"")</f>
        <v>-78.536347860002024</v>
      </c>
      <c r="P106" s="169">
        <f>IF(分析!L167&lt;&gt;"",分析!L167,"")</f>
        <v>-21.792035398230087</v>
      </c>
      <c r="Q106" s="166">
        <f>IF(分析!S167&lt;&gt;"",分析!S167,"")</f>
        <v>4751</v>
      </c>
      <c r="R106" s="166">
        <f>IF(分析!R167&lt;&gt;"",分析!R167,"")</f>
        <v>5345</v>
      </c>
      <c r="S106" s="161" t="str">
        <f>IF(分析!AA167&lt;&gt;"",分析!AA167,"")</f>
        <v>上昇▲</v>
      </c>
      <c r="T106" s="170">
        <f>IF(分析!Z167&lt;&gt;"",分析!Z167,"")</f>
        <v>0.56899004267425324</v>
      </c>
      <c r="U106" s="161" t="str">
        <f>IF(分析!V167&lt;&gt;"",分析!V167,"")</f>
        <v>通常</v>
      </c>
      <c r="V106" s="171">
        <f>IF(分析!W167&lt;&gt;"",分析!W167,"")</f>
        <v>29.824561403508781</v>
      </c>
      <c r="W106" s="172" t="str">
        <f>IF(分析!AD167&lt;&gt;"",分析!AD167,"")</f>
        <v>上昇トレンド▲</v>
      </c>
      <c r="X106" s="173" t="str">
        <f>IF(分析!AE167&lt;&gt;"",分析!AE167,"")</f>
        <v>なし</v>
      </c>
      <c r="Y106" s="174">
        <f>IF(分析!T167&lt;&gt;"",分析!T167,"")</f>
        <v>4</v>
      </c>
      <c r="Z106" s="160" t="str">
        <f>IF(分析!Y167&lt;&gt;"",分析!Y167,"")</f>
        <v>様子見</v>
      </c>
    </row>
    <row r="107" spans="1:26" ht="21.95" customHeight="1">
      <c r="A107" s="146">
        <f>IF(分析!C158&lt;&gt;"",ROW()-2,"")</f>
        <v>105</v>
      </c>
      <c r="B107" s="147" t="str">
        <f>IF(分析!C158&lt;&gt;"",HYPERLINK("https://kabutan.jp/stock/?code="&amp;分析!C158,"株探"),"")</f>
        <v>株探</v>
      </c>
      <c r="C107" s="148">
        <f>IF(分析!C158&lt;&gt;"",分析!C158,"")</f>
        <v>8091</v>
      </c>
      <c r="D107" s="149" t="str">
        <f>IF(分析!D158&lt;&gt;"",分析!D158,"")</f>
        <v>ニチモウ</v>
      </c>
      <c r="E107" s="150">
        <f>IF(分析!E158&lt;&gt;"",分析!E158,"")</f>
        <v>2211</v>
      </c>
      <c r="F107" s="151">
        <f>IF(分析!F158&lt;&gt;"",分析!F158,"")</f>
        <v>2219</v>
      </c>
      <c r="G107" s="151">
        <f>IF(分析!H158&lt;&gt;"",分析!H158,"")</f>
        <v>2240</v>
      </c>
      <c r="H107" s="151">
        <f>IF(分析!I158&lt;&gt;"",分析!I158,"")</f>
        <v>2211</v>
      </c>
      <c r="I107" s="151">
        <f>IF(分析!J158&lt;&gt;"",分析!J158,"")</f>
        <v>13300</v>
      </c>
      <c r="J107" s="151">
        <f>IF(分析!AB158&lt;&gt;"",分析!AB158,"")</f>
        <v>989.15376782077385</v>
      </c>
      <c r="K107" s="151">
        <f>IF(分析!AC158&lt;&gt;"",分析!AC158,"")</f>
        <v>1025.8974970202619</v>
      </c>
      <c r="L107" s="151">
        <f>IF(分析!K158&lt;&gt;"",分析!K158,"")</f>
        <v>2730</v>
      </c>
      <c r="M107" s="146" t="str">
        <f>IF(分析!P158&lt;&gt;"",分析!P158,"")</f>
        <v>普通→</v>
      </c>
      <c r="N107" s="152">
        <f>IF(分析!O158&lt;&gt;"",分析!O158,"")</f>
        <v>1.0326086956521738</v>
      </c>
      <c r="O107" s="153">
        <f>IF(分析!X158&lt;&gt;"",分析!X158,"")</f>
        <v>1.8308582664303685</v>
      </c>
      <c r="P107" s="154">
        <f>IF(分析!L158&lt;&gt;"",分析!L158,"")</f>
        <v>-19.010989010989011</v>
      </c>
      <c r="Q107" s="151">
        <f>IF(分析!S158&lt;&gt;"",分析!S158,"")</f>
        <v>2123</v>
      </c>
      <c r="R107" s="151">
        <f>IF(分析!R158&lt;&gt;"",分析!R158,"")</f>
        <v>2388</v>
      </c>
      <c r="S107" s="146" t="str">
        <f>IF(分析!AA158&lt;&gt;"",分析!AA158,"")</f>
        <v>下落▼</v>
      </c>
      <c r="T107" s="155">
        <f>IF(分析!Z158&lt;&gt;"",分析!Z158,"")</f>
        <v>-0.13550135501355012</v>
      </c>
      <c r="U107" s="146" t="str">
        <f>IF(分析!V158&lt;&gt;"",分析!V158,"")</f>
        <v>通常</v>
      </c>
      <c r="V107" s="156">
        <f>IF(分析!W158&lt;&gt;"",分析!W158,"")</f>
        <v>62.578616352201259</v>
      </c>
      <c r="W107" s="157" t="str">
        <f>IF(分析!AD158&lt;&gt;"",分析!AD158,"")</f>
        <v>上昇トレンド▲</v>
      </c>
      <c r="X107" s="158" t="str">
        <f>IF(分析!AE158&lt;&gt;"",分析!AE158,"")</f>
        <v>なし</v>
      </c>
      <c r="Y107" s="159">
        <f>IF(分析!T158&lt;&gt;"",分析!T158,"")</f>
        <v>2</v>
      </c>
      <c r="Z107" s="160" t="str">
        <f>IF(分析!Y158&lt;&gt;"",分析!Y158,"")</f>
        <v>見送り</v>
      </c>
    </row>
    <row r="108" spans="1:26" ht="21.95" customHeight="1">
      <c r="A108" s="146">
        <f>IF(分析!C94&lt;&gt;"",ROW()-2,"")</f>
        <v>106</v>
      </c>
      <c r="B108" s="147" t="str">
        <f>IF(分析!C94&lt;&gt;"",HYPERLINK("https://kabutan.jp/stock/?code="&amp;分析!C94,"株探"),"")</f>
        <v>株探</v>
      </c>
      <c r="C108" s="148">
        <f>IF(分析!C94&lt;&gt;"",分析!C94,"")</f>
        <v>8570</v>
      </c>
      <c r="D108" s="149" t="str">
        <f>IF(分析!D94&lt;&gt;"",分析!D94,"")</f>
        <v>イオンフィナンシャルサービス</v>
      </c>
      <c r="E108" s="150">
        <f>IF(分析!E94&lt;&gt;"",分析!E94,"")</f>
        <v>1491.5</v>
      </c>
      <c r="F108" s="151">
        <f>IF(分析!F94&lt;&gt;"",分析!F94,"")</f>
        <v>1514</v>
      </c>
      <c r="G108" s="151">
        <f>IF(分析!H94&lt;&gt;"",分析!H94,"")</f>
        <v>1519</v>
      </c>
      <c r="H108" s="151">
        <f>IF(分析!I94&lt;&gt;"",分析!I94,"")</f>
        <v>1491.5</v>
      </c>
      <c r="I108" s="151">
        <f>IF(分析!J94&lt;&gt;"",分析!J94,"")</f>
        <v>338900</v>
      </c>
      <c r="J108" s="151">
        <f>IF(分析!AB94&lt;&gt;"",分析!AB94,"")</f>
        <v>21289.796334012222</v>
      </c>
      <c r="K108" s="151">
        <f>IF(分析!AC94&lt;&gt;"",分析!AC94,"")</f>
        <v>19716.889153754459</v>
      </c>
      <c r="L108" s="151">
        <f>IF(分析!K94&lt;&gt;"",分析!K94,"")</f>
        <v>1860</v>
      </c>
      <c r="M108" s="146" t="str">
        <f>IF(分析!P94&lt;&gt;"",分析!P94,"")</f>
        <v>減少↓</v>
      </c>
      <c r="N108" s="152">
        <f>IF(分析!O94&lt;&gt;"",分析!O94,"")</f>
        <v>0.67861433720464559</v>
      </c>
      <c r="O108" s="153">
        <f>IF(分析!X94&lt;&gt;"",分析!X94,"")</f>
        <v>-11.879096199236301</v>
      </c>
      <c r="P108" s="154">
        <f>IF(分析!L94&lt;&gt;"",分析!L94,"")</f>
        <v>-19.811827956989248</v>
      </c>
      <c r="Q108" s="151">
        <f>IF(分析!S94&lt;&gt;"",分析!S94,"")</f>
        <v>1432</v>
      </c>
      <c r="R108" s="151">
        <f>IF(分析!R94&lt;&gt;"",分析!R94,"")</f>
        <v>1611</v>
      </c>
      <c r="S108" s="146" t="str">
        <f>IF(分析!AA94&lt;&gt;"",分析!AA94,"")</f>
        <v>下落▼</v>
      </c>
      <c r="T108" s="155">
        <f>IF(分析!Z94&lt;&gt;"",分析!Z94,"")</f>
        <v>-0.53351117039012996</v>
      </c>
      <c r="U108" s="146" t="str">
        <f>IF(分析!V94&lt;&gt;"",分析!V94,"")</f>
        <v>通常</v>
      </c>
      <c r="V108" s="156">
        <f>IF(分析!W94&lt;&gt;"",分析!W94,"")</f>
        <v>37.209302325581397</v>
      </c>
      <c r="W108" s="157" t="str">
        <f>IF(分析!AD94&lt;&gt;"",分析!AD94,"")</f>
        <v>もみ合い→</v>
      </c>
      <c r="X108" s="158" t="str">
        <f>IF(分析!AE94&lt;&gt;"",分析!AE94,"")</f>
        <v>なし</v>
      </c>
      <c r="Y108" s="159">
        <f>IF(分析!T94&lt;&gt;"",分析!T94,"")</f>
        <v>0</v>
      </c>
      <c r="Z108" s="160" t="str">
        <f>IF(分析!Y94&lt;&gt;"",分析!Y94,"")</f>
        <v>見送り</v>
      </c>
    </row>
    <row r="109" spans="1:26" ht="21.95" customHeight="1">
      <c r="A109" s="146">
        <f>IF(分析!C38&lt;&gt;"",ROW()-2,"")</f>
        <v>107</v>
      </c>
      <c r="B109" s="147" t="str">
        <f>IF(分析!C38&lt;&gt;"",HYPERLINK("https://kabutan.jp/stock/?code="&amp;分析!C38,"株探"),"")</f>
        <v>株探</v>
      </c>
      <c r="C109" s="148">
        <f>IF(分析!C38&lt;&gt;"",分析!C38,"")</f>
        <v>8572</v>
      </c>
      <c r="D109" s="149" t="str">
        <f>IF(分析!D38&lt;&gt;"",分析!D38,"")</f>
        <v>アコム</v>
      </c>
      <c r="E109" s="150">
        <f>IF(分析!E38&lt;&gt;"",分析!E38,"")</f>
        <v>450.6</v>
      </c>
      <c r="F109" s="151">
        <f>IF(分析!F38&lt;&gt;"",分析!F38,"")</f>
        <v>453.3</v>
      </c>
      <c r="G109" s="151">
        <f>IF(分析!H38&lt;&gt;"",分析!H38,"")</f>
        <v>453.7</v>
      </c>
      <c r="H109" s="151">
        <f>IF(分析!I38&lt;&gt;"",分析!I38,"")</f>
        <v>449</v>
      </c>
      <c r="I109" s="151">
        <f>IF(分析!J38&lt;&gt;"",分析!J38,"")</f>
        <v>1330300</v>
      </c>
      <c r="J109" s="151">
        <f>IF(分析!AB38&lt;&gt;"",分析!AB38,"")</f>
        <v>1404.3772912423622</v>
      </c>
      <c r="K109" s="151">
        <f>IF(分析!AC38&lt;&gt;"",分析!AC38,"")</f>
        <v>1340.5321811680567</v>
      </c>
      <c r="L109" s="151">
        <f>IF(分析!K38&lt;&gt;"",分析!K38,"")</f>
        <v>539.9</v>
      </c>
      <c r="M109" s="146" t="str">
        <f>IF(分析!P38&lt;&gt;"",分析!P38,"")</f>
        <v>普通→</v>
      </c>
      <c r="N109" s="152">
        <f>IF(分析!O38&lt;&gt;"",分析!O38,"")</f>
        <v>1.1181810540472388</v>
      </c>
      <c r="O109" s="153">
        <f>IF(分析!X38&lt;&gt;"",分析!X38,"")</f>
        <v>-2.5449609734157548</v>
      </c>
      <c r="P109" s="154">
        <f>IF(分析!L38&lt;&gt;"",分析!L38,"")</f>
        <v>-16.54010001852194</v>
      </c>
      <c r="Q109" s="151">
        <f>IF(分析!S38&lt;&gt;"",分析!S38,"")</f>
        <v>433</v>
      </c>
      <c r="R109" s="151">
        <f>IF(分析!R38&lt;&gt;"",分析!R38,"")</f>
        <v>487</v>
      </c>
      <c r="S109" s="146" t="str">
        <f>IF(分析!AA38&lt;&gt;"",分析!AA38,"")</f>
        <v>上昇▲</v>
      </c>
      <c r="T109" s="155">
        <f>IF(分析!Z38&lt;&gt;"",分析!Z38,"")</f>
        <v>0.28933897173381068</v>
      </c>
      <c r="U109" s="146" t="str">
        <f>IF(分析!V38&lt;&gt;"",分析!V38,"")</f>
        <v>通常</v>
      </c>
      <c r="V109" s="156">
        <f>IF(分析!W38&lt;&gt;"",分析!W38,"")</f>
        <v>37.12121212121216</v>
      </c>
      <c r="W109" s="157" t="str">
        <f>IF(分析!AD38&lt;&gt;"",分析!AD38,"")</f>
        <v>もみ合い→</v>
      </c>
      <c r="X109" s="158" t="str">
        <f>IF(分析!AE38&lt;&gt;"",分析!AE38,"")</f>
        <v>なし</v>
      </c>
      <c r="Y109" s="159">
        <f>IF(分析!T38&lt;&gt;"",分析!T38,"")</f>
        <v>2</v>
      </c>
      <c r="Z109" s="160" t="str">
        <f>IF(分析!Y38&lt;&gt;"",分析!Y38,"")</f>
        <v>見送り</v>
      </c>
    </row>
    <row r="110" spans="1:26" ht="21.95" customHeight="1">
      <c r="A110" s="146">
        <f>IF(分析!C174&lt;&gt;"",ROW()-2,"")</f>
        <v>108</v>
      </c>
      <c r="B110" s="147" t="str">
        <f>IF(分析!C174&lt;&gt;"",HYPERLINK("https://kabutan.jp/stock/?code="&amp;分析!C174,"株探"),"")</f>
        <v>株探</v>
      </c>
      <c r="C110" s="148">
        <f>IF(分析!C174&lt;&gt;"",分析!C174,"")</f>
        <v>8766</v>
      </c>
      <c r="D110" s="149" t="str">
        <f>IF(分析!D174&lt;&gt;"",分析!D174,"")</f>
        <v>東京海上ＨＤ</v>
      </c>
      <c r="E110" s="150">
        <f>IF(分析!E174&lt;&gt;"",分析!E174,"")</f>
        <v>7252</v>
      </c>
      <c r="F110" s="151">
        <f>IF(分析!F174&lt;&gt;"",分析!F174,"")</f>
        <v>7408</v>
      </c>
      <c r="G110" s="151">
        <f>IF(分析!H174&lt;&gt;"",分析!H174,"")</f>
        <v>7421</v>
      </c>
      <c r="H110" s="151">
        <f>IF(分析!I174&lt;&gt;"",分析!I174,"")</f>
        <v>7252</v>
      </c>
      <c r="I110" s="151">
        <f>IF(分析!J174&lt;&gt;"",分析!J174,"")</f>
        <v>4299600</v>
      </c>
      <c r="J110" s="151">
        <f>IF(分析!AB174&lt;&gt;"",分析!AB174,"")</f>
        <v>2736.575356415477</v>
      </c>
      <c r="K110" s="151">
        <f>IF(分析!AC174&lt;&gt;"",分析!AC174,"")</f>
        <v>2754.7163289630489</v>
      </c>
      <c r="L110" s="151">
        <f>IF(分析!K174&lt;&gt;"",分析!K174,"")</f>
        <v>8038</v>
      </c>
      <c r="M110" s="146" t="str">
        <f>IF(分析!P174&lt;&gt;"",分析!P174,"")</f>
        <v>減少↓</v>
      </c>
      <c r="N110" s="152">
        <f>IF(分析!O174&lt;&gt;"",分析!O174,"")</f>
        <v>0.74787097851497275</v>
      </c>
      <c r="O110" s="153">
        <f>IF(分析!X174&lt;&gt;"",分析!X174,"")</f>
        <v>-31.722998817855114</v>
      </c>
      <c r="P110" s="154">
        <f>IF(分析!L174&lt;&gt;"",分析!L174,"")</f>
        <v>-9.77855187857676</v>
      </c>
      <c r="Q110" s="151">
        <f>IF(分析!S174&lt;&gt;"",分析!S174,"")</f>
        <v>6962</v>
      </c>
      <c r="R110" s="151">
        <f>IF(分析!R174&lt;&gt;"",分析!R174,"")</f>
        <v>7832</v>
      </c>
      <c r="S110" s="146" t="str">
        <f>IF(分析!AA174&lt;&gt;"",分析!AA174,"")</f>
        <v>下落▼</v>
      </c>
      <c r="T110" s="155">
        <f>IF(分析!Z174&lt;&gt;"",分析!Z174,"")</f>
        <v>-0.49396267837541163</v>
      </c>
      <c r="U110" s="146" t="str">
        <f>IF(分析!V174&lt;&gt;"",分析!V174,"")</f>
        <v>通常</v>
      </c>
      <c r="V110" s="156">
        <f>IF(分析!W174&lt;&gt;"",分析!W174,"")</f>
        <v>45.63876651982379</v>
      </c>
      <c r="W110" s="157" t="str">
        <f>IF(分析!AD174&lt;&gt;"",分析!AD174,"")</f>
        <v>上昇トレンド▲</v>
      </c>
      <c r="X110" s="158" t="str">
        <f>IF(分析!AE174&lt;&gt;"",分析!AE174,"")</f>
        <v>なし</v>
      </c>
      <c r="Y110" s="159">
        <f>IF(分析!T174&lt;&gt;"",分析!T174,"")</f>
        <v>1</v>
      </c>
      <c r="Z110" s="160" t="str">
        <f>IF(分析!Y174&lt;&gt;"",分析!Y174,"")</f>
        <v>見送り</v>
      </c>
    </row>
    <row r="111" spans="1:26" ht="21.95" customHeight="1">
      <c r="A111" s="146">
        <f>IF(分析!C114&lt;&gt;"",ROW()-2,"")</f>
        <v>109</v>
      </c>
      <c r="B111" s="147" t="str">
        <f>IF(分析!C114&lt;&gt;"",HYPERLINK("https://kabutan.jp/stock/?code="&amp;分析!C114,"株探"),"")</f>
        <v>株探</v>
      </c>
      <c r="C111" s="148">
        <f>IF(分析!C114&lt;&gt;"",分析!C114,"")</f>
        <v>8892</v>
      </c>
      <c r="D111" s="149" t="str">
        <f>IF(分析!D114&lt;&gt;"",分析!D114,"")</f>
        <v>エスコン</v>
      </c>
      <c r="E111" s="150">
        <f>IF(分析!E114&lt;&gt;"",分析!E114,"")</f>
        <v>1077</v>
      </c>
      <c r="F111" s="151">
        <f>IF(分析!F114&lt;&gt;"",分析!F114,"")</f>
        <v>1105</v>
      </c>
      <c r="G111" s="151">
        <f>IF(分析!H114&lt;&gt;"",分析!H114,"")</f>
        <v>1105</v>
      </c>
      <c r="H111" s="151">
        <f>IF(分析!I114&lt;&gt;"",分析!I114,"")</f>
        <v>1077</v>
      </c>
      <c r="I111" s="151">
        <f>IF(分析!J114&lt;&gt;"",分析!J114,"")</f>
        <v>181300</v>
      </c>
      <c r="J111" s="151">
        <f>IF(分析!AB114&lt;&gt;"",分析!AB114,"")</f>
        <v>1726.2657841140526</v>
      </c>
      <c r="K111" s="151">
        <f>IF(分析!AC114&lt;&gt;"",分析!AC114,"")</f>
        <v>1677.1001191895105</v>
      </c>
      <c r="L111" s="151">
        <f>IF(分析!K114&lt;&gt;"",分析!K114,"")</f>
        <v>1267</v>
      </c>
      <c r="M111" s="146" t="str">
        <f>IF(分析!P114&lt;&gt;"",分析!P114,"")</f>
        <v>普通→</v>
      </c>
      <c r="N111" s="152">
        <f>IF(分析!O114&lt;&gt;"",分析!O114,"")</f>
        <v>1.0363553218246255</v>
      </c>
      <c r="O111" s="153">
        <f>IF(分析!X114&lt;&gt;"",分析!X114,"")</f>
        <v>-5.5769247608848218</v>
      </c>
      <c r="P111" s="154">
        <f>IF(分析!L114&lt;&gt;"",分析!L114,"")</f>
        <v>-14.99605367008682</v>
      </c>
      <c r="Q111" s="151">
        <f>IF(分析!S114&lt;&gt;"",分析!S114,"")</f>
        <v>1034</v>
      </c>
      <c r="R111" s="151">
        <f>IF(分析!R114&lt;&gt;"",分析!R114,"")</f>
        <v>1163</v>
      </c>
      <c r="S111" s="146" t="str">
        <f>IF(分析!AA114&lt;&gt;"",分析!AA114,"")</f>
        <v>下落▼</v>
      </c>
      <c r="T111" s="155">
        <f>IF(分析!Z114&lt;&gt;"",分析!Z114,"")</f>
        <v>-2.0018198362147408</v>
      </c>
      <c r="U111" s="146" t="str">
        <f>IF(分析!V114&lt;&gt;"",分析!V114,"")</f>
        <v>通常</v>
      </c>
      <c r="V111" s="156">
        <f>IF(分析!W114&lt;&gt;"",分析!W114,"")</f>
        <v>47.878787878787875</v>
      </c>
      <c r="W111" s="157" t="str">
        <f>IF(分析!AD114&lt;&gt;"",分析!AD114,"")</f>
        <v>もみ合い→</v>
      </c>
      <c r="X111" s="158" t="str">
        <f>IF(分析!AE114&lt;&gt;"",分析!AE114,"")</f>
        <v>なし</v>
      </c>
      <c r="Y111" s="159">
        <f>IF(分析!T114&lt;&gt;"",分析!T114,"")</f>
        <v>0</v>
      </c>
      <c r="Z111" s="160" t="str">
        <f>IF(分析!Y114&lt;&gt;"",分析!Y114,"")</f>
        <v>見送り</v>
      </c>
    </row>
    <row r="112" spans="1:26" ht="21.95" customHeight="1">
      <c r="A112" s="146">
        <f>IF(分析!C104&lt;&gt;"",ROW()-2,"")</f>
        <v>110</v>
      </c>
      <c r="B112" s="147" t="str">
        <f>IF(分析!C104&lt;&gt;"",HYPERLINK("https://kabutan.jp/stock/?code="&amp;分析!C104,"株探"),"")</f>
        <v>株探</v>
      </c>
      <c r="C112" s="148">
        <f>IF(分析!C104&lt;&gt;"",分析!C104,"")</f>
        <v>9020</v>
      </c>
      <c r="D112" s="149" t="str">
        <f>IF(分析!D104&lt;&gt;"",分析!D104,"")</f>
        <v>東日本旅客鉄道</v>
      </c>
      <c r="E112" s="150">
        <f>IF(分析!E104&lt;&gt;"",分析!E104,"")</f>
        <v>3345</v>
      </c>
      <c r="F112" s="151">
        <f>IF(分析!F104&lt;&gt;"",分析!F104,"")</f>
        <v>3445</v>
      </c>
      <c r="G112" s="151">
        <f>IF(分析!H104&lt;&gt;"",分析!H104,"")</f>
        <v>3455</v>
      </c>
      <c r="H112" s="151">
        <f>IF(分析!I104&lt;&gt;"",分析!I104,"")</f>
        <v>3336</v>
      </c>
      <c r="I112" s="151">
        <f>IF(分析!J104&lt;&gt;"",分析!J104,"")</f>
        <v>2698700</v>
      </c>
      <c r="J112" s="151">
        <f>IF(分析!AB104&lt;&gt;"",分析!AB104,"")</f>
        <v>1797.6038696537676</v>
      </c>
      <c r="K112" s="151">
        <f>IF(分析!AC104&lt;&gt;"",分析!AC104,"")</f>
        <v>1835.1632896305118</v>
      </c>
      <c r="L112" s="151">
        <f>IF(分析!K104&lt;&gt;"",分析!K104,"")</f>
        <v>4211</v>
      </c>
      <c r="M112" s="146" t="str">
        <f>IF(分析!P104&lt;&gt;"",分析!P104,"")</f>
        <v>減少↓</v>
      </c>
      <c r="N112" s="152">
        <f>IF(分析!O104&lt;&gt;"",分析!O104,"")</f>
        <v>0.76889982962089221</v>
      </c>
      <c r="O112" s="153">
        <f>IF(分析!X104&lt;&gt;"",分析!X104,"")</f>
        <v>-44.773703525328074</v>
      </c>
      <c r="P112" s="154">
        <f>IF(分析!L104&lt;&gt;"",分析!L104,"")</f>
        <v>-20.565186416528142</v>
      </c>
      <c r="Q112" s="151">
        <f>IF(分析!S104&lt;&gt;"",分析!S104,"")</f>
        <v>3211</v>
      </c>
      <c r="R112" s="151">
        <f>IF(分析!R104&lt;&gt;"",分析!R104,"")</f>
        <v>3613</v>
      </c>
      <c r="S112" s="146" t="str">
        <f>IF(分析!AA104&lt;&gt;"",分析!AA104,"")</f>
        <v>下落▼</v>
      </c>
      <c r="T112" s="155">
        <f>IF(分析!Z104&lt;&gt;"",分析!Z104,"")</f>
        <v>-1.5597410241318423</v>
      </c>
      <c r="U112" s="146" t="str">
        <f>IF(分析!V104&lt;&gt;"",分析!V104,"")</f>
        <v>通常</v>
      </c>
      <c r="V112" s="156">
        <f>IF(分析!W104&lt;&gt;"",分析!W104,"")</f>
        <v>31.690140845070431</v>
      </c>
      <c r="W112" s="157" t="str">
        <f>IF(分析!AD104&lt;&gt;"",分析!AD104,"")</f>
        <v>上昇トレンド▲</v>
      </c>
      <c r="X112" s="158" t="str">
        <f>IF(分析!AE104&lt;&gt;"",分析!AE104,"")</f>
        <v>なし</v>
      </c>
      <c r="Y112" s="159">
        <f>IF(分析!T104&lt;&gt;"",分析!T104,"")</f>
        <v>2</v>
      </c>
      <c r="Z112" s="160" t="str">
        <f>IF(分析!Y104&lt;&gt;"",分析!Y104,"")</f>
        <v>見送り</v>
      </c>
    </row>
    <row r="113" spans="1:26" ht="21.95" customHeight="1">
      <c r="A113" s="146">
        <f>IF(分析!C164&lt;&gt;"",ROW()-2,"")</f>
        <v>111</v>
      </c>
      <c r="B113" s="147" t="str">
        <f>IF(分析!C164&lt;&gt;"",HYPERLINK("https://kabutan.jp/stock/?code="&amp;分析!C164,"株探"),"")</f>
        <v>株探</v>
      </c>
      <c r="C113" s="148">
        <f>IF(分析!C164&lt;&gt;"",分析!C164,"")</f>
        <v>9101</v>
      </c>
      <c r="D113" s="149" t="str">
        <f>IF(分析!D164&lt;&gt;"",分析!D164,"")</f>
        <v>日本郵船</v>
      </c>
      <c r="E113" s="150">
        <f>IF(分析!E164&lt;&gt;"",分析!E164,"")</f>
        <v>5348</v>
      </c>
      <c r="F113" s="151">
        <f>IF(分析!F164&lt;&gt;"",分析!F164,"")</f>
        <v>5409</v>
      </c>
      <c r="G113" s="151">
        <f>IF(分析!H164&lt;&gt;"",分析!H164,"")</f>
        <v>5410</v>
      </c>
      <c r="H113" s="151">
        <f>IF(分析!I164&lt;&gt;"",分析!I164,"")</f>
        <v>5281</v>
      </c>
      <c r="I113" s="151">
        <f>IF(分析!J164&lt;&gt;"",分析!J164,"")</f>
        <v>3087700</v>
      </c>
      <c r="J113" s="151">
        <f>IF(分析!AB164&lt;&gt;"",分析!AB164,"")</f>
        <v>2211.8635437881871</v>
      </c>
      <c r="K113" s="151">
        <f>IF(分析!AC164&lt;&gt;"",分析!AC164,"")</f>
        <v>2236.0190703218109</v>
      </c>
      <c r="L113" s="151">
        <f>IF(分析!K164&lt;&gt;"",分析!K164,"")</f>
        <v>6394</v>
      </c>
      <c r="M113" s="146" t="str">
        <f>IF(分析!P164&lt;&gt;"",分析!P164,"")</f>
        <v>普通→</v>
      </c>
      <c r="N113" s="152">
        <f>IF(分析!O164&lt;&gt;"",分析!O164,"")</f>
        <v>1.0118431228617495</v>
      </c>
      <c r="O113" s="153">
        <f>IF(分析!X164&lt;&gt;"",分析!X164,"")</f>
        <v>14.235355577758128</v>
      </c>
      <c r="P113" s="154">
        <f>IF(分析!L164&lt;&gt;"",分析!L164,"")</f>
        <v>-16.359086643728496</v>
      </c>
      <c r="Q113" s="151">
        <f>IF(分析!S164&lt;&gt;"",分析!S164,"")</f>
        <v>5134</v>
      </c>
      <c r="R113" s="151">
        <f>IF(分析!R164&lt;&gt;"",分析!R164,"")</f>
        <v>5776</v>
      </c>
      <c r="S113" s="146" t="str">
        <f>IF(分析!AA164&lt;&gt;"",分析!AA164,"")</f>
        <v>下落▼</v>
      </c>
      <c r="T113" s="155">
        <f>IF(分析!Z164&lt;&gt;"",分析!Z164,"")</f>
        <v>-2.1587998536406876</v>
      </c>
      <c r="U113" s="146" t="str">
        <f>IF(分析!V164&lt;&gt;"",分析!V164,"")</f>
        <v>通常</v>
      </c>
      <c r="V113" s="156">
        <f>IF(分析!W164&lt;&gt;"",分析!W164,"")</f>
        <v>57.481940144478841</v>
      </c>
      <c r="W113" s="157" t="str">
        <f>IF(分析!AD164&lt;&gt;"",分析!AD164,"")</f>
        <v>上昇トレンド▲</v>
      </c>
      <c r="X113" s="158" t="str">
        <f>IF(分析!AE164&lt;&gt;"",分析!AE164,"")</f>
        <v>なし</v>
      </c>
      <c r="Y113" s="159">
        <f>IF(分析!T164&lt;&gt;"",分析!T164,"")</f>
        <v>3</v>
      </c>
      <c r="Z113" s="160" t="str">
        <f>IF(分析!Y164&lt;&gt;"",分析!Y164,"")</f>
        <v>様子見</v>
      </c>
    </row>
    <row r="114" spans="1:26" ht="21.95" customHeight="1">
      <c r="A114" s="146">
        <f>IF(分析!C78&lt;&gt;"",ROW()-2,"")</f>
        <v>112</v>
      </c>
      <c r="B114" s="147" t="str">
        <f>IF(分析!C78&lt;&gt;"",HYPERLINK("https://kabutan.jp/stock/?code="&amp;分析!C78,"株探"),"")</f>
        <v>株探</v>
      </c>
      <c r="C114" s="148">
        <f>IF(分析!C78&lt;&gt;"",分析!C78,"")</f>
        <v>9404</v>
      </c>
      <c r="D114" s="149" t="str">
        <f>IF(分析!D78&lt;&gt;"",分析!D78,"")</f>
        <v>日本テレビＨＬＤＳ</v>
      </c>
      <c r="E114" s="150">
        <f>IF(分析!E78&lt;&gt;"",分析!E78,"")</f>
        <v>2834</v>
      </c>
      <c r="F114" s="151">
        <f>IF(分析!F78&lt;&gt;"",分析!F78,"")</f>
        <v>2897.5</v>
      </c>
      <c r="G114" s="151">
        <f>IF(分析!H78&lt;&gt;"",分析!H78,"")</f>
        <v>2900</v>
      </c>
      <c r="H114" s="151">
        <f>IF(分析!I78&lt;&gt;"",分析!I78,"")</f>
        <v>2834</v>
      </c>
      <c r="I114" s="151">
        <f>IF(分析!J78&lt;&gt;"",分析!J78,"")</f>
        <v>431500</v>
      </c>
      <c r="J114" s="151">
        <f>IF(分析!AB78&lt;&gt;"",分析!AB78,"")</f>
        <v>5651.6496945010176</v>
      </c>
      <c r="K114" s="151">
        <f>IF(分析!AC78&lt;&gt;"",分析!AC78,"")</f>
        <v>5642.3480333730604</v>
      </c>
      <c r="L114" s="151">
        <f>IF(分析!K78&lt;&gt;"",分析!K78,"")</f>
        <v>3953</v>
      </c>
      <c r="M114" s="146" t="str">
        <f>IF(分析!P78&lt;&gt;"",分析!P78,"")</f>
        <v>減少↓</v>
      </c>
      <c r="N114" s="152">
        <f>IF(分析!O78&lt;&gt;"",分析!O78,"")</f>
        <v>0.74225066226304748</v>
      </c>
      <c r="O114" s="153">
        <f>IF(分析!X78&lt;&gt;"",分析!X78,"")</f>
        <v>-7.9414193258194246</v>
      </c>
      <c r="P114" s="154">
        <f>IF(分析!L78&lt;&gt;"",分析!L78,"")</f>
        <v>-28.30761447002277</v>
      </c>
      <c r="Q114" s="151">
        <f>IF(分析!S78&lt;&gt;"",分析!S78,"")</f>
        <v>2721</v>
      </c>
      <c r="R114" s="151">
        <f>IF(分析!R78&lt;&gt;"",分析!R78,"")</f>
        <v>3061</v>
      </c>
      <c r="S114" s="146" t="str">
        <f>IF(分析!AA78&lt;&gt;"",分析!AA78,"")</f>
        <v>下落▼</v>
      </c>
      <c r="T114" s="155">
        <f>IF(分析!Z78&lt;&gt;"",分析!Z78,"")</f>
        <v>-1.7337031900138695</v>
      </c>
      <c r="U114" s="146" t="str">
        <f>IF(分析!V78&lt;&gt;"",分析!V78,"")</f>
        <v>通常</v>
      </c>
      <c r="V114" s="156">
        <f>IF(分析!W78&lt;&gt;"",分析!W78,"")</f>
        <v>56.145675265553869</v>
      </c>
      <c r="W114" s="157" t="str">
        <f>IF(分析!AD78&lt;&gt;"",分析!AD78,"")</f>
        <v>もみ合い→</v>
      </c>
      <c r="X114" s="158" t="str">
        <f>IF(分析!AE78&lt;&gt;"",分析!AE78,"")</f>
        <v>なし</v>
      </c>
      <c r="Y114" s="159">
        <f>IF(分析!T78&lt;&gt;"",分析!T78,"")</f>
        <v>-1</v>
      </c>
      <c r="Z114" s="160" t="str">
        <f>IF(分析!Y78&lt;&gt;"",分析!Y78,"")</f>
        <v>見送り</v>
      </c>
    </row>
    <row r="115" spans="1:26" ht="21.95" customHeight="1">
      <c r="A115" s="161">
        <f>IF(分析!C107&lt;&gt;"",ROW()-2,"")</f>
        <v>113</v>
      </c>
      <c r="B115" s="162" t="str">
        <f>IF(分析!C107&lt;&gt;"",HYPERLINK("https://kabutan.jp/stock/?code="&amp;分析!C107,"株探"),"")</f>
        <v>株探</v>
      </c>
      <c r="C115" s="163">
        <f>IF(分析!C107&lt;&gt;"",分析!C107,"")</f>
        <v>9416</v>
      </c>
      <c r="D115" s="164" t="str">
        <f>IF(分析!D107&lt;&gt;"",分析!D107,"")</f>
        <v>ビジョン</v>
      </c>
      <c r="E115" s="165">
        <f>IF(分析!E107&lt;&gt;"",分析!E107,"")</f>
        <v>1015</v>
      </c>
      <c r="F115" s="166">
        <f>IF(分析!F107&lt;&gt;"",分析!F107,"")</f>
        <v>1020</v>
      </c>
      <c r="G115" s="166">
        <f>IF(分析!H107&lt;&gt;"",分析!H107,"")</f>
        <v>1026</v>
      </c>
      <c r="H115" s="166">
        <f>IF(分析!I107&lt;&gt;"",分析!I107,"")</f>
        <v>1012</v>
      </c>
      <c r="I115" s="166">
        <f>IF(分析!J107&lt;&gt;"",分析!J107,"")</f>
        <v>504700</v>
      </c>
      <c r="J115" s="166">
        <f>IF(分析!AB107&lt;&gt;"",分析!AB107,"")</f>
        <v>3378.3044806517305</v>
      </c>
      <c r="K115" s="166">
        <f>IF(分析!AC107&lt;&gt;"",分析!AC107,"")</f>
        <v>3455.9952324195456</v>
      </c>
      <c r="L115" s="166">
        <f>IF(分析!K107&lt;&gt;"",分析!K107,"")</f>
        <v>1343</v>
      </c>
      <c r="M115" s="161" t="str">
        <f>IF(分析!P107&lt;&gt;"",分析!P107,"")</f>
        <v>普通→</v>
      </c>
      <c r="N115" s="167">
        <f>IF(分析!O107&lt;&gt;"",分析!O107,"")</f>
        <v>1.2597344249201279</v>
      </c>
      <c r="O115" s="168">
        <f>IF(分析!X107&lt;&gt;"",分析!X107,"")</f>
        <v>-6.4015538988769549</v>
      </c>
      <c r="P115" s="169">
        <f>IF(分析!L107&lt;&gt;"",分析!L107,"")</f>
        <v>-24.422933730454208</v>
      </c>
      <c r="Q115" s="166">
        <f>IF(分析!S107&lt;&gt;"",分析!S107,"")</f>
        <v>974</v>
      </c>
      <c r="R115" s="166">
        <f>IF(分析!R107&lt;&gt;"",分析!R107,"")</f>
        <v>1096</v>
      </c>
      <c r="S115" s="161" t="str">
        <f>IF(分析!AA107&lt;&gt;"",分析!AA107,"")</f>
        <v>下落▼</v>
      </c>
      <c r="T115" s="170">
        <f>IF(分析!Z107&lt;&gt;"",分析!Z107,"")</f>
        <v>-0.29469548133595286</v>
      </c>
      <c r="U115" s="161" t="str">
        <f>IF(分析!V107&lt;&gt;"",分析!V107,"")</f>
        <v>通常</v>
      </c>
      <c r="V115" s="171">
        <f>IF(分析!W107&lt;&gt;"",分析!W107,"")</f>
        <v>27.624309392265189</v>
      </c>
      <c r="W115" s="172" t="str">
        <f>IF(分析!AD107&lt;&gt;"",分析!AD107,"")</f>
        <v>下降トレンド▼</v>
      </c>
      <c r="X115" s="173" t="str">
        <f>IF(分析!AE107&lt;&gt;"",分析!AE107,"")</f>
        <v>なし</v>
      </c>
      <c r="Y115" s="174">
        <f>IF(分析!T107&lt;&gt;"",分析!T107,"")</f>
        <v>2</v>
      </c>
      <c r="Z115" s="160" t="str">
        <f>IF(分析!Y107&lt;&gt;"",分析!Y107,"")</f>
        <v>見送り</v>
      </c>
    </row>
    <row r="116" spans="1:26" ht="21.95" customHeight="1">
      <c r="A116" s="161">
        <f>IF(分析!C105&lt;&gt;"",ROW()-2,"")</f>
        <v>114</v>
      </c>
      <c r="B116" s="162" t="str">
        <f>IF(分析!C105&lt;&gt;"",HYPERLINK("https://kabutan.jp/stock/?code="&amp;分析!C105,"株探"),"")</f>
        <v>株探</v>
      </c>
      <c r="C116" s="163">
        <f>IF(分析!C105&lt;&gt;"",分析!C105,"")</f>
        <v>9501</v>
      </c>
      <c r="D116" s="164" t="str">
        <f>IF(分析!D105&lt;&gt;"",分析!D105,"")</f>
        <v>東京電力ＨＤ</v>
      </c>
      <c r="E116" s="165">
        <f>IF(分析!E105&lt;&gt;"",分析!E105,"")</f>
        <v>508.1</v>
      </c>
      <c r="F116" s="166">
        <f>IF(分析!F105&lt;&gt;"",分析!F105,"")</f>
        <v>523.20000000000005</v>
      </c>
      <c r="G116" s="166">
        <f>IF(分析!H105&lt;&gt;"",分析!H105,"")</f>
        <v>523.5</v>
      </c>
      <c r="H116" s="166">
        <f>IF(分析!I105&lt;&gt;"",分析!I105,"")</f>
        <v>507.4</v>
      </c>
      <c r="I116" s="166">
        <f>IF(分析!J105&lt;&gt;"",分析!J105,"")</f>
        <v>21276700</v>
      </c>
      <c r="J116" s="166">
        <f>IF(分析!AB105&lt;&gt;"",分析!AB105,"")</f>
        <v>18597.571283095716</v>
      </c>
      <c r="K116" s="166">
        <f>IF(分析!AC105&lt;&gt;"",分析!AC105,"")</f>
        <v>17759.481525625735</v>
      </c>
      <c r="L116" s="166">
        <f>IF(分析!K105&lt;&gt;"",分析!K105,"")</f>
        <v>760</v>
      </c>
      <c r="M116" s="161" t="str">
        <f>IF(分析!P105&lt;&gt;"",分析!P105,"")</f>
        <v>減少↓</v>
      </c>
      <c r="N116" s="167">
        <f>IF(分析!O105&lt;&gt;"",分析!O105,"")</f>
        <v>0.71775698538490296</v>
      </c>
      <c r="O116" s="168">
        <f>IF(分析!X105&lt;&gt;"",分析!X105,"")</f>
        <v>-8.7907850691969998</v>
      </c>
      <c r="P116" s="169">
        <f>IF(分析!L105&lt;&gt;"",分析!L105,"")</f>
        <v>-33.14473684210526</v>
      </c>
      <c r="Q116" s="166">
        <f>IF(分析!S105&lt;&gt;"",分析!S105,"")</f>
        <v>488</v>
      </c>
      <c r="R116" s="166">
        <f>IF(分析!R105&lt;&gt;"",分析!R105,"")</f>
        <v>549</v>
      </c>
      <c r="S116" s="161" t="str">
        <f>IF(分析!AA105&lt;&gt;"",分析!AA105,"")</f>
        <v>下落▼</v>
      </c>
      <c r="T116" s="170">
        <f>IF(分析!Z105&lt;&gt;"",分析!Z105,"")</f>
        <v>-1.05160662122687</v>
      </c>
      <c r="U116" s="161" t="str">
        <f>IF(分析!V105&lt;&gt;"",分析!V105,"")</f>
        <v>通常</v>
      </c>
      <c r="V116" s="171">
        <f>IF(分析!W105&lt;&gt;"",分析!W105,"")</f>
        <v>33.017077798861465</v>
      </c>
      <c r="W116" s="172" t="str">
        <f>IF(分析!AD105&lt;&gt;"",分析!AD105,"")</f>
        <v>もみ合い→</v>
      </c>
      <c r="X116" s="173" t="str">
        <f>IF(分析!AE105&lt;&gt;"",分析!AE105,"")</f>
        <v>なし</v>
      </c>
      <c r="Y116" s="174">
        <f>IF(分析!T105&lt;&gt;"",分析!T105,"")</f>
        <v>0</v>
      </c>
      <c r="Z116" s="160" t="str">
        <f>IF(分析!Y105&lt;&gt;"",分析!Y105,"")</f>
        <v>見送り</v>
      </c>
    </row>
    <row r="117" spans="1:26" ht="21.95" customHeight="1">
      <c r="A117" s="161">
        <f>IF(分析!C203&lt;&gt;"",ROW()-2,"")</f>
        <v>115</v>
      </c>
      <c r="B117" s="162" t="str">
        <f>IF(分析!C203&lt;&gt;"",HYPERLINK("https://kabutan.jp/stock/?code="&amp;分析!C203,"株探"),"")</f>
        <v>株探</v>
      </c>
      <c r="C117" s="163">
        <f>IF(分析!C203&lt;&gt;"",分析!C203,"")</f>
        <v>9531</v>
      </c>
      <c r="D117" s="164" t="str">
        <f>IF(分析!D203&lt;&gt;"",分析!D203,"")</f>
        <v>東京瓦斯</v>
      </c>
      <c r="E117" s="165">
        <f>IF(分析!E203&lt;&gt;"",分析!E203,"")</f>
        <v>6151</v>
      </c>
      <c r="F117" s="166">
        <f>IF(分析!F203&lt;&gt;"",分析!F203,"")</f>
        <v>6300</v>
      </c>
      <c r="G117" s="166">
        <f>IF(分析!H203&lt;&gt;"",分析!H203,"")</f>
        <v>6300</v>
      </c>
      <c r="H117" s="166">
        <f>IF(分析!I203&lt;&gt;"",分析!I203,"")</f>
        <v>6138</v>
      </c>
      <c r="I117" s="166">
        <f>IF(分析!J203&lt;&gt;"",分析!J203,"")</f>
        <v>833700</v>
      </c>
      <c r="J117" s="166">
        <f>IF(分析!AB203&lt;&gt;"",分析!AB203,"")</f>
        <v>6234.8709677419338</v>
      </c>
      <c r="K117" s="166">
        <f>IF(分析!AC203&lt;&gt;"",分析!AC203,"")</f>
        <v>6342.0846245530374</v>
      </c>
      <c r="L117" s="166">
        <f>IF(分析!K203&lt;&gt;"",分析!K203,"")</f>
        <v>7967</v>
      </c>
      <c r="M117" s="161" t="str">
        <f>IF(分析!P203&lt;&gt;"",分析!P203,"")</f>
        <v>減少↓</v>
      </c>
      <c r="N117" s="167">
        <f>IF(分析!O203&lt;&gt;"",分析!O203,"")</f>
        <v>0.80773926017788289</v>
      </c>
      <c r="O117" s="168">
        <f>IF(分析!X203&lt;&gt;"",分析!X203,"")</f>
        <v>-45.072040964973894</v>
      </c>
      <c r="P117" s="169">
        <f>IF(分析!L203&lt;&gt;"",分析!L203,"")</f>
        <v>-22.794025354587674</v>
      </c>
      <c r="Q117" s="166">
        <f>IF(分析!S203&lt;&gt;"",分析!S203,"")</f>
        <v>5905</v>
      </c>
      <c r="R117" s="166">
        <f>IF(分析!R203&lt;&gt;"",分析!R203,"")</f>
        <v>6643</v>
      </c>
      <c r="S117" s="161" t="str">
        <f>IF(分析!AA203&lt;&gt;"",分析!AA203,"")</f>
        <v>下落▼</v>
      </c>
      <c r="T117" s="170">
        <f>IF(分析!Z203&lt;&gt;"",分析!Z203,"")</f>
        <v>-1.1569982323638117</v>
      </c>
      <c r="U117" s="161" t="str">
        <f>IF(分析!V203&lt;&gt;"",分析!V203,"")</f>
        <v>通常</v>
      </c>
      <c r="V117" s="171">
        <f>IF(分析!W203&lt;&gt;"",分析!W203,"")</f>
        <v>40.414041404140413</v>
      </c>
      <c r="W117" s="172" t="str">
        <f>IF(分析!AD203&lt;&gt;"",分析!AD203,"")</f>
        <v>下降トレンド▼</v>
      </c>
      <c r="X117" s="173" t="str">
        <f>IF(分析!AE203&lt;&gt;"",分析!AE203,"")</f>
        <v>なし</v>
      </c>
      <c r="Y117" s="174">
        <f>IF(分析!T203&lt;&gt;"",分析!T203,"")</f>
        <v>-1</v>
      </c>
      <c r="Z117" s="160" t="str">
        <f>IF(分析!Y203&lt;&gt;"",分析!Y203,"")</f>
        <v>見送り</v>
      </c>
    </row>
    <row r="118" spans="1:26" ht="21.95" customHeight="1">
      <c r="A118" s="161">
        <f>IF(分析!C79&lt;&gt;"",ROW()-2,"")</f>
        <v>116</v>
      </c>
      <c r="B118" s="162" t="str">
        <f>IF(分析!C79&lt;&gt;"",HYPERLINK("https://kabutan.jp/stock/?code="&amp;分析!C79,"株探"),"")</f>
        <v>株探</v>
      </c>
      <c r="C118" s="163">
        <f>IF(分析!C79&lt;&gt;"",分析!C79,"")</f>
        <v>9532</v>
      </c>
      <c r="D118" s="164" t="str">
        <f>IF(分析!D79&lt;&gt;"",分析!D79,"")</f>
        <v>大阪瓦斯</v>
      </c>
      <c r="E118" s="165">
        <f>IF(分析!E79&lt;&gt;"",分析!E79,"")</f>
        <v>5446</v>
      </c>
      <c r="F118" s="166">
        <f>IF(分析!F79&lt;&gt;"",分析!F79,"")</f>
        <v>5527</v>
      </c>
      <c r="G118" s="166">
        <f>IF(分析!H79&lt;&gt;"",分析!H79,"")</f>
        <v>5543</v>
      </c>
      <c r="H118" s="166">
        <f>IF(分析!I79&lt;&gt;"",分析!I79,"")</f>
        <v>5420</v>
      </c>
      <c r="I118" s="166">
        <f>IF(分析!J79&lt;&gt;"",分析!J79,"")</f>
        <v>723500</v>
      </c>
      <c r="J118" s="166">
        <f>IF(分析!AB79&lt;&gt;"",分析!AB79,"")</f>
        <v>5133.890020366598</v>
      </c>
      <c r="K118" s="166">
        <f>IF(分析!AC79&lt;&gt;"",分析!AC79,"")</f>
        <v>5046.5065554231214</v>
      </c>
      <c r="L118" s="166">
        <f>IF(分析!K79&lt;&gt;"",分析!K79,"")</f>
        <v>6828</v>
      </c>
      <c r="M118" s="161" t="str">
        <f>IF(分析!P79&lt;&gt;"",分析!P79,"")</f>
        <v>減少↓</v>
      </c>
      <c r="N118" s="167">
        <f>IF(分析!O79&lt;&gt;"",分析!O79,"")</f>
        <v>0.68899512418101483</v>
      </c>
      <c r="O118" s="168">
        <f>IF(分析!X79&lt;&gt;"",分析!X79,"")</f>
        <v>-16.048555359635429</v>
      </c>
      <c r="P118" s="169">
        <f>IF(分析!L79&lt;&gt;"",分析!L79,"")</f>
        <v>-20.240187463386057</v>
      </c>
      <c r="Q118" s="166">
        <f>IF(分析!S79&lt;&gt;"",分析!S79,"")</f>
        <v>5228</v>
      </c>
      <c r="R118" s="166">
        <f>IF(分析!R79&lt;&gt;"",分析!R79,"")</f>
        <v>5882</v>
      </c>
      <c r="S118" s="161" t="str">
        <f>IF(分析!AA79&lt;&gt;"",分析!AA79,"")</f>
        <v>下落▼</v>
      </c>
      <c r="T118" s="170">
        <f>IF(分析!Z79&lt;&gt;"",分析!Z79,"")</f>
        <v>-0.63856960408684549</v>
      </c>
      <c r="U118" s="161" t="str">
        <f>IF(分析!V79&lt;&gt;"",分析!V79,"")</f>
        <v>通常</v>
      </c>
      <c r="V118" s="171">
        <f>IF(分析!W79&lt;&gt;"",分析!W79,"")</f>
        <v>45.742574257425744</v>
      </c>
      <c r="W118" s="172" t="str">
        <f>IF(分析!AD79&lt;&gt;"",分析!AD79,"")</f>
        <v>パーフェクト▲</v>
      </c>
      <c r="X118" s="173" t="str">
        <f>IF(分析!AE79&lt;&gt;"",分析!AE79,"")</f>
        <v>なし</v>
      </c>
      <c r="Y118" s="174">
        <f>IF(分析!T79&lt;&gt;"",分析!T79,"")</f>
        <v>2</v>
      </c>
      <c r="Z118" s="160" t="str">
        <f>IF(分析!Y79&lt;&gt;"",分析!Y79,"")</f>
        <v>見送り</v>
      </c>
    </row>
    <row r="119" spans="1:26" ht="21.95" customHeight="1">
      <c r="A119" s="146">
        <f>IF(分析!C134&lt;&gt;"",ROW()-2,"")</f>
        <v>117</v>
      </c>
      <c r="B119" s="147" t="str">
        <f>IF(分析!C134&lt;&gt;"",HYPERLINK("https://kabutan.jp/stock/?code="&amp;分析!C134,"株探"),"")</f>
        <v>株探</v>
      </c>
      <c r="C119" s="148">
        <f>IF(分析!C134&lt;&gt;"",分析!C134,"")</f>
        <v>9551</v>
      </c>
      <c r="D119" s="149" t="str">
        <f>IF(分析!D134&lt;&gt;"",分析!D134,"")</f>
        <v>メタウォーター</v>
      </c>
      <c r="E119" s="150">
        <f>IF(分析!E134&lt;&gt;"",分析!E134,"")</f>
        <v>3410</v>
      </c>
      <c r="F119" s="151">
        <f>IF(分析!F134&lt;&gt;"",分析!F134,"")</f>
        <v>3365</v>
      </c>
      <c r="G119" s="151">
        <f>IF(分析!H134&lt;&gt;"",分析!H134,"")</f>
        <v>3435</v>
      </c>
      <c r="H119" s="151">
        <f>IF(分析!I134&lt;&gt;"",分析!I134,"")</f>
        <v>3350</v>
      </c>
      <c r="I119" s="151">
        <f>IF(分析!J134&lt;&gt;"",分析!J134,"")</f>
        <v>90900</v>
      </c>
      <c r="J119" s="151">
        <f>IF(分析!AB134&lt;&gt;"",分析!AB134,"")</f>
        <v>1081.736252545825</v>
      </c>
      <c r="K119" s="151">
        <f>IF(分析!AC134&lt;&gt;"",分析!AC134,"")</f>
        <v>1109.3015494636468</v>
      </c>
      <c r="L119" s="151">
        <f>IF(分析!K134&lt;&gt;"",分析!K134,"")</f>
        <v>4220</v>
      </c>
      <c r="M119" s="146" t="str">
        <f>IF(分析!P134&lt;&gt;"",分析!P134,"")</f>
        <v>減少↓</v>
      </c>
      <c r="N119" s="152">
        <f>IF(分析!O134&lt;&gt;"",分析!O134,"")</f>
        <v>0.83180819912152271</v>
      </c>
      <c r="O119" s="153">
        <f>IF(分析!X134&lt;&gt;"",分析!X134,"")</f>
        <v>-5.6604965789542803</v>
      </c>
      <c r="P119" s="154">
        <f>IF(分析!L134&lt;&gt;"",分析!L134,"")</f>
        <v>-19.194312796208532</v>
      </c>
      <c r="Q119" s="151">
        <f>IF(分析!S134&lt;&gt;"",分析!S134,"")</f>
        <v>3274</v>
      </c>
      <c r="R119" s="151">
        <f>IF(分析!R134&lt;&gt;"",分析!R134,"")</f>
        <v>3683</v>
      </c>
      <c r="S119" s="146" t="str">
        <f>IF(分析!AA134&lt;&gt;"",分析!AA134,"")</f>
        <v>上昇▲</v>
      </c>
      <c r="T119" s="155">
        <f>IF(分析!Z134&lt;&gt;"",分析!Z134,"")</f>
        <v>2.0958083832335328</v>
      </c>
      <c r="U119" s="146" t="str">
        <f>IF(分析!V134&lt;&gt;"",分析!V134,"")</f>
        <v>通常</v>
      </c>
      <c r="V119" s="156">
        <f>IF(分析!W134&lt;&gt;"",分析!W134,"")</f>
        <v>52.941176470588232</v>
      </c>
      <c r="W119" s="157" t="str">
        <f>IF(分析!AD134&lt;&gt;"",分析!AD134,"")</f>
        <v>上昇トレンド▲</v>
      </c>
      <c r="X119" s="158" t="str">
        <f>IF(分析!AE134&lt;&gt;"",分析!AE134,"")</f>
        <v>なし</v>
      </c>
      <c r="Y119" s="159">
        <f>IF(分析!T134&lt;&gt;"",分析!T134,"")</f>
        <v>2</v>
      </c>
      <c r="Z119" s="160" t="str">
        <f>IF(分析!Y134&lt;&gt;"",分析!Y134,"")</f>
        <v>見送り</v>
      </c>
    </row>
    <row r="120" spans="1:26" ht="21.95" customHeight="1">
      <c r="A120" s="146">
        <f>IF(分析!C110&lt;&gt;"",ROW()-2,"")</f>
        <v>118</v>
      </c>
      <c r="B120" s="147" t="str">
        <f>IF(分析!C110&lt;&gt;"",HYPERLINK("https://kabutan.jp/stock/?code="&amp;分析!C110,"株探"),"")</f>
        <v>株探</v>
      </c>
      <c r="C120" s="148" t="str">
        <f>IF(分析!C110&lt;&gt;"",分析!C110,"")</f>
        <v>4568</v>
      </c>
      <c r="D120" s="149" t="str">
        <f>IF(分析!D110&lt;&gt;"",分析!D110,"")</f>
        <v>第一三共</v>
      </c>
      <c r="E120" s="150">
        <f>IF(分析!E110&lt;&gt;"",分析!E110,"")</f>
        <v>2595.5</v>
      </c>
      <c r="F120" s="151">
        <f>IF(分析!F110&lt;&gt;"",分析!F110,"")</f>
        <v>2550</v>
      </c>
      <c r="G120" s="151">
        <f>IF(分析!H110&lt;&gt;"",分析!H110,"")</f>
        <v>2632</v>
      </c>
      <c r="H120" s="151">
        <f>IF(分析!I110&lt;&gt;"",分析!I110,"")</f>
        <v>2545</v>
      </c>
      <c r="I120" s="151">
        <f>IF(分析!J110&lt;&gt;"",分析!J110,"")</f>
        <v>7992100</v>
      </c>
      <c r="J120" s="151">
        <f>IF(分析!AB110&lt;&gt;"",分析!AB110,"")</f>
        <v>514.89714867617101</v>
      </c>
      <c r="K120" s="151">
        <f>IF(分析!AC110&lt;&gt;"",分析!AC110,"")</f>
        <v>556.44934445768752</v>
      </c>
      <c r="L120" s="151">
        <f>IF(分析!K110&lt;&gt;"",分析!K110,"")</f>
        <v>3625</v>
      </c>
      <c r="M120" s="146" t="str">
        <f>IF(分析!P110&lt;&gt;"",分析!P110,"")</f>
        <v>普通→</v>
      </c>
      <c r="N120" s="152">
        <f>IF(分析!O110&lt;&gt;"",分析!O110,"")</f>
        <v>1.1295264584587641</v>
      </c>
      <c r="O120" s="153">
        <f>IF(分析!X110&lt;&gt;"",分析!X110,"")</f>
        <v>-20.507582421518237</v>
      </c>
      <c r="P120" s="154">
        <f>IF(分析!L110&lt;&gt;"",分析!L110,"")</f>
        <v>-28.4</v>
      </c>
      <c r="Q120" s="151">
        <f>IF(分析!S110&lt;&gt;"",分析!S110,"")</f>
        <v>2492</v>
      </c>
      <c r="R120" s="151">
        <f>IF(分析!R110&lt;&gt;"",分析!R110,"")</f>
        <v>2803</v>
      </c>
      <c r="S120" s="146" t="str">
        <f>IF(分析!AA110&lt;&gt;"",分析!AA110,"")</f>
        <v>上昇▲</v>
      </c>
      <c r="T120" s="155">
        <f>IF(分析!Z110&lt;&gt;"",分析!Z110,"")</f>
        <v>3.0164715221274063</v>
      </c>
      <c r="U120" s="146" t="str">
        <f>IF(分析!V110&lt;&gt;"",分析!V110,"")</f>
        <v>通常</v>
      </c>
      <c r="V120" s="156">
        <f>IF(分析!W110&lt;&gt;"",分析!W110,"")</f>
        <v>34.764309764309772</v>
      </c>
      <c r="W120" s="157" t="str">
        <f>IF(分析!AD110&lt;&gt;"",分析!AD110,"")</f>
        <v>上昇トレンド▲</v>
      </c>
      <c r="X120" s="158" t="str">
        <f>IF(分析!AE110&lt;&gt;"",分析!AE110,"")</f>
        <v>なし</v>
      </c>
      <c r="Y120" s="159">
        <f>IF(分析!T110&lt;&gt;"",分析!T110,"")</f>
        <v>5</v>
      </c>
      <c r="Z120" s="160" t="str">
        <f>IF(分析!Y110&lt;&gt;"",分析!Y110,"")</f>
        <v>様子見</v>
      </c>
    </row>
    <row r="121" spans="1:26" ht="21.95" customHeight="1">
      <c r="A121" s="146">
        <f>IF(分析!C194&lt;&gt;"",ROW()-2,"")</f>
        <v>119</v>
      </c>
      <c r="B121" s="147" t="str">
        <f>IF(分析!C194&lt;&gt;"",HYPERLINK("https://kabutan.jp/stock/?code="&amp;分析!C194,"株探"),"")</f>
        <v>株探</v>
      </c>
      <c r="C121" s="148" t="str">
        <f>IF(分析!C194&lt;&gt;"",分析!C194,"")</f>
        <v>6485</v>
      </c>
      <c r="D121" s="149" t="str">
        <f>IF(分析!D194&lt;&gt;"",分析!D194,"")</f>
        <v>前澤給装工業</v>
      </c>
      <c r="E121" s="150">
        <f>IF(分析!E194&lt;&gt;"",分析!E194,"")</f>
        <v>1454</v>
      </c>
      <c r="F121" s="151">
        <f>IF(分析!F194&lt;&gt;"",分析!F194,"")</f>
        <v>1458</v>
      </c>
      <c r="G121" s="151">
        <f>IF(分析!H194&lt;&gt;"",分析!H194,"")</f>
        <v>1469</v>
      </c>
      <c r="H121" s="151">
        <f>IF(分析!I194&lt;&gt;"",分析!I194,"")</f>
        <v>1454</v>
      </c>
      <c r="I121" s="151">
        <f>IF(分析!J194&lt;&gt;"",分析!J194,"")</f>
        <v>17700</v>
      </c>
      <c r="J121" s="151">
        <f>IF(分析!AB194&lt;&gt;"",分析!AB194,"")</f>
        <v>25005.916496945007</v>
      </c>
      <c r="K121" s="151">
        <f>IF(分析!AC194&lt;&gt;"",分析!AC194,"")</f>
        <v>23863.635280095343</v>
      </c>
      <c r="L121" s="151">
        <f>IF(分析!K194&lt;&gt;"",分析!K194,"")</f>
        <v>1787</v>
      </c>
      <c r="M121" s="146" t="str">
        <f>IF(分析!P194&lt;&gt;"",分析!P194,"")</f>
        <v>減少↓</v>
      </c>
      <c r="N121" s="152">
        <f>IF(分析!O194&lt;&gt;"",分析!O194,"")</f>
        <v>0.92091571279916751</v>
      </c>
      <c r="O121" s="153">
        <f>IF(分析!X194&lt;&gt;"",分析!X194,"")</f>
        <v>-3.5016776853910869</v>
      </c>
      <c r="P121" s="154">
        <f>IF(分析!L194&lt;&gt;"",分析!L194,"")</f>
        <v>-18.63458310016788</v>
      </c>
      <c r="Q121" s="151">
        <f>IF(分析!S194&lt;&gt;"",分析!S194,"")</f>
        <v>1396</v>
      </c>
      <c r="R121" s="151">
        <f>IF(分析!R194&lt;&gt;"",分析!R194,"")</f>
        <v>1570</v>
      </c>
      <c r="S121" s="146" t="str">
        <f>IF(分析!AA194&lt;&gt;"",分析!AA194,"")</f>
        <v>上昇▲</v>
      </c>
      <c r="T121" s="155">
        <f>IF(分析!Z194&lt;&gt;"",分析!Z194,"")</f>
        <v>0.34506556245686681</v>
      </c>
      <c r="U121" s="146" t="str">
        <f>IF(分析!V194&lt;&gt;"",分析!V194,"")</f>
        <v>通常</v>
      </c>
      <c r="V121" s="156">
        <f>IF(分析!W194&lt;&gt;"",分析!W194,"")</f>
        <v>59.313725490196077</v>
      </c>
      <c r="W121" s="157" t="str">
        <f>IF(分析!AD194&lt;&gt;"",分析!AD194,"")</f>
        <v>もみ合い→</v>
      </c>
      <c r="X121" s="158" t="str">
        <f>IF(分析!AE194&lt;&gt;"",分析!AE194,"")</f>
        <v>なし</v>
      </c>
      <c r="Y121" s="159">
        <f>IF(分析!T194&lt;&gt;"",分析!T194,"")</f>
        <v>0</v>
      </c>
      <c r="Z121" s="160" t="str">
        <f>IF(分析!Y194&lt;&gt;"",分析!Y194,"")</f>
        <v>見送り</v>
      </c>
    </row>
    <row r="122" spans="1:26" ht="21.95" customHeight="1">
      <c r="A122" s="161">
        <f>IF(分析!C163&lt;&gt;"",ROW()-2,"")</f>
        <v>120</v>
      </c>
      <c r="B122" s="162" t="str">
        <f>IF(分析!C163&lt;&gt;"",HYPERLINK("https://kabutan.jp/stock/?code="&amp;分析!C163,"株探"),"")</f>
        <v>株探</v>
      </c>
      <c r="C122" s="163" t="str">
        <f>IF(分析!C163&lt;&gt;"",分析!C163,"")</f>
        <v>9064</v>
      </c>
      <c r="D122" s="164" t="str">
        <f>IF(分析!D163&lt;&gt;"",分析!D163,"")</f>
        <v>ヤマトホールディングス</v>
      </c>
      <c r="E122" s="165">
        <f>IF(分析!E163&lt;&gt;"",分析!E163,"")</f>
        <v>1769.5</v>
      </c>
      <c r="F122" s="166">
        <f>IF(分析!F163&lt;&gt;"",分析!F163,"")</f>
        <v>1770</v>
      </c>
      <c r="G122" s="166">
        <f>IF(分析!H163&lt;&gt;"",分析!H163,"")</f>
        <v>1780</v>
      </c>
      <c r="H122" s="166">
        <f>IF(分析!I163&lt;&gt;"",分析!I163,"")</f>
        <v>1763</v>
      </c>
      <c r="I122" s="166">
        <f>IF(分析!J163&lt;&gt;"",分析!J163,"")</f>
        <v>830300</v>
      </c>
      <c r="J122" s="166">
        <f>IF(分析!AB163&lt;&gt;"",分析!AB163,"")</f>
        <v>5904.6527494908332</v>
      </c>
      <c r="K122" s="166">
        <f>IF(分析!AC163&lt;&gt;"",分析!AC163,"")</f>
        <v>6035.6007151370677</v>
      </c>
      <c r="L122" s="166">
        <f>IF(分析!K163&lt;&gt;"",分析!K163,"")</f>
        <v>2275</v>
      </c>
      <c r="M122" s="161" t="str">
        <f>IF(分析!P163&lt;&gt;"",分析!P163,"")</f>
        <v>減少↓</v>
      </c>
      <c r="N122" s="167">
        <f>IF(分析!O163&lt;&gt;"",分析!O163,"")</f>
        <v>0.73939836500614453</v>
      </c>
      <c r="O122" s="168">
        <f>IF(分析!X163&lt;&gt;"",分析!X163,"")</f>
        <v>3.7881399782686458</v>
      </c>
      <c r="P122" s="169">
        <f>IF(分析!L163&lt;&gt;"",分析!L163,"")</f>
        <v>-22.219780219780219</v>
      </c>
      <c r="Q122" s="166">
        <f>IF(分析!S163&lt;&gt;"",分析!S163,"")</f>
        <v>1699</v>
      </c>
      <c r="R122" s="166">
        <f>IF(分析!R163&lt;&gt;"",分析!R163,"")</f>
        <v>1911</v>
      </c>
      <c r="S122" s="161" t="str">
        <f>IF(分析!AA163&lt;&gt;"",分析!AA163,"")</f>
        <v>下落▼</v>
      </c>
      <c r="T122" s="170">
        <f>IF(分析!Z163&lt;&gt;"",分析!Z163,"")</f>
        <v>-0.28176951253874327</v>
      </c>
      <c r="U122" s="161" t="str">
        <f>IF(分析!V163&lt;&gt;"",分析!V163,"")</f>
        <v>通常</v>
      </c>
      <c r="V122" s="171">
        <f>IF(分析!W163&lt;&gt;"",分析!W163,"")</f>
        <v>50.24154589371981</v>
      </c>
      <c r="W122" s="172" t="str">
        <f>IF(分析!AD163&lt;&gt;"",分析!AD163,"")</f>
        <v>下降トレンド▼</v>
      </c>
      <c r="X122" s="173" t="str">
        <f>IF(分析!AE163&lt;&gt;"",分析!AE163,"")</f>
        <v>なし</v>
      </c>
      <c r="Y122" s="174">
        <f>IF(分析!T163&lt;&gt;"",分析!T163,"")</f>
        <v>0</v>
      </c>
      <c r="Z122" s="160" t="str">
        <f>IF(分析!Y163&lt;&gt;"",分析!Y163,"")</f>
        <v>見送り</v>
      </c>
    </row>
    <row r="123" spans="1:26" ht="21.95" customHeight="1">
      <c r="A123" s="161">
        <f>IF(分析!C27&lt;&gt;"",ROW()-2,"")</f>
        <v>121</v>
      </c>
      <c r="B123" s="162" t="str">
        <f>IF(分析!C27&lt;&gt;"",HYPERLINK("https://kabutan.jp/stock/?code="&amp;分析!C27,"株探"),"")</f>
        <v>株探</v>
      </c>
      <c r="C123" s="163">
        <f>IF(分析!C27&lt;&gt;"",分析!C27,"")</f>
        <v>6327</v>
      </c>
      <c r="D123" s="164" t="str">
        <f>IF(分析!D27&lt;&gt;"",分析!D27,"")</f>
        <v>北川精機</v>
      </c>
      <c r="E123" s="165">
        <f>IF(分析!E27&lt;&gt;"",分析!E27,"")</f>
        <v>5150</v>
      </c>
      <c r="F123" s="166">
        <f>IF(分析!F27&lt;&gt;"",分析!F27,"")</f>
        <v>4720</v>
      </c>
      <c r="G123" s="166">
        <f>IF(分析!H27&lt;&gt;"",分析!H27,"")</f>
        <v>5150</v>
      </c>
      <c r="H123" s="166">
        <f>IF(分析!I27&lt;&gt;"",分析!I27,"")</f>
        <v>4450</v>
      </c>
      <c r="I123" s="166">
        <f>IF(分析!J27&lt;&gt;"",分析!J27,"")</f>
        <v>918200</v>
      </c>
      <c r="J123" s="166">
        <f>IF(分析!AB27&lt;&gt;"",分析!AB27,"")</f>
        <v>1241.9052953156822</v>
      </c>
      <c r="K123" s="166">
        <f>IF(分析!AC27&lt;&gt;"",分析!AC27,"")</f>
        <v>1273.5756853396897</v>
      </c>
      <c r="L123" s="166">
        <f>IF(分析!K27&lt;&gt;"",分析!K27,"")</f>
        <v>6910</v>
      </c>
      <c r="M123" s="161" t="str">
        <f>IF(分析!P27&lt;&gt;"",分析!P27,"")</f>
        <v>普通→</v>
      </c>
      <c r="N123" s="167">
        <f>IF(分析!O27&lt;&gt;"",分析!O27,"")</f>
        <v>1.2693190301086565</v>
      </c>
      <c r="O123" s="168">
        <f>IF(分析!X27&lt;&gt;"",分析!X27,"")</f>
        <v>116.13106444461528</v>
      </c>
      <c r="P123" s="169">
        <f>IF(分析!L27&lt;&gt;"",分析!L27,"")</f>
        <v>-25.470332850940665</v>
      </c>
      <c r="Q123" s="166">
        <f>IF(分析!S27&lt;&gt;"",分析!S27,"")</f>
        <v>4944</v>
      </c>
      <c r="R123" s="166">
        <f>IF(分析!R27&lt;&gt;"",分析!R27,"")</f>
        <v>5562</v>
      </c>
      <c r="S123" s="161" t="str">
        <f>IF(分析!AA27&lt;&gt;"",分析!AA27,"")</f>
        <v>上昇▲</v>
      </c>
      <c r="T123" s="170">
        <f>IF(分析!Z27&lt;&gt;"",分析!Z27,"")</f>
        <v>15.860517435320585</v>
      </c>
      <c r="U123" s="161" t="str">
        <f>IF(分析!V27&lt;&gt;"",分析!V27,"")</f>
        <v>通常</v>
      </c>
      <c r="V123" s="171">
        <f>IF(分析!W27&lt;&gt;"",分析!W27,"")</f>
        <v>57.315340909090907</v>
      </c>
      <c r="W123" s="172" t="str">
        <f>IF(分析!AD27&lt;&gt;"",分析!AD27,"")</f>
        <v>上昇トレンド▲</v>
      </c>
      <c r="X123" s="173" t="str">
        <f>IF(分析!AE27&lt;&gt;"",分析!AE27,"")</f>
        <v>なし</v>
      </c>
      <c r="Y123" s="174">
        <f>IF(分析!T27&lt;&gt;"",分析!T27,"")</f>
        <v>9</v>
      </c>
      <c r="Z123" s="160" t="str">
        <f>IF(分析!Y27&lt;&gt;"",分析!Y27,"")</f>
        <v>△注目</v>
      </c>
    </row>
    <row r="124" spans="1:26" ht="21.95" customHeight="1">
      <c r="A124" s="146">
        <f>IF(分析!C8&lt;&gt;"",ROW()-2,"")</f>
        <v>122</v>
      </c>
      <c r="B124" s="147" t="str">
        <f>IF(分析!C8&lt;&gt;"",HYPERLINK("https://kabutan.jp/stock/?code="&amp;分析!C8,"株探"),"")</f>
        <v>株探</v>
      </c>
      <c r="C124" s="148">
        <f>IF(分析!C8&lt;&gt;"",分析!C8,"")</f>
        <v>9348</v>
      </c>
      <c r="D124" s="149" t="str">
        <f>IF(分析!D8&lt;&gt;"",分析!D8,"")</f>
        <v>ｉｓｐａｃｅ</v>
      </c>
      <c r="E124" s="150">
        <f>IF(分析!E8&lt;&gt;"",分析!E8,"")</f>
        <v>473</v>
      </c>
      <c r="F124" s="151">
        <f>IF(分析!F8&lt;&gt;"",分析!F8,"")</f>
        <v>471</v>
      </c>
      <c r="G124" s="151">
        <f>IF(分析!H8&lt;&gt;"",分析!H8,"")</f>
        <v>494</v>
      </c>
      <c r="H124" s="151">
        <f>IF(分析!I8&lt;&gt;"",分析!I8,"")</f>
        <v>468</v>
      </c>
      <c r="I124" s="151">
        <f>IF(分析!J8&lt;&gt;"",分析!J8,"")</f>
        <v>2625000</v>
      </c>
      <c r="J124" s="151">
        <f>IF(分析!AB8&lt;&gt;"",分析!AB8,"")</f>
        <v>9572.4124236252555</v>
      </c>
      <c r="K124" s="151">
        <f>IF(分析!AC8&lt;&gt;"",分析!AC8,"")</f>
        <v>9926.897497020258</v>
      </c>
      <c r="L124" s="151">
        <f>IF(分析!K8&lt;&gt;"",分析!K8,"")</f>
        <v>710</v>
      </c>
      <c r="M124" s="146" t="str">
        <f>IF(分析!P8&lt;&gt;"",分析!P8,"")</f>
        <v>減少↓</v>
      </c>
      <c r="N124" s="152">
        <f>IF(分析!O8&lt;&gt;"",分析!O8,"")</f>
        <v>0.89308800914522124</v>
      </c>
      <c r="O124" s="153">
        <f>IF(分析!X8&lt;&gt;"",分析!X8,"")</f>
        <v>-4.2534698036529335</v>
      </c>
      <c r="P124" s="154">
        <f>IF(分析!L8&lt;&gt;"",分析!L8,"")</f>
        <v>-33.380281690140848</v>
      </c>
      <c r="Q124" s="151">
        <f>IF(分析!S8&lt;&gt;"",分析!S8,"")</f>
        <v>454</v>
      </c>
      <c r="R124" s="151">
        <f>IF(分析!R8&lt;&gt;"",分析!R8,"")</f>
        <v>511</v>
      </c>
      <c r="S124" s="146" t="str">
        <f>IF(分析!AA8&lt;&gt;"",分析!AA8,"")</f>
        <v>上昇▲</v>
      </c>
      <c r="T124" s="155">
        <f>IF(分析!Z8&lt;&gt;"",分析!Z8,"")</f>
        <v>1.0683760683760684</v>
      </c>
      <c r="U124" s="146" t="str">
        <f>IF(分析!V8&lt;&gt;"",分析!V8,"")</f>
        <v>通常</v>
      </c>
      <c r="V124" s="156">
        <f>IF(分析!W8&lt;&gt;"",分析!W8,"")</f>
        <v>38.28451882845188</v>
      </c>
      <c r="W124" s="157" t="str">
        <f>IF(分析!AD8&lt;&gt;"",分析!AD8,"")</f>
        <v>下降トレンド▼</v>
      </c>
      <c r="X124" s="158" t="str">
        <f>IF(分析!AE8&lt;&gt;"",分析!AE8,"")</f>
        <v>なし</v>
      </c>
      <c r="Y124" s="159">
        <f>IF(分析!T8&lt;&gt;"",分析!T8,"")</f>
        <v>1</v>
      </c>
      <c r="Z124" s="160" t="str">
        <f>IF(分析!Y8&lt;&gt;"",分析!Y8,"")</f>
        <v>見送り</v>
      </c>
    </row>
    <row r="125" spans="1:26" ht="21.95" customHeight="1">
      <c r="A125" s="146">
        <f>IF(分析!C54&lt;&gt;"",ROW()-2,"")</f>
        <v>123</v>
      </c>
      <c r="B125" s="147" t="str">
        <f>IF(分析!C54&lt;&gt;"",HYPERLINK("https://kabutan.jp/stock/?code="&amp;分析!C54,"株探"),"")</f>
        <v>株探</v>
      </c>
      <c r="C125" s="148">
        <f>IF(分析!C54&lt;&gt;"",分析!C54,"")</f>
        <v>3854</v>
      </c>
      <c r="D125" s="149" t="str">
        <f>IF(分析!D54&lt;&gt;"",分析!D54,"")</f>
        <v>アイル</v>
      </c>
      <c r="E125" s="150">
        <f>IF(分析!E54&lt;&gt;"",分析!E54,"")</f>
        <v>2190</v>
      </c>
      <c r="F125" s="151">
        <f>IF(分析!F54&lt;&gt;"",分析!F54,"")</f>
        <v>2170</v>
      </c>
      <c r="G125" s="151">
        <f>IF(分析!H54&lt;&gt;"",分析!H54,"")</f>
        <v>2206</v>
      </c>
      <c r="H125" s="151">
        <f>IF(分析!I54&lt;&gt;"",分析!I54,"")</f>
        <v>2159</v>
      </c>
      <c r="I125" s="151">
        <f>IF(分析!J54&lt;&gt;"",分析!J54,"")</f>
        <v>125700</v>
      </c>
      <c r="J125" s="151">
        <f>IF(分析!AB54&lt;&gt;"",分析!AB54,"")</f>
        <v>3355.5091649694505</v>
      </c>
      <c r="K125" s="151">
        <f>IF(分析!AC54&lt;&gt;"",分析!AC54,"")</f>
        <v>3692.544696066745</v>
      </c>
      <c r="L125" s="151">
        <f>IF(分析!K54&lt;&gt;"",分析!K54,"")</f>
        <v>2653</v>
      </c>
      <c r="M125" s="146" t="str">
        <f>IF(分析!P54&lt;&gt;"",分析!P54,"")</f>
        <v>普通→</v>
      </c>
      <c r="N125" s="152">
        <f>IF(分析!O54&lt;&gt;"",分析!O54,"")</f>
        <v>1.1418968023255813</v>
      </c>
      <c r="O125" s="153">
        <f>IF(分析!X54&lt;&gt;"",分析!X54,"")</f>
        <v>-26.050290758997562</v>
      </c>
      <c r="P125" s="154">
        <f>IF(分析!L54&lt;&gt;"",分析!L54,"")</f>
        <v>-17.451941198643045</v>
      </c>
      <c r="Q125" s="151">
        <f>IF(分析!S54&lt;&gt;"",分析!S54,"")</f>
        <v>2102</v>
      </c>
      <c r="R125" s="151">
        <f>IF(分析!R54&lt;&gt;"",分析!R54,"")</f>
        <v>2365</v>
      </c>
      <c r="S125" s="146" t="str">
        <f>IF(分析!AA54&lt;&gt;"",分析!AA54,"")</f>
        <v>上昇▲</v>
      </c>
      <c r="T125" s="155">
        <f>IF(分析!Z54&lt;&gt;"",分析!Z54,"")</f>
        <v>0.36663611365719523</v>
      </c>
      <c r="U125" s="146" t="str">
        <f>IF(分析!V54&lt;&gt;"",分析!V54,"")</f>
        <v>通常</v>
      </c>
      <c r="V125" s="156">
        <f>IF(分析!W54&lt;&gt;"",分析!W54,"")</f>
        <v>22.72</v>
      </c>
      <c r="W125" s="157" t="str">
        <f>IF(分析!AD54&lt;&gt;"",分析!AD54,"")</f>
        <v>下降トレンド▼</v>
      </c>
      <c r="X125" s="158" t="str">
        <f>IF(分析!AE54&lt;&gt;"",分析!AE54,"")</f>
        <v>なし</v>
      </c>
      <c r="Y125" s="159">
        <f>IF(分析!T54&lt;&gt;"",分析!T54,"")</f>
        <v>3</v>
      </c>
      <c r="Z125" s="160" t="str">
        <f>IF(分析!Y54&lt;&gt;"",分析!Y54,"")</f>
        <v>様子見</v>
      </c>
    </row>
    <row r="126" spans="1:26" ht="21.95" customHeight="1">
      <c r="A126" s="161">
        <f>IF(分析!C43&lt;&gt;"",ROW()-2,"")</f>
        <v>124</v>
      </c>
      <c r="B126" s="162" t="str">
        <f>IF(分析!C43&lt;&gt;"",HYPERLINK("https://kabutan.jp/stock/?code="&amp;分析!C43,"株探"),"")</f>
        <v>株探</v>
      </c>
      <c r="C126" s="163">
        <f>IF(分析!C43&lt;&gt;"",分析!C43,"")</f>
        <v>3891</v>
      </c>
      <c r="D126" s="164" t="str">
        <f>IF(分析!D43&lt;&gt;"",分析!D43,"")</f>
        <v>ニッポン高度紙工業</v>
      </c>
      <c r="E126" s="165">
        <f>IF(分析!E43&lt;&gt;"",分析!E43,"")</f>
        <v>9980</v>
      </c>
      <c r="F126" s="166">
        <f>IF(分析!F43&lt;&gt;"",分析!F43,"")</f>
        <v>8830</v>
      </c>
      <c r="G126" s="166">
        <f>IF(分析!H43&lt;&gt;"",分析!H43,"")</f>
        <v>10110</v>
      </c>
      <c r="H126" s="166">
        <f>IF(分析!I43&lt;&gt;"",分析!I43,"")</f>
        <v>8780</v>
      </c>
      <c r="I126" s="166">
        <f>IF(分析!J43&lt;&gt;"",分析!J43,"")</f>
        <v>456000</v>
      </c>
      <c r="J126" s="166">
        <f>IF(分析!AB43&lt;&gt;"",分析!AB43,"")</f>
        <v>3214.2097759674125</v>
      </c>
      <c r="K126" s="166">
        <f>IF(分析!AC43&lt;&gt;"",分析!AC43,"")</f>
        <v>3120.8605482717503</v>
      </c>
      <c r="L126" s="166">
        <f>IF(分析!K43&lt;&gt;"",分析!K43,"")</f>
        <v>10470</v>
      </c>
      <c r="M126" s="161" t="str">
        <f>IF(分析!P43&lt;&gt;"",分析!P43,"")</f>
        <v>普通→</v>
      </c>
      <c r="N126" s="167">
        <f>IF(分析!O43&lt;&gt;"",分析!O43,"")</f>
        <v>1.0363165310667697</v>
      </c>
      <c r="O126" s="168">
        <f>IF(分析!X43&lt;&gt;"",分析!X43,"")</f>
        <v>341.33414796269972</v>
      </c>
      <c r="P126" s="169">
        <f>IF(分析!L43&lt;&gt;"",分析!L43,"")</f>
        <v>-4.6800382043935054</v>
      </c>
      <c r="Q126" s="166">
        <f>IF(分析!S43&lt;&gt;"",分析!S43,"")</f>
        <v>9581</v>
      </c>
      <c r="R126" s="166">
        <f>IF(分析!R43&lt;&gt;"",分析!R43,"")</f>
        <v>10778</v>
      </c>
      <c r="S126" s="161" t="str">
        <f>IF(分析!AA43&lt;&gt;"",分析!AA43,"")</f>
        <v>上昇▲</v>
      </c>
      <c r="T126" s="170">
        <f>IF(分析!Z43&lt;&gt;"",分析!Z43,"")</f>
        <v>11.883408071748878</v>
      </c>
      <c r="U126" s="161" t="str">
        <f>IF(分析!V43&lt;&gt;"",分析!V43,"")</f>
        <v>高値圏</v>
      </c>
      <c r="V126" s="171">
        <f>IF(分析!W43&lt;&gt;"",分析!W43,"")</f>
        <v>61.368209255533202</v>
      </c>
      <c r="W126" s="172" t="str">
        <f>IF(分析!AD43&lt;&gt;"",分析!AD43,"")</f>
        <v>パーフェクト▲</v>
      </c>
      <c r="X126" s="173" t="str">
        <f>IF(分析!AE43&lt;&gt;"",分析!AE43,"")</f>
        <v>なし</v>
      </c>
      <c r="Y126" s="174">
        <f>IF(分析!T43&lt;&gt;"",分析!T43,"")</f>
        <v>12</v>
      </c>
      <c r="Z126" s="160" t="str">
        <f>IF(分析!Y43&lt;&gt;"",分析!Y43,"")</f>
        <v>★強い買い</v>
      </c>
    </row>
    <row r="127" spans="1:26" ht="21.95" customHeight="1">
      <c r="A127" s="161">
        <f>IF(分析!C127&lt;&gt;"",ROW()-2,"")</f>
        <v>125</v>
      </c>
      <c r="B127" s="162" t="str">
        <f>IF(分析!C127&lt;&gt;"",HYPERLINK("https://kabutan.jp/stock/?code="&amp;分析!C127,"株探"),"")</f>
        <v>株探</v>
      </c>
      <c r="C127" s="163">
        <f>IF(分析!C127&lt;&gt;"",分析!C127,"")</f>
        <v>4008</v>
      </c>
      <c r="D127" s="164" t="str">
        <f>IF(分析!D127&lt;&gt;"",分析!D127,"")</f>
        <v>住友精化</v>
      </c>
      <c r="E127" s="165">
        <f>IF(分析!E127&lt;&gt;"",分析!E127,"")</f>
        <v>1318</v>
      </c>
      <c r="F127" s="166">
        <f>IF(分析!F127&lt;&gt;"",分析!F127,"")</f>
        <v>1322</v>
      </c>
      <c r="G127" s="166">
        <f>IF(分析!H127&lt;&gt;"",分析!H127,"")</f>
        <v>1335</v>
      </c>
      <c r="H127" s="166">
        <f>IF(分析!I127&lt;&gt;"",分析!I127,"")</f>
        <v>1317</v>
      </c>
      <c r="I127" s="166">
        <f>IF(分析!J127&lt;&gt;"",分析!J127,"")</f>
        <v>131300</v>
      </c>
      <c r="J127" s="166">
        <f>IF(分析!AB127&lt;&gt;"",分析!AB127,"")</f>
        <v>1989.9898167006104</v>
      </c>
      <c r="K127" s="166">
        <f>IF(分析!AC127&lt;&gt;"",分析!AC127,"")</f>
        <v>2079.8116805721088</v>
      </c>
      <c r="L127" s="166">
        <f>IF(分析!K127&lt;&gt;"",分析!K127,"")</f>
        <v>1346</v>
      </c>
      <c r="M127" s="161" t="str">
        <f>IF(分析!P127&lt;&gt;"",分析!P127,"")</f>
        <v>減少↓</v>
      </c>
      <c r="N127" s="167">
        <f>IF(分析!O127&lt;&gt;"",分析!O127,"")</f>
        <v>0.98499624906226557</v>
      </c>
      <c r="O127" s="168">
        <f>IF(分析!X127&lt;&gt;"",分析!X127,"")</f>
        <v>3.3467654305272845</v>
      </c>
      <c r="P127" s="169">
        <f>IF(分析!L127&lt;&gt;"",分析!L127,"")</f>
        <v>-2.0802377414561661</v>
      </c>
      <c r="Q127" s="166">
        <f>IF(分析!S127&lt;&gt;"",分析!S127,"")</f>
        <v>1265</v>
      </c>
      <c r="R127" s="166">
        <f>IF(分析!R127&lt;&gt;"",分析!R127,"")</f>
        <v>1423</v>
      </c>
      <c r="S127" s="161" t="str">
        <f>IF(分析!AA127&lt;&gt;"",分析!AA127,"")</f>
        <v>下落▼</v>
      </c>
      <c r="T127" s="170">
        <f>IF(分析!Z127&lt;&gt;"",分析!Z127,"")</f>
        <v>-0.22710068130204392</v>
      </c>
      <c r="U127" s="161" t="str">
        <f>IF(分析!V127&lt;&gt;"",分析!V127,"")</f>
        <v>高値圏</v>
      </c>
      <c r="V127" s="171">
        <f>IF(分析!W127&lt;&gt;"",分析!W127,"")</f>
        <v>53.310104529616723</v>
      </c>
      <c r="W127" s="172" t="str">
        <f>IF(分析!AD127&lt;&gt;"",分析!AD127,"")</f>
        <v>下降トレンド▼</v>
      </c>
      <c r="X127" s="173" t="str">
        <f>IF(分析!AE127&lt;&gt;"",分析!AE127,"")</f>
        <v>なし</v>
      </c>
      <c r="Y127" s="174">
        <f>IF(分析!T127&lt;&gt;"",分析!T127,"")</f>
        <v>6</v>
      </c>
      <c r="Z127" s="160" t="str">
        <f>IF(分析!Y127&lt;&gt;"",分析!Y127,"")</f>
        <v>△注目</v>
      </c>
    </row>
    <row r="128" spans="1:26" ht="21.95" customHeight="1">
      <c r="A128" s="146">
        <f>IF(分析!C56&lt;&gt;"",ROW()-2,"")</f>
        <v>126</v>
      </c>
      <c r="B128" s="147" t="str">
        <f>IF(分析!C56&lt;&gt;"",HYPERLINK("https://kabutan.jp/stock/?code="&amp;分析!C56,"株探"),"")</f>
        <v>株探</v>
      </c>
      <c r="C128" s="148">
        <f>IF(分析!C56&lt;&gt;"",分析!C56,"")</f>
        <v>4062</v>
      </c>
      <c r="D128" s="149" t="str">
        <f>IF(分析!D56&lt;&gt;"",分析!D56,"")</f>
        <v>イビデン</v>
      </c>
      <c r="E128" s="150">
        <f>IF(分析!E56&lt;&gt;"",分析!E56,"")</f>
        <v>24000</v>
      </c>
      <c r="F128" s="151">
        <f>IF(分析!F56&lt;&gt;"",分析!F56,"")</f>
        <v>21945</v>
      </c>
      <c r="G128" s="151">
        <f>IF(分析!H56&lt;&gt;"",分析!H56,"")</f>
        <v>24080</v>
      </c>
      <c r="H128" s="151">
        <f>IF(分析!I56&lt;&gt;"",分析!I56,"")</f>
        <v>21860</v>
      </c>
      <c r="I128" s="151">
        <f>IF(分析!J56&lt;&gt;"",分析!J56,"")</f>
        <v>9058100</v>
      </c>
      <c r="J128" s="151">
        <f>IF(分析!AB56&lt;&gt;"",分析!AB56,"")</f>
        <v>4036.1160896130336</v>
      </c>
      <c r="K128" s="151">
        <f>IF(分析!AC56&lt;&gt;"",分析!AC56,"")</f>
        <v>3943.2157330154919</v>
      </c>
      <c r="L128" s="151">
        <f>IF(分析!K56&lt;&gt;"",分析!K56,"")</f>
        <v>23640</v>
      </c>
      <c r="M128" s="146" t="str">
        <f>IF(分析!P56&lt;&gt;"",分析!P56,"")</f>
        <v>普通→</v>
      </c>
      <c r="N128" s="152">
        <f>IF(分析!O56&lt;&gt;"",分析!O56,"")</f>
        <v>1.0175971132825401</v>
      </c>
      <c r="O128" s="153">
        <f>IF(分析!X56&lt;&gt;"",分析!X56,"")</f>
        <v>391.52667380463754</v>
      </c>
      <c r="P128" s="154">
        <f>IF(分析!L56&lt;&gt;"",分析!L56,"")</f>
        <v>1.5228426395939088</v>
      </c>
      <c r="Q128" s="151">
        <f>IF(分析!S56&lt;&gt;"",分析!S56,"")</f>
        <v>23040</v>
      </c>
      <c r="R128" s="151">
        <f>IF(分析!R56&lt;&gt;"",分析!R56,"")</f>
        <v>25920</v>
      </c>
      <c r="S128" s="146" t="str">
        <f>IF(分析!AA56&lt;&gt;"",分析!AA56,"")</f>
        <v>上昇▲</v>
      </c>
      <c r="T128" s="155">
        <f>IF(分析!Z56&lt;&gt;"",分析!Z56,"")</f>
        <v>6.9280463354867452</v>
      </c>
      <c r="U128" s="146" t="str">
        <f>IF(分析!V56&lt;&gt;"",分析!V56,"")</f>
        <v>年初来高値更新●</v>
      </c>
      <c r="V128" s="156">
        <f>IF(分析!W56&lt;&gt;"",分析!W56,"")</f>
        <v>54.357204486626408</v>
      </c>
      <c r="W128" s="157" t="str">
        <f>IF(分析!AD56&lt;&gt;"",分析!AD56,"")</f>
        <v>パーフェクト▲</v>
      </c>
      <c r="X128" s="158" t="str">
        <f>IF(分析!AE56&lt;&gt;"",分析!AE56,"")</f>
        <v>なし</v>
      </c>
      <c r="Y128" s="159">
        <f>IF(分析!T56&lt;&gt;"",分析!T56,"")</f>
        <v>14</v>
      </c>
      <c r="Z128" s="160" t="str">
        <f>IF(分析!Y56&lt;&gt;"",分析!Y56,"")</f>
        <v>★強い買い</v>
      </c>
    </row>
    <row r="129" spans="1:26" ht="21.95" customHeight="1">
      <c r="A129" s="146">
        <f>IF(分析!C152&lt;&gt;"",ROW()-2,"")</f>
        <v>127</v>
      </c>
      <c r="B129" s="147" t="str">
        <f>IF(分析!C152&lt;&gt;"",HYPERLINK("https://kabutan.jp/stock/?code="&amp;分析!C152,"株探"),"")</f>
        <v>株探</v>
      </c>
      <c r="C129" s="148">
        <f>IF(分析!C152&lt;&gt;"",分析!C152,"")</f>
        <v>4091</v>
      </c>
      <c r="D129" s="149" t="str">
        <f>IF(分析!D152&lt;&gt;"",分析!D152,"")</f>
        <v>日本酸素ＨＬＤＧＳ</v>
      </c>
      <c r="E129" s="150">
        <f>IF(分析!E152&lt;&gt;"",分析!E152,"")</f>
        <v>5590</v>
      </c>
      <c r="F129" s="151">
        <f>IF(分析!F152&lt;&gt;"",分析!F152,"")</f>
        <v>5561</v>
      </c>
      <c r="G129" s="151">
        <f>IF(分析!H152&lt;&gt;"",分析!H152,"")</f>
        <v>5615</v>
      </c>
      <c r="H129" s="151">
        <f>IF(分析!I152&lt;&gt;"",分析!I152,"")</f>
        <v>5480</v>
      </c>
      <c r="I129" s="151">
        <f>IF(分析!J152&lt;&gt;"",分析!J152,"")</f>
        <v>375300</v>
      </c>
      <c r="J129" s="151">
        <f>IF(分析!AB152&lt;&gt;"",分析!AB152,"")</f>
        <v>9939.6853360488767</v>
      </c>
      <c r="K129" s="151">
        <f>IF(分析!AC152&lt;&gt;"",分析!AC152,"")</f>
        <v>8946.3635280095332</v>
      </c>
      <c r="L129" s="151">
        <f>IF(分析!K152&lt;&gt;"",分析!K152,"")</f>
        <v>6509</v>
      </c>
      <c r="M129" s="146" t="str">
        <f>IF(分析!P152&lt;&gt;"",分析!P152,"")</f>
        <v>減少↓</v>
      </c>
      <c r="N129" s="152">
        <f>IF(分析!O152&lt;&gt;"",分析!O152,"")</f>
        <v>0.7161667048316922</v>
      </c>
      <c r="O129" s="153">
        <f>IF(分析!X152&lt;&gt;"",分析!X152,"")</f>
        <v>-96.63383670528583</v>
      </c>
      <c r="P129" s="154">
        <f>IF(分析!L152&lt;&gt;"",分析!L152,"")</f>
        <v>-14.118912275311107</v>
      </c>
      <c r="Q129" s="151">
        <f>IF(分析!S152&lt;&gt;"",分析!S152,"")</f>
        <v>5366</v>
      </c>
      <c r="R129" s="151">
        <f>IF(分析!R152&lt;&gt;"",分析!R152,"")</f>
        <v>6037</v>
      </c>
      <c r="S129" s="146" t="str">
        <f>IF(分析!AA152&lt;&gt;"",分析!AA152,"")</f>
        <v>上昇▲</v>
      </c>
      <c r="T129" s="155">
        <f>IF(分析!Z152&lt;&gt;"",分析!Z152,"")</f>
        <v>1.0119262739428985</v>
      </c>
      <c r="U129" s="146" t="str">
        <f>IF(分析!V152&lt;&gt;"",分析!V152,"")</f>
        <v>通常</v>
      </c>
      <c r="V129" s="156">
        <f>IF(分析!W152&lt;&gt;"",分析!W152,"")</f>
        <v>23.802914642609295</v>
      </c>
      <c r="W129" s="157" t="str">
        <f>IF(分析!AD152&lt;&gt;"",分析!AD152,"")</f>
        <v>もみ合い→</v>
      </c>
      <c r="X129" s="158" t="str">
        <f>IF(分析!AE152&lt;&gt;"",分析!AE152,"")</f>
        <v>なし</v>
      </c>
      <c r="Y129" s="159">
        <f>IF(分析!T152&lt;&gt;"",分析!T152,"")</f>
        <v>2</v>
      </c>
      <c r="Z129" s="160" t="str">
        <f>IF(分析!Y152&lt;&gt;"",分析!Y152,"")</f>
        <v>見送り</v>
      </c>
    </row>
    <row r="130" spans="1:26" ht="21.95" customHeight="1">
      <c r="A130" s="161">
        <f>IF(分析!C5&lt;&gt;"",ROW()-2,"")</f>
        <v>128</v>
      </c>
      <c r="B130" s="162" t="str">
        <f>IF(分析!C5&lt;&gt;"",HYPERLINK("https://kabutan.jp/stock/?code="&amp;分析!C5,"株探"),"")</f>
        <v>株探</v>
      </c>
      <c r="C130" s="163">
        <f>IF(分析!C5&lt;&gt;"",分析!C5,"")</f>
        <v>6254</v>
      </c>
      <c r="D130" s="164" t="str">
        <f>IF(分析!D5&lt;&gt;"",分析!D5,"")</f>
        <v>野村マイクロ・サイエンス</v>
      </c>
      <c r="E130" s="165">
        <f>IF(分析!E5&lt;&gt;"",分析!E5,"")</f>
        <v>4900</v>
      </c>
      <c r="F130" s="166">
        <f>IF(分析!F5&lt;&gt;"",分析!F5,"")</f>
        <v>4500</v>
      </c>
      <c r="G130" s="166">
        <f>IF(分析!H5&lt;&gt;"",分析!H5,"")</f>
        <v>4990</v>
      </c>
      <c r="H130" s="166">
        <f>IF(分析!I5&lt;&gt;"",分析!I5,"")</f>
        <v>4495</v>
      </c>
      <c r="I130" s="166">
        <f>IF(分析!J5&lt;&gt;"",分析!J5,"")</f>
        <v>1015700</v>
      </c>
      <c r="J130" s="166">
        <f>IF(分析!AB5&lt;&gt;"",分析!AB5,"")</f>
        <v>1733.1018329938897</v>
      </c>
      <c r="K130" s="166">
        <f>IF(分析!AC5&lt;&gt;"",分析!AC5,"")</f>
        <v>1720.5196662693677</v>
      </c>
      <c r="L130" s="166">
        <f>IF(分析!K5&lt;&gt;"",分析!K5,"")</f>
        <v>5290</v>
      </c>
      <c r="M130" s="161" t="str">
        <f>IF(分析!P5&lt;&gt;"",分析!P5,"")</f>
        <v>普通→</v>
      </c>
      <c r="N130" s="167">
        <f>IF(分析!O5&lt;&gt;"",分析!O5,"")</f>
        <v>1.2893193531188911</v>
      </c>
      <c r="O130" s="168">
        <f>IF(分析!X5&lt;&gt;"",分析!X5,"")</f>
        <v>-49.948137032865816</v>
      </c>
      <c r="P130" s="169">
        <f>IF(分析!L5&lt;&gt;"",分析!L5,"")</f>
        <v>-7.3724007561436666</v>
      </c>
      <c r="Q130" s="166">
        <f>IF(分析!S5&lt;&gt;"",分析!S5,"")</f>
        <v>4704</v>
      </c>
      <c r="R130" s="166">
        <f>IF(分析!R5&lt;&gt;"",分析!R5,"")</f>
        <v>5292</v>
      </c>
      <c r="S130" s="161" t="str">
        <f>IF(分析!AA5&lt;&gt;"",分析!AA5,"")</f>
        <v>上昇▲</v>
      </c>
      <c r="T130" s="170">
        <f>IF(分析!Z5&lt;&gt;"",分析!Z5,"")</f>
        <v>6.5217391304347823</v>
      </c>
      <c r="U130" s="161" t="str">
        <f>IF(分析!V5&lt;&gt;"",分析!V5,"")</f>
        <v>通常</v>
      </c>
      <c r="V130" s="171">
        <f>IF(分析!W5&lt;&gt;"",分析!W5,"")</f>
        <v>37.674418604651166</v>
      </c>
      <c r="W130" s="172" t="str">
        <f>IF(分析!AD5&lt;&gt;"",分析!AD5,"")</f>
        <v>パーフェクト▲</v>
      </c>
      <c r="X130" s="173" t="str">
        <f>IF(分析!AE5&lt;&gt;"",分析!AE5,"")</f>
        <v>なし</v>
      </c>
      <c r="Y130" s="174">
        <f>IF(分析!T5&lt;&gt;"",分析!T5,"")</f>
        <v>10</v>
      </c>
      <c r="Z130" s="160" t="str">
        <f>IF(分析!Y5&lt;&gt;"",分析!Y5,"")</f>
        <v>○買い候補</v>
      </c>
    </row>
    <row r="131" spans="1:26" ht="21.95" customHeight="1">
      <c r="A131" s="146">
        <f>IF(分析!C30&lt;&gt;"",ROW()-2,"")</f>
        <v>129</v>
      </c>
      <c r="B131" s="147" t="str">
        <f>IF(分析!C30&lt;&gt;"",HYPERLINK("https://kabutan.jp/stock/?code="&amp;分析!C30,"株探"),"")</f>
        <v>株探</v>
      </c>
      <c r="C131" s="148">
        <f>IF(分析!C30&lt;&gt;"",分析!C30,"")</f>
        <v>6981</v>
      </c>
      <c r="D131" s="149" t="str">
        <f>IF(分析!D30&lt;&gt;"",分析!D30,"")</f>
        <v>村田製作所</v>
      </c>
      <c r="E131" s="150">
        <f>IF(分析!E30&lt;&gt;"",分析!E30,"")</f>
        <v>10865</v>
      </c>
      <c r="F131" s="151">
        <f>IF(分析!F30&lt;&gt;"",分析!F30,"")</f>
        <v>10230</v>
      </c>
      <c r="G131" s="151">
        <f>IF(分析!H30&lt;&gt;"",分析!H30,"")</f>
        <v>11095</v>
      </c>
      <c r="H131" s="151">
        <f>IF(分析!I30&lt;&gt;"",分析!I30,"")</f>
        <v>10200</v>
      </c>
      <c r="I131" s="151">
        <f>IF(分析!J30&lt;&gt;"",分析!J30,"")</f>
        <v>31784100</v>
      </c>
      <c r="J131" s="151">
        <f>IF(分析!AB30&lt;&gt;"",分析!AB30,"")</f>
        <v>1228.8207739307534</v>
      </c>
      <c r="K131" s="151">
        <f>IF(分析!AC30&lt;&gt;"",分析!AC30,"")</f>
        <v>1273.9952324195463</v>
      </c>
      <c r="L131" s="151">
        <f>IF(分析!K30&lt;&gt;"",分析!K30,"")</f>
        <v>11125</v>
      </c>
      <c r="M131" s="146" t="str">
        <f>IF(分析!P30&lt;&gt;"",分析!P30,"")</f>
        <v>減少↓</v>
      </c>
      <c r="N131" s="152">
        <f>IF(分析!O30&lt;&gt;"",分析!O30,"")</f>
        <v>0.7089174233350507</v>
      </c>
      <c r="O131" s="153">
        <f>IF(分析!X30&lt;&gt;"",分析!X30,"")</f>
        <v>427.93958541468783</v>
      </c>
      <c r="P131" s="154">
        <f>IF(分析!L30&lt;&gt;"",分析!L30,"")</f>
        <v>-2.3370786516853932</v>
      </c>
      <c r="Q131" s="151">
        <f>IF(分析!S30&lt;&gt;"",分析!S30,"")</f>
        <v>10430</v>
      </c>
      <c r="R131" s="151">
        <f>IF(分析!R30&lt;&gt;"",分析!R30,"")</f>
        <v>11734</v>
      </c>
      <c r="S131" s="146" t="str">
        <f>IF(分析!AA30&lt;&gt;"",分析!AA30,"")</f>
        <v>上昇▲</v>
      </c>
      <c r="T131" s="155">
        <f>IF(分析!Z30&lt;&gt;"",分析!Z30,"")</f>
        <v>3.1813865147198479</v>
      </c>
      <c r="U131" s="146" t="str">
        <f>IF(分析!V30&lt;&gt;"",分析!V30,"")</f>
        <v>高値圏</v>
      </c>
      <c r="V131" s="156">
        <f>IF(分析!W30&lt;&gt;"",分析!W30,"")</f>
        <v>66.896103896103895</v>
      </c>
      <c r="W131" s="157" t="str">
        <f>IF(分析!AD30&lt;&gt;"",分析!AD30,"")</f>
        <v>上昇トレンド▲</v>
      </c>
      <c r="X131" s="158" t="str">
        <f>IF(分析!AE30&lt;&gt;"",分析!AE30,"")</f>
        <v>なし</v>
      </c>
      <c r="Y131" s="159">
        <f>IF(分析!T30&lt;&gt;"",分析!T30,"")</f>
        <v>10</v>
      </c>
      <c r="Z131" s="160" t="str">
        <f>IF(分析!Y30&lt;&gt;"",分析!Y30,"")</f>
        <v>○買い候補</v>
      </c>
    </row>
    <row r="132" spans="1:26" ht="21.95" customHeight="1">
      <c r="A132" s="146">
        <f>IF(分析!C190&lt;&gt;"",ROW()-2,"")</f>
        <v>130</v>
      </c>
      <c r="B132" s="147" t="str">
        <f>IF(分析!C190&lt;&gt;"",HYPERLINK("https://kabutan.jp/stock/?code="&amp;分析!C190,"株探"),"")</f>
        <v>株探</v>
      </c>
      <c r="C132" s="148">
        <f>IF(分析!C190&lt;&gt;"",分析!C190,"")</f>
        <v>7375</v>
      </c>
      <c r="D132" s="149" t="str">
        <f>IF(分析!D190&lt;&gt;"",分析!D190,"")</f>
        <v>リファインバースグループ</v>
      </c>
      <c r="E132" s="150">
        <f>IF(分析!E190&lt;&gt;"",分析!E190,"")</f>
        <v>1329</v>
      </c>
      <c r="F132" s="151">
        <f>IF(分析!F190&lt;&gt;"",分析!F190,"")</f>
        <v>1312</v>
      </c>
      <c r="G132" s="151">
        <f>IF(分析!H190&lt;&gt;"",分析!H190,"")</f>
        <v>1369</v>
      </c>
      <c r="H132" s="151">
        <f>IF(分析!I190&lt;&gt;"",分析!I190,"")</f>
        <v>1312</v>
      </c>
      <c r="I132" s="151">
        <f>IF(分析!J190&lt;&gt;"",分析!J190,"")</f>
        <v>59600</v>
      </c>
      <c r="J132" s="151">
        <f>IF(分析!AB190&lt;&gt;"",分析!AB190,"")</f>
        <v>1685.5402240325859</v>
      </c>
      <c r="K132" s="151">
        <f>IF(分析!AC190&lt;&gt;"",分析!AC190,"")</f>
        <v>1750.6901072705589</v>
      </c>
      <c r="L132" s="151">
        <f>IF(分析!K190&lt;&gt;"",分析!K190,"")</f>
        <v>2660</v>
      </c>
      <c r="M132" s="146" t="str">
        <f>IF(分析!P190&lt;&gt;"",分析!P190,"")</f>
        <v>減少↓</v>
      </c>
      <c r="N132" s="152">
        <f>IF(分析!O190&lt;&gt;"",分析!O190,"")</f>
        <v>0.70666350486127583</v>
      </c>
      <c r="O132" s="153">
        <f>IF(分析!X190&lt;&gt;"",分析!X190,"")</f>
        <v>-65.305468100095368</v>
      </c>
      <c r="P132" s="154">
        <f>IF(分析!L190&lt;&gt;"",分析!L190,"")</f>
        <v>-50.037593984962406</v>
      </c>
      <c r="Q132" s="151">
        <f>IF(分析!S190&lt;&gt;"",分析!S190,"")</f>
        <v>1276</v>
      </c>
      <c r="R132" s="151">
        <f>IF(分析!R190&lt;&gt;"",分析!R190,"")</f>
        <v>1435</v>
      </c>
      <c r="S132" s="146" t="str">
        <f>IF(分析!AA190&lt;&gt;"",分析!AA190,"")</f>
        <v>上昇▲</v>
      </c>
      <c r="T132" s="155">
        <f>IF(分析!Z190&lt;&gt;"",分析!Z190,"")</f>
        <v>0.30188679245283018</v>
      </c>
      <c r="U132" s="146" t="str">
        <f>IF(分析!V190&lt;&gt;"",分析!V190,"")</f>
        <v>通常</v>
      </c>
      <c r="V132" s="156">
        <f>IF(分析!W190&lt;&gt;"",分析!W190,"")</f>
        <v>11.668928086838534</v>
      </c>
      <c r="W132" s="157" t="str">
        <f>IF(分析!AD190&lt;&gt;"",分析!AD190,"")</f>
        <v>下降トレンド▼</v>
      </c>
      <c r="X132" s="158" t="str">
        <f>IF(分析!AE190&lt;&gt;"",分析!AE190,"")</f>
        <v>なし</v>
      </c>
      <c r="Y132" s="159">
        <f>IF(分析!T190&lt;&gt;"",分析!T190,"")</f>
        <v>2</v>
      </c>
      <c r="Z132" s="160" t="str">
        <f>IF(分析!Y190&lt;&gt;"",分析!Y190,"")</f>
        <v>見送り</v>
      </c>
    </row>
    <row r="133" spans="1:26" ht="21.95" customHeight="1">
      <c r="A133" s="161">
        <f>IF(分析!C53&lt;&gt;"",ROW()-2,"")</f>
        <v>131</v>
      </c>
      <c r="B133" s="162" t="str">
        <f>IF(分析!C53&lt;&gt;"",HYPERLINK("https://kabutan.jp/stock/?code="&amp;分析!C53,"株探"),"")</f>
        <v>株探</v>
      </c>
      <c r="C133" s="163">
        <f>IF(分析!C53&lt;&gt;"",分析!C53,"")</f>
        <v>9984</v>
      </c>
      <c r="D133" s="164" t="str">
        <f>IF(分析!D53&lt;&gt;"",分析!D53,"")</f>
        <v>ソフトバンクグループ</v>
      </c>
      <c r="E133" s="165">
        <f>IF(分析!E53&lt;&gt;"",分析!E53,"")</f>
        <v>6880</v>
      </c>
      <c r="F133" s="166">
        <f>IF(分析!F53&lt;&gt;"",分析!F53,"")</f>
        <v>6920</v>
      </c>
      <c r="G133" s="166">
        <f>IF(分析!H53&lt;&gt;"",分析!H53,"")</f>
        <v>6948</v>
      </c>
      <c r="H133" s="166">
        <f>IF(分析!I53&lt;&gt;"",分析!I53,"")</f>
        <v>6730</v>
      </c>
      <c r="I133" s="166">
        <f>IF(分析!J53&lt;&gt;"",分析!J53,"")</f>
        <v>48833800</v>
      </c>
      <c r="J133" s="166">
        <f>IF(分析!AB53&lt;&gt;"",分析!AB53,"")</f>
        <v>3965.3482688391023</v>
      </c>
      <c r="K133" s="166">
        <f>IF(分析!AC53&lt;&gt;"",分析!AC53,"")</f>
        <v>3885.3504171632881</v>
      </c>
      <c r="L133" s="166">
        <f>IF(分析!K53&lt;&gt;"",分析!K53,"")</f>
        <v>9074</v>
      </c>
      <c r="M133" s="161" t="str">
        <f>IF(分析!P53&lt;&gt;"",分析!P53,"")</f>
        <v>減少↓</v>
      </c>
      <c r="N133" s="167">
        <f>IF(分析!O53&lt;&gt;"",分析!O53,"")</f>
        <v>0.77118509434003979</v>
      </c>
      <c r="O133" s="168">
        <f>IF(分析!X53&lt;&gt;"",分析!X53,"")</f>
        <v>95.504891756456345</v>
      </c>
      <c r="P133" s="169">
        <f>IF(分析!L53&lt;&gt;"",分析!L53,"")</f>
        <v>-24.178972889574609</v>
      </c>
      <c r="Q133" s="166">
        <f>IF(分析!S53&lt;&gt;"",分析!S53,"")</f>
        <v>6605</v>
      </c>
      <c r="R133" s="166">
        <f>IF(分析!R53&lt;&gt;"",分析!R53,"")</f>
        <v>7430</v>
      </c>
      <c r="S133" s="161" t="str">
        <f>IF(分析!AA53&lt;&gt;"",分析!AA53,"")</f>
        <v>下落▼</v>
      </c>
      <c r="T133" s="170">
        <f>IF(分析!Z53&lt;&gt;"",分析!Z53,"")</f>
        <v>-3.1258800337932975</v>
      </c>
      <c r="U133" s="161" t="str">
        <f>IF(分析!V53&lt;&gt;"",分析!V53,"")</f>
        <v>通常</v>
      </c>
      <c r="V133" s="171">
        <f>IF(分析!W53&lt;&gt;"",分析!W53,"")</f>
        <v>50.323886639676118</v>
      </c>
      <c r="W133" s="172" t="str">
        <f>IF(分析!AD53&lt;&gt;"",分析!AD53,"")</f>
        <v>パーフェクト▲</v>
      </c>
      <c r="X133" s="173" t="str">
        <f>IF(分析!AE53&lt;&gt;"",分析!AE53,"")</f>
        <v>なし</v>
      </c>
      <c r="Y133" s="174">
        <f>IF(分析!T53&lt;&gt;"",分析!T53,"")</f>
        <v>8</v>
      </c>
      <c r="Z133" s="160" t="str">
        <f>IF(分析!Y53&lt;&gt;"",分析!Y53,"")</f>
        <v>△注目</v>
      </c>
    </row>
    <row r="134" spans="1:26" ht="21.95" customHeight="1">
      <c r="A134" s="146">
        <f>IF(分析!C182&lt;&gt;"",ROW()-2,"")</f>
        <v>132</v>
      </c>
      <c r="B134" s="147" t="str">
        <f>IF(分析!C182&lt;&gt;"",HYPERLINK("https://kabutan.jp/stock/?code="&amp;分析!C182,"株探"),"")</f>
        <v>株探</v>
      </c>
      <c r="C134" s="148">
        <f>IF(分析!C182&lt;&gt;"",分析!C182,"")</f>
        <v>2914</v>
      </c>
      <c r="D134" s="149" t="str">
        <f>IF(分析!D182&lt;&gt;"",分析!D182,"")</f>
        <v>日本たばこ産業</v>
      </c>
      <c r="E134" s="150">
        <f>IF(分析!E182&lt;&gt;"",分析!E182,"")</f>
        <v>6071</v>
      </c>
      <c r="F134" s="151">
        <f>IF(分析!F182&lt;&gt;"",分析!F182,"")</f>
        <v>6133</v>
      </c>
      <c r="G134" s="151">
        <f>IF(分析!H182&lt;&gt;"",分析!H182,"")</f>
        <v>6160</v>
      </c>
      <c r="H134" s="151">
        <f>IF(分析!I182&lt;&gt;"",分析!I182,"")</f>
        <v>6071</v>
      </c>
      <c r="I134" s="151">
        <f>IF(分析!J182&lt;&gt;"",分析!J182,"")</f>
        <v>3469400</v>
      </c>
      <c r="J134" s="151">
        <f>IF(分析!AB182&lt;&gt;"",分析!AB182,"")</f>
        <v>3351.206720977596</v>
      </c>
      <c r="K134" s="151">
        <f>IF(分析!AC182&lt;&gt;"",分析!AC182,"")</f>
        <v>3422.2133492252674</v>
      </c>
      <c r="L134" s="151">
        <f>IF(分析!K182&lt;&gt;"",分析!K182,"")</f>
        <v>6474</v>
      </c>
      <c r="M134" s="146" t="str">
        <f>IF(分析!P182&lt;&gt;"",分析!P182,"")</f>
        <v>減少↓</v>
      </c>
      <c r="N134" s="152">
        <f>IF(分析!O182&lt;&gt;"",分析!O182,"")</f>
        <v>0.72245452122342901</v>
      </c>
      <c r="O134" s="153">
        <f>IF(分析!X182&lt;&gt;"",分析!X182,"")</f>
        <v>-9.3974343155305178</v>
      </c>
      <c r="P134" s="154">
        <f>IF(分析!L182&lt;&gt;"",分析!L182,"")</f>
        <v>-6.2248995983935735</v>
      </c>
      <c r="Q134" s="151">
        <f>IF(分析!S182&lt;&gt;"",分析!S182,"")</f>
        <v>5828</v>
      </c>
      <c r="R134" s="151">
        <f>IF(分析!R182&lt;&gt;"",分析!R182,"")</f>
        <v>6557</v>
      </c>
      <c r="S134" s="146" t="str">
        <f>IF(分析!AA182&lt;&gt;"",分析!AA182,"")</f>
        <v>下落▼</v>
      </c>
      <c r="T134" s="155">
        <f>IF(分析!Z182&lt;&gt;"",分析!Z182,"")</f>
        <v>-0.45909165436956878</v>
      </c>
      <c r="U134" s="146" t="str">
        <f>IF(分析!V182&lt;&gt;"",分析!V182,"")</f>
        <v>高値圏</v>
      </c>
      <c r="V134" s="156">
        <f>IF(分析!W182&lt;&gt;"",分析!W182,"")</f>
        <v>50.103734439834021</v>
      </c>
      <c r="W134" s="157" t="str">
        <f>IF(分析!AD182&lt;&gt;"",分析!AD182,"")</f>
        <v>上昇トレンド▲</v>
      </c>
      <c r="X134" s="158" t="str">
        <f>IF(分析!AE182&lt;&gt;"",分析!AE182,"")</f>
        <v>なし</v>
      </c>
      <c r="Y134" s="159">
        <f>IF(分析!T182&lt;&gt;"",分析!T182,"")</f>
        <v>3</v>
      </c>
      <c r="Z134" s="160" t="str">
        <f>IF(分析!Y182&lt;&gt;"",分析!Y182,"")</f>
        <v>様子見</v>
      </c>
    </row>
    <row r="135" spans="1:26" ht="21.95" customHeight="1">
      <c r="A135" s="161">
        <f>IF(分析!C17&lt;&gt;"",ROW()-2,"")</f>
        <v>133</v>
      </c>
      <c r="B135" s="162" t="str">
        <f>IF(分析!C17&lt;&gt;"",HYPERLINK("https://kabutan.jp/stock/?code="&amp;分析!C17,"株探"),"")</f>
        <v>株探</v>
      </c>
      <c r="C135" s="163">
        <f>IF(分析!C17&lt;&gt;"",分析!C17,"")</f>
        <v>4528</v>
      </c>
      <c r="D135" s="164" t="str">
        <f>IF(分析!D17&lt;&gt;"",分析!D17,"")</f>
        <v>小野薬品</v>
      </c>
      <c r="E135" s="165">
        <f>IF(分析!E17&lt;&gt;"",分析!E17,"")</f>
        <v>2249.5</v>
      </c>
      <c r="F135" s="166">
        <f>IF(分析!F17&lt;&gt;"",分析!F17,"")</f>
        <v>2259</v>
      </c>
      <c r="G135" s="166">
        <f>IF(分析!H17&lt;&gt;"",分析!H17,"")</f>
        <v>2277</v>
      </c>
      <c r="H135" s="166">
        <f>IF(分析!I17&lt;&gt;"",分析!I17,"")</f>
        <v>2240</v>
      </c>
      <c r="I135" s="166">
        <f>IF(分析!J17&lt;&gt;"",分析!J17,"")</f>
        <v>1121900</v>
      </c>
      <c r="J135" s="166">
        <f>IF(分析!AB17&lt;&gt;"",分析!AB17,"")</f>
        <v>7748.4684317718929</v>
      </c>
      <c r="K135" s="166">
        <f>IF(分析!AC17&lt;&gt;"",分析!AC17,"")</f>
        <v>7456.8009535160891</v>
      </c>
      <c r="L135" s="166">
        <f>IF(分析!K17&lt;&gt;"",分析!K17,"")</f>
        <v>2674.5</v>
      </c>
      <c r="M135" s="161" t="str">
        <f>IF(分析!P17&lt;&gt;"",分析!P17,"")</f>
        <v>減少↓</v>
      </c>
      <c r="N135" s="167">
        <f>IF(分析!O17&lt;&gt;"",分析!O17,"")</f>
        <v>0.69718738736499331</v>
      </c>
      <c r="O135" s="168">
        <f>IF(分析!X17&lt;&gt;"",分析!X17,"")</f>
        <v>-32.97659698534062</v>
      </c>
      <c r="P135" s="169">
        <f>IF(分析!L17&lt;&gt;"",分析!L17,"")</f>
        <v>-15.890820714152179</v>
      </c>
      <c r="Q135" s="166">
        <f>IF(分析!S17&lt;&gt;"",分析!S17,"")</f>
        <v>2160</v>
      </c>
      <c r="R135" s="166">
        <f>IF(分析!R17&lt;&gt;"",分析!R17,"")</f>
        <v>2429</v>
      </c>
      <c r="S135" s="161" t="str">
        <f>IF(分析!AA17&lt;&gt;"",分析!AA17,"")</f>
        <v>下落▼</v>
      </c>
      <c r="T135" s="170">
        <f>IF(分析!Z17&lt;&gt;"",分析!Z17,"")</f>
        <v>-0.42054006197432497</v>
      </c>
      <c r="U135" s="161" t="str">
        <f>IF(分析!V17&lt;&gt;"",分析!V17,"")</f>
        <v>通常</v>
      </c>
      <c r="V135" s="171">
        <f>IF(分析!W17&lt;&gt;"",分析!W17,"")</f>
        <v>33.547794117647058</v>
      </c>
      <c r="W135" s="172" t="str">
        <f>IF(分析!AD17&lt;&gt;"",分析!AD17,"")</f>
        <v>もみ合い→</v>
      </c>
      <c r="X135" s="173" t="str">
        <f>IF(分析!AE17&lt;&gt;"",分析!AE17,"")</f>
        <v>なし</v>
      </c>
      <c r="Y135" s="174">
        <f>IF(分析!T17&lt;&gt;"",分析!T17,"")</f>
        <v>0</v>
      </c>
      <c r="Z135" s="160" t="str">
        <f>IF(分析!Y17&lt;&gt;"",分析!Y17,"")</f>
        <v>見送り</v>
      </c>
    </row>
    <row r="136" spans="1:26" ht="21.95" customHeight="1">
      <c r="A136" s="161">
        <f>IF(分析!C125&lt;&gt;"",ROW()-2,"")</f>
        <v>134</v>
      </c>
      <c r="B136" s="162" t="str">
        <f>IF(分析!C125&lt;&gt;"",HYPERLINK("https://kabutan.jp/stock/?code="&amp;分析!C125,"株探"),"")</f>
        <v>株探</v>
      </c>
      <c r="C136" s="163">
        <f>IF(分析!C125&lt;&gt;"",分析!C125,"")</f>
        <v>4536</v>
      </c>
      <c r="D136" s="164" t="str">
        <f>IF(分析!D125&lt;&gt;"",分析!D125,"")</f>
        <v>参天製薬</v>
      </c>
      <c r="E136" s="165">
        <f>IF(分析!E125&lt;&gt;"",分析!E125,"")</f>
        <v>1882</v>
      </c>
      <c r="F136" s="166">
        <f>IF(分析!F125&lt;&gt;"",分析!F125,"")</f>
        <v>1935.5</v>
      </c>
      <c r="G136" s="166">
        <f>IF(分析!H125&lt;&gt;"",分析!H125,"")</f>
        <v>1935.5</v>
      </c>
      <c r="H136" s="166">
        <f>IF(分析!I125&lt;&gt;"",分析!I125,"")</f>
        <v>1863.5</v>
      </c>
      <c r="I136" s="166">
        <f>IF(分析!J125&lt;&gt;"",分析!J125,"")</f>
        <v>896900</v>
      </c>
      <c r="J136" s="166">
        <f>IF(分析!AB125&lt;&gt;"",分析!AB125,"")</f>
        <v>5512.4073319755589</v>
      </c>
      <c r="K136" s="166">
        <f>IF(分析!AC125&lt;&gt;"",分析!AC125,"")</f>
        <v>5536.2407628128694</v>
      </c>
      <c r="L136" s="166">
        <f>IF(分析!K125&lt;&gt;"",分析!K125,"")</f>
        <v>2043</v>
      </c>
      <c r="M136" s="161" t="str">
        <f>IF(分析!P125&lt;&gt;"",分析!P125,"")</f>
        <v>減少↓</v>
      </c>
      <c r="N136" s="167">
        <f>IF(分析!O125&lt;&gt;"",分析!O125,"")</f>
        <v>0.87908964381628207</v>
      </c>
      <c r="O136" s="168">
        <f>IF(分析!X125&lt;&gt;"",分析!X125,"")</f>
        <v>6.3418876050304789</v>
      </c>
      <c r="P136" s="169">
        <f>IF(分析!L125&lt;&gt;"",分析!L125,"")</f>
        <v>-7.8805677924620658</v>
      </c>
      <c r="Q136" s="166">
        <f>IF(分析!S125&lt;&gt;"",分析!S125,"")</f>
        <v>1807</v>
      </c>
      <c r="R136" s="166">
        <f>IF(分析!R125&lt;&gt;"",分析!R125,"")</f>
        <v>2033</v>
      </c>
      <c r="S136" s="161" t="str">
        <f>IF(分析!AA125&lt;&gt;"",分析!AA125,"")</f>
        <v>下落▼</v>
      </c>
      <c r="T136" s="170">
        <f>IF(分析!Z125&lt;&gt;"",分析!Z125,"")</f>
        <v>-1.9536337587913521</v>
      </c>
      <c r="U136" s="161" t="str">
        <f>IF(分析!V125&lt;&gt;"",分析!V125,"")</f>
        <v>通常</v>
      </c>
      <c r="V136" s="171">
        <f>IF(分析!W125&lt;&gt;"",分析!W125,"")</f>
        <v>49.046793760831889</v>
      </c>
      <c r="W136" s="172" t="str">
        <f>IF(分析!AD125&lt;&gt;"",分析!AD125,"")</f>
        <v>下降トレンド▼</v>
      </c>
      <c r="X136" s="173" t="str">
        <f>IF(分析!AE125&lt;&gt;"",分析!AE125,"")</f>
        <v>なし</v>
      </c>
      <c r="Y136" s="174">
        <f>IF(分析!T125&lt;&gt;"",分析!T125,"")</f>
        <v>0</v>
      </c>
      <c r="Z136" s="160" t="str">
        <f>IF(分析!Y125&lt;&gt;"",分析!Y125,"")</f>
        <v>見送り</v>
      </c>
    </row>
    <row r="137" spans="1:26" ht="21.95" customHeight="1">
      <c r="A137" s="161">
        <f>IF(分析!C115&lt;&gt;"",ROW()-2,"")</f>
        <v>135</v>
      </c>
      <c r="B137" s="162" t="str">
        <f>IF(分析!C115&lt;&gt;"",HYPERLINK("https://kabutan.jp/stock/?code="&amp;分析!C115,"株探"),"")</f>
        <v>株探</v>
      </c>
      <c r="C137" s="163">
        <f>IF(分析!C115&lt;&gt;"",分析!C115,"")</f>
        <v>4709</v>
      </c>
      <c r="D137" s="164" t="str">
        <f>IF(分析!D115&lt;&gt;"",分析!D115,"")</f>
        <v>ＩＤホールディングス</v>
      </c>
      <c r="E137" s="165">
        <f>IF(分析!E115&lt;&gt;"",分析!E115,"")</f>
        <v>1092</v>
      </c>
      <c r="F137" s="166">
        <f>IF(分析!F115&lt;&gt;"",分析!F115,"")</f>
        <v>1112</v>
      </c>
      <c r="G137" s="166">
        <f>IF(分析!H115&lt;&gt;"",分析!H115,"")</f>
        <v>1134</v>
      </c>
      <c r="H137" s="166">
        <f>IF(分析!I115&lt;&gt;"",分析!I115,"")</f>
        <v>1091</v>
      </c>
      <c r="I137" s="166">
        <f>IF(分析!J115&lt;&gt;"",分析!J115,"")</f>
        <v>132900</v>
      </c>
      <c r="J137" s="166">
        <f>IF(分析!AB115&lt;&gt;"",分析!AB115,"")</f>
        <v>5129.8625254582475</v>
      </c>
      <c r="K137" s="166">
        <f>IF(分析!AC115&lt;&gt;"",分析!AC115,"")</f>
        <v>5156.437425506555</v>
      </c>
      <c r="L137" s="166">
        <f>IF(分析!K115&lt;&gt;"",分析!K115,"")</f>
        <v>1110</v>
      </c>
      <c r="M137" s="161" t="str">
        <f>IF(分析!P115&lt;&gt;"",分析!P115,"")</f>
        <v>普通→</v>
      </c>
      <c r="N137" s="167">
        <f>IF(分析!O115&lt;&gt;"",分析!O115,"")</f>
        <v>1.0643921191734742</v>
      </c>
      <c r="O137" s="168">
        <f>IF(分析!X115&lt;&gt;"",分析!X115,"")</f>
        <v>5.2288518104271589</v>
      </c>
      <c r="P137" s="169">
        <f>IF(分析!L115&lt;&gt;"",分析!L115,"")</f>
        <v>-1.6216216216216217</v>
      </c>
      <c r="Q137" s="166">
        <f>IF(分析!S115&lt;&gt;"",分析!S115,"")</f>
        <v>1048</v>
      </c>
      <c r="R137" s="166">
        <f>IF(分析!R115&lt;&gt;"",分析!R115,"")</f>
        <v>1179</v>
      </c>
      <c r="S137" s="161" t="str">
        <f>IF(分析!AA115&lt;&gt;"",分析!AA115,"")</f>
        <v>下落▼</v>
      </c>
      <c r="T137" s="170">
        <f>IF(分析!Z115&lt;&gt;"",分析!Z115,"")</f>
        <v>-1.6216216216216217</v>
      </c>
      <c r="U137" s="161" t="str">
        <f>IF(分析!V115&lt;&gt;"",分析!V115,"")</f>
        <v>年初来高値更新●</v>
      </c>
      <c r="V137" s="171">
        <f>IF(分析!W115&lt;&gt;"",分析!W115,"")</f>
        <v>63.414634146341463</v>
      </c>
      <c r="W137" s="172" t="str">
        <f>IF(分析!AD115&lt;&gt;"",分析!AD115,"")</f>
        <v>下降トレンド▼</v>
      </c>
      <c r="X137" s="173" t="str">
        <f>IF(分析!AE115&lt;&gt;"",分析!AE115,"")</f>
        <v>なし</v>
      </c>
      <c r="Y137" s="174">
        <f>IF(分析!T115&lt;&gt;"",分析!T115,"")</f>
        <v>7</v>
      </c>
      <c r="Z137" s="160" t="str">
        <f>IF(分析!Y115&lt;&gt;"",分析!Y115,"")</f>
        <v>△注目</v>
      </c>
    </row>
    <row r="138" spans="1:26" ht="21.95" customHeight="1">
      <c r="A138" s="161">
        <f>IF(分析!C47&lt;&gt;"",ROW()-2,"")</f>
        <v>136</v>
      </c>
      <c r="B138" s="162" t="str">
        <f>IF(分析!C47&lt;&gt;"",HYPERLINK("https://kabutan.jp/stock/?code="&amp;分析!C47,"株探"),"")</f>
        <v>株探</v>
      </c>
      <c r="C138" s="163">
        <f>IF(分析!C47&lt;&gt;"",分析!C47,"")</f>
        <v>5714</v>
      </c>
      <c r="D138" s="164" t="str">
        <f>IF(分析!D47&lt;&gt;"",分析!D47,"")</f>
        <v>ＤＯＷＡホールディングス</v>
      </c>
      <c r="E138" s="165">
        <f>IF(分析!E47&lt;&gt;"",分析!E47,"")</f>
        <v>9839</v>
      </c>
      <c r="F138" s="166">
        <f>IF(分析!F47&lt;&gt;"",分析!F47,"")</f>
        <v>9770</v>
      </c>
      <c r="G138" s="166">
        <f>IF(分析!H47&lt;&gt;"",分析!H47,"")</f>
        <v>9927</v>
      </c>
      <c r="H138" s="166">
        <f>IF(分析!I47&lt;&gt;"",分析!I47,"")</f>
        <v>9615</v>
      </c>
      <c r="I138" s="166">
        <f>IF(分析!J47&lt;&gt;"",分析!J47,"")</f>
        <v>365500</v>
      </c>
      <c r="J138" s="166">
        <f>IF(分析!AB47&lt;&gt;"",分析!AB47,"")</f>
        <v>3653.4704684317712</v>
      </c>
      <c r="K138" s="166">
        <f>IF(分析!AC47&lt;&gt;"",分析!AC47,"")</f>
        <v>3535.916567342073</v>
      </c>
      <c r="L138" s="166">
        <f>IF(分析!K47&lt;&gt;"",分析!K47,"")</f>
        <v>12380</v>
      </c>
      <c r="M138" s="161" t="str">
        <f>IF(分析!P47&lt;&gt;"",分析!P47,"")</f>
        <v>減少↓</v>
      </c>
      <c r="N138" s="167">
        <f>IF(分析!O47&lt;&gt;"",分析!O47,"")</f>
        <v>0.82108999415914097</v>
      </c>
      <c r="O138" s="168">
        <f>IF(分析!X47&lt;&gt;"",分析!X47,"")</f>
        <v>-159.00096123611183</v>
      </c>
      <c r="P138" s="169">
        <f>IF(分析!L47&lt;&gt;"",分析!L47,"")</f>
        <v>-20.525040387722132</v>
      </c>
      <c r="Q138" s="166">
        <f>IF(分析!S47&lt;&gt;"",分析!S47,"")</f>
        <v>9445</v>
      </c>
      <c r="R138" s="166">
        <f>IF(分析!R47&lt;&gt;"",分析!R47,"")</f>
        <v>10626</v>
      </c>
      <c r="S138" s="161" t="str">
        <f>IF(分析!AA47&lt;&gt;"",分析!AA47,"")</f>
        <v>上昇▲</v>
      </c>
      <c r="T138" s="170">
        <f>IF(分析!Z47&lt;&gt;"",分析!Z47,"")</f>
        <v>1.5900877645844087</v>
      </c>
      <c r="U138" s="161" t="str">
        <f>IF(分析!V47&lt;&gt;"",分析!V47,"")</f>
        <v>通常</v>
      </c>
      <c r="V138" s="171">
        <f>IF(分析!W47&lt;&gt;"",分析!W47,"")</f>
        <v>33.774662512980271</v>
      </c>
      <c r="W138" s="172" t="str">
        <f>IF(分析!AD47&lt;&gt;"",分析!AD47,"")</f>
        <v>パーフェクト▲</v>
      </c>
      <c r="X138" s="173" t="str">
        <f>IF(分析!AE47&lt;&gt;"",分析!AE47,"")</f>
        <v>なし</v>
      </c>
      <c r="Y138" s="174">
        <f>IF(分析!T47&lt;&gt;"",分析!T47,"")</f>
        <v>4</v>
      </c>
      <c r="Z138" s="160" t="str">
        <f>IF(分析!Y47&lt;&gt;"",分析!Y47,"")</f>
        <v>様子見</v>
      </c>
    </row>
    <row r="139" spans="1:26" ht="21.95" customHeight="1">
      <c r="A139" s="161">
        <f>IF(分析!C61&lt;&gt;"",ROW()-2,"")</f>
        <v>137</v>
      </c>
      <c r="B139" s="162" t="str">
        <f>IF(分析!C61&lt;&gt;"",HYPERLINK("https://kabutan.jp/stock/?code="&amp;分析!C61,"株探"),"")</f>
        <v>株探</v>
      </c>
      <c r="C139" s="163">
        <f>IF(分析!C61&lt;&gt;"",分析!C61,"")</f>
        <v>5844</v>
      </c>
      <c r="D139" s="164" t="str">
        <f>IF(分析!D61&lt;&gt;"",分析!D61,"")</f>
        <v>京都フィナンシャルＧ</v>
      </c>
      <c r="E139" s="165">
        <f>IF(分析!E61&lt;&gt;"",分析!E61,"")</f>
        <v>4535</v>
      </c>
      <c r="F139" s="166">
        <f>IF(分析!F61&lt;&gt;"",分析!F61,"")</f>
        <v>4726</v>
      </c>
      <c r="G139" s="166">
        <f>IF(分析!H61&lt;&gt;"",分析!H61,"")</f>
        <v>4733</v>
      </c>
      <c r="H139" s="166">
        <f>IF(分析!I61&lt;&gt;"",分析!I61,"")</f>
        <v>4519</v>
      </c>
      <c r="I139" s="166">
        <f>IF(分析!J61&lt;&gt;"",分析!J61,"")</f>
        <v>1291700</v>
      </c>
      <c r="J139" s="166">
        <f>IF(分析!AB61&lt;&gt;"",分析!AB61,"")</f>
        <v>1055.3747454175152</v>
      </c>
      <c r="K139" s="166">
        <f>IF(分析!AC61&lt;&gt;"",分析!AC61,"")</f>
        <v>1041.8057210965428</v>
      </c>
      <c r="L139" s="166">
        <f>IF(分析!K61&lt;&gt;"",分析!K61,"")</f>
        <v>4755</v>
      </c>
      <c r="M139" s="161" t="str">
        <f>IF(分析!P61&lt;&gt;"",分析!P61,"")</f>
        <v>普通→</v>
      </c>
      <c r="N139" s="167">
        <f>IF(分析!O61&lt;&gt;"",分析!O61,"")</f>
        <v>1.0444394132962467</v>
      </c>
      <c r="O139" s="168">
        <f>IF(分析!X61&lt;&gt;"",分析!X61,"")</f>
        <v>10.519250594054938</v>
      </c>
      <c r="P139" s="169">
        <f>IF(分析!L61&lt;&gt;"",分析!L61,"")</f>
        <v>-4.6267087276550996</v>
      </c>
      <c r="Q139" s="166">
        <f>IF(分析!S61&lt;&gt;"",分析!S61,"")</f>
        <v>4354</v>
      </c>
      <c r="R139" s="166">
        <f>IF(分析!R61&lt;&gt;"",分析!R61,"")</f>
        <v>4898</v>
      </c>
      <c r="S139" s="161" t="str">
        <f>IF(分析!AA61&lt;&gt;"",分析!AA61,"")</f>
        <v>下落▼</v>
      </c>
      <c r="T139" s="170">
        <f>IF(分析!Z61&lt;&gt;"",分析!Z61,"")</f>
        <v>-2.5987972508591066</v>
      </c>
      <c r="U139" s="161" t="str">
        <f>IF(分析!V61&lt;&gt;"",分析!V61,"")</f>
        <v>高値圏</v>
      </c>
      <c r="V139" s="171">
        <f>IF(分析!W61&lt;&gt;"",分析!W61,"")</f>
        <v>54.214360041623308</v>
      </c>
      <c r="W139" s="172" t="str">
        <f>IF(分析!AD61&lt;&gt;"",分析!AD61,"")</f>
        <v>パーフェクト▲</v>
      </c>
      <c r="X139" s="173" t="str">
        <f>IF(分析!AE61&lt;&gt;"",分析!AE61,"")</f>
        <v>なし</v>
      </c>
      <c r="Y139" s="174">
        <f>IF(分析!T61&lt;&gt;"",分析!T61,"")</f>
        <v>8</v>
      </c>
      <c r="Z139" s="160" t="str">
        <f>IF(分析!Y61&lt;&gt;"",分析!Y61,"")</f>
        <v>△注目</v>
      </c>
    </row>
    <row r="140" spans="1:26" ht="21.95" customHeight="1">
      <c r="A140" s="161">
        <f>IF(分析!C59&lt;&gt;"",ROW()-2,"")</f>
        <v>138</v>
      </c>
      <c r="B140" s="162" t="str">
        <f>IF(分析!C59&lt;&gt;"",HYPERLINK("https://kabutan.jp/stock/?code="&amp;分析!C59,"株探"),"")</f>
        <v>株探</v>
      </c>
      <c r="C140" s="163">
        <f>IF(分析!C59&lt;&gt;"",分析!C59,"")</f>
        <v>6178</v>
      </c>
      <c r="D140" s="164" t="str">
        <f>IF(分析!D59&lt;&gt;"",分析!D59,"")</f>
        <v>日本郵政</v>
      </c>
      <c r="E140" s="165">
        <f>IF(分析!E59&lt;&gt;"",分析!E59,"")</f>
        <v>2196.5</v>
      </c>
      <c r="F140" s="166">
        <f>IF(分析!F59&lt;&gt;"",分析!F59,"")</f>
        <v>2272</v>
      </c>
      <c r="G140" s="166">
        <f>IF(分析!H59&lt;&gt;"",分析!H59,"")</f>
        <v>2279.5</v>
      </c>
      <c r="H140" s="166">
        <f>IF(分析!I59&lt;&gt;"",分析!I59,"")</f>
        <v>2196.5</v>
      </c>
      <c r="I140" s="166">
        <f>IF(分析!J59&lt;&gt;"",分析!J59,"")</f>
        <v>5707300</v>
      </c>
      <c r="J140" s="166">
        <f>IF(分析!AB59&lt;&gt;"",分析!AB59,"")</f>
        <v>1741.4460285132384</v>
      </c>
      <c r="K140" s="166">
        <f>IF(分析!AC59&lt;&gt;"",分析!AC59,"")</f>
        <v>1734.0458879618584</v>
      </c>
      <c r="L140" s="166">
        <f>IF(分析!K59&lt;&gt;"",分析!K59,"")</f>
        <v>2361</v>
      </c>
      <c r="M140" s="161" t="str">
        <f>IF(分析!P59&lt;&gt;"",分析!P59,"")</f>
        <v>減少↓</v>
      </c>
      <c r="N140" s="167">
        <f>IF(分析!O59&lt;&gt;"",分析!O59,"")</f>
        <v>0.81963046044525123</v>
      </c>
      <c r="O140" s="168">
        <f>IF(分析!X59&lt;&gt;"",分析!X59,"")</f>
        <v>26.38005644028226</v>
      </c>
      <c r="P140" s="169">
        <f>IF(分析!L59&lt;&gt;"",分析!L59,"")</f>
        <v>-6.9673867005506134</v>
      </c>
      <c r="Q140" s="166">
        <f>IF(分析!S59&lt;&gt;"",分析!S59,"")</f>
        <v>2109</v>
      </c>
      <c r="R140" s="166">
        <f>IF(分析!R59&lt;&gt;"",分析!R59,"")</f>
        <v>2372</v>
      </c>
      <c r="S140" s="161" t="str">
        <f>IF(分析!AA59&lt;&gt;"",分析!AA59,"")</f>
        <v>下落▼</v>
      </c>
      <c r="T140" s="170">
        <f>IF(分析!Z59&lt;&gt;"",分析!Z59,"")</f>
        <v>-3.0028703908147496</v>
      </c>
      <c r="U140" s="161" t="str">
        <f>IF(分析!V59&lt;&gt;"",分析!V59,"")</f>
        <v>高値圏</v>
      </c>
      <c r="V140" s="171">
        <f>IF(分析!W59&lt;&gt;"",分析!W59,"")</f>
        <v>71.17768595041322</v>
      </c>
      <c r="W140" s="172" t="str">
        <f>IF(分析!AD59&lt;&gt;"",分析!AD59,"")</f>
        <v>パーフェクト▲</v>
      </c>
      <c r="X140" s="173" t="str">
        <f>IF(分析!AE59&lt;&gt;"",分析!AE59,"")</f>
        <v>なし</v>
      </c>
      <c r="Y140" s="174">
        <f>IF(分析!T59&lt;&gt;"",分析!T59,"")</f>
        <v>9</v>
      </c>
      <c r="Z140" s="160" t="str">
        <f>IF(分析!Y59&lt;&gt;"",分析!Y59,"")</f>
        <v>△注目</v>
      </c>
    </row>
    <row r="141" spans="1:26" ht="21.95" customHeight="1">
      <c r="A141" s="146">
        <f>IF(分析!C62&lt;&gt;"",ROW()-2,"")</f>
        <v>139</v>
      </c>
      <c r="B141" s="147" t="str">
        <f>IF(分析!C62&lt;&gt;"",HYPERLINK("https://kabutan.jp/stock/?code="&amp;分析!C62,"株探"),"")</f>
        <v>株探</v>
      </c>
      <c r="C141" s="148">
        <f>IF(分析!C62&lt;&gt;"",分析!C62,"")</f>
        <v>6387</v>
      </c>
      <c r="D141" s="149" t="str">
        <f>IF(分析!D62&lt;&gt;"",分析!D62,"")</f>
        <v>サムコ</v>
      </c>
      <c r="E141" s="150">
        <f>IF(分析!E62&lt;&gt;"",分析!E62,"")</f>
        <v>16190</v>
      </c>
      <c r="F141" s="151">
        <f>IF(分析!F62&lt;&gt;"",分析!F62,"")</f>
        <v>15420</v>
      </c>
      <c r="G141" s="151">
        <f>IF(分析!H62&lt;&gt;"",分析!H62,"")</f>
        <v>16300</v>
      </c>
      <c r="H141" s="151">
        <f>IF(分析!I62&lt;&gt;"",分析!I62,"")</f>
        <v>14700</v>
      </c>
      <c r="I141" s="151">
        <f>IF(分析!J62&lt;&gt;"",分析!J62,"")</f>
        <v>321300</v>
      </c>
      <c r="J141" s="151">
        <f>IF(分析!AB62&lt;&gt;"",分析!AB62,"")</f>
        <v>3727.3268839103853</v>
      </c>
      <c r="K141" s="151">
        <f>IF(分析!AC62&lt;&gt;"",分析!AC62,"")</f>
        <v>3746.6483909415965</v>
      </c>
      <c r="L141" s="151">
        <f>IF(分析!K62&lt;&gt;"",分析!K62,"")</f>
        <v>16930</v>
      </c>
      <c r="M141" s="146" t="str">
        <f>IF(分析!P62&lt;&gt;"",分析!P62,"")</f>
        <v>普通→</v>
      </c>
      <c r="N141" s="152">
        <f>IF(分析!O62&lt;&gt;"",分析!O62,"")</f>
        <v>1.4631147540983607</v>
      </c>
      <c r="O141" s="153">
        <f>IF(分析!X62&lt;&gt;"",分析!X62,"")</f>
        <v>310.15212606323621</v>
      </c>
      <c r="P141" s="154">
        <f>IF(分析!L62&lt;&gt;"",分析!L62,"")</f>
        <v>-4.370939161252215</v>
      </c>
      <c r="Q141" s="151">
        <f>IF(分析!S62&lt;&gt;"",分析!S62,"")</f>
        <v>15542</v>
      </c>
      <c r="R141" s="151">
        <f>IF(分析!R62&lt;&gt;"",分析!R62,"")</f>
        <v>17485</v>
      </c>
      <c r="S141" s="146" t="str">
        <f>IF(分析!AA62&lt;&gt;"",分析!AA62,"")</f>
        <v>下落▼</v>
      </c>
      <c r="T141" s="155">
        <f>IF(分析!Z62&lt;&gt;"",分析!Z62,"")</f>
        <v>-0.18495684340320592</v>
      </c>
      <c r="U141" s="146" t="str">
        <f>IF(分析!V62&lt;&gt;"",分析!V62,"")</f>
        <v>高値圏</v>
      </c>
      <c r="V141" s="156">
        <f>IF(分析!W62&lt;&gt;"",分析!W62,"")</f>
        <v>69.108561341571047</v>
      </c>
      <c r="W141" s="157" t="str">
        <f>IF(分析!AD62&lt;&gt;"",分析!AD62,"")</f>
        <v>上昇トレンド▲</v>
      </c>
      <c r="X141" s="158" t="str">
        <f>IF(分析!AE62&lt;&gt;"",分析!AE62,"")</f>
        <v>なし</v>
      </c>
      <c r="Y141" s="159">
        <f>IF(分析!T62&lt;&gt;"",分析!T62,"")</f>
        <v>10</v>
      </c>
      <c r="Z141" s="160" t="str">
        <f>IF(分析!Y62&lt;&gt;"",分析!Y62,"")</f>
        <v>○買い候補</v>
      </c>
    </row>
    <row r="142" spans="1:26" ht="21.95" customHeight="1">
      <c r="A142" s="161">
        <f>IF(分析!C39&lt;&gt;"",ROW()-2,"")</f>
        <v>140</v>
      </c>
      <c r="B142" s="162" t="str">
        <f>IF(分析!C39&lt;&gt;"",HYPERLINK("https://kabutan.jp/stock/?code="&amp;分析!C39,"株探"),"")</f>
        <v>株探</v>
      </c>
      <c r="C142" s="163">
        <f>IF(分析!C39&lt;&gt;"",分析!C39,"")</f>
        <v>6503</v>
      </c>
      <c r="D142" s="164" t="str">
        <f>IF(分析!D39&lt;&gt;"",分析!D39,"")</f>
        <v>三菱電機</v>
      </c>
      <c r="E142" s="165">
        <f>IF(分析!E39&lt;&gt;"",分析!E39,"")</f>
        <v>5863</v>
      </c>
      <c r="F142" s="166">
        <f>IF(分析!F39&lt;&gt;"",分析!F39,"")</f>
        <v>5853</v>
      </c>
      <c r="G142" s="166">
        <f>IF(分析!H39&lt;&gt;"",分析!H39,"")</f>
        <v>5925</v>
      </c>
      <c r="H142" s="166">
        <f>IF(分析!I39&lt;&gt;"",分析!I39,"")</f>
        <v>5790</v>
      </c>
      <c r="I142" s="166">
        <f>IF(分析!J39&lt;&gt;"",分析!J39,"")</f>
        <v>4255000</v>
      </c>
      <c r="J142" s="166">
        <f>IF(分析!AB39&lt;&gt;"",分析!AB39,"")</f>
        <v>791.90040733197566</v>
      </c>
      <c r="K142" s="166">
        <f>IF(分析!AC39&lt;&gt;"",分析!AC39,"")</f>
        <v>789.87640047675768</v>
      </c>
      <c r="L142" s="166">
        <f>IF(分析!K39&lt;&gt;"",分析!K39,"")</f>
        <v>6686</v>
      </c>
      <c r="M142" s="161" t="str">
        <f>IF(分析!P39&lt;&gt;"",分析!P39,"")</f>
        <v>減少↓</v>
      </c>
      <c r="N142" s="167">
        <f>IF(分析!O39&lt;&gt;"",分析!O39,"")</f>
        <v>0.5965399282189322</v>
      </c>
      <c r="O142" s="168">
        <f>IF(分析!X39&lt;&gt;"",分析!X39,"")</f>
        <v>-91.468259306873733</v>
      </c>
      <c r="P142" s="169">
        <f>IF(分析!L39&lt;&gt;"",分析!L39,"")</f>
        <v>-12.309303021238408</v>
      </c>
      <c r="Q142" s="166">
        <f>IF(分析!S39&lt;&gt;"",分析!S39,"")</f>
        <v>5628</v>
      </c>
      <c r="R142" s="166">
        <f>IF(分析!R39&lt;&gt;"",分析!R39,"")</f>
        <v>6332</v>
      </c>
      <c r="S142" s="161" t="str">
        <f>IF(分析!AA39&lt;&gt;"",分析!AA39,"")</f>
        <v>下落▼</v>
      </c>
      <c r="T142" s="170">
        <f>IF(分析!Z39&lt;&gt;"",分析!Z39,"")</f>
        <v>-0.15326975476839239</v>
      </c>
      <c r="U142" s="161" t="str">
        <f>IF(分析!V39&lt;&gt;"",分析!V39,"")</f>
        <v>通常</v>
      </c>
      <c r="V142" s="171">
        <f>IF(分析!W39&lt;&gt;"",分析!W39,"")</f>
        <v>32.340862422997958</v>
      </c>
      <c r="W142" s="172" t="str">
        <f>IF(分析!AD39&lt;&gt;"",分析!AD39,"")</f>
        <v>パーフェクト▲</v>
      </c>
      <c r="X142" s="173" t="str">
        <f>IF(分析!AE39&lt;&gt;"",分析!AE39,"")</f>
        <v>なし</v>
      </c>
      <c r="Y142" s="174">
        <f>IF(分析!T39&lt;&gt;"",分析!T39,"")</f>
        <v>3</v>
      </c>
      <c r="Z142" s="160" t="str">
        <f>IF(分析!Y39&lt;&gt;"",分析!Y39,"")</f>
        <v>様子見</v>
      </c>
    </row>
    <row r="143" spans="1:26" ht="21.95" customHeight="1">
      <c r="A143" s="161">
        <f>IF(分析!C101&lt;&gt;"",ROW()-2,"")</f>
        <v>141</v>
      </c>
      <c r="B143" s="162" t="str">
        <f>IF(分析!C101&lt;&gt;"",HYPERLINK("https://kabutan.jp/stock/?code="&amp;分析!C101,"株探"),"")</f>
        <v>株探</v>
      </c>
      <c r="C143" s="163">
        <f>IF(分析!C101&lt;&gt;"",分析!C101,"")</f>
        <v>7167</v>
      </c>
      <c r="D143" s="164" t="str">
        <f>IF(分析!D101&lt;&gt;"",分析!D101,"")</f>
        <v>めぶきフィナンシャルＧ</v>
      </c>
      <c r="E143" s="165">
        <f>IF(分析!E101&lt;&gt;"",分析!E101,"")</f>
        <v>1388.5</v>
      </c>
      <c r="F143" s="166">
        <f>IF(分析!F101&lt;&gt;"",分析!F101,"")</f>
        <v>1429</v>
      </c>
      <c r="G143" s="166">
        <f>IF(分析!H101&lt;&gt;"",分析!H101,"")</f>
        <v>1446.5</v>
      </c>
      <c r="H143" s="166">
        <f>IF(分析!I101&lt;&gt;"",分析!I101,"")</f>
        <v>1388.5</v>
      </c>
      <c r="I143" s="166">
        <f>IF(分析!J101&lt;&gt;"",分析!J101,"")</f>
        <v>2240800</v>
      </c>
      <c r="J143" s="166">
        <f>IF(分析!AB101&lt;&gt;"",分析!AB101,"")</f>
        <v>4554.0977596741332</v>
      </c>
      <c r="K143" s="166">
        <f>IF(分析!AC101&lt;&gt;"",分析!AC101,"")</f>
        <v>4808.8379022645977</v>
      </c>
      <c r="L143" s="166">
        <f>IF(分析!K101&lt;&gt;"",分析!K101,"")</f>
        <v>1456.5</v>
      </c>
      <c r="M143" s="161" t="str">
        <f>IF(分析!P101&lt;&gt;"",分析!P101,"")</f>
        <v>減少↓</v>
      </c>
      <c r="N143" s="167">
        <f>IF(分析!O101&lt;&gt;"",分析!O101,"")</f>
        <v>0.77225825573300433</v>
      </c>
      <c r="O143" s="168">
        <f>IF(分析!X101&lt;&gt;"",分析!X101,"")</f>
        <v>0.60691015328166031</v>
      </c>
      <c r="P143" s="169">
        <f>IF(分析!L101&lt;&gt;"",分析!L101,"")</f>
        <v>-4.6687263989014758</v>
      </c>
      <c r="Q143" s="166">
        <f>IF(分析!S101&lt;&gt;"",分析!S101,"")</f>
        <v>1333</v>
      </c>
      <c r="R143" s="166">
        <f>IF(分析!R101&lt;&gt;"",分析!R101,"")</f>
        <v>1500</v>
      </c>
      <c r="S143" s="161" t="str">
        <f>IF(分析!AA101&lt;&gt;"",分析!AA101,"")</f>
        <v>下落▼</v>
      </c>
      <c r="T143" s="170">
        <f>IF(分析!Z101&lt;&gt;"",分析!Z101,"")</f>
        <v>-1.7338995046001413</v>
      </c>
      <c r="U143" s="161" t="str">
        <f>IF(分析!V101&lt;&gt;"",分析!V101,"")</f>
        <v>高値圏</v>
      </c>
      <c r="V143" s="171">
        <f>IF(分析!W101&lt;&gt;"",分析!W101,"")</f>
        <v>55.580357142857146</v>
      </c>
      <c r="W143" s="172" t="str">
        <f>IF(分析!AD101&lt;&gt;"",分析!AD101,"")</f>
        <v>下降トレンド▼</v>
      </c>
      <c r="X143" s="173" t="str">
        <f>IF(分析!AE101&lt;&gt;"",分析!AE101,"")</f>
        <v>なし</v>
      </c>
      <c r="Y143" s="174">
        <f>IF(分析!T101&lt;&gt;"",分析!T101,"")</f>
        <v>4</v>
      </c>
      <c r="Z143" s="160" t="str">
        <f>IF(分析!Y101&lt;&gt;"",分析!Y101,"")</f>
        <v>様子見</v>
      </c>
    </row>
    <row r="144" spans="1:26" ht="21.95" customHeight="1">
      <c r="A144" s="146">
        <f>IF(分析!C102&lt;&gt;"",ROW()-2,"")</f>
        <v>142</v>
      </c>
      <c r="B144" s="147" t="str">
        <f>IF(分析!C102&lt;&gt;"",HYPERLINK("https://kabutan.jp/stock/?code="&amp;分析!C102,"株探"),"")</f>
        <v>株探</v>
      </c>
      <c r="C144" s="148">
        <f>IF(分析!C102&lt;&gt;"",分析!C102,"")</f>
        <v>7182</v>
      </c>
      <c r="D144" s="149" t="str">
        <f>IF(分析!D102&lt;&gt;"",分析!D102,"")</f>
        <v>ゆうちょ銀行</v>
      </c>
      <c r="E144" s="150">
        <f>IF(分析!E102&lt;&gt;"",分析!E102,"")</f>
        <v>3125</v>
      </c>
      <c r="F144" s="151">
        <f>IF(分析!F102&lt;&gt;"",分析!F102,"")</f>
        <v>3188</v>
      </c>
      <c r="G144" s="151">
        <f>IF(分析!H102&lt;&gt;"",分析!H102,"")</f>
        <v>3235</v>
      </c>
      <c r="H144" s="151">
        <f>IF(分析!I102&lt;&gt;"",分析!I102,"")</f>
        <v>3125</v>
      </c>
      <c r="I144" s="151">
        <f>IF(分析!J102&lt;&gt;"",分析!J102,"")</f>
        <v>6055800</v>
      </c>
      <c r="J144" s="151">
        <f>IF(分析!AB102&lt;&gt;"",分析!AB102,"")</f>
        <v>2234.0045824847248</v>
      </c>
      <c r="K144" s="151">
        <f>IF(分析!AC102&lt;&gt;"",分析!AC102,"")</f>
        <v>2155.8849821215731</v>
      </c>
      <c r="L144" s="151">
        <f>IF(分析!K102&lt;&gt;"",分析!K102,"")</f>
        <v>3308</v>
      </c>
      <c r="M144" s="146" t="str">
        <f>IF(分析!P102&lt;&gt;"",分析!P102,"")</f>
        <v>減少↓</v>
      </c>
      <c r="N144" s="152">
        <f>IF(分析!O102&lt;&gt;"",分析!O102,"")</f>
        <v>0.79580218879111864</v>
      </c>
      <c r="O144" s="153">
        <f>IF(分析!X102&lt;&gt;"",分析!X102,"")</f>
        <v>23.552438116693793</v>
      </c>
      <c r="P144" s="154">
        <f>IF(分析!L102&lt;&gt;"",分析!L102,"")</f>
        <v>-5.5320435308343407</v>
      </c>
      <c r="Q144" s="151">
        <f>IF(分析!S102&lt;&gt;"",分析!S102,"")</f>
        <v>3000</v>
      </c>
      <c r="R144" s="151">
        <f>IF(分析!R102&lt;&gt;"",分析!R102,"")</f>
        <v>3375</v>
      </c>
      <c r="S144" s="146" t="str">
        <f>IF(分析!AA102&lt;&gt;"",分析!AA102,"")</f>
        <v>下落▼</v>
      </c>
      <c r="T144" s="155">
        <f>IF(分析!Z102&lt;&gt;"",分析!Z102,"")</f>
        <v>-1.4195583596214512</v>
      </c>
      <c r="U144" s="146" t="str">
        <f>IF(分析!V102&lt;&gt;"",分析!V102,"")</f>
        <v>高値圏</v>
      </c>
      <c r="V144" s="156">
        <f>IF(分析!W102&lt;&gt;"",分析!W102,"")</f>
        <v>54.258849557522126</v>
      </c>
      <c r="W144" s="157" t="str">
        <f>IF(分析!AD102&lt;&gt;"",分析!AD102,"")</f>
        <v>パーフェクト▲</v>
      </c>
      <c r="X144" s="158" t="str">
        <f>IF(分析!AE102&lt;&gt;"",分析!AE102,"")</f>
        <v>なし</v>
      </c>
      <c r="Y144" s="159">
        <f>IF(分析!T102&lt;&gt;"",分析!T102,"")</f>
        <v>10</v>
      </c>
      <c r="Z144" s="160" t="str">
        <f>IF(分析!Y102&lt;&gt;"",分析!Y102,"")</f>
        <v>○買い候補</v>
      </c>
    </row>
    <row r="145" spans="1:26" ht="21.95" customHeight="1">
      <c r="A145" s="161">
        <f>IF(分析!C63&lt;&gt;"",ROW()-2,"")</f>
        <v>143</v>
      </c>
      <c r="B145" s="162" t="str">
        <f>IF(分析!C63&lt;&gt;"",HYPERLINK("https://kabutan.jp/stock/?code="&amp;分析!C63,"株探"),"")</f>
        <v>株探</v>
      </c>
      <c r="C145" s="163">
        <f>IF(分析!C63&lt;&gt;"",分析!C63,"")</f>
        <v>7381</v>
      </c>
      <c r="D145" s="164" t="str">
        <f>IF(分析!D63&lt;&gt;"",分析!D63,"")</f>
        <v>ＣＣＩグループ</v>
      </c>
      <c r="E145" s="165">
        <f>IF(分析!E63&lt;&gt;"",分析!E63,"")</f>
        <v>975</v>
      </c>
      <c r="F145" s="166">
        <f>IF(分析!F63&lt;&gt;"",分析!F63,"")</f>
        <v>1004</v>
      </c>
      <c r="G145" s="166">
        <f>IF(分析!H63&lt;&gt;"",分析!H63,"")</f>
        <v>1019</v>
      </c>
      <c r="H145" s="166">
        <f>IF(分析!I63&lt;&gt;"",分析!I63,"")</f>
        <v>975</v>
      </c>
      <c r="I145" s="166">
        <f>IF(分析!J63&lt;&gt;"",分析!J63,"")</f>
        <v>444200</v>
      </c>
      <c r="J145" s="166">
        <f>IF(分析!AB63&lt;&gt;"",分析!AB63,"")</f>
        <v>6854.6191446028497</v>
      </c>
      <c r="K145" s="166">
        <f>IF(分析!AC63&lt;&gt;"",分析!AC63,"")</f>
        <v>6929.0595947556612</v>
      </c>
      <c r="L145" s="166">
        <f>IF(分析!K63&lt;&gt;"",分析!K63,"")</f>
        <v>1094</v>
      </c>
      <c r="M145" s="161" t="str">
        <f>IF(分析!P63&lt;&gt;"",分析!P63,"")</f>
        <v>減少↓</v>
      </c>
      <c r="N145" s="167">
        <f>IF(分析!O63&lt;&gt;"",分析!O63,"")</f>
        <v>0.77451527409680565</v>
      </c>
      <c r="O145" s="168">
        <f>IF(分析!X63&lt;&gt;"",分析!X63,"")</f>
        <v>-7.7115754321580425</v>
      </c>
      <c r="P145" s="169">
        <f>IF(分析!L63&lt;&gt;"",分析!L63,"")</f>
        <v>-10.877513711151737</v>
      </c>
      <c r="Q145" s="166">
        <f>IF(分析!S63&lt;&gt;"",分析!S63,"")</f>
        <v>936</v>
      </c>
      <c r="R145" s="166">
        <f>IF(分析!R63&lt;&gt;"",分析!R63,"")</f>
        <v>1053</v>
      </c>
      <c r="S145" s="161" t="str">
        <f>IF(分析!AA63&lt;&gt;"",分析!AA63,"")</f>
        <v>下落▼</v>
      </c>
      <c r="T145" s="170">
        <f>IF(分析!Z63&lt;&gt;"",分析!Z63,"")</f>
        <v>-2.5974025974025974</v>
      </c>
      <c r="U145" s="161" t="str">
        <f>IF(分析!V63&lt;&gt;"",分析!V63,"")</f>
        <v>通常</v>
      </c>
      <c r="V145" s="171">
        <f>IF(分析!W63&lt;&gt;"",分析!W63,"")</f>
        <v>35.714285714285722</v>
      </c>
      <c r="W145" s="172" t="str">
        <f>IF(分析!AD63&lt;&gt;"",分析!AD63,"")</f>
        <v>下降トレンド▼</v>
      </c>
      <c r="X145" s="173" t="str">
        <f>IF(分析!AE63&lt;&gt;"",分析!AE63,"")</f>
        <v>なし</v>
      </c>
      <c r="Y145" s="174">
        <f>IF(分析!T63&lt;&gt;"",分析!T63,"")</f>
        <v>0</v>
      </c>
      <c r="Z145" s="160" t="str">
        <f>IF(分析!Y63&lt;&gt;"",分析!Y63,"")</f>
        <v>見送り</v>
      </c>
    </row>
    <row r="146" spans="1:26" ht="21.95" customHeight="1">
      <c r="A146" s="161">
        <f>IF(分析!C65&lt;&gt;"",ROW()-2,"")</f>
        <v>144</v>
      </c>
      <c r="B146" s="162" t="str">
        <f>IF(分析!C65&lt;&gt;"",HYPERLINK("https://kabutan.jp/stock/?code="&amp;分析!C65,"株探"),"")</f>
        <v>株探</v>
      </c>
      <c r="C146" s="163">
        <f>IF(分析!C65&lt;&gt;"",分析!C65,"")</f>
        <v>8015</v>
      </c>
      <c r="D146" s="164" t="str">
        <f>IF(分析!D65&lt;&gt;"",分析!D65,"")</f>
        <v>豊田通商</v>
      </c>
      <c r="E146" s="165">
        <f>IF(分析!E65&lt;&gt;"",分析!E65,"")</f>
        <v>6344</v>
      </c>
      <c r="F146" s="166">
        <f>IF(分析!F65&lt;&gt;"",分析!F65,"")</f>
        <v>6426</v>
      </c>
      <c r="G146" s="166">
        <f>IF(分析!H65&lt;&gt;"",分析!H65,"")</f>
        <v>6456</v>
      </c>
      <c r="H146" s="166">
        <f>IF(分析!I65&lt;&gt;"",分析!I65,"")</f>
        <v>6295</v>
      </c>
      <c r="I146" s="166">
        <f>IF(分析!J65&lt;&gt;"",分析!J65,"")</f>
        <v>1409400</v>
      </c>
      <c r="J146" s="166">
        <f>IF(分析!AB65&lt;&gt;"",分析!AB65,"")</f>
        <v>1909.9928716904276</v>
      </c>
      <c r="K146" s="166">
        <f>IF(分析!AC65&lt;&gt;"",分析!AC65,"")</f>
        <v>1895.7622169249096</v>
      </c>
      <c r="L146" s="166">
        <f>IF(分析!K65&lt;&gt;"",分析!K65,"")</f>
        <v>7559</v>
      </c>
      <c r="M146" s="161" t="str">
        <f>IF(分析!P65&lt;&gt;"",分析!P65,"")</f>
        <v>減少↓</v>
      </c>
      <c r="N146" s="167">
        <f>IF(分析!O65&lt;&gt;"",分析!O65,"")</f>
        <v>0.6546153774697866</v>
      </c>
      <c r="O146" s="168">
        <f>IF(分析!X65&lt;&gt;"",分析!X65,"")</f>
        <v>-107.98369480852671</v>
      </c>
      <c r="P146" s="169">
        <f>IF(分析!L65&lt;&gt;"",分析!L65,"")</f>
        <v>-16.073554703003044</v>
      </c>
      <c r="Q146" s="166">
        <f>IF(分析!S65&lt;&gt;"",分析!S65,"")</f>
        <v>6090</v>
      </c>
      <c r="R146" s="166">
        <f>IF(分析!R65&lt;&gt;"",分析!R65,"")</f>
        <v>6852</v>
      </c>
      <c r="S146" s="161" t="str">
        <f>IF(分析!AA65&lt;&gt;"",分析!AA65,"")</f>
        <v>下落▼</v>
      </c>
      <c r="T146" s="170">
        <f>IF(分析!Z65&lt;&gt;"",分析!Z65,"")</f>
        <v>-1.1221945137157108</v>
      </c>
      <c r="U146" s="161" t="str">
        <f>IF(分析!V65&lt;&gt;"",分析!V65,"")</f>
        <v>通常</v>
      </c>
      <c r="V146" s="171">
        <f>IF(分析!W65&lt;&gt;"",分析!W65,"")</f>
        <v>33.669548511047068</v>
      </c>
      <c r="W146" s="172" t="str">
        <f>IF(分析!AD65&lt;&gt;"",分析!AD65,"")</f>
        <v>パーフェクト▲</v>
      </c>
      <c r="X146" s="173" t="str">
        <f>IF(分析!AE65&lt;&gt;"",分析!AE65,"")</f>
        <v>なし</v>
      </c>
      <c r="Y146" s="174">
        <f>IF(分析!T65&lt;&gt;"",分析!T65,"")</f>
        <v>3</v>
      </c>
      <c r="Z146" s="160" t="str">
        <f>IF(分析!Y65&lt;&gt;"",分析!Y65,"")</f>
        <v>様子見</v>
      </c>
    </row>
    <row r="147" spans="1:26" ht="21.95" customHeight="1">
      <c r="A147" s="161">
        <f>IF(分析!C201&lt;&gt;"",ROW()-2,"")</f>
        <v>145</v>
      </c>
      <c r="B147" s="162" t="str">
        <f>IF(分析!C201&lt;&gt;"",HYPERLINK("https://kabutan.jp/stock/?code="&amp;分析!C201,"株探"),"")</f>
        <v>株探</v>
      </c>
      <c r="C147" s="163">
        <f>IF(分析!C201&lt;&gt;"",分析!C201,"")</f>
        <v>8306</v>
      </c>
      <c r="D147" s="164" t="str">
        <f>IF(分析!D201&lt;&gt;"",分析!D201,"")</f>
        <v>三菱ＵＦＪフィナンシャルＧ</v>
      </c>
      <c r="E147" s="165">
        <f>IF(分析!E201&lt;&gt;"",分析!E201,"")</f>
        <v>3272</v>
      </c>
      <c r="F147" s="166">
        <f>IF(分析!F201&lt;&gt;"",分析!F201,"")</f>
        <v>3266</v>
      </c>
      <c r="G147" s="166">
        <f>IF(分析!H201&lt;&gt;"",分析!H201,"")</f>
        <v>3312</v>
      </c>
      <c r="H147" s="166">
        <f>IF(分析!I201&lt;&gt;"",分析!I201,"")</f>
        <v>3260</v>
      </c>
      <c r="I147" s="166">
        <f>IF(分析!J201&lt;&gt;"",分析!J201,"")</f>
        <v>42080800</v>
      </c>
      <c r="J147" s="166">
        <f>IF(分析!AB201&lt;&gt;"",分析!AB201,"")</f>
        <v>5350.7026476578403</v>
      </c>
      <c r="K147" s="166">
        <f>IF(分析!AC201&lt;&gt;"",分析!AC201,"")</f>
        <v>5256.0560190703181</v>
      </c>
      <c r="L147" s="166">
        <f>IF(分析!K201&lt;&gt;"",分析!K201,"")</f>
        <v>3327</v>
      </c>
      <c r="M147" s="161" t="str">
        <f>IF(分析!P201&lt;&gt;"",分析!P201,"")</f>
        <v>減少↓</v>
      </c>
      <c r="N147" s="167">
        <f>IF(分析!O201&lt;&gt;"",分析!O201,"")</f>
        <v>0.87968525928062846</v>
      </c>
      <c r="O147" s="168">
        <f>IF(分析!X201&lt;&gt;"",分析!X201,"")</f>
        <v>29.022626861277331</v>
      </c>
      <c r="P147" s="169">
        <f>IF(分析!L201&lt;&gt;"",分析!L201,"")</f>
        <v>-1.653140967838894</v>
      </c>
      <c r="Q147" s="166">
        <f>IF(分析!S201&lt;&gt;"",分析!S201,"")</f>
        <v>3141</v>
      </c>
      <c r="R147" s="166">
        <f>IF(分析!R201&lt;&gt;"",分析!R201,"")</f>
        <v>3534</v>
      </c>
      <c r="S147" s="161" t="str">
        <f>IF(分析!AA201&lt;&gt;"",分析!AA201,"")</f>
        <v>上昇▲</v>
      </c>
      <c r="T147" s="170">
        <f>IF(分析!Z201&lt;&gt;"",分析!Z201,"")</f>
        <v>1.3630731102850062</v>
      </c>
      <c r="U147" s="161" t="str">
        <f>IF(分析!V201&lt;&gt;"",分析!V201,"")</f>
        <v>高値圏</v>
      </c>
      <c r="V147" s="171">
        <f>IF(分析!W201&lt;&gt;"",分析!W201,"")</f>
        <v>65.697674418604663</v>
      </c>
      <c r="W147" s="172" t="str">
        <f>IF(分析!AD201&lt;&gt;"",分析!AD201,"")</f>
        <v>もみ合い→</v>
      </c>
      <c r="X147" s="173" t="str">
        <f>IF(分析!AE201&lt;&gt;"",分析!AE201,"")</f>
        <v>なし</v>
      </c>
      <c r="Y147" s="174">
        <f>IF(分析!T201&lt;&gt;"",分析!T201,"")</f>
        <v>8</v>
      </c>
      <c r="Z147" s="160" t="str">
        <f>IF(分析!Y201&lt;&gt;"",分析!Y201,"")</f>
        <v>△注目</v>
      </c>
    </row>
    <row r="148" spans="1:26" ht="21.95" customHeight="1">
      <c r="A148" s="146">
        <f>IF(分析!C68&lt;&gt;"",ROW()-2,"")</f>
        <v>146</v>
      </c>
      <c r="B148" s="147" t="str">
        <f>IF(分析!C68&lt;&gt;"",HYPERLINK("https://kabutan.jp/stock/?code="&amp;分析!C68,"株探"),"")</f>
        <v>株探</v>
      </c>
      <c r="C148" s="148">
        <f>IF(分析!C68&lt;&gt;"",分析!C68,"")</f>
        <v>8309</v>
      </c>
      <c r="D148" s="149" t="str">
        <f>IF(分析!D68&lt;&gt;"",分析!D68,"")</f>
        <v>三井住友トラストグルー</v>
      </c>
      <c r="E148" s="150">
        <f>IF(分析!E68&lt;&gt;"",分析!E68,"")</f>
        <v>6033</v>
      </c>
      <c r="F148" s="151">
        <f>IF(分析!F68&lt;&gt;"",分析!F68,"")</f>
        <v>6039</v>
      </c>
      <c r="G148" s="151">
        <f>IF(分析!H68&lt;&gt;"",分析!H68,"")</f>
        <v>6081</v>
      </c>
      <c r="H148" s="151">
        <f>IF(分析!I68&lt;&gt;"",分析!I68,"")</f>
        <v>6002</v>
      </c>
      <c r="I148" s="151">
        <f>IF(分析!J68&lt;&gt;"",分析!J68,"")</f>
        <v>2691100</v>
      </c>
      <c r="J148" s="151">
        <f>IF(分析!AB68&lt;&gt;"",分析!AB68,"")</f>
        <v>113.77291242362524</v>
      </c>
      <c r="K148" s="151">
        <f>IF(分析!AC68&lt;&gt;"",分析!AC68,"")</f>
        <v>116.86293206197851</v>
      </c>
      <c r="L148" s="151">
        <f>IF(分析!K68&lt;&gt;"",分析!K68,"")</f>
        <v>6169</v>
      </c>
      <c r="M148" s="146" t="str">
        <f>IF(分析!P68&lt;&gt;"",分析!P68,"")</f>
        <v>減少↓</v>
      </c>
      <c r="N148" s="152">
        <f>IF(分析!O68&lt;&gt;"",分析!O68,"")</f>
        <v>0.70379843501548245</v>
      </c>
      <c r="O148" s="153">
        <f>IF(分析!X68&lt;&gt;"",分析!X68,"")</f>
        <v>45.30327098898033</v>
      </c>
      <c r="P148" s="154">
        <f>IF(分析!L68&lt;&gt;"",分析!L68,"")</f>
        <v>-2.2045712433133411</v>
      </c>
      <c r="Q148" s="151">
        <f>IF(分析!S68&lt;&gt;"",分析!S68,"")</f>
        <v>5792</v>
      </c>
      <c r="R148" s="151">
        <f>IF(分析!R68&lt;&gt;"",分析!R68,"")</f>
        <v>6516</v>
      </c>
      <c r="S148" s="146" t="str">
        <f>IF(分析!AA68&lt;&gt;"",分析!AA68,"")</f>
        <v>上昇▲</v>
      </c>
      <c r="T148" s="155">
        <f>IF(分析!Z68&lt;&gt;"",分析!Z68,"")</f>
        <v>0.90316106372303051</v>
      </c>
      <c r="U148" s="146" t="str">
        <f>IF(分析!V68&lt;&gt;"",分析!V68,"")</f>
        <v>高値圏</v>
      </c>
      <c r="V148" s="156">
        <f>IF(分析!W68&lt;&gt;"",分析!W68,"")</f>
        <v>68.233944954128447</v>
      </c>
      <c r="W148" s="157" t="str">
        <f>IF(分析!AD68&lt;&gt;"",分析!AD68,"")</f>
        <v>上昇トレンド▲</v>
      </c>
      <c r="X148" s="158" t="str">
        <f>IF(分析!AE68&lt;&gt;"",分析!AE68,"")</f>
        <v>なし</v>
      </c>
      <c r="Y148" s="159">
        <f>IF(分析!T68&lt;&gt;"",分析!T68,"")</f>
        <v>8</v>
      </c>
      <c r="Z148" s="160" t="str">
        <f>IF(分析!Y68&lt;&gt;"",分析!Y68,"")</f>
        <v>△注目</v>
      </c>
    </row>
    <row r="149" spans="1:26" ht="21.95" customHeight="1">
      <c r="A149" s="146">
        <f>IF(分析!C70&lt;&gt;"",ROW()-2,"")</f>
        <v>147</v>
      </c>
      <c r="B149" s="147" t="str">
        <f>IF(分析!C70&lt;&gt;"",HYPERLINK("https://kabutan.jp/stock/?code="&amp;分析!C70,"株探"),"")</f>
        <v>株探</v>
      </c>
      <c r="C149" s="148">
        <f>IF(分析!C70&lt;&gt;"",分析!C70,"")</f>
        <v>8316</v>
      </c>
      <c r="D149" s="149" t="str">
        <f>IF(分析!D70&lt;&gt;"",分析!D70,"")</f>
        <v>三井住友フィナンシャルＧ</v>
      </c>
      <c r="E149" s="150">
        <f>IF(分析!E70&lt;&gt;"",分析!E70,"")</f>
        <v>6450</v>
      </c>
      <c r="F149" s="151">
        <f>IF(分析!F70&lt;&gt;"",分析!F70,"")</f>
        <v>6544</v>
      </c>
      <c r="G149" s="151">
        <f>IF(分析!H70&lt;&gt;"",分析!H70,"")</f>
        <v>6578</v>
      </c>
      <c r="H149" s="151">
        <f>IF(分析!I70&lt;&gt;"",分析!I70,"")</f>
        <v>6450</v>
      </c>
      <c r="I149" s="151">
        <f>IF(分析!J70&lt;&gt;"",分析!J70,"")</f>
        <v>12405700</v>
      </c>
      <c r="J149" s="151">
        <f>IF(分析!AB70&lt;&gt;"",分析!AB70,"")</f>
        <v>2136.423625254582</v>
      </c>
      <c r="K149" s="151">
        <f>IF(分析!AC70&lt;&gt;"",分析!AC70,"")</f>
        <v>2312.1239570917751</v>
      </c>
      <c r="L149" s="151">
        <f>IF(分析!K70&lt;&gt;"",分析!K70,"")</f>
        <v>6725</v>
      </c>
      <c r="M149" s="146" t="str">
        <f>IF(分析!P70&lt;&gt;"",分析!P70,"")</f>
        <v>減少↓</v>
      </c>
      <c r="N149" s="152">
        <f>IF(分析!O70&lt;&gt;"",分析!O70,"")</f>
        <v>0.73263363534679582</v>
      </c>
      <c r="O149" s="153">
        <f>IF(分析!X70&lt;&gt;"",分析!X70,"")</f>
        <v>72.510263135900459</v>
      </c>
      <c r="P149" s="154">
        <f>IF(分析!L70&lt;&gt;"",分析!L70,"")</f>
        <v>-4.0892193308550189</v>
      </c>
      <c r="Q149" s="151">
        <f>IF(分析!S70&lt;&gt;"",分析!S70,"")</f>
        <v>6192</v>
      </c>
      <c r="R149" s="151">
        <f>IF(分析!R70&lt;&gt;"",分析!R70,"")</f>
        <v>6966</v>
      </c>
      <c r="S149" s="146" t="str">
        <f>IF(分析!AA70&lt;&gt;"",分析!AA70,"")</f>
        <v>上昇▲</v>
      </c>
      <c r="T149" s="155">
        <f>IF(分析!Z70&lt;&gt;"",分析!Z70,"")</f>
        <v>0.63972538617569041</v>
      </c>
      <c r="U149" s="146" t="str">
        <f>IF(分析!V70&lt;&gt;"",分析!V70,"")</f>
        <v>高値圏</v>
      </c>
      <c r="V149" s="156">
        <f>IF(分析!W70&lt;&gt;"",分析!W70,"")</f>
        <v>67.971808927173058</v>
      </c>
      <c r="W149" s="157" t="str">
        <f>IF(分析!AD70&lt;&gt;"",分析!AD70,"")</f>
        <v>上昇トレンド▲</v>
      </c>
      <c r="X149" s="158" t="str">
        <f>IF(分析!AE70&lt;&gt;"",分析!AE70,"")</f>
        <v>なし</v>
      </c>
      <c r="Y149" s="159">
        <f>IF(分析!T70&lt;&gt;"",分析!T70,"")</f>
        <v>10</v>
      </c>
      <c r="Z149" s="160" t="str">
        <f>IF(分析!Y70&lt;&gt;"",分析!Y70,"")</f>
        <v>○買い候補</v>
      </c>
    </row>
    <row r="150" spans="1:26" ht="21.95" customHeight="1">
      <c r="A150" s="146">
        <f>IF(分析!C204&lt;&gt;"",ROW()-2,"")</f>
        <v>148</v>
      </c>
      <c r="B150" s="147" t="str">
        <f>IF(分析!C204&lt;&gt;"",HYPERLINK("https://kabutan.jp/stock/?code="&amp;分析!C204,"株探"),"")</f>
        <v>株探</v>
      </c>
      <c r="C150" s="148">
        <f>IF(分析!C204&lt;&gt;"",分析!C204,"")</f>
        <v>8334</v>
      </c>
      <c r="D150" s="149" t="str">
        <f>IF(分析!D204&lt;&gt;"",分析!D204,"")</f>
        <v>群馬銀行</v>
      </c>
      <c r="E150" s="150">
        <f>IF(分析!E204&lt;&gt;"",分析!E204,"")</f>
        <v>2307</v>
      </c>
      <c r="F150" s="151">
        <f>IF(分析!F204&lt;&gt;"",分析!F204,"")</f>
        <v>2360</v>
      </c>
      <c r="G150" s="151">
        <f>IF(分析!H204&lt;&gt;"",分析!H204,"")</f>
        <v>2384</v>
      </c>
      <c r="H150" s="151">
        <f>IF(分析!I204&lt;&gt;"",分析!I204,"")</f>
        <v>2307</v>
      </c>
      <c r="I150" s="151">
        <f>IF(分析!J204&lt;&gt;"",分析!J204,"")</f>
        <v>881500</v>
      </c>
      <c r="J150" s="151">
        <f>IF(分析!AB204&lt;&gt;"",分析!AB204,"")</f>
        <v>2325.9383640552992</v>
      </c>
      <c r="K150" s="151">
        <f>IF(分析!AC204&lt;&gt;"",分析!AC204,"")</f>
        <v>2279.8033373063163</v>
      </c>
      <c r="L150" s="151">
        <f>IF(分析!K204&lt;&gt;"",分析!K204,"")</f>
        <v>2425</v>
      </c>
      <c r="M150" s="146" t="str">
        <f>IF(分析!P204&lt;&gt;"",分析!P204,"")</f>
        <v>減少↓</v>
      </c>
      <c r="N150" s="152">
        <f>IF(分析!O204&lt;&gt;"",分析!O204,"")</f>
        <v>0.879810763334398</v>
      </c>
      <c r="O150" s="153">
        <f>IF(分析!X204&lt;&gt;"",分析!X204,"")</f>
        <v>6.21210878884267</v>
      </c>
      <c r="P150" s="154">
        <f>IF(分析!L204&lt;&gt;"",分析!L204,"")</f>
        <v>-4.8659793814432994</v>
      </c>
      <c r="Q150" s="151">
        <f>IF(分析!S204&lt;&gt;"",分析!S204,"")</f>
        <v>2215</v>
      </c>
      <c r="R150" s="151">
        <f>IF(分析!R204&lt;&gt;"",分析!R204,"")</f>
        <v>2492</v>
      </c>
      <c r="S150" s="146" t="str">
        <f>IF(分析!AA204&lt;&gt;"",分析!AA204,"")</f>
        <v>下落▼</v>
      </c>
      <c r="T150" s="155">
        <f>IF(分析!Z204&lt;&gt;"",分析!Z204,"")</f>
        <v>-1.1144449207029576</v>
      </c>
      <c r="U150" s="146" t="str">
        <f>IF(分析!V204&lt;&gt;"",分析!V204,"")</f>
        <v>高値圏</v>
      </c>
      <c r="V150" s="156">
        <f>IF(分析!W204&lt;&gt;"",分析!W204,"")</f>
        <v>57.9656862745098</v>
      </c>
      <c r="W150" s="157" t="str">
        <f>IF(分析!AD204&lt;&gt;"",分析!AD204,"")</f>
        <v>上昇トレンド▲</v>
      </c>
      <c r="X150" s="158" t="str">
        <f>IF(分析!AE204&lt;&gt;"",分析!AE204,"")</f>
        <v>25日線押し目●</v>
      </c>
      <c r="Y150" s="159">
        <f>IF(分析!T204&lt;&gt;"",分析!T204,"")</f>
        <v>8</v>
      </c>
      <c r="Z150" s="160" t="str">
        <f>IF(分析!Y204&lt;&gt;"",分析!Y204,"")</f>
        <v>◎押し目買い</v>
      </c>
    </row>
    <row r="151" spans="1:26" ht="21.95" customHeight="1">
      <c r="A151" s="146">
        <f>IF(分析!C26&lt;&gt;"",ROW()-2,"")</f>
        <v>149</v>
      </c>
      <c r="B151" s="147" t="str">
        <f>IF(分析!C26&lt;&gt;"",HYPERLINK("https://kabutan.jp/stock/?code="&amp;分析!C26,"株探"),"")</f>
        <v>株探</v>
      </c>
      <c r="C151" s="148">
        <f>IF(分析!C26&lt;&gt;"",分析!C26,"")</f>
        <v>8359</v>
      </c>
      <c r="D151" s="149" t="str">
        <f>IF(分析!D26&lt;&gt;"",分析!D26,"")</f>
        <v>八十二長野銀行</v>
      </c>
      <c r="E151" s="150">
        <f>IF(分析!E26&lt;&gt;"",分析!E26,"")</f>
        <v>2287</v>
      </c>
      <c r="F151" s="151">
        <f>IF(分析!F26&lt;&gt;"",分析!F26,"")</f>
        <v>2372</v>
      </c>
      <c r="G151" s="151">
        <f>IF(分析!H26&lt;&gt;"",分析!H26,"")</f>
        <v>2397</v>
      </c>
      <c r="H151" s="151">
        <f>IF(分析!I26&lt;&gt;"",分析!I26,"")</f>
        <v>2287</v>
      </c>
      <c r="I151" s="151">
        <f>IF(分析!J26&lt;&gt;"",分析!J26,"")</f>
        <v>1905900</v>
      </c>
      <c r="J151" s="151">
        <f>IF(分析!AB26&lt;&gt;"",分析!AB26,"")</f>
        <v>3916.4002036659867</v>
      </c>
      <c r="K151" s="151">
        <f>IF(分析!AC26&lt;&gt;"",分析!AC26,"")</f>
        <v>3741.2884386174005</v>
      </c>
      <c r="L151" s="151">
        <f>IF(分析!K26&lt;&gt;"",分析!K26,"")</f>
        <v>2470.5</v>
      </c>
      <c r="M151" s="146" t="str">
        <f>IF(分析!P26&lt;&gt;"",分析!P26,"")</f>
        <v>普通→</v>
      </c>
      <c r="N151" s="152">
        <f>IF(分析!O26&lt;&gt;"",分析!O26,"")</f>
        <v>1.1143398388624484</v>
      </c>
      <c r="O151" s="153">
        <f>IF(分析!X26&lt;&gt;"",分析!X26,"")</f>
        <v>2.5687741552874286</v>
      </c>
      <c r="P151" s="154">
        <f>IF(分析!L26&lt;&gt;"",分析!L26,"")</f>
        <v>-7.4276462254604327</v>
      </c>
      <c r="Q151" s="151">
        <f>IF(分析!S26&lt;&gt;"",分析!S26,"")</f>
        <v>2196</v>
      </c>
      <c r="R151" s="151">
        <f>IF(分析!R26&lt;&gt;"",分析!R26,"")</f>
        <v>2470</v>
      </c>
      <c r="S151" s="146" t="str">
        <f>IF(分析!AA26&lt;&gt;"",分析!AA26,"")</f>
        <v>下落▼</v>
      </c>
      <c r="T151" s="155">
        <f>IF(分析!Z26&lt;&gt;"",分析!Z26,"")</f>
        <v>-2.5149190110826938</v>
      </c>
      <c r="U151" s="146" t="str">
        <f>IF(分析!V26&lt;&gt;"",分析!V26,"")</f>
        <v>高値圏</v>
      </c>
      <c r="V151" s="156">
        <f>IF(分析!W26&lt;&gt;"",分析!W26,"")</f>
        <v>50</v>
      </c>
      <c r="W151" s="157" t="str">
        <f>IF(分析!AD26&lt;&gt;"",分析!AD26,"")</f>
        <v>もみ合い→</v>
      </c>
      <c r="X151" s="158" t="str">
        <f>IF(分析!AE26&lt;&gt;"",分析!AE26,"")</f>
        <v>なし</v>
      </c>
      <c r="Y151" s="159">
        <f>IF(分析!T26&lt;&gt;"",分析!T26,"")</f>
        <v>3</v>
      </c>
      <c r="Z151" s="160" t="str">
        <f>IF(分析!Y26&lt;&gt;"",分析!Y26,"")</f>
        <v>様子見</v>
      </c>
    </row>
    <row r="152" spans="1:26" ht="21.95" customHeight="1">
      <c r="A152" s="161">
        <f>IF(分析!C91&lt;&gt;"",ROW()-2,"")</f>
        <v>150</v>
      </c>
      <c r="B152" s="162" t="str">
        <f>IF(分析!C91&lt;&gt;"",HYPERLINK("https://kabutan.jp/stock/?code="&amp;分析!C91,"株探"),"")</f>
        <v>株探</v>
      </c>
      <c r="C152" s="163">
        <f>IF(分析!C91&lt;&gt;"",分析!C91,"")</f>
        <v>8795</v>
      </c>
      <c r="D152" s="164" t="str">
        <f>IF(分析!D91&lt;&gt;"",分析!D91,"")</f>
        <v>Ｔ＆Ｄホールディングス</v>
      </c>
      <c r="E152" s="165">
        <f>IF(分析!E91&lt;&gt;"",分析!E91,"")</f>
        <v>4746</v>
      </c>
      <c r="F152" s="166">
        <f>IF(分析!F91&lt;&gt;"",分析!F91,"")</f>
        <v>4945</v>
      </c>
      <c r="G152" s="166">
        <f>IF(分析!H91&lt;&gt;"",分析!H91,"")</f>
        <v>5017</v>
      </c>
      <c r="H152" s="166">
        <f>IF(分析!I91&lt;&gt;"",分析!I91,"")</f>
        <v>4718</v>
      </c>
      <c r="I152" s="166">
        <f>IF(分析!J91&lt;&gt;"",分析!J91,"")</f>
        <v>2140500</v>
      </c>
      <c r="J152" s="166">
        <f>IF(分析!AB91&lt;&gt;"",分析!AB91,"")</f>
        <v>796.3604887983704</v>
      </c>
      <c r="K152" s="166">
        <f>IF(分析!AC91&lt;&gt;"",分析!AC91,"")</f>
        <v>802.80572109654327</v>
      </c>
      <c r="L152" s="166">
        <f>IF(分析!K91&lt;&gt;"",分析!K91,"")</f>
        <v>4981</v>
      </c>
      <c r="M152" s="161" t="str">
        <f>IF(分析!P91&lt;&gt;"",分析!P91,"")</f>
        <v>減少↓</v>
      </c>
      <c r="N152" s="167">
        <f>IF(分析!O91&lt;&gt;"",分析!O91,"")</f>
        <v>0.86610126971538626</v>
      </c>
      <c r="O152" s="168">
        <f>IF(分析!X91&lt;&gt;"",分析!X91,"")</f>
        <v>88.362833795712504</v>
      </c>
      <c r="P152" s="169">
        <f>IF(分析!L91&lt;&gt;"",分析!L91,"")</f>
        <v>-4.7179281268821525</v>
      </c>
      <c r="Q152" s="166">
        <f>IF(分析!S91&lt;&gt;"",分析!S91,"")</f>
        <v>4556</v>
      </c>
      <c r="R152" s="166">
        <f>IF(分析!R91&lt;&gt;"",分析!R91,"")</f>
        <v>5126</v>
      </c>
      <c r="S152" s="161" t="str">
        <f>IF(分析!AA91&lt;&gt;"",分析!AA91,"")</f>
        <v>下落▼</v>
      </c>
      <c r="T152" s="170">
        <f>IF(分析!Z91&lt;&gt;"",分析!Z91,"")</f>
        <v>-3.1823745410036719</v>
      </c>
      <c r="U152" s="161" t="str">
        <f>IF(分析!V91&lt;&gt;"",分析!V91,"")</f>
        <v>年初来高値更新●</v>
      </c>
      <c r="V152" s="171">
        <f>IF(分析!W91&lt;&gt;"",分析!W91,"")</f>
        <v>82.887266828872669</v>
      </c>
      <c r="W152" s="172" t="str">
        <f>IF(分析!AD91&lt;&gt;"",分析!AD91,"")</f>
        <v>上昇トレンド▲</v>
      </c>
      <c r="X152" s="173" t="str">
        <f>IF(分析!AE91&lt;&gt;"",分析!AE91,"")</f>
        <v>なし</v>
      </c>
      <c r="Y152" s="174">
        <f>IF(分析!T91&lt;&gt;"",分析!T91,"")</f>
        <v>10</v>
      </c>
      <c r="Z152" s="160" t="str">
        <f>IF(分析!Y91&lt;&gt;"",分析!Y91,"")</f>
        <v>○買い候補</v>
      </c>
    </row>
    <row r="153" spans="1:26" ht="21.95" customHeight="1">
      <c r="A153" s="146">
        <f>IF(分析!C40&lt;&gt;"",ROW()-2,"")</f>
        <v>151</v>
      </c>
      <c r="B153" s="147" t="str">
        <f>IF(分析!C40&lt;&gt;"",HYPERLINK("https://kabutan.jp/stock/?code="&amp;分析!C40,"株探"),"")</f>
        <v>株探</v>
      </c>
      <c r="C153" s="148">
        <f>IF(分析!C40&lt;&gt;"",分析!C40,"")</f>
        <v>1963</v>
      </c>
      <c r="D153" s="149" t="str">
        <f>IF(分析!D40&lt;&gt;"",分析!D40,"")</f>
        <v>日揮ホールディングス</v>
      </c>
      <c r="E153" s="150">
        <f>IF(分析!E40&lt;&gt;"",分析!E40,"")</f>
        <v>2760</v>
      </c>
      <c r="F153" s="151">
        <f>IF(分析!F40&lt;&gt;"",分析!F40,"")</f>
        <v>2680</v>
      </c>
      <c r="G153" s="151">
        <f>IF(分析!H40&lt;&gt;"",分析!H40,"")</f>
        <v>2806.5</v>
      </c>
      <c r="H153" s="151">
        <f>IF(分析!I40&lt;&gt;"",分析!I40,"")</f>
        <v>2673.5</v>
      </c>
      <c r="I153" s="151">
        <f>IF(分析!J40&lt;&gt;"",分析!J40,"")</f>
        <v>1864000</v>
      </c>
      <c r="J153" s="151">
        <f>IF(分析!AB40&lt;&gt;"",分析!AB40,"")</f>
        <v>3463.6894093686346</v>
      </c>
      <c r="K153" s="151">
        <f>IF(分析!AC40&lt;&gt;"",分析!AC40,"")</f>
        <v>3456.2145411203796</v>
      </c>
      <c r="L153" s="151">
        <f>IF(分析!K40&lt;&gt;"",分析!K40,"")</f>
        <v>2927.5</v>
      </c>
      <c r="M153" s="146" t="str">
        <f>IF(分析!P40&lt;&gt;"",分析!P40,"")</f>
        <v>普通→</v>
      </c>
      <c r="N153" s="152">
        <f>IF(分析!O40&lt;&gt;"",分析!O40,"")</f>
        <v>1.2329183919145952</v>
      </c>
      <c r="O153" s="153">
        <f>IF(分析!X40&lt;&gt;"",分析!X40,"")</f>
        <v>-6.2286707079701955</v>
      </c>
      <c r="P153" s="154">
        <f>IF(分析!L40&lt;&gt;"",分析!L40,"")</f>
        <v>-5.7216054654141759</v>
      </c>
      <c r="Q153" s="151">
        <f>IF(分析!S40&lt;&gt;"",分析!S40,"")</f>
        <v>2650</v>
      </c>
      <c r="R153" s="151">
        <f>IF(分析!R40&lt;&gt;"",分析!R40,"")</f>
        <v>2981</v>
      </c>
      <c r="S153" s="146" t="str">
        <f>IF(分析!AA40&lt;&gt;"",分析!AA40,"")</f>
        <v>上昇▲</v>
      </c>
      <c r="T153" s="155">
        <f>IF(分析!Z40&lt;&gt;"",分析!Z40,"")</f>
        <v>3.6036036036036037</v>
      </c>
      <c r="U153" s="146" t="str">
        <f>IF(分析!V40&lt;&gt;"",分析!V40,"")</f>
        <v>高値圏</v>
      </c>
      <c r="V153" s="156">
        <f>IF(分析!W40&lt;&gt;"",分析!W40,"")</f>
        <v>38.416763678696157</v>
      </c>
      <c r="W153" s="157" t="str">
        <f>IF(分析!AD40&lt;&gt;"",分析!AD40,"")</f>
        <v>もみ合い→</v>
      </c>
      <c r="X153" s="158" t="str">
        <f>IF(分析!AE40&lt;&gt;"",分析!AE40,"")</f>
        <v>なし</v>
      </c>
      <c r="Y153" s="159">
        <f>IF(分析!T40&lt;&gt;"",分析!T40,"")</f>
        <v>9</v>
      </c>
      <c r="Z153" s="160" t="str">
        <f>IF(分析!Y40&lt;&gt;"",分析!Y40,"")</f>
        <v>△注目</v>
      </c>
    </row>
    <row r="154" spans="1:26" ht="21.95" customHeight="1">
      <c r="A154" s="161">
        <f>IF(分析!C161&lt;&gt;"",ROW()-2,"")</f>
        <v>152</v>
      </c>
      <c r="B154" s="162" t="str">
        <f>IF(分析!C161&lt;&gt;"",HYPERLINK("https://kabutan.jp/stock/?code="&amp;分析!C161,"株探"),"")</f>
        <v>株探</v>
      </c>
      <c r="C154" s="163">
        <f>IF(分析!C161&lt;&gt;"",分析!C161,"")</f>
        <v>2127</v>
      </c>
      <c r="D154" s="164" t="str">
        <f>IF(分析!D161&lt;&gt;"",分析!D161,"")</f>
        <v>日本Ｍ＆Ａセンターホールデ</v>
      </c>
      <c r="E154" s="165">
        <f>IF(分析!E161&lt;&gt;"",分析!E161,"")</f>
        <v>650.9</v>
      </c>
      <c r="F154" s="166">
        <f>IF(分析!F161&lt;&gt;"",分析!F161,"")</f>
        <v>645</v>
      </c>
      <c r="G154" s="166">
        <f>IF(分析!H161&lt;&gt;"",分析!H161,"")</f>
        <v>653.4</v>
      </c>
      <c r="H154" s="166">
        <f>IF(分析!I161&lt;&gt;"",分析!I161,"")</f>
        <v>640.79999999999995</v>
      </c>
      <c r="I154" s="166">
        <f>IF(分析!J161&lt;&gt;"",分析!J161,"")</f>
        <v>1269200</v>
      </c>
      <c r="J154" s="166">
        <f>IF(分析!AB161&lt;&gt;"",分析!AB161,"")</f>
        <v>1644.2596741344191</v>
      </c>
      <c r="K154" s="166">
        <f>IF(分析!AC161&lt;&gt;"",分析!AC161,"")</f>
        <v>1630.650774731823</v>
      </c>
      <c r="L154" s="166">
        <f>IF(分析!K161&lt;&gt;"",分析!K161,"")</f>
        <v>763.7</v>
      </c>
      <c r="M154" s="161" t="str">
        <f>IF(分析!P161&lt;&gt;"",分析!P161,"")</f>
        <v>減少↓</v>
      </c>
      <c r="N154" s="167">
        <f>IF(分析!O161&lt;&gt;"",分析!O161,"")</f>
        <v>0.87961743710582851</v>
      </c>
      <c r="O154" s="168">
        <f>IF(分析!X161&lt;&gt;"",分析!X161,"")</f>
        <v>-1.8756853036353505</v>
      </c>
      <c r="P154" s="169">
        <f>IF(分析!L161&lt;&gt;"",分析!L161,"")</f>
        <v>-14.770197721618445</v>
      </c>
      <c r="Q154" s="166">
        <f>IF(分析!S161&lt;&gt;"",分析!S161,"")</f>
        <v>625</v>
      </c>
      <c r="R154" s="166">
        <f>IF(分析!R161&lt;&gt;"",分析!R161,"")</f>
        <v>703</v>
      </c>
      <c r="S154" s="161" t="str">
        <f>IF(分析!AA161&lt;&gt;"",分析!AA161,"")</f>
        <v>上昇▲</v>
      </c>
      <c r="T154" s="170">
        <f>IF(分析!Z161&lt;&gt;"",分析!Z161,"")</f>
        <v>1.9739934200219369</v>
      </c>
      <c r="U154" s="161" t="str">
        <f>IF(分析!V161&lt;&gt;"",分析!V161,"")</f>
        <v>通常</v>
      </c>
      <c r="V154" s="171">
        <f>IF(分析!W161&lt;&gt;"",分析!W161,"")</f>
        <v>41.358024691357976</v>
      </c>
      <c r="W154" s="172" t="str">
        <f>IF(分析!AD161&lt;&gt;"",分析!AD161,"")</f>
        <v>もみ合い→</v>
      </c>
      <c r="X154" s="173" t="str">
        <f>IF(分析!AE161&lt;&gt;"",分析!AE161,"")</f>
        <v>なし</v>
      </c>
      <c r="Y154" s="174">
        <f>IF(分析!T161&lt;&gt;"",分析!T161,"")</f>
        <v>1</v>
      </c>
      <c r="Z154" s="160" t="str">
        <f>IF(分析!Y161&lt;&gt;"",分析!Y161,"")</f>
        <v>見送り</v>
      </c>
    </row>
    <row r="155" spans="1:26" ht="21.95" customHeight="1">
      <c r="A155" s="161">
        <f>IF(分析!C135&lt;&gt;"",ROW()-2,"")</f>
        <v>153</v>
      </c>
      <c r="B155" s="162" t="str">
        <f>IF(分析!C135&lt;&gt;"",HYPERLINK("https://kabutan.jp/stock/?code="&amp;分析!C135,"株探"),"")</f>
        <v>株探</v>
      </c>
      <c r="C155" s="163">
        <f>IF(分析!C135&lt;&gt;"",分析!C135,"")</f>
        <v>2359</v>
      </c>
      <c r="D155" s="164" t="str">
        <f>IF(分析!D135&lt;&gt;"",分析!D135,"")</f>
        <v>コア</v>
      </c>
      <c r="E155" s="165">
        <f>IF(分析!E135&lt;&gt;"",分析!E135,"")</f>
        <v>2020</v>
      </c>
      <c r="F155" s="166">
        <f>IF(分析!F135&lt;&gt;"",分析!F135,"")</f>
        <v>2010</v>
      </c>
      <c r="G155" s="166">
        <f>IF(分析!H135&lt;&gt;"",分析!H135,"")</f>
        <v>2030</v>
      </c>
      <c r="H155" s="166">
        <f>IF(分析!I135&lt;&gt;"",分析!I135,"")</f>
        <v>2007</v>
      </c>
      <c r="I155" s="166">
        <f>IF(分析!J135&lt;&gt;"",分析!J135,"")</f>
        <v>13800</v>
      </c>
      <c r="J155" s="166">
        <f>IF(分析!AB135&lt;&gt;"",分析!AB135,"")</f>
        <v>333.27698574338081</v>
      </c>
      <c r="K155" s="166">
        <f>IF(分析!AC135&lt;&gt;"",分析!AC135,"")</f>
        <v>368.60071513706771</v>
      </c>
      <c r="L155" s="166">
        <f>IF(分析!K135&lt;&gt;"",分析!K135,"")</f>
        <v>2348</v>
      </c>
      <c r="M155" s="161" t="str">
        <f>IF(分析!P135&lt;&gt;"",分析!P135,"")</f>
        <v>減少↓</v>
      </c>
      <c r="N155" s="167">
        <f>IF(分析!O135&lt;&gt;"",分析!O135,"")</f>
        <v>0.71949947862356622</v>
      </c>
      <c r="O155" s="168">
        <f>IF(分析!X135&lt;&gt;"",分析!X135,"")</f>
        <v>-7.3144257062003817</v>
      </c>
      <c r="P155" s="169">
        <f>IF(分析!L135&lt;&gt;"",分析!L135,"")</f>
        <v>-13.969335604770016</v>
      </c>
      <c r="Q155" s="166">
        <f>IF(分析!S135&lt;&gt;"",分析!S135,"")</f>
        <v>1939</v>
      </c>
      <c r="R155" s="166">
        <f>IF(分析!R135&lt;&gt;"",分析!R135,"")</f>
        <v>2182</v>
      </c>
      <c r="S155" s="161" t="str">
        <f>IF(分析!AA135&lt;&gt;"",分析!AA135,"")</f>
        <v>上昇▲</v>
      </c>
      <c r="T155" s="170">
        <f>IF(分析!Z135&lt;&gt;"",分析!Z135,"")</f>
        <v>0.74812967581047385</v>
      </c>
      <c r="U155" s="161" t="str">
        <f>IF(分析!V135&lt;&gt;"",分析!V135,"")</f>
        <v>通常</v>
      </c>
      <c r="V155" s="171">
        <f>IF(分析!W135&lt;&gt;"",分析!W135,"")</f>
        <v>35.646687697160885</v>
      </c>
      <c r="W155" s="172" t="str">
        <f>IF(分析!AD135&lt;&gt;"",分析!AD135,"")</f>
        <v>上昇トレンド▲</v>
      </c>
      <c r="X155" s="173" t="str">
        <f>IF(分析!AE135&lt;&gt;"",分析!AE135,"")</f>
        <v>なし</v>
      </c>
      <c r="Y155" s="174">
        <f>IF(分析!T135&lt;&gt;"",分析!T135,"")</f>
        <v>3</v>
      </c>
      <c r="Z155" s="160" t="str">
        <f>IF(分析!Y135&lt;&gt;"",分析!Y135,"")</f>
        <v>様子見</v>
      </c>
    </row>
    <row r="156" spans="1:26" ht="21.95" customHeight="1">
      <c r="A156" s="146">
        <f>IF(分析!C196&lt;&gt;"",ROW()-2,"")</f>
        <v>154</v>
      </c>
      <c r="B156" s="147" t="str">
        <f>IF(分析!C196&lt;&gt;"",HYPERLINK("https://kabutan.jp/stock/?code="&amp;分析!C196,"株探"),"")</f>
        <v>株探</v>
      </c>
      <c r="C156" s="148">
        <f>IF(分析!C196&lt;&gt;"",分析!C196,"")</f>
        <v>2702</v>
      </c>
      <c r="D156" s="149" t="str">
        <f>IF(分析!D196&lt;&gt;"",分析!D196,"")</f>
        <v>日本マクドナルドＨＬＤＧ</v>
      </c>
      <c r="E156" s="150">
        <f>IF(分析!E196&lt;&gt;"",分析!E196,"")</f>
        <v>7410</v>
      </c>
      <c r="F156" s="151">
        <f>IF(分析!F196&lt;&gt;"",分析!F196,"")</f>
        <v>7380</v>
      </c>
      <c r="G156" s="151">
        <f>IF(分析!H196&lt;&gt;"",分析!H196,"")</f>
        <v>7490</v>
      </c>
      <c r="H156" s="151">
        <f>IF(分析!I196&lt;&gt;"",分析!I196,"")</f>
        <v>7350</v>
      </c>
      <c r="I156" s="151">
        <f>IF(分析!J196&lt;&gt;"",分析!J196,"")</f>
        <v>918600</v>
      </c>
      <c r="J156" s="151">
        <f>IF(分析!AB196&lt;&gt;"",分析!AB196,"")</f>
        <v>68198.553971486748</v>
      </c>
      <c r="K156" s="151">
        <f>IF(分析!AC196&lt;&gt;"",分析!AC196,"")</f>
        <v>59506.221692491061</v>
      </c>
      <c r="L156" s="151">
        <f>IF(分析!K196&lt;&gt;"",分析!K196,"")</f>
        <v>8780</v>
      </c>
      <c r="M156" s="146" t="str">
        <f>IF(分析!P196&lt;&gt;"",分析!P196,"")</f>
        <v>普通→</v>
      </c>
      <c r="N156" s="152">
        <f>IF(分析!O196&lt;&gt;"",分析!O196,"")</f>
        <v>1.081723975506359</v>
      </c>
      <c r="O156" s="153">
        <f>IF(分析!X196&lt;&gt;"",分析!X196,"")</f>
        <v>-89.475837748116646</v>
      </c>
      <c r="P156" s="154">
        <f>IF(分析!L196&lt;&gt;"",分析!L196,"")</f>
        <v>-15.603644646924831</v>
      </c>
      <c r="Q156" s="151">
        <f>IF(分析!S196&lt;&gt;"",分析!S196,"")</f>
        <v>7114</v>
      </c>
      <c r="R156" s="151">
        <f>IF(分析!R196&lt;&gt;"",分析!R196,"")</f>
        <v>8003</v>
      </c>
      <c r="S156" s="146" t="str">
        <f>IF(分析!AA196&lt;&gt;"",分析!AA196,"")</f>
        <v>上昇▲</v>
      </c>
      <c r="T156" s="155">
        <f>IF(分析!Z196&lt;&gt;"",分析!Z196,"")</f>
        <v>0.40650406504065045</v>
      </c>
      <c r="U156" s="146" t="str">
        <f>IF(分析!V196&lt;&gt;"",分析!V196,"")</f>
        <v>通常</v>
      </c>
      <c r="V156" s="156">
        <f>IF(分析!W196&lt;&gt;"",分析!W196,"")</f>
        <v>25</v>
      </c>
      <c r="W156" s="157" t="str">
        <f>IF(分析!AD196&lt;&gt;"",分析!AD196,"")</f>
        <v>もみ合い→</v>
      </c>
      <c r="X156" s="158" t="str">
        <f>IF(分析!AE196&lt;&gt;"",分析!AE196,"")</f>
        <v>なし</v>
      </c>
      <c r="Y156" s="159">
        <f>IF(分析!T196&lt;&gt;"",分析!T196,"")</f>
        <v>3</v>
      </c>
      <c r="Z156" s="160" t="str">
        <f>IF(分析!Y196&lt;&gt;"",分析!Y196,"")</f>
        <v>様子見</v>
      </c>
    </row>
    <row r="157" spans="1:26" ht="21.95" customHeight="1">
      <c r="A157" s="161">
        <f>IF(分析!C143&lt;&gt;"",ROW()-2,"")</f>
        <v>155</v>
      </c>
      <c r="B157" s="162" t="str">
        <f>IF(分析!C143&lt;&gt;"",HYPERLINK("https://kabutan.jp/stock/?code="&amp;分析!C143,"株探"),"")</f>
        <v>株探</v>
      </c>
      <c r="C157" s="163">
        <f>IF(分析!C143&lt;&gt;"",分析!C143,"")</f>
        <v>3003</v>
      </c>
      <c r="D157" s="164" t="str">
        <f>IF(分析!D143&lt;&gt;"",分析!D143,"")</f>
        <v>ヒューリック</v>
      </c>
      <c r="E157" s="165">
        <f>IF(分析!E143&lt;&gt;"",分析!E143,"")</f>
        <v>1716</v>
      </c>
      <c r="F157" s="166">
        <f>IF(分析!F143&lt;&gt;"",分析!F143,"")</f>
        <v>1733</v>
      </c>
      <c r="G157" s="166">
        <f>IF(分析!H143&lt;&gt;"",分析!H143,"")</f>
        <v>1733</v>
      </c>
      <c r="H157" s="166">
        <f>IF(分析!I143&lt;&gt;"",分析!I143,"")</f>
        <v>1702.5</v>
      </c>
      <c r="I157" s="166">
        <f>IF(分析!J143&lt;&gt;"",分析!J143,"")</f>
        <v>1869700</v>
      </c>
      <c r="J157" s="166">
        <f>IF(分析!AB143&lt;&gt;"",分析!AB143,"")</f>
        <v>33811.883910386961</v>
      </c>
      <c r="K157" s="166">
        <f>IF(分析!AC143&lt;&gt;"",分析!AC143,"")</f>
        <v>35493.861740166853</v>
      </c>
      <c r="L157" s="166">
        <f>IF(分析!K143&lt;&gt;"",分析!K143,"")</f>
        <v>2094</v>
      </c>
      <c r="M157" s="161" t="str">
        <f>IF(分析!P143&lt;&gt;"",分析!P143,"")</f>
        <v>減少↓</v>
      </c>
      <c r="N157" s="167">
        <f>IF(分析!O143&lt;&gt;"",分析!O143,"")</f>
        <v>0.59462399104422548</v>
      </c>
      <c r="O157" s="168">
        <f>IF(分析!X143&lt;&gt;"",分析!X143,"")</f>
        <v>-1.1565849649127813</v>
      </c>
      <c r="P157" s="169">
        <f>IF(分析!L143&lt;&gt;"",分析!L143,"")</f>
        <v>-18.05157593123209</v>
      </c>
      <c r="Q157" s="166">
        <f>IF(分析!S143&lt;&gt;"",分析!S143,"")</f>
        <v>1647</v>
      </c>
      <c r="R157" s="166">
        <f>IF(分析!R143&lt;&gt;"",分析!R143,"")</f>
        <v>1853</v>
      </c>
      <c r="S157" s="161" t="str">
        <f>IF(分析!AA143&lt;&gt;"",分析!AA143,"")</f>
        <v>上昇▲</v>
      </c>
      <c r="T157" s="170">
        <f>IF(分析!Z143&lt;&gt;"",分析!Z143,"")</f>
        <v>0.67468465825755353</v>
      </c>
      <c r="U157" s="161" t="str">
        <f>IF(分析!V143&lt;&gt;"",分析!V143,"")</f>
        <v>通常</v>
      </c>
      <c r="V157" s="171">
        <f>IF(分析!W143&lt;&gt;"",分析!W143,"")</f>
        <v>56.81818181818182</v>
      </c>
      <c r="W157" s="172" t="str">
        <f>IF(分析!AD143&lt;&gt;"",分析!AD143,"")</f>
        <v>下降トレンド▼</v>
      </c>
      <c r="X157" s="173" t="str">
        <f>IF(分析!AE143&lt;&gt;"",分析!AE143,"")</f>
        <v>なし</v>
      </c>
      <c r="Y157" s="174">
        <f>IF(分析!T143&lt;&gt;"",分析!T143,"")</f>
        <v>0</v>
      </c>
      <c r="Z157" s="160" t="str">
        <f>IF(分析!Y143&lt;&gt;"",分析!Y143,"")</f>
        <v>見送り</v>
      </c>
    </row>
    <row r="158" spans="1:26" ht="21.95" customHeight="1">
      <c r="A158" s="161">
        <f>IF(分析!C13&lt;&gt;"",ROW()-2,"")</f>
        <v>156</v>
      </c>
      <c r="B158" s="162" t="str">
        <f>IF(分析!C13&lt;&gt;"",HYPERLINK("https://kabutan.jp/stock/?code="&amp;分析!C13,"株探"),"")</f>
        <v>株探</v>
      </c>
      <c r="C158" s="163">
        <f>IF(分析!C13&lt;&gt;"",分析!C13,"")</f>
        <v>3107</v>
      </c>
      <c r="D158" s="164" t="str">
        <f>IF(分析!D13&lt;&gt;"",分析!D13,"")</f>
        <v>ダイワボウＨＤ</v>
      </c>
      <c r="E158" s="165">
        <f>IF(分析!E13&lt;&gt;"",分析!E13,"")</f>
        <v>3330</v>
      </c>
      <c r="F158" s="166">
        <f>IF(分析!F13&lt;&gt;"",分析!F13,"")</f>
        <v>3419</v>
      </c>
      <c r="G158" s="166">
        <f>IF(分析!H13&lt;&gt;"",分析!H13,"")</f>
        <v>3441</v>
      </c>
      <c r="H158" s="166">
        <f>IF(分析!I13&lt;&gt;"",分析!I13,"")</f>
        <v>3325</v>
      </c>
      <c r="I158" s="166">
        <f>IF(分析!J13&lt;&gt;"",分析!J13,"")</f>
        <v>294100</v>
      </c>
      <c r="J158" s="166">
        <f>IF(分析!AB13&lt;&gt;"",分析!AB13,"")</f>
        <v>3622.2281059063134</v>
      </c>
      <c r="K158" s="166">
        <f>IF(分析!AC13&lt;&gt;"",分析!AC13,"")</f>
        <v>3663.045292014302</v>
      </c>
      <c r="L158" s="166">
        <f>IF(分析!K13&lt;&gt;"",分析!K13,"")</f>
        <v>3622</v>
      </c>
      <c r="M158" s="161" t="str">
        <f>IF(分析!P13&lt;&gt;"",分析!P13,"")</f>
        <v>減少↓</v>
      </c>
      <c r="N158" s="167">
        <f>IF(分析!O13&lt;&gt;"",分析!O13,"")</f>
        <v>0.9007105230920005</v>
      </c>
      <c r="O158" s="168">
        <f>IF(分析!X13&lt;&gt;"",分析!X13,"")</f>
        <v>-1.5960121637153861</v>
      </c>
      <c r="P158" s="169">
        <f>IF(分析!L13&lt;&gt;"",分析!L13,"")</f>
        <v>-8.0618442849254546</v>
      </c>
      <c r="Q158" s="166">
        <f>IF(分析!S13&lt;&gt;"",分析!S13,"")</f>
        <v>3197</v>
      </c>
      <c r="R158" s="166">
        <f>IF(分析!R13&lt;&gt;"",分析!R13,"")</f>
        <v>3596</v>
      </c>
      <c r="S158" s="161" t="str">
        <f>IF(分析!AA13&lt;&gt;"",分析!AA13,"")</f>
        <v>下落▼</v>
      </c>
      <c r="T158" s="170">
        <f>IF(分析!Z13&lt;&gt;"",分析!Z13,"")</f>
        <v>-2.3173951305368141</v>
      </c>
      <c r="U158" s="161" t="str">
        <f>IF(分析!V13&lt;&gt;"",分析!V13,"")</f>
        <v>高値圏</v>
      </c>
      <c r="V158" s="171">
        <f>IF(分析!W13&lt;&gt;"",分析!W13,"")</f>
        <v>55.341880341880334</v>
      </c>
      <c r="W158" s="172" t="str">
        <f>IF(分析!AD13&lt;&gt;"",分析!AD13,"")</f>
        <v>下降トレンド▼</v>
      </c>
      <c r="X158" s="173" t="str">
        <f>IF(分析!AE13&lt;&gt;"",分析!AE13,"")</f>
        <v>なし</v>
      </c>
      <c r="Y158" s="174">
        <f>IF(分析!T13&lt;&gt;"",分析!T13,"")</f>
        <v>1</v>
      </c>
      <c r="Z158" s="160" t="str">
        <f>IF(分析!Y13&lt;&gt;"",分析!Y13,"")</f>
        <v>見送り</v>
      </c>
    </row>
    <row r="159" spans="1:26" ht="21.95" customHeight="1">
      <c r="A159" s="161">
        <f>IF(分析!C109&lt;&gt;"",ROW()-2,"")</f>
        <v>157</v>
      </c>
      <c r="B159" s="162" t="str">
        <f>IF(分析!C109&lt;&gt;"",HYPERLINK("https://kabutan.jp/stock/?code="&amp;分析!C109,"株探"),"")</f>
        <v>株探</v>
      </c>
      <c r="C159" s="163">
        <f>IF(分析!C109&lt;&gt;"",分析!C109,"")</f>
        <v>3110</v>
      </c>
      <c r="D159" s="164" t="str">
        <f>IF(分析!D109&lt;&gt;"",分析!D109,"")</f>
        <v>日東紡績</v>
      </c>
      <c r="E159" s="165">
        <f>IF(分析!E109&lt;&gt;"",分析!E109,"")</f>
        <v>21170</v>
      </c>
      <c r="F159" s="166">
        <f>IF(分析!F109&lt;&gt;"",分析!F109,"")</f>
        <v>20690</v>
      </c>
      <c r="G159" s="166">
        <f>IF(分析!H109&lt;&gt;"",分析!H109,"")</f>
        <v>21630</v>
      </c>
      <c r="H159" s="166">
        <f>IF(分析!I109&lt;&gt;"",分析!I109,"")</f>
        <v>20600</v>
      </c>
      <c r="I159" s="166">
        <f>IF(分析!J109&lt;&gt;"",分析!J109,"")</f>
        <v>1745900</v>
      </c>
      <c r="J159" s="166">
        <f>IF(分析!AB109&lt;&gt;"",分析!AB109,"")</f>
        <v>879.77494908350275</v>
      </c>
      <c r="K159" s="166">
        <f>IF(分析!AC109&lt;&gt;"",分析!AC109,"")</f>
        <v>917.47079856972539</v>
      </c>
      <c r="L159" s="166">
        <f>IF(分析!K109&lt;&gt;"",分析!K109,"")</f>
        <v>32900</v>
      </c>
      <c r="M159" s="161" t="str">
        <f>IF(分析!P109&lt;&gt;"",分析!P109,"")</f>
        <v>減少↓</v>
      </c>
      <c r="N159" s="167">
        <f>IF(分析!O109&lt;&gt;"",分析!O109,"")</f>
        <v>0.76854338160848701</v>
      </c>
      <c r="O159" s="168">
        <f>IF(分析!X109&lt;&gt;"",分析!X109,"")</f>
        <v>-664.33780185400974</v>
      </c>
      <c r="P159" s="169">
        <f>IF(分析!L109&lt;&gt;"",分析!L109,"")</f>
        <v>-35.653495440729479</v>
      </c>
      <c r="Q159" s="166">
        <f>IF(分析!S109&lt;&gt;"",分析!S109,"")</f>
        <v>20323</v>
      </c>
      <c r="R159" s="166">
        <f>IF(分析!R109&lt;&gt;"",分析!R109,"")</f>
        <v>22864</v>
      </c>
      <c r="S159" s="161" t="str">
        <f>IF(分析!AA109&lt;&gt;"",分析!AA109,"")</f>
        <v>下落▼</v>
      </c>
      <c r="T159" s="170">
        <f>IF(分析!Z109&lt;&gt;"",分析!Z109,"")</f>
        <v>-2.3974181650530202</v>
      </c>
      <c r="U159" s="161" t="str">
        <f>IF(分析!V109&lt;&gt;"",分析!V109,"")</f>
        <v>通常</v>
      </c>
      <c r="V159" s="171">
        <f>IF(分析!W109&lt;&gt;"",分析!W109,"")</f>
        <v>33.446136491821775</v>
      </c>
      <c r="W159" s="172" t="str">
        <f>IF(分析!AD109&lt;&gt;"",分析!AD109,"")</f>
        <v>上昇トレンド▲</v>
      </c>
      <c r="X159" s="173" t="str">
        <f>IF(分析!AE109&lt;&gt;"",分析!AE109,"")</f>
        <v>なし</v>
      </c>
      <c r="Y159" s="174">
        <f>IF(分析!T109&lt;&gt;"",分析!T109,"")</f>
        <v>2</v>
      </c>
      <c r="Z159" s="160" t="str">
        <f>IF(分析!Y109&lt;&gt;"",分析!Y109,"")</f>
        <v>見送り</v>
      </c>
    </row>
    <row r="160" spans="1:26" ht="21.95" customHeight="1">
      <c r="A160" s="146">
        <f>IF(分析!C14&lt;&gt;"",ROW()-2,"")</f>
        <v>158</v>
      </c>
      <c r="B160" s="147" t="str">
        <f>IF(分析!C14&lt;&gt;"",HYPERLINK("https://kabutan.jp/stock/?code="&amp;分析!C14,"株探"),"")</f>
        <v>株探</v>
      </c>
      <c r="C160" s="148">
        <f>IF(分析!C14&lt;&gt;"",分析!C14,"")</f>
        <v>4063</v>
      </c>
      <c r="D160" s="149" t="str">
        <f>IF(分析!D14&lt;&gt;"",分析!D14,"")</f>
        <v>信越化学</v>
      </c>
      <c r="E160" s="150">
        <f>IF(分析!E14&lt;&gt;"",分析!E14,"")</f>
        <v>7549</v>
      </c>
      <c r="F160" s="151">
        <f>IF(分析!F14&lt;&gt;"",分析!F14,"")</f>
        <v>7447</v>
      </c>
      <c r="G160" s="151">
        <f>IF(分析!H14&lt;&gt;"",分析!H14,"")</f>
        <v>7595</v>
      </c>
      <c r="H160" s="151">
        <f>IF(分析!I14&lt;&gt;"",分析!I14,"")</f>
        <v>7372</v>
      </c>
      <c r="I160" s="151">
        <f>IF(分析!J14&lt;&gt;"",分析!J14,"")</f>
        <v>4866300</v>
      </c>
      <c r="J160" s="151">
        <f>IF(分析!AB14&lt;&gt;"",分析!AB14,"")</f>
        <v>4648.0845213849279</v>
      </c>
      <c r="K160" s="151">
        <f>IF(分析!AC14&lt;&gt;"",分析!AC14,"")</f>
        <v>4938.1108462455277</v>
      </c>
      <c r="L160" s="151">
        <f>IF(分析!K14&lt;&gt;"",分析!K14,"")</f>
        <v>7930</v>
      </c>
      <c r="M160" s="146" t="str">
        <f>IF(分析!P14&lt;&gt;"",分析!P14,"")</f>
        <v/>
      </c>
      <c r="N160" s="152" t="str">
        <f>IF(分析!O14&lt;&gt;"",分析!O14,"")</f>
        <v/>
      </c>
      <c r="O160" s="153">
        <f>IF(分析!X14&lt;&gt;"",分析!X14,"")</f>
        <v>18.273848805324633</v>
      </c>
      <c r="P160" s="154">
        <f>IF(分析!L14&lt;&gt;"",分析!L14,"")</f>
        <v>-4.8045397225725095</v>
      </c>
      <c r="Q160" s="151">
        <f>IF(分析!S14&lt;&gt;"",分析!S14,"")</f>
        <v>7247</v>
      </c>
      <c r="R160" s="151">
        <f>IF(分析!R14&lt;&gt;"",分析!R14,"")</f>
        <v>8153</v>
      </c>
      <c r="S160" s="146" t="str">
        <f>IF(分析!AA14&lt;&gt;"",分析!AA14,"")</f>
        <v>上昇▲</v>
      </c>
      <c r="T160" s="155">
        <f>IF(分析!Z14&lt;&gt;"",分析!Z14,"")</f>
        <v>1.2744834987925946</v>
      </c>
      <c r="U160" s="146" t="str">
        <f>IF(分析!V14&lt;&gt;"",分析!V14,"")</f>
        <v>高値圏</v>
      </c>
      <c r="V160" s="156">
        <f>IF(分析!W14&lt;&gt;"",分析!W14,"")</f>
        <v>56.075316269491026</v>
      </c>
      <c r="W160" s="157" t="str">
        <f>IF(分析!AD14&lt;&gt;"",分析!AD14,"")</f>
        <v>上昇トレンド▲</v>
      </c>
      <c r="X160" s="158" t="str">
        <f>IF(分析!AE14&lt;&gt;"",分析!AE14,"")</f>
        <v>なし</v>
      </c>
      <c r="Y160" s="159">
        <f>IF(分析!T14&lt;&gt;"",分析!T14,"")</f>
        <v>12</v>
      </c>
      <c r="Z160" s="160" t="str">
        <f>IF(分析!Y14&lt;&gt;"",分析!Y14,"")</f>
        <v>★強い買い</v>
      </c>
    </row>
    <row r="161" spans="1:26" ht="21.95" customHeight="1">
      <c r="A161" s="146">
        <f>IF(分析!C132&lt;&gt;"",ROW()-2,"")</f>
        <v>159</v>
      </c>
      <c r="B161" s="147" t="str">
        <f>IF(分析!C132&lt;&gt;"",HYPERLINK("https://kabutan.jp/stock/?code="&amp;分析!C132,"株探"),"")</f>
        <v>株探</v>
      </c>
      <c r="C161" s="148">
        <f>IF(分析!C132&lt;&gt;"",分析!C132,"")</f>
        <v>4088</v>
      </c>
      <c r="D161" s="149" t="str">
        <f>IF(分析!D132&lt;&gt;"",分析!D132,"")</f>
        <v>エア・ウォーター</v>
      </c>
      <c r="E161" s="150">
        <f>IF(分析!E132&lt;&gt;"",分析!E132,"")</f>
        <v>2490</v>
      </c>
      <c r="F161" s="151">
        <f>IF(分析!F132&lt;&gt;"",分析!F132,"")</f>
        <v>2500</v>
      </c>
      <c r="G161" s="151">
        <f>IF(分析!H132&lt;&gt;"",分析!H132,"")</f>
        <v>2530</v>
      </c>
      <c r="H161" s="151">
        <f>IF(分析!I132&lt;&gt;"",分析!I132,"")</f>
        <v>2478</v>
      </c>
      <c r="I161" s="151">
        <f>IF(分析!J132&lt;&gt;"",分析!J132,"")</f>
        <v>546500</v>
      </c>
      <c r="J161" s="151">
        <f>IF(分析!AB132&lt;&gt;"",分析!AB132,"")</f>
        <v>20124.28716904276</v>
      </c>
      <c r="K161" s="151">
        <f>IF(分析!AC132&lt;&gt;"",分析!AC132,"")</f>
        <v>21368.760429082238</v>
      </c>
      <c r="L161" s="151">
        <f>IF(分析!K132&lt;&gt;"",分析!K132,"")</f>
        <v>2678</v>
      </c>
      <c r="M161" s="146" t="str">
        <f>IF(分析!P132&lt;&gt;"",分析!P132,"")</f>
        <v>減少↓</v>
      </c>
      <c r="N161" s="152">
        <f>IF(分析!O132&lt;&gt;"",分析!O132,"")</f>
        <v>0.62037415429323883</v>
      </c>
      <c r="O161" s="153">
        <f>IF(分析!X132&lt;&gt;"",分析!X132,"")</f>
        <v>2.862660653799594</v>
      </c>
      <c r="P161" s="154">
        <f>IF(分析!L132&lt;&gt;"",分析!L132,"")</f>
        <v>-7.0201643017177</v>
      </c>
      <c r="Q161" s="151">
        <f>IF(分析!S132&lt;&gt;"",分析!S132,"")</f>
        <v>2390</v>
      </c>
      <c r="R161" s="151">
        <f>IF(分析!R132&lt;&gt;"",分析!R132,"")</f>
        <v>2689</v>
      </c>
      <c r="S161" s="146" t="str">
        <f>IF(分析!AA132&lt;&gt;"",分析!AA132,"")</f>
        <v>下落▼</v>
      </c>
      <c r="T161" s="155">
        <f>IF(分析!Z132&lt;&gt;"",分析!Z132,"")</f>
        <v>-1.1904761904761905</v>
      </c>
      <c r="U161" s="146" t="str">
        <f>IF(分析!V132&lt;&gt;"",分析!V132,"")</f>
        <v>通常</v>
      </c>
      <c r="V161" s="156">
        <f>IF(分析!W132&lt;&gt;"",分析!W132,"")</f>
        <v>50.404858299595148</v>
      </c>
      <c r="W161" s="157" t="str">
        <f>IF(分析!AD132&lt;&gt;"",分析!AD132,"")</f>
        <v>下降トレンド▼</v>
      </c>
      <c r="X161" s="158" t="str">
        <f>IF(分析!AE132&lt;&gt;"",分析!AE132,"")</f>
        <v>なし</v>
      </c>
      <c r="Y161" s="159">
        <f>IF(分析!T132&lt;&gt;"",分析!T132,"")</f>
        <v>5</v>
      </c>
      <c r="Z161" s="160" t="str">
        <f>IF(分析!Y132&lt;&gt;"",分析!Y132,"")</f>
        <v>様子見</v>
      </c>
    </row>
    <row r="162" spans="1:26" ht="21.95" customHeight="1">
      <c r="A162" s="146">
        <f>IF(分析!C82&lt;&gt;"",ROW()-2,"")</f>
        <v>160</v>
      </c>
      <c r="B162" s="147" t="str">
        <f>IF(分析!C82&lt;&gt;"",HYPERLINK("https://kabutan.jp/stock/?code="&amp;分析!C82,"株探"),"")</f>
        <v>株探</v>
      </c>
      <c r="C162" s="148">
        <f>IF(分析!C82&lt;&gt;"",分析!C82,"")</f>
        <v>4373</v>
      </c>
      <c r="D162" s="149" t="str">
        <f>IF(分析!D82&lt;&gt;"",分析!D82,"")</f>
        <v>シンプレクスＨＤ</v>
      </c>
      <c r="E162" s="150">
        <f>IF(分析!E82&lt;&gt;"",分析!E82,"")</f>
        <v>958</v>
      </c>
      <c r="F162" s="151">
        <f>IF(分析!F82&lt;&gt;"",分析!F82,"")</f>
        <v>966</v>
      </c>
      <c r="G162" s="151">
        <f>IF(分析!H82&lt;&gt;"",分析!H82,"")</f>
        <v>974</v>
      </c>
      <c r="H162" s="151">
        <f>IF(分析!I82&lt;&gt;"",分析!I82,"")</f>
        <v>950</v>
      </c>
      <c r="I162" s="151">
        <f>IF(分析!J82&lt;&gt;"",分析!J82,"")</f>
        <v>621300</v>
      </c>
      <c r="J162" s="151">
        <f>IF(分析!AB82&lt;&gt;"",分析!AB82,"")</f>
        <v>1620.6787169042768</v>
      </c>
      <c r="K162" s="151">
        <f>IF(分析!AC82&lt;&gt;"",分析!AC82,"")</f>
        <v>1627.2640047675795</v>
      </c>
      <c r="L162" s="151">
        <f>IF(分析!K82&lt;&gt;"",分析!K82,"")</f>
        <v>1158</v>
      </c>
      <c r="M162" s="146" t="str">
        <f>IF(分析!P82&lt;&gt;"",分析!P82,"")</f>
        <v>減少↓</v>
      </c>
      <c r="N162" s="152">
        <f>IF(分析!O82&lt;&gt;"",分析!O82,"")</f>
        <v>0.67484196120174655</v>
      </c>
      <c r="O162" s="153">
        <f>IF(分析!X82&lt;&gt;"",分析!X82,"")</f>
        <v>1.5665999307436778</v>
      </c>
      <c r="P162" s="154">
        <f>IF(分析!L82&lt;&gt;"",分析!L82,"")</f>
        <v>-17.271157167530223</v>
      </c>
      <c r="Q162" s="151">
        <f>IF(分析!S82&lt;&gt;"",分析!S82,"")</f>
        <v>920</v>
      </c>
      <c r="R162" s="151">
        <f>IF(分析!R82&lt;&gt;"",分析!R82,"")</f>
        <v>1035</v>
      </c>
      <c r="S162" s="146" t="str">
        <f>IF(分析!AA82&lt;&gt;"",分析!AA82,"")</f>
        <v>上昇▲</v>
      </c>
      <c r="T162" s="155">
        <f>IF(分析!Z82&lt;&gt;"",分析!Z82,"")</f>
        <v>0.10449320794148381</v>
      </c>
      <c r="U162" s="146" t="str">
        <f>IF(分析!V82&lt;&gt;"",分析!V82,"")</f>
        <v>通常</v>
      </c>
      <c r="V162" s="156">
        <f>IF(分析!W82&lt;&gt;"",分析!W82,"")</f>
        <v>40.133779264214049</v>
      </c>
      <c r="W162" s="157" t="str">
        <f>IF(分析!AD82&lt;&gt;"",分析!AD82,"")</f>
        <v>下降トレンド▼</v>
      </c>
      <c r="X162" s="158" t="str">
        <f>IF(分析!AE82&lt;&gt;"",分析!AE82,"")</f>
        <v>なし</v>
      </c>
      <c r="Y162" s="159">
        <f>IF(分析!T82&lt;&gt;"",分析!T82,"")</f>
        <v>2</v>
      </c>
      <c r="Z162" s="160" t="str">
        <f>IF(分析!Y82&lt;&gt;"",分析!Y82,"")</f>
        <v>見送り</v>
      </c>
    </row>
    <row r="163" spans="1:26" ht="21.95" customHeight="1">
      <c r="A163" s="146">
        <f>IF(分析!C112&lt;&gt;"",ROW()-2,"")</f>
        <v>161</v>
      </c>
      <c r="B163" s="147" t="str">
        <f>IF(分析!C112&lt;&gt;"",HYPERLINK("https://kabutan.jp/stock/?code="&amp;分析!C112,"株探"),"")</f>
        <v>株探</v>
      </c>
      <c r="C163" s="148">
        <f>IF(分析!C112&lt;&gt;"",分析!C112,"")</f>
        <v>4417</v>
      </c>
      <c r="D163" s="149" t="str">
        <f>IF(分析!D112&lt;&gt;"",分析!D112,"")</f>
        <v>グローバルセキュ</v>
      </c>
      <c r="E163" s="150">
        <f>IF(分析!E112&lt;&gt;"",分析!E112,"")</f>
        <v>3240</v>
      </c>
      <c r="F163" s="151">
        <f>IF(分析!F112&lt;&gt;"",分析!F112,"")</f>
        <v>3070</v>
      </c>
      <c r="G163" s="151">
        <f>IF(分析!H112&lt;&gt;"",分析!H112,"")</f>
        <v>3260</v>
      </c>
      <c r="H163" s="151">
        <f>IF(分析!I112&lt;&gt;"",分析!I112,"")</f>
        <v>3070</v>
      </c>
      <c r="I163" s="151">
        <f>IF(分析!J112&lt;&gt;"",分析!J112,"")</f>
        <v>49100</v>
      </c>
      <c r="J163" s="151">
        <f>IF(分析!AB112&lt;&gt;"",分析!AB112,"")</f>
        <v>512.22912423625246</v>
      </c>
      <c r="K163" s="151">
        <f>IF(分析!AC112&lt;&gt;"",分析!AC112,"")</f>
        <v>540.6063170440998</v>
      </c>
      <c r="L163" s="151">
        <f>IF(分析!K112&lt;&gt;"",分析!K112,"")</f>
        <v>3675</v>
      </c>
      <c r="M163" s="146" t="str">
        <f>IF(分析!P112&lt;&gt;"",分析!P112,"")</f>
        <v>普通→</v>
      </c>
      <c r="N163" s="152">
        <f>IF(分析!O112&lt;&gt;"",分析!O112,"")</f>
        <v>1.1752034466251795</v>
      </c>
      <c r="O163" s="153">
        <f>IF(分析!X112&lt;&gt;"",分析!X112,"")</f>
        <v>2.6531410330408107</v>
      </c>
      <c r="P163" s="154">
        <f>IF(分析!L112&lt;&gt;"",分析!L112,"")</f>
        <v>-11.836734693877551</v>
      </c>
      <c r="Q163" s="151">
        <f>IF(分析!S112&lt;&gt;"",分析!S112,"")</f>
        <v>3110</v>
      </c>
      <c r="R163" s="151">
        <f>IF(分析!R112&lt;&gt;"",分析!R112,"")</f>
        <v>3499</v>
      </c>
      <c r="S163" s="146" t="str">
        <f>IF(分析!AA112&lt;&gt;"",分析!AA112,"")</f>
        <v>上昇▲</v>
      </c>
      <c r="T163" s="155">
        <f>IF(分析!Z112&lt;&gt;"",分析!Z112,"")</f>
        <v>5.5374592833876219</v>
      </c>
      <c r="U163" s="146" t="str">
        <f>IF(分析!V112&lt;&gt;"",分析!V112,"")</f>
        <v>通常</v>
      </c>
      <c r="V163" s="156">
        <f>IF(分析!W112&lt;&gt;"",分析!W112,"")</f>
        <v>39.683933274802463</v>
      </c>
      <c r="W163" s="157" t="str">
        <f>IF(分析!AD112&lt;&gt;"",分析!AD112,"")</f>
        <v>上昇トレンド▲</v>
      </c>
      <c r="X163" s="158" t="str">
        <f>IF(分析!AE112&lt;&gt;"",分析!AE112,"")</f>
        <v>なし</v>
      </c>
      <c r="Y163" s="159">
        <f>IF(分析!T112&lt;&gt;"",分析!T112,"")</f>
        <v>10</v>
      </c>
      <c r="Z163" s="160" t="str">
        <f>IF(分析!Y112&lt;&gt;"",分析!Y112,"")</f>
        <v>○買い候補</v>
      </c>
    </row>
    <row r="164" spans="1:26" ht="21.95" customHeight="1">
      <c r="A164" s="161">
        <f>IF(分析!C205&lt;&gt;"",ROW()-2,"")</f>
        <v>162</v>
      </c>
      <c r="B164" s="162" t="str">
        <f>IF(分析!C205&lt;&gt;"",HYPERLINK("https://kabutan.jp/stock/?code="&amp;分析!C205,"株探"),"")</f>
        <v>株探</v>
      </c>
      <c r="C164" s="163">
        <f>IF(分析!C205&lt;&gt;"",分析!C205,"")</f>
        <v>4519</v>
      </c>
      <c r="D164" s="164" t="str">
        <f>IF(分析!D205&lt;&gt;"",分析!D205,"")</f>
        <v>中外製薬</v>
      </c>
      <c r="E164" s="165">
        <f>IF(分析!E205&lt;&gt;"",分析!E205,"")</f>
        <v>7650</v>
      </c>
      <c r="F164" s="166">
        <f>IF(分析!F205&lt;&gt;"",分析!F205,"")</f>
        <v>7532</v>
      </c>
      <c r="G164" s="166">
        <f>IF(分析!H205&lt;&gt;"",分析!H205,"")</f>
        <v>7689</v>
      </c>
      <c r="H164" s="166">
        <f>IF(分析!I205&lt;&gt;"",分析!I205,"")</f>
        <v>7532</v>
      </c>
      <c r="I164" s="166">
        <f>IF(分析!J205&lt;&gt;"",分析!J205,"")</f>
        <v>1745000</v>
      </c>
      <c r="J164" s="166">
        <f>IF(分析!AB205&lt;&gt;"",分析!AB205,"")</f>
        <v>7551.2534562211986</v>
      </c>
      <c r="K164" s="166">
        <f>IF(分析!AC205&lt;&gt;"",分析!AC205,"")</f>
        <v>7653.2228843861703</v>
      </c>
      <c r="L164" s="166">
        <f>IF(分析!K205&lt;&gt;"",分析!K205,"")</f>
        <v>10700</v>
      </c>
      <c r="M164" s="161" t="str">
        <f>IF(分析!P205&lt;&gt;"",分析!P205,"")</f>
        <v>減少↓</v>
      </c>
      <c r="N164" s="167">
        <f>IF(分析!O205&lt;&gt;"",分析!O205,"")</f>
        <v>0.7562690150733733</v>
      </c>
      <c r="O164" s="168">
        <f>IF(分析!X205&lt;&gt;"",分析!X205,"")</f>
        <v>-60.732201210798848</v>
      </c>
      <c r="P164" s="169">
        <f>IF(分析!L205&lt;&gt;"",分析!L205,"")</f>
        <v>-28.504672897196258</v>
      </c>
      <c r="Q164" s="166">
        <f>IF(分析!S205&lt;&gt;"",分析!S205,"")</f>
        <v>7344</v>
      </c>
      <c r="R164" s="166">
        <f>IF(分析!R205&lt;&gt;"",分析!R205,"")</f>
        <v>8262</v>
      </c>
      <c r="S164" s="161" t="str">
        <f>IF(分析!AA205&lt;&gt;"",分析!AA205,"")</f>
        <v>上昇▲</v>
      </c>
      <c r="T164" s="170">
        <f>IF(分析!Z205&lt;&gt;"",分析!Z205,"")</f>
        <v>1.6881563206167751</v>
      </c>
      <c r="U164" s="161" t="str">
        <f>IF(分析!V205&lt;&gt;"",分析!V205,"")</f>
        <v>通常</v>
      </c>
      <c r="V164" s="171">
        <f>IF(分析!W205&lt;&gt;"",分析!W205,"")</f>
        <v>30.961538461538453</v>
      </c>
      <c r="W164" s="172" t="str">
        <f>IF(分析!AD205&lt;&gt;"",分析!AD205,"")</f>
        <v>もみ合い→</v>
      </c>
      <c r="X164" s="173" t="str">
        <f>IF(分析!AE205&lt;&gt;"",分析!AE205,"")</f>
        <v>なし</v>
      </c>
      <c r="Y164" s="174">
        <f>IF(分析!T205&lt;&gt;"",分析!T205,"")</f>
        <v>1</v>
      </c>
      <c r="Z164" s="160" t="str">
        <f>IF(分析!Y205&lt;&gt;"",分析!Y205,"")</f>
        <v>見送り</v>
      </c>
    </row>
    <row r="165" spans="1:26" ht="21.95" customHeight="1">
      <c r="A165" s="146">
        <f>IF(分析!C72&lt;&gt;"",ROW()-2,"")</f>
        <v>163</v>
      </c>
      <c r="B165" s="147" t="str">
        <f>IF(分析!C72&lt;&gt;"",HYPERLINK("https://kabutan.jp/stock/?code="&amp;分析!C72,"株探"),"")</f>
        <v>株探</v>
      </c>
      <c r="C165" s="148">
        <f>IF(分析!C72&lt;&gt;"",分析!C72,"")</f>
        <v>4980</v>
      </c>
      <c r="D165" s="149" t="str">
        <f>IF(分析!D72&lt;&gt;"",分析!D72,"")</f>
        <v>デクセリアルズ</v>
      </c>
      <c r="E165" s="150">
        <f>IF(分析!E72&lt;&gt;"",分析!E72,"")</f>
        <v>4608</v>
      </c>
      <c r="F165" s="151">
        <f>IF(分析!F72&lt;&gt;"",分析!F72,"")</f>
        <v>4428</v>
      </c>
      <c r="G165" s="151">
        <f>IF(分析!H72&lt;&gt;"",分析!H72,"")</f>
        <v>4694</v>
      </c>
      <c r="H165" s="151">
        <f>IF(分析!I72&lt;&gt;"",分析!I72,"")</f>
        <v>4361</v>
      </c>
      <c r="I165" s="151">
        <f>IF(分析!J72&lt;&gt;"",分析!J72,"")</f>
        <v>2442300</v>
      </c>
      <c r="J165" s="151">
        <f>IF(分析!AB72&lt;&gt;"",分析!AB72,"")</f>
        <v>2944.0784114052949</v>
      </c>
      <c r="K165" s="151">
        <f>IF(分析!AC72&lt;&gt;"",分析!AC72,"")</f>
        <v>2865.2979737783057</v>
      </c>
      <c r="L165" s="151">
        <f>IF(分析!K72&lt;&gt;"",分析!K72,"")</f>
        <v>4859</v>
      </c>
      <c r="M165" s="146" t="str">
        <f>IF(分析!P72&lt;&gt;"",分析!P72,"")</f>
        <v>減少↓</v>
      </c>
      <c r="N165" s="152">
        <f>IF(分析!O72&lt;&gt;"",分析!O72,"")</f>
        <v>0.90820857225730156</v>
      </c>
      <c r="O165" s="153">
        <f>IF(分析!X72&lt;&gt;"",分析!X72,"")</f>
        <v>63.526836000781259</v>
      </c>
      <c r="P165" s="154">
        <f>IF(分析!L72&lt;&gt;"",分析!L72,"")</f>
        <v>-5.165671948960691</v>
      </c>
      <c r="Q165" s="151">
        <f>IF(分析!S72&lt;&gt;"",分析!S72,"")</f>
        <v>4424</v>
      </c>
      <c r="R165" s="151">
        <f>IF(分析!R72&lt;&gt;"",分析!R72,"")</f>
        <v>4977</v>
      </c>
      <c r="S165" s="146" t="str">
        <f>IF(分析!AA72&lt;&gt;"",分析!AA72,"")</f>
        <v>上昇▲</v>
      </c>
      <c r="T165" s="155">
        <f>IF(分析!Z72&lt;&gt;"",分析!Z72,"")</f>
        <v>0.87565674255691772</v>
      </c>
      <c r="U165" s="146" t="str">
        <f>IF(分析!V72&lt;&gt;"",分析!V72,"")</f>
        <v>高値圏</v>
      </c>
      <c r="V165" s="156">
        <f>IF(分析!W72&lt;&gt;"",分析!W72,"")</f>
        <v>53.703028091937249</v>
      </c>
      <c r="W165" s="157" t="str">
        <f>IF(分析!AD72&lt;&gt;"",分析!AD72,"")</f>
        <v>パーフェクト▲</v>
      </c>
      <c r="X165" s="158" t="str">
        <f>IF(分析!AE72&lt;&gt;"",分析!AE72,"")</f>
        <v>なし</v>
      </c>
      <c r="Y165" s="159">
        <f>IF(分析!T72&lt;&gt;"",分析!T72,"")</f>
        <v>11</v>
      </c>
      <c r="Z165" s="160" t="str">
        <f>IF(分析!Y72&lt;&gt;"",分析!Y72,"")</f>
        <v>○買い候補</v>
      </c>
    </row>
    <row r="166" spans="1:26" ht="21.95" customHeight="1">
      <c r="A166" s="161">
        <f>IF(分析!C175&lt;&gt;"",ROW()-2,"")</f>
        <v>164</v>
      </c>
      <c r="B166" s="162" t="str">
        <f>IF(分析!C175&lt;&gt;"",HYPERLINK("https://kabutan.jp/stock/?code="&amp;分析!C175,"株探"),"")</f>
        <v>株探</v>
      </c>
      <c r="C166" s="163">
        <f>IF(分析!C175&lt;&gt;"",分析!C175,"")</f>
        <v>5201</v>
      </c>
      <c r="D166" s="164" t="str">
        <f>IF(分析!D175&lt;&gt;"",分析!D175,"")</f>
        <v>ＡＧＣ</v>
      </c>
      <c r="E166" s="165">
        <f>IF(分析!E175&lt;&gt;"",分析!E175,"")</f>
        <v>7421</v>
      </c>
      <c r="F166" s="166">
        <f>IF(分析!F175&lt;&gt;"",分析!F175,"")</f>
        <v>7224</v>
      </c>
      <c r="G166" s="166">
        <f>IF(分析!H175&lt;&gt;"",分析!H175,"")</f>
        <v>7421</v>
      </c>
      <c r="H166" s="166">
        <f>IF(分析!I175&lt;&gt;"",分析!I175,"")</f>
        <v>7190</v>
      </c>
      <c r="I166" s="166">
        <f>IF(分析!J175&lt;&gt;"",分析!J175,"")</f>
        <v>1363900</v>
      </c>
      <c r="J166" s="166">
        <f>IF(分析!AB175&lt;&gt;"",分析!AB175,"")</f>
        <v>14194.439918533602</v>
      </c>
      <c r="K166" s="166">
        <f>IF(分析!AC175&lt;&gt;"",分析!AC175,"")</f>
        <v>14394.934445768768</v>
      </c>
      <c r="L166" s="166">
        <f>IF(分析!K175&lt;&gt;"",分析!K175,"")</f>
        <v>8315</v>
      </c>
      <c r="M166" s="161" t="str">
        <f>IF(分析!P175&lt;&gt;"",分析!P175,"")</f>
        <v>減少↓</v>
      </c>
      <c r="N166" s="167">
        <f>IF(分析!O175&lt;&gt;"",分析!O175,"")</f>
        <v>0.91296722716075829</v>
      </c>
      <c r="O166" s="168">
        <f>IF(分析!X175&lt;&gt;"",分析!X175,"")</f>
        <v>141.00198615660975</v>
      </c>
      <c r="P166" s="169">
        <f>IF(分析!L175&lt;&gt;"",分析!L175,"")</f>
        <v>-10.751653638003608</v>
      </c>
      <c r="Q166" s="166">
        <f>IF(分析!S175&lt;&gt;"",分析!S175,"")</f>
        <v>7124</v>
      </c>
      <c r="R166" s="166">
        <f>IF(分析!R175&lt;&gt;"",分析!R175,"")</f>
        <v>8015</v>
      </c>
      <c r="S166" s="161" t="str">
        <f>IF(分析!AA175&lt;&gt;"",分析!AA175,"")</f>
        <v>上昇▲</v>
      </c>
      <c r="T166" s="170">
        <f>IF(分析!Z175&lt;&gt;"",分析!Z175,"")</f>
        <v>2.077028885832187</v>
      </c>
      <c r="U166" s="161" t="str">
        <f>IF(分析!V175&lt;&gt;"",分析!V175,"")</f>
        <v>通常</v>
      </c>
      <c r="V166" s="171">
        <f>IF(分析!W175&lt;&gt;"",分析!W175,"")</f>
        <v>58.891789962286047</v>
      </c>
      <c r="W166" s="172" t="str">
        <f>IF(分析!AD175&lt;&gt;"",分析!AD175,"")</f>
        <v>下降トレンド▼</v>
      </c>
      <c r="X166" s="173" t="str">
        <f>IF(分析!AE175&lt;&gt;"",分析!AE175,"")</f>
        <v>なし</v>
      </c>
      <c r="Y166" s="174">
        <f>IF(分析!T175&lt;&gt;"",分析!T175,"")</f>
        <v>6</v>
      </c>
      <c r="Z166" s="160" t="str">
        <f>IF(分析!Y175&lt;&gt;"",分析!Y175,"")</f>
        <v>△注目</v>
      </c>
    </row>
    <row r="167" spans="1:26" ht="21.95" customHeight="1">
      <c r="A167" s="146">
        <f>IF(分析!C12&lt;&gt;"",ROW()-2,"")</f>
        <v>165</v>
      </c>
      <c r="B167" s="147" t="str">
        <f>IF(分析!C12&lt;&gt;"",HYPERLINK("https://kabutan.jp/stock/?code="&amp;分析!C12,"株探"),"")</f>
        <v>株探</v>
      </c>
      <c r="C167" s="148">
        <f>IF(分析!C12&lt;&gt;"",分析!C12,"")</f>
        <v>5332</v>
      </c>
      <c r="D167" s="149" t="str">
        <f>IF(分析!D12&lt;&gt;"",分析!D12,"")</f>
        <v>ＴＯＴＯ</v>
      </c>
      <c r="E167" s="150">
        <f>IF(分析!E12&lt;&gt;"",分析!E12,"")</f>
        <v>8297</v>
      </c>
      <c r="F167" s="151">
        <f>IF(分析!F12&lt;&gt;"",分析!F12,"")</f>
        <v>8102</v>
      </c>
      <c r="G167" s="151">
        <f>IF(分析!H12&lt;&gt;"",分析!H12,"")</f>
        <v>8297</v>
      </c>
      <c r="H167" s="151">
        <f>IF(分析!I12&lt;&gt;"",分析!I12,"")</f>
        <v>7938</v>
      </c>
      <c r="I167" s="151">
        <f>IF(分析!J12&lt;&gt;"",分析!J12,"")</f>
        <v>1293200</v>
      </c>
      <c r="J167" s="151">
        <f>IF(分析!AB12&lt;&gt;"",分析!AB12,"")</f>
        <v>4910.8309572301405</v>
      </c>
      <c r="K167" s="151">
        <f>IF(分析!AC12&lt;&gt;"",分析!AC12,"")</f>
        <v>5066.7270560190682</v>
      </c>
      <c r="L167" s="151">
        <f>IF(分析!K12&lt;&gt;"",分析!K12,"")</f>
        <v>8362</v>
      </c>
      <c r="M167" s="146" t="str">
        <f>IF(分析!P12&lt;&gt;"",分析!P12,"")</f>
        <v>減少↓</v>
      </c>
      <c r="N167" s="152">
        <f>IF(分析!O12&lt;&gt;"",分析!O12,"")</f>
        <v>0.91678600292078438</v>
      </c>
      <c r="O167" s="153">
        <f>IF(分析!X12&lt;&gt;"",分析!X12,"")</f>
        <v>142.94742456386393</v>
      </c>
      <c r="P167" s="154">
        <f>IF(分析!L12&lt;&gt;"",分析!L12,"")</f>
        <v>-0.77732599856493667</v>
      </c>
      <c r="Q167" s="151">
        <f>IF(分析!S12&lt;&gt;"",分析!S12,"")</f>
        <v>7965</v>
      </c>
      <c r="R167" s="151">
        <f>IF(分析!R12&lt;&gt;"",分析!R12,"")</f>
        <v>8961</v>
      </c>
      <c r="S167" s="146" t="str">
        <f>IF(分析!AA12&lt;&gt;"",分析!AA12,"")</f>
        <v>上昇▲</v>
      </c>
      <c r="T167" s="155">
        <f>IF(分析!Z12&lt;&gt;"",分析!Z12,"")</f>
        <v>1.8786836935166993</v>
      </c>
      <c r="U167" s="146" t="str">
        <f>IF(分析!V12&lt;&gt;"",分析!V12,"")</f>
        <v>高値圏</v>
      </c>
      <c r="V167" s="156">
        <f>IF(分析!W12&lt;&gt;"",分析!W12,"")</f>
        <v>67.955071027419891</v>
      </c>
      <c r="W167" s="157" t="str">
        <f>IF(分析!AD12&lt;&gt;"",分析!AD12,"")</f>
        <v>上昇トレンド▲</v>
      </c>
      <c r="X167" s="158" t="str">
        <f>IF(分析!AE12&lt;&gt;"",分析!AE12,"")</f>
        <v>なし</v>
      </c>
      <c r="Y167" s="159">
        <f>IF(分析!T12&lt;&gt;"",分析!T12,"")</f>
        <v>10</v>
      </c>
      <c r="Z167" s="160" t="str">
        <f>IF(分析!Y12&lt;&gt;"",分析!Y12,"")</f>
        <v>○買い候補</v>
      </c>
    </row>
    <row r="168" spans="1:26" ht="21.95" customHeight="1">
      <c r="A168" s="161">
        <f>IF(分析!C37&lt;&gt;"",ROW()-2,"")</f>
        <v>166</v>
      </c>
      <c r="B168" s="162" t="str">
        <f>IF(分析!C37&lt;&gt;"",HYPERLINK("https://kabutan.jp/stock/?code="&amp;分析!C37,"株探"),"")</f>
        <v>株探</v>
      </c>
      <c r="C168" s="163">
        <f>IF(分析!C37&lt;&gt;"",分析!C37,"")</f>
        <v>5333</v>
      </c>
      <c r="D168" s="164" t="str">
        <f>IF(分析!D37&lt;&gt;"",分析!D37,"")</f>
        <v>ＮＧＫ</v>
      </c>
      <c r="E168" s="165">
        <f>IF(分析!E37&lt;&gt;"",分析!E37,"")</f>
        <v>6972</v>
      </c>
      <c r="F168" s="166">
        <f>IF(分析!F37&lt;&gt;"",分析!F37,"")</f>
        <v>6735</v>
      </c>
      <c r="G168" s="166">
        <f>IF(分析!H37&lt;&gt;"",分析!H37,"")</f>
        <v>6974</v>
      </c>
      <c r="H168" s="166">
        <f>IF(分析!I37&lt;&gt;"",分析!I37,"")</f>
        <v>6706</v>
      </c>
      <c r="I168" s="166">
        <f>IF(分析!J37&lt;&gt;"",分析!J37,"")</f>
        <v>1474400</v>
      </c>
      <c r="J168" s="166">
        <f>IF(分析!AB37&lt;&gt;"",分析!AB37,"")</f>
        <v>1315.4750509164967</v>
      </c>
      <c r="K168" s="166">
        <f>IF(分析!AC37&lt;&gt;"",分析!AC37,"")</f>
        <v>1317.7079856972582</v>
      </c>
      <c r="L168" s="166">
        <f>IF(分析!K37&lt;&gt;"",分析!K37,"")</f>
        <v>6807</v>
      </c>
      <c r="M168" s="161" t="str">
        <f>IF(分析!P37&lt;&gt;"",分析!P37,"")</f>
        <v>減少↓</v>
      </c>
      <c r="N168" s="167">
        <f>IF(分析!O37&lt;&gt;"",分析!O37,"")</f>
        <v>0.85952802910176285</v>
      </c>
      <c r="O168" s="168">
        <f>IF(分析!X37&lt;&gt;"",分析!X37,"")</f>
        <v>95.322483770433792</v>
      </c>
      <c r="P168" s="169">
        <f>IF(分析!L37&lt;&gt;"",分析!L37,"")</f>
        <v>2.4239753195240197</v>
      </c>
      <c r="Q168" s="166">
        <f>IF(分析!S37&lt;&gt;"",分析!S37,"")</f>
        <v>6693</v>
      </c>
      <c r="R168" s="166">
        <f>IF(分析!R37&lt;&gt;"",分析!R37,"")</f>
        <v>7530</v>
      </c>
      <c r="S168" s="161" t="str">
        <f>IF(分析!AA37&lt;&gt;"",分析!AA37,"")</f>
        <v>上昇▲</v>
      </c>
      <c r="T168" s="170">
        <f>IF(分析!Z37&lt;&gt;"",分析!Z37,"")</f>
        <v>3.3348154735437974</v>
      </c>
      <c r="U168" s="161" t="str">
        <f>IF(分析!V37&lt;&gt;"",分析!V37,"")</f>
        <v>年初来高値更新●</v>
      </c>
      <c r="V168" s="171">
        <f>IF(分析!W37&lt;&gt;"",分析!W37,"")</f>
        <v>59.84598459845985</v>
      </c>
      <c r="W168" s="172" t="str">
        <f>IF(分析!AD37&lt;&gt;"",分析!AD37,"")</f>
        <v>上昇トレンド▲</v>
      </c>
      <c r="X168" s="173" t="str">
        <f>IF(分析!AE37&lt;&gt;"",分析!AE37,"")</f>
        <v>なし</v>
      </c>
      <c r="Y168" s="174">
        <f>IF(分析!T37&lt;&gt;"",分析!T37,"")</f>
        <v>12</v>
      </c>
      <c r="Z168" s="160" t="str">
        <f>IF(分析!Y37&lt;&gt;"",分析!Y37,"")</f>
        <v>★強い買い</v>
      </c>
    </row>
    <row r="169" spans="1:26" ht="21.95" customHeight="1">
      <c r="A169" s="161">
        <f>IF(分析!C95&lt;&gt;"",ROW()-2,"")</f>
        <v>167</v>
      </c>
      <c r="B169" s="162" t="str">
        <f>IF(分析!C95&lt;&gt;"",HYPERLINK("https://kabutan.jp/stock/?code="&amp;分析!C95,"株探"),"")</f>
        <v>株探</v>
      </c>
      <c r="C169" s="163">
        <f>IF(分析!C95&lt;&gt;"",分析!C95,"")</f>
        <v>5406</v>
      </c>
      <c r="D169" s="164" t="str">
        <f>IF(分析!D95&lt;&gt;"",分析!D95,"")</f>
        <v>神戸製鋼所</v>
      </c>
      <c r="E169" s="165">
        <f>IF(分析!E95&lt;&gt;"",分析!E95,"")</f>
        <v>1978</v>
      </c>
      <c r="F169" s="166">
        <f>IF(分析!F95&lt;&gt;"",分析!F95,"")</f>
        <v>1989.5</v>
      </c>
      <c r="G169" s="166">
        <f>IF(分析!H95&lt;&gt;"",分析!H95,"")</f>
        <v>1995</v>
      </c>
      <c r="H169" s="166">
        <f>IF(分析!I95&lt;&gt;"",分析!I95,"")</f>
        <v>1973</v>
      </c>
      <c r="I169" s="166">
        <f>IF(分析!J95&lt;&gt;"",分析!J95,"")</f>
        <v>1310000</v>
      </c>
      <c r="J169" s="166">
        <f>IF(分析!AB95&lt;&gt;"",分析!AB95,"")</f>
        <v>4955.9093686354372</v>
      </c>
      <c r="K169" s="166">
        <f>IF(分析!AC95&lt;&gt;"",分析!AC95,"")</f>
        <v>5002.7723480333716</v>
      </c>
      <c r="L169" s="166">
        <f>IF(分析!K95&lt;&gt;"",分析!K95,"")</f>
        <v>2379.5</v>
      </c>
      <c r="M169" s="161" t="str">
        <f>IF(分析!P95&lt;&gt;"",分析!P95,"")</f>
        <v>減少↓</v>
      </c>
      <c r="N169" s="167">
        <f>IF(分析!O95&lt;&gt;"",分析!O95,"")</f>
        <v>0.76229269711958103</v>
      </c>
      <c r="O169" s="168">
        <f>IF(分析!X95&lt;&gt;"",分析!X95,"")</f>
        <v>0.75855659352328075</v>
      </c>
      <c r="P169" s="169">
        <f>IF(分析!L95&lt;&gt;"",分析!L95,"")</f>
        <v>-16.873292708552217</v>
      </c>
      <c r="Q169" s="166">
        <f>IF(分析!S95&lt;&gt;"",分析!S95,"")</f>
        <v>1899</v>
      </c>
      <c r="R169" s="166">
        <f>IF(分析!R95&lt;&gt;"",分析!R95,"")</f>
        <v>2136</v>
      </c>
      <c r="S169" s="161" t="str">
        <f>IF(分析!AA95&lt;&gt;"",分析!AA95,"")</f>
        <v>下落▼</v>
      </c>
      <c r="T169" s="170">
        <f>IF(分析!Z95&lt;&gt;"",分析!Z95,"")</f>
        <v>-0.57803468208092479</v>
      </c>
      <c r="U169" s="161" t="str">
        <f>IF(分析!V95&lt;&gt;"",分析!V95,"")</f>
        <v>通常</v>
      </c>
      <c r="V169" s="171">
        <f>IF(分析!W95&lt;&gt;"",分析!W95,"")</f>
        <v>55.25362318840579</v>
      </c>
      <c r="W169" s="172" t="str">
        <f>IF(分析!AD95&lt;&gt;"",分析!AD95,"")</f>
        <v>下降トレンド▼</v>
      </c>
      <c r="X169" s="173" t="str">
        <f>IF(分析!AE95&lt;&gt;"",分析!AE95,"")</f>
        <v>なし</v>
      </c>
      <c r="Y169" s="174">
        <f>IF(分析!T95&lt;&gt;"",分析!T95,"")</f>
        <v>0</v>
      </c>
      <c r="Z169" s="160" t="str">
        <f>IF(分析!Y95&lt;&gt;"",分析!Y95,"")</f>
        <v>見送り</v>
      </c>
    </row>
    <row r="170" spans="1:26" ht="21.95" customHeight="1">
      <c r="A170" s="146">
        <f>IF(分析!C48&lt;&gt;"",ROW()-2,"")</f>
        <v>168</v>
      </c>
      <c r="B170" s="147" t="str">
        <f>IF(分析!C48&lt;&gt;"",HYPERLINK("https://kabutan.jp/stock/?code="&amp;分析!C48,"株探"),"")</f>
        <v>株探</v>
      </c>
      <c r="C170" s="148">
        <f>IF(分析!C48&lt;&gt;"",分析!C48,"")</f>
        <v>5703</v>
      </c>
      <c r="D170" s="149" t="str">
        <f>IF(分析!D48&lt;&gt;"",分析!D48,"")</f>
        <v>日本軽金属ＨＤ</v>
      </c>
      <c r="E170" s="150">
        <f>IF(分析!E48&lt;&gt;"",分析!E48,"")</f>
        <v>2958</v>
      </c>
      <c r="F170" s="151">
        <f>IF(分析!F48&lt;&gt;"",分析!F48,"")</f>
        <v>3035</v>
      </c>
      <c r="G170" s="151">
        <f>IF(分析!H48&lt;&gt;"",分析!H48,"")</f>
        <v>3065</v>
      </c>
      <c r="H170" s="151">
        <f>IF(分析!I48&lt;&gt;"",分析!I48,"")</f>
        <v>2945</v>
      </c>
      <c r="I170" s="151">
        <f>IF(分析!J48&lt;&gt;"",分析!J48,"")</f>
        <v>315700</v>
      </c>
      <c r="J170" s="151">
        <f>IF(分析!AB48&lt;&gt;"",分析!AB48,"")</f>
        <v>6398.6395112016289</v>
      </c>
      <c r="K170" s="151">
        <f>IF(分析!AC48&lt;&gt;"",分析!AC48,"")</f>
        <v>6163.6495828367079</v>
      </c>
      <c r="L170" s="151">
        <f>IF(分析!K48&lt;&gt;"",分析!K48,"")</f>
        <v>3330</v>
      </c>
      <c r="M170" s="146" t="str">
        <f>IF(分析!P48&lt;&gt;"",分析!P48,"")</f>
        <v>普通→</v>
      </c>
      <c r="N170" s="152">
        <f>IF(分析!O48&lt;&gt;"",分析!O48,"")</f>
        <v>1.0219474297552764</v>
      </c>
      <c r="O170" s="153">
        <f>IF(分析!X48&lt;&gt;"",分析!X48,"")</f>
        <v>-9.5713205354263664</v>
      </c>
      <c r="P170" s="154">
        <f>IF(分析!L48&lt;&gt;"",分析!L48,"")</f>
        <v>-11.171171171171171</v>
      </c>
      <c r="Q170" s="151">
        <f>IF(分析!S48&lt;&gt;"",分析!S48,"")</f>
        <v>2840</v>
      </c>
      <c r="R170" s="151">
        <f>IF(分析!R48&lt;&gt;"",分析!R48,"")</f>
        <v>3195</v>
      </c>
      <c r="S170" s="146" t="str">
        <f>IF(分析!AA48&lt;&gt;"",分析!AA48,"")</f>
        <v>下落▼</v>
      </c>
      <c r="T170" s="155">
        <f>IF(分析!Z48&lt;&gt;"",分析!Z48,"")</f>
        <v>-1.7275747508305648</v>
      </c>
      <c r="U170" s="146" t="str">
        <f>IF(分析!V48&lt;&gt;"",分析!V48,"")</f>
        <v>通常</v>
      </c>
      <c r="V170" s="156">
        <f>IF(分析!W48&lt;&gt;"",分析!W48,"")</f>
        <v>34.993614303959134</v>
      </c>
      <c r="W170" s="157" t="str">
        <f>IF(分析!AD48&lt;&gt;"",分析!AD48,"")</f>
        <v>もみ合い→</v>
      </c>
      <c r="X170" s="158" t="str">
        <f>IF(分析!AE48&lt;&gt;"",分析!AE48,"")</f>
        <v>なし</v>
      </c>
      <c r="Y170" s="159">
        <f>IF(分析!T48&lt;&gt;"",分析!T48,"")</f>
        <v>1</v>
      </c>
      <c r="Z170" s="160" t="str">
        <f>IF(分析!Y48&lt;&gt;"",分析!Y48,"")</f>
        <v>見送り</v>
      </c>
    </row>
    <row r="171" spans="1:26" ht="21.95" customHeight="1">
      <c r="A171" s="161">
        <f>IF(分析!C11&lt;&gt;"",ROW()-2,"")</f>
        <v>169</v>
      </c>
      <c r="B171" s="162" t="str">
        <f>IF(分析!C11&lt;&gt;"",HYPERLINK("https://kabutan.jp/stock/?code="&amp;分析!C11,"株探"),"")</f>
        <v>株探</v>
      </c>
      <c r="C171" s="163">
        <f>IF(分析!C11&lt;&gt;"",分析!C11,"")</f>
        <v>5706</v>
      </c>
      <c r="D171" s="164" t="str">
        <f>IF(分析!D11&lt;&gt;"",分析!D11,"")</f>
        <v>三井金属</v>
      </c>
      <c r="E171" s="165">
        <f>IF(分析!E11&lt;&gt;"",分析!E11,"")</f>
        <v>47600</v>
      </c>
      <c r="F171" s="166">
        <f>IF(分析!F11&lt;&gt;"",分析!F11,"")</f>
        <v>47100</v>
      </c>
      <c r="G171" s="166">
        <f>IF(分析!H11&lt;&gt;"",分析!H11,"")</f>
        <v>48750</v>
      </c>
      <c r="H171" s="166">
        <f>IF(分析!I11&lt;&gt;"",分析!I11,"")</f>
        <v>46090</v>
      </c>
      <c r="I171" s="166">
        <f>IF(分析!J11&lt;&gt;"",分析!J11,"")</f>
        <v>1716800</v>
      </c>
      <c r="J171" s="166">
        <f>IF(分析!AB11&lt;&gt;"",分析!AB11,"")</f>
        <v>3019.0560081466392</v>
      </c>
      <c r="K171" s="166">
        <f>IF(分析!AC11&lt;&gt;"",分析!AC11,"")</f>
        <v>3093.9427890345642</v>
      </c>
      <c r="L171" s="166">
        <f>IF(分析!K11&lt;&gt;"",分析!K11,"")</f>
        <v>57700</v>
      </c>
      <c r="M171" s="161" t="str">
        <f>IF(分析!P11&lt;&gt;"",分析!P11,"")</f>
        <v>減少↓</v>
      </c>
      <c r="N171" s="167">
        <f>IF(分析!O11&lt;&gt;"",分析!O11,"")</f>
        <v>0.67507628424926858</v>
      </c>
      <c r="O171" s="168">
        <f>IF(分析!X11&lt;&gt;"",分析!X11,"")</f>
        <v>460.74972436604003</v>
      </c>
      <c r="P171" s="169">
        <f>IF(分析!L11&lt;&gt;"",分析!L11,"")</f>
        <v>-17.504332755632582</v>
      </c>
      <c r="Q171" s="166">
        <f>IF(分析!S11&lt;&gt;"",分析!S11,"")</f>
        <v>45696</v>
      </c>
      <c r="R171" s="166">
        <f>IF(分析!R11&lt;&gt;"",分析!R11,"")</f>
        <v>51408</v>
      </c>
      <c r="S171" s="161" t="str">
        <f>IF(分析!AA11&lt;&gt;"",分析!AA11,"")</f>
        <v>下落▼</v>
      </c>
      <c r="T171" s="170">
        <f>IF(分析!Z11&lt;&gt;"",分析!Z11,"")</f>
        <v>-11.589895988112927</v>
      </c>
      <c r="U171" s="161" t="str">
        <f>IF(分析!V11&lt;&gt;"",分析!V11,"")</f>
        <v>通常</v>
      </c>
      <c r="V171" s="171">
        <f>IF(分析!W11&lt;&gt;"",分析!W11,"")</f>
        <v>54.322058398381031</v>
      </c>
      <c r="W171" s="172" t="str">
        <f>IF(分析!AD11&lt;&gt;"",分析!AD11,"")</f>
        <v>上昇トレンド▲</v>
      </c>
      <c r="X171" s="173" t="str">
        <f>IF(分析!AE11&lt;&gt;"",分析!AE11,"")</f>
        <v>なし</v>
      </c>
      <c r="Y171" s="174">
        <f>IF(分析!T11&lt;&gt;"",分析!T11,"")</f>
        <v>7</v>
      </c>
      <c r="Z171" s="160" t="str">
        <f>IF(分析!Y11&lt;&gt;"",分析!Y11,"")</f>
        <v>△注目</v>
      </c>
    </row>
    <row r="172" spans="1:26" ht="21.95" customHeight="1">
      <c r="A172" s="161">
        <f>IF(分析!C45&lt;&gt;"",ROW()-2,"")</f>
        <v>170</v>
      </c>
      <c r="B172" s="162" t="str">
        <f>IF(分析!C45&lt;&gt;"",HYPERLINK("https://kabutan.jp/stock/?code="&amp;分析!C45,"株探"),"")</f>
        <v>株探</v>
      </c>
      <c r="C172" s="163">
        <f>IF(分析!C45&lt;&gt;"",分析!C45,"")</f>
        <v>5801</v>
      </c>
      <c r="D172" s="164" t="str">
        <f>IF(分析!D45&lt;&gt;"",分析!D45,"")</f>
        <v>古河電工</v>
      </c>
      <c r="E172" s="165">
        <f>IF(分析!E45&lt;&gt;"",分析!E45,"")</f>
        <v>47440</v>
      </c>
      <c r="F172" s="166">
        <f>IF(分析!F45&lt;&gt;"",分析!F45,"")</f>
        <v>44900</v>
      </c>
      <c r="G172" s="166">
        <f>IF(分析!H45&lt;&gt;"",分析!H45,"")</f>
        <v>47660</v>
      </c>
      <c r="H172" s="166">
        <f>IF(分析!I45&lt;&gt;"",分析!I45,"")</f>
        <v>44900</v>
      </c>
      <c r="I172" s="166">
        <f>IF(分析!J45&lt;&gt;"",分析!J45,"")</f>
        <v>2674600</v>
      </c>
      <c r="J172" s="166">
        <f>IF(分析!AB45&lt;&gt;"",分析!AB45,"")</f>
        <v>449.79266802443976</v>
      </c>
      <c r="K172" s="166">
        <f>IF(分析!AC45&lt;&gt;"",分析!AC45,"")</f>
        <v>454.4082240762811</v>
      </c>
      <c r="L172" s="166">
        <f>IF(分析!K45&lt;&gt;"",分析!K45,"")</f>
        <v>62410</v>
      </c>
      <c r="M172" s="161" t="str">
        <f>IF(分析!P45&lt;&gt;"",分析!P45,"")</f>
        <v>減少↓</v>
      </c>
      <c r="N172" s="167">
        <f>IF(分析!O45&lt;&gt;"",分析!O45,"")</f>
        <v>0.74515922324687267</v>
      </c>
      <c r="O172" s="168">
        <f>IF(分析!X45&lt;&gt;"",分析!X45,"")</f>
        <v>-1207.9030325705753</v>
      </c>
      <c r="P172" s="169">
        <f>IF(分析!L45&lt;&gt;"",分析!L45,"")</f>
        <v>-23.986540618490626</v>
      </c>
      <c r="Q172" s="166">
        <f>IF(分析!S45&lt;&gt;"",分析!S45,"")</f>
        <v>45542</v>
      </c>
      <c r="R172" s="166">
        <f>IF(分析!R45&lt;&gt;"",分析!R45,"")</f>
        <v>51235</v>
      </c>
      <c r="S172" s="161" t="str">
        <f>IF(分析!AA45&lt;&gt;"",分析!AA45,"")</f>
        <v>上昇▲</v>
      </c>
      <c r="T172" s="170">
        <f>IF(分析!Z45&lt;&gt;"",分析!Z45,"")</f>
        <v>2.8398005636245394</v>
      </c>
      <c r="U172" s="161" t="str">
        <f>IF(分析!V45&lt;&gt;"",分析!V45,"")</f>
        <v>通常</v>
      </c>
      <c r="V172" s="171">
        <f>IF(分析!W45&lt;&gt;"",分析!W45,"")</f>
        <v>28.105533162330531</v>
      </c>
      <c r="W172" s="172" t="str">
        <f>IF(分析!AD45&lt;&gt;"",分析!AD45,"")</f>
        <v>上昇トレンド▲</v>
      </c>
      <c r="X172" s="173" t="str">
        <f>IF(分析!AE45&lt;&gt;"",分析!AE45,"")</f>
        <v>なし</v>
      </c>
      <c r="Y172" s="174">
        <f>IF(分析!T45&lt;&gt;"",分析!T45,"")</f>
        <v>4</v>
      </c>
      <c r="Z172" s="160" t="str">
        <f>IF(分析!Y45&lt;&gt;"",分析!Y45,"")</f>
        <v>様子見</v>
      </c>
    </row>
    <row r="173" spans="1:26" ht="21.95" customHeight="1">
      <c r="A173" s="161">
        <f>IF(分析!C57&lt;&gt;"",ROW()-2,"")</f>
        <v>171</v>
      </c>
      <c r="B173" s="162" t="str">
        <f>IF(分析!C57&lt;&gt;"",HYPERLINK("https://kabutan.jp/stock/?code="&amp;分析!C57,"株探"),"")</f>
        <v>株探</v>
      </c>
      <c r="C173" s="163">
        <f>IF(分析!C57&lt;&gt;"",分析!C57,"")</f>
        <v>5802</v>
      </c>
      <c r="D173" s="164" t="str">
        <f>IF(分析!D57&lt;&gt;"",分析!D57,"")</f>
        <v>住友電工</v>
      </c>
      <c r="E173" s="165">
        <f>IF(分析!E57&lt;&gt;"",分析!E57,"")</f>
        <v>12300</v>
      </c>
      <c r="F173" s="166">
        <f>IF(分析!F57&lt;&gt;"",分析!F57,"")</f>
        <v>12000</v>
      </c>
      <c r="G173" s="166">
        <f>IF(分析!H57&lt;&gt;"",分析!H57,"")</f>
        <v>12415</v>
      </c>
      <c r="H173" s="166">
        <f>IF(分析!I57&lt;&gt;"",分析!I57,"")</f>
        <v>11935</v>
      </c>
      <c r="I173" s="166">
        <f>IF(分析!J57&lt;&gt;"",分析!J57,"")</f>
        <v>4673200</v>
      </c>
      <c r="J173" s="166">
        <f>IF(分析!AB57&lt;&gt;"",分析!AB57,"")</f>
        <v>2550.6934826883903</v>
      </c>
      <c r="K173" s="166">
        <f>IF(分析!AC57&lt;&gt;"",分析!AC57,"")</f>
        <v>2404.0560190703213</v>
      </c>
      <c r="L173" s="166">
        <f>IF(分析!K57&lt;&gt;"",分析!K57,"")</f>
        <v>14850</v>
      </c>
      <c r="M173" s="161" t="str">
        <f>IF(分析!P57&lt;&gt;"",分析!P57,"")</f>
        <v>減少↓</v>
      </c>
      <c r="N173" s="167">
        <f>IF(分析!O57&lt;&gt;"",分析!O57,"")</f>
        <v>0.61953308321512379</v>
      </c>
      <c r="O173" s="168">
        <f>IF(分析!X57&lt;&gt;"",分析!X57,"")</f>
        <v>52.66669386520698</v>
      </c>
      <c r="P173" s="169">
        <f>IF(分析!L57&lt;&gt;"",分析!L57,"")</f>
        <v>-17.171717171717169</v>
      </c>
      <c r="Q173" s="166">
        <f>IF(分析!S57&lt;&gt;"",分析!S57,"")</f>
        <v>11808</v>
      </c>
      <c r="R173" s="166">
        <f>IF(分析!R57&lt;&gt;"",分析!R57,"")</f>
        <v>13284</v>
      </c>
      <c r="S173" s="161" t="str">
        <f>IF(分析!AA57&lt;&gt;"",分析!AA57,"")</f>
        <v>下落▼</v>
      </c>
      <c r="T173" s="170">
        <f>IF(分析!Z57&lt;&gt;"",分析!Z57,"")</f>
        <v>-0.16233766233766234</v>
      </c>
      <c r="U173" s="161" t="str">
        <f>IF(分析!V57&lt;&gt;"",分析!V57,"")</f>
        <v>通常</v>
      </c>
      <c r="V173" s="171">
        <f>IF(分析!W57&lt;&gt;"",分析!W57,"")</f>
        <v>50.326022525192656</v>
      </c>
      <c r="W173" s="172" t="str">
        <f>IF(分析!AD57&lt;&gt;"",分析!AD57,"")</f>
        <v>パーフェクト▲</v>
      </c>
      <c r="X173" s="173" t="str">
        <f>IF(分析!AE57&lt;&gt;"",分析!AE57,"")</f>
        <v>なし</v>
      </c>
      <c r="Y173" s="174">
        <f>IF(分析!T57&lt;&gt;"",分析!T57,"")</f>
        <v>4</v>
      </c>
      <c r="Z173" s="160" t="str">
        <f>IF(分析!Y57&lt;&gt;"",分析!Y57,"")</f>
        <v>様子見</v>
      </c>
    </row>
    <row r="174" spans="1:26" ht="21.95" customHeight="1">
      <c r="A174" s="161">
        <f>IF(分析!C147&lt;&gt;"",ROW()-2,"")</f>
        <v>172</v>
      </c>
      <c r="B174" s="162" t="str">
        <f>IF(分析!C147&lt;&gt;"",HYPERLINK("https://kabutan.jp/stock/?code="&amp;分析!C147,"株探"),"")</f>
        <v>株探</v>
      </c>
      <c r="C174" s="163">
        <f>IF(分析!C147&lt;&gt;"",分析!C147,"")</f>
        <v>5838</v>
      </c>
      <c r="D174" s="164" t="str">
        <f>IF(分析!D147&lt;&gt;"",分析!D147,"")</f>
        <v>楽天銀行</v>
      </c>
      <c r="E174" s="165">
        <f>IF(分析!E147&lt;&gt;"",分析!E147,"")</f>
        <v>5161</v>
      </c>
      <c r="F174" s="166">
        <f>IF(分析!F147&lt;&gt;"",分析!F147,"")</f>
        <v>5250</v>
      </c>
      <c r="G174" s="166">
        <f>IF(分析!H147&lt;&gt;"",分析!H147,"")</f>
        <v>5311</v>
      </c>
      <c r="H174" s="166">
        <f>IF(分析!I147&lt;&gt;"",分析!I147,"")</f>
        <v>5158</v>
      </c>
      <c r="I174" s="166">
        <f>IF(分析!J147&lt;&gt;"",分析!J147,"")</f>
        <v>1008700</v>
      </c>
      <c r="J174" s="166">
        <f>IF(分析!AB147&lt;&gt;"",分析!AB147,"")</f>
        <v>1332.9429735234212</v>
      </c>
      <c r="K174" s="166">
        <f>IF(分析!AC147&lt;&gt;"",分析!AC147,"")</f>
        <v>1477.9570917759233</v>
      </c>
      <c r="L174" s="166">
        <f>IF(分析!K147&lt;&gt;"",分析!K147,"")</f>
        <v>9317</v>
      </c>
      <c r="M174" s="161" t="str">
        <f>IF(分析!P147&lt;&gt;"",分析!P147,"")</f>
        <v>減少↓</v>
      </c>
      <c r="N174" s="167">
        <f>IF(分析!O147&lt;&gt;"",分析!O147,"")</f>
        <v>0.42471578947368421</v>
      </c>
      <c r="O174" s="168">
        <f>IF(分析!X147&lt;&gt;"",分析!X147,"")</f>
        <v>-77.40856714124584</v>
      </c>
      <c r="P174" s="169">
        <f>IF(分析!L147&lt;&gt;"",分析!L147,"")</f>
        <v>-44.606633036385105</v>
      </c>
      <c r="Q174" s="166">
        <f>IF(分析!S147&lt;&gt;"",分析!S147,"")</f>
        <v>4955</v>
      </c>
      <c r="R174" s="166">
        <f>IF(分析!R147&lt;&gt;"",分析!R147,"")</f>
        <v>5574</v>
      </c>
      <c r="S174" s="161" t="str">
        <f>IF(分析!AA147&lt;&gt;"",分析!AA147,"")</f>
        <v>下落▼</v>
      </c>
      <c r="T174" s="170">
        <f>IF(分析!Z147&lt;&gt;"",分析!Z147,"")</f>
        <v>-1.5827612509534708</v>
      </c>
      <c r="U174" s="161" t="str">
        <f>IF(分析!V147&lt;&gt;"",分析!V147,"")</f>
        <v>通常</v>
      </c>
      <c r="V174" s="171">
        <f>IF(分析!W147&lt;&gt;"",分析!W147,"")</f>
        <v>54.199772985244039</v>
      </c>
      <c r="W174" s="172" t="str">
        <f>IF(分析!AD147&lt;&gt;"",分析!AD147,"")</f>
        <v>上昇トレンド▲</v>
      </c>
      <c r="X174" s="173" t="str">
        <f>IF(分析!AE147&lt;&gt;"",分析!AE147,"")</f>
        <v>なし</v>
      </c>
      <c r="Y174" s="174">
        <f>IF(分析!T147&lt;&gt;"",分析!T147,"")</f>
        <v>1</v>
      </c>
      <c r="Z174" s="160" t="str">
        <f>IF(分析!Y147&lt;&gt;"",分析!Y147,"")</f>
        <v>見送り</v>
      </c>
    </row>
    <row r="175" spans="1:26" ht="21.95" customHeight="1">
      <c r="A175" s="146">
        <f>IF(分析!C24&lt;&gt;"",ROW()-2,"")</f>
        <v>173</v>
      </c>
      <c r="B175" s="147" t="str">
        <f>IF(分析!C24&lt;&gt;"",HYPERLINK("https://kabutan.jp/stock/?code="&amp;分析!C24,"株探"),"")</f>
        <v>株探</v>
      </c>
      <c r="C175" s="148">
        <f>IF(分析!C24&lt;&gt;"",分析!C24,"")</f>
        <v>6479</v>
      </c>
      <c r="D175" s="149" t="str">
        <f>IF(分析!D24&lt;&gt;"",分析!D24,"")</f>
        <v>ミネベアミツミ</v>
      </c>
      <c r="E175" s="150">
        <f>IF(分析!E24&lt;&gt;"",分析!E24,"")</f>
        <v>4718</v>
      </c>
      <c r="F175" s="151">
        <f>IF(分析!F24&lt;&gt;"",分析!F24,"")</f>
        <v>4618</v>
      </c>
      <c r="G175" s="151">
        <f>IF(分析!H24&lt;&gt;"",分析!H24,"")</f>
        <v>4720</v>
      </c>
      <c r="H175" s="151">
        <f>IF(分析!I24&lt;&gt;"",分析!I24,"")</f>
        <v>4553</v>
      </c>
      <c r="I175" s="151">
        <f>IF(分析!J24&lt;&gt;"",分析!J24,"")</f>
        <v>3190800</v>
      </c>
      <c r="J175" s="151">
        <f>IF(分析!AB24&lt;&gt;"",分析!AB24,"")</f>
        <v>6231.7077393075324</v>
      </c>
      <c r="K175" s="151">
        <f>IF(分析!AC24&lt;&gt;"",分析!AC24,"")</f>
        <v>6155.030989272942</v>
      </c>
      <c r="L175" s="151">
        <f>IF(分析!K24&lt;&gt;"",分析!K24,"")</f>
        <v>5088</v>
      </c>
      <c r="M175" s="146" t="str">
        <f>IF(分析!P24&lt;&gt;"",分析!P24,"")</f>
        <v>減少↓</v>
      </c>
      <c r="N175" s="152">
        <f>IF(分析!O24&lt;&gt;"",分析!O24,"")</f>
        <v>0.85886399974159788</v>
      </c>
      <c r="O175" s="153">
        <f>IF(分析!X24&lt;&gt;"",分析!X24,"")</f>
        <v>92.931185046909377</v>
      </c>
      <c r="P175" s="154">
        <f>IF(分析!L24&lt;&gt;"",分析!L24,"")</f>
        <v>-7.2720125786163523</v>
      </c>
      <c r="Q175" s="151">
        <f>IF(分析!S24&lt;&gt;"",分析!S24,"")</f>
        <v>4529</v>
      </c>
      <c r="R175" s="151">
        <f>IF(分析!R24&lt;&gt;"",分析!R24,"")</f>
        <v>5095</v>
      </c>
      <c r="S175" s="146" t="str">
        <f>IF(分析!AA24&lt;&gt;"",分析!AA24,"")</f>
        <v>上昇▲</v>
      </c>
      <c r="T175" s="155">
        <f>IF(分析!Z24&lt;&gt;"",分析!Z24,"")</f>
        <v>2.1654395842355996</v>
      </c>
      <c r="U175" s="146" t="str">
        <f>IF(分析!V24&lt;&gt;"",分析!V24,"")</f>
        <v>通常</v>
      </c>
      <c r="V175" s="156">
        <f>IF(分析!W24&lt;&gt;"",分析!W24,"")</f>
        <v>59.870711089010442</v>
      </c>
      <c r="W175" s="157" t="str">
        <f>IF(分析!AD24&lt;&gt;"",分析!AD24,"")</f>
        <v>もみ合い→</v>
      </c>
      <c r="X175" s="158" t="str">
        <f>IF(分析!AE24&lt;&gt;"",分析!AE24,"")</f>
        <v>なし</v>
      </c>
      <c r="Y175" s="159">
        <f>IF(分析!T24&lt;&gt;"",分析!T24,"")</f>
        <v>6</v>
      </c>
      <c r="Z175" s="160" t="str">
        <f>IF(分析!Y24&lt;&gt;"",分析!Y24,"")</f>
        <v>△注目</v>
      </c>
    </row>
    <row r="176" spans="1:26" ht="21.95" customHeight="1">
      <c r="A176" s="146">
        <f>IF(分析!C126&lt;&gt;"",ROW()-2,"")</f>
        <v>174</v>
      </c>
      <c r="B176" s="147" t="str">
        <f>IF(分析!C126&lt;&gt;"",HYPERLINK("https://kabutan.jp/stock/?code="&amp;分析!C126,"株探"),"")</f>
        <v>株探</v>
      </c>
      <c r="C176" s="148">
        <f>IF(分析!C126&lt;&gt;"",分析!C126,"")</f>
        <v>6501</v>
      </c>
      <c r="D176" s="149" t="str">
        <f>IF(分析!D126&lt;&gt;"",分析!D126,"")</f>
        <v>日立</v>
      </c>
      <c r="E176" s="150">
        <f>IF(分析!E126&lt;&gt;"",分析!E126,"")</f>
        <v>4701</v>
      </c>
      <c r="F176" s="151">
        <f>IF(分析!F126&lt;&gt;"",分析!F126,"")</f>
        <v>4692</v>
      </c>
      <c r="G176" s="151">
        <f>IF(分析!H126&lt;&gt;"",分析!H126,"")</f>
        <v>4736</v>
      </c>
      <c r="H176" s="151">
        <f>IF(分析!I126&lt;&gt;"",分析!I126,"")</f>
        <v>4670</v>
      </c>
      <c r="I176" s="151">
        <f>IF(分析!J126&lt;&gt;"",分析!J126,"")</f>
        <v>11385900</v>
      </c>
      <c r="J176" s="151">
        <f>IF(分析!AB126&lt;&gt;"",分析!AB126,"")</f>
        <v>2050.048879837067</v>
      </c>
      <c r="K176" s="151">
        <f>IF(分析!AC126&lt;&gt;"",分析!AC126,"")</f>
        <v>2027.0548271752077</v>
      </c>
      <c r="L176" s="151">
        <f>IF(分析!K126&lt;&gt;"",分析!K126,"")</f>
        <v>6039</v>
      </c>
      <c r="M176" s="146" t="str">
        <f>IF(分析!P126&lt;&gt;"",分析!P126,"")</f>
        <v>減少↓</v>
      </c>
      <c r="N176" s="152">
        <f>IF(分析!O126&lt;&gt;"",分析!O126,"")</f>
        <v>0.79139205876342689</v>
      </c>
      <c r="O176" s="153">
        <f>IF(分析!X126&lt;&gt;"",分析!X126,"")</f>
        <v>-23.331775719531834</v>
      </c>
      <c r="P176" s="154">
        <f>IF(分析!L126&lt;&gt;"",分析!L126,"")</f>
        <v>-22.15598609041232</v>
      </c>
      <c r="Q176" s="151">
        <f>IF(分析!S126&lt;&gt;"",分析!S126,"")</f>
        <v>4513</v>
      </c>
      <c r="R176" s="151">
        <f>IF(分析!R126&lt;&gt;"",分析!R126,"")</f>
        <v>5077</v>
      </c>
      <c r="S176" s="146" t="str">
        <f>IF(分析!AA126&lt;&gt;"",分析!AA126,"")</f>
        <v>下落▼</v>
      </c>
      <c r="T176" s="155">
        <f>IF(分析!Z126&lt;&gt;"",分析!Z126,"")</f>
        <v>-0.96903307352011803</v>
      </c>
      <c r="U176" s="146" t="str">
        <f>IF(分析!V126&lt;&gt;"",分析!V126,"")</f>
        <v>通常</v>
      </c>
      <c r="V176" s="156">
        <f>IF(分析!W126&lt;&gt;"",分析!W126,"")</f>
        <v>39.947609692206939</v>
      </c>
      <c r="W176" s="157" t="str">
        <f>IF(分析!AD126&lt;&gt;"",分析!AD126,"")</f>
        <v>パーフェクト▲</v>
      </c>
      <c r="X176" s="158" t="str">
        <f>IF(分析!AE126&lt;&gt;"",分析!AE126,"")</f>
        <v>なし</v>
      </c>
      <c r="Y176" s="159">
        <f>IF(分析!T126&lt;&gt;"",分析!T126,"")</f>
        <v>4</v>
      </c>
      <c r="Z176" s="160" t="str">
        <f>IF(分析!Y126&lt;&gt;"",分析!Y126,"")</f>
        <v>様子見</v>
      </c>
    </row>
    <row r="177" spans="1:26" ht="21.95" customHeight="1">
      <c r="A177" s="146">
        <f>IF(分析!C20&lt;&gt;"",ROW()-2,"")</f>
        <v>175</v>
      </c>
      <c r="B177" s="147" t="str">
        <f>IF(分析!C20&lt;&gt;"",HYPERLINK("https://kabutan.jp/stock/?code="&amp;分析!C20,"株探"),"")</f>
        <v>株探</v>
      </c>
      <c r="C177" s="148">
        <f>IF(分析!C20&lt;&gt;"",分析!C20,"")</f>
        <v>6506</v>
      </c>
      <c r="D177" s="149" t="str">
        <f>IF(分析!D20&lt;&gt;"",分析!D20,"")</f>
        <v>安川電機</v>
      </c>
      <c r="E177" s="150">
        <f>IF(分析!E20&lt;&gt;"",分析!E20,"")</f>
        <v>7046</v>
      </c>
      <c r="F177" s="151">
        <f>IF(分析!F20&lt;&gt;"",分析!F20,"")</f>
        <v>6745</v>
      </c>
      <c r="G177" s="151">
        <f>IF(分析!H20&lt;&gt;"",分析!H20,"")</f>
        <v>7060</v>
      </c>
      <c r="H177" s="151">
        <f>IF(分析!I20&lt;&gt;"",分析!I20,"")</f>
        <v>6718</v>
      </c>
      <c r="I177" s="151">
        <f>IF(分析!J20&lt;&gt;"",分析!J20,"")</f>
        <v>3737200</v>
      </c>
      <c r="J177" s="151">
        <f>IF(分析!AB20&lt;&gt;"",分析!AB20,"")</f>
        <v>4552.6079429735237</v>
      </c>
      <c r="K177" s="151">
        <f>IF(分析!AC20&lt;&gt;"",分析!AC20,"")</f>
        <v>4418.7902264600698</v>
      </c>
      <c r="L177" s="151">
        <f>IF(分析!K20&lt;&gt;"",分析!K20,"")</f>
        <v>7700</v>
      </c>
      <c r="M177" s="146" t="str">
        <f>IF(分析!P20&lt;&gt;"",分析!P20,"")</f>
        <v>減少↓</v>
      </c>
      <c r="N177" s="152">
        <f>IF(分析!O20&lt;&gt;"",分析!O20,"")</f>
        <v>0.78326004853982323</v>
      </c>
      <c r="O177" s="153">
        <f>IF(分析!X20&lt;&gt;"",分析!X20,"")</f>
        <v>-42.447333017560595</v>
      </c>
      <c r="P177" s="154">
        <f>IF(分析!L20&lt;&gt;"",分析!L20,"")</f>
        <v>-8.4935064935064926</v>
      </c>
      <c r="Q177" s="151">
        <f>IF(分析!S20&lt;&gt;"",分析!S20,"")</f>
        <v>6764</v>
      </c>
      <c r="R177" s="151">
        <f>IF(分析!R20&lt;&gt;"",分析!R20,"")</f>
        <v>7610</v>
      </c>
      <c r="S177" s="146" t="str">
        <f>IF(分析!AA20&lt;&gt;"",分析!AA20,"")</f>
        <v>上昇▲</v>
      </c>
      <c r="T177" s="155">
        <f>IF(分析!Z20&lt;&gt;"",分析!Z20,"")</f>
        <v>2.9364499634769907</v>
      </c>
      <c r="U177" s="146" t="str">
        <f>IF(分析!V20&lt;&gt;"",分析!V20,"")</f>
        <v>通常</v>
      </c>
      <c r="V177" s="156">
        <f>IF(分析!W20&lt;&gt;"",分析!W20,"")</f>
        <v>41.196013289036543</v>
      </c>
      <c r="W177" s="157" t="str">
        <f>IF(分析!AD20&lt;&gt;"",分析!AD20,"")</f>
        <v>パーフェクト▲</v>
      </c>
      <c r="X177" s="158" t="str">
        <f>IF(分析!AE20&lt;&gt;"",分析!AE20,"")</f>
        <v>なし</v>
      </c>
      <c r="Y177" s="159">
        <f>IF(分析!T20&lt;&gt;"",分析!T20,"")</f>
        <v>4</v>
      </c>
      <c r="Z177" s="160" t="str">
        <f>IF(分析!Y20&lt;&gt;"",分析!Y20,"")</f>
        <v>様子見</v>
      </c>
    </row>
    <row r="178" spans="1:26" ht="21.95" customHeight="1">
      <c r="A178" s="161">
        <f>IF(分析!C29&lt;&gt;"",ROW()-2,"")</f>
        <v>176</v>
      </c>
      <c r="B178" s="162" t="str">
        <f>IF(分析!C29&lt;&gt;"",HYPERLINK("https://kabutan.jp/stock/?code="&amp;分析!C29,"株探"),"")</f>
        <v>株探</v>
      </c>
      <c r="C178" s="163">
        <f>IF(分析!C29&lt;&gt;"",分析!C29,"")</f>
        <v>6516</v>
      </c>
      <c r="D178" s="164" t="str">
        <f>IF(分析!D29&lt;&gt;"",分析!D29,"")</f>
        <v>山洋電気</v>
      </c>
      <c r="E178" s="165">
        <f>IF(分析!E29&lt;&gt;"",分析!E29,"")</f>
        <v>6780</v>
      </c>
      <c r="F178" s="166">
        <f>IF(分析!F29&lt;&gt;"",分析!F29,"")</f>
        <v>6450</v>
      </c>
      <c r="G178" s="166">
        <f>IF(分析!H29&lt;&gt;"",分析!H29,"")</f>
        <v>6810</v>
      </c>
      <c r="H178" s="166">
        <f>IF(分析!I29&lt;&gt;"",分析!I29,"")</f>
        <v>6430</v>
      </c>
      <c r="I178" s="166">
        <f>IF(分析!J29&lt;&gt;"",分析!J29,"")</f>
        <v>107700</v>
      </c>
      <c r="J178" s="166">
        <f>IF(分析!AB29&lt;&gt;"",分析!AB29,"")</f>
        <v>5954.7942973523404</v>
      </c>
      <c r="K178" s="166">
        <f>IF(分析!AC29&lt;&gt;"",分析!AC29,"")</f>
        <v>5770.1287246722268</v>
      </c>
      <c r="L178" s="166">
        <f>IF(分析!K29&lt;&gt;"",分析!K29,"")</f>
        <v>7880</v>
      </c>
      <c r="M178" s="161" t="str">
        <f>IF(分析!P29&lt;&gt;"",分析!P29,"")</f>
        <v>減少↓</v>
      </c>
      <c r="N178" s="167">
        <f>IF(分析!O29&lt;&gt;"",分析!O29,"")</f>
        <v>0.94159818150026231</v>
      </c>
      <c r="O178" s="168">
        <f>IF(分析!X29&lt;&gt;"",分析!X29,"")</f>
        <v>-86.109202790966265</v>
      </c>
      <c r="P178" s="169">
        <f>IF(分析!L29&lt;&gt;"",分析!L29,"")</f>
        <v>-13.959390862944163</v>
      </c>
      <c r="Q178" s="166">
        <f>IF(分析!S29&lt;&gt;"",分析!S29,"")</f>
        <v>6509</v>
      </c>
      <c r="R178" s="166">
        <f>IF(分析!R29&lt;&gt;"",分析!R29,"")</f>
        <v>7322</v>
      </c>
      <c r="S178" s="161" t="str">
        <f>IF(分析!AA29&lt;&gt;"",分析!AA29,"")</f>
        <v>上昇▲</v>
      </c>
      <c r="T178" s="170">
        <f>IF(分析!Z29&lt;&gt;"",分析!Z29,"")</f>
        <v>3.0395136778115504</v>
      </c>
      <c r="U178" s="161" t="str">
        <f>IF(分析!V29&lt;&gt;"",分析!V29,"")</f>
        <v>通常</v>
      </c>
      <c r="V178" s="171">
        <f>IF(分析!W29&lt;&gt;"",分析!W29,"")</f>
        <v>38.048780487804876</v>
      </c>
      <c r="W178" s="172" t="str">
        <f>IF(分析!AD29&lt;&gt;"",分析!AD29,"")</f>
        <v>パーフェクト▲</v>
      </c>
      <c r="X178" s="173" t="str">
        <f>IF(分析!AE29&lt;&gt;"",分析!AE29,"")</f>
        <v>なし</v>
      </c>
      <c r="Y178" s="174">
        <f>IF(分析!T29&lt;&gt;"",分析!T29,"")</f>
        <v>4</v>
      </c>
      <c r="Z178" s="160" t="str">
        <f>IF(分析!Y29&lt;&gt;"",分析!Y29,"")</f>
        <v>様子見</v>
      </c>
    </row>
    <row r="179" spans="1:26" ht="21.95" customHeight="1">
      <c r="A179" s="132" t="str">
        <f>"◆"</f>
        <v>◆</v>
      </c>
      <c r="B179" s="133" t="str">
        <f>IF(分析!C3&lt;&gt;"",HYPERLINK("https://kabutan.jp/stock/?code="&amp;分析!C3,"株探"),"")</f>
        <v>株探</v>
      </c>
      <c r="C179" s="134">
        <f>IF(分析!C3&lt;&gt;"",分析!C3,"")</f>
        <v>6613</v>
      </c>
      <c r="D179" s="135" t="str">
        <f>IF(分析!D3&lt;&gt;"",分析!D3,"")</f>
        <v>ＱＤレーザ</v>
      </c>
      <c r="E179" s="136">
        <f>IF(分析!E3&lt;&gt;"",分析!E3,"")</f>
        <v>2377</v>
      </c>
      <c r="F179" s="136">
        <f>IF(分析!F3&lt;&gt;"",分析!F3,"")</f>
        <v>2520</v>
      </c>
      <c r="G179" s="136">
        <f>IF(分析!H3&lt;&gt;"",分析!H3,"")</f>
        <v>2530</v>
      </c>
      <c r="H179" s="136">
        <f>IF(分析!I3&lt;&gt;"",分析!I3,"")</f>
        <v>2335</v>
      </c>
      <c r="I179" s="136">
        <f>IF(分析!J3&lt;&gt;"",分析!J3,"")</f>
        <v>4464000</v>
      </c>
      <c r="J179" s="136">
        <f>IF(分析!AB3&lt;&gt;"",分析!AB3,"")</f>
        <v>3947.5531975560075</v>
      </c>
      <c r="K179" s="136">
        <f>IF(分析!AC3&lt;&gt;"",分析!AC3,"")</f>
        <v>3761.5278903456492</v>
      </c>
      <c r="L179" s="136">
        <f>IF(分析!K3&lt;&gt;"",分析!K3,"")</f>
        <v>3620</v>
      </c>
      <c r="M179" s="137" t="str">
        <f>IF(分析!P3&lt;&gt;"",分析!P3,"")</f>
        <v>減少↓</v>
      </c>
      <c r="N179" s="138">
        <f>IF(分析!O3&lt;&gt;"",分析!O3,"")</f>
        <v>0.88424405452838339</v>
      </c>
      <c r="O179" s="139">
        <f>IF(分析!X3&lt;&gt;"",分析!X3,"")</f>
        <v>2.3930719354884786</v>
      </c>
      <c r="P179" s="140">
        <f>IF(分析!L3&lt;&gt;"",分析!L3,"")</f>
        <v>-34.337016574585633</v>
      </c>
      <c r="Q179" s="136">
        <f>IF(分析!S3&lt;&gt;"",分析!S3,"")</f>
        <v>2282</v>
      </c>
      <c r="R179" s="136">
        <f>IF(分析!R3&lt;&gt;"",分析!R3,"")</f>
        <v>2567</v>
      </c>
      <c r="S179" s="137" t="str">
        <f>IF(分析!AA3&lt;&gt;"",分析!AA3,"")</f>
        <v>下落▼</v>
      </c>
      <c r="T179" s="141">
        <f>IF(分析!Z3&lt;&gt;"",分析!Z3,"")</f>
        <v>-9.2748091603053435</v>
      </c>
      <c r="U179" s="137" t="str">
        <f>IF(分析!V3&lt;&gt;"",分析!V3,"")</f>
        <v>通常</v>
      </c>
      <c r="V179" s="142">
        <f>IF(分析!W3&lt;&gt;"",分析!W3,"")</f>
        <v>39.352262644188102</v>
      </c>
      <c r="W179" s="137" t="str">
        <f>IF(分析!AD3&lt;&gt;"",分析!AD3,"")</f>
        <v>もみ合い→</v>
      </c>
      <c r="X179" s="143" t="str">
        <f>IF(分析!AE3&lt;&gt;"",分析!AE3,"")</f>
        <v>なし</v>
      </c>
      <c r="Y179" s="144">
        <f>IF(分析!T3&lt;&gt;"",分析!T3,"")</f>
        <v>6</v>
      </c>
      <c r="Z179" s="145" t="str">
        <f>IF(分析!Y3&lt;&gt;"",分析!Y3,"")</f>
        <v>△注目</v>
      </c>
    </row>
    <row r="180" spans="1:26" ht="21.95" customHeight="1">
      <c r="A180" s="146">
        <f>IF(分析!C106&lt;&gt;"",ROW()-2,"")</f>
        <v>178</v>
      </c>
      <c r="B180" s="147" t="str">
        <f>IF(分析!C106&lt;&gt;"",HYPERLINK("https://kabutan.jp/stock/?code="&amp;分析!C106,"株探"),"")</f>
        <v>株探</v>
      </c>
      <c r="C180" s="148">
        <f>IF(分析!C106&lt;&gt;"",分析!C106,"")</f>
        <v>6744</v>
      </c>
      <c r="D180" s="149" t="str">
        <f>IF(分析!D106&lt;&gt;"",分析!D106,"")</f>
        <v>能美防災</v>
      </c>
      <c r="E180" s="150">
        <f>IF(分析!E106&lt;&gt;"",分析!E106,"")</f>
        <v>4175</v>
      </c>
      <c r="F180" s="151">
        <f>IF(分析!F106&lt;&gt;"",分析!F106,"")</f>
        <v>4200</v>
      </c>
      <c r="G180" s="151">
        <f>IF(分析!H106&lt;&gt;"",分析!H106,"")</f>
        <v>4230</v>
      </c>
      <c r="H180" s="151">
        <f>IF(分析!I106&lt;&gt;"",分析!I106,"")</f>
        <v>4155</v>
      </c>
      <c r="I180" s="151">
        <f>IF(分析!J106&lt;&gt;"",分析!J106,"")</f>
        <v>65600</v>
      </c>
      <c r="J180" s="151">
        <f>IF(分析!AB106&lt;&gt;"",分析!AB106,"")</f>
        <v>4250.8054989816692</v>
      </c>
      <c r="K180" s="151">
        <f>IF(分析!AC106&lt;&gt;"",分析!AC106,"")</f>
        <v>4230.9809296781868</v>
      </c>
      <c r="L180" s="151">
        <f>IF(分析!K106&lt;&gt;"",分析!K106,"")</f>
        <v>5020</v>
      </c>
      <c r="M180" s="146" t="str">
        <f>IF(分析!P106&lt;&gt;"",分析!P106,"")</f>
        <v>減少↓</v>
      </c>
      <c r="N180" s="152">
        <f>IF(分析!O106&lt;&gt;"",分析!O106,"")</f>
        <v>0.94144661308840416</v>
      </c>
      <c r="O180" s="153">
        <f>IF(分析!X106&lt;&gt;"",分析!X106,"")</f>
        <v>-59.164371375461997</v>
      </c>
      <c r="P180" s="154">
        <f>IF(分析!L106&lt;&gt;"",分析!L106,"")</f>
        <v>-16.832669322709162</v>
      </c>
      <c r="Q180" s="151">
        <f>IF(分析!S106&lt;&gt;"",分析!S106,"")</f>
        <v>4008</v>
      </c>
      <c r="R180" s="151">
        <f>IF(分析!R106&lt;&gt;"",分析!R106,"")</f>
        <v>4509</v>
      </c>
      <c r="S180" s="146" t="str">
        <f>IF(分析!AA106&lt;&gt;"",分析!AA106,"")</f>
        <v>下落▼</v>
      </c>
      <c r="T180" s="155">
        <f>IF(分析!Z106&lt;&gt;"",分析!Z106,"")</f>
        <v>-0.23894862604540024</v>
      </c>
      <c r="U180" s="146" t="str">
        <f>IF(分析!V106&lt;&gt;"",分析!V106,"")</f>
        <v>通常</v>
      </c>
      <c r="V180" s="156">
        <f>IF(分析!W106&lt;&gt;"",分析!W106,"")</f>
        <v>23.039215686274503</v>
      </c>
      <c r="W180" s="157" t="str">
        <f>IF(分析!AD106&lt;&gt;"",分析!AD106,"")</f>
        <v>もみ合い→</v>
      </c>
      <c r="X180" s="158" t="str">
        <f>IF(分析!AE106&lt;&gt;"",分析!AE106,"")</f>
        <v>なし</v>
      </c>
      <c r="Y180" s="159">
        <f>IF(分析!T106&lt;&gt;"",分析!T106,"")</f>
        <v>1</v>
      </c>
      <c r="Z180" s="160" t="str">
        <f>IF(分析!Y106&lt;&gt;"",分析!Y106,"")</f>
        <v>見送り</v>
      </c>
    </row>
    <row r="181" spans="1:26" ht="21.95" customHeight="1">
      <c r="A181" s="146">
        <f>IF(分析!C162&lt;&gt;"",ROW()-2,"")</f>
        <v>179</v>
      </c>
      <c r="B181" s="147" t="str">
        <f>IF(分析!C162&lt;&gt;"",HYPERLINK("https://kabutan.jp/stock/?code="&amp;分析!C162,"株探"),"")</f>
        <v>株探</v>
      </c>
      <c r="C181" s="148">
        <f>IF(分析!C162&lt;&gt;"",分析!C162,"")</f>
        <v>6753</v>
      </c>
      <c r="D181" s="149" t="str">
        <f>IF(分析!D162&lt;&gt;"",分析!D162,"")</f>
        <v>シャープ</v>
      </c>
      <c r="E181" s="150">
        <f>IF(分析!E162&lt;&gt;"",分析!E162,"")</f>
        <v>594.4</v>
      </c>
      <c r="F181" s="151">
        <f>IF(分析!F162&lt;&gt;"",分析!F162,"")</f>
        <v>594</v>
      </c>
      <c r="G181" s="151">
        <f>IF(分析!H162&lt;&gt;"",分析!H162,"")</f>
        <v>601</v>
      </c>
      <c r="H181" s="151">
        <f>IF(分析!I162&lt;&gt;"",分析!I162,"")</f>
        <v>589</v>
      </c>
      <c r="I181" s="151">
        <f>IF(分析!J162&lt;&gt;"",分析!J162,"")</f>
        <v>2353100</v>
      </c>
      <c r="J181" s="151">
        <f>IF(分析!AB162&lt;&gt;"",分析!AB162,"")</f>
        <v>1144.2769857433807</v>
      </c>
      <c r="K181" s="151">
        <f>IF(分析!AC162&lt;&gt;"",分析!AC162,"")</f>
        <v>1149.7890345649578</v>
      </c>
      <c r="L181" s="151">
        <f>IF(分析!K162&lt;&gt;"",分析!K162,"")</f>
        <v>830.5</v>
      </c>
      <c r="M181" s="146" t="str">
        <f>IF(分析!P162&lt;&gt;"",分析!P162,"")</f>
        <v>減少↓</v>
      </c>
      <c r="N181" s="152">
        <f>IF(分析!O162&lt;&gt;"",分析!O162,"")</f>
        <v>0.72723957399726791</v>
      </c>
      <c r="O181" s="153">
        <f>IF(分析!X162&lt;&gt;"",分析!X162,"")</f>
        <v>1.1685373289975587</v>
      </c>
      <c r="P181" s="154">
        <f>IF(分析!L162&lt;&gt;"",分析!L162,"")</f>
        <v>-28.428657435279952</v>
      </c>
      <c r="Q181" s="151">
        <f>IF(分析!S162&lt;&gt;"",分析!S162,"")</f>
        <v>571</v>
      </c>
      <c r="R181" s="151">
        <f>IF(分析!R162&lt;&gt;"",分析!R162,"")</f>
        <v>642</v>
      </c>
      <c r="S181" s="146" t="str">
        <f>IF(分析!AA162&lt;&gt;"",分析!AA162,"")</f>
        <v>上昇▲</v>
      </c>
      <c r="T181" s="155">
        <f>IF(分析!Z162&lt;&gt;"",分析!Z162,"")</f>
        <v>0.10104412260020593</v>
      </c>
      <c r="U181" s="146" t="str">
        <f>IF(分析!V162&lt;&gt;"",分析!V162,"")</f>
        <v>通常</v>
      </c>
      <c r="V181" s="156">
        <f>IF(分析!W162&lt;&gt;"",分析!W162,"")</f>
        <v>36.66666666666665</v>
      </c>
      <c r="W181" s="157" t="str">
        <f>IF(分析!AD162&lt;&gt;"",分析!AD162,"")</f>
        <v>下降トレンド▼</v>
      </c>
      <c r="X181" s="158" t="str">
        <f>IF(分析!AE162&lt;&gt;"",分析!AE162,"")</f>
        <v>なし</v>
      </c>
      <c r="Y181" s="159">
        <f>IF(分析!T162&lt;&gt;"",分析!T162,"")</f>
        <v>5</v>
      </c>
      <c r="Z181" s="160" t="str">
        <f>IF(分析!Y162&lt;&gt;"",分析!Y162,"")</f>
        <v>様子見</v>
      </c>
    </row>
    <row r="182" spans="1:26" ht="21.95" customHeight="1">
      <c r="A182" s="161">
        <f>IF(分析!C31&lt;&gt;"",ROW()-2,"")</f>
        <v>180</v>
      </c>
      <c r="B182" s="162" t="str">
        <f>IF(分析!C31&lt;&gt;"",HYPERLINK("https://kabutan.jp/stock/?code="&amp;分析!C31,"株探"),"")</f>
        <v>株探</v>
      </c>
      <c r="C182" s="163">
        <f>IF(分析!C31&lt;&gt;"",分析!C31,"")</f>
        <v>6754</v>
      </c>
      <c r="D182" s="164" t="str">
        <f>IF(分析!D31&lt;&gt;"",分析!D31,"")</f>
        <v>アンリツ</v>
      </c>
      <c r="E182" s="165">
        <f>IF(分析!E31&lt;&gt;"",分析!E31,"")</f>
        <v>4122</v>
      </c>
      <c r="F182" s="166">
        <f>IF(分析!F31&lt;&gt;"",分析!F31,"")</f>
        <v>4001</v>
      </c>
      <c r="G182" s="166">
        <f>IF(分析!H31&lt;&gt;"",分析!H31,"")</f>
        <v>4123</v>
      </c>
      <c r="H182" s="166">
        <f>IF(分析!I31&lt;&gt;"",分析!I31,"")</f>
        <v>3968</v>
      </c>
      <c r="I182" s="166">
        <f>IF(分析!J31&lt;&gt;"",分析!J31,"")</f>
        <v>1091000</v>
      </c>
      <c r="J182" s="166">
        <f>IF(分析!AB31&lt;&gt;"",分析!AB31,"")</f>
        <v>1582.1227087576369</v>
      </c>
      <c r="K182" s="166">
        <f>IF(分析!AC31&lt;&gt;"",分析!AC31,"")</f>
        <v>1531.5125148986888</v>
      </c>
      <c r="L182" s="166">
        <f>IF(分析!K31&lt;&gt;"",分析!K31,"")</f>
        <v>4855</v>
      </c>
      <c r="M182" s="161" t="str">
        <f>IF(分析!P31&lt;&gt;"",分析!P31,"")</f>
        <v>減少↓</v>
      </c>
      <c r="N182" s="167">
        <f>IF(分析!O31&lt;&gt;"",分析!O31,"")</f>
        <v>0.55883949883724504</v>
      </c>
      <c r="O182" s="168">
        <f>IF(分析!X31&lt;&gt;"",分析!X31,"")</f>
        <v>-46.1278981368323</v>
      </c>
      <c r="P182" s="169">
        <f>IF(分析!L31&lt;&gt;"",分析!L31,"")</f>
        <v>-15.097837281153451</v>
      </c>
      <c r="Q182" s="166">
        <f>IF(分析!S31&lt;&gt;"",分析!S31,"")</f>
        <v>3957</v>
      </c>
      <c r="R182" s="166">
        <f>IF(分析!R31&lt;&gt;"",分析!R31,"")</f>
        <v>4452</v>
      </c>
      <c r="S182" s="161" t="str">
        <f>IF(分析!AA31&lt;&gt;"",分析!AA31,"")</f>
        <v>上昇▲</v>
      </c>
      <c r="T182" s="170">
        <f>IF(分析!Z31&lt;&gt;"",分析!Z31,"")</f>
        <v>0.634765625</v>
      </c>
      <c r="U182" s="161" t="str">
        <f>IF(分析!V31&lt;&gt;"",分析!V31,"")</f>
        <v>通常</v>
      </c>
      <c r="V182" s="171">
        <f>IF(分析!W31&lt;&gt;"",分析!W31,"")</f>
        <v>34.857142857142861</v>
      </c>
      <c r="W182" s="172" t="str">
        <f>IF(分析!AD31&lt;&gt;"",分析!AD31,"")</f>
        <v>パーフェクト▲</v>
      </c>
      <c r="X182" s="173" t="str">
        <f>IF(分析!AE31&lt;&gt;"",分析!AE31,"")</f>
        <v>なし</v>
      </c>
      <c r="Y182" s="174">
        <f>IF(分析!T31&lt;&gt;"",分析!T31,"")</f>
        <v>4</v>
      </c>
      <c r="Z182" s="160" t="str">
        <f>IF(分析!Y31&lt;&gt;"",分析!Y31,"")</f>
        <v>様子見</v>
      </c>
    </row>
    <row r="183" spans="1:26" ht="21.95" customHeight="1">
      <c r="A183" s="146">
        <f>IF(分析!C10&lt;&gt;"",ROW()-2,"")</f>
        <v>181</v>
      </c>
      <c r="B183" s="147" t="str">
        <f>IF(分析!C10&lt;&gt;"",HYPERLINK("https://kabutan.jp/stock/?code="&amp;分析!C10,"株探"),"")</f>
        <v>株探</v>
      </c>
      <c r="C183" s="148">
        <f>IF(分析!C10&lt;&gt;"",分析!C10,"")</f>
        <v>6787</v>
      </c>
      <c r="D183" s="149" t="str">
        <f>IF(分析!D10&lt;&gt;"",分析!D10,"")</f>
        <v>メイコー</v>
      </c>
      <c r="E183" s="150">
        <f>IF(分析!E10&lt;&gt;"",分析!E10,"")</f>
        <v>35750</v>
      </c>
      <c r="F183" s="151">
        <f>IF(分析!F10&lt;&gt;"",分析!F10,"")</f>
        <v>33850</v>
      </c>
      <c r="G183" s="151">
        <f>IF(分析!H10&lt;&gt;"",分析!H10,"")</f>
        <v>36600</v>
      </c>
      <c r="H183" s="151">
        <f>IF(分析!I10&lt;&gt;"",分析!I10,"")</f>
        <v>33600</v>
      </c>
      <c r="I183" s="151">
        <f>IF(分析!J10&lt;&gt;"",分析!J10,"")</f>
        <v>512700</v>
      </c>
      <c r="J183" s="151">
        <f>IF(分析!AB10&lt;&gt;"",分析!AB10,"")</f>
        <v>3477.0794297352336</v>
      </c>
      <c r="K183" s="151">
        <f>IF(分析!AC10&lt;&gt;"",分析!AC10,"")</f>
        <v>3625.0274135876025</v>
      </c>
      <c r="L183" s="151">
        <f>IF(分析!K10&lt;&gt;"",分析!K10,"")</f>
        <v>45300</v>
      </c>
      <c r="M183" s="146" t="str">
        <f>IF(分析!P10&lt;&gt;"",分析!P10,"")</f>
        <v>減少↓</v>
      </c>
      <c r="N183" s="152">
        <f>IF(分析!O10&lt;&gt;"",分析!O10,"")</f>
        <v>0.84043669267589005</v>
      </c>
      <c r="O183" s="153">
        <f>IF(分析!X10&lt;&gt;"",分析!X10,"")</f>
        <v>-696.2983454001951</v>
      </c>
      <c r="P183" s="154">
        <f>IF(分析!L10&lt;&gt;"",分析!L10,"")</f>
        <v>-21.081677704194259</v>
      </c>
      <c r="Q183" s="151">
        <f>IF(分析!S10&lt;&gt;"",分析!S10,"")</f>
        <v>34320</v>
      </c>
      <c r="R183" s="151">
        <f>IF(分析!R10&lt;&gt;"",分析!R10,"")</f>
        <v>38610</v>
      </c>
      <c r="S183" s="146" t="str">
        <f>IF(分析!AA10&lt;&gt;"",分析!AA10,"")</f>
        <v>上昇▲</v>
      </c>
      <c r="T183" s="155">
        <f>IF(分析!Z10&lt;&gt;"",分析!Z10,"")</f>
        <v>2.5824964131994261</v>
      </c>
      <c r="U183" s="146" t="str">
        <f>IF(分析!V10&lt;&gt;"",分析!V10,"")</f>
        <v>通常</v>
      </c>
      <c r="V183" s="156">
        <f>IF(分析!W10&lt;&gt;"",分析!W10,"")</f>
        <v>32.781168265039241</v>
      </c>
      <c r="W183" s="157" t="str">
        <f>IF(分析!AD10&lt;&gt;"",分析!AD10,"")</f>
        <v>上昇トレンド▲</v>
      </c>
      <c r="X183" s="158" t="str">
        <f>IF(分析!AE10&lt;&gt;"",分析!AE10,"")</f>
        <v>なし</v>
      </c>
      <c r="Y183" s="159">
        <f>IF(分析!T10&lt;&gt;"",分析!T10,"")</f>
        <v>3</v>
      </c>
      <c r="Z183" s="160" t="str">
        <f>IF(分析!Y10&lt;&gt;"",分析!Y10,"")</f>
        <v>様子見</v>
      </c>
    </row>
    <row r="184" spans="1:26" ht="21.95" customHeight="1">
      <c r="A184" s="146">
        <f>IF(分析!C16&lt;&gt;"",ROW()-2,"")</f>
        <v>182</v>
      </c>
      <c r="B184" s="147" t="str">
        <f>IF(分析!C16&lt;&gt;"",HYPERLINK("https://kabutan.jp/stock/?code="&amp;分析!C16,"株探"),"")</f>
        <v>株探</v>
      </c>
      <c r="C184" s="148">
        <f>IF(分析!C16&lt;&gt;"",分析!C16,"")</f>
        <v>6954</v>
      </c>
      <c r="D184" s="149" t="str">
        <f>IF(分析!D16&lt;&gt;"",分析!D16,"")</f>
        <v>ファナック</v>
      </c>
      <c r="E184" s="150">
        <f>IF(分析!E16&lt;&gt;"",分析!E16,"")</f>
        <v>7515</v>
      </c>
      <c r="F184" s="151">
        <f>IF(分析!F16&lt;&gt;"",分析!F16,"")</f>
        <v>7270</v>
      </c>
      <c r="G184" s="151">
        <f>IF(分析!H16&lt;&gt;"",分析!H16,"")</f>
        <v>7515</v>
      </c>
      <c r="H184" s="151">
        <f>IF(分析!I16&lt;&gt;"",分析!I16,"")</f>
        <v>7223</v>
      </c>
      <c r="I184" s="151">
        <f>IF(分析!J16&lt;&gt;"",分析!J16,"")</f>
        <v>5209500</v>
      </c>
      <c r="J184" s="151">
        <f>IF(分析!AB16&lt;&gt;"",分析!AB16,"")</f>
        <v>1660.1069246435845</v>
      </c>
      <c r="K184" s="151">
        <f>IF(分析!AC16&lt;&gt;"",分析!AC16,"")</f>
        <v>1763.237187127532</v>
      </c>
      <c r="L184" s="151">
        <f>IF(分析!K16&lt;&gt;"",分析!K16,"")</f>
        <v>8880</v>
      </c>
      <c r="M184" s="146" t="str">
        <f>IF(分析!P16&lt;&gt;"",分析!P16,"")</f>
        <v>減少↓</v>
      </c>
      <c r="N184" s="152">
        <f>IF(分析!O16&lt;&gt;"",分析!O16,"")</f>
        <v>0.80916981460311144</v>
      </c>
      <c r="O184" s="153">
        <f>IF(分析!X16&lt;&gt;"",分析!X16,"")</f>
        <v>-104.22530538650153</v>
      </c>
      <c r="P184" s="154">
        <f>IF(分析!L16&lt;&gt;"",分析!L16,"")</f>
        <v>-15.371621621621623</v>
      </c>
      <c r="Q184" s="151">
        <f>IF(分析!S16&lt;&gt;"",分析!S16,"")</f>
        <v>7214</v>
      </c>
      <c r="R184" s="151">
        <f>IF(分析!R16&lt;&gt;"",分析!R16,"")</f>
        <v>8116</v>
      </c>
      <c r="S184" s="146" t="str">
        <f>IF(分析!AA16&lt;&gt;"",分析!AA16,"")</f>
        <v>上昇▲</v>
      </c>
      <c r="T184" s="155">
        <f>IF(分析!Z16&lt;&gt;"",分析!Z16,"")</f>
        <v>1.5540540540540542</v>
      </c>
      <c r="U184" s="146" t="str">
        <f>IF(分析!V16&lt;&gt;"",分析!V16,"")</f>
        <v>通常</v>
      </c>
      <c r="V184" s="156">
        <f>IF(分析!W16&lt;&gt;"",分析!W16,"")</f>
        <v>35.075493612078972</v>
      </c>
      <c r="W184" s="157" t="str">
        <f>IF(分析!AD16&lt;&gt;"",分析!AD16,"")</f>
        <v>上昇トレンド▲</v>
      </c>
      <c r="X184" s="158" t="str">
        <f>IF(分析!AE16&lt;&gt;"",分析!AE16,"")</f>
        <v>なし</v>
      </c>
      <c r="Y184" s="159">
        <f>IF(分析!T16&lt;&gt;"",分析!T16,"")</f>
        <v>3</v>
      </c>
      <c r="Z184" s="160" t="str">
        <f>IF(分析!Y16&lt;&gt;"",分析!Y16,"")</f>
        <v>様子見</v>
      </c>
    </row>
    <row r="185" spans="1:26" ht="21.95" customHeight="1">
      <c r="A185" s="146">
        <f>IF(分析!C148&lt;&gt;"",ROW()-2,"")</f>
        <v>183</v>
      </c>
      <c r="B185" s="147" t="str">
        <f>IF(分析!C148&lt;&gt;"",HYPERLINK("https://kabutan.jp/stock/?code="&amp;分析!C148,"株探"),"")</f>
        <v>株探</v>
      </c>
      <c r="C185" s="148">
        <f>IF(分析!C148&lt;&gt;"",分析!C148,"")</f>
        <v>7685</v>
      </c>
      <c r="D185" s="149" t="str">
        <f>IF(分析!D148&lt;&gt;"",分析!D148,"")</f>
        <v>ＢＵＹＳＥＬＬＴＥＣＨ</v>
      </c>
      <c r="E185" s="150">
        <f>IF(分析!E148&lt;&gt;"",分析!E148,"")</f>
        <v>3595</v>
      </c>
      <c r="F185" s="151">
        <f>IF(分析!F148&lt;&gt;"",分析!F148,"")</f>
        <v>3505</v>
      </c>
      <c r="G185" s="151">
        <f>IF(分析!H148&lt;&gt;"",分析!H148,"")</f>
        <v>3725</v>
      </c>
      <c r="H185" s="151">
        <f>IF(分析!I148&lt;&gt;"",分析!I148,"")</f>
        <v>3500</v>
      </c>
      <c r="I185" s="151">
        <f>IF(分析!J148&lt;&gt;"",分析!J148,"")</f>
        <v>236400</v>
      </c>
      <c r="J185" s="151">
        <f>IF(分析!AB148&lt;&gt;"",分析!AB148,"")</f>
        <v>4588.3727087576372</v>
      </c>
      <c r="K185" s="151">
        <f>IF(分析!AC148&lt;&gt;"",分析!AC148,"")</f>
        <v>4689.0286054827147</v>
      </c>
      <c r="L185" s="151">
        <f>IF(分析!K148&lt;&gt;"",分析!K148,"")</f>
        <v>4155</v>
      </c>
      <c r="M185" s="146" t="str">
        <f>IF(分析!P148&lt;&gt;"",分析!P148,"")</f>
        <v>減少↓</v>
      </c>
      <c r="N185" s="152">
        <f>IF(分析!O148&lt;&gt;"",分析!O148,"")</f>
        <v>0.76154886927388699</v>
      </c>
      <c r="O185" s="153">
        <f>IF(分析!X148&lt;&gt;"",分析!X148,"")</f>
        <v>-0.97194305024140704</v>
      </c>
      <c r="P185" s="154">
        <f>IF(分析!L148&lt;&gt;"",分析!L148,"")</f>
        <v>-13.477737665463296</v>
      </c>
      <c r="Q185" s="151">
        <f>IF(分析!S148&lt;&gt;"",分析!S148,"")</f>
        <v>3451</v>
      </c>
      <c r="R185" s="151">
        <f>IF(分析!R148&lt;&gt;"",分析!R148,"")</f>
        <v>3883</v>
      </c>
      <c r="S185" s="146" t="str">
        <f>IF(分析!AA148&lt;&gt;"",分析!AA148,"")</f>
        <v>下落▼</v>
      </c>
      <c r="T185" s="155">
        <f>IF(分析!Z148&lt;&gt;"",分析!Z148,"")</f>
        <v>-0.96418732782369143</v>
      </c>
      <c r="U185" s="146" t="str">
        <f>IF(分析!V148&lt;&gt;"",分析!V148,"")</f>
        <v>通常</v>
      </c>
      <c r="V185" s="156">
        <f>IF(分析!W148&lt;&gt;"",分析!W148,"")</f>
        <v>42.585551330798481</v>
      </c>
      <c r="W185" s="157" t="str">
        <f>IF(分析!AD148&lt;&gt;"",分析!AD148,"")</f>
        <v>下降トレンド▼</v>
      </c>
      <c r="X185" s="158" t="str">
        <f>IF(分析!AE148&lt;&gt;"",分析!AE148,"")</f>
        <v>なし</v>
      </c>
      <c r="Y185" s="159">
        <f>IF(分析!T148&lt;&gt;"",分析!T148,"")</f>
        <v>2</v>
      </c>
      <c r="Z185" s="160" t="str">
        <f>IF(分析!Y148&lt;&gt;"",分析!Y148,"")</f>
        <v>見送り</v>
      </c>
    </row>
    <row r="186" spans="1:26" ht="21.95" customHeight="1">
      <c r="A186" s="146">
        <f>IF(分析!C202&lt;&gt;"",ROW()-2,"")</f>
        <v>184</v>
      </c>
      <c r="B186" s="147" t="str">
        <f>IF(分析!C202&lt;&gt;"",HYPERLINK("https://kabutan.jp/stock/?code="&amp;分析!C202,"株探"),"")</f>
        <v>株探</v>
      </c>
      <c r="C186" s="148">
        <f>IF(分析!C202&lt;&gt;"",分析!C202,"")</f>
        <v>7846</v>
      </c>
      <c r="D186" s="149" t="str">
        <f>IF(分析!D202&lt;&gt;"",分析!D202,"")</f>
        <v>パイロットコーポレーション</v>
      </c>
      <c r="E186" s="150">
        <f>IF(分析!E202&lt;&gt;"",分析!E202,"")</f>
        <v>5003</v>
      </c>
      <c r="F186" s="151">
        <f>IF(分析!F202&lt;&gt;"",分析!F202,"")</f>
        <v>4981</v>
      </c>
      <c r="G186" s="151">
        <f>IF(分析!H202&lt;&gt;"",分析!H202,"")</f>
        <v>5009</v>
      </c>
      <c r="H186" s="151">
        <f>IF(分析!I202&lt;&gt;"",分析!I202,"")</f>
        <v>4964</v>
      </c>
      <c r="I186" s="151">
        <f>IF(分析!J202&lt;&gt;"",分析!J202,"")</f>
        <v>66000</v>
      </c>
      <c r="J186" s="151">
        <f>IF(分析!AB202&lt;&gt;"",分析!AB202,"")</f>
        <v>6280.1731160896134</v>
      </c>
      <c r="K186" s="151">
        <f>IF(分析!AC202&lt;&gt;"",分析!AC202,"")</f>
        <v>6519.5911799761607</v>
      </c>
      <c r="L186" s="151">
        <f>IF(分析!K202&lt;&gt;"",分析!K202,"")</f>
        <v>5134</v>
      </c>
      <c r="M186" s="146" t="str">
        <f>IF(分析!P202&lt;&gt;"",分析!P202,"")</f>
        <v>減少↓</v>
      </c>
      <c r="N186" s="152">
        <f>IF(分析!O202&lt;&gt;"",分析!O202,"")</f>
        <v>0.92050209205020916</v>
      </c>
      <c r="O186" s="153">
        <f>IF(分析!X202&lt;&gt;"",分析!X202,"")</f>
        <v>17.096250980142941</v>
      </c>
      <c r="P186" s="154">
        <f>IF(分析!L202&lt;&gt;"",分析!L202,"")</f>
        <v>-2.5516166731593302</v>
      </c>
      <c r="Q186" s="151">
        <f>IF(分析!S202&lt;&gt;"",分析!S202,"")</f>
        <v>4803</v>
      </c>
      <c r="R186" s="151">
        <f>IF(分析!R202&lt;&gt;"",分析!R202,"")</f>
        <v>5403</v>
      </c>
      <c r="S186" s="146" t="str">
        <f>IF(分析!AA202&lt;&gt;"",分析!AA202,"")</f>
        <v>上昇▲</v>
      </c>
      <c r="T186" s="155">
        <f>IF(分析!Z202&lt;&gt;"",分析!Z202,"")</f>
        <v>1.0707070707070707</v>
      </c>
      <c r="U186" s="146" t="str">
        <f>IF(分析!V202&lt;&gt;"",分析!V202,"")</f>
        <v>高値圏</v>
      </c>
      <c r="V186" s="156">
        <f>IF(分析!W202&lt;&gt;"",分析!W202,"")</f>
        <v>50.163398692810453</v>
      </c>
      <c r="W186" s="157" t="str">
        <f>IF(分析!AD202&lt;&gt;"",分析!AD202,"")</f>
        <v>下降トレンド▼</v>
      </c>
      <c r="X186" s="158" t="str">
        <f>IF(分析!AE202&lt;&gt;"",分析!AE202,"")</f>
        <v>なし</v>
      </c>
      <c r="Y186" s="159">
        <f>IF(分析!T202&lt;&gt;"",分析!T202,"")</f>
        <v>9</v>
      </c>
      <c r="Z186" s="160" t="str">
        <f>IF(分析!Y202&lt;&gt;"",分析!Y202,"")</f>
        <v>△注目</v>
      </c>
    </row>
    <row r="187" spans="1:26" ht="21.95" customHeight="1">
      <c r="A187" s="161">
        <f>IF(分析!C35&lt;&gt;"",ROW()-2,"")</f>
        <v>185</v>
      </c>
      <c r="B187" s="162" t="str">
        <f>IF(分析!C35&lt;&gt;"",HYPERLINK("https://kabutan.jp/stock/?code="&amp;分析!C35,"株探"),"")</f>
        <v>株探</v>
      </c>
      <c r="C187" s="163">
        <f>IF(分析!C35&lt;&gt;"",分析!C35,"")</f>
        <v>8035</v>
      </c>
      <c r="D187" s="164" t="str">
        <f>IF(分析!D35&lt;&gt;"",分析!D35,"")</f>
        <v>東京エレクトロン</v>
      </c>
      <c r="E187" s="165">
        <f>IF(分析!E35&lt;&gt;"",分析!E35,"")</f>
        <v>72640</v>
      </c>
      <c r="F187" s="166">
        <f>IF(分析!F35&lt;&gt;"",分析!F35,"")</f>
        <v>69970</v>
      </c>
      <c r="G187" s="166">
        <f>IF(分析!H35&lt;&gt;"",分析!H35,"")</f>
        <v>73220</v>
      </c>
      <c r="H187" s="166">
        <f>IF(分析!I35&lt;&gt;"",分析!I35,"")</f>
        <v>69850</v>
      </c>
      <c r="I187" s="166">
        <f>IF(分析!J35&lt;&gt;"",分析!J35,"")</f>
        <v>4608500</v>
      </c>
      <c r="J187" s="166">
        <f>IF(分析!AB35&lt;&gt;"",分析!AB35,"")</f>
        <v>1490.8014256619142</v>
      </c>
      <c r="K187" s="166">
        <f>IF(分析!AC35&lt;&gt;"",分析!AC35,"")</f>
        <v>1502.7926102502972</v>
      </c>
      <c r="L187" s="166">
        <f>IF(分析!K35&lt;&gt;"",分析!K35,"")</f>
        <v>74800</v>
      </c>
      <c r="M187" s="161" t="str">
        <f>IF(分析!P35&lt;&gt;"",分析!P35,"")</f>
        <v>減少↓</v>
      </c>
      <c r="N187" s="167">
        <f>IF(分析!O35&lt;&gt;"",分析!O35,"")</f>
        <v>0.76680787623253321</v>
      </c>
      <c r="O187" s="168">
        <f>IF(分析!X35&lt;&gt;"",分析!X35,"")</f>
        <v>2419.1556048224957</v>
      </c>
      <c r="P187" s="169">
        <f>IF(分析!L35&lt;&gt;"",分析!L35,"")</f>
        <v>-2.8877005347593583</v>
      </c>
      <c r="Q187" s="166">
        <f>IF(分析!S35&lt;&gt;"",分析!S35,"")</f>
        <v>69734</v>
      </c>
      <c r="R187" s="166">
        <f>IF(分析!R35&lt;&gt;"",分析!R35,"")</f>
        <v>78451</v>
      </c>
      <c r="S187" s="161" t="str">
        <f>IF(分析!AA35&lt;&gt;"",分析!AA35,"")</f>
        <v>上昇▲</v>
      </c>
      <c r="T187" s="170">
        <f>IF(分析!Z35&lt;&gt;"",分析!Z35,"")</f>
        <v>2.5119954840530623</v>
      </c>
      <c r="U187" s="161" t="str">
        <f>IF(分析!V35&lt;&gt;"",分析!V35,"")</f>
        <v>高値圏</v>
      </c>
      <c r="V187" s="171">
        <f>IF(分析!W35&lt;&gt;"",分析!W35,"")</f>
        <v>75.715859030837009</v>
      </c>
      <c r="W187" s="172" t="str">
        <f>IF(分析!AD35&lt;&gt;"",分析!AD35,"")</f>
        <v>上昇トレンド▲</v>
      </c>
      <c r="X187" s="173" t="str">
        <f>IF(分析!AE35&lt;&gt;"",分析!AE35,"")</f>
        <v>なし</v>
      </c>
      <c r="Y187" s="174">
        <f>IF(分析!T35&lt;&gt;"",分析!T35,"")</f>
        <v>10</v>
      </c>
      <c r="Z187" s="160" t="str">
        <f>IF(分析!Y35&lt;&gt;"",分析!Y35,"")</f>
        <v>○買い候補</v>
      </c>
    </row>
    <row r="188" spans="1:26" ht="21.95" customHeight="1">
      <c r="A188" s="161">
        <f>IF(分析!C49&lt;&gt;"",ROW()-2,"")</f>
        <v>186</v>
      </c>
      <c r="B188" s="162" t="str">
        <f>IF(分析!C49&lt;&gt;"",HYPERLINK("https://kabutan.jp/stock/?code="&amp;分析!C49,"株探"),"")</f>
        <v>株探</v>
      </c>
      <c r="C188" s="163">
        <f>IF(分析!C49&lt;&gt;"",分析!C49,"")</f>
        <v>8053</v>
      </c>
      <c r="D188" s="164" t="str">
        <f>IF(分析!D49&lt;&gt;"",分析!D49,"")</f>
        <v>住友商事</v>
      </c>
      <c r="E188" s="165">
        <f>IF(分析!E49&lt;&gt;"",分析!E49,"")</f>
        <v>6547</v>
      </c>
      <c r="F188" s="166">
        <f>IF(分析!F49&lt;&gt;"",分析!F49,"")</f>
        <v>6601</v>
      </c>
      <c r="G188" s="166">
        <f>IF(分析!H49&lt;&gt;"",分析!H49,"")</f>
        <v>6645</v>
      </c>
      <c r="H188" s="166">
        <f>IF(分析!I49&lt;&gt;"",分析!I49,"")</f>
        <v>6478</v>
      </c>
      <c r="I188" s="166">
        <f>IF(分析!J49&lt;&gt;"",分析!J49,"")</f>
        <v>2278500</v>
      </c>
      <c r="J188" s="166">
        <f>IF(分析!AB49&lt;&gt;"",分析!AB49,"")</f>
        <v>2314.6384928716898</v>
      </c>
      <c r="K188" s="166">
        <f>IF(分析!AC49&lt;&gt;"",分析!AC49,"")</f>
        <v>2367.7628128724668</v>
      </c>
      <c r="L188" s="166">
        <f>IF(分析!K49&lt;&gt;"",分析!K49,"")</f>
        <v>7775</v>
      </c>
      <c r="M188" s="161" t="str">
        <f>IF(分析!P49&lt;&gt;"",分析!P49,"")</f>
        <v>減少↓</v>
      </c>
      <c r="N188" s="167">
        <f>IF(分析!O49&lt;&gt;"",分析!O49,"")</f>
        <v>0.62134582660674553</v>
      </c>
      <c r="O188" s="168">
        <f>IF(分析!X49&lt;&gt;"",分析!X49,"")</f>
        <v>-115.25456238879906</v>
      </c>
      <c r="P188" s="169">
        <f>IF(分析!L49&lt;&gt;"",分析!L49,"")</f>
        <v>-15.794212218649516</v>
      </c>
      <c r="Q188" s="166">
        <f>IF(分析!S49&lt;&gt;"",分析!S49,"")</f>
        <v>6285</v>
      </c>
      <c r="R188" s="166">
        <f>IF(分析!R49&lt;&gt;"",分析!R49,"")</f>
        <v>7071</v>
      </c>
      <c r="S188" s="161" t="str">
        <f>IF(分析!AA49&lt;&gt;"",分析!AA49,"")</f>
        <v>上昇▲</v>
      </c>
      <c r="T188" s="170">
        <f>IF(分析!Z49&lt;&gt;"",分析!Z49,"")</f>
        <v>0.27569306172461328</v>
      </c>
      <c r="U188" s="161" t="str">
        <f>IF(分析!V49&lt;&gt;"",分析!V49,"")</f>
        <v>通常</v>
      </c>
      <c r="V188" s="171">
        <f>IF(分析!W49&lt;&gt;"",分析!W49,"")</f>
        <v>25.471698113207552</v>
      </c>
      <c r="W188" s="172" t="str">
        <f>IF(分析!AD49&lt;&gt;"",分析!AD49,"")</f>
        <v>上昇トレンド▲</v>
      </c>
      <c r="X188" s="173" t="str">
        <f>IF(分析!AE49&lt;&gt;"",分析!AE49,"")</f>
        <v>なし</v>
      </c>
      <c r="Y188" s="174">
        <f>IF(分析!T49&lt;&gt;"",分析!T49,"")</f>
        <v>4</v>
      </c>
      <c r="Z188" s="160" t="str">
        <f>IF(分析!Y49&lt;&gt;"",分析!Y49,"")</f>
        <v>様子見</v>
      </c>
    </row>
    <row r="189" spans="1:26" ht="21.95" customHeight="1">
      <c r="A189" s="161">
        <f>IF(分析!C89&lt;&gt;"",ROW()-2,"")</f>
        <v>187</v>
      </c>
      <c r="B189" s="162" t="str">
        <f>IF(分析!C89&lt;&gt;"",HYPERLINK("https://kabutan.jp/stock/?code="&amp;分析!C89,"株探"),"")</f>
        <v>株探</v>
      </c>
      <c r="C189" s="163">
        <f>IF(分析!C89&lt;&gt;"",分析!C89,"")</f>
        <v>8058</v>
      </c>
      <c r="D189" s="164" t="str">
        <f>IF(分析!D89&lt;&gt;"",分析!D89,"")</f>
        <v>三菱商事</v>
      </c>
      <c r="E189" s="165">
        <f>IF(分析!E89&lt;&gt;"",分析!E89,"")</f>
        <v>4610</v>
      </c>
      <c r="F189" s="166">
        <f>IF(分析!F89&lt;&gt;"",分析!F89,"")</f>
        <v>4628</v>
      </c>
      <c r="G189" s="166">
        <f>IF(分析!H89&lt;&gt;"",分析!H89,"")</f>
        <v>4672</v>
      </c>
      <c r="H189" s="166">
        <f>IF(分析!I89&lt;&gt;"",分析!I89,"")</f>
        <v>4595</v>
      </c>
      <c r="I189" s="166">
        <f>IF(分析!J89&lt;&gt;"",分析!J89,"")</f>
        <v>7426100</v>
      </c>
      <c r="J189" s="166">
        <f>IF(分析!AB89&lt;&gt;"",分析!AB89,"")</f>
        <v>4758.5437881873722</v>
      </c>
      <c r="K189" s="166">
        <f>IF(分析!AC89&lt;&gt;"",分析!AC89,"")</f>
        <v>4928.452920143025</v>
      </c>
      <c r="L189" s="166">
        <f>IF(分析!K89&lt;&gt;"",分析!K89,"")</f>
        <v>6012</v>
      </c>
      <c r="M189" s="161" t="str">
        <f>IF(分析!P89&lt;&gt;"",分析!P89,"")</f>
        <v>減少↓</v>
      </c>
      <c r="N189" s="167">
        <f>IF(分析!O89&lt;&gt;"",分析!O89,"")</f>
        <v>0.84718093104227177</v>
      </c>
      <c r="O189" s="168">
        <f>IF(分析!X89&lt;&gt;"",分析!X89,"")</f>
        <v>-108.66689685916572</v>
      </c>
      <c r="P189" s="169">
        <f>IF(分析!L89&lt;&gt;"",分析!L89,"")</f>
        <v>-23.320026613439786</v>
      </c>
      <c r="Q189" s="166">
        <f>IF(分析!S89&lt;&gt;"",分析!S89,"")</f>
        <v>4426</v>
      </c>
      <c r="R189" s="166">
        <f>IF(分析!R89&lt;&gt;"",分析!R89,"")</f>
        <v>4979</v>
      </c>
      <c r="S189" s="161" t="str">
        <f>IF(分析!AA89&lt;&gt;"",分析!AA89,"")</f>
        <v>上昇▲</v>
      </c>
      <c r="T189" s="170">
        <f>IF(分析!Z89&lt;&gt;"",分析!Z89,"")</f>
        <v>0.32644178454842221</v>
      </c>
      <c r="U189" s="161" t="str">
        <f>IF(分析!V89&lt;&gt;"",分析!V89,"")</f>
        <v>通常</v>
      </c>
      <c r="V189" s="171">
        <f>IF(分析!W89&lt;&gt;"",分析!W89,"")</f>
        <v>15.509039010466225</v>
      </c>
      <c r="W189" s="172" t="str">
        <f>IF(分析!AD89&lt;&gt;"",分析!AD89,"")</f>
        <v>下降トレンド▼</v>
      </c>
      <c r="X189" s="173" t="str">
        <f>IF(分析!AE89&lt;&gt;"",分析!AE89,"")</f>
        <v>なし</v>
      </c>
      <c r="Y189" s="174">
        <f>IF(分析!T89&lt;&gt;"",分析!T89,"")</f>
        <v>2</v>
      </c>
      <c r="Z189" s="160" t="str">
        <f>IF(分析!Y89&lt;&gt;"",分析!Y89,"")</f>
        <v>見送り</v>
      </c>
    </row>
    <row r="190" spans="1:26" ht="21.95" customHeight="1">
      <c r="A190" s="146">
        <f>IF(分析!C136&lt;&gt;"",ROW()-2,"")</f>
        <v>188</v>
      </c>
      <c r="B190" s="147" t="str">
        <f>IF(分析!C136&lt;&gt;"",HYPERLINK("https://kabutan.jp/stock/?code="&amp;分析!C136,"株探"),"")</f>
        <v>株探</v>
      </c>
      <c r="C190" s="148">
        <f>IF(分析!C136&lt;&gt;"",分析!C136,"")</f>
        <v>8103</v>
      </c>
      <c r="D190" s="149" t="str">
        <f>IF(分析!D136&lt;&gt;"",分析!D136,"")</f>
        <v>明和産業</v>
      </c>
      <c r="E190" s="150">
        <f>IF(分析!E136&lt;&gt;"",分析!E136,"")</f>
        <v>873</v>
      </c>
      <c r="F190" s="151">
        <f>IF(分析!F136&lt;&gt;"",分析!F136,"")</f>
        <v>876</v>
      </c>
      <c r="G190" s="151">
        <f>IF(分析!H136&lt;&gt;"",分析!H136,"")</f>
        <v>886</v>
      </c>
      <c r="H190" s="151">
        <f>IF(分析!I136&lt;&gt;"",分析!I136,"")</f>
        <v>872</v>
      </c>
      <c r="I190" s="151">
        <f>IF(分析!J136&lt;&gt;"",分析!J136,"")</f>
        <v>141300</v>
      </c>
      <c r="J190" s="151">
        <f>IF(分析!AB136&lt;&gt;"",分析!AB136,"")</f>
        <v>1184.3798370672098</v>
      </c>
      <c r="K190" s="151">
        <f>IF(分析!AC136&lt;&gt;"",分析!AC136,"")</f>
        <v>1306.8736591179972</v>
      </c>
      <c r="L190" s="151">
        <f>IF(分析!K136&lt;&gt;"",分析!K136,"")</f>
        <v>1041</v>
      </c>
      <c r="M190" s="146" t="str">
        <f>IF(分析!P136&lt;&gt;"",分析!P136,"")</f>
        <v>減少↓</v>
      </c>
      <c r="N190" s="152">
        <f>IF(分析!O136&lt;&gt;"",分析!O136,"")</f>
        <v>0.56456768419370307</v>
      </c>
      <c r="O190" s="153">
        <f>IF(分析!X136&lt;&gt;"",分析!X136,"")</f>
        <v>-3.4961689865025392</v>
      </c>
      <c r="P190" s="154">
        <f>IF(分析!L136&lt;&gt;"",分析!L136,"")</f>
        <v>-16.138328530259365</v>
      </c>
      <c r="Q190" s="151">
        <f>IF(分析!S136&lt;&gt;"",分析!S136,"")</f>
        <v>838</v>
      </c>
      <c r="R190" s="151">
        <f>IF(分析!R136&lt;&gt;"",分析!R136,"")</f>
        <v>943</v>
      </c>
      <c r="S190" s="146" t="str">
        <f>IF(分析!AA136&lt;&gt;"",分析!AA136,"")</f>
        <v>上昇▲</v>
      </c>
      <c r="T190" s="155">
        <f>IF(分析!Z136&lt;&gt;"",分析!Z136,"")</f>
        <v>0.11467889908256881</v>
      </c>
      <c r="U190" s="146" t="str">
        <f>IF(分析!V136&lt;&gt;"",分析!V136,"")</f>
        <v>通常</v>
      </c>
      <c r="V190" s="156">
        <f>IF(分析!W136&lt;&gt;"",分析!W136,"")</f>
        <v>29.411764705882362</v>
      </c>
      <c r="W190" s="157" t="str">
        <f>IF(分析!AD136&lt;&gt;"",分析!AD136,"")</f>
        <v>下降トレンド▼</v>
      </c>
      <c r="X190" s="158" t="str">
        <f>IF(分析!AE136&lt;&gt;"",分析!AE136,"")</f>
        <v>なし</v>
      </c>
      <c r="Y190" s="159">
        <f>IF(分析!T136&lt;&gt;"",分析!T136,"")</f>
        <v>2</v>
      </c>
      <c r="Z190" s="160" t="str">
        <f>IF(分析!Y136&lt;&gt;"",分析!Y136,"")</f>
        <v>見送り</v>
      </c>
    </row>
    <row r="191" spans="1:26" ht="21.95" customHeight="1">
      <c r="A191" s="161">
        <f>IF(分析!C179&lt;&gt;"",ROW()-2,"")</f>
        <v>189</v>
      </c>
      <c r="B191" s="162" t="str">
        <f>IF(分析!C179&lt;&gt;"",HYPERLINK("https://kabutan.jp/stock/?code="&amp;分析!C179,"株探"),"")</f>
        <v>株探</v>
      </c>
      <c r="C191" s="163">
        <f>IF(分析!C179&lt;&gt;"",分析!C179,"")</f>
        <v>8281</v>
      </c>
      <c r="D191" s="164" t="str">
        <f>IF(分析!D179&lt;&gt;"",分析!D179,"")</f>
        <v>ゼビオホールディングス</v>
      </c>
      <c r="E191" s="165">
        <f>IF(分析!E179&lt;&gt;"",分析!E179,"")</f>
        <v>1050</v>
      </c>
      <c r="F191" s="166">
        <f>IF(分析!F179&lt;&gt;"",分析!F179,"")</f>
        <v>1056</v>
      </c>
      <c r="G191" s="166">
        <f>IF(分析!H179&lt;&gt;"",分析!H179,"")</f>
        <v>1065</v>
      </c>
      <c r="H191" s="166">
        <f>IF(分析!I179&lt;&gt;"",分析!I179,"")</f>
        <v>1050</v>
      </c>
      <c r="I191" s="166">
        <f>IF(分析!J179&lt;&gt;"",分析!J179,"")</f>
        <v>86700</v>
      </c>
      <c r="J191" s="166">
        <f>IF(分析!AB179&lt;&gt;"",分析!AB179,"")</f>
        <v>849.93737270875761</v>
      </c>
      <c r="K191" s="166">
        <f>IF(分析!AC179&lt;&gt;"",分析!AC179,"")</f>
        <v>847.07759237187076</v>
      </c>
      <c r="L191" s="166">
        <f>IF(分析!K179&lt;&gt;"",分析!K179,"")</f>
        <v>1168</v>
      </c>
      <c r="M191" s="161" t="str">
        <f>IF(分析!P179&lt;&gt;"",分析!P179,"")</f>
        <v>減少↓</v>
      </c>
      <c r="N191" s="167">
        <f>IF(分析!O179&lt;&gt;"",分析!O179,"")</f>
        <v>0.77771797631862216</v>
      </c>
      <c r="O191" s="168">
        <f>IF(分析!X179&lt;&gt;"",分析!X179,"")</f>
        <v>4.0652406672534198</v>
      </c>
      <c r="P191" s="169">
        <f>IF(分析!L179&lt;&gt;"",分析!L179,"")</f>
        <v>-10.102739726027398</v>
      </c>
      <c r="Q191" s="166">
        <f>IF(分析!S179&lt;&gt;"",分析!S179,"")</f>
        <v>1008</v>
      </c>
      <c r="R191" s="166">
        <f>IF(分析!R179&lt;&gt;"",分析!R179,"")</f>
        <v>1134</v>
      </c>
      <c r="S191" s="161" t="str">
        <f>IF(分析!AA179&lt;&gt;"",分析!AA179,"")</f>
        <v>下落▼</v>
      </c>
      <c r="T191" s="170">
        <f>IF(分析!Z179&lt;&gt;"",分析!Z179,"")</f>
        <v>-0.28490028490028491</v>
      </c>
      <c r="U191" s="161" t="str">
        <f>IF(分析!V179&lt;&gt;"",分析!V179,"")</f>
        <v>通常</v>
      </c>
      <c r="V191" s="171">
        <f>IF(分析!W179&lt;&gt;"",分析!W179,"")</f>
        <v>49.090909090909093</v>
      </c>
      <c r="W191" s="172" t="str">
        <f>IF(分析!AD179&lt;&gt;"",分析!AD179,"")</f>
        <v>パーフェクト▲</v>
      </c>
      <c r="X191" s="173" t="str">
        <f>IF(分析!AE179&lt;&gt;"",分析!AE179,"")</f>
        <v>なし</v>
      </c>
      <c r="Y191" s="174">
        <f>IF(分析!T179&lt;&gt;"",分析!T179,"")</f>
        <v>8</v>
      </c>
      <c r="Z191" s="160" t="str">
        <f>IF(分析!Y179&lt;&gt;"",分析!Y179,"")</f>
        <v>△注目</v>
      </c>
    </row>
    <row r="192" spans="1:26" ht="21.95" customHeight="1">
      <c r="A192" s="146">
        <f>IF(分析!C92&lt;&gt;"",ROW()-2,"")</f>
        <v>190</v>
      </c>
      <c r="B192" s="147" t="str">
        <f>IF(分析!C92&lt;&gt;"",HYPERLINK("https://kabutan.jp/stock/?code="&amp;分析!C92,"株探"),"")</f>
        <v>株探</v>
      </c>
      <c r="C192" s="148">
        <f>IF(分析!C92&lt;&gt;"",分析!C92,"")</f>
        <v>8308</v>
      </c>
      <c r="D192" s="149" t="str">
        <f>IF(分析!D92&lt;&gt;"",分析!D92,"")</f>
        <v>りそなホールディングス</v>
      </c>
      <c r="E192" s="150">
        <f>IF(分析!E92&lt;&gt;"",分析!E92,"")</f>
        <v>2161.5</v>
      </c>
      <c r="F192" s="151">
        <f>IF(分析!F92&lt;&gt;"",分析!F92,"")</f>
        <v>2222.5</v>
      </c>
      <c r="G192" s="151">
        <f>IF(分析!H92&lt;&gt;"",分析!H92,"")</f>
        <v>2232.5</v>
      </c>
      <c r="H192" s="151">
        <f>IF(分析!I92&lt;&gt;"",分析!I92,"")</f>
        <v>2160.5</v>
      </c>
      <c r="I192" s="151">
        <f>IF(分析!J92&lt;&gt;"",分析!J92,"")</f>
        <v>10336500</v>
      </c>
      <c r="J192" s="151">
        <f>IF(分析!AB92&lt;&gt;"",分析!AB92,"")</f>
        <v>1775.0035641547859</v>
      </c>
      <c r="K192" s="151">
        <f>IF(分析!AC92&lt;&gt;"",分析!AC92,"")</f>
        <v>1755.2973778307505</v>
      </c>
      <c r="L192" s="151">
        <f>IF(分析!K92&lt;&gt;"",分析!K92,"")</f>
        <v>2277.5</v>
      </c>
      <c r="M192" s="146" t="str">
        <f>IF(分析!P92&lt;&gt;"",分析!P92,"")</f>
        <v>減少↓</v>
      </c>
      <c r="N192" s="152">
        <f>IF(分析!O92&lt;&gt;"",分析!O92,"")</f>
        <v>0.85375523453180369</v>
      </c>
      <c r="O192" s="153">
        <f>IF(分析!X92&lt;&gt;"",分析!X92,"")</f>
        <v>9.6562894295875594</v>
      </c>
      <c r="P192" s="154">
        <f>IF(分析!L92&lt;&gt;"",分析!L92,"")</f>
        <v>-5.0933040614709109</v>
      </c>
      <c r="Q192" s="151">
        <f>IF(分析!S92&lt;&gt;"",分析!S92,"")</f>
        <v>2075</v>
      </c>
      <c r="R192" s="151">
        <f>IF(分析!R92&lt;&gt;"",分析!R92,"")</f>
        <v>2334</v>
      </c>
      <c r="S192" s="146" t="str">
        <f>IF(分析!AA92&lt;&gt;"",分析!AA92,"")</f>
        <v>上昇▲</v>
      </c>
      <c r="T192" s="155">
        <f>IF(分析!Z92&lt;&gt;"",分析!Z92,"")</f>
        <v>0.79272557705758928</v>
      </c>
      <c r="U192" s="146" t="str">
        <f>IF(分析!V92&lt;&gt;"",分析!V92,"")</f>
        <v>高値圏</v>
      </c>
      <c r="V192" s="156">
        <f>IF(分析!W92&lt;&gt;"",分析!W92,"")</f>
        <v>52.827586206896548</v>
      </c>
      <c r="W192" s="157" t="str">
        <f>IF(分析!AD92&lt;&gt;"",分析!AD92,"")</f>
        <v>パーフェクト▲</v>
      </c>
      <c r="X192" s="158" t="str">
        <f>IF(分析!AE92&lt;&gt;"",分析!AE92,"")</f>
        <v>なし</v>
      </c>
      <c r="Y192" s="159">
        <f>IF(分析!T92&lt;&gt;"",分析!T92,"")</f>
        <v>9</v>
      </c>
      <c r="Z192" s="160" t="str">
        <f>IF(分析!Y92&lt;&gt;"",分析!Y92,"")</f>
        <v>△注目</v>
      </c>
    </row>
    <row r="193" spans="1:26" ht="21.95" customHeight="1">
      <c r="A193" s="146">
        <f>IF(分析!C66&lt;&gt;"",ROW()-2,"")</f>
        <v>191</v>
      </c>
      <c r="B193" s="147" t="str">
        <f>IF(分析!C66&lt;&gt;"",HYPERLINK("https://kabutan.jp/stock/?code="&amp;分析!C66,"株探"),"")</f>
        <v>株探</v>
      </c>
      <c r="C193" s="148">
        <f>IF(分析!C66&lt;&gt;"",分析!C66,"")</f>
        <v>8411</v>
      </c>
      <c r="D193" s="149" t="str">
        <f>IF(分析!D66&lt;&gt;"",分析!D66,"")</f>
        <v>みずほフィナンシャルＧ</v>
      </c>
      <c r="E193" s="150">
        <f>IF(分析!E66&lt;&gt;"",分析!E66,"")</f>
        <v>8006</v>
      </c>
      <c r="F193" s="151">
        <f>IF(分析!F66&lt;&gt;"",分析!F66,"")</f>
        <v>7907</v>
      </c>
      <c r="G193" s="151">
        <f>IF(分析!H66&lt;&gt;"",分析!H66,"")</f>
        <v>8120</v>
      </c>
      <c r="H193" s="151">
        <f>IF(分析!I66&lt;&gt;"",分析!I66,"")</f>
        <v>7902</v>
      </c>
      <c r="I193" s="151">
        <f>IF(分析!J66&lt;&gt;"",分析!J66,"")</f>
        <v>12922600</v>
      </c>
      <c r="J193" s="151">
        <f>IF(分析!AB66&lt;&gt;"",分析!AB66,"")</f>
        <v>5757.157841140528</v>
      </c>
      <c r="K193" s="151">
        <f>IF(分析!AC66&lt;&gt;"",分析!AC66,"")</f>
        <v>5971.7854588796172</v>
      </c>
      <c r="L193" s="151">
        <f>IF(分析!K66&lt;&gt;"",分析!K66,"")</f>
        <v>7966</v>
      </c>
      <c r="M193" s="146" t="str">
        <f>IF(分析!P66&lt;&gt;"",分析!P66,"")</f>
        <v>普通→</v>
      </c>
      <c r="N193" s="152">
        <f>IF(分析!O66&lt;&gt;"",分析!O66,"")</f>
        <v>1.0866559928961124</v>
      </c>
      <c r="O193" s="153">
        <f>IF(分析!X66&lt;&gt;"",分析!X66,"")</f>
        <v>92.127444385630952</v>
      </c>
      <c r="P193" s="154">
        <f>IF(分析!L66&lt;&gt;"",分析!L66,"")</f>
        <v>0.50213406979663566</v>
      </c>
      <c r="Q193" s="151">
        <f>IF(分析!S66&lt;&gt;"",分析!S66,"")</f>
        <v>7686</v>
      </c>
      <c r="R193" s="151">
        <f>IF(分析!R66&lt;&gt;"",分析!R66,"")</f>
        <v>8646</v>
      </c>
      <c r="S193" s="146" t="str">
        <f>IF(分析!AA66&lt;&gt;"",分析!AA66,"")</f>
        <v>上昇▲</v>
      </c>
      <c r="T193" s="155">
        <f>IF(分析!Z66&lt;&gt;"",分析!Z66,"")</f>
        <v>3.2100038674745388</v>
      </c>
      <c r="U193" s="146" t="str">
        <f>IF(分析!V66&lt;&gt;"",分析!V66,"")</f>
        <v>年初来高値更新●</v>
      </c>
      <c r="V193" s="156">
        <f>IF(分析!W66&lt;&gt;"",分析!W66,"")</f>
        <v>63.331371394938202</v>
      </c>
      <c r="W193" s="157" t="str">
        <f>IF(分析!AD66&lt;&gt;"",分析!AD66,"")</f>
        <v>上昇トレンド▲</v>
      </c>
      <c r="X193" s="158" t="str">
        <f>IF(分析!AE66&lt;&gt;"",分析!AE66,"")</f>
        <v>なし</v>
      </c>
      <c r="Y193" s="159">
        <f>IF(分析!T66&lt;&gt;"",分析!T66,"")</f>
        <v>12</v>
      </c>
      <c r="Z193" s="160" t="str">
        <f>IF(分析!Y66&lt;&gt;"",分析!Y66,"")</f>
        <v>★強い買い</v>
      </c>
    </row>
    <row r="194" spans="1:26" ht="21.95" customHeight="1">
      <c r="A194" s="161">
        <f>IF(分析!C67&lt;&gt;"",ROW()-2,"")</f>
        <v>192</v>
      </c>
      <c r="B194" s="162" t="str">
        <f>IF(分析!C67&lt;&gt;"",HYPERLINK("https://kabutan.jp/stock/?code="&amp;分析!C67,"株探"),"")</f>
        <v>株探</v>
      </c>
      <c r="C194" s="163">
        <f>IF(分析!C67&lt;&gt;"",分析!C67,"")</f>
        <v>8591</v>
      </c>
      <c r="D194" s="164" t="str">
        <f>IF(分析!D67&lt;&gt;"",分析!D67,"")</f>
        <v>オリックス</v>
      </c>
      <c r="E194" s="165">
        <f>IF(分析!E67&lt;&gt;"",分析!E67,"")</f>
        <v>6336</v>
      </c>
      <c r="F194" s="166">
        <f>IF(分析!F67&lt;&gt;"",分析!F67,"")</f>
        <v>6403</v>
      </c>
      <c r="G194" s="166">
        <f>IF(分析!H67&lt;&gt;"",分析!H67,"")</f>
        <v>6417</v>
      </c>
      <c r="H194" s="166">
        <f>IF(分析!I67&lt;&gt;"",分析!I67,"")</f>
        <v>6280</v>
      </c>
      <c r="I194" s="166">
        <f>IF(分析!J67&lt;&gt;"",分析!J67,"")</f>
        <v>3297700</v>
      </c>
      <c r="J194" s="166">
        <f>IF(分析!AB67&lt;&gt;"",分析!AB67,"")</f>
        <v>4319.1120162932775</v>
      </c>
      <c r="K194" s="166">
        <f>IF(分析!AC67&lt;&gt;"",分析!AC67,"")</f>
        <v>4113.7771156138242</v>
      </c>
      <c r="L194" s="166">
        <f>IF(分析!K67&lt;&gt;"",分析!K67,"")</f>
        <v>6438</v>
      </c>
      <c r="M194" s="161" t="str">
        <f>IF(分析!P67&lt;&gt;"",分析!P67,"")</f>
        <v>減少↓</v>
      </c>
      <c r="N194" s="167">
        <f>IF(分析!O67&lt;&gt;"",分析!O67,"")</f>
        <v>0.92208278808621058</v>
      </c>
      <c r="O194" s="168">
        <f>IF(分析!X67&lt;&gt;"",分析!X67,"")</f>
        <v>24.286279200284298</v>
      </c>
      <c r="P194" s="169">
        <f>IF(分析!L67&lt;&gt;"",分析!L67,"")</f>
        <v>-1.5843429636533086</v>
      </c>
      <c r="Q194" s="166">
        <f>IF(分析!S67&lt;&gt;"",分析!S67,"")</f>
        <v>6083</v>
      </c>
      <c r="R194" s="166">
        <f>IF(分析!R67&lt;&gt;"",分析!R67,"")</f>
        <v>6843</v>
      </c>
      <c r="S194" s="161" t="str">
        <f>IF(分析!AA67&lt;&gt;"",分析!AA67,"")</f>
        <v>上昇▲</v>
      </c>
      <c r="T194" s="170">
        <f>IF(分析!Z67&lt;&gt;"",分析!Z67,"")</f>
        <v>0.49167327517842979</v>
      </c>
      <c r="U194" s="161" t="str">
        <f>IF(分析!V67&lt;&gt;"",分析!V67,"")</f>
        <v>高値圏</v>
      </c>
      <c r="V194" s="171">
        <f>IF(分析!W67&lt;&gt;"",分析!W67,"")</f>
        <v>50.914340712223286</v>
      </c>
      <c r="W194" s="172" t="str">
        <f>IF(分析!AD67&lt;&gt;"",分析!AD67,"")</f>
        <v>パーフェクト▲</v>
      </c>
      <c r="X194" s="173" t="str">
        <f>IF(分析!AE67&lt;&gt;"",分析!AE67,"")</f>
        <v>なし</v>
      </c>
      <c r="Y194" s="174">
        <f>IF(分析!T67&lt;&gt;"",分析!T67,"")</f>
        <v>12</v>
      </c>
      <c r="Z194" s="160" t="str">
        <f>IF(分析!Y67&lt;&gt;"",分析!Y67,"")</f>
        <v>★強い買い</v>
      </c>
    </row>
    <row r="195" spans="1:26" ht="21.95" customHeight="1">
      <c r="A195" s="146">
        <f>IF(分析!C198&lt;&gt;"",ROW()-2,"")</f>
        <v>193</v>
      </c>
      <c r="B195" s="147" t="str">
        <f>IF(分析!C198&lt;&gt;"",HYPERLINK("https://kabutan.jp/stock/?code="&amp;分析!C198,"株探"),"")</f>
        <v>株探</v>
      </c>
      <c r="C195" s="148">
        <f>IF(分析!C198&lt;&gt;"",分析!C198,"")</f>
        <v>8601</v>
      </c>
      <c r="D195" s="149" t="str">
        <f>IF(分析!D198&lt;&gt;"",分析!D198,"")</f>
        <v>大和証券Ｇ本社</v>
      </c>
      <c r="E195" s="150">
        <f>IF(分析!E198&lt;&gt;"",分析!E198,"")</f>
        <v>1607.5</v>
      </c>
      <c r="F195" s="151">
        <f>IF(分析!F198&lt;&gt;"",分析!F198,"")</f>
        <v>1614</v>
      </c>
      <c r="G195" s="151">
        <f>IF(分析!H198&lt;&gt;"",分析!H198,"")</f>
        <v>1625.5</v>
      </c>
      <c r="H195" s="151">
        <f>IF(分析!I198&lt;&gt;"",分析!I198,"")</f>
        <v>1593</v>
      </c>
      <c r="I195" s="151">
        <f>IF(分析!J198&lt;&gt;"",分析!J198,"")</f>
        <v>4357200</v>
      </c>
      <c r="J195" s="151">
        <f>IF(分析!AB198&lt;&gt;"",分析!AB198,"")</f>
        <v>45363.380855397139</v>
      </c>
      <c r="K195" s="151">
        <f>IF(分析!AC198&lt;&gt;"",分析!AC198,"")</f>
        <v>48547.914183551846</v>
      </c>
      <c r="L195" s="151">
        <f>IF(分析!K198&lt;&gt;"",分析!K198,"")</f>
        <v>1686.5</v>
      </c>
      <c r="M195" s="146" t="str">
        <f>IF(分析!P198&lt;&gt;"",分析!P198,"")</f>
        <v>普通→</v>
      </c>
      <c r="N195" s="152">
        <f>IF(分析!O198&lt;&gt;"",分析!O198,"")</f>
        <v>1.0367127459611221</v>
      </c>
      <c r="O195" s="153">
        <f>IF(分析!X198&lt;&gt;"",分析!X198,"")</f>
        <v>13.516257428185781</v>
      </c>
      <c r="P195" s="154">
        <f>IF(分析!L198&lt;&gt;"",分析!L198,"")</f>
        <v>-4.684257337681589</v>
      </c>
      <c r="Q195" s="151">
        <f>IF(分析!S198&lt;&gt;"",分析!S198,"")</f>
        <v>1543</v>
      </c>
      <c r="R195" s="151">
        <f>IF(分析!R198&lt;&gt;"",分析!R198,"")</f>
        <v>1736</v>
      </c>
      <c r="S195" s="146" t="str">
        <f>IF(分析!AA198&lt;&gt;"",分析!AA198,"")</f>
        <v>上昇▲</v>
      </c>
      <c r="T195" s="155">
        <f>IF(分析!Z198&lt;&gt;"",分析!Z198,"")</f>
        <v>0.31201248049921998</v>
      </c>
      <c r="U195" s="146" t="str">
        <f>IF(分析!V198&lt;&gt;"",分析!V198,"")</f>
        <v>高値圏</v>
      </c>
      <c r="V195" s="156">
        <f>IF(分析!W198&lt;&gt;"",分析!W198,"")</f>
        <v>69.841269841269849</v>
      </c>
      <c r="W195" s="157" t="str">
        <f>IF(分析!AD198&lt;&gt;"",分析!AD198,"")</f>
        <v>下降トレンド▼</v>
      </c>
      <c r="X195" s="158" t="str">
        <f>IF(分析!AE198&lt;&gt;"",分析!AE198,"")</f>
        <v>なし</v>
      </c>
      <c r="Y195" s="159">
        <f>IF(分析!T198&lt;&gt;"",分析!T198,"")</f>
        <v>7</v>
      </c>
      <c r="Z195" s="160" t="str">
        <f>IF(分析!Y198&lt;&gt;"",分析!Y198,"")</f>
        <v>△注目</v>
      </c>
    </row>
    <row r="196" spans="1:26" ht="21.95" customHeight="1">
      <c r="A196" s="161">
        <f>IF(分析!C199&lt;&gt;"",ROW()-2,"")</f>
        <v>194</v>
      </c>
      <c r="B196" s="162" t="str">
        <f>IF(分析!C199&lt;&gt;"",HYPERLINK("https://kabutan.jp/stock/?code="&amp;分析!C199,"株探"),"")</f>
        <v>株探</v>
      </c>
      <c r="C196" s="163">
        <f>IF(分析!C199&lt;&gt;"",分析!C199,"")</f>
        <v>8604</v>
      </c>
      <c r="D196" s="164" t="str">
        <f>IF(分析!D199&lt;&gt;"",分析!D199,"")</f>
        <v>野村ホールディングス</v>
      </c>
      <c r="E196" s="165">
        <f>IF(分析!E199&lt;&gt;"",分析!E199,"")</f>
        <v>1451</v>
      </c>
      <c r="F196" s="166">
        <f>IF(分析!F199&lt;&gt;"",分析!F199,"")</f>
        <v>1430</v>
      </c>
      <c r="G196" s="166">
        <f>IF(分析!H199&lt;&gt;"",分析!H199,"")</f>
        <v>1478</v>
      </c>
      <c r="H196" s="166">
        <f>IF(分析!I199&lt;&gt;"",分析!I199,"")</f>
        <v>1428.5</v>
      </c>
      <c r="I196" s="166">
        <f>IF(分析!J199&lt;&gt;"",分析!J199,"")</f>
        <v>14384100</v>
      </c>
      <c r="J196" s="166">
        <f>IF(分析!AB199&lt;&gt;"",分析!AB199,"")</f>
        <v>6680.7026476578385</v>
      </c>
      <c r="K196" s="166">
        <f>IF(分析!AC199&lt;&gt;"",分析!AC199,"")</f>
        <v>6731.8533969010723</v>
      </c>
      <c r="L196" s="166">
        <f>IF(分析!K199&lt;&gt;"",分析!K199,"")</f>
        <v>1506.5</v>
      </c>
      <c r="M196" s="161" t="str">
        <f>IF(分析!P199&lt;&gt;"",分析!P199,"")</f>
        <v>増加↑</v>
      </c>
      <c r="N196" s="167">
        <f>IF(分析!O199&lt;&gt;"",分析!O199,"")</f>
        <v>1.504339168394037</v>
      </c>
      <c r="O196" s="168">
        <f>IF(分析!X199&lt;&gt;"",分析!X199,"")</f>
        <v>19.68387571197195</v>
      </c>
      <c r="P196" s="169">
        <f>IF(分析!L199&lt;&gt;"",分析!L199,"")</f>
        <v>-3.6840358446730836</v>
      </c>
      <c r="Q196" s="166">
        <f>IF(分析!S199&lt;&gt;"",分析!S199,"")</f>
        <v>1393</v>
      </c>
      <c r="R196" s="166">
        <f>IF(分析!R199&lt;&gt;"",分析!R199,"")</f>
        <v>1567</v>
      </c>
      <c r="S196" s="161" t="str">
        <f>IF(分析!AA199&lt;&gt;"",分析!AA199,"")</f>
        <v>上昇▲</v>
      </c>
      <c r="T196" s="170">
        <f>IF(分析!Z199&lt;&gt;"",分析!Z199,"")</f>
        <v>2.5441696113074208</v>
      </c>
      <c r="U196" s="161" t="str">
        <f>IF(分析!V199&lt;&gt;"",分析!V199,"")</f>
        <v>高値圏</v>
      </c>
      <c r="V196" s="171">
        <f>IF(分析!W199&lt;&gt;"",分析!W199,"")</f>
        <v>77.203065134099617</v>
      </c>
      <c r="W196" s="172" t="str">
        <f>IF(分析!AD199&lt;&gt;"",分析!AD199,"")</f>
        <v>下降トレンド▼</v>
      </c>
      <c r="X196" s="173" t="str">
        <f>IF(分析!AE199&lt;&gt;"",分析!AE199,"")</f>
        <v>なし</v>
      </c>
      <c r="Y196" s="174">
        <f>IF(分析!T199&lt;&gt;"",分析!T199,"")</f>
        <v>13</v>
      </c>
      <c r="Z196" s="160" t="str">
        <f>IF(分析!Y199&lt;&gt;"",分析!Y199,"")</f>
        <v>○買い候補</v>
      </c>
    </row>
    <row r="197" spans="1:26" ht="21.95" customHeight="1">
      <c r="A197" s="161">
        <f>IF(分析!C19&lt;&gt;"",ROW()-2,"")</f>
        <v>195</v>
      </c>
      <c r="B197" s="162" t="str">
        <f>IF(分析!C19&lt;&gt;"",HYPERLINK("https://kabutan.jp/stock/?code="&amp;分析!C19,"株探"),"")</f>
        <v>株探</v>
      </c>
      <c r="C197" s="163">
        <f>IF(分析!C19&lt;&gt;"",分析!C19,"")</f>
        <v>8704</v>
      </c>
      <c r="D197" s="164" t="str">
        <f>IF(分析!D19&lt;&gt;"",分析!D19,"")</f>
        <v>トレイダーズＨＬＤＧＳ</v>
      </c>
      <c r="E197" s="165">
        <f>IF(分析!E19&lt;&gt;"",分析!E19,"")</f>
        <v>1157</v>
      </c>
      <c r="F197" s="166">
        <f>IF(分析!F19&lt;&gt;"",分析!F19,"")</f>
        <v>1146</v>
      </c>
      <c r="G197" s="166">
        <f>IF(分析!H19&lt;&gt;"",分析!H19,"")</f>
        <v>1175</v>
      </c>
      <c r="H197" s="166">
        <f>IF(分析!I19&lt;&gt;"",分析!I19,"")</f>
        <v>1145</v>
      </c>
      <c r="I197" s="166">
        <f>IF(分析!J19&lt;&gt;"",分析!J19,"")</f>
        <v>87800</v>
      </c>
      <c r="J197" s="166">
        <f>IF(分析!AB19&lt;&gt;"",分析!AB19,"")</f>
        <v>7974.1323828920558</v>
      </c>
      <c r="K197" s="166">
        <f>IF(分析!AC19&lt;&gt;"",分析!AC19,"")</f>
        <v>7578.6221692491035</v>
      </c>
      <c r="L197" s="166">
        <f>IF(分析!K19&lt;&gt;"",分析!K19,"")</f>
        <v>1243</v>
      </c>
      <c r="M197" s="161" t="str">
        <f>IF(分析!P19&lt;&gt;"",分析!P19,"")</f>
        <v>減少↓</v>
      </c>
      <c r="N197" s="167">
        <f>IF(分析!O19&lt;&gt;"",分析!O19,"")</f>
        <v>0.82255949035038411</v>
      </c>
      <c r="O197" s="168">
        <f>IF(分析!X19&lt;&gt;"",分析!X19,"")</f>
        <v>-1.690127726984656</v>
      </c>
      <c r="P197" s="169">
        <f>IF(分析!L19&lt;&gt;"",分析!L19,"")</f>
        <v>-6.9187449718423171</v>
      </c>
      <c r="Q197" s="166">
        <f>IF(分析!S19&lt;&gt;"",分析!S19,"")</f>
        <v>1111</v>
      </c>
      <c r="R197" s="166">
        <f>IF(分析!R19&lt;&gt;"",分析!R19,"")</f>
        <v>1250</v>
      </c>
      <c r="S197" s="161" t="str">
        <f>IF(分析!AA19&lt;&gt;"",分析!AA19,"")</f>
        <v>上昇▲</v>
      </c>
      <c r="T197" s="170">
        <f>IF(分析!Z19&lt;&gt;"",分析!Z19,"")</f>
        <v>0.3469210754553339</v>
      </c>
      <c r="U197" s="161" t="str">
        <f>IF(分析!V19&lt;&gt;"",分析!V19,"")</f>
        <v>通常</v>
      </c>
      <c r="V197" s="171">
        <f>IF(分析!W19&lt;&gt;"",分析!W19,"")</f>
        <v>53.135313531353134</v>
      </c>
      <c r="W197" s="172" t="str">
        <f>IF(分析!AD19&lt;&gt;"",分析!AD19,"")</f>
        <v>もみ合い→</v>
      </c>
      <c r="X197" s="173" t="str">
        <f>IF(分析!AE19&lt;&gt;"",分析!AE19,"")</f>
        <v>なし</v>
      </c>
      <c r="Y197" s="174">
        <f>IF(分析!T19&lt;&gt;"",分析!T19,"")</f>
        <v>0</v>
      </c>
      <c r="Z197" s="160" t="str">
        <f>IF(分析!Y19&lt;&gt;"",分析!Y19,"")</f>
        <v>見送り</v>
      </c>
    </row>
    <row r="198" spans="1:26" ht="21.95" customHeight="1">
      <c r="A198" s="146">
        <f>IF(分析!C168&lt;&gt;"",ROW()-2,"")</f>
        <v>196</v>
      </c>
      <c r="B198" s="147" t="str">
        <f>IF(分析!C168&lt;&gt;"",HYPERLINK("https://kabutan.jp/stock/?code="&amp;分析!C168,"株探"),"")</f>
        <v>株探</v>
      </c>
      <c r="C198" s="148">
        <f>IF(分析!C168&lt;&gt;"",分析!C168,"")</f>
        <v>8725</v>
      </c>
      <c r="D198" s="149" t="str">
        <f>IF(分析!D168&lt;&gt;"",分析!D168,"")</f>
        <v>ＭＳ＆ＡＤ</v>
      </c>
      <c r="E198" s="150">
        <f>IF(分析!E168&lt;&gt;"",分析!E168,"")</f>
        <v>4557</v>
      </c>
      <c r="F198" s="151">
        <f>IF(分析!F168&lt;&gt;"",分析!F168,"")</f>
        <v>4656</v>
      </c>
      <c r="G198" s="151">
        <f>IF(分析!H168&lt;&gt;"",分析!H168,"")</f>
        <v>4689</v>
      </c>
      <c r="H198" s="151">
        <f>IF(分析!I168&lt;&gt;"",分析!I168,"")</f>
        <v>4554</v>
      </c>
      <c r="I198" s="151">
        <f>IF(分析!J168&lt;&gt;"",分析!J168,"")</f>
        <v>3959300</v>
      </c>
      <c r="J198" s="151">
        <f>IF(分析!AB168&lt;&gt;"",分析!AB168,"")</f>
        <v>1077.8360488798367</v>
      </c>
      <c r="K198" s="151">
        <f>IF(分析!AC168&lt;&gt;"",分析!AC168,"")</f>
        <v>1046.6150178784264</v>
      </c>
      <c r="L198" s="151">
        <f>IF(分析!K168&lt;&gt;"",分析!K168,"")</f>
        <v>4742</v>
      </c>
      <c r="M198" s="146" t="str">
        <f>IF(分析!P168&lt;&gt;"",分析!P168,"")</f>
        <v>減少↓</v>
      </c>
      <c r="N198" s="152">
        <f>IF(分析!O168&lt;&gt;"",分析!O168,"")</f>
        <v>0.94741401176341089</v>
      </c>
      <c r="O198" s="153">
        <f>IF(分析!X168&lt;&gt;"",分析!X168,"")</f>
        <v>32.579127842413982</v>
      </c>
      <c r="P198" s="154">
        <f>IF(分析!L168&lt;&gt;"",分析!L168,"")</f>
        <v>-3.901307465204555</v>
      </c>
      <c r="Q198" s="151">
        <f>IF(分析!S168&lt;&gt;"",分析!S168,"")</f>
        <v>4375</v>
      </c>
      <c r="R198" s="151">
        <f>IF(分析!R168&lt;&gt;"",分析!R168,"")</f>
        <v>4922</v>
      </c>
      <c r="S198" s="146" t="str">
        <f>IF(分析!AA168&lt;&gt;"",分析!AA168,"")</f>
        <v>下落▼</v>
      </c>
      <c r="T198" s="155">
        <f>IF(分析!Z168&lt;&gt;"",分析!Z168,"")</f>
        <v>-1.278162911611785</v>
      </c>
      <c r="U198" s="146" t="str">
        <f>IF(分析!V168&lt;&gt;"",分析!V168,"")</f>
        <v>高値圏</v>
      </c>
      <c r="V198" s="156">
        <f>IF(分析!W168&lt;&gt;"",分析!W168,"")</f>
        <v>77.100271002710031</v>
      </c>
      <c r="W198" s="157" t="str">
        <f>IF(分析!AD168&lt;&gt;"",分析!AD168,"")</f>
        <v>パーフェクト▲</v>
      </c>
      <c r="X198" s="158" t="str">
        <f>IF(分析!AE168&lt;&gt;"",分析!AE168,"")</f>
        <v>なし</v>
      </c>
      <c r="Y198" s="159">
        <f>IF(分析!T168&lt;&gt;"",分析!T168,"")</f>
        <v>8</v>
      </c>
      <c r="Z198" s="160" t="str">
        <f>IF(分析!Y168&lt;&gt;"",分析!Y168,"")</f>
        <v>△注目</v>
      </c>
    </row>
    <row r="199" spans="1:26" ht="21.95" customHeight="1">
      <c r="A199" s="146">
        <f>IF(分析!C200&lt;&gt;"",ROW()-2,"")</f>
        <v>197</v>
      </c>
      <c r="B199" s="147" t="str">
        <f>IF(分析!C200&lt;&gt;"",HYPERLINK("https://kabutan.jp/stock/?code="&amp;分析!C200,"株探"),"")</f>
        <v>株探</v>
      </c>
      <c r="C199" s="148">
        <f>IF(分析!C200&lt;&gt;"",分析!C200,"")</f>
        <v>8750</v>
      </c>
      <c r="D199" s="149" t="str">
        <f>IF(分析!D200&lt;&gt;"",分析!D200,"")</f>
        <v>第一ライフグループ</v>
      </c>
      <c r="E199" s="150">
        <f>IF(分析!E200&lt;&gt;"",分析!E200,"")</f>
        <v>1793</v>
      </c>
      <c r="F199" s="151">
        <f>IF(分析!F200&lt;&gt;"",分析!F200,"")</f>
        <v>1820</v>
      </c>
      <c r="G199" s="151">
        <f>IF(分析!H200&lt;&gt;"",分析!H200,"")</f>
        <v>1834</v>
      </c>
      <c r="H199" s="151">
        <f>IF(分析!I200&lt;&gt;"",分析!I200,"")</f>
        <v>1788.5</v>
      </c>
      <c r="I199" s="151">
        <f>IF(分析!J200&lt;&gt;"",分析!J200,"")</f>
        <v>7912400</v>
      </c>
      <c r="J199" s="151">
        <f>IF(分析!AB200&lt;&gt;"",分析!AB200,"")</f>
        <v>5203.1221995926662</v>
      </c>
      <c r="K199" s="151">
        <f>IF(分析!AC200&lt;&gt;"",分析!AC200,"")</f>
        <v>5298.4183551847427</v>
      </c>
      <c r="L199" s="151">
        <f>IF(分析!K200&lt;&gt;"",分析!K200,"")</f>
        <v>1816</v>
      </c>
      <c r="M199" s="146" t="str">
        <f>IF(分析!P200&lt;&gt;"",分析!P200,"")</f>
        <v>減少↓</v>
      </c>
      <c r="N199" s="152">
        <f>IF(分析!O200&lt;&gt;"",分析!O200,"")</f>
        <v>0.7432414661180935</v>
      </c>
      <c r="O199" s="153">
        <f>IF(分析!X200&lt;&gt;"",分析!X200,"")</f>
        <v>18.190940697901397</v>
      </c>
      <c r="P199" s="154">
        <f>IF(分析!L200&lt;&gt;"",分析!L200,"")</f>
        <v>-1.2665198237885462</v>
      </c>
      <c r="Q199" s="151">
        <f>IF(分析!S200&lt;&gt;"",分析!S200,"")</f>
        <v>1721</v>
      </c>
      <c r="R199" s="151">
        <f>IF(分析!R200&lt;&gt;"",分析!R200,"")</f>
        <v>1936</v>
      </c>
      <c r="S199" s="146" t="str">
        <f>IF(分析!AA200&lt;&gt;"",分析!AA200,"")</f>
        <v>上昇▲</v>
      </c>
      <c r="T199" s="155">
        <f>IF(分析!Z200&lt;&gt;"",分析!Z200,"")</f>
        <v>0.19558535903883767</v>
      </c>
      <c r="U199" s="146" t="str">
        <f>IF(分析!V200&lt;&gt;"",分析!V200,"")</f>
        <v>年初来高値更新●</v>
      </c>
      <c r="V199" s="156">
        <f>IF(分析!W200&lt;&gt;"",分析!W200,"")</f>
        <v>76.109936575052856</v>
      </c>
      <c r="W199" s="157" t="str">
        <f>IF(分析!AD200&lt;&gt;"",分析!AD200,"")</f>
        <v>下降トレンド▼</v>
      </c>
      <c r="X199" s="158" t="str">
        <f>IF(分析!AE200&lt;&gt;"",分析!AE200,"")</f>
        <v>なし</v>
      </c>
      <c r="Y199" s="159">
        <f>IF(分析!T200&lt;&gt;"",分析!T200,"")</f>
        <v>9</v>
      </c>
      <c r="Z199" s="160" t="str">
        <f>IF(分析!Y200&lt;&gt;"",分析!Y200,"")</f>
        <v>△注目</v>
      </c>
    </row>
    <row r="200" spans="1:26" ht="21.95" customHeight="1">
      <c r="A200" s="146">
        <f>IF(分析!C60&lt;&gt;"",ROW()-2,"")</f>
        <v>198</v>
      </c>
      <c r="B200" s="147" t="str">
        <f>IF(分析!C60&lt;&gt;"",HYPERLINK("https://kabutan.jp/stock/?code="&amp;分析!C60,"株探"),"")</f>
        <v>株探</v>
      </c>
      <c r="C200" s="148">
        <f>IF(分析!C60&lt;&gt;"",分析!C60,"")</f>
        <v>9069</v>
      </c>
      <c r="D200" s="149" t="str">
        <f>IF(分析!D60&lt;&gt;"",分析!D60,"")</f>
        <v>センコーグループＨＬＤＧＳ</v>
      </c>
      <c r="E200" s="150">
        <f>IF(分析!E60&lt;&gt;"",分析!E60,"")</f>
        <v>1907.5</v>
      </c>
      <c r="F200" s="151">
        <f>IF(分析!F60&lt;&gt;"",分析!F60,"")</f>
        <v>1940</v>
      </c>
      <c r="G200" s="151">
        <f>IF(分析!H60&lt;&gt;"",分析!H60,"")</f>
        <v>1952.5</v>
      </c>
      <c r="H200" s="151">
        <f>IF(分析!I60&lt;&gt;"",分析!I60,"")</f>
        <v>1898</v>
      </c>
      <c r="I200" s="151">
        <f>IF(分析!J60&lt;&gt;"",分析!J60,"")</f>
        <v>267400</v>
      </c>
      <c r="J200" s="151">
        <f>IF(分析!AB60&lt;&gt;"",分析!AB60,"")</f>
        <v>3167.8421588594697</v>
      </c>
      <c r="K200" s="151">
        <f>IF(分析!AC60&lt;&gt;"",分析!AC60,"")</f>
        <v>3278.20023837902</v>
      </c>
      <c r="L200" s="151">
        <f>IF(分析!K60&lt;&gt;"",分析!K60,"")</f>
        <v>2145</v>
      </c>
      <c r="M200" s="146" t="str">
        <f>IF(分析!P60&lt;&gt;"",分析!P60,"")</f>
        <v>減少↓</v>
      </c>
      <c r="N200" s="152">
        <f>IF(分析!O60&lt;&gt;"",分析!O60,"")</f>
        <v>0.81728712023962347</v>
      </c>
      <c r="O200" s="153">
        <f>IF(分析!X60&lt;&gt;"",分析!X60,"")</f>
        <v>-5.0297326450108812</v>
      </c>
      <c r="P200" s="154">
        <f>IF(分析!L60&lt;&gt;"",分析!L60,"")</f>
        <v>-11.072261072261073</v>
      </c>
      <c r="Q200" s="151">
        <f>IF(分析!S60&lt;&gt;"",分析!S60,"")</f>
        <v>1831</v>
      </c>
      <c r="R200" s="151">
        <f>IF(分析!R60&lt;&gt;"",分析!R60,"")</f>
        <v>2060</v>
      </c>
      <c r="S200" s="146" t="str">
        <f>IF(分析!AA60&lt;&gt;"",分析!AA60,"")</f>
        <v>下落▼</v>
      </c>
      <c r="T200" s="155">
        <f>IF(分析!Z60&lt;&gt;"",分析!Z60,"")</f>
        <v>-1.29366106080207</v>
      </c>
      <c r="U200" s="146" t="str">
        <f>IF(分析!V60&lt;&gt;"",分析!V60,"")</f>
        <v>通常</v>
      </c>
      <c r="V200" s="156">
        <f>IF(分析!W60&lt;&gt;"",分析!W60,"")</f>
        <v>49.299719887955185</v>
      </c>
      <c r="W200" s="157" t="str">
        <f>IF(分析!AD60&lt;&gt;"",分析!AD60,"")</f>
        <v>下降トレンド▼</v>
      </c>
      <c r="X200" s="158" t="str">
        <f>IF(分析!AE60&lt;&gt;"",分析!AE60,"")</f>
        <v>なし</v>
      </c>
      <c r="Y200" s="159">
        <f>IF(分析!T60&lt;&gt;"",分析!T60,"")</f>
        <v>-1</v>
      </c>
      <c r="Z200" s="160" t="str">
        <f>IF(分析!Y60&lt;&gt;"",分析!Y60,"")</f>
        <v>見送り</v>
      </c>
    </row>
    <row r="201" spans="1:26" ht="21.95" customHeight="1">
      <c r="A201" s="161">
        <f>IF(分析!C99&lt;&gt;"",ROW()-2,"")</f>
        <v>199</v>
      </c>
      <c r="B201" s="162" t="str">
        <f>IF(分析!C99&lt;&gt;"",HYPERLINK("https://kabutan.jp/stock/?code="&amp;分析!C99,"株探"),"")</f>
        <v>株探</v>
      </c>
      <c r="C201" s="163">
        <f>IF(分析!C99&lt;&gt;"",分析!C99,"")</f>
        <v>9202</v>
      </c>
      <c r="D201" s="164" t="str">
        <f>IF(分析!D99&lt;&gt;"",分析!D99,"")</f>
        <v>ＡＮＡホールディングス</v>
      </c>
      <c r="E201" s="165">
        <f>IF(分析!E99&lt;&gt;"",分析!E99,"")</f>
        <v>3033</v>
      </c>
      <c r="F201" s="166">
        <f>IF(分析!F99&lt;&gt;"",分析!F99,"")</f>
        <v>3050</v>
      </c>
      <c r="G201" s="166">
        <f>IF(分析!H99&lt;&gt;"",分析!H99,"")</f>
        <v>3076</v>
      </c>
      <c r="H201" s="166">
        <f>IF(分析!I99&lt;&gt;"",分析!I99,"")</f>
        <v>3026</v>
      </c>
      <c r="I201" s="166">
        <f>IF(分析!J99&lt;&gt;"",分析!J99,"")</f>
        <v>2230900</v>
      </c>
      <c r="J201" s="166">
        <f>IF(分析!AB99&lt;&gt;"",分析!AB99,"")</f>
        <v>2274.7219959266799</v>
      </c>
      <c r="K201" s="166">
        <f>IF(分析!AC99&lt;&gt;"",分析!AC99,"")</f>
        <v>2232.6209773539913</v>
      </c>
      <c r="L201" s="166">
        <f>IF(分析!K99&lt;&gt;"",分析!K99,"")</f>
        <v>3419</v>
      </c>
      <c r="M201" s="161" t="str">
        <f>IF(分析!P99&lt;&gt;"",分析!P99,"")</f>
        <v>減少↓</v>
      </c>
      <c r="N201" s="167">
        <f>IF(分析!O99&lt;&gt;"",分析!O99,"")</f>
        <v>0.88006027756081007</v>
      </c>
      <c r="O201" s="168">
        <f>IF(分析!X99&lt;&gt;"",分析!X99,"")</f>
        <v>15.95943205473759</v>
      </c>
      <c r="P201" s="169">
        <f>IF(分析!L99&lt;&gt;"",分析!L99,"")</f>
        <v>-11.28985083357707</v>
      </c>
      <c r="Q201" s="166">
        <f>IF(分析!S99&lt;&gt;"",分析!S99,"")</f>
        <v>2912</v>
      </c>
      <c r="R201" s="166">
        <f>IF(分析!R99&lt;&gt;"",分析!R99,"")</f>
        <v>3276</v>
      </c>
      <c r="S201" s="161" t="str">
        <f>IF(分析!AA99&lt;&gt;"",分析!AA99,"")</f>
        <v>下落▼</v>
      </c>
      <c r="T201" s="170">
        <f>IF(分析!Z99&lt;&gt;"",分析!Z99,"")</f>
        <v>-0.32862306933946761</v>
      </c>
      <c r="U201" s="161" t="str">
        <f>IF(分析!V99&lt;&gt;"",分析!V99,"")</f>
        <v>通常</v>
      </c>
      <c r="V201" s="171">
        <f>IF(分析!W99&lt;&gt;"",分析!W99,"")</f>
        <v>63.299131807419101</v>
      </c>
      <c r="W201" s="172" t="str">
        <f>IF(分析!AD99&lt;&gt;"",分析!AD99,"")</f>
        <v>パーフェクト▲</v>
      </c>
      <c r="X201" s="173" t="str">
        <f>IF(分析!AE99&lt;&gt;"",分析!AE99,"")</f>
        <v>なし</v>
      </c>
      <c r="Y201" s="174">
        <f>IF(分析!T99&lt;&gt;"",分析!T99,"")</f>
        <v>7</v>
      </c>
      <c r="Z201" s="160" t="str">
        <f>IF(分析!Y99&lt;&gt;"",分析!Y99,"")</f>
        <v>△注目</v>
      </c>
    </row>
    <row r="202" spans="1:26" ht="21.95" customHeight="1">
      <c r="A202" s="146">
        <f>IF(分析!C146&lt;&gt;"",ROW()-2,"")</f>
        <v>200</v>
      </c>
      <c r="B202" s="147" t="str">
        <f>IF(分析!C146&lt;&gt;"",HYPERLINK("https://kabutan.jp/stock/?code="&amp;分析!C146,"株探"),"")</f>
        <v>株探</v>
      </c>
      <c r="C202" s="148">
        <f>IF(分析!C146&lt;&gt;"",分析!C146,"")</f>
        <v>9227</v>
      </c>
      <c r="D202" s="149" t="str">
        <f>IF(分析!D146&lt;&gt;"",分析!D146,"")</f>
        <v>マイクロ波化学</v>
      </c>
      <c r="E202" s="150">
        <f>IF(分析!E146&lt;&gt;"",分析!E146,"")</f>
        <v>881</v>
      </c>
      <c r="F202" s="151">
        <f>IF(分析!F146&lt;&gt;"",分析!F146,"")</f>
        <v>877</v>
      </c>
      <c r="G202" s="151">
        <f>IF(分析!H146&lt;&gt;"",分析!H146,"")</f>
        <v>896</v>
      </c>
      <c r="H202" s="151">
        <f>IF(分析!I146&lt;&gt;"",分析!I146,"")</f>
        <v>868</v>
      </c>
      <c r="I202" s="151">
        <f>IF(分析!J146&lt;&gt;"",分析!J146,"")</f>
        <v>110100</v>
      </c>
      <c r="J202" s="151">
        <f>IF(分析!AB146&lt;&gt;"",分析!AB146,"")</f>
        <v>2082.2077393075351</v>
      </c>
      <c r="K202" s="151">
        <f>IF(分析!AC146&lt;&gt;"",分析!AC146,"")</f>
        <v>2113.8271752085816</v>
      </c>
      <c r="L202" s="151">
        <f>IF(分析!K146&lt;&gt;"",分析!K146,"")</f>
        <v>1620</v>
      </c>
      <c r="M202" s="146" t="str">
        <f>IF(分析!P146&lt;&gt;"",分析!P146,"")</f>
        <v>減少↓</v>
      </c>
      <c r="N202" s="152">
        <f>IF(分析!O146&lt;&gt;"",分析!O146,"")</f>
        <v>0.61874789254804985</v>
      </c>
      <c r="O202" s="153">
        <f>IF(分析!X146&lt;&gt;"",分析!X146,"")</f>
        <v>-7.9897229331431845</v>
      </c>
      <c r="P202" s="154">
        <f>IF(分析!L146&lt;&gt;"",分析!L146,"")</f>
        <v>-45.617283950617285</v>
      </c>
      <c r="Q202" s="151">
        <f>IF(分析!S146&lt;&gt;"",分析!S146,"")</f>
        <v>846</v>
      </c>
      <c r="R202" s="151">
        <f>IF(分析!R146&lt;&gt;"",分析!R146,"")</f>
        <v>951</v>
      </c>
      <c r="S202" s="146" t="str">
        <f>IF(分析!AA146&lt;&gt;"",分析!AA146,"")</f>
        <v>上昇▲</v>
      </c>
      <c r="T202" s="155">
        <f>IF(分析!Z146&lt;&gt;"",分析!Z146,"")</f>
        <v>1.8497109826589597</v>
      </c>
      <c r="U202" s="146" t="str">
        <f>IF(分析!V146&lt;&gt;"",分析!V146,"")</f>
        <v>通常</v>
      </c>
      <c r="V202" s="156">
        <f>IF(分析!W146&lt;&gt;"",分析!W146,"")</f>
        <v>44.412607449856736</v>
      </c>
      <c r="W202" s="157" t="str">
        <f>IF(分析!AD146&lt;&gt;"",分析!AD146,"")</f>
        <v>下降トレンド▼</v>
      </c>
      <c r="X202" s="158" t="str">
        <f>IF(分析!AE146&lt;&gt;"",分析!AE146,"")</f>
        <v>なし</v>
      </c>
      <c r="Y202" s="159">
        <f>IF(分析!T146&lt;&gt;"",分析!T146,"")</f>
        <v>1</v>
      </c>
      <c r="Z202" s="160" t="str">
        <f>IF(分析!Y146&lt;&gt;"",分析!Y146,"")</f>
        <v>見送り</v>
      </c>
    </row>
    <row r="203" spans="1:26" ht="21.95" customHeight="1">
      <c r="A203" s="146">
        <f>IF(分析!C22&lt;&gt;"",ROW()-2,"")</f>
        <v>201</v>
      </c>
      <c r="B203" s="147" t="str">
        <f>IF(分析!C22&lt;&gt;"",HYPERLINK("https://kabutan.jp/stock/?code="&amp;分析!C22,"株探"),"")</f>
        <v>株探</v>
      </c>
      <c r="C203" s="148">
        <f>IF(分析!C22&lt;&gt;"",分析!C22,"")</f>
        <v>9412</v>
      </c>
      <c r="D203" s="149" t="str">
        <f>IF(分析!D22&lt;&gt;"",分析!D22,"")</f>
        <v>スカパーＪＳＡＴ</v>
      </c>
      <c r="E203" s="150">
        <f>IF(分析!E22&lt;&gt;"",分析!E22,"")</f>
        <v>3355</v>
      </c>
      <c r="F203" s="151">
        <f>IF(分析!F22&lt;&gt;"",分析!F22,"")</f>
        <v>3300</v>
      </c>
      <c r="G203" s="151">
        <f>IF(分析!H22&lt;&gt;"",分析!H22,"")</f>
        <v>3420</v>
      </c>
      <c r="H203" s="151">
        <f>IF(分析!I22&lt;&gt;"",分析!I22,"")</f>
        <v>3295</v>
      </c>
      <c r="I203" s="151">
        <f>IF(分析!J22&lt;&gt;"",分析!J22,"")</f>
        <v>1970700</v>
      </c>
      <c r="J203" s="151">
        <f>IF(分析!AB22&lt;&gt;"",分析!AB22,"")</f>
        <v>1309.0544806517307</v>
      </c>
      <c r="K203" s="151">
        <f>IF(分析!AC22&lt;&gt;"",分析!AC22,"")</f>
        <v>1344.7485101311077</v>
      </c>
      <c r="L203" s="151">
        <f>IF(分析!K22&lt;&gt;"",分析!K22,"")</f>
        <v>4720</v>
      </c>
      <c r="M203" s="146" t="str">
        <f>IF(分析!P22&lt;&gt;"",分析!P22,"")</f>
        <v>減少↓</v>
      </c>
      <c r="N203" s="152">
        <f>IF(分析!O22&lt;&gt;"",分析!O22,"")</f>
        <v>0.63066032603477962</v>
      </c>
      <c r="O203" s="153">
        <f>IF(分析!X22&lt;&gt;"",分析!X22,"")</f>
        <v>-128.42959293740205</v>
      </c>
      <c r="P203" s="154">
        <f>IF(分析!L22&lt;&gt;"",分析!L22,"")</f>
        <v>-28.91949152542373</v>
      </c>
      <c r="Q203" s="151">
        <f>IF(分析!S22&lt;&gt;"",分析!S22,"")</f>
        <v>3221</v>
      </c>
      <c r="R203" s="151">
        <f>IF(分析!R22&lt;&gt;"",分析!R22,"")</f>
        <v>3623</v>
      </c>
      <c r="S203" s="146" t="str">
        <f>IF(分析!AA22&lt;&gt;"",分析!AA22,"")</f>
        <v>上昇▲</v>
      </c>
      <c r="T203" s="155">
        <f>IF(分析!Z22&lt;&gt;"",分析!Z22,"")</f>
        <v>2.5993883792048931</v>
      </c>
      <c r="U203" s="146" t="str">
        <f>IF(分析!V22&lt;&gt;"",分析!V22,"")</f>
        <v>通常</v>
      </c>
      <c r="V203" s="156">
        <f>IF(分析!W22&lt;&gt;"",分析!W22,"")</f>
        <v>31.25</v>
      </c>
      <c r="W203" s="157" t="str">
        <f>IF(分析!AD22&lt;&gt;"",分析!AD22,"")</f>
        <v>上昇トレンド▲</v>
      </c>
      <c r="X203" s="158" t="str">
        <f>IF(分析!AE22&lt;&gt;"",分析!AE22,"")</f>
        <v>なし</v>
      </c>
      <c r="Y203" s="159">
        <f>IF(分析!T22&lt;&gt;"",分析!T22,"")</f>
        <v>3</v>
      </c>
      <c r="Z203" s="160" t="str">
        <f>IF(分析!Y22&lt;&gt;"",分析!Y22,"")</f>
        <v>様子見</v>
      </c>
    </row>
    <row r="204" spans="1:26" ht="21.95" customHeight="1">
      <c r="A204" s="161">
        <f>IF(分析!C77&lt;&gt;"",ROW()-2,"")</f>
        <v>202</v>
      </c>
      <c r="B204" s="162" t="str">
        <f>IF(分析!C77&lt;&gt;"",HYPERLINK("https://kabutan.jp/stock/?code="&amp;分析!C77,"株探"),"")</f>
        <v>株探</v>
      </c>
      <c r="C204" s="163">
        <f>IF(分析!C77&lt;&gt;"",分析!C77,"")</f>
        <v>9449</v>
      </c>
      <c r="D204" s="164" t="str">
        <f>IF(分析!D77&lt;&gt;"",分析!D77,"")</f>
        <v>ＧＭＯインターネットグループ</v>
      </c>
      <c r="E204" s="165">
        <f>IF(分析!E77&lt;&gt;"",分析!E77,"")</f>
        <v>3098</v>
      </c>
      <c r="F204" s="166">
        <f>IF(分析!F77&lt;&gt;"",分析!F77,"")</f>
        <v>3100</v>
      </c>
      <c r="G204" s="166">
        <f>IF(分析!H77&lt;&gt;"",分析!H77,"")</f>
        <v>3128</v>
      </c>
      <c r="H204" s="166">
        <f>IF(分析!I77&lt;&gt;"",分析!I77,"")</f>
        <v>3063</v>
      </c>
      <c r="I204" s="166">
        <f>IF(分析!J77&lt;&gt;"",分析!J77,"")</f>
        <v>248200</v>
      </c>
      <c r="J204" s="166">
        <f>IF(分析!AB77&lt;&gt;"",分析!AB77,"")</f>
        <v>4567.462321792259</v>
      </c>
      <c r="K204" s="166">
        <f>IF(分析!AC77&lt;&gt;"",分析!AC77,"")</f>
        <v>4435.6257449344448</v>
      </c>
      <c r="L204" s="166">
        <f>IF(分析!K77&lt;&gt;"",分析!K77,"")</f>
        <v>4118</v>
      </c>
      <c r="M204" s="161" t="str">
        <f>IF(分析!P77&lt;&gt;"",分析!P77,"")</f>
        <v>減少↓</v>
      </c>
      <c r="N204" s="167">
        <f>IF(分析!O77&lt;&gt;"",分析!O77,"")</f>
        <v>0.87443630214205181</v>
      </c>
      <c r="O204" s="168">
        <f>IF(分析!X77&lt;&gt;"",分析!X77,"")</f>
        <v>-20.772917421258171</v>
      </c>
      <c r="P204" s="169">
        <f>IF(分析!L77&lt;&gt;"",分析!L77,"")</f>
        <v>-24.769305488101022</v>
      </c>
      <c r="Q204" s="166">
        <f>IF(分析!S77&lt;&gt;"",分析!S77,"")</f>
        <v>2974</v>
      </c>
      <c r="R204" s="166">
        <f>IF(分析!R77&lt;&gt;"",分析!R77,"")</f>
        <v>3346</v>
      </c>
      <c r="S204" s="161" t="str">
        <f>IF(分析!AA77&lt;&gt;"",分析!AA77,"")</f>
        <v>上昇▲</v>
      </c>
      <c r="T204" s="170">
        <f>IF(分析!Z77&lt;&gt;"",分析!Z77,"")</f>
        <v>0.48653908530651963</v>
      </c>
      <c r="U204" s="161" t="str">
        <f>IF(分析!V77&lt;&gt;"",分析!V77,"")</f>
        <v>通常</v>
      </c>
      <c r="V204" s="171">
        <f>IF(分析!W77&lt;&gt;"",分析!W77,"")</f>
        <v>22.003577817531294</v>
      </c>
      <c r="W204" s="172" t="str">
        <f>IF(分析!AD77&lt;&gt;"",分析!AD77,"")</f>
        <v>もみ合い→</v>
      </c>
      <c r="X204" s="173" t="str">
        <f>IF(分析!AE77&lt;&gt;"",分析!AE77,"")</f>
        <v>なし</v>
      </c>
      <c r="Y204" s="174">
        <f>IF(分析!T77&lt;&gt;"",分析!T77,"")</f>
        <v>2</v>
      </c>
      <c r="Z204" s="160" t="str">
        <f>IF(分析!Y77&lt;&gt;"",分析!Y77,"")</f>
        <v>見送り</v>
      </c>
    </row>
    <row r="205" spans="1:26" ht="21.95" customHeight="1">
      <c r="A205" s="146">
        <f>IF(分析!C44&lt;&gt;"",ROW()-2,"")</f>
        <v>203</v>
      </c>
      <c r="B205" s="147" t="str">
        <f>IF(分析!C44&lt;&gt;"",HYPERLINK("https://kabutan.jp/stock/?code="&amp;分析!C44,"株探"),"")</f>
        <v>株探</v>
      </c>
      <c r="C205" s="148">
        <f>IF(分析!C44&lt;&gt;"",分析!C44,"")</f>
        <v>9687</v>
      </c>
      <c r="D205" s="149" t="str">
        <f>IF(分析!D44&lt;&gt;"",分析!D44,"")</f>
        <v>ＫＳＫ</v>
      </c>
      <c r="E205" s="150">
        <f>IF(分析!E44&lt;&gt;"",分析!E44,"")</f>
        <v>4345</v>
      </c>
      <c r="F205" s="151">
        <f>IF(分析!F44&lt;&gt;"",分析!F44,"")</f>
        <v>4325</v>
      </c>
      <c r="G205" s="151">
        <f>IF(分析!H44&lt;&gt;"",分析!H44,"")</f>
        <v>4350</v>
      </c>
      <c r="H205" s="151">
        <f>IF(分析!I44&lt;&gt;"",分析!I44,"")</f>
        <v>4325</v>
      </c>
      <c r="I205" s="151">
        <f>IF(分析!J44&lt;&gt;"",分析!J44,"")</f>
        <v>1700</v>
      </c>
      <c r="J205" s="151">
        <f>IF(分析!AB44&lt;&gt;"",分析!AB44,"")</f>
        <v>553.43105906313633</v>
      </c>
      <c r="K205" s="151">
        <f>IF(分析!AC44&lt;&gt;"",分析!AC44,"")</f>
        <v>550.73075089392114</v>
      </c>
      <c r="L205" s="151">
        <f>IF(分析!K44&lt;&gt;"",分析!K44,"")</f>
        <v>5320</v>
      </c>
      <c r="M205" s="146" t="str">
        <f>IF(分析!P44&lt;&gt;"",分析!P44,"")</f>
        <v>普通→</v>
      </c>
      <c r="N205" s="152">
        <f>IF(分析!O44&lt;&gt;"",分析!O44,"")</f>
        <v>1.1333333333333333</v>
      </c>
      <c r="O205" s="153">
        <f>IF(分析!X44&lt;&gt;"",分析!X44,"")</f>
        <v>-4.3045267653478732</v>
      </c>
      <c r="P205" s="154">
        <f>IF(分析!L44&lt;&gt;"",分析!L44,"")</f>
        <v>-18.327067669172934</v>
      </c>
      <c r="Q205" s="151">
        <f>IF(分析!S44&lt;&gt;"",分析!S44,"")</f>
        <v>4171</v>
      </c>
      <c r="R205" s="151">
        <f>IF(分析!R44&lt;&gt;"",分析!R44,"")</f>
        <v>4693</v>
      </c>
      <c r="S205" s="146" t="str">
        <f>IF(分析!AA44&lt;&gt;"",分析!AA44,"")</f>
        <v>上昇▲</v>
      </c>
      <c r="T205" s="155">
        <f>IF(分析!Z44&lt;&gt;"",分析!Z44,"")</f>
        <v>1.0465116279069768</v>
      </c>
      <c r="U205" s="146" t="str">
        <f>IF(分析!V44&lt;&gt;"",分析!V44,"")</f>
        <v>通常</v>
      </c>
      <c r="V205" s="156">
        <f>IF(分析!W44&lt;&gt;"",分析!W44,"")</f>
        <v>49.152542372881356</v>
      </c>
      <c r="W205" s="157" t="str">
        <f>IF(分析!AD44&lt;&gt;"",分析!AD44,"")</f>
        <v>パーフェクト▲</v>
      </c>
      <c r="X205" s="158" t="str">
        <f>IF(分析!AE44&lt;&gt;"",分析!AE44,"")</f>
        <v>なし</v>
      </c>
      <c r="Y205" s="159">
        <f>IF(分析!T44&lt;&gt;"",分析!T44,"")</f>
        <v>4</v>
      </c>
      <c r="Z205" s="160" t="str">
        <f>IF(分析!Y44&lt;&gt;"",分析!Y44,"")</f>
        <v>様子見</v>
      </c>
    </row>
    <row r="206" spans="1:26" ht="21.95" customHeight="1">
      <c r="A206" s="146">
        <f>IF(分析!C36&lt;&gt;"",ROW()-2,"")</f>
        <v>204</v>
      </c>
      <c r="B206" s="147" t="str">
        <f>IF(分析!C36&lt;&gt;"",HYPERLINK("https://kabutan.jp/stock/?code="&amp;分析!C36,"株探"),"")</f>
        <v>株探</v>
      </c>
      <c r="C206" s="148" t="str">
        <f>IF(分析!C36&lt;&gt;"",分析!C36,"")</f>
        <v>TOPX</v>
      </c>
      <c r="D206" s="149">
        <f>IF(分析!D36&lt;&gt;"",分析!D36,"")</f>
        <v>4013.23</v>
      </c>
      <c r="E206" s="150" t="str">
        <f>IF(分析!E36&lt;&gt;"",分析!E36,"")</f>
        <v/>
      </c>
      <c r="F206" s="151" t="str">
        <f>IF(分析!F36&lt;&gt;"",分析!F36,"")</f>
        <v/>
      </c>
      <c r="G206" s="151" t="str">
        <f>IF(分析!H36&lt;&gt;"",分析!H36,"")</f>
        <v/>
      </c>
      <c r="H206" s="151" t="str">
        <f>IF(分析!I36&lt;&gt;"",分析!I36,"")</f>
        <v/>
      </c>
      <c r="I206" s="151" t="str">
        <f>IF(分析!J36&lt;&gt;"",分析!J36,"")</f>
        <v/>
      </c>
      <c r="J206" s="151">
        <f>IF(分析!AB36&lt;&gt;"",分析!AB36,"")</f>
        <v>1956.0697556008142</v>
      </c>
      <c r="K206" s="151">
        <f>IF(分析!AC36&lt;&gt;"",分析!AC36,"")</f>
        <v>1945.8837902264593</v>
      </c>
      <c r="L206" s="151" t="str">
        <f>IF(分析!K36&lt;&gt;"",分析!K36,"")</f>
        <v/>
      </c>
      <c r="M206" s="146" t="str">
        <f>IF(分析!P36&lt;&gt;"",分析!P36,"")</f>
        <v/>
      </c>
      <c r="N206" s="152" t="str">
        <f>IF(分析!O36&lt;&gt;"",分析!O36,"")</f>
        <v/>
      </c>
      <c r="O206" s="153" t="str">
        <f>IF(分析!X36&lt;&gt;"",分析!X36,"")</f>
        <v/>
      </c>
      <c r="P206" s="154" t="str">
        <f>IF(分析!L36&lt;&gt;"",分析!L36,"")</f>
        <v/>
      </c>
      <c r="Q206" s="151" t="str">
        <f>IF(分析!S36&lt;&gt;"",分析!S36,"")</f>
        <v/>
      </c>
      <c r="R206" s="151" t="str">
        <f>IF(分析!R36&lt;&gt;"",分析!R36,"")</f>
        <v/>
      </c>
      <c r="S206" s="146" t="str">
        <f>IF(分析!AA36&lt;&gt;"",分析!AA36,"")</f>
        <v/>
      </c>
      <c r="T206" s="155" t="str">
        <f>IF(分析!Z36&lt;&gt;"",分析!Z36,"")</f>
        <v/>
      </c>
      <c r="U206" s="146" t="str">
        <f>IF(分析!V36&lt;&gt;"",分析!V36,"")</f>
        <v/>
      </c>
      <c r="V206" s="156" t="str">
        <f>IF(分析!W36&lt;&gt;"",分析!W36,"")</f>
        <v/>
      </c>
      <c r="W206" s="157" t="str">
        <f>IF(分析!AD36&lt;&gt;"",分析!AD36,"")</f>
        <v>パーフェクト▲</v>
      </c>
      <c r="X206" s="158" t="e">
        <f>IF(分析!AE36&lt;&gt;"",分析!AE36,"")</f>
        <v>#VALUE!</v>
      </c>
      <c r="Y206" s="159">
        <f>IF(分析!T36&lt;&gt;"",分析!T36,"")</f>
        <v>0</v>
      </c>
      <c r="Z206" s="160" t="e">
        <f>IF(分析!Y36&lt;&gt;"",分析!Y36,"")</f>
        <v>#VALUE!</v>
      </c>
    </row>
    <row r="207" spans="1:26" ht="21.95" customHeight="1">
      <c r="A207" s="161" t="str">
        <f>IF(分析!C207&lt;&gt;"",ROW()-2,"")</f>
        <v/>
      </c>
      <c r="B207" s="162" t="str">
        <f>IF(分析!C207&lt;&gt;"",HYPERLINK("https://kabutan.jp/stock/?code="&amp;分析!C207,"株探"),"")</f>
        <v/>
      </c>
      <c r="C207" s="163" t="str">
        <f>IF(分析!C207&lt;&gt;"",分析!C207,"")</f>
        <v/>
      </c>
      <c r="D207" s="164" t="str">
        <f>IF(分析!D207&lt;&gt;"",分析!D207,"")</f>
        <v/>
      </c>
      <c r="E207" s="165" t="str">
        <f>IF(分析!E207&lt;&gt;"",分析!E207,"")</f>
        <v/>
      </c>
      <c r="F207" s="166" t="str">
        <f>IF(分析!F207&lt;&gt;"",分析!F207,"")</f>
        <v/>
      </c>
      <c r="G207" s="166" t="str">
        <f>IF(分析!H207&lt;&gt;"",分析!H207,"")</f>
        <v/>
      </c>
      <c r="H207" s="166" t="str">
        <f>IF(分析!I207&lt;&gt;"",分析!I207,"")</f>
        <v/>
      </c>
      <c r="I207" s="166" t="str">
        <f>IF(分析!J207&lt;&gt;"",分析!J207,"")</f>
        <v/>
      </c>
      <c r="J207" s="166" t="str">
        <f>IF(分析!AB207&lt;&gt;"",分析!AB207,"")</f>
        <v/>
      </c>
      <c r="K207" s="166" t="str">
        <f>IF(分析!AC207&lt;&gt;"",分析!AC207,"")</f>
        <v/>
      </c>
      <c r="L207" s="166" t="str">
        <f>IF(分析!K207&lt;&gt;"",分析!K207,"")</f>
        <v/>
      </c>
      <c r="M207" s="161" t="str">
        <f>IF(分析!P207&lt;&gt;"",分析!P207,"")</f>
        <v/>
      </c>
      <c r="N207" s="167" t="str">
        <f>IF(分析!O207&lt;&gt;"",分析!O207,"")</f>
        <v/>
      </c>
      <c r="O207" s="168" t="str">
        <f>IF(分析!X207&lt;&gt;"",分析!X207,"")</f>
        <v/>
      </c>
      <c r="P207" s="169" t="str">
        <f>IF(分析!L207&lt;&gt;"",分析!L207,"")</f>
        <v/>
      </c>
      <c r="Q207" s="166" t="str">
        <f>IF(分析!S207&lt;&gt;"",分析!S207,"")</f>
        <v/>
      </c>
      <c r="R207" s="166" t="str">
        <f>IF(分析!R207&lt;&gt;"",分析!R207,"")</f>
        <v/>
      </c>
      <c r="S207" s="161" t="str">
        <f>IF(分析!AA207&lt;&gt;"",分析!AA207,"")</f>
        <v/>
      </c>
      <c r="T207" s="170" t="str">
        <f>IF(分析!Z207&lt;&gt;"",分析!Z207,"")</f>
        <v/>
      </c>
      <c r="U207" s="161" t="str">
        <f>IF(分析!V207&lt;&gt;"",分析!V207,"")</f>
        <v/>
      </c>
      <c r="V207" s="171" t="str">
        <f>IF(分析!W207&lt;&gt;"",分析!W207,"")</f>
        <v/>
      </c>
      <c r="W207" s="172" t="str">
        <f>IF(分析!AD207&lt;&gt;"",分析!AD207,"")</f>
        <v/>
      </c>
      <c r="X207" s="173" t="str">
        <f>IF(分析!AE207&lt;&gt;"",分析!AE207,"")</f>
        <v/>
      </c>
      <c r="Y207" s="174" t="str">
        <f>IF(分析!T207&lt;&gt;"",分析!T207,"")</f>
        <v/>
      </c>
      <c r="Z207" s="160" t="str">
        <f>IF(分析!Y207&lt;&gt;"",分析!Y207,"")</f>
        <v/>
      </c>
    </row>
    <row r="208" spans="1:26" ht="21.95" customHeight="1">
      <c r="A208" s="146" t="str">
        <f>IF(分析!C208&lt;&gt;"",ROW()-2,"")</f>
        <v/>
      </c>
      <c r="B208" s="147" t="str">
        <f>IF(分析!C208&lt;&gt;"",HYPERLINK("https://kabutan.jp/stock/?code="&amp;分析!C208,"株探"),"")</f>
        <v/>
      </c>
      <c r="C208" s="148" t="str">
        <f>IF(分析!C208&lt;&gt;"",分析!C208,"")</f>
        <v/>
      </c>
      <c r="D208" s="149" t="str">
        <f>IF(分析!D208&lt;&gt;"",分析!D208,"")</f>
        <v/>
      </c>
      <c r="E208" s="150" t="str">
        <f>IF(分析!E208&lt;&gt;"",分析!E208,"")</f>
        <v/>
      </c>
      <c r="F208" s="151" t="str">
        <f>IF(分析!F208&lt;&gt;"",分析!F208,"")</f>
        <v/>
      </c>
      <c r="G208" s="151" t="str">
        <f>IF(分析!H208&lt;&gt;"",分析!H208,"")</f>
        <v/>
      </c>
      <c r="H208" s="151" t="str">
        <f>IF(分析!I208&lt;&gt;"",分析!I208,"")</f>
        <v/>
      </c>
      <c r="I208" s="151" t="str">
        <f>IF(分析!J208&lt;&gt;"",分析!J208,"")</f>
        <v/>
      </c>
      <c r="J208" s="151" t="str">
        <f>IF(分析!AB208&lt;&gt;"",分析!AB208,"")</f>
        <v/>
      </c>
      <c r="K208" s="151" t="str">
        <f>IF(分析!AC208&lt;&gt;"",分析!AC208,"")</f>
        <v/>
      </c>
      <c r="L208" s="151" t="str">
        <f>IF(分析!K208&lt;&gt;"",分析!K208,"")</f>
        <v/>
      </c>
      <c r="M208" s="146" t="str">
        <f>IF(分析!P208&lt;&gt;"",分析!P208,"")</f>
        <v/>
      </c>
      <c r="N208" s="152" t="str">
        <f>IF(分析!O208&lt;&gt;"",分析!O208,"")</f>
        <v/>
      </c>
      <c r="O208" s="153" t="str">
        <f>IF(分析!X208&lt;&gt;"",分析!X208,"")</f>
        <v/>
      </c>
      <c r="P208" s="154" t="str">
        <f>IF(分析!L208&lt;&gt;"",分析!L208,"")</f>
        <v/>
      </c>
      <c r="Q208" s="151" t="str">
        <f>IF(分析!S208&lt;&gt;"",分析!S208,"")</f>
        <v/>
      </c>
      <c r="R208" s="151" t="str">
        <f>IF(分析!R208&lt;&gt;"",分析!R208,"")</f>
        <v/>
      </c>
      <c r="S208" s="146" t="str">
        <f>IF(分析!AA208&lt;&gt;"",分析!AA208,"")</f>
        <v/>
      </c>
      <c r="T208" s="155" t="str">
        <f>IF(分析!Z208&lt;&gt;"",分析!Z208,"")</f>
        <v/>
      </c>
      <c r="U208" s="146" t="str">
        <f>IF(分析!V208&lt;&gt;"",分析!V208,"")</f>
        <v/>
      </c>
      <c r="V208" s="156" t="str">
        <f>IF(分析!W208&lt;&gt;"",分析!W208,"")</f>
        <v/>
      </c>
      <c r="W208" s="157" t="str">
        <f>IF(分析!AD208&lt;&gt;"",分析!AD208,"")</f>
        <v/>
      </c>
      <c r="X208" s="158" t="str">
        <f>IF(分析!AE208&lt;&gt;"",分析!AE208,"")</f>
        <v/>
      </c>
      <c r="Y208" s="159" t="str">
        <f>IF(分析!T208&lt;&gt;"",分析!T208,"")</f>
        <v/>
      </c>
      <c r="Z208" s="160" t="str">
        <f>IF(分析!Y208&lt;&gt;"",分析!Y208,"")</f>
        <v/>
      </c>
    </row>
    <row r="209" spans="1:26" ht="21.95" customHeight="1">
      <c r="A209" s="161" t="str">
        <f>IF(分析!C209&lt;&gt;"",ROW()-2,"")</f>
        <v/>
      </c>
      <c r="B209" s="162" t="str">
        <f>IF(分析!C209&lt;&gt;"",HYPERLINK("https://kabutan.jp/stock/?code="&amp;分析!C209,"株探"),"")</f>
        <v/>
      </c>
      <c r="C209" s="163" t="str">
        <f>IF(分析!C209&lt;&gt;"",分析!C209,"")</f>
        <v/>
      </c>
      <c r="D209" s="164" t="str">
        <f>IF(分析!D209&lt;&gt;"",分析!D209,"")</f>
        <v/>
      </c>
      <c r="E209" s="165" t="str">
        <f>IF(分析!E209&lt;&gt;"",分析!E209,"")</f>
        <v/>
      </c>
      <c r="F209" s="166" t="str">
        <f>IF(分析!F209&lt;&gt;"",分析!F209,"")</f>
        <v/>
      </c>
      <c r="G209" s="166" t="str">
        <f>IF(分析!H209&lt;&gt;"",分析!H209,"")</f>
        <v/>
      </c>
      <c r="H209" s="166" t="str">
        <f>IF(分析!I209&lt;&gt;"",分析!I209,"")</f>
        <v/>
      </c>
      <c r="I209" s="166" t="str">
        <f>IF(分析!J209&lt;&gt;"",分析!J209,"")</f>
        <v/>
      </c>
      <c r="J209" s="166" t="str">
        <f>IF(分析!AB209&lt;&gt;"",分析!AB209,"")</f>
        <v/>
      </c>
      <c r="K209" s="166" t="str">
        <f>IF(分析!AC209&lt;&gt;"",分析!AC209,"")</f>
        <v/>
      </c>
      <c r="L209" s="166" t="str">
        <f>IF(分析!K209&lt;&gt;"",分析!K209,"")</f>
        <v/>
      </c>
      <c r="M209" s="161" t="str">
        <f>IF(分析!P209&lt;&gt;"",分析!P209,"")</f>
        <v/>
      </c>
      <c r="N209" s="167" t="str">
        <f>IF(分析!O209&lt;&gt;"",分析!O209,"")</f>
        <v/>
      </c>
      <c r="O209" s="168" t="str">
        <f>IF(分析!X209&lt;&gt;"",分析!X209,"")</f>
        <v/>
      </c>
      <c r="P209" s="169" t="str">
        <f>IF(分析!L209&lt;&gt;"",分析!L209,"")</f>
        <v/>
      </c>
      <c r="Q209" s="166" t="str">
        <f>IF(分析!S209&lt;&gt;"",分析!S209,"")</f>
        <v/>
      </c>
      <c r="R209" s="166" t="str">
        <f>IF(分析!R209&lt;&gt;"",分析!R209,"")</f>
        <v/>
      </c>
      <c r="S209" s="161" t="str">
        <f>IF(分析!AA209&lt;&gt;"",分析!AA209,"")</f>
        <v/>
      </c>
      <c r="T209" s="170" t="str">
        <f>IF(分析!Z209&lt;&gt;"",分析!Z209,"")</f>
        <v/>
      </c>
      <c r="U209" s="161" t="str">
        <f>IF(分析!V209&lt;&gt;"",分析!V209,"")</f>
        <v/>
      </c>
      <c r="V209" s="171" t="str">
        <f>IF(分析!W209&lt;&gt;"",分析!W209,"")</f>
        <v/>
      </c>
      <c r="W209" s="172" t="str">
        <f>IF(分析!AD209&lt;&gt;"",分析!AD209,"")</f>
        <v/>
      </c>
      <c r="X209" s="173" t="str">
        <f>IF(分析!AE209&lt;&gt;"",分析!AE209,"")</f>
        <v/>
      </c>
      <c r="Y209" s="174" t="str">
        <f>IF(分析!T209&lt;&gt;"",分析!T209,"")</f>
        <v/>
      </c>
      <c r="Z209" s="160" t="str">
        <f>IF(分析!Y209&lt;&gt;"",分析!Y209,"")</f>
        <v/>
      </c>
    </row>
    <row r="210" spans="1:26" ht="21.95" customHeight="1">
      <c r="A210" s="146" t="str">
        <f>IF(分析!C210&lt;&gt;"",ROW()-2,"")</f>
        <v/>
      </c>
      <c r="B210" s="147" t="str">
        <f>IF(分析!C210&lt;&gt;"",HYPERLINK("https://kabutan.jp/stock/?code="&amp;分析!C210,"株探"),"")</f>
        <v/>
      </c>
      <c r="C210" s="148" t="str">
        <f>IF(分析!C210&lt;&gt;"",分析!C210,"")</f>
        <v/>
      </c>
      <c r="D210" s="149" t="str">
        <f>IF(分析!D210&lt;&gt;"",分析!D210,"")</f>
        <v/>
      </c>
      <c r="E210" s="150" t="str">
        <f>IF(分析!E210&lt;&gt;"",分析!E210,"")</f>
        <v/>
      </c>
      <c r="F210" s="151" t="str">
        <f>IF(分析!F210&lt;&gt;"",分析!F210,"")</f>
        <v/>
      </c>
      <c r="G210" s="151" t="str">
        <f>IF(分析!H210&lt;&gt;"",分析!H210,"")</f>
        <v/>
      </c>
      <c r="H210" s="151" t="str">
        <f>IF(分析!I210&lt;&gt;"",分析!I210,"")</f>
        <v/>
      </c>
      <c r="I210" s="151" t="str">
        <f>IF(分析!J210&lt;&gt;"",分析!J210,"")</f>
        <v/>
      </c>
      <c r="J210" s="151" t="str">
        <f>IF(分析!AB210&lt;&gt;"",分析!AB210,"")</f>
        <v/>
      </c>
      <c r="K210" s="151" t="str">
        <f>IF(分析!AC210&lt;&gt;"",分析!AC210,"")</f>
        <v/>
      </c>
      <c r="L210" s="151" t="str">
        <f>IF(分析!K210&lt;&gt;"",分析!K210,"")</f>
        <v/>
      </c>
      <c r="M210" s="146" t="str">
        <f>IF(分析!P210&lt;&gt;"",分析!P210,"")</f>
        <v/>
      </c>
      <c r="N210" s="152" t="str">
        <f>IF(分析!O210&lt;&gt;"",分析!O210,"")</f>
        <v/>
      </c>
      <c r="O210" s="153" t="str">
        <f>IF(分析!X210&lt;&gt;"",分析!X210,"")</f>
        <v/>
      </c>
      <c r="P210" s="154" t="str">
        <f>IF(分析!L210&lt;&gt;"",分析!L210,"")</f>
        <v/>
      </c>
      <c r="Q210" s="151" t="str">
        <f>IF(分析!S210&lt;&gt;"",分析!S210,"")</f>
        <v/>
      </c>
      <c r="R210" s="151" t="str">
        <f>IF(分析!R210&lt;&gt;"",分析!R210,"")</f>
        <v/>
      </c>
      <c r="S210" s="146" t="str">
        <f>IF(分析!AA210&lt;&gt;"",分析!AA210,"")</f>
        <v/>
      </c>
      <c r="T210" s="155" t="str">
        <f>IF(分析!Z210&lt;&gt;"",分析!Z210,"")</f>
        <v/>
      </c>
      <c r="U210" s="146" t="str">
        <f>IF(分析!V210&lt;&gt;"",分析!V210,"")</f>
        <v/>
      </c>
      <c r="V210" s="156" t="str">
        <f>IF(分析!W210&lt;&gt;"",分析!W210,"")</f>
        <v/>
      </c>
      <c r="W210" s="157" t="str">
        <f>IF(分析!AD210&lt;&gt;"",分析!AD210,"")</f>
        <v/>
      </c>
      <c r="X210" s="158" t="str">
        <f>IF(分析!AE210&lt;&gt;"",分析!AE210,"")</f>
        <v/>
      </c>
      <c r="Y210" s="159" t="str">
        <f>IF(分析!T210&lt;&gt;"",分析!T210,"")</f>
        <v/>
      </c>
      <c r="Z210" s="160" t="str">
        <f>IF(分析!Y210&lt;&gt;"",分析!Y210,"")</f>
        <v/>
      </c>
    </row>
    <row r="211" spans="1:26" ht="21.95" customHeight="1">
      <c r="A211" s="161" t="str">
        <f>IF(分析!C211&lt;&gt;"",ROW()-2,"")</f>
        <v/>
      </c>
      <c r="B211" s="162" t="str">
        <f>IF(分析!C211&lt;&gt;"",HYPERLINK("https://kabutan.jp/stock/?code="&amp;分析!C211,"株探"),"")</f>
        <v/>
      </c>
      <c r="C211" s="163" t="str">
        <f>IF(分析!C211&lt;&gt;"",分析!C211,"")</f>
        <v/>
      </c>
      <c r="D211" s="164" t="str">
        <f>IF(分析!D211&lt;&gt;"",分析!D211,"")</f>
        <v/>
      </c>
      <c r="E211" s="165" t="str">
        <f>IF(分析!E211&lt;&gt;"",分析!E211,"")</f>
        <v/>
      </c>
      <c r="F211" s="166" t="str">
        <f>IF(分析!F211&lt;&gt;"",分析!F211,"")</f>
        <v/>
      </c>
      <c r="G211" s="166" t="str">
        <f>IF(分析!H211&lt;&gt;"",分析!H211,"")</f>
        <v/>
      </c>
      <c r="H211" s="166" t="str">
        <f>IF(分析!I211&lt;&gt;"",分析!I211,"")</f>
        <v/>
      </c>
      <c r="I211" s="166" t="str">
        <f>IF(分析!J211&lt;&gt;"",分析!J211,"")</f>
        <v/>
      </c>
      <c r="J211" s="166" t="str">
        <f>IF(分析!AB211&lt;&gt;"",分析!AB211,"")</f>
        <v/>
      </c>
      <c r="K211" s="166" t="str">
        <f>IF(分析!AC211&lt;&gt;"",分析!AC211,"")</f>
        <v/>
      </c>
      <c r="L211" s="166" t="str">
        <f>IF(分析!K211&lt;&gt;"",分析!K211,"")</f>
        <v/>
      </c>
      <c r="M211" s="161" t="str">
        <f>IF(分析!P211&lt;&gt;"",分析!P211,"")</f>
        <v/>
      </c>
      <c r="N211" s="167" t="str">
        <f>IF(分析!O211&lt;&gt;"",分析!O211,"")</f>
        <v/>
      </c>
      <c r="O211" s="168" t="str">
        <f>IF(分析!X211&lt;&gt;"",分析!X211,"")</f>
        <v/>
      </c>
      <c r="P211" s="169" t="str">
        <f>IF(分析!L211&lt;&gt;"",分析!L211,"")</f>
        <v/>
      </c>
      <c r="Q211" s="166" t="str">
        <f>IF(分析!S211&lt;&gt;"",分析!S211,"")</f>
        <v/>
      </c>
      <c r="R211" s="166" t="str">
        <f>IF(分析!R211&lt;&gt;"",分析!R211,"")</f>
        <v/>
      </c>
      <c r="S211" s="161" t="str">
        <f>IF(分析!AA211&lt;&gt;"",分析!AA211,"")</f>
        <v/>
      </c>
      <c r="T211" s="170" t="str">
        <f>IF(分析!Z211&lt;&gt;"",分析!Z211,"")</f>
        <v/>
      </c>
      <c r="U211" s="161" t="str">
        <f>IF(分析!V211&lt;&gt;"",分析!V211,"")</f>
        <v/>
      </c>
      <c r="V211" s="171" t="str">
        <f>IF(分析!W211&lt;&gt;"",分析!W211,"")</f>
        <v/>
      </c>
      <c r="W211" s="172" t="str">
        <f>IF(分析!AD211&lt;&gt;"",分析!AD211,"")</f>
        <v/>
      </c>
      <c r="X211" s="173" t="str">
        <f>IF(分析!AE211&lt;&gt;"",分析!AE211,"")</f>
        <v/>
      </c>
      <c r="Y211" s="174" t="str">
        <f>IF(分析!T211&lt;&gt;"",分析!T211,"")</f>
        <v/>
      </c>
      <c r="Z211" s="160" t="str">
        <f>IF(分析!Y211&lt;&gt;"",分析!Y211,"")</f>
        <v/>
      </c>
    </row>
    <row r="212" spans="1:26" ht="21.95" customHeight="1">
      <c r="A212" s="146" t="str">
        <f>IF(分析!C212&lt;&gt;"",ROW()-2,"")</f>
        <v/>
      </c>
      <c r="B212" s="147" t="str">
        <f>IF(分析!C212&lt;&gt;"",HYPERLINK("https://kabutan.jp/stock/?code="&amp;分析!C212,"株探"),"")</f>
        <v/>
      </c>
      <c r="C212" s="148" t="str">
        <f>IF(分析!C212&lt;&gt;"",分析!C212,"")</f>
        <v/>
      </c>
      <c r="D212" s="149" t="str">
        <f>IF(分析!D212&lt;&gt;"",分析!D212,"")</f>
        <v/>
      </c>
      <c r="E212" s="150" t="str">
        <f>IF(分析!E212&lt;&gt;"",分析!E212,"")</f>
        <v/>
      </c>
      <c r="F212" s="151" t="str">
        <f>IF(分析!F212&lt;&gt;"",分析!F212,"")</f>
        <v/>
      </c>
      <c r="G212" s="151" t="str">
        <f>IF(分析!H212&lt;&gt;"",分析!H212,"")</f>
        <v/>
      </c>
      <c r="H212" s="151" t="str">
        <f>IF(分析!I212&lt;&gt;"",分析!I212,"")</f>
        <v/>
      </c>
      <c r="I212" s="151" t="str">
        <f>IF(分析!J212&lt;&gt;"",分析!J212,"")</f>
        <v/>
      </c>
      <c r="J212" s="151" t="str">
        <f>IF(分析!AB212&lt;&gt;"",分析!AB212,"")</f>
        <v/>
      </c>
      <c r="K212" s="151" t="str">
        <f>IF(分析!AC212&lt;&gt;"",分析!AC212,"")</f>
        <v/>
      </c>
      <c r="L212" s="151" t="str">
        <f>IF(分析!K212&lt;&gt;"",分析!K212,"")</f>
        <v/>
      </c>
      <c r="M212" s="146" t="str">
        <f>IF(分析!P212&lt;&gt;"",分析!P212,"")</f>
        <v/>
      </c>
      <c r="N212" s="152" t="str">
        <f>IF(分析!O212&lt;&gt;"",分析!O212,"")</f>
        <v/>
      </c>
      <c r="O212" s="153" t="str">
        <f>IF(分析!X212&lt;&gt;"",分析!X212,"")</f>
        <v/>
      </c>
      <c r="P212" s="154" t="str">
        <f>IF(分析!L212&lt;&gt;"",分析!L212,"")</f>
        <v/>
      </c>
      <c r="Q212" s="151" t="str">
        <f>IF(分析!S212&lt;&gt;"",分析!S212,"")</f>
        <v/>
      </c>
      <c r="R212" s="151" t="str">
        <f>IF(分析!R212&lt;&gt;"",分析!R212,"")</f>
        <v/>
      </c>
      <c r="S212" s="146" t="str">
        <f>IF(分析!AA212&lt;&gt;"",分析!AA212,"")</f>
        <v/>
      </c>
      <c r="T212" s="155" t="str">
        <f>IF(分析!Z212&lt;&gt;"",分析!Z212,"")</f>
        <v/>
      </c>
      <c r="U212" s="146" t="str">
        <f>IF(分析!V212&lt;&gt;"",分析!V212,"")</f>
        <v/>
      </c>
      <c r="V212" s="156" t="str">
        <f>IF(分析!W212&lt;&gt;"",分析!W212,"")</f>
        <v/>
      </c>
      <c r="W212" s="157" t="str">
        <f>IF(分析!AD212&lt;&gt;"",分析!AD212,"")</f>
        <v/>
      </c>
      <c r="X212" s="158" t="str">
        <f>IF(分析!AE212&lt;&gt;"",分析!AE212,"")</f>
        <v/>
      </c>
      <c r="Y212" s="159" t="str">
        <f>IF(分析!T212&lt;&gt;"",分析!T212,"")</f>
        <v/>
      </c>
      <c r="Z212" s="160" t="str">
        <f>IF(分析!Y212&lt;&gt;"",分析!Y212,"")</f>
        <v/>
      </c>
    </row>
    <row r="213" spans="1:26" ht="21.95" customHeight="1">
      <c r="A213" s="161" t="str">
        <f>IF(分析!C213&lt;&gt;"",ROW()-2,"")</f>
        <v/>
      </c>
      <c r="B213" s="162" t="str">
        <f>IF(分析!C213&lt;&gt;"",HYPERLINK("https://kabutan.jp/stock/?code="&amp;分析!C213,"株探"),"")</f>
        <v/>
      </c>
      <c r="C213" s="163" t="str">
        <f>IF(分析!C213&lt;&gt;"",分析!C213,"")</f>
        <v/>
      </c>
      <c r="D213" s="164" t="str">
        <f>IF(分析!D213&lt;&gt;"",分析!D213,"")</f>
        <v/>
      </c>
      <c r="E213" s="165" t="str">
        <f>IF(分析!E213&lt;&gt;"",分析!E213,"")</f>
        <v/>
      </c>
      <c r="F213" s="166" t="str">
        <f>IF(分析!F213&lt;&gt;"",分析!F213,"")</f>
        <v/>
      </c>
      <c r="G213" s="166" t="str">
        <f>IF(分析!H213&lt;&gt;"",分析!H213,"")</f>
        <v/>
      </c>
      <c r="H213" s="166" t="str">
        <f>IF(分析!I213&lt;&gt;"",分析!I213,"")</f>
        <v/>
      </c>
      <c r="I213" s="166" t="str">
        <f>IF(分析!J213&lt;&gt;"",分析!J213,"")</f>
        <v/>
      </c>
      <c r="J213" s="166" t="str">
        <f>IF(分析!AB213&lt;&gt;"",分析!AB213,"")</f>
        <v/>
      </c>
      <c r="K213" s="166" t="str">
        <f>IF(分析!AC213&lt;&gt;"",分析!AC213,"")</f>
        <v/>
      </c>
      <c r="L213" s="166" t="str">
        <f>IF(分析!K213&lt;&gt;"",分析!K213,"")</f>
        <v/>
      </c>
      <c r="M213" s="161" t="str">
        <f>IF(分析!P213&lt;&gt;"",分析!P213,"")</f>
        <v/>
      </c>
      <c r="N213" s="167" t="str">
        <f>IF(分析!O213&lt;&gt;"",分析!O213,"")</f>
        <v/>
      </c>
      <c r="O213" s="168" t="str">
        <f>IF(分析!X213&lt;&gt;"",分析!X213,"")</f>
        <v/>
      </c>
      <c r="P213" s="169" t="str">
        <f>IF(分析!L213&lt;&gt;"",分析!L213,"")</f>
        <v/>
      </c>
      <c r="Q213" s="166" t="str">
        <f>IF(分析!S213&lt;&gt;"",分析!S213,"")</f>
        <v/>
      </c>
      <c r="R213" s="166" t="str">
        <f>IF(分析!R213&lt;&gt;"",分析!R213,"")</f>
        <v/>
      </c>
      <c r="S213" s="161" t="str">
        <f>IF(分析!AA213&lt;&gt;"",分析!AA213,"")</f>
        <v/>
      </c>
      <c r="T213" s="170" t="str">
        <f>IF(分析!Z213&lt;&gt;"",分析!Z213,"")</f>
        <v/>
      </c>
      <c r="U213" s="161" t="str">
        <f>IF(分析!V213&lt;&gt;"",分析!V213,"")</f>
        <v/>
      </c>
      <c r="V213" s="171" t="str">
        <f>IF(分析!W213&lt;&gt;"",分析!W213,"")</f>
        <v/>
      </c>
      <c r="W213" s="172" t="str">
        <f>IF(分析!AD213&lt;&gt;"",分析!AD213,"")</f>
        <v/>
      </c>
      <c r="X213" s="173" t="str">
        <f>IF(分析!AE213&lt;&gt;"",分析!AE213,"")</f>
        <v/>
      </c>
      <c r="Y213" s="174" t="str">
        <f>IF(分析!T213&lt;&gt;"",分析!T213,"")</f>
        <v/>
      </c>
      <c r="Z213" s="160" t="str">
        <f>IF(分析!Y213&lt;&gt;"",分析!Y213,"")</f>
        <v/>
      </c>
    </row>
    <row r="214" spans="1:26" ht="21.95" customHeight="1">
      <c r="A214" s="146" t="str">
        <f>IF(分析!C214&lt;&gt;"",ROW()-2,"")</f>
        <v/>
      </c>
      <c r="B214" s="147" t="str">
        <f>IF(分析!C214&lt;&gt;"",HYPERLINK("https://kabutan.jp/stock/?code="&amp;分析!C214,"株探"),"")</f>
        <v/>
      </c>
      <c r="C214" s="148" t="str">
        <f>IF(分析!C214&lt;&gt;"",分析!C214,"")</f>
        <v/>
      </c>
      <c r="D214" s="149" t="str">
        <f>IF(分析!D214&lt;&gt;"",分析!D214,"")</f>
        <v/>
      </c>
      <c r="E214" s="150" t="str">
        <f>IF(分析!E214&lt;&gt;"",分析!E214,"")</f>
        <v/>
      </c>
      <c r="F214" s="151" t="str">
        <f>IF(分析!F214&lt;&gt;"",分析!F214,"")</f>
        <v/>
      </c>
      <c r="G214" s="151" t="str">
        <f>IF(分析!H214&lt;&gt;"",分析!H214,"")</f>
        <v/>
      </c>
      <c r="H214" s="151" t="str">
        <f>IF(分析!I214&lt;&gt;"",分析!I214,"")</f>
        <v/>
      </c>
      <c r="I214" s="151" t="str">
        <f>IF(分析!J214&lt;&gt;"",分析!J214,"")</f>
        <v/>
      </c>
      <c r="J214" s="151" t="str">
        <f>IF(分析!AB214&lt;&gt;"",分析!AB214,"")</f>
        <v/>
      </c>
      <c r="K214" s="151" t="str">
        <f>IF(分析!AC214&lt;&gt;"",分析!AC214,"")</f>
        <v/>
      </c>
      <c r="L214" s="151" t="str">
        <f>IF(分析!K214&lt;&gt;"",分析!K214,"")</f>
        <v/>
      </c>
      <c r="M214" s="146" t="str">
        <f>IF(分析!P214&lt;&gt;"",分析!P214,"")</f>
        <v/>
      </c>
      <c r="N214" s="152" t="str">
        <f>IF(分析!O214&lt;&gt;"",分析!O214,"")</f>
        <v/>
      </c>
      <c r="O214" s="153" t="str">
        <f>IF(分析!X214&lt;&gt;"",分析!X214,"")</f>
        <v/>
      </c>
      <c r="P214" s="154" t="str">
        <f>IF(分析!L214&lt;&gt;"",分析!L214,"")</f>
        <v/>
      </c>
      <c r="Q214" s="151" t="str">
        <f>IF(分析!S214&lt;&gt;"",分析!S214,"")</f>
        <v/>
      </c>
      <c r="R214" s="151" t="str">
        <f>IF(分析!R214&lt;&gt;"",分析!R214,"")</f>
        <v/>
      </c>
      <c r="S214" s="146" t="str">
        <f>IF(分析!AA214&lt;&gt;"",分析!AA214,"")</f>
        <v/>
      </c>
      <c r="T214" s="155" t="str">
        <f>IF(分析!Z214&lt;&gt;"",分析!Z214,"")</f>
        <v/>
      </c>
      <c r="U214" s="146" t="str">
        <f>IF(分析!V214&lt;&gt;"",分析!V214,"")</f>
        <v/>
      </c>
      <c r="V214" s="156" t="str">
        <f>IF(分析!W214&lt;&gt;"",分析!W214,"")</f>
        <v/>
      </c>
      <c r="W214" s="157" t="str">
        <f>IF(分析!AD214&lt;&gt;"",分析!AD214,"")</f>
        <v/>
      </c>
      <c r="X214" s="158" t="str">
        <f>IF(分析!AE214&lt;&gt;"",分析!AE214,"")</f>
        <v/>
      </c>
      <c r="Y214" s="159" t="str">
        <f>IF(分析!T214&lt;&gt;"",分析!T214,"")</f>
        <v/>
      </c>
      <c r="Z214" s="160" t="str">
        <f>IF(分析!Y214&lt;&gt;"",分析!Y214,"")</f>
        <v/>
      </c>
    </row>
    <row r="215" spans="1:26" ht="21.95" customHeight="1">
      <c r="A215" s="161" t="str">
        <f>IF(分析!C215&lt;&gt;"",ROW()-2,"")</f>
        <v/>
      </c>
      <c r="B215" s="162" t="str">
        <f>IF(分析!C215&lt;&gt;"",HYPERLINK("https://kabutan.jp/stock/?code="&amp;分析!C215,"株探"),"")</f>
        <v/>
      </c>
      <c r="C215" s="163" t="str">
        <f>IF(分析!C215&lt;&gt;"",分析!C215,"")</f>
        <v/>
      </c>
      <c r="D215" s="164" t="str">
        <f>IF(分析!D215&lt;&gt;"",分析!D215,"")</f>
        <v/>
      </c>
      <c r="E215" s="165" t="str">
        <f>IF(分析!E215&lt;&gt;"",分析!E215,"")</f>
        <v/>
      </c>
      <c r="F215" s="166" t="str">
        <f>IF(分析!F215&lt;&gt;"",分析!F215,"")</f>
        <v/>
      </c>
      <c r="G215" s="166" t="str">
        <f>IF(分析!H215&lt;&gt;"",分析!H215,"")</f>
        <v/>
      </c>
      <c r="H215" s="166" t="str">
        <f>IF(分析!I215&lt;&gt;"",分析!I215,"")</f>
        <v/>
      </c>
      <c r="I215" s="166" t="str">
        <f>IF(分析!J215&lt;&gt;"",分析!J215,"")</f>
        <v/>
      </c>
      <c r="J215" s="166" t="str">
        <f>IF(分析!AB215&lt;&gt;"",分析!AB215,"")</f>
        <v/>
      </c>
      <c r="K215" s="166" t="str">
        <f>IF(分析!AC215&lt;&gt;"",分析!AC215,"")</f>
        <v/>
      </c>
      <c r="L215" s="166" t="str">
        <f>IF(分析!K215&lt;&gt;"",分析!K215,"")</f>
        <v/>
      </c>
      <c r="M215" s="161" t="str">
        <f>IF(分析!P215&lt;&gt;"",分析!P215,"")</f>
        <v/>
      </c>
      <c r="N215" s="167" t="str">
        <f>IF(分析!O215&lt;&gt;"",分析!O215,"")</f>
        <v/>
      </c>
      <c r="O215" s="168" t="str">
        <f>IF(分析!X215&lt;&gt;"",分析!X215,"")</f>
        <v/>
      </c>
      <c r="P215" s="169" t="str">
        <f>IF(分析!L215&lt;&gt;"",分析!L215,"")</f>
        <v/>
      </c>
      <c r="Q215" s="166" t="str">
        <f>IF(分析!S215&lt;&gt;"",分析!S215,"")</f>
        <v/>
      </c>
      <c r="R215" s="166" t="str">
        <f>IF(分析!R215&lt;&gt;"",分析!R215,"")</f>
        <v/>
      </c>
      <c r="S215" s="161" t="str">
        <f>IF(分析!AA215&lt;&gt;"",分析!AA215,"")</f>
        <v/>
      </c>
      <c r="T215" s="170" t="str">
        <f>IF(分析!Z215&lt;&gt;"",分析!Z215,"")</f>
        <v/>
      </c>
      <c r="U215" s="161" t="str">
        <f>IF(分析!V215&lt;&gt;"",分析!V215,"")</f>
        <v/>
      </c>
      <c r="V215" s="171" t="str">
        <f>IF(分析!W215&lt;&gt;"",分析!W215,"")</f>
        <v/>
      </c>
      <c r="W215" s="172" t="str">
        <f>IF(分析!AD215&lt;&gt;"",分析!AD215,"")</f>
        <v/>
      </c>
      <c r="X215" s="173" t="str">
        <f>IF(分析!AE215&lt;&gt;"",分析!AE215,"")</f>
        <v/>
      </c>
      <c r="Y215" s="174" t="str">
        <f>IF(分析!T215&lt;&gt;"",分析!T215,"")</f>
        <v/>
      </c>
      <c r="Z215" s="160" t="str">
        <f>IF(分析!Y215&lt;&gt;"",分析!Y215,"")</f>
        <v/>
      </c>
    </row>
    <row r="216" spans="1:26" ht="21.95" customHeight="1">
      <c r="A216" s="146" t="str">
        <f>IF(分析!C216&lt;&gt;"",ROW()-2,"")</f>
        <v/>
      </c>
      <c r="B216" s="147" t="str">
        <f>IF(分析!C216&lt;&gt;"",HYPERLINK("https://kabutan.jp/stock/?code="&amp;分析!C216,"株探"),"")</f>
        <v/>
      </c>
      <c r="C216" s="148" t="str">
        <f>IF(分析!C216&lt;&gt;"",分析!C216,"")</f>
        <v/>
      </c>
      <c r="D216" s="149" t="str">
        <f>IF(分析!D216&lt;&gt;"",分析!D216,"")</f>
        <v/>
      </c>
      <c r="E216" s="150" t="str">
        <f>IF(分析!E216&lt;&gt;"",分析!E216,"")</f>
        <v/>
      </c>
      <c r="F216" s="151" t="str">
        <f>IF(分析!F216&lt;&gt;"",分析!F216,"")</f>
        <v/>
      </c>
      <c r="G216" s="151" t="str">
        <f>IF(分析!H216&lt;&gt;"",分析!H216,"")</f>
        <v/>
      </c>
      <c r="H216" s="151" t="str">
        <f>IF(分析!I216&lt;&gt;"",分析!I216,"")</f>
        <v/>
      </c>
      <c r="I216" s="151" t="str">
        <f>IF(分析!J216&lt;&gt;"",分析!J216,"")</f>
        <v/>
      </c>
      <c r="J216" s="151" t="str">
        <f>IF(分析!AB216&lt;&gt;"",分析!AB216,"")</f>
        <v/>
      </c>
      <c r="K216" s="151" t="str">
        <f>IF(分析!AC216&lt;&gt;"",分析!AC216,"")</f>
        <v/>
      </c>
      <c r="L216" s="151" t="str">
        <f>IF(分析!K216&lt;&gt;"",分析!K216,"")</f>
        <v/>
      </c>
      <c r="M216" s="146" t="str">
        <f>IF(分析!P216&lt;&gt;"",分析!P216,"")</f>
        <v/>
      </c>
      <c r="N216" s="152" t="str">
        <f>IF(分析!O216&lt;&gt;"",分析!O216,"")</f>
        <v/>
      </c>
      <c r="O216" s="153" t="str">
        <f>IF(分析!X216&lt;&gt;"",分析!X216,"")</f>
        <v/>
      </c>
      <c r="P216" s="154" t="str">
        <f>IF(分析!L216&lt;&gt;"",分析!L216,"")</f>
        <v/>
      </c>
      <c r="Q216" s="151" t="str">
        <f>IF(分析!S216&lt;&gt;"",分析!S216,"")</f>
        <v/>
      </c>
      <c r="R216" s="151" t="str">
        <f>IF(分析!R216&lt;&gt;"",分析!R216,"")</f>
        <v/>
      </c>
      <c r="S216" s="146" t="str">
        <f>IF(分析!AA216&lt;&gt;"",分析!AA216,"")</f>
        <v/>
      </c>
      <c r="T216" s="155" t="str">
        <f>IF(分析!Z216&lt;&gt;"",分析!Z216,"")</f>
        <v/>
      </c>
      <c r="U216" s="146" t="str">
        <f>IF(分析!V216&lt;&gt;"",分析!V216,"")</f>
        <v/>
      </c>
      <c r="V216" s="156" t="str">
        <f>IF(分析!W216&lt;&gt;"",分析!W216,"")</f>
        <v/>
      </c>
      <c r="W216" s="157" t="str">
        <f>IF(分析!AD216&lt;&gt;"",分析!AD216,"")</f>
        <v/>
      </c>
      <c r="X216" s="158" t="str">
        <f>IF(分析!AE216&lt;&gt;"",分析!AE216,"")</f>
        <v/>
      </c>
      <c r="Y216" s="159" t="str">
        <f>IF(分析!T216&lt;&gt;"",分析!T216,"")</f>
        <v/>
      </c>
      <c r="Z216" s="160" t="str">
        <f>IF(分析!Y216&lt;&gt;"",分析!Y216,"")</f>
        <v/>
      </c>
    </row>
    <row r="217" spans="1:26" ht="21.95" customHeight="1">
      <c r="A217" s="161" t="str">
        <f>IF(分析!C217&lt;&gt;"",ROW()-2,"")</f>
        <v/>
      </c>
      <c r="B217" s="162" t="str">
        <f>IF(分析!C217&lt;&gt;"",HYPERLINK("https://kabutan.jp/stock/?code="&amp;分析!C217,"株探"),"")</f>
        <v/>
      </c>
      <c r="C217" s="163" t="str">
        <f>IF(分析!C217&lt;&gt;"",分析!C217,"")</f>
        <v/>
      </c>
      <c r="D217" s="164" t="str">
        <f>IF(分析!D217&lt;&gt;"",分析!D217,"")</f>
        <v/>
      </c>
      <c r="E217" s="165" t="str">
        <f>IF(分析!E217&lt;&gt;"",分析!E217,"")</f>
        <v/>
      </c>
      <c r="F217" s="166" t="str">
        <f>IF(分析!F217&lt;&gt;"",分析!F217,"")</f>
        <v/>
      </c>
      <c r="G217" s="166" t="str">
        <f>IF(分析!H217&lt;&gt;"",分析!H217,"")</f>
        <v/>
      </c>
      <c r="H217" s="166" t="str">
        <f>IF(分析!I217&lt;&gt;"",分析!I217,"")</f>
        <v/>
      </c>
      <c r="I217" s="166" t="str">
        <f>IF(分析!J217&lt;&gt;"",分析!J217,"")</f>
        <v/>
      </c>
      <c r="J217" s="166" t="str">
        <f>IF(分析!AB217&lt;&gt;"",分析!AB217,"")</f>
        <v/>
      </c>
      <c r="K217" s="166" t="str">
        <f>IF(分析!AC217&lt;&gt;"",分析!AC217,"")</f>
        <v/>
      </c>
      <c r="L217" s="166" t="str">
        <f>IF(分析!K217&lt;&gt;"",分析!K217,"")</f>
        <v/>
      </c>
      <c r="M217" s="161" t="str">
        <f>IF(分析!P217&lt;&gt;"",分析!P217,"")</f>
        <v/>
      </c>
      <c r="N217" s="167" t="str">
        <f>IF(分析!O217&lt;&gt;"",分析!O217,"")</f>
        <v/>
      </c>
      <c r="O217" s="168" t="str">
        <f>IF(分析!X217&lt;&gt;"",分析!X217,"")</f>
        <v/>
      </c>
      <c r="P217" s="169" t="str">
        <f>IF(分析!L217&lt;&gt;"",分析!L217,"")</f>
        <v/>
      </c>
      <c r="Q217" s="166" t="str">
        <f>IF(分析!S217&lt;&gt;"",分析!S217,"")</f>
        <v/>
      </c>
      <c r="R217" s="166" t="str">
        <f>IF(分析!R217&lt;&gt;"",分析!R217,"")</f>
        <v/>
      </c>
      <c r="S217" s="161" t="str">
        <f>IF(分析!AA217&lt;&gt;"",分析!AA217,"")</f>
        <v/>
      </c>
      <c r="T217" s="170" t="str">
        <f>IF(分析!Z217&lt;&gt;"",分析!Z217,"")</f>
        <v/>
      </c>
      <c r="U217" s="161" t="str">
        <f>IF(分析!V217&lt;&gt;"",分析!V217,"")</f>
        <v/>
      </c>
      <c r="V217" s="171" t="str">
        <f>IF(分析!W217&lt;&gt;"",分析!W217,"")</f>
        <v/>
      </c>
      <c r="W217" s="172" t="str">
        <f>IF(分析!AD217&lt;&gt;"",分析!AD217,"")</f>
        <v/>
      </c>
      <c r="X217" s="173" t="str">
        <f>IF(分析!AE217&lt;&gt;"",分析!AE217,"")</f>
        <v/>
      </c>
      <c r="Y217" s="174" t="str">
        <f>IF(分析!T217&lt;&gt;"",分析!T217,"")</f>
        <v/>
      </c>
      <c r="Z217" s="160" t="str">
        <f>IF(分析!Y217&lt;&gt;"",分析!Y217,"")</f>
        <v/>
      </c>
    </row>
    <row r="218" spans="1:26" ht="21.95" customHeight="1">
      <c r="A218" s="146" t="str">
        <f>IF(分析!C218&lt;&gt;"",ROW()-2,"")</f>
        <v/>
      </c>
      <c r="B218" s="147" t="str">
        <f>IF(分析!C218&lt;&gt;"",HYPERLINK("https://kabutan.jp/stock/?code="&amp;分析!C218,"株探"),"")</f>
        <v/>
      </c>
      <c r="C218" s="148" t="str">
        <f>IF(分析!C218&lt;&gt;"",分析!C218,"")</f>
        <v/>
      </c>
      <c r="D218" s="149" t="str">
        <f>IF(分析!D218&lt;&gt;"",分析!D218,"")</f>
        <v/>
      </c>
      <c r="E218" s="150" t="str">
        <f>IF(分析!E218&lt;&gt;"",分析!E218,"")</f>
        <v/>
      </c>
      <c r="F218" s="151" t="str">
        <f>IF(分析!F218&lt;&gt;"",分析!F218,"")</f>
        <v/>
      </c>
      <c r="G218" s="151" t="str">
        <f>IF(分析!H218&lt;&gt;"",分析!H218,"")</f>
        <v/>
      </c>
      <c r="H218" s="151" t="str">
        <f>IF(分析!I218&lt;&gt;"",分析!I218,"")</f>
        <v/>
      </c>
      <c r="I218" s="151" t="str">
        <f>IF(分析!J218&lt;&gt;"",分析!J218,"")</f>
        <v/>
      </c>
      <c r="J218" s="151" t="str">
        <f>IF(分析!AB218&lt;&gt;"",分析!AB218,"")</f>
        <v/>
      </c>
      <c r="K218" s="151" t="str">
        <f>IF(分析!AC218&lt;&gt;"",分析!AC218,"")</f>
        <v/>
      </c>
      <c r="L218" s="151" t="str">
        <f>IF(分析!K218&lt;&gt;"",分析!K218,"")</f>
        <v/>
      </c>
      <c r="M218" s="146" t="str">
        <f>IF(分析!P218&lt;&gt;"",分析!P218,"")</f>
        <v/>
      </c>
      <c r="N218" s="152" t="str">
        <f>IF(分析!O218&lt;&gt;"",分析!O218,"")</f>
        <v/>
      </c>
      <c r="O218" s="153" t="str">
        <f>IF(分析!X218&lt;&gt;"",分析!X218,"")</f>
        <v/>
      </c>
      <c r="P218" s="154" t="str">
        <f>IF(分析!L218&lt;&gt;"",分析!L218,"")</f>
        <v/>
      </c>
      <c r="Q218" s="151" t="str">
        <f>IF(分析!S218&lt;&gt;"",分析!S218,"")</f>
        <v/>
      </c>
      <c r="R218" s="151" t="str">
        <f>IF(分析!R218&lt;&gt;"",分析!R218,"")</f>
        <v/>
      </c>
      <c r="S218" s="146" t="str">
        <f>IF(分析!AA218&lt;&gt;"",分析!AA218,"")</f>
        <v/>
      </c>
      <c r="T218" s="155" t="str">
        <f>IF(分析!Z218&lt;&gt;"",分析!Z218,"")</f>
        <v/>
      </c>
      <c r="U218" s="146" t="str">
        <f>IF(分析!V218&lt;&gt;"",分析!V218,"")</f>
        <v/>
      </c>
      <c r="V218" s="156" t="str">
        <f>IF(分析!W218&lt;&gt;"",分析!W218,"")</f>
        <v/>
      </c>
      <c r="W218" s="157" t="str">
        <f>IF(分析!AD218&lt;&gt;"",分析!AD218,"")</f>
        <v/>
      </c>
      <c r="X218" s="158" t="str">
        <f>IF(分析!AE218&lt;&gt;"",分析!AE218,"")</f>
        <v/>
      </c>
      <c r="Y218" s="159" t="str">
        <f>IF(分析!T218&lt;&gt;"",分析!T218,"")</f>
        <v/>
      </c>
      <c r="Z218" s="160" t="str">
        <f>IF(分析!Y218&lt;&gt;"",分析!Y218,"")</f>
        <v/>
      </c>
    </row>
    <row r="219" spans="1:26" ht="21.95" customHeight="1">
      <c r="A219" s="161" t="str">
        <f>IF(分析!C219&lt;&gt;"",ROW()-2,"")</f>
        <v/>
      </c>
      <c r="B219" s="162" t="str">
        <f>IF(分析!C219&lt;&gt;"",HYPERLINK("https://kabutan.jp/stock/?code="&amp;分析!C219,"株探"),"")</f>
        <v/>
      </c>
      <c r="C219" s="163" t="str">
        <f>IF(分析!C219&lt;&gt;"",分析!C219,"")</f>
        <v/>
      </c>
      <c r="D219" s="164" t="str">
        <f>IF(分析!D219&lt;&gt;"",分析!D219,"")</f>
        <v/>
      </c>
      <c r="E219" s="165" t="str">
        <f>IF(分析!E219&lt;&gt;"",分析!E219,"")</f>
        <v/>
      </c>
      <c r="F219" s="166" t="str">
        <f>IF(分析!F219&lt;&gt;"",分析!F219,"")</f>
        <v/>
      </c>
      <c r="G219" s="166" t="str">
        <f>IF(分析!H219&lt;&gt;"",分析!H219,"")</f>
        <v/>
      </c>
      <c r="H219" s="166" t="str">
        <f>IF(分析!I219&lt;&gt;"",分析!I219,"")</f>
        <v/>
      </c>
      <c r="I219" s="166" t="str">
        <f>IF(分析!J219&lt;&gt;"",分析!J219,"")</f>
        <v/>
      </c>
      <c r="J219" s="166" t="str">
        <f>IF(分析!AB219&lt;&gt;"",分析!AB219,"")</f>
        <v/>
      </c>
      <c r="K219" s="166" t="str">
        <f>IF(分析!AC219&lt;&gt;"",分析!AC219,"")</f>
        <v/>
      </c>
      <c r="L219" s="166" t="str">
        <f>IF(分析!K219&lt;&gt;"",分析!K219,"")</f>
        <v/>
      </c>
      <c r="M219" s="161" t="str">
        <f>IF(分析!P219&lt;&gt;"",分析!P219,"")</f>
        <v/>
      </c>
      <c r="N219" s="167" t="str">
        <f>IF(分析!O219&lt;&gt;"",分析!O219,"")</f>
        <v/>
      </c>
      <c r="O219" s="168" t="str">
        <f>IF(分析!X219&lt;&gt;"",分析!X219,"")</f>
        <v/>
      </c>
      <c r="P219" s="169" t="str">
        <f>IF(分析!L219&lt;&gt;"",分析!L219,"")</f>
        <v/>
      </c>
      <c r="Q219" s="166" t="str">
        <f>IF(分析!S219&lt;&gt;"",分析!S219,"")</f>
        <v/>
      </c>
      <c r="R219" s="166" t="str">
        <f>IF(分析!R219&lt;&gt;"",分析!R219,"")</f>
        <v/>
      </c>
      <c r="S219" s="161" t="str">
        <f>IF(分析!AA219&lt;&gt;"",分析!AA219,"")</f>
        <v/>
      </c>
      <c r="T219" s="170" t="str">
        <f>IF(分析!Z219&lt;&gt;"",分析!Z219,"")</f>
        <v/>
      </c>
      <c r="U219" s="161" t="str">
        <f>IF(分析!V219&lt;&gt;"",分析!V219,"")</f>
        <v/>
      </c>
      <c r="V219" s="171" t="str">
        <f>IF(分析!W219&lt;&gt;"",分析!W219,"")</f>
        <v/>
      </c>
      <c r="W219" s="172" t="str">
        <f>IF(分析!AD219&lt;&gt;"",分析!AD219,"")</f>
        <v/>
      </c>
      <c r="X219" s="173" t="str">
        <f>IF(分析!AE219&lt;&gt;"",分析!AE219,"")</f>
        <v/>
      </c>
      <c r="Y219" s="174" t="str">
        <f>IF(分析!T219&lt;&gt;"",分析!T219,"")</f>
        <v/>
      </c>
      <c r="Z219" s="160" t="str">
        <f>IF(分析!Y219&lt;&gt;"",分析!Y219,"")</f>
        <v/>
      </c>
    </row>
    <row r="220" spans="1:26" ht="21.95" customHeight="1">
      <c r="A220" s="146" t="str">
        <f>IF(分析!C220&lt;&gt;"",ROW()-2,"")</f>
        <v/>
      </c>
      <c r="B220" s="147" t="str">
        <f>IF(分析!C220&lt;&gt;"",HYPERLINK("https://kabutan.jp/stock/?code="&amp;分析!C220,"株探"),"")</f>
        <v/>
      </c>
      <c r="C220" s="148" t="str">
        <f>IF(分析!C220&lt;&gt;"",分析!C220,"")</f>
        <v/>
      </c>
      <c r="D220" s="149" t="str">
        <f>IF(分析!D220&lt;&gt;"",分析!D220,"")</f>
        <v/>
      </c>
      <c r="E220" s="150" t="str">
        <f>IF(分析!E220&lt;&gt;"",分析!E220,"")</f>
        <v/>
      </c>
      <c r="F220" s="151" t="str">
        <f>IF(分析!F220&lt;&gt;"",分析!F220,"")</f>
        <v/>
      </c>
      <c r="G220" s="151" t="str">
        <f>IF(分析!H220&lt;&gt;"",分析!H220,"")</f>
        <v/>
      </c>
      <c r="H220" s="151" t="str">
        <f>IF(分析!I220&lt;&gt;"",分析!I220,"")</f>
        <v/>
      </c>
      <c r="I220" s="151" t="str">
        <f>IF(分析!J220&lt;&gt;"",分析!J220,"")</f>
        <v/>
      </c>
      <c r="J220" s="151" t="str">
        <f>IF(分析!AB220&lt;&gt;"",分析!AB220,"")</f>
        <v/>
      </c>
      <c r="K220" s="151" t="str">
        <f>IF(分析!AC220&lt;&gt;"",分析!AC220,"")</f>
        <v/>
      </c>
      <c r="L220" s="151" t="str">
        <f>IF(分析!K220&lt;&gt;"",分析!K220,"")</f>
        <v/>
      </c>
      <c r="M220" s="146" t="str">
        <f>IF(分析!P220&lt;&gt;"",分析!P220,"")</f>
        <v/>
      </c>
      <c r="N220" s="152" t="str">
        <f>IF(分析!O220&lt;&gt;"",分析!O220,"")</f>
        <v/>
      </c>
      <c r="O220" s="153" t="str">
        <f>IF(分析!X220&lt;&gt;"",分析!X220,"")</f>
        <v/>
      </c>
      <c r="P220" s="154" t="str">
        <f>IF(分析!L220&lt;&gt;"",分析!L220,"")</f>
        <v/>
      </c>
      <c r="Q220" s="151" t="str">
        <f>IF(分析!S220&lt;&gt;"",分析!S220,"")</f>
        <v/>
      </c>
      <c r="R220" s="151" t="str">
        <f>IF(分析!R220&lt;&gt;"",分析!R220,"")</f>
        <v/>
      </c>
      <c r="S220" s="146" t="str">
        <f>IF(分析!AA220&lt;&gt;"",分析!AA220,"")</f>
        <v/>
      </c>
      <c r="T220" s="155" t="str">
        <f>IF(分析!Z220&lt;&gt;"",分析!Z220,"")</f>
        <v/>
      </c>
      <c r="U220" s="146" t="str">
        <f>IF(分析!V220&lt;&gt;"",分析!V220,"")</f>
        <v/>
      </c>
      <c r="V220" s="156" t="str">
        <f>IF(分析!W220&lt;&gt;"",分析!W220,"")</f>
        <v/>
      </c>
      <c r="W220" s="157" t="str">
        <f>IF(分析!AD220&lt;&gt;"",分析!AD220,"")</f>
        <v/>
      </c>
      <c r="X220" s="158" t="str">
        <f>IF(分析!AE220&lt;&gt;"",分析!AE220,"")</f>
        <v/>
      </c>
      <c r="Y220" s="159" t="str">
        <f>IF(分析!T220&lt;&gt;"",分析!T220,"")</f>
        <v/>
      </c>
      <c r="Z220" s="160" t="str">
        <f>IF(分析!Y220&lt;&gt;"",分析!Y220,"")</f>
        <v/>
      </c>
    </row>
    <row r="221" spans="1:26" ht="21.95" customHeight="1">
      <c r="A221" s="161" t="str">
        <f>IF(分析!C221&lt;&gt;"",ROW()-2,"")</f>
        <v/>
      </c>
      <c r="B221" s="162" t="str">
        <f>IF(分析!C221&lt;&gt;"",HYPERLINK("https://kabutan.jp/stock/?code="&amp;分析!C221,"株探"),"")</f>
        <v/>
      </c>
      <c r="C221" s="163" t="str">
        <f>IF(分析!C221&lt;&gt;"",分析!C221,"")</f>
        <v/>
      </c>
      <c r="D221" s="164" t="str">
        <f>IF(分析!D221&lt;&gt;"",分析!D221,"")</f>
        <v/>
      </c>
      <c r="E221" s="165" t="str">
        <f>IF(分析!E221&lt;&gt;"",分析!E221,"")</f>
        <v/>
      </c>
      <c r="F221" s="166" t="str">
        <f>IF(分析!F221&lt;&gt;"",分析!F221,"")</f>
        <v/>
      </c>
      <c r="G221" s="166" t="str">
        <f>IF(分析!H221&lt;&gt;"",分析!H221,"")</f>
        <v/>
      </c>
      <c r="H221" s="166" t="str">
        <f>IF(分析!I221&lt;&gt;"",分析!I221,"")</f>
        <v/>
      </c>
      <c r="I221" s="166" t="str">
        <f>IF(分析!J221&lt;&gt;"",分析!J221,"")</f>
        <v/>
      </c>
      <c r="J221" s="166" t="str">
        <f>IF(分析!AB221&lt;&gt;"",分析!AB221,"")</f>
        <v/>
      </c>
      <c r="K221" s="166" t="str">
        <f>IF(分析!AC221&lt;&gt;"",分析!AC221,"")</f>
        <v/>
      </c>
      <c r="L221" s="166" t="str">
        <f>IF(分析!K221&lt;&gt;"",分析!K221,"")</f>
        <v/>
      </c>
      <c r="M221" s="161" t="str">
        <f>IF(分析!P221&lt;&gt;"",分析!P221,"")</f>
        <v/>
      </c>
      <c r="N221" s="167" t="str">
        <f>IF(分析!O221&lt;&gt;"",分析!O221,"")</f>
        <v/>
      </c>
      <c r="O221" s="168" t="str">
        <f>IF(分析!X221&lt;&gt;"",分析!X221,"")</f>
        <v/>
      </c>
      <c r="P221" s="169" t="str">
        <f>IF(分析!L221&lt;&gt;"",分析!L221,"")</f>
        <v/>
      </c>
      <c r="Q221" s="166" t="str">
        <f>IF(分析!S221&lt;&gt;"",分析!S221,"")</f>
        <v/>
      </c>
      <c r="R221" s="166" t="str">
        <f>IF(分析!R221&lt;&gt;"",分析!R221,"")</f>
        <v/>
      </c>
      <c r="S221" s="161" t="str">
        <f>IF(分析!AA221&lt;&gt;"",分析!AA221,"")</f>
        <v/>
      </c>
      <c r="T221" s="170" t="str">
        <f>IF(分析!Z221&lt;&gt;"",分析!Z221,"")</f>
        <v/>
      </c>
      <c r="U221" s="161" t="str">
        <f>IF(分析!V221&lt;&gt;"",分析!V221,"")</f>
        <v/>
      </c>
      <c r="V221" s="171" t="str">
        <f>IF(分析!W221&lt;&gt;"",分析!W221,"")</f>
        <v/>
      </c>
      <c r="W221" s="172" t="str">
        <f>IF(分析!AD221&lt;&gt;"",分析!AD221,"")</f>
        <v/>
      </c>
      <c r="X221" s="173" t="str">
        <f>IF(分析!AE221&lt;&gt;"",分析!AE221,"")</f>
        <v/>
      </c>
      <c r="Y221" s="174" t="str">
        <f>IF(分析!T221&lt;&gt;"",分析!T221,"")</f>
        <v/>
      </c>
      <c r="Z221" s="160" t="str">
        <f>IF(分析!Y221&lt;&gt;"",分析!Y221,"")</f>
        <v/>
      </c>
    </row>
    <row r="222" spans="1:26" ht="21.95" customHeight="1">
      <c r="A222" s="146" t="str">
        <f>IF(分析!C222&lt;&gt;"",ROW()-2,"")</f>
        <v/>
      </c>
      <c r="B222" s="147" t="str">
        <f>IF(分析!C222&lt;&gt;"",HYPERLINK("https://kabutan.jp/stock/?code="&amp;分析!C222,"株探"),"")</f>
        <v/>
      </c>
      <c r="C222" s="148" t="str">
        <f>IF(分析!C222&lt;&gt;"",分析!C222,"")</f>
        <v/>
      </c>
      <c r="D222" s="149" t="str">
        <f>IF(分析!D222&lt;&gt;"",分析!D222,"")</f>
        <v/>
      </c>
      <c r="E222" s="150" t="str">
        <f>IF(分析!E222&lt;&gt;"",分析!E222,"")</f>
        <v/>
      </c>
      <c r="F222" s="151" t="str">
        <f>IF(分析!F222&lt;&gt;"",分析!F222,"")</f>
        <v/>
      </c>
      <c r="G222" s="151" t="str">
        <f>IF(分析!H222&lt;&gt;"",分析!H222,"")</f>
        <v/>
      </c>
      <c r="H222" s="151" t="str">
        <f>IF(分析!I222&lt;&gt;"",分析!I222,"")</f>
        <v/>
      </c>
      <c r="I222" s="151" t="str">
        <f>IF(分析!J222&lt;&gt;"",分析!J222,"")</f>
        <v/>
      </c>
      <c r="J222" s="151" t="str">
        <f>IF(分析!AB222&lt;&gt;"",分析!AB222,"")</f>
        <v/>
      </c>
      <c r="K222" s="151" t="str">
        <f>IF(分析!AC222&lt;&gt;"",分析!AC222,"")</f>
        <v/>
      </c>
      <c r="L222" s="151" t="str">
        <f>IF(分析!K222&lt;&gt;"",分析!K222,"")</f>
        <v/>
      </c>
      <c r="M222" s="146" t="str">
        <f>IF(分析!P222&lt;&gt;"",分析!P222,"")</f>
        <v/>
      </c>
      <c r="N222" s="152" t="str">
        <f>IF(分析!O222&lt;&gt;"",分析!O222,"")</f>
        <v/>
      </c>
      <c r="O222" s="153" t="str">
        <f>IF(分析!X222&lt;&gt;"",分析!X222,"")</f>
        <v/>
      </c>
      <c r="P222" s="154" t="str">
        <f>IF(分析!L222&lt;&gt;"",分析!L222,"")</f>
        <v/>
      </c>
      <c r="Q222" s="151" t="str">
        <f>IF(分析!S222&lt;&gt;"",分析!S222,"")</f>
        <v/>
      </c>
      <c r="R222" s="151" t="str">
        <f>IF(分析!R222&lt;&gt;"",分析!R222,"")</f>
        <v/>
      </c>
      <c r="S222" s="146" t="str">
        <f>IF(分析!AA222&lt;&gt;"",分析!AA222,"")</f>
        <v/>
      </c>
      <c r="T222" s="155" t="str">
        <f>IF(分析!Z222&lt;&gt;"",分析!Z222,"")</f>
        <v/>
      </c>
      <c r="U222" s="146" t="str">
        <f>IF(分析!V222&lt;&gt;"",分析!V222,"")</f>
        <v/>
      </c>
      <c r="V222" s="156" t="str">
        <f>IF(分析!W222&lt;&gt;"",分析!W222,"")</f>
        <v/>
      </c>
      <c r="W222" s="157" t="str">
        <f>IF(分析!AD222&lt;&gt;"",分析!AD222,"")</f>
        <v/>
      </c>
      <c r="X222" s="158" t="str">
        <f>IF(分析!AE222&lt;&gt;"",分析!AE222,"")</f>
        <v/>
      </c>
      <c r="Y222" s="159" t="str">
        <f>IF(分析!T222&lt;&gt;"",分析!T222,"")</f>
        <v/>
      </c>
      <c r="Z222" s="160" t="str">
        <f>IF(分析!Y222&lt;&gt;"",分析!Y222,"")</f>
        <v/>
      </c>
    </row>
    <row r="223" spans="1:26" ht="21.95" customHeight="1">
      <c r="A223" s="161" t="str">
        <f>IF(分析!C223&lt;&gt;"",ROW()-2,"")</f>
        <v/>
      </c>
      <c r="B223" s="162" t="str">
        <f>IF(分析!C223&lt;&gt;"",HYPERLINK("https://kabutan.jp/stock/?code="&amp;分析!C223,"株探"),"")</f>
        <v/>
      </c>
      <c r="C223" s="163" t="str">
        <f>IF(分析!C223&lt;&gt;"",分析!C223,"")</f>
        <v/>
      </c>
      <c r="D223" s="164" t="str">
        <f>IF(分析!D223&lt;&gt;"",分析!D223,"")</f>
        <v/>
      </c>
      <c r="E223" s="165" t="str">
        <f>IF(分析!E223&lt;&gt;"",分析!E223,"")</f>
        <v/>
      </c>
      <c r="F223" s="166" t="str">
        <f>IF(分析!F223&lt;&gt;"",分析!F223,"")</f>
        <v/>
      </c>
      <c r="G223" s="166" t="str">
        <f>IF(分析!H223&lt;&gt;"",分析!H223,"")</f>
        <v/>
      </c>
      <c r="H223" s="166" t="str">
        <f>IF(分析!I223&lt;&gt;"",分析!I223,"")</f>
        <v/>
      </c>
      <c r="I223" s="166" t="str">
        <f>IF(分析!J223&lt;&gt;"",分析!J223,"")</f>
        <v/>
      </c>
      <c r="J223" s="166" t="str">
        <f>IF(分析!AB223&lt;&gt;"",分析!AB223,"")</f>
        <v/>
      </c>
      <c r="K223" s="166" t="str">
        <f>IF(分析!AC223&lt;&gt;"",分析!AC223,"")</f>
        <v/>
      </c>
      <c r="L223" s="166" t="str">
        <f>IF(分析!K223&lt;&gt;"",分析!K223,"")</f>
        <v/>
      </c>
      <c r="M223" s="161" t="str">
        <f>IF(分析!P223&lt;&gt;"",分析!P223,"")</f>
        <v/>
      </c>
      <c r="N223" s="167" t="str">
        <f>IF(分析!O223&lt;&gt;"",分析!O223,"")</f>
        <v/>
      </c>
      <c r="O223" s="168" t="str">
        <f>IF(分析!X223&lt;&gt;"",分析!X223,"")</f>
        <v/>
      </c>
      <c r="P223" s="169" t="str">
        <f>IF(分析!L223&lt;&gt;"",分析!L223,"")</f>
        <v/>
      </c>
      <c r="Q223" s="166" t="str">
        <f>IF(分析!S223&lt;&gt;"",分析!S223,"")</f>
        <v/>
      </c>
      <c r="R223" s="166" t="str">
        <f>IF(分析!R223&lt;&gt;"",分析!R223,"")</f>
        <v/>
      </c>
      <c r="S223" s="161" t="str">
        <f>IF(分析!AA223&lt;&gt;"",分析!AA223,"")</f>
        <v/>
      </c>
      <c r="T223" s="170" t="str">
        <f>IF(分析!Z223&lt;&gt;"",分析!Z223,"")</f>
        <v/>
      </c>
      <c r="U223" s="161" t="str">
        <f>IF(分析!V223&lt;&gt;"",分析!V223,"")</f>
        <v/>
      </c>
      <c r="V223" s="171" t="str">
        <f>IF(分析!W223&lt;&gt;"",分析!W223,"")</f>
        <v/>
      </c>
      <c r="W223" s="172" t="str">
        <f>IF(分析!AD223&lt;&gt;"",分析!AD223,"")</f>
        <v/>
      </c>
      <c r="X223" s="173" t="str">
        <f>IF(分析!AE223&lt;&gt;"",分析!AE223,"")</f>
        <v/>
      </c>
      <c r="Y223" s="174" t="str">
        <f>IF(分析!T223&lt;&gt;"",分析!T223,"")</f>
        <v/>
      </c>
      <c r="Z223" s="160" t="str">
        <f>IF(分析!Y223&lt;&gt;"",分析!Y223,"")</f>
        <v/>
      </c>
    </row>
    <row r="224" spans="1:26" ht="21.95" customHeight="1">
      <c r="A224" s="146" t="str">
        <f>IF(分析!C224&lt;&gt;"",ROW()-2,"")</f>
        <v/>
      </c>
      <c r="B224" s="147" t="str">
        <f>IF(分析!C224&lt;&gt;"",HYPERLINK("https://kabutan.jp/stock/?code="&amp;分析!C224,"株探"),"")</f>
        <v/>
      </c>
      <c r="C224" s="148" t="str">
        <f>IF(分析!C224&lt;&gt;"",分析!C224,"")</f>
        <v/>
      </c>
      <c r="D224" s="149" t="str">
        <f>IF(分析!D224&lt;&gt;"",分析!D224,"")</f>
        <v/>
      </c>
      <c r="E224" s="150" t="str">
        <f>IF(分析!E224&lt;&gt;"",分析!E224,"")</f>
        <v/>
      </c>
      <c r="F224" s="151" t="str">
        <f>IF(分析!F224&lt;&gt;"",分析!F224,"")</f>
        <v/>
      </c>
      <c r="G224" s="151" t="str">
        <f>IF(分析!H224&lt;&gt;"",分析!H224,"")</f>
        <v/>
      </c>
      <c r="H224" s="151" t="str">
        <f>IF(分析!I224&lt;&gt;"",分析!I224,"")</f>
        <v/>
      </c>
      <c r="I224" s="151" t="str">
        <f>IF(分析!J224&lt;&gt;"",分析!J224,"")</f>
        <v/>
      </c>
      <c r="J224" s="151" t="str">
        <f>IF(分析!AB224&lt;&gt;"",分析!AB224,"")</f>
        <v/>
      </c>
      <c r="K224" s="151" t="str">
        <f>IF(分析!AC224&lt;&gt;"",分析!AC224,"")</f>
        <v/>
      </c>
      <c r="L224" s="151" t="str">
        <f>IF(分析!K224&lt;&gt;"",分析!K224,"")</f>
        <v/>
      </c>
      <c r="M224" s="146" t="str">
        <f>IF(分析!P224&lt;&gt;"",分析!P224,"")</f>
        <v/>
      </c>
      <c r="N224" s="152" t="str">
        <f>IF(分析!O224&lt;&gt;"",分析!O224,"")</f>
        <v/>
      </c>
      <c r="O224" s="153" t="str">
        <f>IF(分析!X224&lt;&gt;"",分析!X224,"")</f>
        <v/>
      </c>
      <c r="P224" s="154" t="str">
        <f>IF(分析!L224&lt;&gt;"",分析!L224,"")</f>
        <v/>
      </c>
      <c r="Q224" s="151" t="str">
        <f>IF(分析!S224&lt;&gt;"",分析!S224,"")</f>
        <v/>
      </c>
      <c r="R224" s="151" t="str">
        <f>IF(分析!R224&lt;&gt;"",分析!R224,"")</f>
        <v/>
      </c>
      <c r="S224" s="146" t="str">
        <f>IF(分析!AA224&lt;&gt;"",分析!AA224,"")</f>
        <v/>
      </c>
      <c r="T224" s="155" t="str">
        <f>IF(分析!Z224&lt;&gt;"",分析!Z224,"")</f>
        <v/>
      </c>
      <c r="U224" s="146" t="str">
        <f>IF(分析!V224&lt;&gt;"",分析!V224,"")</f>
        <v/>
      </c>
      <c r="V224" s="156" t="str">
        <f>IF(分析!W224&lt;&gt;"",分析!W224,"")</f>
        <v/>
      </c>
      <c r="W224" s="157" t="str">
        <f>IF(分析!AD224&lt;&gt;"",分析!AD224,"")</f>
        <v/>
      </c>
      <c r="X224" s="158" t="str">
        <f>IF(分析!AE224&lt;&gt;"",分析!AE224,"")</f>
        <v/>
      </c>
      <c r="Y224" s="159" t="str">
        <f>IF(分析!T224&lt;&gt;"",分析!T224,"")</f>
        <v/>
      </c>
      <c r="Z224" s="160" t="str">
        <f>IF(分析!Y224&lt;&gt;"",分析!Y224,"")</f>
        <v/>
      </c>
    </row>
    <row r="225" spans="1:26" ht="21.95" customHeight="1">
      <c r="A225" s="161" t="str">
        <f>IF(分析!C225&lt;&gt;"",ROW()-2,"")</f>
        <v/>
      </c>
      <c r="B225" s="162" t="str">
        <f>IF(分析!C225&lt;&gt;"",HYPERLINK("https://kabutan.jp/stock/?code="&amp;分析!C225,"株探"),"")</f>
        <v/>
      </c>
      <c r="C225" s="163" t="str">
        <f>IF(分析!C225&lt;&gt;"",分析!C225,"")</f>
        <v/>
      </c>
      <c r="D225" s="164" t="str">
        <f>IF(分析!D225&lt;&gt;"",分析!D225,"")</f>
        <v/>
      </c>
      <c r="E225" s="165" t="str">
        <f>IF(分析!E225&lt;&gt;"",分析!E225,"")</f>
        <v/>
      </c>
      <c r="F225" s="166" t="str">
        <f>IF(分析!F225&lt;&gt;"",分析!F225,"")</f>
        <v/>
      </c>
      <c r="G225" s="166" t="str">
        <f>IF(分析!H225&lt;&gt;"",分析!H225,"")</f>
        <v/>
      </c>
      <c r="H225" s="166" t="str">
        <f>IF(分析!I225&lt;&gt;"",分析!I225,"")</f>
        <v/>
      </c>
      <c r="I225" s="166" t="str">
        <f>IF(分析!J225&lt;&gt;"",分析!J225,"")</f>
        <v/>
      </c>
      <c r="J225" s="166" t="str">
        <f>IF(分析!AB225&lt;&gt;"",分析!AB225,"")</f>
        <v/>
      </c>
      <c r="K225" s="166" t="str">
        <f>IF(分析!AC225&lt;&gt;"",分析!AC225,"")</f>
        <v/>
      </c>
      <c r="L225" s="166" t="str">
        <f>IF(分析!K225&lt;&gt;"",分析!K225,"")</f>
        <v/>
      </c>
      <c r="M225" s="161" t="str">
        <f>IF(分析!P225&lt;&gt;"",分析!P225,"")</f>
        <v/>
      </c>
      <c r="N225" s="167" t="str">
        <f>IF(分析!O225&lt;&gt;"",分析!O225,"")</f>
        <v/>
      </c>
      <c r="O225" s="168" t="str">
        <f>IF(分析!X225&lt;&gt;"",分析!X225,"")</f>
        <v/>
      </c>
      <c r="P225" s="169" t="str">
        <f>IF(分析!L225&lt;&gt;"",分析!L225,"")</f>
        <v/>
      </c>
      <c r="Q225" s="166" t="str">
        <f>IF(分析!S225&lt;&gt;"",分析!S225,"")</f>
        <v/>
      </c>
      <c r="R225" s="166" t="str">
        <f>IF(分析!R225&lt;&gt;"",分析!R225,"")</f>
        <v/>
      </c>
      <c r="S225" s="161" t="str">
        <f>IF(分析!AA225&lt;&gt;"",分析!AA225,"")</f>
        <v/>
      </c>
      <c r="T225" s="170" t="str">
        <f>IF(分析!Z225&lt;&gt;"",分析!Z225,"")</f>
        <v/>
      </c>
      <c r="U225" s="161" t="str">
        <f>IF(分析!V225&lt;&gt;"",分析!V225,"")</f>
        <v/>
      </c>
      <c r="V225" s="171" t="str">
        <f>IF(分析!W225&lt;&gt;"",分析!W225,"")</f>
        <v/>
      </c>
      <c r="W225" s="172" t="str">
        <f>IF(分析!AD225&lt;&gt;"",分析!AD225,"")</f>
        <v/>
      </c>
      <c r="X225" s="173" t="str">
        <f>IF(分析!AE225&lt;&gt;"",分析!AE225,"")</f>
        <v/>
      </c>
      <c r="Y225" s="174" t="str">
        <f>IF(分析!T225&lt;&gt;"",分析!T225,"")</f>
        <v/>
      </c>
      <c r="Z225" s="160" t="str">
        <f>IF(分析!Y225&lt;&gt;"",分析!Y225,"")</f>
        <v/>
      </c>
    </row>
    <row r="226" spans="1:26" ht="21.95" customHeight="1">
      <c r="A226" s="146" t="str">
        <f>IF(分析!C226&lt;&gt;"",ROW()-2,"")</f>
        <v/>
      </c>
      <c r="B226" s="147" t="str">
        <f>IF(分析!C226&lt;&gt;"",HYPERLINK("https://kabutan.jp/stock/?code="&amp;分析!C226,"株探"),"")</f>
        <v/>
      </c>
      <c r="C226" s="148" t="str">
        <f>IF(分析!C226&lt;&gt;"",分析!C226,"")</f>
        <v/>
      </c>
      <c r="D226" s="149" t="str">
        <f>IF(分析!D226&lt;&gt;"",分析!D226,"")</f>
        <v/>
      </c>
      <c r="E226" s="150" t="str">
        <f>IF(分析!E226&lt;&gt;"",分析!E226,"")</f>
        <v/>
      </c>
      <c r="F226" s="151" t="str">
        <f>IF(分析!F226&lt;&gt;"",分析!F226,"")</f>
        <v/>
      </c>
      <c r="G226" s="151" t="str">
        <f>IF(分析!H226&lt;&gt;"",分析!H226,"")</f>
        <v/>
      </c>
      <c r="H226" s="151" t="str">
        <f>IF(分析!I226&lt;&gt;"",分析!I226,"")</f>
        <v/>
      </c>
      <c r="I226" s="151" t="str">
        <f>IF(分析!J226&lt;&gt;"",分析!J226,"")</f>
        <v/>
      </c>
      <c r="J226" s="151" t="str">
        <f>IF(分析!AB226&lt;&gt;"",分析!AB226,"")</f>
        <v/>
      </c>
      <c r="K226" s="151" t="str">
        <f>IF(分析!AC226&lt;&gt;"",分析!AC226,"")</f>
        <v/>
      </c>
      <c r="L226" s="151" t="str">
        <f>IF(分析!K226&lt;&gt;"",分析!K226,"")</f>
        <v/>
      </c>
      <c r="M226" s="146" t="str">
        <f>IF(分析!P226&lt;&gt;"",分析!P226,"")</f>
        <v/>
      </c>
      <c r="N226" s="152" t="str">
        <f>IF(分析!O226&lt;&gt;"",分析!O226,"")</f>
        <v/>
      </c>
      <c r="O226" s="153" t="str">
        <f>IF(分析!X226&lt;&gt;"",分析!X226,"")</f>
        <v/>
      </c>
      <c r="P226" s="154" t="str">
        <f>IF(分析!L226&lt;&gt;"",分析!L226,"")</f>
        <v/>
      </c>
      <c r="Q226" s="151" t="str">
        <f>IF(分析!S226&lt;&gt;"",分析!S226,"")</f>
        <v/>
      </c>
      <c r="R226" s="151" t="str">
        <f>IF(分析!R226&lt;&gt;"",分析!R226,"")</f>
        <v/>
      </c>
      <c r="S226" s="146" t="str">
        <f>IF(分析!AA226&lt;&gt;"",分析!AA226,"")</f>
        <v/>
      </c>
      <c r="T226" s="155" t="str">
        <f>IF(分析!Z226&lt;&gt;"",分析!Z226,"")</f>
        <v/>
      </c>
      <c r="U226" s="146" t="str">
        <f>IF(分析!V226&lt;&gt;"",分析!V226,"")</f>
        <v/>
      </c>
      <c r="V226" s="156" t="str">
        <f>IF(分析!W226&lt;&gt;"",分析!W226,"")</f>
        <v/>
      </c>
      <c r="W226" s="157" t="str">
        <f>IF(分析!AD226&lt;&gt;"",分析!AD226,"")</f>
        <v/>
      </c>
      <c r="X226" s="158" t="str">
        <f>IF(分析!AE226&lt;&gt;"",分析!AE226,"")</f>
        <v/>
      </c>
      <c r="Y226" s="159" t="str">
        <f>IF(分析!T226&lt;&gt;"",分析!T226,"")</f>
        <v/>
      </c>
      <c r="Z226" s="160" t="str">
        <f>IF(分析!Y226&lt;&gt;"",分析!Y226,"")</f>
        <v/>
      </c>
    </row>
    <row r="227" spans="1:26" ht="21.95" customHeight="1">
      <c r="A227" s="161" t="str">
        <f>IF(分析!C227&lt;&gt;"",ROW()-2,"")</f>
        <v/>
      </c>
      <c r="B227" s="162" t="str">
        <f>IF(分析!C227&lt;&gt;"",HYPERLINK("https://kabutan.jp/stock/?code="&amp;分析!C227,"株探"),"")</f>
        <v/>
      </c>
      <c r="C227" s="163" t="str">
        <f>IF(分析!C227&lt;&gt;"",分析!C227,"")</f>
        <v/>
      </c>
      <c r="D227" s="164" t="str">
        <f>IF(分析!D227&lt;&gt;"",分析!D227,"")</f>
        <v/>
      </c>
      <c r="E227" s="165" t="str">
        <f>IF(分析!E227&lt;&gt;"",分析!E227,"")</f>
        <v/>
      </c>
      <c r="F227" s="166" t="str">
        <f>IF(分析!F227&lt;&gt;"",分析!F227,"")</f>
        <v/>
      </c>
      <c r="G227" s="166" t="str">
        <f>IF(分析!H227&lt;&gt;"",分析!H227,"")</f>
        <v/>
      </c>
      <c r="H227" s="166" t="str">
        <f>IF(分析!I227&lt;&gt;"",分析!I227,"")</f>
        <v/>
      </c>
      <c r="I227" s="166" t="str">
        <f>IF(分析!J227&lt;&gt;"",分析!J227,"")</f>
        <v/>
      </c>
      <c r="J227" s="166" t="str">
        <f>IF(分析!AB227&lt;&gt;"",分析!AB227,"")</f>
        <v/>
      </c>
      <c r="K227" s="166" t="str">
        <f>IF(分析!AC227&lt;&gt;"",分析!AC227,"")</f>
        <v/>
      </c>
      <c r="L227" s="166" t="str">
        <f>IF(分析!K227&lt;&gt;"",分析!K227,"")</f>
        <v/>
      </c>
      <c r="M227" s="161" t="str">
        <f>IF(分析!P227&lt;&gt;"",分析!P227,"")</f>
        <v/>
      </c>
      <c r="N227" s="167" t="str">
        <f>IF(分析!O227&lt;&gt;"",分析!O227,"")</f>
        <v/>
      </c>
      <c r="O227" s="168" t="str">
        <f>IF(分析!X227&lt;&gt;"",分析!X227,"")</f>
        <v/>
      </c>
      <c r="P227" s="169" t="str">
        <f>IF(分析!L227&lt;&gt;"",分析!L227,"")</f>
        <v/>
      </c>
      <c r="Q227" s="166" t="str">
        <f>IF(分析!S227&lt;&gt;"",分析!S227,"")</f>
        <v/>
      </c>
      <c r="R227" s="166" t="str">
        <f>IF(分析!R227&lt;&gt;"",分析!R227,"")</f>
        <v/>
      </c>
      <c r="S227" s="161" t="str">
        <f>IF(分析!AA227&lt;&gt;"",分析!AA227,"")</f>
        <v/>
      </c>
      <c r="T227" s="170" t="str">
        <f>IF(分析!Z227&lt;&gt;"",分析!Z227,"")</f>
        <v/>
      </c>
      <c r="U227" s="161" t="str">
        <f>IF(分析!V227&lt;&gt;"",分析!V227,"")</f>
        <v/>
      </c>
      <c r="V227" s="171" t="str">
        <f>IF(分析!W227&lt;&gt;"",分析!W227,"")</f>
        <v/>
      </c>
      <c r="W227" s="172" t="str">
        <f>IF(分析!AD227&lt;&gt;"",分析!AD227,"")</f>
        <v/>
      </c>
      <c r="X227" s="173" t="str">
        <f>IF(分析!AE227&lt;&gt;"",分析!AE227,"")</f>
        <v/>
      </c>
      <c r="Y227" s="174" t="str">
        <f>IF(分析!T227&lt;&gt;"",分析!T227,"")</f>
        <v/>
      </c>
      <c r="Z227" s="160" t="str">
        <f>IF(分析!Y227&lt;&gt;"",分析!Y227,"")</f>
        <v/>
      </c>
    </row>
    <row r="228" spans="1:26" ht="21.95" customHeight="1">
      <c r="A228" s="146" t="str">
        <f>IF(分析!C228&lt;&gt;"",ROW()-2,"")</f>
        <v/>
      </c>
      <c r="B228" s="147" t="str">
        <f>IF(分析!C228&lt;&gt;"",HYPERLINK("https://kabutan.jp/stock/?code="&amp;分析!C228,"株探"),"")</f>
        <v/>
      </c>
      <c r="C228" s="148" t="str">
        <f>IF(分析!C228&lt;&gt;"",分析!C228,"")</f>
        <v/>
      </c>
      <c r="D228" s="149" t="str">
        <f>IF(分析!D228&lt;&gt;"",分析!D228,"")</f>
        <v/>
      </c>
      <c r="E228" s="150" t="str">
        <f>IF(分析!E228&lt;&gt;"",分析!E228,"")</f>
        <v/>
      </c>
      <c r="F228" s="151" t="str">
        <f>IF(分析!F228&lt;&gt;"",分析!F228,"")</f>
        <v/>
      </c>
      <c r="G228" s="151" t="str">
        <f>IF(分析!H228&lt;&gt;"",分析!H228,"")</f>
        <v/>
      </c>
      <c r="H228" s="151" t="str">
        <f>IF(分析!I228&lt;&gt;"",分析!I228,"")</f>
        <v/>
      </c>
      <c r="I228" s="151" t="str">
        <f>IF(分析!J228&lt;&gt;"",分析!J228,"")</f>
        <v/>
      </c>
      <c r="J228" s="151" t="str">
        <f>IF(分析!AB228&lt;&gt;"",分析!AB228,"")</f>
        <v/>
      </c>
      <c r="K228" s="151" t="str">
        <f>IF(分析!AC228&lt;&gt;"",分析!AC228,"")</f>
        <v/>
      </c>
      <c r="L228" s="151" t="str">
        <f>IF(分析!K228&lt;&gt;"",分析!K228,"")</f>
        <v/>
      </c>
      <c r="M228" s="146" t="str">
        <f>IF(分析!P228&lt;&gt;"",分析!P228,"")</f>
        <v/>
      </c>
      <c r="N228" s="152" t="str">
        <f>IF(分析!O228&lt;&gt;"",分析!O228,"")</f>
        <v/>
      </c>
      <c r="O228" s="153" t="str">
        <f>IF(分析!X228&lt;&gt;"",分析!X228,"")</f>
        <v/>
      </c>
      <c r="P228" s="154" t="str">
        <f>IF(分析!L228&lt;&gt;"",分析!L228,"")</f>
        <v/>
      </c>
      <c r="Q228" s="151" t="str">
        <f>IF(分析!S228&lt;&gt;"",分析!S228,"")</f>
        <v/>
      </c>
      <c r="R228" s="151" t="str">
        <f>IF(分析!R228&lt;&gt;"",分析!R228,"")</f>
        <v/>
      </c>
      <c r="S228" s="146" t="str">
        <f>IF(分析!AA228&lt;&gt;"",分析!AA228,"")</f>
        <v/>
      </c>
      <c r="T228" s="155" t="str">
        <f>IF(分析!Z228&lt;&gt;"",分析!Z228,"")</f>
        <v/>
      </c>
      <c r="U228" s="146" t="str">
        <f>IF(分析!V228&lt;&gt;"",分析!V228,"")</f>
        <v/>
      </c>
      <c r="V228" s="156" t="str">
        <f>IF(分析!W228&lt;&gt;"",分析!W228,"")</f>
        <v/>
      </c>
      <c r="W228" s="157" t="str">
        <f>IF(分析!AD228&lt;&gt;"",分析!AD228,"")</f>
        <v/>
      </c>
      <c r="X228" s="158" t="str">
        <f>IF(分析!AE228&lt;&gt;"",分析!AE228,"")</f>
        <v/>
      </c>
      <c r="Y228" s="159" t="str">
        <f>IF(分析!T228&lt;&gt;"",分析!T228,"")</f>
        <v/>
      </c>
      <c r="Z228" s="160" t="str">
        <f>IF(分析!Y228&lt;&gt;"",分析!Y228,"")</f>
        <v/>
      </c>
    </row>
    <row r="229" spans="1:26" ht="21.95" customHeight="1">
      <c r="A229" s="161" t="str">
        <f>IF(分析!C229&lt;&gt;"",ROW()-2,"")</f>
        <v/>
      </c>
      <c r="B229" s="162" t="str">
        <f>IF(分析!C229&lt;&gt;"",HYPERLINK("https://kabutan.jp/stock/?code="&amp;分析!C229,"株探"),"")</f>
        <v/>
      </c>
      <c r="C229" s="163" t="str">
        <f>IF(分析!C229&lt;&gt;"",分析!C229,"")</f>
        <v/>
      </c>
      <c r="D229" s="164" t="str">
        <f>IF(分析!D229&lt;&gt;"",分析!D229,"")</f>
        <v/>
      </c>
      <c r="E229" s="165" t="str">
        <f>IF(分析!E229&lt;&gt;"",分析!E229,"")</f>
        <v/>
      </c>
      <c r="F229" s="166" t="str">
        <f>IF(分析!F229&lt;&gt;"",分析!F229,"")</f>
        <v/>
      </c>
      <c r="G229" s="166" t="str">
        <f>IF(分析!H229&lt;&gt;"",分析!H229,"")</f>
        <v/>
      </c>
      <c r="H229" s="166" t="str">
        <f>IF(分析!I229&lt;&gt;"",分析!I229,"")</f>
        <v/>
      </c>
      <c r="I229" s="166" t="str">
        <f>IF(分析!J229&lt;&gt;"",分析!J229,"")</f>
        <v/>
      </c>
      <c r="J229" s="166" t="str">
        <f>IF(分析!AB229&lt;&gt;"",分析!AB229,"")</f>
        <v/>
      </c>
      <c r="K229" s="166" t="str">
        <f>IF(分析!AC229&lt;&gt;"",分析!AC229,"")</f>
        <v/>
      </c>
      <c r="L229" s="166" t="str">
        <f>IF(分析!K229&lt;&gt;"",分析!K229,"")</f>
        <v/>
      </c>
      <c r="M229" s="161" t="str">
        <f>IF(分析!P229&lt;&gt;"",分析!P229,"")</f>
        <v/>
      </c>
      <c r="N229" s="167" t="str">
        <f>IF(分析!O229&lt;&gt;"",分析!O229,"")</f>
        <v/>
      </c>
      <c r="O229" s="168" t="str">
        <f>IF(分析!X229&lt;&gt;"",分析!X229,"")</f>
        <v/>
      </c>
      <c r="P229" s="169" t="str">
        <f>IF(分析!L229&lt;&gt;"",分析!L229,"")</f>
        <v/>
      </c>
      <c r="Q229" s="166" t="str">
        <f>IF(分析!S229&lt;&gt;"",分析!S229,"")</f>
        <v/>
      </c>
      <c r="R229" s="166" t="str">
        <f>IF(分析!R229&lt;&gt;"",分析!R229,"")</f>
        <v/>
      </c>
      <c r="S229" s="161" t="str">
        <f>IF(分析!AA229&lt;&gt;"",分析!AA229,"")</f>
        <v/>
      </c>
      <c r="T229" s="170" t="str">
        <f>IF(分析!Z229&lt;&gt;"",分析!Z229,"")</f>
        <v/>
      </c>
      <c r="U229" s="161" t="str">
        <f>IF(分析!V229&lt;&gt;"",分析!V229,"")</f>
        <v/>
      </c>
      <c r="V229" s="171" t="str">
        <f>IF(分析!W229&lt;&gt;"",分析!W229,"")</f>
        <v/>
      </c>
      <c r="W229" s="172" t="str">
        <f>IF(分析!AD229&lt;&gt;"",分析!AD229,"")</f>
        <v/>
      </c>
      <c r="X229" s="173" t="str">
        <f>IF(分析!AE229&lt;&gt;"",分析!AE229,"")</f>
        <v/>
      </c>
      <c r="Y229" s="174" t="str">
        <f>IF(分析!T229&lt;&gt;"",分析!T229,"")</f>
        <v/>
      </c>
      <c r="Z229" s="160" t="str">
        <f>IF(分析!Y229&lt;&gt;"",分析!Y229,"")</f>
        <v/>
      </c>
    </row>
    <row r="230" spans="1:26" ht="21.95" customHeight="1">
      <c r="A230" s="146" t="str">
        <f>IF(分析!C230&lt;&gt;"",ROW()-2,"")</f>
        <v/>
      </c>
      <c r="B230" s="147" t="str">
        <f>IF(分析!C230&lt;&gt;"",HYPERLINK("https://kabutan.jp/stock/?code="&amp;分析!C230,"株探"),"")</f>
        <v/>
      </c>
      <c r="C230" s="148" t="str">
        <f>IF(分析!C230&lt;&gt;"",分析!C230,"")</f>
        <v/>
      </c>
      <c r="D230" s="149" t="str">
        <f>IF(分析!D230&lt;&gt;"",分析!D230,"")</f>
        <v/>
      </c>
      <c r="E230" s="150" t="str">
        <f>IF(分析!E230&lt;&gt;"",分析!E230,"")</f>
        <v/>
      </c>
      <c r="F230" s="151" t="str">
        <f>IF(分析!F230&lt;&gt;"",分析!F230,"")</f>
        <v/>
      </c>
      <c r="G230" s="151" t="str">
        <f>IF(分析!H230&lt;&gt;"",分析!H230,"")</f>
        <v/>
      </c>
      <c r="H230" s="151" t="str">
        <f>IF(分析!I230&lt;&gt;"",分析!I230,"")</f>
        <v/>
      </c>
      <c r="I230" s="151" t="str">
        <f>IF(分析!J230&lt;&gt;"",分析!J230,"")</f>
        <v/>
      </c>
      <c r="J230" s="151" t="str">
        <f>IF(分析!AB230&lt;&gt;"",分析!AB230,"")</f>
        <v/>
      </c>
      <c r="K230" s="151" t="str">
        <f>IF(分析!AC230&lt;&gt;"",分析!AC230,"")</f>
        <v/>
      </c>
      <c r="L230" s="151" t="str">
        <f>IF(分析!K230&lt;&gt;"",分析!K230,"")</f>
        <v/>
      </c>
      <c r="M230" s="146" t="str">
        <f>IF(分析!P230&lt;&gt;"",分析!P230,"")</f>
        <v/>
      </c>
      <c r="N230" s="152" t="str">
        <f>IF(分析!O230&lt;&gt;"",分析!O230,"")</f>
        <v/>
      </c>
      <c r="O230" s="153" t="str">
        <f>IF(分析!X230&lt;&gt;"",分析!X230,"")</f>
        <v/>
      </c>
      <c r="P230" s="154" t="str">
        <f>IF(分析!L230&lt;&gt;"",分析!L230,"")</f>
        <v/>
      </c>
      <c r="Q230" s="151" t="str">
        <f>IF(分析!S230&lt;&gt;"",分析!S230,"")</f>
        <v/>
      </c>
      <c r="R230" s="151" t="str">
        <f>IF(分析!R230&lt;&gt;"",分析!R230,"")</f>
        <v/>
      </c>
      <c r="S230" s="146" t="str">
        <f>IF(分析!AA230&lt;&gt;"",分析!AA230,"")</f>
        <v/>
      </c>
      <c r="T230" s="155" t="str">
        <f>IF(分析!Z230&lt;&gt;"",分析!Z230,"")</f>
        <v/>
      </c>
      <c r="U230" s="146" t="str">
        <f>IF(分析!V230&lt;&gt;"",分析!V230,"")</f>
        <v/>
      </c>
      <c r="V230" s="156" t="str">
        <f>IF(分析!W230&lt;&gt;"",分析!W230,"")</f>
        <v/>
      </c>
      <c r="W230" s="157" t="str">
        <f>IF(分析!AD230&lt;&gt;"",分析!AD230,"")</f>
        <v/>
      </c>
      <c r="X230" s="158" t="str">
        <f>IF(分析!AE230&lt;&gt;"",分析!AE230,"")</f>
        <v/>
      </c>
      <c r="Y230" s="159" t="str">
        <f>IF(分析!T230&lt;&gt;"",分析!T230,"")</f>
        <v/>
      </c>
      <c r="Z230" s="160" t="str">
        <f>IF(分析!Y230&lt;&gt;"",分析!Y230,"")</f>
        <v/>
      </c>
    </row>
    <row r="231" spans="1:26" ht="21.95" customHeight="1">
      <c r="A231" s="161" t="str">
        <f>IF(分析!C231&lt;&gt;"",ROW()-2,"")</f>
        <v/>
      </c>
      <c r="B231" s="162" t="str">
        <f>IF(分析!C231&lt;&gt;"",HYPERLINK("https://kabutan.jp/stock/?code="&amp;分析!C231,"株探"),"")</f>
        <v/>
      </c>
      <c r="C231" s="163" t="str">
        <f>IF(分析!C231&lt;&gt;"",分析!C231,"")</f>
        <v/>
      </c>
      <c r="D231" s="164" t="str">
        <f>IF(分析!D231&lt;&gt;"",分析!D231,"")</f>
        <v/>
      </c>
      <c r="E231" s="165" t="str">
        <f>IF(分析!E231&lt;&gt;"",分析!E231,"")</f>
        <v/>
      </c>
      <c r="F231" s="166" t="str">
        <f>IF(分析!F231&lt;&gt;"",分析!F231,"")</f>
        <v/>
      </c>
      <c r="G231" s="166" t="str">
        <f>IF(分析!H231&lt;&gt;"",分析!H231,"")</f>
        <v/>
      </c>
      <c r="H231" s="166" t="str">
        <f>IF(分析!I231&lt;&gt;"",分析!I231,"")</f>
        <v/>
      </c>
      <c r="I231" s="166" t="str">
        <f>IF(分析!J231&lt;&gt;"",分析!J231,"")</f>
        <v/>
      </c>
      <c r="J231" s="166" t="str">
        <f>IF(分析!AB231&lt;&gt;"",分析!AB231,"")</f>
        <v/>
      </c>
      <c r="K231" s="166" t="str">
        <f>IF(分析!AC231&lt;&gt;"",分析!AC231,"")</f>
        <v/>
      </c>
      <c r="L231" s="166" t="str">
        <f>IF(分析!K231&lt;&gt;"",分析!K231,"")</f>
        <v/>
      </c>
      <c r="M231" s="161" t="str">
        <f>IF(分析!P231&lt;&gt;"",分析!P231,"")</f>
        <v/>
      </c>
      <c r="N231" s="167" t="str">
        <f>IF(分析!O231&lt;&gt;"",分析!O231,"")</f>
        <v/>
      </c>
      <c r="O231" s="168" t="str">
        <f>IF(分析!X231&lt;&gt;"",分析!X231,"")</f>
        <v/>
      </c>
      <c r="P231" s="169" t="str">
        <f>IF(分析!L231&lt;&gt;"",分析!L231,"")</f>
        <v/>
      </c>
      <c r="Q231" s="166" t="str">
        <f>IF(分析!S231&lt;&gt;"",分析!S231,"")</f>
        <v/>
      </c>
      <c r="R231" s="166" t="str">
        <f>IF(分析!R231&lt;&gt;"",分析!R231,"")</f>
        <v/>
      </c>
      <c r="S231" s="161" t="str">
        <f>IF(分析!AA231&lt;&gt;"",分析!AA231,"")</f>
        <v/>
      </c>
      <c r="T231" s="170" t="str">
        <f>IF(分析!Z231&lt;&gt;"",分析!Z231,"")</f>
        <v/>
      </c>
      <c r="U231" s="161" t="str">
        <f>IF(分析!V231&lt;&gt;"",分析!V231,"")</f>
        <v/>
      </c>
      <c r="V231" s="171" t="str">
        <f>IF(分析!W231&lt;&gt;"",分析!W231,"")</f>
        <v/>
      </c>
      <c r="W231" s="172" t="str">
        <f>IF(分析!AD231&lt;&gt;"",分析!AD231,"")</f>
        <v/>
      </c>
      <c r="X231" s="173" t="str">
        <f>IF(分析!AE231&lt;&gt;"",分析!AE231,"")</f>
        <v/>
      </c>
      <c r="Y231" s="174" t="str">
        <f>IF(分析!T231&lt;&gt;"",分析!T231,"")</f>
        <v/>
      </c>
      <c r="Z231" s="160" t="str">
        <f>IF(分析!Y231&lt;&gt;"",分析!Y231,"")</f>
        <v/>
      </c>
    </row>
    <row r="232" spans="1:26" ht="21.95" customHeight="1">
      <c r="A232" s="146" t="str">
        <f>IF(分析!C232&lt;&gt;"",ROW()-2,"")</f>
        <v/>
      </c>
      <c r="B232" s="147" t="str">
        <f>IF(分析!C232&lt;&gt;"",HYPERLINK("https://kabutan.jp/stock/?code="&amp;分析!C232,"株探"),"")</f>
        <v/>
      </c>
      <c r="C232" s="148" t="str">
        <f>IF(分析!C232&lt;&gt;"",分析!C232,"")</f>
        <v/>
      </c>
      <c r="D232" s="149" t="str">
        <f>IF(分析!D232&lt;&gt;"",分析!D232,"")</f>
        <v/>
      </c>
      <c r="E232" s="150" t="str">
        <f>IF(分析!E232&lt;&gt;"",分析!E232,"")</f>
        <v/>
      </c>
      <c r="F232" s="151" t="str">
        <f>IF(分析!F232&lt;&gt;"",分析!F232,"")</f>
        <v/>
      </c>
      <c r="G232" s="151" t="str">
        <f>IF(分析!H232&lt;&gt;"",分析!H232,"")</f>
        <v/>
      </c>
      <c r="H232" s="151" t="str">
        <f>IF(分析!I232&lt;&gt;"",分析!I232,"")</f>
        <v/>
      </c>
      <c r="I232" s="151" t="str">
        <f>IF(分析!J232&lt;&gt;"",分析!J232,"")</f>
        <v/>
      </c>
      <c r="J232" s="151" t="str">
        <f>IF(分析!AB232&lt;&gt;"",分析!AB232,"")</f>
        <v/>
      </c>
      <c r="K232" s="151" t="str">
        <f>IF(分析!AC232&lt;&gt;"",分析!AC232,"")</f>
        <v/>
      </c>
      <c r="L232" s="151" t="str">
        <f>IF(分析!K232&lt;&gt;"",分析!K232,"")</f>
        <v/>
      </c>
      <c r="M232" s="146" t="str">
        <f>IF(分析!P232&lt;&gt;"",分析!P232,"")</f>
        <v/>
      </c>
      <c r="N232" s="152" t="str">
        <f>IF(分析!O232&lt;&gt;"",分析!O232,"")</f>
        <v/>
      </c>
      <c r="O232" s="153" t="str">
        <f>IF(分析!X232&lt;&gt;"",分析!X232,"")</f>
        <v/>
      </c>
      <c r="P232" s="154" t="str">
        <f>IF(分析!L232&lt;&gt;"",分析!L232,"")</f>
        <v/>
      </c>
      <c r="Q232" s="151" t="str">
        <f>IF(分析!S232&lt;&gt;"",分析!S232,"")</f>
        <v/>
      </c>
      <c r="R232" s="151" t="str">
        <f>IF(分析!R232&lt;&gt;"",分析!R232,"")</f>
        <v/>
      </c>
      <c r="S232" s="146" t="str">
        <f>IF(分析!AA232&lt;&gt;"",分析!AA232,"")</f>
        <v/>
      </c>
      <c r="T232" s="155" t="str">
        <f>IF(分析!Z232&lt;&gt;"",分析!Z232,"")</f>
        <v/>
      </c>
      <c r="U232" s="146" t="str">
        <f>IF(分析!V232&lt;&gt;"",分析!V232,"")</f>
        <v/>
      </c>
      <c r="V232" s="156" t="str">
        <f>IF(分析!W232&lt;&gt;"",分析!W232,"")</f>
        <v/>
      </c>
      <c r="W232" s="157" t="str">
        <f>IF(分析!AD232&lt;&gt;"",分析!AD232,"")</f>
        <v/>
      </c>
      <c r="X232" s="158" t="str">
        <f>IF(分析!AE232&lt;&gt;"",分析!AE232,"")</f>
        <v/>
      </c>
      <c r="Y232" s="159" t="str">
        <f>IF(分析!T232&lt;&gt;"",分析!T232,"")</f>
        <v/>
      </c>
      <c r="Z232" s="160" t="str">
        <f>IF(分析!Y232&lt;&gt;"",分析!Y232,"")</f>
        <v/>
      </c>
    </row>
    <row r="233" spans="1:26" ht="21.95" customHeight="1">
      <c r="A233" s="161" t="str">
        <f>IF(分析!C233&lt;&gt;"",ROW()-2,"")</f>
        <v/>
      </c>
      <c r="B233" s="162" t="str">
        <f>IF(分析!C233&lt;&gt;"",HYPERLINK("https://kabutan.jp/stock/?code="&amp;分析!C233,"株探"),"")</f>
        <v/>
      </c>
      <c r="C233" s="163" t="str">
        <f>IF(分析!C233&lt;&gt;"",分析!C233,"")</f>
        <v/>
      </c>
      <c r="D233" s="164" t="str">
        <f>IF(分析!D233&lt;&gt;"",分析!D233,"")</f>
        <v/>
      </c>
      <c r="E233" s="165" t="str">
        <f>IF(分析!E233&lt;&gt;"",分析!E233,"")</f>
        <v/>
      </c>
      <c r="F233" s="166" t="str">
        <f>IF(分析!F233&lt;&gt;"",分析!F233,"")</f>
        <v/>
      </c>
      <c r="G233" s="166" t="str">
        <f>IF(分析!H233&lt;&gt;"",分析!H233,"")</f>
        <v/>
      </c>
      <c r="H233" s="166" t="str">
        <f>IF(分析!I233&lt;&gt;"",分析!I233,"")</f>
        <v/>
      </c>
      <c r="I233" s="166" t="str">
        <f>IF(分析!J233&lt;&gt;"",分析!J233,"")</f>
        <v/>
      </c>
      <c r="J233" s="166" t="str">
        <f>IF(分析!AB233&lt;&gt;"",分析!AB233,"")</f>
        <v/>
      </c>
      <c r="K233" s="166" t="str">
        <f>IF(分析!AC233&lt;&gt;"",分析!AC233,"")</f>
        <v/>
      </c>
      <c r="L233" s="166" t="str">
        <f>IF(分析!K233&lt;&gt;"",分析!K233,"")</f>
        <v/>
      </c>
      <c r="M233" s="161" t="str">
        <f>IF(分析!P233&lt;&gt;"",分析!P233,"")</f>
        <v/>
      </c>
      <c r="N233" s="167" t="str">
        <f>IF(分析!O233&lt;&gt;"",分析!O233,"")</f>
        <v/>
      </c>
      <c r="O233" s="168" t="str">
        <f>IF(分析!X233&lt;&gt;"",分析!X233,"")</f>
        <v/>
      </c>
      <c r="P233" s="169" t="str">
        <f>IF(分析!L233&lt;&gt;"",分析!L233,"")</f>
        <v/>
      </c>
      <c r="Q233" s="166" t="str">
        <f>IF(分析!S233&lt;&gt;"",分析!S233,"")</f>
        <v/>
      </c>
      <c r="R233" s="166" t="str">
        <f>IF(分析!R233&lt;&gt;"",分析!R233,"")</f>
        <v/>
      </c>
      <c r="S233" s="161" t="str">
        <f>IF(分析!AA233&lt;&gt;"",分析!AA233,"")</f>
        <v/>
      </c>
      <c r="T233" s="170" t="str">
        <f>IF(分析!Z233&lt;&gt;"",分析!Z233,"")</f>
        <v/>
      </c>
      <c r="U233" s="161" t="str">
        <f>IF(分析!V233&lt;&gt;"",分析!V233,"")</f>
        <v/>
      </c>
      <c r="V233" s="171" t="str">
        <f>IF(分析!W233&lt;&gt;"",分析!W233,"")</f>
        <v/>
      </c>
      <c r="W233" s="172" t="str">
        <f>IF(分析!AD233&lt;&gt;"",分析!AD233,"")</f>
        <v/>
      </c>
      <c r="X233" s="173" t="str">
        <f>IF(分析!AE233&lt;&gt;"",分析!AE233,"")</f>
        <v/>
      </c>
      <c r="Y233" s="174" t="str">
        <f>IF(分析!T233&lt;&gt;"",分析!T233,"")</f>
        <v/>
      </c>
      <c r="Z233" s="160" t="str">
        <f>IF(分析!Y233&lt;&gt;"",分析!Y233,"")</f>
        <v/>
      </c>
    </row>
    <row r="234" spans="1:26" ht="21.95" customHeight="1">
      <c r="A234" s="146" t="str">
        <f>IF(分析!C234&lt;&gt;"",ROW()-2,"")</f>
        <v/>
      </c>
      <c r="B234" s="147" t="str">
        <f>IF(分析!C234&lt;&gt;"",HYPERLINK("https://kabutan.jp/stock/?code="&amp;分析!C234,"株探"),"")</f>
        <v/>
      </c>
      <c r="C234" s="148" t="str">
        <f>IF(分析!C234&lt;&gt;"",分析!C234,"")</f>
        <v/>
      </c>
      <c r="D234" s="149" t="str">
        <f>IF(分析!D234&lt;&gt;"",分析!D234,"")</f>
        <v/>
      </c>
      <c r="E234" s="150" t="str">
        <f>IF(分析!E234&lt;&gt;"",分析!E234,"")</f>
        <v/>
      </c>
      <c r="F234" s="151" t="str">
        <f>IF(分析!F234&lt;&gt;"",分析!F234,"")</f>
        <v/>
      </c>
      <c r="G234" s="151" t="str">
        <f>IF(分析!H234&lt;&gt;"",分析!H234,"")</f>
        <v/>
      </c>
      <c r="H234" s="151" t="str">
        <f>IF(分析!I234&lt;&gt;"",分析!I234,"")</f>
        <v/>
      </c>
      <c r="I234" s="151" t="str">
        <f>IF(分析!J234&lt;&gt;"",分析!J234,"")</f>
        <v/>
      </c>
      <c r="J234" s="151" t="str">
        <f>IF(分析!AB234&lt;&gt;"",分析!AB234,"")</f>
        <v/>
      </c>
      <c r="K234" s="151" t="str">
        <f>IF(分析!AC234&lt;&gt;"",分析!AC234,"")</f>
        <v/>
      </c>
      <c r="L234" s="151" t="str">
        <f>IF(分析!K234&lt;&gt;"",分析!K234,"")</f>
        <v/>
      </c>
      <c r="M234" s="146" t="str">
        <f>IF(分析!P234&lt;&gt;"",分析!P234,"")</f>
        <v/>
      </c>
      <c r="N234" s="152" t="str">
        <f>IF(分析!O234&lt;&gt;"",分析!O234,"")</f>
        <v/>
      </c>
      <c r="O234" s="153" t="str">
        <f>IF(分析!X234&lt;&gt;"",分析!X234,"")</f>
        <v/>
      </c>
      <c r="P234" s="154" t="str">
        <f>IF(分析!L234&lt;&gt;"",分析!L234,"")</f>
        <v/>
      </c>
      <c r="Q234" s="151" t="str">
        <f>IF(分析!S234&lt;&gt;"",分析!S234,"")</f>
        <v/>
      </c>
      <c r="R234" s="151" t="str">
        <f>IF(分析!R234&lt;&gt;"",分析!R234,"")</f>
        <v/>
      </c>
      <c r="S234" s="146" t="str">
        <f>IF(分析!AA234&lt;&gt;"",分析!AA234,"")</f>
        <v/>
      </c>
      <c r="T234" s="155" t="str">
        <f>IF(分析!Z234&lt;&gt;"",分析!Z234,"")</f>
        <v/>
      </c>
      <c r="U234" s="146" t="str">
        <f>IF(分析!V234&lt;&gt;"",分析!V234,"")</f>
        <v/>
      </c>
      <c r="V234" s="156" t="str">
        <f>IF(分析!W234&lt;&gt;"",分析!W234,"")</f>
        <v/>
      </c>
      <c r="W234" s="157" t="str">
        <f>IF(分析!AD234&lt;&gt;"",分析!AD234,"")</f>
        <v/>
      </c>
      <c r="X234" s="158" t="str">
        <f>IF(分析!AE234&lt;&gt;"",分析!AE234,"")</f>
        <v/>
      </c>
      <c r="Y234" s="159" t="str">
        <f>IF(分析!T234&lt;&gt;"",分析!T234,"")</f>
        <v/>
      </c>
      <c r="Z234" s="160" t="str">
        <f>IF(分析!Y234&lt;&gt;"",分析!Y234,"")</f>
        <v/>
      </c>
    </row>
    <row r="235" spans="1:26" ht="21.95" customHeight="1">
      <c r="A235" s="161" t="str">
        <f>IF(分析!C235&lt;&gt;"",ROW()-2,"")</f>
        <v/>
      </c>
      <c r="B235" s="162" t="str">
        <f>IF(分析!C235&lt;&gt;"",HYPERLINK("https://kabutan.jp/stock/?code="&amp;分析!C235,"株探"),"")</f>
        <v/>
      </c>
      <c r="C235" s="163" t="str">
        <f>IF(分析!C235&lt;&gt;"",分析!C235,"")</f>
        <v/>
      </c>
      <c r="D235" s="164" t="str">
        <f>IF(分析!D235&lt;&gt;"",分析!D235,"")</f>
        <v/>
      </c>
      <c r="E235" s="165" t="str">
        <f>IF(分析!E235&lt;&gt;"",分析!E235,"")</f>
        <v/>
      </c>
      <c r="F235" s="166" t="str">
        <f>IF(分析!F235&lt;&gt;"",分析!F235,"")</f>
        <v/>
      </c>
      <c r="G235" s="166" t="str">
        <f>IF(分析!H235&lt;&gt;"",分析!H235,"")</f>
        <v/>
      </c>
      <c r="H235" s="166" t="str">
        <f>IF(分析!I235&lt;&gt;"",分析!I235,"")</f>
        <v/>
      </c>
      <c r="I235" s="166" t="str">
        <f>IF(分析!J235&lt;&gt;"",分析!J235,"")</f>
        <v/>
      </c>
      <c r="J235" s="166" t="str">
        <f>IF(分析!AB235&lt;&gt;"",分析!AB235,"")</f>
        <v/>
      </c>
      <c r="K235" s="166" t="str">
        <f>IF(分析!AC235&lt;&gt;"",分析!AC235,"")</f>
        <v/>
      </c>
      <c r="L235" s="166" t="str">
        <f>IF(分析!K235&lt;&gt;"",分析!K235,"")</f>
        <v/>
      </c>
      <c r="M235" s="161" t="str">
        <f>IF(分析!P235&lt;&gt;"",分析!P235,"")</f>
        <v/>
      </c>
      <c r="N235" s="167" t="str">
        <f>IF(分析!O235&lt;&gt;"",分析!O235,"")</f>
        <v/>
      </c>
      <c r="O235" s="168" t="str">
        <f>IF(分析!X235&lt;&gt;"",分析!X235,"")</f>
        <v/>
      </c>
      <c r="P235" s="169" t="str">
        <f>IF(分析!L235&lt;&gt;"",分析!L235,"")</f>
        <v/>
      </c>
      <c r="Q235" s="166" t="str">
        <f>IF(分析!S235&lt;&gt;"",分析!S235,"")</f>
        <v/>
      </c>
      <c r="R235" s="166" t="str">
        <f>IF(分析!R235&lt;&gt;"",分析!R235,"")</f>
        <v/>
      </c>
      <c r="S235" s="161" t="str">
        <f>IF(分析!AA235&lt;&gt;"",分析!AA235,"")</f>
        <v/>
      </c>
      <c r="T235" s="170" t="str">
        <f>IF(分析!Z235&lt;&gt;"",分析!Z235,"")</f>
        <v/>
      </c>
      <c r="U235" s="161" t="str">
        <f>IF(分析!V235&lt;&gt;"",分析!V235,"")</f>
        <v/>
      </c>
      <c r="V235" s="171" t="str">
        <f>IF(分析!W235&lt;&gt;"",分析!W235,"")</f>
        <v/>
      </c>
      <c r="W235" s="172" t="str">
        <f>IF(分析!AD235&lt;&gt;"",分析!AD235,"")</f>
        <v/>
      </c>
      <c r="X235" s="173" t="str">
        <f>IF(分析!AE235&lt;&gt;"",分析!AE235,"")</f>
        <v/>
      </c>
      <c r="Y235" s="174" t="str">
        <f>IF(分析!T235&lt;&gt;"",分析!T235,"")</f>
        <v/>
      </c>
      <c r="Z235" s="160" t="str">
        <f>IF(分析!Y235&lt;&gt;"",分析!Y235,"")</f>
        <v/>
      </c>
    </row>
    <row r="236" spans="1:26" ht="21.95" customHeight="1">
      <c r="A236" s="146" t="str">
        <f>IF(分析!C236&lt;&gt;"",ROW()-2,"")</f>
        <v/>
      </c>
      <c r="B236" s="147" t="str">
        <f>IF(分析!C236&lt;&gt;"",HYPERLINK("https://kabutan.jp/stock/?code="&amp;分析!C236,"株探"),"")</f>
        <v/>
      </c>
      <c r="C236" s="148" t="str">
        <f>IF(分析!C236&lt;&gt;"",分析!C236,"")</f>
        <v/>
      </c>
      <c r="D236" s="149" t="str">
        <f>IF(分析!D236&lt;&gt;"",分析!D236,"")</f>
        <v/>
      </c>
      <c r="E236" s="150" t="str">
        <f>IF(分析!E236&lt;&gt;"",分析!E236,"")</f>
        <v/>
      </c>
      <c r="F236" s="151" t="str">
        <f>IF(分析!F236&lt;&gt;"",分析!F236,"")</f>
        <v/>
      </c>
      <c r="G236" s="151" t="str">
        <f>IF(分析!H236&lt;&gt;"",分析!H236,"")</f>
        <v/>
      </c>
      <c r="H236" s="151" t="str">
        <f>IF(分析!I236&lt;&gt;"",分析!I236,"")</f>
        <v/>
      </c>
      <c r="I236" s="151" t="str">
        <f>IF(分析!J236&lt;&gt;"",分析!J236,"")</f>
        <v/>
      </c>
      <c r="J236" s="151" t="str">
        <f>IF(分析!AB236&lt;&gt;"",分析!AB236,"")</f>
        <v/>
      </c>
      <c r="K236" s="151" t="str">
        <f>IF(分析!AC236&lt;&gt;"",分析!AC236,"")</f>
        <v/>
      </c>
      <c r="L236" s="151" t="str">
        <f>IF(分析!K236&lt;&gt;"",分析!K236,"")</f>
        <v/>
      </c>
      <c r="M236" s="146" t="str">
        <f>IF(分析!P236&lt;&gt;"",分析!P236,"")</f>
        <v/>
      </c>
      <c r="N236" s="152" t="str">
        <f>IF(分析!O236&lt;&gt;"",分析!O236,"")</f>
        <v/>
      </c>
      <c r="O236" s="153" t="str">
        <f>IF(分析!X236&lt;&gt;"",分析!X236,"")</f>
        <v/>
      </c>
      <c r="P236" s="154" t="str">
        <f>IF(分析!L236&lt;&gt;"",分析!L236,"")</f>
        <v/>
      </c>
      <c r="Q236" s="151" t="str">
        <f>IF(分析!S236&lt;&gt;"",分析!S236,"")</f>
        <v/>
      </c>
      <c r="R236" s="151" t="str">
        <f>IF(分析!R236&lt;&gt;"",分析!R236,"")</f>
        <v/>
      </c>
      <c r="S236" s="146" t="str">
        <f>IF(分析!AA236&lt;&gt;"",分析!AA236,"")</f>
        <v/>
      </c>
      <c r="T236" s="155" t="str">
        <f>IF(分析!Z236&lt;&gt;"",分析!Z236,"")</f>
        <v/>
      </c>
      <c r="U236" s="146" t="str">
        <f>IF(分析!V236&lt;&gt;"",分析!V236,"")</f>
        <v/>
      </c>
      <c r="V236" s="156" t="str">
        <f>IF(分析!W236&lt;&gt;"",分析!W236,"")</f>
        <v/>
      </c>
      <c r="W236" s="157" t="str">
        <f>IF(分析!AD236&lt;&gt;"",分析!AD236,"")</f>
        <v/>
      </c>
      <c r="X236" s="158" t="str">
        <f>IF(分析!AE236&lt;&gt;"",分析!AE236,"")</f>
        <v/>
      </c>
      <c r="Y236" s="159" t="str">
        <f>IF(分析!T236&lt;&gt;"",分析!T236,"")</f>
        <v/>
      </c>
      <c r="Z236" s="160" t="str">
        <f>IF(分析!Y236&lt;&gt;"",分析!Y236,"")</f>
        <v/>
      </c>
    </row>
    <row r="237" spans="1:26" ht="21.95" customHeight="1">
      <c r="A237" s="161" t="str">
        <f>IF(分析!C237&lt;&gt;"",ROW()-2,"")</f>
        <v/>
      </c>
      <c r="B237" s="162" t="str">
        <f>IF(分析!C237&lt;&gt;"",HYPERLINK("https://kabutan.jp/stock/?code="&amp;分析!C237,"株探"),"")</f>
        <v/>
      </c>
      <c r="C237" s="163" t="str">
        <f>IF(分析!C237&lt;&gt;"",分析!C237,"")</f>
        <v/>
      </c>
      <c r="D237" s="164" t="str">
        <f>IF(分析!D237&lt;&gt;"",分析!D237,"")</f>
        <v/>
      </c>
      <c r="E237" s="165" t="str">
        <f>IF(分析!E237&lt;&gt;"",分析!E237,"")</f>
        <v/>
      </c>
      <c r="F237" s="166" t="str">
        <f>IF(分析!F237&lt;&gt;"",分析!F237,"")</f>
        <v/>
      </c>
      <c r="G237" s="166" t="str">
        <f>IF(分析!H237&lt;&gt;"",分析!H237,"")</f>
        <v/>
      </c>
      <c r="H237" s="166" t="str">
        <f>IF(分析!I237&lt;&gt;"",分析!I237,"")</f>
        <v/>
      </c>
      <c r="I237" s="166" t="str">
        <f>IF(分析!J237&lt;&gt;"",分析!J237,"")</f>
        <v/>
      </c>
      <c r="J237" s="166" t="str">
        <f>IF(分析!AB237&lt;&gt;"",分析!AB237,"")</f>
        <v/>
      </c>
      <c r="K237" s="166" t="str">
        <f>IF(分析!AC237&lt;&gt;"",分析!AC237,"")</f>
        <v/>
      </c>
      <c r="L237" s="166" t="str">
        <f>IF(分析!K237&lt;&gt;"",分析!K237,"")</f>
        <v/>
      </c>
      <c r="M237" s="161" t="str">
        <f>IF(分析!P237&lt;&gt;"",分析!P237,"")</f>
        <v/>
      </c>
      <c r="N237" s="167" t="str">
        <f>IF(分析!O237&lt;&gt;"",分析!O237,"")</f>
        <v/>
      </c>
      <c r="O237" s="168" t="str">
        <f>IF(分析!X237&lt;&gt;"",分析!X237,"")</f>
        <v/>
      </c>
      <c r="P237" s="169" t="str">
        <f>IF(分析!L237&lt;&gt;"",分析!L237,"")</f>
        <v/>
      </c>
      <c r="Q237" s="166" t="str">
        <f>IF(分析!S237&lt;&gt;"",分析!S237,"")</f>
        <v/>
      </c>
      <c r="R237" s="166" t="str">
        <f>IF(分析!R237&lt;&gt;"",分析!R237,"")</f>
        <v/>
      </c>
      <c r="S237" s="161" t="str">
        <f>IF(分析!AA237&lt;&gt;"",分析!AA237,"")</f>
        <v/>
      </c>
      <c r="T237" s="170" t="str">
        <f>IF(分析!Z237&lt;&gt;"",分析!Z237,"")</f>
        <v/>
      </c>
      <c r="U237" s="161" t="str">
        <f>IF(分析!V237&lt;&gt;"",分析!V237,"")</f>
        <v/>
      </c>
      <c r="V237" s="171" t="str">
        <f>IF(分析!W237&lt;&gt;"",分析!W237,"")</f>
        <v/>
      </c>
      <c r="W237" s="172" t="str">
        <f>IF(分析!AD237&lt;&gt;"",分析!AD237,"")</f>
        <v/>
      </c>
      <c r="X237" s="173" t="str">
        <f>IF(分析!AE237&lt;&gt;"",分析!AE237,"")</f>
        <v/>
      </c>
      <c r="Y237" s="174" t="str">
        <f>IF(分析!T237&lt;&gt;"",分析!T237,"")</f>
        <v/>
      </c>
      <c r="Z237" s="160" t="str">
        <f>IF(分析!Y237&lt;&gt;"",分析!Y237,"")</f>
        <v/>
      </c>
    </row>
    <row r="238" spans="1:26" ht="21.95" customHeight="1">
      <c r="A238" s="146" t="str">
        <f>IF(分析!C238&lt;&gt;"",ROW()-2,"")</f>
        <v/>
      </c>
      <c r="B238" s="147" t="str">
        <f>IF(分析!C238&lt;&gt;"",HYPERLINK("https://kabutan.jp/stock/?code="&amp;分析!C238,"株探"),"")</f>
        <v/>
      </c>
      <c r="C238" s="148" t="str">
        <f>IF(分析!C238&lt;&gt;"",分析!C238,"")</f>
        <v/>
      </c>
      <c r="D238" s="149" t="str">
        <f>IF(分析!D238&lt;&gt;"",分析!D238,"")</f>
        <v/>
      </c>
      <c r="E238" s="150" t="str">
        <f>IF(分析!E238&lt;&gt;"",分析!E238,"")</f>
        <v/>
      </c>
      <c r="F238" s="151" t="str">
        <f>IF(分析!F238&lt;&gt;"",分析!F238,"")</f>
        <v/>
      </c>
      <c r="G238" s="151" t="str">
        <f>IF(分析!H238&lt;&gt;"",分析!H238,"")</f>
        <v/>
      </c>
      <c r="H238" s="151" t="str">
        <f>IF(分析!I238&lt;&gt;"",分析!I238,"")</f>
        <v/>
      </c>
      <c r="I238" s="151" t="str">
        <f>IF(分析!J238&lt;&gt;"",分析!J238,"")</f>
        <v/>
      </c>
      <c r="J238" s="151" t="str">
        <f>IF(分析!AB238&lt;&gt;"",分析!AB238,"")</f>
        <v/>
      </c>
      <c r="K238" s="151" t="str">
        <f>IF(分析!AC238&lt;&gt;"",分析!AC238,"")</f>
        <v/>
      </c>
      <c r="L238" s="151" t="str">
        <f>IF(分析!K238&lt;&gt;"",分析!K238,"")</f>
        <v/>
      </c>
      <c r="M238" s="146" t="str">
        <f>IF(分析!P238&lt;&gt;"",分析!P238,"")</f>
        <v/>
      </c>
      <c r="N238" s="152" t="str">
        <f>IF(分析!O238&lt;&gt;"",分析!O238,"")</f>
        <v/>
      </c>
      <c r="O238" s="153" t="str">
        <f>IF(分析!X238&lt;&gt;"",分析!X238,"")</f>
        <v/>
      </c>
      <c r="P238" s="154" t="str">
        <f>IF(分析!L238&lt;&gt;"",分析!L238,"")</f>
        <v/>
      </c>
      <c r="Q238" s="151" t="str">
        <f>IF(分析!S238&lt;&gt;"",分析!S238,"")</f>
        <v/>
      </c>
      <c r="R238" s="151" t="str">
        <f>IF(分析!R238&lt;&gt;"",分析!R238,"")</f>
        <v/>
      </c>
      <c r="S238" s="146" t="str">
        <f>IF(分析!AA238&lt;&gt;"",分析!AA238,"")</f>
        <v/>
      </c>
      <c r="T238" s="155" t="str">
        <f>IF(分析!Z238&lt;&gt;"",分析!Z238,"")</f>
        <v/>
      </c>
      <c r="U238" s="146" t="str">
        <f>IF(分析!V238&lt;&gt;"",分析!V238,"")</f>
        <v/>
      </c>
      <c r="V238" s="156" t="str">
        <f>IF(分析!W238&lt;&gt;"",分析!W238,"")</f>
        <v/>
      </c>
      <c r="W238" s="157" t="str">
        <f>IF(分析!AD238&lt;&gt;"",分析!AD238,"")</f>
        <v/>
      </c>
      <c r="X238" s="158" t="str">
        <f>IF(分析!AE238&lt;&gt;"",分析!AE238,"")</f>
        <v/>
      </c>
      <c r="Y238" s="159" t="str">
        <f>IF(分析!T238&lt;&gt;"",分析!T238,"")</f>
        <v/>
      </c>
      <c r="Z238" s="160" t="str">
        <f>IF(分析!Y238&lt;&gt;"",分析!Y238,"")</f>
        <v/>
      </c>
    </row>
    <row r="239" spans="1:26" ht="21.95" customHeight="1">
      <c r="A239" s="161" t="str">
        <f>IF(分析!C239&lt;&gt;"",ROW()-2,"")</f>
        <v/>
      </c>
      <c r="B239" s="162" t="str">
        <f>IF(分析!C239&lt;&gt;"",HYPERLINK("https://kabutan.jp/stock/?code="&amp;分析!C239,"株探"),"")</f>
        <v/>
      </c>
      <c r="C239" s="163" t="str">
        <f>IF(分析!C239&lt;&gt;"",分析!C239,"")</f>
        <v/>
      </c>
      <c r="D239" s="164" t="str">
        <f>IF(分析!D239&lt;&gt;"",分析!D239,"")</f>
        <v/>
      </c>
      <c r="E239" s="165" t="str">
        <f>IF(分析!E239&lt;&gt;"",分析!E239,"")</f>
        <v/>
      </c>
      <c r="F239" s="166" t="str">
        <f>IF(分析!F239&lt;&gt;"",分析!F239,"")</f>
        <v/>
      </c>
      <c r="G239" s="166" t="str">
        <f>IF(分析!H239&lt;&gt;"",分析!H239,"")</f>
        <v/>
      </c>
      <c r="H239" s="166" t="str">
        <f>IF(分析!I239&lt;&gt;"",分析!I239,"")</f>
        <v/>
      </c>
      <c r="I239" s="166" t="str">
        <f>IF(分析!J239&lt;&gt;"",分析!J239,"")</f>
        <v/>
      </c>
      <c r="J239" s="166" t="str">
        <f>IF(分析!AB239&lt;&gt;"",分析!AB239,"")</f>
        <v/>
      </c>
      <c r="K239" s="166" t="str">
        <f>IF(分析!AC239&lt;&gt;"",分析!AC239,"")</f>
        <v/>
      </c>
      <c r="L239" s="166" t="str">
        <f>IF(分析!K239&lt;&gt;"",分析!K239,"")</f>
        <v/>
      </c>
      <c r="M239" s="161" t="str">
        <f>IF(分析!P239&lt;&gt;"",分析!P239,"")</f>
        <v/>
      </c>
      <c r="N239" s="167" t="str">
        <f>IF(分析!O239&lt;&gt;"",分析!O239,"")</f>
        <v/>
      </c>
      <c r="O239" s="168" t="str">
        <f>IF(分析!X239&lt;&gt;"",分析!X239,"")</f>
        <v/>
      </c>
      <c r="P239" s="169" t="str">
        <f>IF(分析!L239&lt;&gt;"",分析!L239,"")</f>
        <v/>
      </c>
      <c r="Q239" s="166" t="str">
        <f>IF(分析!S239&lt;&gt;"",分析!S239,"")</f>
        <v/>
      </c>
      <c r="R239" s="166" t="str">
        <f>IF(分析!R239&lt;&gt;"",分析!R239,"")</f>
        <v/>
      </c>
      <c r="S239" s="161" t="str">
        <f>IF(分析!AA239&lt;&gt;"",分析!AA239,"")</f>
        <v/>
      </c>
      <c r="T239" s="170" t="str">
        <f>IF(分析!Z239&lt;&gt;"",分析!Z239,"")</f>
        <v/>
      </c>
      <c r="U239" s="161" t="str">
        <f>IF(分析!V239&lt;&gt;"",分析!V239,"")</f>
        <v/>
      </c>
      <c r="V239" s="171" t="str">
        <f>IF(分析!W239&lt;&gt;"",分析!W239,"")</f>
        <v/>
      </c>
      <c r="W239" s="172" t="str">
        <f>IF(分析!AD239&lt;&gt;"",分析!AD239,"")</f>
        <v/>
      </c>
      <c r="X239" s="173" t="str">
        <f>IF(分析!AE239&lt;&gt;"",分析!AE239,"")</f>
        <v/>
      </c>
      <c r="Y239" s="174" t="str">
        <f>IF(分析!T239&lt;&gt;"",分析!T239,"")</f>
        <v/>
      </c>
      <c r="Z239" s="160" t="str">
        <f>IF(分析!Y239&lt;&gt;"",分析!Y239,"")</f>
        <v/>
      </c>
    </row>
    <row r="240" spans="1:26" ht="21.95" customHeight="1">
      <c r="A240" s="146" t="str">
        <f>IF(分析!C240&lt;&gt;"",ROW()-2,"")</f>
        <v/>
      </c>
      <c r="B240" s="147" t="str">
        <f>IF(分析!C240&lt;&gt;"",HYPERLINK("https://kabutan.jp/stock/?code="&amp;分析!C240,"株探"),"")</f>
        <v/>
      </c>
      <c r="C240" s="148" t="str">
        <f>IF(分析!C240&lt;&gt;"",分析!C240,"")</f>
        <v/>
      </c>
      <c r="D240" s="149" t="str">
        <f>IF(分析!D240&lt;&gt;"",分析!D240,"")</f>
        <v/>
      </c>
      <c r="E240" s="150" t="str">
        <f>IF(分析!E240&lt;&gt;"",分析!E240,"")</f>
        <v/>
      </c>
      <c r="F240" s="151" t="str">
        <f>IF(分析!F240&lt;&gt;"",分析!F240,"")</f>
        <v/>
      </c>
      <c r="G240" s="151" t="str">
        <f>IF(分析!H240&lt;&gt;"",分析!H240,"")</f>
        <v/>
      </c>
      <c r="H240" s="151" t="str">
        <f>IF(分析!I240&lt;&gt;"",分析!I240,"")</f>
        <v/>
      </c>
      <c r="I240" s="151" t="str">
        <f>IF(分析!J240&lt;&gt;"",分析!J240,"")</f>
        <v/>
      </c>
      <c r="J240" s="151" t="str">
        <f>IF(分析!AB240&lt;&gt;"",分析!AB240,"")</f>
        <v/>
      </c>
      <c r="K240" s="151" t="str">
        <f>IF(分析!AC240&lt;&gt;"",分析!AC240,"")</f>
        <v/>
      </c>
      <c r="L240" s="151" t="str">
        <f>IF(分析!K240&lt;&gt;"",分析!K240,"")</f>
        <v/>
      </c>
      <c r="M240" s="146" t="str">
        <f>IF(分析!P240&lt;&gt;"",分析!P240,"")</f>
        <v/>
      </c>
      <c r="N240" s="152" t="str">
        <f>IF(分析!O240&lt;&gt;"",分析!O240,"")</f>
        <v/>
      </c>
      <c r="O240" s="153" t="str">
        <f>IF(分析!X240&lt;&gt;"",分析!X240,"")</f>
        <v/>
      </c>
      <c r="P240" s="154" t="str">
        <f>IF(分析!L240&lt;&gt;"",分析!L240,"")</f>
        <v/>
      </c>
      <c r="Q240" s="151" t="str">
        <f>IF(分析!S240&lt;&gt;"",分析!S240,"")</f>
        <v/>
      </c>
      <c r="R240" s="151" t="str">
        <f>IF(分析!R240&lt;&gt;"",分析!R240,"")</f>
        <v/>
      </c>
      <c r="S240" s="146" t="str">
        <f>IF(分析!AA240&lt;&gt;"",分析!AA240,"")</f>
        <v/>
      </c>
      <c r="T240" s="155" t="str">
        <f>IF(分析!Z240&lt;&gt;"",分析!Z240,"")</f>
        <v/>
      </c>
      <c r="U240" s="146" t="str">
        <f>IF(分析!V240&lt;&gt;"",分析!V240,"")</f>
        <v/>
      </c>
      <c r="V240" s="156" t="str">
        <f>IF(分析!W240&lt;&gt;"",分析!W240,"")</f>
        <v/>
      </c>
      <c r="W240" s="157" t="str">
        <f>IF(分析!AD240&lt;&gt;"",分析!AD240,"")</f>
        <v/>
      </c>
      <c r="X240" s="158" t="str">
        <f>IF(分析!AE240&lt;&gt;"",分析!AE240,"")</f>
        <v/>
      </c>
      <c r="Y240" s="159" t="str">
        <f>IF(分析!T240&lt;&gt;"",分析!T240,"")</f>
        <v/>
      </c>
      <c r="Z240" s="160" t="str">
        <f>IF(分析!Y240&lt;&gt;"",分析!Y240,"")</f>
        <v/>
      </c>
    </row>
    <row r="241" spans="1:26" ht="21.95" customHeight="1">
      <c r="A241" s="161" t="str">
        <f>IF(分析!C241&lt;&gt;"",ROW()-2,"")</f>
        <v/>
      </c>
      <c r="B241" s="162" t="str">
        <f>IF(分析!C241&lt;&gt;"",HYPERLINK("https://kabutan.jp/stock/?code="&amp;分析!C241,"株探"),"")</f>
        <v/>
      </c>
      <c r="C241" s="163" t="str">
        <f>IF(分析!C241&lt;&gt;"",分析!C241,"")</f>
        <v/>
      </c>
      <c r="D241" s="164" t="str">
        <f>IF(分析!D241&lt;&gt;"",分析!D241,"")</f>
        <v/>
      </c>
      <c r="E241" s="165" t="str">
        <f>IF(分析!E241&lt;&gt;"",分析!E241,"")</f>
        <v/>
      </c>
      <c r="F241" s="166" t="str">
        <f>IF(分析!F241&lt;&gt;"",分析!F241,"")</f>
        <v/>
      </c>
      <c r="G241" s="166" t="str">
        <f>IF(分析!H241&lt;&gt;"",分析!H241,"")</f>
        <v/>
      </c>
      <c r="H241" s="166" t="str">
        <f>IF(分析!I241&lt;&gt;"",分析!I241,"")</f>
        <v/>
      </c>
      <c r="I241" s="166" t="str">
        <f>IF(分析!J241&lt;&gt;"",分析!J241,"")</f>
        <v/>
      </c>
      <c r="J241" s="166" t="str">
        <f>IF(分析!AB241&lt;&gt;"",分析!AB241,"")</f>
        <v/>
      </c>
      <c r="K241" s="166" t="str">
        <f>IF(分析!AC241&lt;&gt;"",分析!AC241,"")</f>
        <v/>
      </c>
      <c r="L241" s="166" t="str">
        <f>IF(分析!K241&lt;&gt;"",分析!K241,"")</f>
        <v/>
      </c>
      <c r="M241" s="161" t="str">
        <f>IF(分析!P241&lt;&gt;"",分析!P241,"")</f>
        <v/>
      </c>
      <c r="N241" s="167" t="str">
        <f>IF(分析!O241&lt;&gt;"",分析!O241,"")</f>
        <v/>
      </c>
      <c r="O241" s="168" t="str">
        <f>IF(分析!X241&lt;&gt;"",分析!X241,"")</f>
        <v/>
      </c>
      <c r="P241" s="169" t="str">
        <f>IF(分析!L241&lt;&gt;"",分析!L241,"")</f>
        <v/>
      </c>
      <c r="Q241" s="166" t="str">
        <f>IF(分析!S241&lt;&gt;"",分析!S241,"")</f>
        <v/>
      </c>
      <c r="R241" s="166" t="str">
        <f>IF(分析!R241&lt;&gt;"",分析!R241,"")</f>
        <v/>
      </c>
      <c r="S241" s="161" t="str">
        <f>IF(分析!AA241&lt;&gt;"",分析!AA241,"")</f>
        <v/>
      </c>
      <c r="T241" s="170" t="str">
        <f>IF(分析!Z241&lt;&gt;"",分析!Z241,"")</f>
        <v/>
      </c>
      <c r="U241" s="161" t="str">
        <f>IF(分析!V241&lt;&gt;"",分析!V241,"")</f>
        <v/>
      </c>
      <c r="V241" s="171" t="str">
        <f>IF(分析!W241&lt;&gt;"",分析!W241,"")</f>
        <v/>
      </c>
      <c r="W241" s="172" t="str">
        <f>IF(分析!AD241&lt;&gt;"",分析!AD241,"")</f>
        <v/>
      </c>
      <c r="X241" s="173" t="str">
        <f>IF(分析!AE241&lt;&gt;"",分析!AE241,"")</f>
        <v/>
      </c>
      <c r="Y241" s="174" t="str">
        <f>IF(分析!T241&lt;&gt;"",分析!T241,"")</f>
        <v/>
      </c>
      <c r="Z241" s="160" t="str">
        <f>IF(分析!Y241&lt;&gt;"",分析!Y241,"")</f>
        <v/>
      </c>
    </row>
    <row r="242" spans="1:26" ht="21.95" customHeight="1">
      <c r="A242" s="146" t="str">
        <f>IF(分析!C242&lt;&gt;"",ROW()-2,"")</f>
        <v/>
      </c>
      <c r="B242" s="147" t="str">
        <f>IF(分析!C242&lt;&gt;"",HYPERLINK("https://kabutan.jp/stock/?code="&amp;分析!C242,"株探"),"")</f>
        <v/>
      </c>
      <c r="C242" s="148" t="str">
        <f>IF(分析!C242&lt;&gt;"",分析!C242,"")</f>
        <v/>
      </c>
      <c r="D242" s="149" t="str">
        <f>IF(分析!D242&lt;&gt;"",分析!D242,"")</f>
        <v/>
      </c>
      <c r="E242" s="150" t="str">
        <f>IF(分析!E242&lt;&gt;"",分析!E242,"")</f>
        <v/>
      </c>
      <c r="F242" s="151" t="str">
        <f>IF(分析!F242&lt;&gt;"",分析!F242,"")</f>
        <v/>
      </c>
      <c r="G242" s="151" t="str">
        <f>IF(分析!H242&lt;&gt;"",分析!H242,"")</f>
        <v/>
      </c>
      <c r="H242" s="151" t="str">
        <f>IF(分析!I242&lt;&gt;"",分析!I242,"")</f>
        <v/>
      </c>
      <c r="I242" s="151" t="str">
        <f>IF(分析!J242&lt;&gt;"",分析!J242,"")</f>
        <v/>
      </c>
      <c r="J242" s="151" t="str">
        <f>IF(分析!AB242&lt;&gt;"",分析!AB242,"")</f>
        <v/>
      </c>
      <c r="K242" s="151" t="str">
        <f>IF(分析!AC242&lt;&gt;"",分析!AC242,"")</f>
        <v/>
      </c>
      <c r="L242" s="151" t="str">
        <f>IF(分析!K242&lt;&gt;"",分析!K242,"")</f>
        <v/>
      </c>
      <c r="M242" s="146" t="str">
        <f>IF(分析!P242&lt;&gt;"",分析!P242,"")</f>
        <v/>
      </c>
      <c r="N242" s="152" t="str">
        <f>IF(分析!O242&lt;&gt;"",分析!O242,"")</f>
        <v/>
      </c>
      <c r="O242" s="153" t="str">
        <f>IF(分析!X242&lt;&gt;"",分析!X242,"")</f>
        <v/>
      </c>
      <c r="P242" s="154" t="str">
        <f>IF(分析!L242&lt;&gt;"",分析!L242,"")</f>
        <v/>
      </c>
      <c r="Q242" s="151" t="str">
        <f>IF(分析!S242&lt;&gt;"",分析!S242,"")</f>
        <v/>
      </c>
      <c r="R242" s="151" t="str">
        <f>IF(分析!R242&lt;&gt;"",分析!R242,"")</f>
        <v/>
      </c>
      <c r="S242" s="146" t="str">
        <f>IF(分析!AA242&lt;&gt;"",分析!AA242,"")</f>
        <v/>
      </c>
      <c r="T242" s="155" t="str">
        <f>IF(分析!Z242&lt;&gt;"",分析!Z242,"")</f>
        <v/>
      </c>
      <c r="U242" s="146" t="str">
        <f>IF(分析!V242&lt;&gt;"",分析!V242,"")</f>
        <v/>
      </c>
      <c r="V242" s="156" t="str">
        <f>IF(分析!W242&lt;&gt;"",分析!W242,"")</f>
        <v/>
      </c>
      <c r="W242" s="157" t="str">
        <f>IF(分析!AD242&lt;&gt;"",分析!AD242,"")</f>
        <v/>
      </c>
      <c r="X242" s="158" t="str">
        <f>IF(分析!AE242&lt;&gt;"",分析!AE242,"")</f>
        <v/>
      </c>
      <c r="Y242" s="159" t="str">
        <f>IF(分析!T242&lt;&gt;"",分析!T242,"")</f>
        <v/>
      </c>
      <c r="Z242" s="160" t="str">
        <f>IF(分析!Y242&lt;&gt;"",分析!Y242,"")</f>
        <v/>
      </c>
    </row>
    <row r="243" spans="1:26" ht="21.95" customHeight="1">
      <c r="A243" s="161" t="str">
        <f>IF(分析!C243&lt;&gt;"",ROW()-2,"")</f>
        <v/>
      </c>
      <c r="B243" s="162" t="str">
        <f>IF(分析!C243&lt;&gt;"",HYPERLINK("https://kabutan.jp/stock/?code="&amp;分析!C243,"株探"),"")</f>
        <v/>
      </c>
      <c r="C243" s="163" t="str">
        <f>IF(分析!C243&lt;&gt;"",分析!C243,"")</f>
        <v/>
      </c>
      <c r="D243" s="164" t="str">
        <f>IF(分析!D243&lt;&gt;"",分析!D243,"")</f>
        <v/>
      </c>
      <c r="E243" s="165" t="str">
        <f>IF(分析!E243&lt;&gt;"",分析!E243,"")</f>
        <v/>
      </c>
      <c r="F243" s="166" t="str">
        <f>IF(分析!F243&lt;&gt;"",分析!F243,"")</f>
        <v/>
      </c>
      <c r="G243" s="166" t="str">
        <f>IF(分析!H243&lt;&gt;"",分析!H243,"")</f>
        <v/>
      </c>
      <c r="H243" s="166" t="str">
        <f>IF(分析!I243&lt;&gt;"",分析!I243,"")</f>
        <v/>
      </c>
      <c r="I243" s="166" t="str">
        <f>IF(分析!J243&lt;&gt;"",分析!J243,"")</f>
        <v/>
      </c>
      <c r="J243" s="166" t="str">
        <f>IF(分析!AB243&lt;&gt;"",分析!AB243,"")</f>
        <v/>
      </c>
      <c r="K243" s="166" t="str">
        <f>IF(分析!AC243&lt;&gt;"",分析!AC243,"")</f>
        <v/>
      </c>
      <c r="L243" s="166" t="str">
        <f>IF(分析!K243&lt;&gt;"",分析!K243,"")</f>
        <v/>
      </c>
      <c r="M243" s="161" t="str">
        <f>IF(分析!P243&lt;&gt;"",分析!P243,"")</f>
        <v/>
      </c>
      <c r="N243" s="167" t="str">
        <f>IF(分析!O243&lt;&gt;"",分析!O243,"")</f>
        <v/>
      </c>
      <c r="O243" s="168" t="str">
        <f>IF(分析!X243&lt;&gt;"",分析!X243,"")</f>
        <v/>
      </c>
      <c r="P243" s="169" t="str">
        <f>IF(分析!L243&lt;&gt;"",分析!L243,"")</f>
        <v/>
      </c>
      <c r="Q243" s="166" t="str">
        <f>IF(分析!S243&lt;&gt;"",分析!S243,"")</f>
        <v/>
      </c>
      <c r="R243" s="166" t="str">
        <f>IF(分析!R243&lt;&gt;"",分析!R243,"")</f>
        <v/>
      </c>
      <c r="S243" s="161" t="str">
        <f>IF(分析!AA243&lt;&gt;"",分析!AA243,"")</f>
        <v/>
      </c>
      <c r="T243" s="170" t="str">
        <f>IF(分析!Z243&lt;&gt;"",分析!Z243,"")</f>
        <v/>
      </c>
      <c r="U243" s="161" t="str">
        <f>IF(分析!V243&lt;&gt;"",分析!V243,"")</f>
        <v/>
      </c>
      <c r="V243" s="171" t="str">
        <f>IF(分析!W243&lt;&gt;"",分析!W243,"")</f>
        <v/>
      </c>
      <c r="W243" s="172" t="str">
        <f>IF(分析!AD243&lt;&gt;"",分析!AD243,"")</f>
        <v/>
      </c>
      <c r="X243" s="173" t="str">
        <f>IF(分析!AE243&lt;&gt;"",分析!AE243,"")</f>
        <v/>
      </c>
      <c r="Y243" s="174" t="str">
        <f>IF(分析!T243&lt;&gt;"",分析!T243,"")</f>
        <v/>
      </c>
      <c r="Z243" s="160" t="str">
        <f>IF(分析!Y243&lt;&gt;"",分析!Y243,"")</f>
        <v/>
      </c>
    </row>
    <row r="244" spans="1:26" ht="21.95" customHeight="1">
      <c r="A244" s="146" t="str">
        <f>IF(分析!C244&lt;&gt;"",ROW()-2,"")</f>
        <v/>
      </c>
      <c r="B244" s="147" t="str">
        <f>IF(分析!C244&lt;&gt;"",HYPERLINK("https://kabutan.jp/stock/?code="&amp;分析!C244,"株探"),"")</f>
        <v/>
      </c>
      <c r="C244" s="148" t="str">
        <f>IF(分析!C244&lt;&gt;"",分析!C244,"")</f>
        <v/>
      </c>
      <c r="D244" s="149" t="str">
        <f>IF(分析!D244&lt;&gt;"",分析!D244,"")</f>
        <v/>
      </c>
      <c r="E244" s="150" t="str">
        <f>IF(分析!E244&lt;&gt;"",分析!E244,"")</f>
        <v/>
      </c>
      <c r="F244" s="151" t="str">
        <f>IF(分析!F244&lt;&gt;"",分析!F244,"")</f>
        <v/>
      </c>
      <c r="G244" s="151" t="str">
        <f>IF(分析!H244&lt;&gt;"",分析!H244,"")</f>
        <v/>
      </c>
      <c r="H244" s="151" t="str">
        <f>IF(分析!I244&lt;&gt;"",分析!I244,"")</f>
        <v/>
      </c>
      <c r="I244" s="151" t="str">
        <f>IF(分析!J244&lt;&gt;"",分析!J244,"")</f>
        <v/>
      </c>
      <c r="J244" s="151" t="str">
        <f>IF(分析!AB244&lt;&gt;"",分析!AB244,"")</f>
        <v/>
      </c>
      <c r="K244" s="151" t="str">
        <f>IF(分析!AC244&lt;&gt;"",分析!AC244,"")</f>
        <v/>
      </c>
      <c r="L244" s="151" t="str">
        <f>IF(分析!K244&lt;&gt;"",分析!K244,"")</f>
        <v/>
      </c>
      <c r="M244" s="146" t="str">
        <f>IF(分析!P244&lt;&gt;"",分析!P244,"")</f>
        <v/>
      </c>
      <c r="N244" s="152" t="str">
        <f>IF(分析!O244&lt;&gt;"",分析!O244,"")</f>
        <v/>
      </c>
      <c r="O244" s="153" t="str">
        <f>IF(分析!X244&lt;&gt;"",分析!X244,"")</f>
        <v/>
      </c>
      <c r="P244" s="154" t="str">
        <f>IF(分析!L244&lt;&gt;"",分析!L244,"")</f>
        <v/>
      </c>
      <c r="Q244" s="151" t="str">
        <f>IF(分析!S244&lt;&gt;"",分析!S244,"")</f>
        <v/>
      </c>
      <c r="R244" s="151" t="str">
        <f>IF(分析!R244&lt;&gt;"",分析!R244,"")</f>
        <v/>
      </c>
      <c r="S244" s="146" t="str">
        <f>IF(分析!AA244&lt;&gt;"",分析!AA244,"")</f>
        <v/>
      </c>
      <c r="T244" s="155" t="str">
        <f>IF(分析!Z244&lt;&gt;"",分析!Z244,"")</f>
        <v/>
      </c>
      <c r="U244" s="146" t="str">
        <f>IF(分析!V244&lt;&gt;"",分析!V244,"")</f>
        <v/>
      </c>
      <c r="V244" s="156" t="str">
        <f>IF(分析!W244&lt;&gt;"",分析!W244,"")</f>
        <v/>
      </c>
      <c r="W244" s="157" t="str">
        <f>IF(分析!AD244&lt;&gt;"",分析!AD244,"")</f>
        <v/>
      </c>
      <c r="X244" s="158" t="str">
        <f>IF(分析!AE244&lt;&gt;"",分析!AE244,"")</f>
        <v/>
      </c>
      <c r="Y244" s="159" t="str">
        <f>IF(分析!T244&lt;&gt;"",分析!T244,"")</f>
        <v/>
      </c>
      <c r="Z244" s="160" t="str">
        <f>IF(分析!Y244&lt;&gt;"",分析!Y244,"")</f>
        <v/>
      </c>
    </row>
    <row r="245" spans="1:26" ht="21.95" customHeight="1">
      <c r="A245" s="161" t="str">
        <f>IF(分析!C245&lt;&gt;"",ROW()-2,"")</f>
        <v/>
      </c>
      <c r="B245" s="162" t="str">
        <f>IF(分析!C245&lt;&gt;"",HYPERLINK("https://kabutan.jp/stock/?code="&amp;分析!C245,"株探"),"")</f>
        <v/>
      </c>
      <c r="C245" s="163" t="str">
        <f>IF(分析!C245&lt;&gt;"",分析!C245,"")</f>
        <v/>
      </c>
      <c r="D245" s="164" t="str">
        <f>IF(分析!D245&lt;&gt;"",分析!D245,"")</f>
        <v/>
      </c>
      <c r="E245" s="165" t="str">
        <f>IF(分析!E245&lt;&gt;"",分析!E245,"")</f>
        <v/>
      </c>
      <c r="F245" s="166" t="str">
        <f>IF(分析!F245&lt;&gt;"",分析!F245,"")</f>
        <v/>
      </c>
      <c r="G245" s="166" t="str">
        <f>IF(分析!H245&lt;&gt;"",分析!H245,"")</f>
        <v/>
      </c>
      <c r="H245" s="166" t="str">
        <f>IF(分析!I245&lt;&gt;"",分析!I245,"")</f>
        <v/>
      </c>
      <c r="I245" s="166" t="str">
        <f>IF(分析!J245&lt;&gt;"",分析!J245,"")</f>
        <v/>
      </c>
      <c r="J245" s="166" t="str">
        <f>IF(分析!AB245&lt;&gt;"",分析!AB245,"")</f>
        <v/>
      </c>
      <c r="K245" s="166" t="str">
        <f>IF(分析!AC245&lt;&gt;"",分析!AC245,"")</f>
        <v/>
      </c>
      <c r="L245" s="166" t="str">
        <f>IF(分析!K245&lt;&gt;"",分析!K245,"")</f>
        <v/>
      </c>
      <c r="M245" s="161" t="str">
        <f>IF(分析!P245&lt;&gt;"",分析!P245,"")</f>
        <v/>
      </c>
      <c r="N245" s="167" t="str">
        <f>IF(分析!O245&lt;&gt;"",分析!O245,"")</f>
        <v/>
      </c>
      <c r="O245" s="168" t="str">
        <f>IF(分析!X245&lt;&gt;"",分析!X245,"")</f>
        <v/>
      </c>
      <c r="P245" s="169" t="str">
        <f>IF(分析!L245&lt;&gt;"",分析!L245,"")</f>
        <v/>
      </c>
      <c r="Q245" s="166" t="str">
        <f>IF(分析!S245&lt;&gt;"",分析!S245,"")</f>
        <v/>
      </c>
      <c r="R245" s="166" t="str">
        <f>IF(分析!R245&lt;&gt;"",分析!R245,"")</f>
        <v/>
      </c>
      <c r="S245" s="161" t="str">
        <f>IF(分析!AA245&lt;&gt;"",分析!AA245,"")</f>
        <v/>
      </c>
      <c r="T245" s="170" t="str">
        <f>IF(分析!Z245&lt;&gt;"",分析!Z245,"")</f>
        <v/>
      </c>
      <c r="U245" s="161" t="str">
        <f>IF(分析!V245&lt;&gt;"",分析!V245,"")</f>
        <v/>
      </c>
      <c r="V245" s="171" t="str">
        <f>IF(分析!W245&lt;&gt;"",分析!W245,"")</f>
        <v/>
      </c>
      <c r="W245" s="172" t="str">
        <f>IF(分析!AD245&lt;&gt;"",分析!AD245,"")</f>
        <v/>
      </c>
      <c r="X245" s="173" t="str">
        <f>IF(分析!AE245&lt;&gt;"",分析!AE245,"")</f>
        <v/>
      </c>
      <c r="Y245" s="174" t="str">
        <f>IF(分析!T245&lt;&gt;"",分析!T245,"")</f>
        <v/>
      </c>
      <c r="Z245" s="160" t="str">
        <f>IF(分析!Y245&lt;&gt;"",分析!Y245,"")</f>
        <v/>
      </c>
    </row>
    <row r="246" spans="1:26" ht="21.95" customHeight="1">
      <c r="A246" s="146" t="str">
        <f>IF(分析!C246&lt;&gt;"",ROW()-2,"")</f>
        <v/>
      </c>
      <c r="B246" s="147" t="str">
        <f>IF(分析!C246&lt;&gt;"",HYPERLINK("https://kabutan.jp/stock/?code="&amp;分析!C246,"株探"),"")</f>
        <v/>
      </c>
      <c r="C246" s="148" t="str">
        <f>IF(分析!C246&lt;&gt;"",分析!C246,"")</f>
        <v/>
      </c>
      <c r="D246" s="149" t="str">
        <f>IF(分析!D246&lt;&gt;"",分析!D246,"")</f>
        <v/>
      </c>
      <c r="E246" s="150" t="str">
        <f>IF(分析!E246&lt;&gt;"",分析!E246,"")</f>
        <v/>
      </c>
      <c r="F246" s="151" t="str">
        <f>IF(分析!F246&lt;&gt;"",分析!F246,"")</f>
        <v/>
      </c>
      <c r="G246" s="151" t="str">
        <f>IF(分析!H246&lt;&gt;"",分析!H246,"")</f>
        <v/>
      </c>
      <c r="H246" s="151" t="str">
        <f>IF(分析!I246&lt;&gt;"",分析!I246,"")</f>
        <v/>
      </c>
      <c r="I246" s="151" t="str">
        <f>IF(分析!J246&lt;&gt;"",分析!J246,"")</f>
        <v/>
      </c>
      <c r="J246" s="151" t="str">
        <f>IF(分析!AB246&lt;&gt;"",分析!AB246,"")</f>
        <v/>
      </c>
      <c r="K246" s="151" t="str">
        <f>IF(分析!AC246&lt;&gt;"",分析!AC246,"")</f>
        <v/>
      </c>
      <c r="L246" s="151" t="str">
        <f>IF(分析!K246&lt;&gt;"",分析!K246,"")</f>
        <v/>
      </c>
      <c r="M246" s="146" t="str">
        <f>IF(分析!P246&lt;&gt;"",分析!P246,"")</f>
        <v/>
      </c>
      <c r="N246" s="152" t="str">
        <f>IF(分析!O246&lt;&gt;"",分析!O246,"")</f>
        <v/>
      </c>
      <c r="O246" s="153" t="str">
        <f>IF(分析!X246&lt;&gt;"",分析!X246,"")</f>
        <v/>
      </c>
      <c r="P246" s="154" t="str">
        <f>IF(分析!L246&lt;&gt;"",分析!L246,"")</f>
        <v/>
      </c>
      <c r="Q246" s="151" t="str">
        <f>IF(分析!S246&lt;&gt;"",分析!S246,"")</f>
        <v/>
      </c>
      <c r="R246" s="151" t="str">
        <f>IF(分析!R246&lt;&gt;"",分析!R246,"")</f>
        <v/>
      </c>
      <c r="S246" s="146" t="str">
        <f>IF(分析!AA246&lt;&gt;"",分析!AA246,"")</f>
        <v/>
      </c>
      <c r="T246" s="155" t="str">
        <f>IF(分析!Z246&lt;&gt;"",分析!Z246,"")</f>
        <v/>
      </c>
      <c r="U246" s="146" t="str">
        <f>IF(分析!V246&lt;&gt;"",分析!V246,"")</f>
        <v/>
      </c>
      <c r="V246" s="156" t="str">
        <f>IF(分析!W246&lt;&gt;"",分析!W246,"")</f>
        <v/>
      </c>
      <c r="W246" s="157" t="str">
        <f>IF(分析!AD246&lt;&gt;"",分析!AD246,"")</f>
        <v/>
      </c>
      <c r="X246" s="158" t="str">
        <f>IF(分析!AE246&lt;&gt;"",分析!AE246,"")</f>
        <v/>
      </c>
      <c r="Y246" s="159" t="str">
        <f>IF(分析!T246&lt;&gt;"",分析!T246,"")</f>
        <v/>
      </c>
      <c r="Z246" s="160" t="str">
        <f>IF(分析!Y246&lt;&gt;"",分析!Y246,"")</f>
        <v/>
      </c>
    </row>
    <row r="247" spans="1:26" ht="21.95" customHeight="1">
      <c r="A247" s="161" t="str">
        <f>IF(分析!C247&lt;&gt;"",ROW()-2,"")</f>
        <v/>
      </c>
      <c r="B247" s="162" t="str">
        <f>IF(分析!C247&lt;&gt;"",HYPERLINK("https://kabutan.jp/stock/?code="&amp;分析!C247,"株探"),"")</f>
        <v/>
      </c>
      <c r="C247" s="163" t="str">
        <f>IF(分析!C247&lt;&gt;"",分析!C247,"")</f>
        <v/>
      </c>
      <c r="D247" s="164" t="str">
        <f>IF(分析!D247&lt;&gt;"",分析!D247,"")</f>
        <v/>
      </c>
      <c r="E247" s="165" t="str">
        <f>IF(分析!E247&lt;&gt;"",分析!E247,"")</f>
        <v/>
      </c>
      <c r="F247" s="166" t="str">
        <f>IF(分析!F247&lt;&gt;"",分析!F247,"")</f>
        <v/>
      </c>
      <c r="G247" s="166" t="str">
        <f>IF(分析!H247&lt;&gt;"",分析!H247,"")</f>
        <v/>
      </c>
      <c r="H247" s="166" t="str">
        <f>IF(分析!I247&lt;&gt;"",分析!I247,"")</f>
        <v/>
      </c>
      <c r="I247" s="166" t="str">
        <f>IF(分析!J247&lt;&gt;"",分析!J247,"")</f>
        <v/>
      </c>
      <c r="J247" s="166" t="str">
        <f>IF(分析!AB247&lt;&gt;"",分析!AB247,"")</f>
        <v/>
      </c>
      <c r="K247" s="166" t="str">
        <f>IF(分析!AC247&lt;&gt;"",分析!AC247,"")</f>
        <v/>
      </c>
      <c r="L247" s="166" t="str">
        <f>IF(分析!K247&lt;&gt;"",分析!K247,"")</f>
        <v/>
      </c>
      <c r="M247" s="161" t="str">
        <f>IF(分析!P247&lt;&gt;"",分析!P247,"")</f>
        <v/>
      </c>
      <c r="N247" s="167" t="str">
        <f>IF(分析!O247&lt;&gt;"",分析!O247,"")</f>
        <v/>
      </c>
      <c r="O247" s="168" t="str">
        <f>IF(分析!X247&lt;&gt;"",分析!X247,"")</f>
        <v/>
      </c>
      <c r="P247" s="169" t="str">
        <f>IF(分析!L247&lt;&gt;"",分析!L247,"")</f>
        <v/>
      </c>
      <c r="Q247" s="166" t="str">
        <f>IF(分析!S247&lt;&gt;"",分析!S247,"")</f>
        <v/>
      </c>
      <c r="R247" s="166" t="str">
        <f>IF(分析!R247&lt;&gt;"",分析!R247,"")</f>
        <v/>
      </c>
      <c r="S247" s="161" t="str">
        <f>IF(分析!AA247&lt;&gt;"",分析!AA247,"")</f>
        <v/>
      </c>
      <c r="T247" s="170" t="str">
        <f>IF(分析!Z247&lt;&gt;"",分析!Z247,"")</f>
        <v/>
      </c>
      <c r="U247" s="161" t="str">
        <f>IF(分析!V247&lt;&gt;"",分析!V247,"")</f>
        <v/>
      </c>
      <c r="V247" s="171" t="str">
        <f>IF(分析!W247&lt;&gt;"",分析!W247,"")</f>
        <v/>
      </c>
      <c r="W247" s="172" t="str">
        <f>IF(分析!AD247&lt;&gt;"",分析!AD247,"")</f>
        <v/>
      </c>
      <c r="X247" s="173" t="str">
        <f>IF(分析!AE247&lt;&gt;"",分析!AE247,"")</f>
        <v/>
      </c>
      <c r="Y247" s="174" t="str">
        <f>IF(分析!T247&lt;&gt;"",分析!T247,"")</f>
        <v/>
      </c>
      <c r="Z247" s="160" t="str">
        <f>IF(分析!Y247&lt;&gt;"",分析!Y247,"")</f>
        <v/>
      </c>
    </row>
    <row r="248" spans="1:26" ht="21.95" customHeight="1">
      <c r="A248" s="146" t="str">
        <f>IF(分析!C248&lt;&gt;"",ROW()-2,"")</f>
        <v/>
      </c>
      <c r="B248" s="147" t="str">
        <f>IF(分析!C248&lt;&gt;"",HYPERLINK("https://kabutan.jp/stock/?code="&amp;分析!C248,"株探"),"")</f>
        <v/>
      </c>
      <c r="C248" s="148" t="str">
        <f>IF(分析!C248&lt;&gt;"",分析!C248,"")</f>
        <v/>
      </c>
      <c r="D248" s="149" t="str">
        <f>IF(分析!D248&lt;&gt;"",分析!D248,"")</f>
        <v/>
      </c>
      <c r="E248" s="150" t="str">
        <f>IF(分析!E248&lt;&gt;"",分析!E248,"")</f>
        <v/>
      </c>
      <c r="F248" s="151" t="str">
        <f>IF(分析!F248&lt;&gt;"",分析!F248,"")</f>
        <v/>
      </c>
      <c r="G248" s="151" t="str">
        <f>IF(分析!H248&lt;&gt;"",分析!H248,"")</f>
        <v/>
      </c>
      <c r="H248" s="151" t="str">
        <f>IF(分析!I248&lt;&gt;"",分析!I248,"")</f>
        <v/>
      </c>
      <c r="I248" s="151" t="str">
        <f>IF(分析!J248&lt;&gt;"",分析!J248,"")</f>
        <v/>
      </c>
      <c r="J248" s="151" t="str">
        <f>IF(分析!AB248&lt;&gt;"",分析!AB248,"")</f>
        <v/>
      </c>
      <c r="K248" s="151" t="str">
        <f>IF(分析!AC248&lt;&gt;"",分析!AC248,"")</f>
        <v/>
      </c>
      <c r="L248" s="151" t="str">
        <f>IF(分析!K248&lt;&gt;"",分析!K248,"")</f>
        <v/>
      </c>
      <c r="M248" s="146" t="str">
        <f>IF(分析!P248&lt;&gt;"",分析!P248,"")</f>
        <v/>
      </c>
      <c r="N248" s="152" t="str">
        <f>IF(分析!O248&lt;&gt;"",分析!O248,"")</f>
        <v/>
      </c>
      <c r="O248" s="153" t="str">
        <f>IF(分析!X248&lt;&gt;"",分析!X248,"")</f>
        <v/>
      </c>
      <c r="P248" s="154" t="str">
        <f>IF(分析!L248&lt;&gt;"",分析!L248,"")</f>
        <v/>
      </c>
      <c r="Q248" s="151" t="str">
        <f>IF(分析!S248&lt;&gt;"",分析!S248,"")</f>
        <v/>
      </c>
      <c r="R248" s="151" t="str">
        <f>IF(分析!R248&lt;&gt;"",分析!R248,"")</f>
        <v/>
      </c>
      <c r="S248" s="146" t="str">
        <f>IF(分析!AA248&lt;&gt;"",分析!AA248,"")</f>
        <v/>
      </c>
      <c r="T248" s="155" t="str">
        <f>IF(分析!Z248&lt;&gt;"",分析!Z248,"")</f>
        <v/>
      </c>
      <c r="U248" s="146" t="str">
        <f>IF(分析!V248&lt;&gt;"",分析!V248,"")</f>
        <v/>
      </c>
      <c r="V248" s="156" t="str">
        <f>IF(分析!W248&lt;&gt;"",分析!W248,"")</f>
        <v/>
      </c>
      <c r="W248" s="157" t="str">
        <f>IF(分析!AD248&lt;&gt;"",分析!AD248,"")</f>
        <v/>
      </c>
      <c r="X248" s="158" t="str">
        <f>IF(分析!AE248&lt;&gt;"",分析!AE248,"")</f>
        <v/>
      </c>
      <c r="Y248" s="159" t="str">
        <f>IF(分析!T248&lt;&gt;"",分析!T248,"")</f>
        <v/>
      </c>
      <c r="Z248" s="160" t="str">
        <f>IF(分析!Y248&lt;&gt;"",分析!Y248,"")</f>
        <v/>
      </c>
    </row>
    <row r="249" spans="1:26" ht="21.95" customHeight="1">
      <c r="A249" s="161" t="str">
        <f>IF(分析!C249&lt;&gt;"",ROW()-2,"")</f>
        <v/>
      </c>
      <c r="B249" s="162" t="str">
        <f>IF(分析!C249&lt;&gt;"",HYPERLINK("https://kabutan.jp/stock/?code="&amp;分析!C249,"株探"),"")</f>
        <v/>
      </c>
      <c r="C249" s="163" t="str">
        <f>IF(分析!C249&lt;&gt;"",分析!C249,"")</f>
        <v/>
      </c>
      <c r="D249" s="164" t="str">
        <f>IF(分析!D249&lt;&gt;"",分析!D249,"")</f>
        <v/>
      </c>
      <c r="E249" s="165" t="str">
        <f>IF(分析!E249&lt;&gt;"",分析!E249,"")</f>
        <v/>
      </c>
      <c r="F249" s="166" t="str">
        <f>IF(分析!F249&lt;&gt;"",分析!F249,"")</f>
        <v/>
      </c>
      <c r="G249" s="166" t="str">
        <f>IF(分析!H249&lt;&gt;"",分析!H249,"")</f>
        <v/>
      </c>
      <c r="H249" s="166" t="str">
        <f>IF(分析!I249&lt;&gt;"",分析!I249,"")</f>
        <v/>
      </c>
      <c r="I249" s="166" t="str">
        <f>IF(分析!J249&lt;&gt;"",分析!J249,"")</f>
        <v/>
      </c>
      <c r="J249" s="166" t="str">
        <f>IF(分析!AB249&lt;&gt;"",分析!AB249,"")</f>
        <v/>
      </c>
      <c r="K249" s="166" t="str">
        <f>IF(分析!AC249&lt;&gt;"",分析!AC249,"")</f>
        <v/>
      </c>
      <c r="L249" s="166" t="str">
        <f>IF(分析!K249&lt;&gt;"",分析!K249,"")</f>
        <v/>
      </c>
      <c r="M249" s="161" t="str">
        <f>IF(分析!P249&lt;&gt;"",分析!P249,"")</f>
        <v/>
      </c>
      <c r="N249" s="167" t="str">
        <f>IF(分析!O249&lt;&gt;"",分析!O249,"")</f>
        <v/>
      </c>
      <c r="O249" s="168" t="str">
        <f>IF(分析!X249&lt;&gt;"",分析!X249,"")</f>
        <v/>
      </c>
      <c r="P249" s="169" t="str">
        <f>IF(分析!L249&lt;&gt;"",分析!L249,"")</f>
        <v/>
      </c>
      <c r="Q249" s="166" t="str">
        <f>IF(分析!S249&lt;&gt;"",分析!S249,"")</f>
        <v/>
      </c>
      <c r="R249" s="166" t="str">
        <f>IF(分析!R249&lt;&gt;"",分析!R249,"")</f>
        <v/>
      </c>
      <c r="S249" s="161" t="str">
        <f>IF(分析!AA249&lt;&gt;"",分析!AA249,"")</f>
        <v/>
      </c>
      <c r="T249" s="170" t="str">
        <f>IF(分析!Z249&lt;&gt;"",分析!Z249,"")</f>
        <v/>
      </c>
      <c r="U249" s="161" t="str">
        <f>IF(分析!V249&lt;&gt;"",分析!V249,"")</f>
        <v/>
      </c>
      <c r="V249" s="171" t="str">
        <f>IF(分析!W249&lt;&gt;"",分析!W249,"")</f>
        <v/>
      </c>
      <c r="W249" s="172" t="str">
        <f>IF(分析!AD249&lt;&gt;"",分析!AD249,"")</f>
        <v/>
      </c>
      <c r="X249" s="173" t="str">
        <f>IF(分析!AE249&lt;&gt;"",分析!AE249,"")</f>
        <v/>
      </c>
      <c r="Y249" s="174" t="str">
        <f>IF(分析!T249&lt;&gt;"",分析!T249,"")</f>
        <v/>
      </c>
      <c r="Z249" s="160" t="str">
        <f>IF(分析!Y249&lt;&gt;"",分析!Y249,"")</f>
        <v/>
      </c>
    </row>
    <row r="250" spans="1:26" ht="21.95" customHeight="1">
      <c r="A250" s="146" t="str">
        <f>IF(分析!C250&lt;&gt;"",ROW()-2,"")</f>
        <v/>
      </c>
      <c r="B250" s="147" t="str">
        <f>IF(分析!C250&lt;&gt;"",HYPERLINK("https://kabutan.jp/stock/?code="&amp;分析!C250,"株探"),"")</f>
        <v/>
      </c>
      <c r="C250" s="148" t="str">
        <f>IF(分析!C250&lt;&gt;"",分析!C250,"")</f>
        <v/>
      </c>
      <c r="D250" s="149" t="str">
        <f>IF(分析!D250&lt;&gt;"",分析!D250,"")</f>
        <v/>
      </c>
      <c r="E250" s="150" t="str">
        <f>IF(分析!E250&lt;&gt;"",分析!E250,"")</f>
        <v/>
      </c>
      <c r="F250" s="151" t="str">
        <f>IF(分析!F250&lt;&gt;"",分析!F250,"")</f>
        <v/>
      </c>
      <c r="G250" s="151" t="str">
        <f>IF(分析!H250&lt;&gt;"",分析!H250,"")</f>
        <v/>
      </c>
      <c r="H250" s="151" t="str">
        <f>IF(分析!I250&lt;&gt;"",分析!I250,"")</f>
        <v/>
      </c>
      <c r="I250" s="151" t="str">
        <f>IF(分析!J250&lt;&gt;"",分析!J250,"")</f>
        <v/>
      </c>
      <c r="J250" s="151" t="str">
        <f>IF(分析!AB250&lt;&gt;"",分析!AB250,"")</f>
        <v/>
      </c>
      <c r="K250" s="151" t="str">
        <f>IF(分析!AC250&lt;&gt;"",分析!AC250,"")</f>
        <v/>
      </c>
      <c r="L250" s="151" t="str">
        <f>IF(分析!K250&lt;&gt;"",分析!K250,"")</f>
        <v/>
      </c>
      <c r="M250" s="146" t="str">
        <f>IF(分析!P250&lt;&gt;"",分析!P250,"")</f>
        <v/>
      </c>
      <c r="N250" s="152" t="str">
        <f>IF(分析!O250&lt;&gt;"",分析!O250,"")</f>
        <v/>
      </c>
      <c r="O250" s="153" t="str">
        <f>IF(分析!X250&lt;&gt;"",分析!X250,"")</f>
        <v/>
      </c>
      <c r="P250" s="154" t="str">
        <f>IF(分析!L250&lt;&gt;"",分析!L250,"")</f>
        <v/>
      </c>
      <c r="Q250" s="151" t="str">
        <f>IF(分析!S250&lt;&gt;"",分析!S250,"")</f>
        <v/>
      </c>
      <c r="R250" s="151" t="str">
        <f>IF(分析!R250&lt;&gt;"",分析!R250,"")</f>
        <v/>
      </c>
      <c r="S250" s="146" t="str">
        <f>IF(分析!AA250&lt;&gt;"",分析!AA250,"")</f>
        <v/>
      </c>
      <c r="T250" s="155" t="str">
        <f>IF(分析!Z250&lt;&gt;"",分析!Z250,"")</f>
        <v/>
      </c>
      <c r="U250" s="146" t="str">
        <f>IF(分析!V250&lt;&gt;"",分析!V250,"")</f>
        <v/>
      </c>
      <c r="V250" s="156" t="str">
        <f>IF(分析!W250&lt;&gt;"",分析!W250,"")</f>
        <v/>
      </c>
      <c r="W250" s="157" t="str">
        <f>IF(分析!AD250&lt;&gt;"",分析!AD250,"")</f>
        <v/>
      </c>
      <c r="X250" s="158" t="str">
        <f>IF(分析!AE250&lt;&gt;"",分析!AE250,"")</f>
        <v/>
      </c>
      <c r="Y250" s="159" t="str">
        <f>IF(分析!T250&lt;&gt;"",分析!T250,"")</f>
        <v/>
      </c>
      <c r="Z250" s="160" t="str">
        <f>IF(分析!Y250&lt;&gt;"",分析!Y250,"")</f>
        <v/>
      </c>
    </row>
    <row r="251" spans="1:26" ht="21.95" customHeight="1">
      <c r="A251" s="161" t="str">
        <f>IF(分析!C251&lt;&gt;"",ROW()-2,"")</f>
        <v/>
      </c>
      <c r="B251" s="162" t="str">
        <f>IF(分析!C251&lt;&gt;"",HYPERLINK("https://kabutan.jp/stock/?code="&amp;分析!C251,"株探"),"")</f>
        <v/>
      </c>
      <c r="C251" s="163" t="str">
        <f>IF(分析!C251&lt;&gt;"",分析!C251,"")</f>
        <v/>
      </c>
      <c r="D251" s="164" t="str">
        <f>IF(分析!D251&lt;&gt;"",分析!D251,"")</f>
        <v/>
      </c>
      <c r="E251" s="165" t="str">
        <f>IF(分析!E251&lt;&gt;"",分析!E251,"")</f>
        <v/>
      </c>
      <c r="F251" s="166" t="str">
        <f>IF(分析!F251&lt;&gt;"",分析!F251,"")</f>
        <v/>
      </c>
      <c r="G251" s="166" t="str">
        <f>IF(分析!H251&lt;&gt;"",分析!H251,"")</f>
        <v/>
      </c>
      <c r="H251" s="166" t="str">
        <f>IF(分析!I251&lt;&gt;"",分析!I251,"")</f>
        <v/>
      </c>
      <c r="I251" s="166" t="str">
        <f>IF(分析!J251&lt;&gt;"",分析!J251,"")</f>
        <v/>
      </c>
      <c r="J251" s="166" t="str">
        <f>IF(分析!AB251&lt;&gt;"",分析!AB251,"")</f>
        <v/>
      </c>
      <c r="K251" s="166" t="str">
        <f>IF(分析!AC251&lt;&gt;"",分析!AC251,"")</f>
        <v/>
      </c>
      <c r="L251" s="166" t="str">
        <f>IF(分析!K251&lt;&gt;"",分析!K251,"")</f>
        <v/>
      </c>
      <c r="M251" s="161" t="str">
        <f>IF(分析!P251&lt;&gt;"",分析!P251,"")</f>
        <v/>
      </c>
      <c r="N251" s="167" t="str">
        <f>IF(分析!O251&lt;&gt;"",分析!O251,"")</f>
        <v/>
      </c>
      <c r="O251" s="168" t="str">
        <f>IF(分析!X251&lt;&gt;"",分析!X251,"")</f>
        <v/>
      </c>
      <c r="P251" s="169" t="str">
        <f>IF(分析!L251&lt;&gt;"",分析!L251,"")</f>
        <v/>
      </c>
      <c r="Q251" s="166" t="str">
        <f>IF(分析!S251&lt;&gt;"",分析!S251,"")</f>
        <v/>
      </c>
      <c r="R251" s="166" t="str">
        <f>IF(分析!R251&lt;&gt;"",分析!R251,"")</f>
        <v/>
      </c>
      <c r="S251" s="161" t="str">
        <f>IF(分析!AA251&lt;&gt;"",分析!AA251,"")</f>
        <v/>
      </c>
      <c r="T251" s="170" t="str">
        <f>IF(分析!Z251&lt;&gt;"",分析!Z251,"")</f>
        <v/>
      </c>
      <c r="U251" s="161" t="str">
        <f>IF(分析!V251&lt;&gt;"",分析!V251,"")</f>
        <v/>
      </c>
      <c r="V251" s="171" t="str">
        <f>IF(分析!W251&lt;&gt;"",分析!W251,"")</f>
        <v/>
      </c>
      <c r="W251" s="172" t="str">
        <f>IF(分析!AD251&lt;&gt;"",分析!AD251,"")</f>
        <v/>
      </c>
      <c r="X251" s="173" t="str">
        <f>IF(分析!AE251&lt;&gt;"",分析!AE251,"")</f>
        <v/>
      </c>
      <c r="Y251" s="174" t="str">
        <f>IF(分析!T251&lt;&gt;"",分析!T251,"")</f>
        <v/>
      </c>
      <c r="Z251" s="160" t="str">
        <f>IF(分析!Y251&lt;&gt;"",分析!Y251,"")</f>
        <v/>
      </c>
    </row>
    <row r="252" spans="1:26" ht="21.95" customHeight="1">
      <c r="A252" s="146" t="str">
        <f>IF(分析!C252&lt;&gt;"",ROW()-2,"")</f>
        <v/>
      </c>
      <c r="B252" s="147" t="str">
        <f>IF(分析!C252&lt;&gt;"",HYPERLINK("https://kabutan.jp/stock/?code="&amp;分析!C252,"株探"),"")</f>
        <v/>
      </c>
      <c r="C252" s="148" t="str">
        <f>IF(分析!C252&lt;&gt;"",分析!C252,"")</f>
        <v/>
      </c>
      <c r="D252" s="149" t="str">
        <f>IF(分析!D252&lt;&gt;"",分析!D252,"")</f>
        <v/>
      </c>
      <c r="E252" s="150" t="str">
        <f>IF(分析!E252&lt;&gt;"",分析!E252,"")</f>
        <v/>
      </c>
      <c r="F252" s="151" t="str">
        <f>IF(分析!F252&lt;&gt;"",分析!F252,"")</f>
        <v/>
      </c>
      <c r="G252" s="151" t="str">
        <f>IF(分析!H252&lt;&gt;"",分析!H252,"")</f>
        <v/>
      </c>
      <c r="H252" s="151" t="str">
        <f>IF(分析!I252&lt;&gt;"",分析!I252,"")</f>
        <v/>
      </c>
      <c r="I252" s="151" t="str">
        <f>IF(分析!J252&lt;&gt;"",分析!J252,"")</f>
        <v/>
      </c>
      <c r="J252" s="151" t="str">
        <f>IF(分析!AB252&lt;&gt;"",分析!AB252,"")</f>
        <v/>
      </c>
      <c r="K252" s="151" t="str">
        <f>IF(分析!AC252&lt;&gt;"",分析!AC252,"")</f>
        <v/>
      </c>
      <c r="L252" s="151" t="str">
        <f>IF(分析!K252&lt;&gt;"",分析!K252,"")</f>
        <v/>
      </c>
      <c r="M252" s="146" t="str">
        <f>IF(分析!P252&lt;&gt;"",分析!P252,"")</f>
        <v/>
      </c>
      <c r="N252" s="152" t="str">
        <f>IF(分析!O252&lt;&gt;"",分析!O252,"")</f>
        <v/>
      </c>
      <c r="O252" s="153" t="str">
        <f>IF(分析!X252&lt;&gt;"",分析!X252,"")</f>
        <v/>
      </c>
      <c r="P252" s="154" t="str">
        <f>IF(分析!L252&lt;&gt;"",分析!L252,"")</f>
        <v/>
      </c>
      <c r="Q252" s="151" t="str">
        <f>IF(分析!S252&lt;&gt;"",分析!S252,"")</f>
        <v/>
      </c>
      <c r="R252" s="151" t="str">
        <f>IF(分析!R252&lt;&gt;"",分析!R252,"")</f>
        <v/>
      </c>
      <c r="S252" s="146" t="str">
        <f>IF(分析!AA252&lt;&gt;"",分析!AA252,"")</f>
        <v/>
      </c>
      <c r="T252" s="155" t="str">
        <f>IF(分析!Z252&lt;&gt;"",分析!Z252,"")</f>
        <v/>
      </c>
      <c r="U252" s="146" t="str">
        <f>IF(分析!V252&lt;&gt;"",分析!V252,"")</f>
        <v/>
      </c>
      <c r="V252" s="156" t="str">
        <f>IF(分析!W252&lt;&gt;"",分析!W252,"")</f>
        <v/>
      </c>
      <c r="W252" s="157" t="str">
        <f>IF(分析!AD252&lt;&gt;"",分析!AD252,"")</f>
        <v/>
      </c>
      <c r="X252" s="158" t="str">
        <f>IF(分析!AE252&lt;&gt;"",分析!AE252,"")</f>
        <v/>
      </c>
      <c r="Y252" s="159" t="str">
        <f>IF(分析!T252&lt;&gt;"",分析!T252,"")</f>
        <v/>
      </c>
      <c r="Z252" s="160" t="str">
        <f>IF(分析!Y252&lt;&gt;"",分析!Y252,"")</f>
        <v/>
      </c>
    </row>
    <row r="253" spans="1:26" ht="21.95" customHeight="1">
      <c r="A253" s="161" t="str">
        <f>IF(分析!C253&lt;&gt;"",ROW()-2,"")</f>
        <v/>
      </c>
      <c r="B253" s="162" t="str">
        <f>IF(分析!C253&lt;&gt;"",HYPERLINK("https://kabutan.jp/stock/?code="&amp;分析!C253,"株探"),"")</f>
        <v/>
      </c>
      <c r="C253" s="163" t="str">
        <f>IF(分析!C253&lt;&gt;"",分析!C253,"")</f>
        <v/>
      </c>
      <c r="D253" s="164" t="str">
        <f>IF(分析!D253&lt;&gt;"",分析!D253,"")</f>
        <v/>
      </c>
      <c r="E253" s="165" t="str">
        <f>IF(分析!E253&lt;&gt;"",分析!E253,"")</f>
        <v/>
      </c>
      <c r="F253" s="166" t="str">
        <f>IF(分析!F253&lt;&gt;"",分析!F253,"")</f>
        <v/>
      </c>
      <c r="G253" s="166" t="str">
        <f>IF(分析!H253&lt;&gt;"",分析!H253,"")</f>
        <v/>
      </c>
      <c r="H253" s="166" t="str">
        <f>IF(分析!I253&lt;&gt;"",分析!I253,"")</f>
        <v/>
      </c>
      <c r="I253" s="166" t="str">
        <f>IF(分析!J253&lt;&gt;"",分析!J253,"")</f>
        <v/>
      </c>
      <c r="J253" s="166" t="str">
        <f>IF(分析!AB253&lt;&gt;"",分析!AB253,"")</f>
        <v/>
      </c>
      <c r="K253" s="166" t="str">
        <f>IF(分析!AC253&lt;&gt;"",分析!AC253,"")</f>
        <v/>
      </c>
      <c r="L253" s="166" t="str">
        <f>IF(分析!K253&lt;&gt;"",分析!K253,"")</f>
        <v/>
      </c>
      <c r="M253" s="161" t="str">
        <f>IF(分析!P253&lt;&gt;"",分析!P253,"")</f>
        <v/>
      </c>
      <c r="N253" s="167" t="str">
        <f>IF(分析!O253&lt;&gt;"",分析!O253,"")</f>
        <v/>
      </c>
      <c r="O253" s="168" t="str">
        <f>IF(分析!X253&lt;&gt;"",分析!X253,"")</f>
        <v/>
      </c>
      <c r="P253" s="169" t="str">
        <f>IF(分析!L253&lt;&gt;"",分析!L253,"")</f>
        <v/>
      </c>
      <c r="Q253" s="166" t="str">
        <f>IF(分析!S253&lt;&gt;"",分析!S253,"")</f>
        <v/>
      </c>
      <c r="R253" s="166" t="str">
        <f>IF(分析!R253&lt;&gt;"",分析!R253,"")</f>
        <v/>
      </c>
      <c r="S253" s="161" t="str">
        <f>IF(分析!AA253&lt;&gt;"",分析!AA253,"")</f>
        <v/>
      </c>
      <c r="T253" s="170" t="str">
        <f>IF(分析!Z253&lt;&gt;"",分析!Z253,"")</f>
        <v/>
      </c>
      <c r="U253" s="161" t="str">
        <f>IF(分析!V253&lt;&gt;"",分析!V253,"")</f>
        <v/>
      </c>
      <c r="V253" s="171" t="str">
        <f>IF(分析!W253&lt;&gt;"",分析!W253,"")</f>
        <v/>
      </c>
      <c r="W253" s="172" t="str">
        <f>IF(分析!AD253&lt;&gt;"",分析!AD253,"")</f>
        <v/>
      </c>
      <c r="X253" s="173" t="str">
        <f>IF(分析!AE253&lt;&gt;"",分析!AE253,"")</f>
        <v/>
      </c>
      <c r="Y253" s="174" t="str">
        <f>IF(分析!T253&lt;&gt;"",分析!T253,"")</f>
        <v/>
      </c>
      <c r="Z253" s="160" t="str">
        <f>IF(分析!Y253&lt;&gt;"",分析!Y253,"")</f>
        <v/>
      </c>
    </row>
    <row r="254" spans="1:26" ht="21.95" customHeight="1">
      <c r="A254" s="146" t="str">
        <f>IF(分析!C254&lt;&gt;"",ROW()-2,"")</f>
        <v/>
      </c>
      <c r="B254" s="147" t="str">
        <f>IF(分析!C254&lt;&gt;"",HYPERLINK("https://kabutan.jp/stock/?code="&amp;分析!C254,"株探"),"")</f>
        <v/>
      </c>
      <c r="C254" s="148" t="str">
        <f>IF(分析!C254&lt;&gt;"",分析!C254,"")</f>
        <v/>
      </c>
      <c r="D254" s="149" t="str">
        <f>IF(分析!D254&lt;&gt;"",分析!D254,"")</f>
        <v/>
      </c>
      <c r="E254" s="150" t="str">
        <f>IF(分析!E254&lt;&gt;"",分析!E254,"")</f>
        <v/>
      </c>
      <c r="F254" s="151" t="str">
        <f>IF(分析!F254&lt;&gt;"",分析!F254,"")</f>
        <v/>
      </c>
      <c r="G254" s="151" t="str">
        <f>IF(分析!H254&lt;&gt;"",分析!H254,"")</f>
        <v/>
      </c>
      <c r="H254" s="151" t="str">
        <f>IF(分析!I254&lt;&gt;"",分析!I254,"")</f>
        <v/>
      </c>
      <c r="I254" s="151" t="str">
        <f>IF(分析!J254&lt;&gt;"",分析!J254,"")</f>
        <v/>
      </c>
      <c r="J254" s="151" t="str">
        <f>IF(分析!AB254&lt;&gt;"",分析!AB254,"")</f>
        <v/>
      </c>
      <c r="K254" s="151" t="str">
        <f>IF(分析!AC254&lt;&gt;"",分析!AC254,"")</f>
        <v/>
      </c>
      <c r="L254" s="151" t="str">
        <f>IF(分析!K254&lt;&gt;"",分析!K254,"")</f>
        <v/>
      </c>
      <c r="M254" s="146" t="str">
        <f>IF(分析!P254&lt;&gt;"",分析!P254,"")</f>
        <v/>
      </c>
      <c r="N254" s="152" t="str">
        <f>IF(分析!O254&lt;&gt;"",分析!O254,"")</f>
        <v/>
      </c>
      <c r="O254" s="153" t="str">
        <f>IF(分析!X254&lt;&gt;"",分析!X254,"")</f>
        <v/>
      </c>
      <c r="P254" s="154" t="str">
        <f>IF(分析!L254&lt;&gt;"",分析!L254,"")</f>
        <v/>
      </c>
      <c r="Q254" s="151" t="str">
        <f>IF(分析!S254&lt;&gt;"",分析!S254,"")</f>
        <v/>
      </c>
      <c r="R254" s="151" t="str">
        <f>IF(分析!R254&lt;&gt;"",分析!R254,"")</f>
        <v/>
      </c>
      <c r="S254" s="146" t="str">
        <f>IF(分析!AA254&lt;&gt;"",分析!AA254,"")</f>
        <v/>
      </c>
      <c r="T254" s="155" t="str">
        <f>IF(分析!Z254&lt;&gt;"",分析!Z254,"")</f>
        <v/>
      </c>
      <c r="U254" s="146" t="str">
        <f>IF(分析!V254&lt;&gt;"",分析!V254,"")</f>
        <v/>
      </c>
      <c r="V254" s="156" t="str">
        <f>IF(分析!W254&lt;&gt;"",分析!W254,"")</f>
        <v/>
      </c>
      <c r="W254" s="157" t="str">
        <f>IF(分析!AD254&lt;&gt;"",分析!AD254,"")</f>
        <v/>
      </c>
      <c r="X254" s="158" t="str">
        <f>IF(分析!AE254&lt;&gt;"",分析!AE254,"")</f>
        <v/>
      </c>
      <c r="Y254" s="159" t="str">
        <f>IF(分析!T254&lt;&gt;"",分析!T254,"")</f>
        <v/>
      </c>
      <c r="Z254" s="160" t="str">
        <f>IF(分析!Y254&lt;&gt;"",分析!Y254,"")</f>
        <v/>
      </c>
    </row>
    <row r="255" spans="1:26" ht="21.95" customHeight="1">
      <c r="A255" s="161" t="str">
        <f>IF(分析!C255&lt;&gt;"",ROW()-2,"")</f>
        <v/>
      </c>
      <c r="B255" s="162" t="str">
        <f>IF(分析!C255&lt;&gt;"",HYPERLINK("https://kabutan.jp/stock/?code="&amp;分析!C255,"株探"),"")</f>
        <v/>
      </c>
      <c r="C255" s="163" t="str">
        <f>IF(分析!C255&lt;&gt;"",分析!C255,"")</f>
        <v/>
      </c>
      <c r="D255" s="164" t="str">
        <f>IF(分析!D255&lt;&gt;"",分析!D255,"")</f>
        <v/>
      </c>
      <c r="E255" s="165" t="str">
        <f>IF(分析!E255&lt;&gt;"",分析!E255,"")</f>
        <v/>
      </c>
      <c r="F255" s="166" t="str">
        <f>IF(分析!F255&lt;&gt;"",分析!F255,"")</f>
        <v/>
      </c>
      <c r="G255" s="166" t="str">
        <f>IF(分析!H255&lt;&gt;"",分析!H255,"")</f>
        <v/>
      </c>
      <c r="H255" s="166" t="str">
        <f>IF(分析!I255&lt;&gt;"",分析!I255,"")</f>
        <v/>
      </c>
      <c r="I255" s="166" t="str">
        <f>IF(分析!J255&lt;&gt;"",分析!J255,"")</f>
        <v/>
      </c>
      <c r="J255" s="166" t="str">
        <f>IF(分析!AB255&lt;&gt;"",分析!AB255,"")</f>
        <v/>
      </c>
      <c r="K255" s="166" t="str">
        <f>IF(分析!AC255&lt;&gt;"",分析!AC255,"")</f>
        <v/>
      </c>
      <c r="L255" s="166" t="str">
        <f>IF(分析!K255&lt;&gt;"",分析!K255,"")</f>
        <v/>
      </c>
      <c r="M255" s="161" t="str">
        <f>IF(分析!P255&lt;&gt;"",分析!P255,"")</f>
        <v/>
      </c>
      <c r="N255" s="167" t="str">
        <f>IF(分析!O255&lt;&gt;"",分析!O255,"")</f>
        <v/>
      </c>
      <c r="O255" s="168" t="str">
        <f>IF(分析!X255&lt;&gt;"",分析!X255,"")</f>
        <v/>
      </c>
      <c r="P255" s="169" t="str">
        <f>IF(分析!L255&lt;&gt;"",分析!L255,"")</f>
        <v/>
      </c>
      <c r="Q255" s="166" t="str">
        <f>IF(分析!S255&lt;&gt;"",分析!S255,"")</f>
        <v/>
      </c>
      <c r="R255" s="166" t="str">
        <f>IF(分析!R255&lt;&gt;"",分析!R255,"")</f>
        <v/>
      </c>
      <c r="S255" s="161" t="str">
        <f>IF(分析!AA255&lt;&gt;"",分析!AA255,"")</f>
        <v/>
      </c>
      <c r="T255" s="170" t="str">
        <f>IF(分析!Z255&lt;&gt;"",分析!Z255,"")</f>
        <v/>
      </c>
      <c r="U255" s="161" t="str">
        <f>IF(分析!V255&lt;&gt;"",分析!V255,"")</f>
        <v/>
      </c>
      <c r="V255" s="171" t="str">
        <f>IF(分析!W255&lt;&gt;"",分析!W255,"")</f>
        <v/>
      </c>
      <c r="W255" s="172" t="str">
        <f>IF(分析!AD255&lt;&gt;"",分析!AD255,"")</f>
        <v/>
      </c>
      <c r="X255" s="173" t="str">
        <f>IF(分析!AE255&lt;&gt;"",分析!AE255,"")</f>
        <v/>
      </c>
      <c r="Y255" s="174" t="str">
        <f>IF(分析!T255&lt;&gt;"",分析!T255,"")</f>
        <v/>
      </c>
      <c r="Z255" s="160" t="str">
        <f>IF(分析!Y255&lt;&gt;"",分析!Y255,"")</f>
        <v/>
      </c>
    </row>
    <row r="256" spans="1:26" ht="21.95" customHeight="1">
      <c r="A256" s="146" t="str">
        <f>IF(分析!C256&lt;&gt;"",ROW()-2,"")</f>
        <v/>
      </c>
      <c r="B256" s="147" t="str">
        <f>IF(分析!C256&lt;&gt;"",HYPERLINK("https://kabutan.jp/stock/?code="&amp;分析!C256,"株探"),"")</f>
        <v/>
      </c>
      <c r="C256" s="148" t="str">
        <f>IF(分析!C256&lt;&gt;"",分析!C256,"")</f>
        <v/>
      </c>
      <c r="D256" s="149" t="str">
        <f>IF(分析!D256&lt;&gt;"",分析!D256,"")</f>
        <v/>
      </c>
      <c r="E256" s="150" t="str">
        <f>IF(分析!E256&lt;&gt;"",分析!E256,"")</f>
        <v/>
      </c>
      <c r="F256" s="151" t="str">
        <f>IF(分析!F256&lt;&gt;"",分析!F256,"")</f>
        <v/>
      </c>
      <c r="G256" s="151" t="str">
        <f>IF(分析!H256&lt;&gt;"",分析!H256,"")</f>
        <v/>
      </c>
      <c r="H256" s="151" t="str">
        <f>IF(分析!I256&lt;&gt;"",分析!I256,"")</f>
        <v/>
      </c>
      <c r="I256" s="151" t="str">
        <f>IF(分析!J256&lt;&gt;"",分析!J256,"")</f>
        <v/>
      </c>
      <c r="J256" s="151" t="str">
        <f>IF(分析!AB256&lt;&gt;"",分析!AB256,"")</f>
        <v/>
      </c>
      <c r="K256" s="151" t="str">
        <f>IF(分析!AC256&lt;&gt;"",分析!AC256,"")</f>
        <v/>
      </c>
      <c r="L256" s="151" t="str">
        <f>IF(分析!K256&lt;&gt;"",分析!K256,"")</f>
        <v/>
      </c>
      <c r="M256" s="146" t="str">
        <f>IF(分析!P256&lt;&gt;"",分析!P256,"")</f>
        <v/>
      </c>
      <c r="N256" s="152" t="str">
        <f>IF(分析!O256&lt;&gt;"",分析!O256,"")</f>
        <v/>
      </c>
      <c r="O256" s="153" t="str">
        <f>IF(分析!X256&lt;&gt;"",分析!X256,"")</f>
        <v/>
      </c>
      <c r="P256" s="154" t="str">
        <f>IF(分析!L256&lt;&gt;"",分析!L256,"")</f>
        <v/>
      </c>
      <c r="Q256" s="151" t="str">
        <f>IF(分析!S256&lt;&gt;"",分析!S256,"")</f>
        <v/>
      </c>
      <c r="R256" s="151" t="str">
        <f>IF(分析!R256&lt;&gt;"",分析!R256,"")</f>
        <v/>
      </c>
      <c r="S256" s="146" t="str">
        <f>IF(分析!AA256&lt;&gt;"",分析!AA256,"")</f>
        <v/>
      </c>
      <c r="T256" s="155" t="str">
        <f>IF(分析!Z256&lt;&gt;"",分析!Z256,"")</f>
        <v/>
      </c>
      <c r="U256" s="146" t="str">
        <f>IF(分析!V256&lt;&gt;"",分析!V256,"")</f>
        <v/>
      </c>
      <c r="V256" s="156" t="str">
        <f>IF(分析!W256&lt;&gt;"",分析!W256,"")</f>
        <v/>
      </c>
      <c r="W256" s="157" t="str">
        <f>IF(分析!AD256&lt;&gt;"",分析!AD256,"")</f>
        <v/>
      </c>
      <c r="X256" s="158" t="str">
        <f>IF(分析!AE256&lt;&gt;"",分析!AE256,"")</f>
        <v/>
      </c>
      <c r="Y256" s="159" t="str">
        <f>IF(分析!T256&lt;&gt;"",分析!T256,"")</f>
        <v/>
      </c>
      <c r="Z256" s="160" t="str">
        <f>IF(分析!Y256&lt;&gt;"",分析!Y256,"")</f>
        <v/>
      </c>
    </row>
    <row r="257" spans="1:26" ht="21.95" customHeight="1">
      <c r="A257" s="161" t="str">
        <f>IF(分析!C257&lt;&gt;"",ROW()-2,"")</f>
        <v/>
      </c>
      <c r="B257" s="162" t="str">
        <f>IF(分析!C257&lt;&gt;"",HYPERLINK("https://kabutan.jp/stock/?code="&amp;分析!C257,"株探"),"")</f>
        <v/>
      </c>
      <c r="C257" s="163" t="str">
        <f>IF(分析!C257&lt;&gt;"",分析!C257,"")</f>
        <v/>
      </c>
      <c r="D257" s="164" t="str">
        <f>IF(分析!D257&lt;&gt;"",分析!D257,"")</f>
        <v/>
      </c>
      <c r="E257" s="165" t="str">
        <f>IF(分析!E257&lt;&gt;"",分析!E257,"")</f>
        <v/>
      </c>
      <c r="F257" s="166" t="str">
        <f>IF(分析!F257&lt;&gt;"",分析!F257,"")</f>
        <v/>
      </c>
      <c r="G257" s="166" t="str">
        <f>IF(分析!H257&lt;&gt;"",分析!H257,"")</f>
        <v/>
      </c>
      <c r="H257" s="166" t="str">
        <f>IF(分析!I257&lt;&gt;"",分析!I257,"")</f>
        <v/>
      </c>
      <c r="I257" s="166" t="str">
        <f>IF(分析!J257&lt;&gt;"",分析!J257,"")</f>
        <v/>
      </c>
      <c r="J257" s="166" t="str">
        <f>IF(分析!AB257&lt;&gt;"",分析!AB257,"")</f>
        <v/>
      </c>
      <c r="K257" s="166" t="str">
        <f>IF(分析!AC257&lt;&gt;"",分析!AC257,"")</f>
        <v/>
      </c>
      <c r="L257" s="166" t="str">
        <f>IF(分析!K257&lt;&gt;"",分析!K257,"")</f>
        <v/>
      </c>
      <c r="M257" s="161" t="str">
        <f>IF(分析!P257&lt;&gt;"",分析!P257,"")</f>
        <v/>
      </c>
      <c r="N257" s="167" t="str">
        <f>IF(分析!O257&lt;&gt;"",分析!O257,"")</f>
        <v/>
      </c>
      <c r="O257" s="168" t="str">
        <f>IF(分析!X257&lt;&gt;"",分析!X257,"")</f>
        <v/>
      </c>
      <c r="P257" s="169" t="str">
        <f>IF(分析!L257&lt;&gt;"",分析!L257,"")</f>
        <v/>
      </c>
      <c r="Q257" s="166" t="str">
        <f>IF(分析!S257&lt;&gt;"",分析!S257,"")</f>
        <v/>
      </c>
      <c r="R257" s="166" t="str">
        <f>IF(分析!R257&lt;&gt;"",分析!R257,"")</f>
        <v/>
      </c>
      <c r="S257" s="161" t="str">
        <f>IF(分析!AA257&lt;&gt;"",分析!AA257,"")</f>
        <v/>
      </c>
      <c r="T257" s="170" t="str">
        <f>IF(分析!Z257&lt;&gt;"",分析!Z257,"")</f>
        <v/>
      </c>
      <c r="U257" s="161" t="str">
        <f>IF(分析!V257&lt;&gt;"",分析!V257,"")</f>
        <v/>
      </c>
      <c r="V257" s="171" t="str">
        <f>IF(分析!W257&lt;&gt;"",分析!W257,"")</f>
        <v/>
      </c>
      <c r="W257" s="172" t="str">
        <f>IF(分析!AD257&lt;&gt;"",分析!AD257,"")</f>
        <v/>
      </c>
      <c r="X257" s="173" t="str">
        <f>IF(分析!AE257&lt;&gt;"",分析!AE257,"")</f>
        <v/>
      </c>
      <c r="Y257" s="174" t="str">
        <f>IF(分析!T257&lt;&gt;"",分析!T257,"")</f>
        <v/>
      </c>
      <c r="Z257" s="160" t="str">
        <f>IF(分析!Y257&lt;&gt;"",分析!Y257,"")</f>
        <v/>
      </c>
    </row>
    <row r="258" spans="1:26" ht="21.95" customHeight="1">
      <c r="A258" s="146" t="str">
        <f>IF(分析!C258&lt;&gt;"",ROW()-2,"")</f>
        <v/>
      </c>
      <c r="B258" s="147" t="str">
        <f>IF(分析!C258&lt;&gt;"",HYPERLINK("https://kabutan.jp/stock/?code="&amp;分析!C258,"株探"),"")</f>
        <v/>
      </c>
      <c r="C258" s="148" t="str">
        <f>IF(分析!C258&lt;&gt;"",分析!C258,"")</f>
        <v/>
      </c>
      <c r="D258" s="149" t="str">
        <f>IF(分析!D258&lt;&gt;"",分析!D258,"")</f>
        <v/>
      </c>
      <c r="E258" s="150" t="str">
        <f>IF(分析!E258&lt;&gt;"",分析!E258,"")</f>
        <v/>
      </c>
      <c r="F258" s="151" t="str">
        <f>IF(分析!F258&lt;&gt;"",分析!F258,"")</f>
        <v/>
      </c>
      <c r="G258" s="151" t="str">
        <f>IF(分析!H258&lt;&gt;"",分析!H258,"")</f>
        <v/>
      </c>
      <c r="H258" s="151" t="str">
        <f>IF(分析!I258&lt;&gt;"",分析!I258,"")</f>
        <v/>
      </c>
      <c r="I258" s="151" t="str">
        <f>IF(分析!J258&lt;&gt;"",分析!J258,"")</f>
        <v/>
      </c>
      <c r="J258" s="151" t="str">
        <f>IF(分析!AB258&lt;&gt;"",分析!AB258,"")</f>
        <v/>
      </c>
      <c r="K258" s="151" t="str">
        <f>IF(分析!AC258&lt;&gt;"",分析!AC258,"")</f>
        <v/>
      </c>
      <c r="L258" s="151" t="str">
        <f>IF(分析!K258&lt;&gt;"",分析!K258,"")</f>
        <v/>
      </c>
      <c r="M258" s="146" t="str">
        <f>IF(分析!P258&lt;&gt;"",分析!P258,"")</f>
        <v/>
      </c>
      <c r="N258" s="152" t="str">
        <f>IF(分析!O258&lt;&gt;"",分析!O258,"")</f>
        <v/>
      </c>
      <c r="O258" s="153" t="str">
        <f>IF(分析!X258&lt;&gt;"",分析!X258,"")</f>
        <v/>
      </c>
      <c r="P258" s="154" t="str">
        <f>IF(分析!L258&lt;&gt;"",分析!L258,"")</f>
        <v/>
      </c>
      <c r="Q258" s="151" t="str">
        <f>IF(分析!S258&lt;&gt;"",分析!S258,"")</f>
        <v/>
      </c>
      <c r="R258" s="151" t="str">
        <f>IF(分析!R258&lt;&gt;"",分析!R258,"")</f>
        <v/>
      </c>
      <c r="S258" s="146" t="str">
        <f>IF(分析!AA258&lt;&gt;"",分析!AA258,"")</f>
        <v/>
      </c>
      <c r="T258" s="155" t="str">
        <f>IF(分析!Z258&lt;&gt;"",分析!Z258,"")</f>
        <v/>
      </c>
      <c r="U258" s="146" t="str">
        <f>IF(分析!V258&lt;&gt;"",分析!V258,"")</f>
        <v/>
      </c>
      <c r="V258" s="156" t="str">
        <f>IF(分析!W258&lt;&gt;"",分析!W258,"")</f>
        <v/>
      </c>
      <c r="W258" s="157" t="str">
        <f>IF(分析!AD258&lt;&gt;"",分析!AD258,"")</f>
        <v/>
      </c>
      <c r="X258" s="158" t="str">
        <f>IF(分析!AE258&lt;&gt;"",分析!AE258,"")</f>
        <v/>
      </c>
      <c r="Y258" s="159" t="str">
        <f>IF(分析!T258&lt;&gt;"",分析!T258,"")</f>
        <v/>
      </c>
      <c r="Z258" s="160" t="str">
        <f>IF(分析!Y258&lt;&gt;"",分析!Y258,"")</f>
        <v/>
      </c>
    </row>
    <row r="259" spans="1:26" ht="21.95" customHeight="1">
      <c r="A259" s="161" t="str">
        <f>IF(分析!C259&lt;&gt;"",ROW()-2,"")</f>
        <v/>
      </c>
      <c r="B259" s="162" t="str">
        <f>IF(分析!C259&lt;&gt;"",HYPERLINK("https://kabutan.jp/stock/?code="&amp;分析!C259,"株探"),"")</f>
        <v/>
      </c>
      <c r="C259" s="163" t="str">
        <f>IF(分析!C259&lt;&gt;"",分析!C259,"")</f>
        <v/>
      </c>
      <c r="D259" s="164" t="str">
        <f>IF(分析!D259&lt;&gt;"",分析!D259,"")</f>
        <v/>
      </c>
      <c r="E259" s="165" t="str">
        <f>IF(分析!E259&lt;&gt;"",分析!E259,"")</f>
        <v/>
      </c>
      <c r="F259" s="166" t="str">
        <f>IF(分析!F259&lt;&gt;"",分析!F259,"")</f>
        <v/>
      </c>
      <c r="G259" s="166" t="str">
        <f>IF(分析!H259&lt;&gt;"",分析!H259,"")</f>
        <v/>
      </c>
      <c r="H259" s="166" t="str">
        <f>IF(分析!I259&lt;&gt;"",分析!I259,"")</f>
        <v/>
      </c>
      <c r="I259" s="166" t="str">
        <f>IF(分析!J259&lt;&gt;"",分析!J259,"")</f>
        <v/>
      </c>
      <c r="J259" s="166" t="str">
        <f>IF(分析!AB259&lt;&gt;"",分析!AB259,"")</f>
        <v/>
      </c>
      <c r="K259" s="166" t="str">
        <f>IF(分析!AC259&lt;&gt;"",分析!AC259,"")</f>
        <v/>
      </c>
      <c r="L259" s="166" t="str">
        <f>IF(分析!K259&lt;&gt;"",分析!K259,"")</f>
        <v/>
      </c>
      <c r="M259" s="161" t="str">
        <f>IF(分析!P259&lt;&gt;"",分析!P259,"")</f>
        <v/>
      </c>
      <c r="N259" s="167" t="str">
        <f>IF(分析!O259&lt;&gt;"",分析!O259,"")</f>
        <v/>
      </c>
      <c r="O259" s="168" t="str">
        <f>IF(分析!X259&lt;&gt;"",分析!X259,"")</f>
        <v/>
      </c>
      <c r="P259" s="169" t="str">
        <f>IF(分析!L259&lt;&gt;"",分析!L259,"")</f>
        <v/>
      </c>
      <c r="Q259" s="166" t="str">
        <f>IF(分析!S259&lt;&gt;"",分析!S259,"")</f>
        <v/>
      </c>
      <c r="R259" s="166" t="str">
        <f>IF(分析!R259&lt;&gt;"",分析!R259,"")</f>
        <v/>
      </c>
      <c r="S259" s="161" t="str">
        <f>IF(分析!AA259&lt;&gt;"",分析!AA259,"")</f>
        <v/>
      </c>
      <c r="T259" s="170" t="str">
        <f>IF(分析!Z259&lt;&gt;"",分析!Z259,"")</f>
        <v/>
      </c>
      <c r="U259" s="161" t="str">
        <f>IF(分析!V259&lt;&gt;"",分析!V259,"")</f>
        <v/>
      </c>
      <c r="V259" s="171" t="str">
        <f>IF(分析!W259&lt;&gt;"",分析!W259,"")</f>
        <v/>
      </c>
      <c r="W259" s="172" t="str">
        <f>IF(分析!AD259&lt;&gt;"",分析!AD259,"")</f>
        <v/>
      </c>
      <c r="X259" s="173" t="str">
        <f>IF(分析!AE259&lt;&gt;"",分析!AE259,"")</f>
        <v/>
      </c>
      <c r="Y259" s="174" t="str">
        <f>IF(分析!T259&lt;&gt;"",分析!T259,"")</f>
        <v/>
      </c>
      <c r="Z259" s="160" t="str">
        <f>IF(分析!Y259&lt;&gt;"",分析!Y259,"")</f>
        <v/>
      </c>
    </row>
    <row r="260" spans="1:26" ht="21.95" customHeight="1">
      <c r="A260" s="146" t="str">
        <f>IF(分析!C260&lt;&gt;"",ROW()-2,"")</f>
        <v/>
      </c>
      <c r="B260" s="147" t="str">
        <f>IF(分析!C260&lt;&gt;"",HYPERLINK("https://kabutan.jp/stock/?code="&amp;分析!C260,"株探"),"")</f>
        <v/>
      </c>
      <c r="C260" s="148" t="str">
        <f>IF(分析!C260&lt;&gt;"",分析!C260,"")</f>
        <v/>
      </c>
      <c r="D260" s="149" t="str">
        <f>IF(分析!D260&lt;&gt;"",分析!D260,"")</f>
        <v/>
      </c>
      <c r="E260" s="150" t="str">
        <f>IF(分析!E260&lt;&gt;"",分析!E260,"")</f>
        <v/>
      </c>
      <c r="F260" s="151" t="str">
        <f>IF(分析!F260&lt;&gt;"",分析!F260,"")</f>
        <v/>
      </c>
      <c r="G260" s="151" t="str">
        <f>IF(分析!H260&lt;&gt;"",分析!H260,"")</f>
        <v/>
      </c>
      <c r="H260" s="151" t="str">
        <f>IF(分析!I260&lt;&gt;"",分析!I260,"")</f>
        <v/>
      </c>
      <c r="I260" s="151" t="str">
        <f>IF(分析!J260&lt;&gt;"",分析!J260,"")</f>
        <v/>
      </c>
      <c r="J260" s="151" t="str">
        <f>IF(分析!AB260&lt;&gt;"",分析!AB260,"")</f>
        <v/>
      </c>
      <c r="K260" s="151" t="str">
        <f>IF(分析!AC260&lt;&gt;"",分析!AC260,"")</f>
        <v/>
      </c>
      <c r="L260" s="151" t="str">
        <f>IF(分析!K260&lt;&gt;"",分析!K260,"")</f>
        <v/>
      </c>
      <c r="M260" s="146" t="str">
        <f>IF(分析!P260&lt;&gt;"",分析!P260,"")</f>
        <v/>
      </c>
      <c r="N260" s="152" t="str">
        <f>IF(分析!O260&lt;&gt;"",分析!O260,"")</f>
        <v/>
      </c>
      <c r="O260" s="153" t="str">
        <f>IF(分析!X260&lt;&gt;"",分析!X260,"")</f>
        <v/>
      </c>
      <c r="P260" s="154" t="str">
        <f>IF(分析!L260&lt;&gt;"",分析!L260,"")</f>
        <v/>
      </c>
      <c r="Q260" s="151" t="str">
        <f>IF(分析!S260&lt;&gt;"",分析!S260,"")</f>
        <v/>
      </c>
      <c r="R260" s="151" t="str">
        <f>IF(分析!R260&lt;&gt;"",分析!R260,"")</f>
        <v/>
      </c>
      <c r="S260" s="146" t="str">
        <f>IF(分析!AA260&lt;&gt;"",分析!AA260,"")</f>
        <v/>
      </c>
      <c r="T260" s="155" t="str">
        <f>IF(分析!Z260&lt;&gt;"",分析!Z260,"")</f>
        <v/>
      </c>
      <c r="U260" s="146" t="str">
        <f>IF(分析!V260&lt;&gt;"",分析!V260,"")</f>
        <v/>
      </c>
      <c r="V260" s="156" t="str">
        <f>IF(分析!W260&lt;&gt;"",分析!W260,"")</f>
        <v/>
      </c>
      <c r="W260" s="157" t="str">
        <f>IF(分析!AD260&lt;&gt;"",分析!AD260,"")</f>
        <v/>
      </c>
      <c r="X260" s="158" t="str">
        <f>IF(分析!AE260&lt;&gt;"",分析!AE260,"")</f>
        <v/>
      </c>
      <c r="Y260" s="159" t="str">
        <f>IF(分析!T260&lt;&gt;"",分析!T260,"")</f>
        <v/>
      </c>
      <c r="Z260" s="160" t="str">
        <f>IF(分析!Y260&lt;&gt;"",分析!Y260,"")</f>
        <v/>
      </c>
    </row>
    <row r="261" spans="1:26" ht="21.95" customHeight="1">
      <c r="A261" s="161" t="str">
        <f>IF(分析!C261&lt;&gt;"",ROW()-2,"")</f>
        <v/>
      </c>
      <c r="B261" s="162" t="str">
        <f>IF(分析!C261&lt;&gt;"",HYPERLINK("https://kabutan.jp/stock/?code="&amp;分析!C261,"株探"),"")</f>
        <v/>
      </c>
      <c r="C261" s="163" t="str">
        <f>IF(分析!C261&lt;&gt;"",分析!C261,"")</f>
        <v/>
      </c>
      <c r="D261" s="164" t="str">
        <f>IF(分析!D261&lt;&gt;"",分析!D261,"")</f>
        <v/>
      </c>
      <c r="E261" s="165" t="str">
        <f>IF(分析!E261&lt;&gt;"",分析!E261,"")</f>
        <v/>
      </c>
      <c r="F261" s="166" t="str">
        <f>IF(分析!F261&lt;&gt;"",分析!F261,"")</f>
        <v/>
      </c>
      <c r="G261" s="166" t="str">
        <f>IF(分析!H261&lt;&gt;"",分析!H261,"")</f>
        <v/>
      </c>
      <c r="H261" s="166" t="str">
        <f>IF(分析!I261&lt;&gt;"",分析!I261,"")</f>
        <v/>
      </c>
      <c r="I261" s="166" t="str">
        <f>IF(分析!J261&lt;&gt;"",分析!J261,"")</f>
        <v/>
      </c>
      <c r="J261" s="166" t="str">
        <f>IF(分析!AB261&lt;&gt;"",分析!AB261,"")</f>
        <v/>
      </c>
      <c r="K261" s="166" t="str">
        <f>IF(分析!AC261&lt;&gt;"",分析!AC261,"")</f>
        <v/>
      </c>
      <c r="L261" s="166" t="str">
        <f>IF(分析!K261&lt;&gt;"",分析!K261,"")</f>
        <v/>
      </c>
      <c r="M261" s="161" t="str">
        <f>IF(分析!P261&lt;&gt;"",分析!P261,"")</f>
        <v/>
      </c>
      <c r="N261" s="167" t="str">
        <f>IF(分析!O261&lt;&gt;"",分析!O261,"")</f>
        <v/>
      </c>
      <c r="O261" s="168" t="str">
        <f>IF(分析!X261&lt;&gt;"",分析!X261,"")</f>
        <v/>
      </c>
      <c r="P261" s="169" t="str">
        <f>IF(分析!L261&lt;&gt;"",分析!L261,"")</f>
        <v/>
      </c>
      <c r="Q261" s="166" t="str">
        <f>IF(分析!S261&lt;&gt;"",分析!S261,"")</f>
        <v/>
      </c>
      <c r="R261" s="166" t="str">
        <f>IF(分析!R261&lt;&gt;"",分析!R261,"")</f>
        <v/>
      </c>
      <c r="S261" s="161" t="str">
        <f>IF(分析!AA261&lt;&gt;"",分析!AA261,"")</f>
        <v/>
      </c>
      <c r="T261" s="170" t="str">
        <f>IF(分析!Z261&lt;&gt;"",分析!Z261,"")</f>
        <v/>
      </c>
      <c r="U261" s="161" t="str">
        <f>IF(分析!V261&lt;&gt;"",分析!V261,"")</f>
        <v/>
      </c>
      <c r="V261" s="171" t="str">
        <f>IF(分析!W261&lt;&gt;"",分析!W261,"")</f>
        <v/>
      </c>
      <c r="W261" s="172" t="str">
        <f>IF(分析!AD261&lt;&gt;"",分析!AD261,"")</f>
        <v/>
      </c>
      <c r="X261" s="173" t="str">
        <f>IF(分析!AE261&lt;&gt;"",分析!AE261,"")</f>
        <v/>
      </c>
      <c r="Y261" s="174" t="str">
        <f>IF(分析!T261&lt;&gt;"",分析!T261,"")</f>
        <v/>
      </c>
      <c r="Z261" s="160" t="str">
        <f>IF(分析!Y261&lt;&gt;"",分析!Y261,"")</f>
        <v/>
      </c>
    </row>
    <row r="262" spans="1:26" ht="21.95" customHeight="1">
      <c r="A262" s="146" t="str">
        <f>IF(分析!C262&lt;&gt;"",ROW()-2,"")</f>
        <v/>
      </c>
      <c r="B262" s="147" t="str">
        <f>IF(分析!C262&lt;&gt;"",HYPERLINK("https://kabutan.jp/stock/?code="&amp;分析!C262,"株探"),"")</f>
        <v/>
      </c>
      <c r="C262" s="148" t="str">
        <f>IF(分析!C262&lt;&gt;"",分析!C262,"")</f>
        <v/>
      </c>
      <c r="D262" s="149" t="str">
        <f>IF(分析!D262&lt;&gt;"",分析!D262,"")</f>
        <v/>
      </c>
      <c r="E262" s="150" t="str">
        <f>IF(分析!E262&lt;&gt;"",分析!E262,"")</f>
        <v/>
      </c>
      <c r="F262" s="151" t="str">
        <f>IF(分析!F262&lt;&gt;"",分析!F262,"")</f>
        <v/>
      </c>
      <c r="G262" s="151" t="str">
        <f>IF(分析!H262&lt;&gt;"",分析!H262,"")</f>
        <v/>
      </c>
      <c r="H262" s="151" t="str">
        <f>IF(分析!I262&lt;&gt;"",分析!I262,"")</f>
        <v/>
      </c>
      <c r="I262" s="151" t="str">
        <f>IF(分析!J262&lt;&gt;"",分析!J262,"")</f>
        <v/>
      </c>
      <c r="J262" s="151" t="str">
        <f>IF(分析!AB262&lt;&gt;"",分析!AB262,"")</f>
        <v/>
      </c>
      <c r="K262" s="151" t="str">
        <f>IF(分析!AC262&lt;&gt;"",分析!AC262,"")</f>
        <v/>
      </c>
      <c r="L262" s="151" t="str">
        <f>IF(分析!K262&lt;&gt;"",分析!K262,"")</f>
        <v/>
      </c>
      <c r="M262" s="146" t="str">
        <f>IF(分析!P262&lt;&gt;"",分析!P262,"")</f>
        <v/>
      </c>
      <c r="N262" s="152" t="str">
        <f>IF(分析!O262&lt;&gt;"",分析!O262,"")</f>
        <v/>
      </c>
      <c r="O262" s="153" t="str">
        <f>IF(分析!X262&lt;&gt;"",分析!X262,"")</f>
        <v/>
      </c>
      <c r="P262" s="154" t="str">
        <f>IF(分析!L262&lt;&gt;"",分析!L262,"")</f>
        <v/>
      </c>
      <c r="Q262" s="151" t="str">
        <f>IF(分析!S262&lt;&gt;"",分析!S262,"")</f>
        <v/>
      </c>
      <c r="R262" s="151" t="str">
        <f>IF(分析!R262&lt;&gt;"",分析!R262,"")</f>
        <v/>
      </c>
      <c r="S262" s="146" t="str">
        <f>IF(分析!AA262&lt;&gt;"",分析!AA262,"")</f>
        <v/>
      </c>
      <c r="T262" s="155" t="str">
        <f>IF(分析!Z262&lt;&gt;"",分析!Z262,"")</f>
        <v/>
      </c>
      <c r="U262" s="146" t="str">
        <f>IF(分析!V262&lt;&gt;"",分析!V262,"")</f>
        <v/>
      </c>
      <c r="V262" s="156" t="str">
        <f>IF(分析!W262&lt;&gt;"",分析!W262,"")</f>
        <v/>
      </c>
      <c r="W262" s="157" t="str">
        <f>IF(分析!AD262&lt;&gt;"",分析!AD262,"")</f>
        <v/>
      </c>
      <c r="X262" s="158" t="str">
        <f>IF(分析!AE262&lt;&gt;"",分析!AE262,"")</f>
        <v/>
      </c>
      <c r="Y262" s="159" t="str">
        <f>IF(分析!T262&lt;&gt;"",分析!T262,"")</f>
        <v/>
      </c>
      <c r="Z262" s="160" t="str">
        <f>IF(分析!Y262&lt;&gt;"",分析!Y262,"")</f>
        <v/>
      </c>
    </row>
    <row r="263" spans="1:26" ht="21.95" customHeight="1">
      <c r="A263" s="161" t="str">
        <f>IF(分析!C263&lt;&gt;"",ROW()-2,"")</f>
        <v/>
      </c>
      <c r="B263" s="162" t="str">
        <f>IF(分析!C263&lt;&gt;"",HYPERLINK("https://kabutan.jp/stock/?code="&amp;分析!C263,"株探"),"")</f>
        <v/>
      </c>
      <c r="C263" s="163" t="str">
        <f>IF(分析!C263&lt;&gt;"",分析!C263,"")</f>
        <v/>
      </c>
      <c r="D263" s="164" t="str">
        <f>IF(分析!D263&lt;&gt;"",分析!D263,"")</f>
        <v/>
      </c>
      <c r="E263" s="165" t="str">
        <f>IF(分析!E263&lt;&gt;"",分析!E263,"")</f>
        <v/>
      </c>
      <c r="F263" s="166" t="str">
        <f>IF(分析!F263&lt;&gt;"",分析!F263,"")</f>
        <v/>
      </c>
      <c r="G263" s="166" t="str">
        <f>IF(分析!H263&lt;&gt;"",分析!H263,"")</f>
        <v/>
      </c>
      <c r="H263" s="166" t="str">
        <f>IF(分析!I263&lt;&gt;"",分析!I263,"")</f>
        <v/>
      </c>
      <c r="I263" s="166" t="str">
        <f>IF(分析!J263&lt;&gt;"",分析!J263,"")</f>
        <v/>
      </c>
      <c r="J263" s="166" t="str">
        <f>IF(分析!AB263&lt;&gt;"",分析!AB263,"")</f>
        <v/>
      </c>
      <c r="K263" s="166" t="str">
        <f>IF(分析!AC263&lt;&gt;"",分析!AC263,"")</f>
        <v/>
      </c>
      <c r="L263" s="166" t="str">
        <f>IF(分析!K263&lt;&gt;"",分析!K263,"")</f>
        <v/>
      </c>
      <c r="M263" s="161" t="str">
        <f>IF(分析!P263&lt;&gt;"",分析!P263,"")</f>
        <v/>
      </c>
      <c r="N263" s="167" t="str">
        <f>IF(分析!O263&lt;&gt;"",分析!O263,"")</f>
        <v/>
      </c>
      <c r="O263" s="168" t="str">
        <f>IF(分析!X263&lt;&gt;"",分析!X263,"")</f>
        <v/>
      </c>
      <c r="P263" s="169" t="str">
        <f>IF(分析!L263&lt;&gt;"",分析!L263,"")</f>
        <v/>
      </c>
      <c r="Q263" s="166" t="str">
        <f>IF(分析!S263&lt;&gt;"",分析!S263,"")</f>
        <v/>
      </c>
      <c r="R263" s="166" t="str">
        <f>IF(分析!R263&lt;&gt;"",分析!R263,"")</f>
        <v/>
      </c>
      <c r="S263" s="161" t="str">
        <f>IF(分析!AA263&lt;&gt;"",分析!AA263,"")</f>
        <v/>
      </c>
      <c r="T263" s="170" t="str">
        <f>IF(分析!Z263&lt;&gt;"",分析!Z263,"")</f>
        <v/>
      </c>
      <c r="U263" s="161" t="str">
        <f>IF(分析!V263&lt;&gt;"",分析!V263,"")</f>
        <v/>
      </c>
      <c r="V263" s="171" t="str">
        <f>IF(分析!W263&lt;&gt;"",分析!W263,"")</f>
        <v/>
      </c>
      <c r="W263" s="172" t="str">
        <f>IF(分析!AD263&lt;&gt;"",分析!AD263,"")</f>
        <v/>
      </c>
      <c r="X263" s="173" t="str">
        <f>IF(分析!AE263&lt;&gt;"",分析!AE263,"")</f>
        <v/>
      </c>
      <c r="Y263" s="174" t="str">
        <f>IF(分析!T263&lt;&gt;"",分析!T263,"")</f>
        <v/>
      </c>
      <c r="Z263" s="160" t="str">
        <f>IF(分析!Y263&lt;&gt;"",分析!Y263,"")</f>
        <v/>
      </c>
    </row>
    <row r="264" spans="1:26" ht="21.95" customHeight="1">
      <c r="A264" s="146" t="str">
        <f>IF(分析!C264&lt;&gt;"",ROW()-2,"")</f>
        <v/>
      </c>
      <c r="B264" s="147" t="str">
        <f>IF(分析!C264&lt;&gt;"",HYPERLINK("https://kabutan.jp/stock/?code="&amp;分析!C264,"株探"),"")</f>
        <v/>
      </c>
      <c r="C264" s="148" t="str">
        <f>IF(分析!C264&lt;&gt;"",分析!C264,"")</f>
        <v/>
      </c>
      <c r="D264" s="149" t="str">
        <f>IF(分析!D264&lt;&gt;"",分析!D264,"")</f>
        <v/>
      </c>
      <c r="E264" s="150" t="str">
        <f>IF(分析!E264&lt;&gt;"",分析!E264,"")</f>
        <v/>
      </c>
      <c r="F264" s="151" t="str">
        <f>IF(分析!F264&lt;&gt;"",分析!F264,"")</f>
        <v/>
      </c>
      <c r="G264" s="151" t="str">
        <f>IF(分析!H264&lt;&gt;"",分析!H264,"")</f>
        <v/>
      </c>
      <c r="H264" s="151" t="str">
        <f>IF(分析!I264&lt;&gt;"",分析!I264,"")</f>
        <v/>
      </c>
      <c r="I264" s="151" t="str">
        <f>IF(分析!J264&lt;&gt;"",分析!J264,"")</f>
        <v/>
      </c>
      <c r="J264" s="151" t="str">
        <f>IF(分析!AB264&lt;&gt;"",分析!AB264,"")</f>
        <v/>
      </c>
      <c r="K264" s="151" t="str">
        <f>IF(分析!AC264&lt;&gt;"",分析!AC264,"")</f>
        <v/>
      </c>
      <c r="L264" s="151" t="str">
        <f>IF(分析!K264&lt;&gt;"",分析!K264,"")</f>
        <v/>
      </c>
      <c r="M264" s="146" t="str">
        <f>IF(分析!P264&lt;&gt;"",分析!P264,"")</f>
        <v/>
      </c>
      <c r="N264" s="152" t="str">
        <f>IF(分析!O264&lt;&gt;"",分析!O264,"")</f>
        <v/>
      </c>
      <c r="O264" s="153" t="str">
        <f>IF(分析!X264&lt;&gt;"",分析!X264,"")</f>
        <v/>
      </c>
      <c r="P264" s="154" t="str">
        <f>IF(分析!L264&lt;&gt;"",分析!L264,"")</f>
        <v/>
      </c>
      <c r="Q264" s="151" t="str">
        <f>IF(分析!S264&lt;&gt;"",分析!S264,"")</f>
        <v/>
      </c>
      <c r="R264" s="151" t="str">
        <f>IF(分析!R264&lt;&gt;"",分析!R264,"")</f>
        <v/>
      </c>
      <c r="S264" s="146" t="str">
        <f>IF(分析!AA264&lt;&gt;"",分析!AA264,"")</f>
        <v/>
      </c>
      <c r="T264" s="155" t="str">
        <f>IF(分析!Z264&lt;&gt;"",分析!Z264,"")</f>
        <v/>
      </c>
      <c r="U264" s="146" t="str">
        <f>IF(分析!V264&lt;&gt;"",分析!V264,"")</f>
        <v/>
      </c>
      <c r="V264" s="156" t="str">
        <f>IF(分析!W264&lt;&gt;"",分析!W264,"")</f>
        <v/>
      </c>
      <c r="W264" s="157" t="str">
        <f>IF(分析!AD264&lt;&gt;"",分析!AD264,"")</f>
        <v/>
      </c>
      <c r="X264" s="158" t="str">
        <f>IF(分析!AE264&lt;&gt;"",分析!AE264,"")</f>
        <v/>
      </c>
      <c r="Y264" s="159" t="str">
        <f>IF(分析!T264&lt;&gt;"",分析!T264,"")</f>
        <v/>
      </c>
      <c r="Z264" s="160" t="str">
        <f>IF(分析!Y264&lt;&gt;"",分析!Y264,"")</f>
        <v/>
      </c>
    </row>
    <row r="265" spans="1:26" ht="21.95" customHeight="1">
      <c r="A265" s="161" t="str">
        <f>IF(分析!C265&lt;&gt;"",ROW()-2,"")</f>
        <v/>
      </c>
      <c r="B265" s="162" t="str">
        <f>IF(分析!C265&lt;&gt;"",HYPERLINK("https://kabutan.jp/stock/?code="&amp;分析!C265,"株探"),"")</f>
        <v/>
      </c>
      <c r="C265" s="163" t="str">
        <f>IF(分析!C265&lt;&gt;"",分析!C265,"")</f>
        <v/>
      </c>
      <c r="D265" s="164" t="str">
        <f>IF(分析!D265&lt;&gt;"",分析!D265,"")</f>
        <v/>
      </c>
      <c r="E265" s="165" t="str">
        <f>IF(分析!E265&lt;&gt;"",分析!E265,"")</f>
        <v/>
      </c>
      <c r="F265" s="166" t="str">
        <f>IF(分析!F265&lt;&gt;"",分析!F265,"")</f>
        <v/>
      </c>
      <c r="G265" s="166" t="str">
        <f>IF(分析!H265&lt;&gt;"",分析!H265,"")</f>
        <v/>
      </c>
      <c r="H265" s="166" t="str">
        <f>IF(分析!I265&lt;&gt;"",分析!I265,"")</f>
        <v/>
      </c>
      <c r="I265" s="166" t="str">
        <f>IF(分析!J265&lt;&gt;"",分析!J265,"")</f>
        <v/>
      </c>
      <c r="J265" s="166" t="str">
        <f>IF(分析!AB265&lt;&gt;"",分析!AB265,"")</f>
        <v/>
      </c>
      <c r="K265" s="166" t="str">
        <f>IF(分析!AC265&lt;&gt;"",分析!AC265,"")</f>
        <v/>
      </c>
      <c r="L265" s="166" t="str">
        <f>IF(分析!K265&lt;&gt;"",分析!K265,"")</f>
        <v/>
      </c>
      <c r="M265" s="161" t="str">
        <f>IF(分析!P265&lt;&gt;"",分析!P265,"")</f>
        <v/>
      </c>
      <c r="N265" s="167" t="str">
        <f>IF(分析!O265&lt;&gt;"",分析!O265,"")</f>
        <v/>
      </c>
      <c r="O265" s="168" t="str">
        <f>IF(分析!X265&lt;&gt;"",分析!X265,"")</f>
        <v/>
      </c>
      <c r="P265" s="169" t="str">
        <f>IF(分析!L265&lt;&gt;"",分析!L265,"")</f>
        <v/>
      </c>
      <c r="Q265" s="166" t="str">
        <f>IF(分析!S265&lt;&gt;"",分析!S265,"")</f>
        <v/>
      </c>
      <c r="R265" s="166" t="str">
        <f>IF(分析!R265&lt;&gt;"",分析!R265,"")</f>
        <v/>
      </c>
      <c r="S265" s="161" t="str">
        <f>IF(分析!AA265&lt;&gt;"",分析!AA265,"")</f>
        <v/>
      </c>
      <c r="T265" s="170" t="str">
        <f>IF(分析!Z265&lt;&gt;"",分析!Z265,"")</f>
        <v/>
      </c>
      <c r="U265" s="161" t="str">
        <f>IF(分析!V265&lt;&gt;"",分析!V265,"")</f>
        <v/>
      </c>
      <c r="V265" s="171" t="str">
        <f>IF(分析!W265&lt;&gt;"",分析!W265,"")</f>
        <v/>
      </c>
      <c r="W265" s="172" t="str">
        <f>IF(分析!AD265&lt;&gt;"",分析!AD265,"")</f>
        <v/>
      </c>
      <c r="X265" s="173" t="str">
        <f>IF(分析!AE265&lt;&gt;"",分析!AE265,"")</f>
        <v/>
      </c>
      <c r="Y265" s="174" t="str">
        <f>IF(分析!T265&lt;&gt;"",分析!T265,"")</f>
        <v/>
      </c>
      <c r="Z265" s="160" t="str">
        <f>IF(分析!Y265&lt;&gt;"",分析!Y265,"")</f>
        <v/>
      </c>
    </row>
    <row r="266" spans="1:26" ht="21.95" customHeight="1">
      <c r="A266" s="146" t="str">
        <f>IF(分析!C266&lt;&gt;"",ROW()-2,"")</f>
        <v/>
      </c>
      <c r="B266" s="147" t="str">
        <f>IF(分析!C266&lt;&gt;"",HYPERLINK("https://kabutan.jp/stock/?code="&amp;分析!C266,"株探"),"")</f>
        <v/>
      </c>
      <c r="C266" s="148" t="str">
        <f>IF(分析!C266&lt;&gt;"",分析!C266,"")</f>
        <v/>
      </c>
      <c r="D266" s="149" t="str">
        <f>IF(分析!D266&lt;&gt;"",分析!D266,"")</f>
        <v/>
      </c>
      <c r="E266" s="150" t="str">
        <f>IF(分析!E266&lt;&gt;"",分析!E266,"")</f>
        <v/>
      </c>
      <c r="F266" s="151" t="str">
        <f>IF(分析!F266&lt;&gt;"",分析!F266,"")</f>
        <v/>
      </c>
      <c r="G266" s="151" t="str">
        <f>IF(分析!H266&lt;&gt;"",分析!H266,"")</f>
        <v/>
      </c>
      <c r="H266" s="151" t="str">
        <f>IF(分析!I266&lt;&gt;"",分析!I266,"")</f>
        <v/>
      </c>
      <c r="I266" s="151" t="str">
        <f>IF(分析!J266&lt;&gt;"",分析!J266,"")</f>
        <v/>
      </c>
      <c r="J266" s="151" t="str">
        <f>IF(分析!AB266&lt;&gt;"",分析!AB266,"")</f>
        <v/>
      </c>
      <c r="K266" s="151" t="str">
        <f>IF(分析!AC266&lt;&gt;"",分析!AC266,"")</f>
        <v/>
      </c>
      <c r="L266" s="151" t="str">
        <f>IF(分析!K266&lt;&gt;"",分析!K266,"")</f>
        <v/>
      </c>
      <c r="M266" s="146" t="str">
        <f>IF(分析!P266&lt;&gt;"",分析!P266,"")</f>
        <v/>
      </c>
      <c r="N266" s="152" t="str">
        <f>IF(分析!O266&lt;&gt;"",分析!O266,"")</f>
        <v/>
      </c>
      <c r="O266" s="153" t="str">
        <f>IF(分析!X266&lt;&gt;"",分析!X266,"")</f>
        <v/>
      </c>
      <c r="P266" s="154" t="str">
        <f>IF(分析!L266&lt;&gt;"",分析!L266,"")</f>
        <v/>
      </c>
      <c r="Q266" s="151" t="str">
        <f>IF(分析!S266&lt;&gt;"",分析!S266,"")</f>
        <v/>
      </c>
      <c r="R266" s="151" t="str">
        <f>IF(分析!R266&lt;&gt;"",分析!R266,"")</f>
        <v/>
      </c>
      <c r="S266" s="146" t="str">
        <f>IF(分析!AA266&lt;&gt;"",分析!AA266,"")</f>
        <v/>
      </c>
      <c r="T266" s="155" t="str">
        <f>IF(分析!Z266&lt;&gt;"",分析!Z266,"")</f>
        <v/>
      </c>
      <c r="U266" s="146" t="str">
        <f>IF(分析!V266&lt;&gt;"",分析!V266,"")</f>
        <v/>
      </c>
      <c r="V266" s="156" t="str">
        <f>IF(分析!W266&lt;&gt;"",分析!W266,"")</f>
        <v/>
      </c>
      <c r="W266" s="157" t="str">
        <f>IF(分析!AD266&lt;&gt;"",分析!AD266,"")</f>
        <v/>
      </c>
      <c r="X266" s="158" t="str">
        <f>IF(分析!AE266&lt;&gt;"",分析!AE266,"")</f>
        <v/>
      </c>
      <c r="Y266" s="159" t="str">
        <f>IF(分析!T266&lt;&gt;"",分析!T266,"")</f>
        <v/>
      </c>
      <c r="Z266" s="160" t="str">
        <f>IF(分析!Y266&lt;&gt;"",分析!Y266,"")</f>
        <v/>
      </c>
    </row>
    <row r="267" spans="1:26" ht="21.95" customHeight="1">
      <c r="A267" s="161" t="str">
        <f>IF(分析!C267&lt;&gt;"",ROW()-2,"")</f>
        <v/>
      </c>
      <c r="B267" s="162" t="str">
        <f>IF(分析!C267&lt;&gt;"",HYPERLINK("https://kabutan.jp/stock/?code="&amp;分析!C267,"株探"),"")</f>
        <v/>
      </c>
      <c r="C267" s="163" t="str">
        <f>IF(分析!C267&lt;&gt;"",分析!C267,"")</f>
        <v/>
      </c>
      <c r="D267" s="164" t="str">
        <f>IF(分析!D267&lt;&gt;"",分析!D267,"")</f>
        <v/>
      </c>
      <c r="E267" s="165" t="str">
        <f>IF(分析!E267&lt;&gt;"",分析!E267,"")</f>
        <v/>
      </c>
      <c r="F267" s="166" t="str">
        <f>IF(分析!F267&lt;&gt;"",分析!F267,"")</f>
        <v/>
      </c>
      <c r="G267" s="166" t="str">
        <f>IF(分析!H267&lt;&gt;"",分析!H267,"")</f>
        <v/>
      </c>
      <c r="H267" s="166" t="str">
        <f>IF(分析!I267&lt;&gt;"",分析!I267,"")</f>
        <v/>
      </c>
      <c r="I267" s="166" t="str">
        <f>IF(分析!J267&lt;&gt;"",分析!J267,"")</f>
        <v/>
      </c>
      <c r="J267" s="166" t="str">
        <f>IF(分析!AB267&lt;&gt;"",分析!AB267,"")</f>
        <v/>
      </c>
      <c r="K267" s="166" t="str">
        <f>IF(分析!AC267&lt;&gt;"",分析!AC267,"")</f>
        <v/>
      </c>
      <c r="L267" s="166" t="str">
        <f>IF(分析!K267&lt;&gt;"",分析!K267,"")</f>
        <v/>
      </c>
      <c r="M267" s="161" t="str">
        <f>IF(分析!P267&lt;&gt;"",分析!P267,"")</f>
        <v/>
      </c>
      <c r="N267" s="167" t="str">
        <f>IF(分析!O267&lt;&gt;"",分析!O267,"")</f>
        <v/>
      </c>
      <c r="O267" s="168" t="str">
        <f>IF(分析!X267&lt;&gt;"",分析!X267,"")</f>
        <v/>
      </c>
      <c r="P267" s="169" t="str">
        <f>IF(分析!L267&lt;&gt;"",分析!L267,"")</f>
        <v/>
      </c>
      <c r="Q267" s="166" t="str">
        <f>IF(分析!S267&lt;&gt;"",分析!S267,"")</f>
        <v/>
      </c>
      <c r="R267" s="166" t="str">
        <f>IF(分析!R267&lt;&gt;"",分析!R267,"")</f>
        <v/>
      </c>
      <c r="S267" s="161" t="str">
        <f>IF(分析!AA267&lt;&gt;"",分析!AA267,"")</f>
        <v/>
      </c>
      <c r="T267" s="170" t="str">
        <f>IF(分析!Z267&lt;&gt;"",分析!Z267,"")</f>
        <v/>
      </c>
      <c r="U267" s="161" t="str">
        <f>IF(分析!V267&lt;&gt;"",分析!V267,"")</f>
        <v/>
      </c>
      <c r="V267" s="171" t="str">
        <f>IF(分析!W267&lt;&gt;"",分析!W267,"")</f>
        <v/>
      </c>
      <c r="W267" s="172" t="str">
        <f>IF(分析!AD267&lt;&gt;"",分析!AD267,"")</f>
        <v/>
      </c>
      <c r="X267" s="173" t="str">
        <f>IF(分析!AE267&lt;&gt;"",分析!AE267,"")</f>
        <v/>
      </c>
      <c r="Y267" s="174" t="str">
        <f>IF(分析!T267&lt;&gt;"",分析!T267,"")</f>
        <v/>
      </c>
      <c r="Z267" s="160" t="str">
        <f>IF(分析!Y267&lt;&gt;"",分析!Y267,"")</f>
        <v/>
      </c>
    </row>
    <row r="268" spans="1:26" ht="21.95" customHeight="1">
      <c r="A268" s="146" t="str">
        <f>IF(分析!C268&lt;&gt;"",ROW()-2,"")</f>
        <v/>
      </c>
      <c r="B268" s="147" t="str">
        <f>IF(分析!C268&lt;&gt;"",HYPERLINK("https://kabutan.jp/stock/?code="&amp;分析!C268,"株探"),"")</f>
        <v/>
      </c>
      <c r="C268" s="148" t="str">
        <f>IF(分析!C268&lt;&gt;"",分析!C268,"")</f>
        <v/>
      </c>
      <c r="D268" s="149" t="str">
        <f>IF(分析!D268&lt;&gt;"",分析!D268,"")</f>
        <v/>
      </c>
      <c r="E268" s="150" t="str">
        <f>IF(分析!E268&lt;&gt;"",分析!E268,"")</f>
        <v/>
      </c>
      <c r="F268" s="151" t="str">
        <f>IF(分析!F268&lt;&gt;"",分析!F268,"")</f>
        <v/>
      </c>
      <c r="G268" s="151" t="str">
        <f>IF(分析!H268&lt;&gt;"",分析!H268,"")</f>
        <v/>
      </c>
      <c r="H268" s="151" t="str">
        <f>IF(分析!I268&lt;&gt;"",分析!I268,"")</f>
        <v/>
      </c>
      <c r="I268" s="151" t="str">
        <f>IF(分析!J268&lt;&gt;"",分析!J268,"")</f>
        <v/>
      </c>
      <c r="J268" s="151" t="str">
        <f>IF(分析!AB268&lt;&gt;"",分析!AB268,"")</f>
        <v/>
      </c>
      <c r="K268" s="151" t="str">
        <f>IF(分析!AC268&lt;&gt;"",分析!AC268,"")</f>
        <v/>
      </c>
      <c r="L268" s="151" t="str">
        <f>IF(分析!K268&lt;&gt;"",分析!K268,"")</f>
        <v/>
      </c>
      <c r="M268" s="146" t="str">
        <f>IF(分析!P268&lt;&gt;"",分析!P268,"")</f>
        <v/>
      </c>
      <c r="N268" s="152" t="str">
        <f>IF(分析!O268&lt;&gt;"",分析!O268,"")</f>
        <v/>
      </c>
      <c r="O268" s="153" t="str">
        <f>IF(分析!X268&lt;&gt;"",分析!X268,"")</f>
        <v/>
      </c>
      <c r="P268" s="154" t="str">
        <f>IF(分析!L268&lt;&gt;"",分析!L268,"")</f>
        <v/>
      </c>
      <c r="Q268" s="151" t="str">
        <f>IF(分析!S268&lt;&gt;"",分析!S268,"")</f>
        <v/>
      </c>
      <c r="R268" s="151" t="str">
        <f>IF(分析!R268&lt;&gt;"",分析!R268,"")</f>
        <v/>
      </c>
      <c r="S268" s="146" t="str">
        <f>IF(分析!AA268&lt;&gt;"",分析!AA268,"")</f>
        <v/>
      </c>
      <c r="T268" s="155" t="str">
        <f>IF(分析!Z268&lt;&gt;"",分析!Z268,"")</f>
        <v/>
      </c>
      <c r="U268" s="146" t="str">
        <f>IF(分析!V268&lt;&gt;"",分析!V268,"")</f>
        <v/>
      </c>
      <c r="V268" s="156" t="str">
        <f>IF(分析!W268&lt;&gt;"",分析!W268,"")</f>
        <v/>
      </c>
      <c r="W268" s="157" t="str">
        <f>IF(分析!AD268&lt;&gt;"",分析!AD268,"")</f>
        <v/>
      </c>
      <c r="X268" s="158" t="str">
        <f>IF(分析!AE268&lt;&gt;"",分析!AE268,"")</f>
        <v/>
      </c>
      <c r="Y268" s="159" t="str">
        <f>IF(分析!T268&lt;&gt;"",分析!T268,"")</f>
        <v/>
      </c>
      <c r="Z268" s="160" t="str">
        <f>IF(分析!Y268&lt;&gt;"",分析!Y268,"")</f>
        <v/>
      </c>
    </row>
    <row r="269" spans="1:26" ht="21.95" customHeight="1">
      <c r="A269" s="161" t="str">
        <f>IF(分析!C269&lt;&gt;"",ROW()-2,"")</f>
        <v/>
      </c>
      <c r="B269" s="162" t="str">
        <f>IF(分析!C269&lt;&gt;"",HYPERLINK("https://kabutan.jp/stock/?code="&amp;分析!C269,"株探"),"")</f>
        <v/>
      </c>
      <c r="C269" s="163" t="str">
        <f>IF(分析!C269&lt;&gt;"",分析!C269,"")</f>
        <v/>
      </c>
      <c r="D269" s="164" t="str">
        <f>IF(分析!D269&lt;&gt;"",分析!D269,"")</f>
        <v/>
      </c>
      <c r="E269" s="165" t="str">
        <f>IF(分析!E269&lt;&gt;"",分析!E269,"")</f>
        <v/>
      </c>
      <c r="F269" s="166" t="str">
        <f>IF(分析!F269&lt;&gt;"",分析!F269,"")</f>
        <v/>
      </c>
      <c r="G269" s="166" t="str">
        <f>IF(分析!H269&lt;&gt;"",分析!H269,"")</f>
        <v/>
      </c>
      <c r="H269" s="166" t="str">
        <f>IF(分析!I269&lt;&gt;"",分析!I269,"")</f>
        <v/>
      </c>
      <c r="I269" s="166" t="str">
        <f>IF(分析!J269&lt;&gt;"",分析!J269,"")</f>
        <v/>
      </c>
      <c r="J269" s="166" t="str">
        <f>IF(分析!AB269&lt;&gt;"",分析!AB269,"")</f>
        <v/>
      </c>
      <c r="K269" s="166" t="str">
        <f>IF(分析!AC269&lt;&gt;"",分析!AC269,"")</f>
        <v/>
      </c>
      <c r="L269" s="166" t="str">
        <f>IF(分析!K269&lt;&gt;"",分析!K269,"")</f>
        <v/>
      </c>
      <c r="M269" s="161" t="str">
        <f>IF(分析!P269&lt;&gt;"",分析!P269,"")</f>
        <v/>
      </c>
      <c r="N269" s="167" t="str">
        <f>IF(分析!O269&lt;&gt;"",分析!O269,"")</f>
        <v/>
      </c>
      <c r="O269" s="168" t="str">
        <f>IF(分析!X269&lt;&gt;"",分析!X269,"")</f>
        <v/>
      </c>
      <c r="P269" s="169" t="str">
        <f>IF(分析!L269&lt;&gt;"",分析!L269,"")</f>
        <v/>
      </c>
      <c r="Q269" s="166" t="str">
        <f>IF(分析!S269&lt;&gt;"",分析!S269,"")</f>
        <v/>
      </c>
      <c r="R269" s="166" t="str">
        <f>IF(分析!R269&lt;&gt;"",分析!R269,"")</f>
        <v/>
      </c>
      <c r="S269" s="161" t="str">
        <f>IF(分析!AA269&lt;&gt;"",分析!AA269,"")</f>
        <v/>
      </c>
      <c r="T269" s="170" t="str">
        <f>IF(分析!Z269&lt;&gt;"",分析!Z269,"")</f>
        <v/>
      </c>
      <c r="U269" s="161" t="str">
        <f>IF(分析!V269&lt;&gt;"",分析!V269,"")</f>
        <v/>
      </c>
      <c r="V269" s="171" t="str">
        <f>IF(分析!W269&lt;&gt;"",分析!W269,"")</f>
        <v/>
      </c>
      <c r="W269" s="172" t="str">
        <f>IF(分析!AD269&lt;&gt;"",分析!AD269,"")</f>
        <v/>
      </c>
      <c r="X269" s="173" t="str">
        <f>IF(分析!AE269&lt;&gt;"",分析!AE269,"")</f>
        <v/>
      </c>
      <c r="Y269" s="174" t="str">
        <f>IF(分析!T269&lt;&gt;"",分析!T269,"")</f>
        <v/>
      </c>
      <c r="Z269" s="160" t="str">
        <f>IF(分析!Y269&lt;&gt;"",分析!Y269,"")</f>
        <v/>
      </c>
    </row>
    <row r="270" spans="1:26" ht="21.95" customHeight="1">
      <c r="A270" s="146" t="str">
        <f>IF(分析!C270&lt;&gt;"",ROW()-2,"")</f>
        <v/>
      </c>
      <c r="B270" s="147" t="str">
        <f>IF(分析!C270&lt;&gt;"",HYPERLINK("https://kabutan.jp/stock/?code="&amp;分析!C270,"株探"),"")</f>
        <v/>
      </c>
      <c r="C270" s="148" t="str">
        <f>IF(分析!C270&lt;&gt;"",分析!C270,"")</f>
        <v/>
      </c>
      <c r="D270" s="149" t="str">
        <f>IF(分析!D270&lt;&gt;"",分析!D270,"")</f>
        <v/>
      </c>
      <c r="E270" s="150" t="str">
        <f>IF(分析!E270&lt;&gt;"",分析!E270,"")</f>
        <v/>
      </c>
      <c r="F270" s="151" t="str">
        <f>IF(分析!F270&lt;&gt;"",分析!F270,"")</f>
        <v/>
      </c>
      <c r="G270" s="151" t="str">
        <f>IF(分析!H270&lt;&gt;"",分析!H270,"")</f>
        <v/>
      </c>
      <c r="H270" s="151" t="str">
        <f>IF(分析!I270&lt;&gt;"",分析!I270,"")</f>
        <v/>
      </c>
      <c r="I270" s="151" t="str">
        <f>IF(分析!J270&lt;&gt;"",分析!J270,"")</f>
        <v/>
      </c>
      <c r="J270" s="151" t="str">
        <f>IF(分析!AB270&lt;&gt;"",分析!AB270,"")</f>
        <v/>
      </c>
      <c r="K270" s="151" t="str">
        <f>IF(分析!AC270&lt;&gt;"",分析!AC270,"")</f>
        <v/>
      </c>
      <c r="L270" s="151" t="str">
        <f>IF(分析!K270&lt;&gt;"",分析!K270,"")</f>
        <v/>
      </c>
      <c r="M270" s="146" t="str">
        <f>IF(分析!P270&lt;&gt;"",分析!P270,"")</f>
        <v/>
      </c>
      <c r="N270" s="152" t="str">
        <f>IF(分析!O270&lt;&gt;"",分析!O270,"")</f>
        <v/>
      </c>
      <c r="O270" s="153" t="str">
        <f>IF(分析!X270&lt;&gt;"",分析!X270,"")</f>
        <v/>
      </c>
      <c r="P270" s="154" t="str">
        <f>IF(分析!L270&lt;&gt;"",分析!L270,"")</f>
        <v/>
      </c>
      <c r="Q270" s="151" t="str">
        <f>IF(分析!S270&lt;&gt;"",分析!S270,"")</f>
        <v/>
      </c>
      <c r="R270" s="151" t="str">
        <f>IF(分析!R270&lt;&gt;"",分析!R270,"")</f>
        <v/>
      </c>
      <c r="S270" s="146" t="str">
        <f>IF(分析!AA270&lt;&gt;"",分析!AA270,"")</f>
        <v/>
      </c>
      <c r="T270" s="155" t="str">
        <f>IF(分析!Z270&lt;&gt;"",分析!Z270,"")</f>
        <v/>
      </c>
      <c r="U270" s="146" t="str">
        <f>IF(分析!V270&lt;&gt;"",分析!V270,"")</f>
        <v/>
      </c>
      <c r="V270" s="156" t="str">
        <f>IF(分析!W270&lt;&gt;"",分析!W270,"")</f>
        <v/>
      </c>
      <c r="W270" s="157" t="str">
        <f>IF(分析!AD270&lt;&gt;"",分析!AD270,"")</f>
        <v/>
      </c>
      <c r="X270" s="158" t="str">
        <f>IF(分析!AE270&lt;&gt;"",分析!AE270,"")</f>
        <v/>
      </c>
      <c r="Y270" s="159" t="str">
        <f>IF(分析!T270&lt;&gt;"",分析!T270,"")</f>
        <v/>
      </c>
      <c r="Z270" s="160" t="str">
        <f>IF(分析!Y270&lt;&gt;"",分析!Y270,"")</f>
        <v/>
      </c>
    </row>
    <row r="271" spans="1:26" ht="21.95" customHeight="1">
      <c r="A271" s="161" t="str">
        <f>IF(分析!C271&lt;&gt;"",ROW()-2,"")</f>
        <v/>
      </c>
      <c r="B271" s="162" t="str">
        <f>IF(分析!C271&lt;&gt;"",HYPERLINK("https://kabutan.jp/stock/?code="&amp;分析!C271,"株探"),"")</f>
        <v/>
      </c>
      <c r="C271" s="163" t="str">
        <f>IF(分析!C271&lt;&gt;"",分析!C271,"")</f>
        <v/>
      </c>
      <c r="D271" s="164" t="str">
        <f>IF(分析!D271&lt;&gt;"",分析!D271,"")</f>
        <v/>
      </c>
      <c r="E271" s="165" t="str">
        <f>IF(分析!E271&lt;&gt;"",分析!E271,"")</f>
        <v/>
      </c>
      <c r="F271" s="166" t="str">
        <f>IF(分析!F271&lt;&gt;"",分析!F271,"")</f>
        <v/>
      </c>
      <c r="G271" s="166" t="str">
        <f>IF(分析!H271&lt;&gt;"",分析!H271,"")</f>
        <v/>
      </c>
      <c r="H271" s="166" t="str">
        <f>IF(分析!I271&lt;&gt;"",分析!I271,"")</f>
        <v/>
      </c>
      <c r="I271" s="166" t="str">
        <f>IF(分析!J271&lt;&gt;"",分析!J271,"")</f>
        <v/>
      </c>
      <c r="J271" s="166" t="str">
        <f>IF(分析!AB271&lt;&gt;"",分析!AB271,"")</f>
        <v/>
      </c>
      <c r="K271" s="166" t="str">
        <f>IF(分析!AC271&lt;&gt;"",分析!AC271,"")</f>
        <v/>
      </c>
      <c r="L271" s="166" t="str">
        <f>IF(分析!K271&lt;&gt;"",分析!K271,"")</f>
        <v/>
      </c>
      <c r="M271" s="161" t="str">
        <f>IF(分析!P271&lt;&gt;"",分析!P271,"")</f>
        <v/>
      </c>
      <c r="N271" s="167" t="str">
        <f>IF(分析!O271&lt;&gt;"",分析!O271,"")</f>
        <v/>
      </c>
      <c r="O271" s="168" t="str">
        <f>IF(分析!X271&lt;&gt;"",分析!X271,"")</f>
        <v/>
      </c>
      <c r="P271" s="169" t="str">
        <f>IF(分析!L271&lt;&gt;"",分析!L271,"")</f>
        <v/>
      </c>
      <c r="Q271" s="166" t="str">
        <f>IF(分析!S271&lt;&gt;"",分析!S271,"")</f>
        <v/>
      </c>
      <c r="R271" s="166" t="str">
        <f>IF(分析!R271&lt;&gt;"",分析!R271,"")</f>
        <v/>
      </c>
      <c r="S271" s="161" t="str">
        <f>IF(分析!AA271&lt;&gt;"",分析!AA271,"")</f>
        <v/>
      </c>
      <c r="T271" s="170" t="str">
        <f>IF(分析!Z271&lt;&gt;"",分析!Z271,"")</f>
        <v/>
      </c>
      <c r="U271" s="161" t="str">
        <f>IF(分析!V271&lt;&gt;"",分析!V271,"")</f>
        <v/>
      </c>
      <c r="V271" s="171" t="str">
        <f>IF(分析!W271&lt;&gt;"",分析!W271,"")</f>
        <v/>
      </c>
      <c r="W271" s="172" t="str">
        <f>IF(分析!AD271&lt;&gt;"",分析!AD271,"")</f>
        <v/>
      </c>
      <c r="X271" s="173" t="str">
        <f>IF(分析!AE271&lt;&gt;"",分析!AE271,"")</f>
        <v/>
      </c>
      <c r="Y271" s="174" t="str">
        <f>IF(分析!T271&lt;&gt;"",分析!T271,"")</f>
        <v/>
      </c>
      <c r="Z271" s="160" t="str">
        <f>IF(分析!Y271&lt;&gt;"",分析!Y271,"")</f>
        <v/>
      </c>
    </row>
    <row r="272" spans="1:26" ht="21.95" customHeight="1">
      <c r="A272" s="146" t="str">
        <f>IF(分析!C272&lt;&gt;"",ROW()-2,"")</f>
        <v/>
      </c>
      <c r="B272" s="147" t="str">
        <f>IF(分析!C272&lt;&gt;"",HYPERLINK("https://kabutan.jp/stock/?code="&amp;分析!C272,"株探"),"")</f>
        <v/>
      </c>
      <c r="C272" s="148" t="str">
        <f>IF(分析!C272&lt;&gt;"",分析!C272,"")</f>
        <v/>
      </c>
      <c r="D272" s="149" t="str">
        <f>IF(分析!D272&lt;&gt;"",分析!D272,"")</f>
        <v/>
      </c>
      <c r="E272" s="150" t="str">
        <f>IF(分析!E272&lt;&gt;"",分析!E272,"")</f>
        <v/>
      </c>
      <c r="F272" s="151" t="str">
        <f>IF(分析!F272&lt;&gt;"",分析!F272,"")</f>
        <v/>
      </c>
      <c r="G272" s="151" t="str">
        <f>IF(分析!H272&lt;&gt;"",分析!H272,"")</f>
        <v/>
      </c>
      <c r="H272" s="151" t="str">
        <f>IF(分析!I272&lt;&gt;"",分析!I272,"")</f>
        <v/>
      </c>
      <c r="I272" s="151" t="str">
        <f>IF(分析!J272&lt;&gt;"",分析!J272,"")</f>
        <v/>
      </c>
      <c r="J272" s="151" t="str">
        <f>IF(分析!AB272&lt;&gt;"",分析!AB272,"")</f>
        <v/>
      </c>
      <c r="K272" s="151" t="str">
        <f>IF(分析!AC272&lt;&gt;"",分析!AC272,"")</f>
        <v/>
      </c>
      <c r="L272" s="151" t="str">
        <f>IF(分析!K272&lt;&gt;"",分析!K272,"")</f>
        <v/>
      </c>
      <c r="M272" s="146" t="str">
        <f>IF(分析!P272&lt;&gt;"",分析!P272,"")</f>
        <v/>
      </c>
      <c r="N272" s="152" t="str">
        <f>IF(分析!O272&lt;&gt;"",分析!O272,"")</f>
        <v/>
      </c>
      <c r="O272" s="153" t="str">
        <f>IF(分析!X272&lt;&gt;"",分析!X272,"")</f>
        <v/>
      </c>
      <c r="P272" s="154" t="str">
        <f>IF(分析!L272&lt;&gt;"",分析!L272,"")</f>
        <v/>
      </c>
      <c r="Q272" s="151" t="str">
        <f>IF(分析!S272&lt;&gt;"",分析!S272,"")</f>
        <v/>
      </c>
      <c r="R272" s="151" t="str">
        <f>IF(分析!R272&lt;&gt;"",分析!R272,"")</f>
        <v/>
      </c>
      <c r="S272" s="146" t="str">
        <f>IF(分析!AA272&lt;&gt;"",分析!AA272,"")</f>
        <v/>
      </c>
      <c r="T272" s="155" t="str">
        <f>IF(分析!Z272&lt;&gt;"",分析!Z272,"")</f>
        <v/>
      </c>
      <c r="U272" s="146" t="str">
        <f>IF(分析!V272&lt;&gt;"",分析!V272,"")</f>
        <v/>
      </c>
      <c r="V272" s="156" t="str">
        <f>IF(分析!W272&lt;&gt;"",分析!W272,"")</f>
        <v/>
      </c>
      <c r="W272" s="157" t="str">
        <f>IF(分析!AD272&lt;&gt;"",分析!AD272,"")</f>
        <v/>
      </c>
      <c r="X272" s="158" t="str">
        <f>IF(分析!AE272&lt;&gt;"",分析!AE272,"")</f>
        <v/>
      </c>
      <c r="Y272" s="159" t="str">
        <f>IF(分析!T272&lt;&gt;"",分析!T272,"")</f>
        <v/>
      </c>
      <c r="Z272" s="160" t="str">
        <f>IF(分析!Y272&lt;&gt;"",分析!Y272,"")</f>
        <v/>
      </c>
    </row>
    <row r="273" spans="1:26" ht="21.95" customHeight="1">
      <c r="A273" s="161" t="str">
        <f>IF(分析!C273&lt;&gt;"",ROW()-2,"")</f>
        <v/>
      </c>
      <c r="B273" s="162" t="str">
        <f>IF(分析!C273&lt;&gt;"",HYPERLINK("https://kabutan.jp/stock/?code="&amp;分析!C273,"株探"),"")</f>
        <v/>
      </c>
      <c r="C273" s="163" t="str">
        <f>IF(分析!C273&lt;&gt;"",分析!C273,"")</f>
        <v/>
      </c>
      <c r="D273" s="164" t="str">
        <f>IF(分析!D273&lt;&gt;"",分析!D273,"")</f>
        <v/>
      </c>
      <c r="E273" s="165" t="str">
        <f>IF(分析!E273&lt;&gt;"",分析!E273,"")</f>
        <v/>
      </c>
      <c r="F273" s="166" t="str">
        <f>IF(分析!F273&lt;&gt;"",分析!F273,"")</f>
        <v/>
      </c>
      <c r="G273" s="166" t="str">
        <f>IF(分析!H273&lt;&gt;"",分析!H273,"")</f>
        <v/>
      </c>
      <c r="H273" s="166" t="str">
        <f>IF(分析!I273&lt;&gt;"",分析!I273,"")</f>
        <v/>
      </c>
      <c r="I273" s="166" t="str">
        <f>IF(分析!J273&lt;&gt;"",分析!J273,"")</f>
        <v/>
      </c>
      <c r="J273" s="166" t="str">
        <f>IF(分析!AB273&lt;&gt;"",分析!AB273,"")</f>
        <v/>
      </c>
      <c r="K273" s="166" t="str">
        <f>IF(分析!AC273&lt;&gt;"",分析!AC273,"")</f>
        <v/>
      </c>
      <c r="L273" s="166" t="str">
        <f>IF(分析!K273&lt;&gt;"",分析!K273,"")</f>
        <v/>
      </c>
      <c r="M273" s="161" t="str">
        <f>IF(分析!P273&lt;&gt;"",分析!P273,"")</f>
        <v/>
      </c>
      <c r="N273" s="167" t="str">
        <f>IF(分析!O273&lt;&gt;"",分析!O273,"")</f>
        <v/>
      </c>
      <c r="O273" s="168" t="str">
        <f>IF(分析!X273&lt;&gt;"",分析!X273,"")</f>
        <v/>
      </c>
      <c r="P273" s="169" t="str">
        <f>IF(分析!L273&lt;&gt;"",分析!L273,"")</f>
        <v/>
      </c>
      <c r="Q273" s="166" t="str">
        <f>IF(分析!S273&lt;&gt;"",分析!S273,"")</f>
        <v/>
      </c>
      <c r="R273" s="166" t="str">
        <f>IF(分析!R273&lt;&gt;"",分析!R273,"")</f>
        <v/>
      </c>
      <c r="S273" s="161" t="str">
        <f>IF(分析!AA273&lt;&gt;"",分析!AA273,"")</f>
        <v/>
      </c>
      <c r="T273" s="170" t="str">
        <f>IF(分析!Z273&lt;&gt;"",分析!Z273,"")</f>
        <v/>
      </c>
      <c r="U273" s="161" t="str">
        <f>IF(分析!V273&lt;&gt;"",分析!V273,"")</f>
        <v/>
      </c>
      <c r="V273" s="171" t="str">
        <f>IF(分析!W273&lt;&gt;"",分析!W273,"")</f>
        <v/>
      </c>
      <c r="W273" s="172" t="str">
        <f>IF(分析!AD273&lt;&gt;"",分析!AD273,"")</f>
        <v/>
      </c>
      <c r="X273" s="173" t="str">
        <f>IF(分析!AE273&lt;&gt;"",分析!AE273,"")</f>
        <v/>
      </c>
      <c r="Y273" s="174" t="str">
        <f>IF(分析!T273&lt;&gt;"",分析!T273,"")</f>
        <v/>
      </c>
      <c r="Z273" s="160" t="str">
        <f>IF(分析!Y273&lt;&gt;"",分析!Y273,"")</f>
        <v/>
      </c>
    </row>
    <row r="274" spans="1:26" ht="21.95" customHeight="1">
      <c r="A274" s="146" t="str">
        <f>IF(分析!C274&lt;&gt;"",ROW()-2,"")</f>
        <v/>
      </c>
      <c r="B274" s="147" t="str">
        <f>IF(分析!C274&lt;&gt;"",HYPERLINK("https://kabutan.jp/stock/?code="&amp;分析!C274,"株探"),"")</f>
        <v/>
      </c>
      <c r="C274" s="148" t="str">
        <f>IF(分析!C274&lt;&gt;"",分析!C274,"")</f>
        <v/>
      </c>
      <c r="D274" s="149" t="str">
        <f>IF(分析!D274&lt;&gt;"",分析!D274,"")</f>
        <v/>
      </c>
      <c r="E274" s="150" t="str">
        <f>IF(分析!E274&lt;&gt;"",分析!E274,"")</f>
        <v/>
      </c>
      <c r="F274" s="151" t="str">
        <f>IF(分析!F274&lt;&gt;"",分析!F274,"")</f>
        <v/>
      </c>
      <c r="G274" s="151" t="str">
        <f>IF(分析!H274&lt;&gt;"",分析!H274,"")</f>
        <v/>
      </c>
      <c r="H274" s="151" t="str">
        <f>IF(分析!I274&lt;&gt;"",分析!I274,"")</f>
        <v/>
      </c>
      <c r="I274" s="151" t="str">
        <f>IF(分析!J274&lt;&gt;"",分析!J274,"")</f>
        <v/>
      </c>
      <c r="J274" s="151" t="str">
        <f>IF(分析!AB274&lt;&gt;"",分析!AB274,"")</f>
        <v/>
      </c>
      <c r="K274" s="151" t="str">
        <f>IF(分析!AC274&lt;&gt;"",分析!AC274,"")</f>
        <v/>
      </c>
      <c r="L274" s="151" t="str">
        <f>IF(分析!K274&lt;&gt;"",分析!K274,"")</f>
        <v/>
      </c>
      <c r="M274" s="146" t="str">
        <f>IF(分析!P274&lt;&gt;"",分析!P274,"")</f>
        <v/>
      </c>
      <c r="N274" s="152" t="str">
        <f>IF(分析!O274&lt;&gt;"",分析!O274,"")</f>
        <v/>
      </c>
      <c r="O274" s="153" t="str">
        <f>IF(分析!X274&lt;&gt;"",分析!X274,"")</f>
        <v/>
      </c>
      <c r="P274" s="154" t="str">
        <f>IF(分析!L274&lt;&gt;"",分析!L274,"")</f>
        <v/>
      </c>
      <c r="Q274" s="151" t="str">
        <f>IF(分析!S274&lt;&gt;"",分析!S274,"")</f>
        <v/>
      </c>
      <c r="R274" s="151" t="str">
        <f>IF(分析!R274&lt;&gt;"",分析!R274,"")</f>
        <v/>
      </c>
      <c r="S274" s="146" t="str">
        <f>IF(分析!AA274&lt;&gt;"",分析!AA274,"")</f>
        <v/>
      </c>
      <c r="T274" s="155" t="str">
        <f>IF(分析!Z274&lt;&gt;"",分析!Z274,"")</f>
        <v/>
      </c>
      <c r="U274" s="146" t="str">
        <f>IF(分析!V274&lt;&gt;"",分析!V274,"")</f>
        <v/>
      </c>
      <c r="V274" s="156" t="str">
        <f>IF(分析!W274&lt;&gt;"",分析!W274,"")</f>
        <v/>
      </c>
      <c r="W274" s="157" t="str">
        <f>IF(分析!AD274&lt;&gt;"",分析!AD274,"")</f>
        <v/>
      </c>
      <c r="X274" s="158" t="str">
        <f>IF(分析!AE274&lt;&gt;"",分析!AE274,"")</f>
        <v/>
      </c>
      <c r="Y274" s="159" t="str">
        <f>IF(分析!T274&lt;&gt;"",分析!T274,"")</f>
        <v/>
      </c>
      <c r="Z274" s="160" t="str">
        <f>IF(分析!Y274&lt;&gt;"",分析!Y274,"")</f>
        <v/>
      </c>
    </row>
    <row r="275" spans="1:26" ht="21.95" customHeight="1">
      <c r="A275" s="161" t="str">
        <f>IF(分析!C275&lt;&gt;"",ROW()-2,"")</f>
        <v/>
      </c>
      <c r="B275" s="162" t="str">
        <f>IF(分析!C275&lt;&gt;"",HYPERLINK("https://kabutan.jp/stock/?code="&amp;分析!C275,"株探"),"")</f>
        <v/>
      </c>
      <c r="C275" s="163" t="str">
        <f>IF(分析!C275&lt;&gt;"",分析!C275,"")</f>
        <v/>
      </c>
      <c r="D275" s="164" t="str">
        <f>IF(分析!D275&lt;&gt;"",分析!D275,"")</f>
        <v/>
      </c>
      <c r="E275" s="165" t="str">
        <f>IF(分析!E275&lt;&gt;"",分析!E275,"")</f>
        <v/>
      </c>
      <c r="F275" s="166" t="str">
        <f>IF(分析!F275&lt;&gt;"",分析!F275,"")</f>
        <v/>
      </c>
      <c r="G275" s="166" t="str">
        <f>IF(分析!H275&lt;&gt;"",分析!H275,"")</f>
        <v/>
      </c>
      <c r="H275" s="166" t="str">
        <f>IF(分析!I275&lt;&gt;"",分析!I275,"")</f>
        <v/>
      </c>
      <c r="I275" s="166" t="str">
        <f>IF(分析!J275&lt;&gt;"",分析!J275,"")</f>
        <v/>
      </c>
      <c r="J275" s="166" t="str">
        <f>IF(分析!AB275&lt;&gt;"",分析!AB275,"")</f>
        <v/>
      </c>
      <c r="K275" s="166" t="str">
        <f>IF(分析!AC275&lt;&gt;"",分析!AC275,"")</f>
        <v/>
      </c>
      <c r="L275" s="166" t="str">
        <f>IF(分析!K275&lt;&gt;"",分析!K275,"")</f>
        <v/>
      </c>
      <c r="M275" s="161" t="str">
        <f>IF(分析!P275&lt;&gt;"",分析!P275,"")</f>
        <v/>
      </c>
      <c r="N275" s="167" t="str">
        <f>IF(分析!O275&lt;&gt;"",分析!O275,"")</f>
        <v/>
      </c>
      <c r="O275" s="168" t="str">
        <f>IF(分析!X275&lt;&gt;"",分析!X275,"")</f>
        <v/>
      </c>
      <c r="P275" s="169" t="str">
        <f>IF(分析!L275&lt;&gt;"",分析!L275,"")</f>
        <v/>
      </c>
      <c r="Q275" s="166" t="str">
        <f>IF(分析!S275&lt;&gt;"",分析!S275,"")</f>
        <v/>
      </c>
      <c r="R275" s="166" t="str">
        <f>IF(分析!R275&lt;&gt;"",分析!R275,"")</f>
        <v/>
      </c>
      <c r="S275" s="161" t="str">
        <f>IF(分析!AA275&lt;&gt;"",分析!AA275,"")</f>
        <v/>
      </c>
      <c r="T275" s="170" t="str">
        <f>IF(分析!Z275&lt;&gt;"",分析!Z275,"")</f>
        <v/>
      </c>
      <c r="U275" s="161" t="str">
        <f>IF(分析!V275&lt;&gt;"",分析!V275,"")</f>
        <v/>
      </c>
      <c r="V275" s="171" t="str">
        <f>IF(分析!W275&lt;&gt;"",分析!W275,"")</f>
        <v/>
      </c>
      <c r="W275" s="172" t="str">
        <f>IF(分析!AD275&lt;&gt;"",分析!AD275,"")</f>
        <v/>
      </c>
      <c r="X275" s="173" t="str">
        <f>IF(分析!AE275&lt;&gt;"",分析!AE275,"")</f>
        <v/>
      </c>
      <c r="Y275" s="174" t="str">
        <f>IF(分析!T275&lt;&gt;"",分析!T275,"")</f>
        <v/>
      </c>
      <c r="Z275" s="160" t="str">
        <f>IF(分析!Y275&lt;&gt;"",分析!Y275,"")</f>
        <v/>
      </c>
    </row>
    <row r="276" spans="1:26" ht="21.95" customHeight="1">
      <c r="A276" s="146" t="str">
        <f>IF(分析!C276&lt;&gt;"",ROW()-2,"")</f>
        <v/>
      </c>
      <c r="B276" s="147" t="str">
        <f>IF(分析!C276&lt;&gt;"",HYPERLINK("https://kabutan.jp/stock/?code="&amp;分析!C276,"株探"),"")</f>
        <v/>
      </c>
      <c r="C276" s="148" t="str">
        <f>IF(分析!C276&lt;&gt;"",分析!C276,"")</f>
        <v/>
      </c>
      <c r="D276" s="149" t="str">
        <f>IF(分析!D276&lt;&gt;"",分析!D276,"")</f>
        <v/>
      </c>
      <c r="E276" s="150" t="str">
        <f>IF(分析!E276&lt;&gt;"",分析!E276,"")</f>
        <v/>
      </c>
      <c r="F276" s="151" t="str">
        <f>IF(分析!F276&lt;&gt;"",分析!F276,"")</f>
        <v/>
      </c>
      <c r="G276" s="151" t="str">
        <f>IF(分析!H276&lt;&gt;"",分析!H276,"")</f>
        <v/>
      </c>
      <c r="H276" s="151" t="str">
        <f>IF(分析!I276&lt;&gt;"",分析!I276,"")</f>
        <v/>
      </c>
      <c r="I276" s="151" t="str">
        <f>IF(分析!J276&lt;&gt;"",分析!J276,"")</f>
        <v/>
      </c>
      <c r="J276" s="151" t="str">
        <f>IF(分析!AB276&lt;&gt;"",分析!AB276,"")</f>
        <v/>
      </c>
      <c r="K276" s="151" t="str">
        <f>IF(分析!AC276&lt;&gt;"",分析!AC276,"")</f>
        <v/>
      </c>
      <c r="L276" s="151" t="str">
        <f>IF(分析!K276&lt;&gt;"",分析!K276,"")</f>
        <v/>
      </c>
      <c r="M276" s="146" t="str">
        <f>IF(分析!P276&lt;&gt;"",分析!P276,"")</f>
        <v/>
      </c>
      <c r="N276" s="152" t="str">
        <f>IF(分析!O276&lt;&gt;"",分析!O276,"")</f>
        <v/>
      </c>
      <c r="O276" s="153" t="str">
        <f>IF(分析!X276&lt;&gt;"",分析!X276,"")</f>
        <v/>
      </c>
      <c r="P276" s="154" t="str">
        <f>IF(分析!L276&lt;&gt;"",分析!L276,"")</f>
        <v/>
      </c>
      <c r="Q276" s="151" t="str">
        <f>IF(分析!S276&lt;&gt;"",分析!S276,"")</f>
        <v/>
      </c>
      <c r="R276" s="151" t="str">
        <f>IF(分析!R276&lt;&gt;"",分析!R276,"")</f>
        <v/>
      </c>
      <c r="S276" s="146" t="str">
        <f>IF(分析!AA276&lt;&gt;"",分析!AA276,"")</f>
        <v/>
      </c>
      <c r="T276" s="155" t="str">
        <f>IF(分析!Z276&lt;&gt;"",分析!Z276,"")</f>
        <v/>
      </c>
      <c r="U276" s="146" t="str">
        <f>IF(分析!V276&lt;&gt;"",分析!V276,"")</f>
        <v/>
      </c>
      <c r="V276" s="156" t="str">
        <f>IF(分析!W276&lt;&gt;"",分析!W276,"")</f>
        <v/>
      </c>
      <c r="W276" s="157" t="str">
        <f>IF(分析!AD276&lt;&gt;"",分析!AD276,"")</f>
        <v/>
      </c>
      <c r="X276" s="158" t="str">
        <f>IF(分析!AE276&lt;&gt;"",分析!AE276,"")</f>
        <v/>
      </c>
      <c r="Y276" s="159" t="str">
        <f>IF(分析!T276&lt;&gt;"",分析!T276,"")</f>
        <v/>
      </c>
      <c r="Z276" s="160" t="str">
        <f>IF(分析!Y276&lt;&gt;"",分析!Y276,"")</f>
        <v/>
      </c>
    </row>
    <row r="277" spans="1:26" ht="21.95" customHeight="1">
      <c r="A277" s="161" t="str">
        <f>IF(分析!C277&lt;&gt;"",ROW()-2,"")</f>
        <v/>
      </c>
      <c r="B277" s="162" t="str">
        <f>IF(分析!C277&lt;&gt;"",HYPERLINK("https://kabutan.jp/stock/?code="&amp;分析!C277,"株探"),"")</f>
        <v/>
      </c>
      <c r="C277" s="163" t="str">
        <f>IF(分析!C277&lt;&gt;"",分析!C277,"")</f>
        <v/>
      </c>
      <c r="D277" s="164" t="str">
        <f>IF(分析!D277&lt;&gt;"",分析!D277,"")</f>
        <v/>
      </c>
      <c r="E277" s="165" t="str">
        <f>IF(分析!E277&lt;&gt;"",分析!E277,"")</f>
        <v/>
      </c>
      <c r="F277" s="166" t="str">
        <f>IF(分析!F277&lt;&gt;"",分析!F277,"")</f>
        <v/>
      </c>
      <c r="G277" s="166" t="str">
        <f>IF(分析!H277&lt;&gt;"",分析!H277,"")</f>
        <v/>
      </c>
      <c r="H277" s="166" t="str">
        <f>IF(分析!I277&lt;&gt;"",分析!I277,"")</f>
        <v/>
      </c>
      <c r="I277" s="166" t="str">
        <f>IF(分析!J277&lt;&gt;"",分析!J277,"")</f>
        <v/>
      </c>
      <c r="J277" s="166" t="str">
        <f>IF(分析!AB277&lt;&gt;"",分析!AB277,"")</f>
        <v/>
      </c>
      <c r="K277" s="166" t="str">
        <f>IF(分析!AC277&lt;&gt;"",分析!AC277,"")</f>
        <v/>
      </c>
      <c r="L277" s="166" t="str">
        <f>IF(分析!K277&lt;&gt;"",分析!K277,"")</f>
        <v/>
      </c>
      <c r="M277" s="161" t="str">
        <f>IF(分析!P277&lt;&gt;"",分析!P277,"")</f>
        <v/>
      </c>
      <c r="N277" s="167" t="str">
        <f>IF(分析!O277&lt;&gt;"",分析!O277,"")</f>
        <v/>
      </c>
      <c r="O277" s="168" t="str">
        <f>IF(分析!X277&lt;&gt;"",分析!X277,"")</f>
        <v/>
      </c>
      <c r="P277" s="169" t="str">
        <f>IF(分析!L277&lt;&gt;"",分析!L277,"")</f>
        <v/>
      </c>
      <c r="Q277" s="166" t="str">
        <f>IF(分析!S277&lt;&gt;"",分析!S277,"")</f>
        <v/>
      </c>
      <c r="R277" s="166" t="str">
        <f>IF(分析!R277&lt;&gt;"",分析!R277,"")</f>
        <v/>
      </c>
      <c r="S277" s="161" t="str">
        <f>IF(分析!AA277&lt;&gt;"",分析!AA277,"")</f>
        <v/>
      </c>
      <c r="T277" s="170" t="str">
        <f>IF(分析!Z277&lt;&gt;"",分析!Z277,"")</f>
        <v/>
      </c>
      <c r="U277" s="161" t="str">
        <f>IF(分析!V277&lt;&gt;"",分析!V277,"")</f>
        <v/>
      </c>
      <c r="V277" s="171" t="str">
        <f>IF(分析!W277&lt;&gt;"",分析!W277,"")</f>
        <v/>
      </c>
      <c r="W277" s="172" t="str">
        <f>IF(分析!AD277&lt;&gt;"",分析!AD277,"")</f>
        <v/>
      </c>
      <c r="X277" s="173" t="str">
        <f>IF(分析!AE277&lt;&gt;"",分析!AE277,"")</f>
        <v/>
      </c>
      <c r="Y277" s="174" t="str">
        <f>IF(分析!T277&lt;&gt;"",分析!T277,"")</f>
        <v/>
      </c>
      <c r="Z277" s="160" t="str">
        <f>IF(分析!Y277&lt;&gt;"",分析!Y277,"")</f>
        <v/>
      </c>
    </row>
    <row r="278" spans="1:26" ht="21.95" customHeight="1">
      <c r="A278" s="146" t="str">
        <f>IF(分析!C278&lt;&gt;"",ROW()-2,"")</f>
        <v/>
      </c>
      <c r="B278" s="147" t="str">
        <f>IF(分析!C278&lt;&gt;"",HYPERLINK("https://kabutan.jp/stock/?code="&amp;分析!C278,"株探"),"")</f>
        <v/>
      </c>
      <c r="C278" s="148" t="str">
        <f>IF(分析!C278&lt;&gt;"",分析!C278,"")</f>
        <v/>
      </c>
      <c r="D278" s="149" t="str">
        <f>IF(分析!D278&lt;&gt;"",分析!D278,"")</f>
        <v/>
      </c>
      <c r="E278" s="150" t="str">
        <f>IF(分析!E278&lt;&gt;"",分析!E278,"")</f>
        <v/>
      </c>
      <c r="F278" s="151" t="str">
        <f>IF(分析!F278&lt;&gt;"",分析!F278,"")</f>
        <v/>
      </c>
      <c r="G278" s="151" t="str">
        <f>IF(分析!H278&lt;&gt;"",分析!H278,"")</f>
        <v/>
      </c>
      <c r="H278" s="151" t="str">
        <f>IF(分析!I278&lt;&gt;"",分析!I278,"")</f>
        <v/>
      </c>
      <c r="I278" s="151" t="str">
        <f>IF(分析!J278&lt;&gt;"",分析!J278,"")</f>
        <v/>
      </c>
      <c r="J278" s="151" t="str">
        <f>IF(分析!AB278&lt;&gt;"",分析!AB278,"")</f>
        <v/>
      </c>
      <c r="K278" s="151" t="str">
        <f>IF(分析!AC278&lt;&gt;"",分析!AC278,"")</f>
        <v/>
      </c>
      <c r="L278" s="151" t="str">
        <f>IF(分析!K278&lt;&gt;"",分析!K278,"")</f>
        <v/>
      </c>
      <c r="M278" s="146" t="str">
        <f>IF(分析!P278&lt;&gt;"",分析!P278,"")</f>
        <v/>
      </c>
      <c r="N278" s="152" t="str">
        <f>IF(分析!O278&lt;&gt;"",分析!O278,"")</f>
        <v/>
      </c>
      <c r="O278" s="153" t="str">
        <f>IF(分析!X278&lt;&gt;"",分析!X278,"")</f>
        <v/>
      </c>
      <c r="P278" s="154" t="str">
        <f>IF(分析!L278&lt;&gt;"",分析!L278,"")</f>
        <v/>
      </c>
      <c r="Q278" s="151" t="str">
        <f>IF(分析!S278&lt;&gt;"",分析!S278,"")</f>
        <v/>
      </c>
      <c r="R278" s="151" t="str">
        <f>IF(分析!R278&lt;&gt;"",分析!R278,"")</f>
        <v/>
      </c>
      <c r="S278" s="146" t="str">
        <f>IF(分析!AA278&lt;&gt;"",分析!AA278,"")</f>
        <v/>
      </c>
      <c r="T278" s="155" t="str">
        <f>IF(分析!Z278&lt;&gt;"",分析!Z278,"")</f>
        <v/>
      </c>
      <c r="U278" s="146" t="str">
        <f>IF(分析!V278&lt;&gt;"",分析!V278,"")</f>
        <v/>
      </c>
      <c r="V278" s="156" t="str">
        <f>IF(分析!W278&lt;&gt;"",分析!W278,"")</f>
        <v/>
      </c>
      <c r="W278" s="157" t="str">
        <f>IF(分析!AD278&lt;&gt;"",分析!AD278,"")</f>
        <v/>
      </c>
      <c r="X278" s="158" t="str">
        <f>IF(分析!AE278&lt;&gt;"",分析!AE278,"")</f>
        <v/>
      </c>
      <c r="Y278" s="159" t="str">
        <f>IF(分析!T278&lt;&gt;"",分析!T278,"")</f>
        <v/>
      </c>
      <c r="Z278" s="160" t="str">
        <f>IF(分析!Y278&lt;&gt;"",分析!Y278,"")</f>
        <v/>
      </c>
    </row>
    <row r="279" spans="1:26" ht="21.95" customHeight="1">
      <c r="A279" s="161" t="str">
        <f>IF(分析!C279&lt;&gt;"",ROW()-2,"")</f>
        <v/>
      </c>
      <c r="B279" s="162" t="str">
        <f>IF(分析!C279&lt;&gt;"",HYPERLINK("https://kabutan.jp/stock/?code="&amp;分析!C279,"株探"),"")</f>
        <v/>
      </c>
      <c r="C279" s="163" t="str">
        <f>IF(分析!C279&lt;&gt;"",分析!C279,"")</f>
        <v/>
      </c>
      <c r="D279" s="164" t="str">
        <f>IF(分析!D279&lt;&gt;"",分析!D279,"")</f>
        <v/>
      </c>
      <c r="E279" s="165" t="str">
        <f>IF(分析!E279&lt;&gt;"",分析!E279,"")</f>
        <v/>
      </c>
      <c r="F279" s="166" t="str">
        <f>IF(分析!F279&lt;&gt;"",分析!F279,"")</f>
        <v/>
      </c>
      <c r="G279" s="166" t="str">
        <f>IF(分析!H279&lt;&gt;"",分析!H279,"")</f>
        <v/>
      </c>
      <c r="H279" s="166" t="str">
        <f>IF(分析!I279&lt;&gt;"",分析!I279,"")</f>
        <v/>
      </c>
      <c r="I279" s="166" t="str">
        <f>IF(分析!J279&lt;&gt;"",分析!J279,"")</f>
        <v/>
      </c>
      <c r="J279" s="166" t="str">
        <f>IF(分析!AB279&lt;&gt;"",分析!AB279,"")</f>
        <v/>
      </c>
      <c r="K279" s="166" t="str">
        <f>IF(分析!AC279&lt;&gt;"",分析!AC279,"")</f>
        <v/>
      </c>
      <c r="L279" s="166" t="str">
        <f>IF(分析!K279&lt;&gt;"",分析!K279,"")</f>
        <v/>
      </c>
      <c r="M279" s="161" t="str">
        <f>IF(分析!P279&lt;&gt;"",分析!P279,"")</f>
        <v/>
      </c>
      <c r="N279" s="167" t="str">
        <f>IF(分析!O279&lt;&gt;"",分析!O279,"")</f>
        <v/>
      </c>
      <c r="O279" s="168" t="str">
        <f>IF(分析!X279&lt;&gt;"",分析!X279,"")</f>
        <v/>
      </c>
      <c r="P279" s="169" t="str">
        <f>IF(分析!L279&lt;&gt;"",分析!L279,"")</f>
        <v/>
      </c>
      <c r="Q279" s="166" t="str">
        <f>IF(分析!S279&lt;&gt;"",分析!S279,"")</f>
        <v/>
      </c>
      <c r="R279" s="166" t="str">
        <f>IF(分析!R279&lt;&gt;"",分析!R279,"")</f>
        <v/>
      </c>
      <c r="S279" s="161" t="str">
        <f>IF(分析!AA279&lt;&gt;"",分析!AA279,"")</f>
        <v/>
      </c>
      <c r="T279" s="170" t="str">
        <f>IF(分析!Z279&lt;&gt;"",分析!Z279,"")</f>
        <v/>
      </c>
      <c r="U279" s="161" t="str">
        <f>IF(分析!V279&lt;&gt;"",分析!V279,"")</f>
        <v/>
      </c>
      <c r="V279" s="171" t="str">
        <f>IF(分析!W279&lt;&gt;"",分析!W279,"")</f>
        <v/>
      </c>
      <c r="W279" s="172" t="str">
        <f>IF(分析!AD279&lt;&gt;"",分析!AD279,"")</f>
        <v/>
      </c>
      <c r="X279" s="173" t="str">
        <f>IF(分析!AE279&lt;&gt;"",分析!AE279,"")</f>
        <v/>
      </c>
      <c r="Y279" s="174" t="str">
        <f>IF(分析!T279&lt;&gt;"",分析!T279,"")</f>
        <v/>
      </c>
      <c r="Z279" s="160" t="str">
        <f>IF(分析!Y279&lt;&gt;"",分析!Y279,"")</f>
        <v/>
      </c>
    </row>
    <row r="280" spans="1:26" ht="21.95" customHeight="1">
      <c r="A280" s="146" t="str">
        <f>IF(分析!C280&lt;&gt;"",ROW()-2,"")</f>
        <v/>
      </c>
      <c r="B280" s="147" t="str">
        <f>IF(分析!C280&lt;&gt;"",HYPERLINK("https://kabutan.jp/stock/?code="&amp;分析!C280,"株探"),"")</f>
        <v/>
      </c>
      <c r="C280" s="148" t="str">
        <f>IF(分析!C280&lt;&gt;"",分析!C280,"")</f>
        <v/>
      </c>
      <c r="D280" s="149" t="str">
        <f>IF(分析!D280&lt;&gt;"",分析!D280,"")</f>
        <v/>
      </c>
      <c r="E280" s="150" t="str">
        <f>IF(分析!E280&lt;&gt;"",分析!E280,"")</f>
        <v/>
      </c>
      <c r="F280" s="151" t="str">
        <f>IF(分析!F280&lt;&gt;"",分析!F280,"")</f>
        <v/>
      </c>
      <c r="G280" s="151" t="str">
        <f>IF(分析!H280&lt;&gt;"",分析!H280,"")</f>
        <v/>
      </c>
      <c r="H280" s="151" t="str">
        <f>IF(分析!I280&lt;&gt;"",分析!I280,"")</f>
        <v/>
      </c>
      <c r="I280" s="151" t="str">
        <f>IF(分析!J280&lt;&gt;"",分析!J280,"")</f>
        <v/>
      </c>
      <c r="J280" s="151" t="str">
        <f>IF(分析!AB280&lt;&gt;"",分析!AB280,"")</f>
        <v/>
      </c>
      <c r="K280" s="151" t="str">
        <f>IF(分析!AC280&lt;&gt;"",分析!AC280,"")</f>
        <v/>
      </c>
      <c r="L280" s="151" t="str">
        <f>IF(分析!K280&lt;&gt;"",分析!K280,"")</f>
        <v/>
      </c>
      <c r="M280" s="146" t="str">
        <f>IF(分析!P280&lt;&gt;"",分析!P280,"")</f>
        <v/>
      </c>
      <c r="N280" s="152" t="str">
        <f>IF(分析!O280&lt;&gt;"",分析!O280,"")</f>
        <v/>
      </c>
      <c r="O280" s="153" t="str">
        <f>IF(分析!X280&lt;&gt;"",分析!X280,"")</f>
        <v/>
      </c>
      <c r="P280" s="154" t="str">
        <f>IF(分析!L280&lt;&gt;"",分析!L280,"")</f>
        <v/>
      </c>
      <c r="Q280" s="151" t="str">
        <f>IF(分析!S280&lt;&gt;"",分析!S280,"")</f>
        <v/>
      </c>
      <c r="R280" s="151" t="str">
        <f>IF(分析!R280&lt;&gt;"",分析!R280,"")</f>
        <v/>
      </c>
      <c r="S280" s="146" t="str">
        <f>IF(分析!AA280&lt;&gt;"",分析!AA280,"")</f>
        <v/>
      </c>
      <c r="T280" s="155" t="str">
        <f>IF(分析!Z280&lt;&gt;"",分析!Z280,"")</f>
        <v/>
      </c>
      <c r="U280" s="146" t="str">
        <f>IF(分析!V280&lt;&gt;"",分析!V280,"")</f>
        <v/>
      </c>
      <c r="V280" s="156" t="str">
        <f>IF(分析!W280&lt;&gt;"",分析!W280,"")</f>
        <v/>
      </c>
      <c r="W280" s="157" t="str">
        <f>IF(分析!AD280&lt;&gt;"",分析!AD280,"")</f>
        <v/>
      </c>
      <c r="X280" s="158" t="str">
        <f>IF(分析!AE280&lt;&gt;"",分析!AE280,"")</f>
        <v/>
      </c>
      <c r="Y280" s="159" t="str">
        <f>IF(分析!T280&lt;&gt;"",分析!T280,"")</f>
        <v/>
      </c>
      <c r="Z280" s="160" t="str">
        <f>IF(分析!Y280&lt;&gt;"",分析!Y280,"")</f>
        <v/>
      </c>
    </row>
    <row r="281" spans="1:26" ht="21.95" customHeight="1">
      <c r="A281" s="161" t="str">
        <f>IF(分析!C281&lt;&gt;"",ROW()-2,"")</f>
        <v/>
      </c>
      <c r="B281" s="162" t="str">
        <f>IF(分析!C281&lt;&gt;"",HYPERLINK("https://kabutan.jp/stock/?code="&amp;分析!C281,"株探"),"")</f>
        <v/>
      </c>
      <c r="C281" s="163" t="str">
        <f>IF(分析!C281&lt;&gt;"",分析!C281,"")</f>
        <v/>
      </c>
      <c r="D281" s="164" t="str">
        <f>IF(分析!D281&lt;&gt;"",分析!D281,"")</f>
        <v/>
      </c>
      <c r="E281" s="165" t="str">
        <f>IF(分析!E281&lt;&gt;"",分析!E281,"")</f>
        <v/>
      </c>
      <c r="F281" s="166" t="str">
        <f>IF(分析!F281&lt;&gt;"",分析!F281,"")</f>
        <v/>
      </c>
      <c r="G281" s="166" t="str">
        <f>IF(分析!H281&lt;&gt;"",分析!H281,"")</f>
        <v/>
      </c>
      <c r="H281" s="166" t="str">
        <f>IF(分析!I281&lt;&gt;"",分析!I281,"")</f>
        <v/>
      </c>
      <c r="I281" s="166" t="str">
        <f>IF(分析!J281&lt;&gt;"",分析!J281,"")</f>
        <v/>
      </c>
      <c r="J281" s="166" t="str">
        <f>IF(分析!AB281&lt;&gt;"",分析!AB281,"")</f>
        <v/>
      </c>
      <c r="K281" s="166" t="str">
        <f>IF(分析!AC281&lt;&gt;"",分析!AC281,"")</f>
        <v/>
      </c>
      <c r="L281" s="166" t="str">
        <f>IF(分析!K281&lt;&gt;"",分析!K281,"")</f>
        <v/>
      </c>
      <c r="M281" s="161" t="str">
        <f>IF(分析!P281&lt;&gt;"",分析!P281,"")</f>
        <v/>
      </c>
      <c r="N281" s="167" t="str">
        <f>IF(分析!O281&lt;&gt;"",分析!O281,"")</f>
        <v/>
      </c>
      <c r="O281" s="168" t="str">
        <f>IF(分析!X281&lt;&gt;"",分析!X281,"")</f>
        <v/>
      </c>
      <c r="P281" s="169" t="str">
        <f>IF(分析!L281&lt;&gt;"",分析!L281,"")</f>
        <v/>
      </c>
      <c r="Q281" s="166" t="str">
        <f>IF(分析!S281&lt;&gt;"",分析!S281,"")</f>
        <v/>
      </c>
      <c r="R281" s="166" t="str">
        <f>IF(分析!R281&lt;&gt;"",分析!R281,"")</f>
        <v/>
      </c>
      <c r="S281" s="161" t="str">
        <f>IF(分析!AA281&lt;&gt;"",分析!AA281,"")</f>
        <v/>
      </c>
      <c r="T281" s="170" t="str">
        <f>IF(分析!Z281&lt;&gt;"",分析!Z281,"")</f>
        <v/>
      </c>
      <c r="U281" s="161" t="str">
        <f>IF(分析!V281&lt;&gt;"",分析!V281,"")</f>
        <v/>
      </c>
      <c r="V281" s="171" t="str">
        <f>IF(分析!W281&lt;&gt;"",分析!W281,"")</f>
        <v/>
      </c>
      <c r="W281" s="172" t="str">
        <f>IF(分析!AD281&lt;&gt;"",分析!AD281,"")</f>
        <v/>
      </c>
      <c r="X281" s="173" t="str">
        <f>IF(分析!AE281&lt;&gt;"",分析!AE281,"")</f>
        <v/>
      </c>
      <c r="Y281" s="174" t="str">
        <f>IF(分析!T281&lt;&gt;"",分析!T281,"")</f>
        <v/>
      </c>
      <c r="Z281" s="160" t="str">
        <f>IF(分析!Y281&lt;&gt;"",分析!Y281,"")</f>
        <v/>
      </c>
    </row>
    <row r="282" spans="1:26" ht="21.95" customHeight="1">
      <c r="A282" s="146" t="str">
        <f>IF(分析!C282&lt;&gt;"",ROW()-2,"")</f>
        <v/>
      </c>
      <c r="B282" s="147" t="str">
        <f>IF(分析!C282&lt;&gt;"",HYPERLINK("https://kabutan.jp/stock/?code="&amp;分析!C282,"株探"),"")</f>
        <v/>
      </c>
      <c r="C282" s="148" t="str">
        <f>IF(分析!C282&lt;&gt;"",分析!C282,"")</f>
        <v/>
      </c>
      <c r="D282" s="149" t="str">
        <f>IF(分析!D282&lt;&gt;"",分析!D282,"")</f>
        <v/>
      </c>
      <c r="E282" s="150" t="str">
        <f>IF(分析!E282&lt;&gt;"",分析!E282,"")</f>
        <v/>
      </c>
      <c r="F282" s="151" t="str">
        <f>IF(分析!F282&lt;&gt;"",分析!F282,"")</f>
        <v/>
      </c>
      <c r="G282" s="151" t="str">
        <f>IF(分析!H282&lt;&gt;"",分析!H282,"")</f>
        <v/>
      </c>
      <c r="H282" s="151" t="str">
        <f>IF(分析!I282&lt;&gt;"",分析!I282,"")</f>
        <v/>
      </c>
      <c r="I282" s="151" t="str">
        <f>IF(分析!J282&lt;&gt;"",分析!J282,"")</f>
        <v/>
      </c>
      <c r="J282" s="151" t="str">
        <f>IF(分析!AB282&lt;&gt;"",分析!AB282,"")</f>
        <v/>
      </c>
      <c r="K282" s="151" t="str">
        <f>IF(分析!AC282&lt;&gt;"",分析!AC282,"")</f>
        <v/>
      </c>
      <c r="L282" s="151" t="str">
        <f>IF(分析!K282&lt;&gt;"",分析!K282,"")</f>
        <v/>
      </c>
      <c r="M282" s="146" t="str">
        <f>IF(分析!P282&lt;&gt;"",分析!P282,"")</f>
        <v/>
      </c>
      <c r="N282" s="152" t="str">
        <f>IF(分析!O282&lt;&gt;"",分析!O282,"")</f>
        <v/>
      </c>
      <c r="O282" s="153" t="str">
        <f>IF(分析!X282&lt;&gt;"",分析!X282,"")</f>
        <v/>
      </c>
      <c r="P282" s="154" t="str">
        <f>IF(分析!L282&lt;&gt;"",分析!L282,"")</f>
        <v/>
      </c>
      <c r="Q282" s="151" t="str">
        <f>IF(分析!S282&lt;&gt;"",分析!S282,"")</f>
        <v/>
      </c>
      <c r="R282" s="151" t="str">
        <f>IF(分析!R282&lt;&gt;"",分析!R282,"")</f>
        <v/>
      </c>
      <c r="S282" s="146" t="str">
        <f>IF(分析!AA282&lt;&gt;"",分析!AA282,"")</f>
        <v/>
      </c>
      <c r="T282" s="155" t="str">
        <f>IF(分析!Z282&lt;&gt;"",分析!Z282,"")</f>
        <v/>
      </c>
      <c r="U282" s="146" t="str">
        <f>IF(分析!V282&lt;&gt;"",分析!V282,"")</f>
        <v/>
      </c>
      <c r="V282" s="156" t="str">
        <f>IF(分析!W282&lt;&gt;"",分析!W282,"")</f>
        <v/>
      </c>
      <c r="W282" s="157" t="str">
        <f>IF(分析!AD282&lt;&gt;"",分析!AD282,"")</f>
        <v/>
      </c>
      <c r="X282" s="158" t="str">
        <f>IF(分析!AE282&lt;&gt;"",分析!AE282,"")</f>
        <v/>
      </c>
      <c r="Y282" s="159" t="str">
        <f>IF(分析!T282&lt;&gt;"",分析!T282,"")</f>
        <v/>
      </c>
      <c r="Z282" s="160" t="str">
        <f>IF(分析!Y282&lt;&gt;"",分析!Y282,"")</f>
        <v/>
      </c>
    </row>
    <row r="283" spans="1:26" ht="21.95" customHeight="1">
      <c r="A283" s="161" t="str">
        <f>IF(分析!C283&lt;&gt;"",ROW()-2,"")</f>
        <v/>
      </c>
      <c r="B283" s="162" t="str">
        <f>IF(分析!C283&lt;&gt;"",HYPERLINK("https://kabutan.jp/stock/?code="&amp;分析!C283,"株探"),"")</f>
        <v/>
      </c>
      <c r="C283" s="163" t="str">
        <f>IF(分析!C283&lt;&gt;"",分析!C283,"")</f>
        <v/>
      </c>
      <c r="D283" s="164" t="str">
        <f>IF(分析!D283&lt;&gt;"",分析!D283,"")</f>
        <v/>
      </c>
      <c r="E283" s="165" t="str">
        <f>IF(分析!E283&lt;&gt;"",分析!E283,"")</f>
        <v/>
      </c>
      <c r="F283" s="166" t="str">
        <f>IF(分析!F283&lt;&gt;"",分析!F283,"")</f>
        <v/>
      </c>
      <c r="G283" s="166" t="str">
        <f>IF(分析!H283&lt;&gt;"",分析!H283,"")</f>
        <v/>
      </c>
      <c r="H283" s="166" t="str">
        <f>IF(分析!I283&lt;&gt;"",分析!I283,"")</f>
        <v/>
      </c>
      <c r="I283" s="166" t="str">
        <f>IF(分析!J283&lt;&gt;"",分析!J283,"")</f>
        <v/>
      </c>
      <c r="J283" s="166" t="str">
        <f>IF(分析!AB283&lt;&gt;"",分析!AB283,"")</f>
        <v/>
      </c>
      <c r="K283" s="166" t="str">
        <f>IF(分析!AC283&lt;&gt;"",分析!AC283,"")</f>
        <v/>
      </c>
      <c r="L283" s="166" t="str">
        <f>IF(分析!K283&lt;&gt;"",分析!K283,"")</f>
        <v/>
      </c>
      <c r="M283" s="161" t="str">
        <f>IF(分析!P283&lt;&gt;"",分析!P283,"")</f>
        <v/>
      </c>
      <c r="N283" s="167" t="str">
        <f>IF(分析!O283&lt;&gt;"",分析!O283,"")</f>
        <v/>
      </c>
      <c r="O283" s="168" t="str">
        <f>IF(分析!X283&lt;&gt;"",分析!X283,"")</f>
        <v/>
      </c>
      <c r="P283" s="169" t="str">
        <f>IF(分析!L283&lt;&gt;"",分析!L283,"")</f>
        <v/>
      </c>
      <c r="Q283" s="166" t="str">
        <f>IF(分析!S283&lt;&gt;"",分析!S283,"")</f>
        <v/>
      </c>
      <c r="R283" s="166" t="str">
        <f>IF(分析!R283&lt;&gt;"",分析!R283,"")</f>
        <v/>
      </c>
      <c r="S283" s="161" t="str">
        <f>IF(分析!AA283&lt;&gt;"",分析!AA283,"")</f>
        <v/>
      </c>
      <c r="T283" s="170" t="str">
        <f>IF(分析!Z283&lt;&gt;"",分析!Z283,"")</f>
        <v/>
      </c>
      <c r="U283" s="161" t="str">
        <f>IF(分析!V283&lt;&gt;"",分析!V283,"")</f>
        <v/>
      </c>
      <c r="V283" s="171" t="str">
        <f>IF(分析!W283&lt;&gt;"",分析!W283,"")</f>
        <v/>
      </c>
      <c r="W283" s="172" t="str">
        <f>IF(分析!AD283&lt;&gt;"",分析!AD283,"")</f>
        <v/>
      </c>
      <c r="X283" s="173" t="str">
        <f>IF(分析!AE283&lt;&gt;"",分析!AE283,"")</f>
        <v/>
      </c>
      <c r="Y283" s="174" t="str">
        <f>IF(分析!T283&lt;&gt;"",分析!T283,"")</f>
        <v/>
      </c>
      <c r="Z283" s="160" t="str">
        <f>IF(分析!Y283&lt;&gt;"",分析!Y283,"")</f>
        <v/>
      </c>
    </row>
    <row r="284" spans="1:26" ht="21.95" customHeight="1">
      <c r="A284" s="146" t="str">
        <f>IF(分析!C284&lt;&gt;"",ROW()-2,"")</f>
        <v/>
      </c>
      <c r="B284" s="147" t="str">
        <f>IF(分析!C284&lt;&gt;"",HYPERLINK("https://kabutan.jp/stock/?code="&amp;分析!C284,"株探"),"")</f>
        <v/>
      </c>
      <c r="C284" s="148" t="str">
        <f>IF(分析!C284&lt;&gt;"",分析!C284,"")</f>
        <v/>
      </c>
      <c r="D284" s="149" t="str">
        <f>IF(分析!D284&lt;&gt;"",分析!D284,"")</f>
        <v/>
      </c>
      <c r="E284" s="150" t="str">
        <f>IF(分析!E284&lt;&gt;"",分析!E284,"")</f>
        <v/>
      </c>
      <c r="F284" s="151" t="str">
        <f>IF(分析!F284&lt;&gt;"",分析!F284,"")</f>
        <v/>
      </c>
      <c r="G284" s="151" t="str">
        <f>IF(分析!H284&lt;&gt;"",分析!H284,"")</f>
        <v/>
      </c>
      <c r="H284" s="151" t="str">
        <f>IF(分析!I284&lt;&gt;"",分析!I284,"")</f>
        <v/>
      </c>
      <c r="I284" s="151" t="str">
        <f>IF(分析!J284&lt;&gt;"",分析!J284,"")</f>
        <v/>
      </c>
      <c r="J284" s="151" t="str">
        <f>IF(分析!AB284&lt;&gt;"",分析!AB284,"")</f>
        <v/>
      </c>
      <c r="K284" s="151" t="str">
        <f>IF(分析!AC284&lt;&gt;"",分析!AC284,"")</f>
        <v/>
      </c>
      <c r="L284" s="151" t="str">
        <f>IF(分析!K284&lt;&gt;"",分析!K284,"")</f>
        <v/>
      </c>
      <c r="M284" s="146" t="str">
        <f>IF(分析!P284&lt;&gt;"",分析!P284,"")</f>
        <v/>
      </c>
      <c r="N284" s="152" t="str">
        <f>IF(分析!O284&lt;&gt;"",分析!O284,"")</f>
        <v/>
      </c>
      <c r="O284" s="153" t="str">
        <f>IF(分析!X284&lt;&gt;"",分析!X284,"")</f>
        <v/>
      </c>
      <c r="P284" s="154" t="str">
        <f>IF(分析!L284&lt;&gt;"",分析!L284,"")</f>
        <v/>
      </c>
      <c r="Q284" s="151" t="str">
        <f>IF(分析!S284&lt;&gt;"",分析!S284,"")</f>
        <v/>
      </c>
      <c r="R284" s="151" t="str">
        <f>IF(分析!R284&lt;&gt;"",分析!R284,"")</f>
        <v/>
      </c>
      <c r="S284" s="146" t="str">
        <f>IF(分析!AA284&lt;&gt;"",分析!AA284,"")</f>
        <v/>
      </c>
      <c r="T284" s="155" t="str">
        <f>IF(分析!Z284&lt;&gt;"",分析!Z284,"")</f>
        <v/>
      </c>
      <c r="U284" s="146" t="str">
        <f>IF(分析!V284&lt;&gt;"",分析!V284,"")</f>
        <v/>
      </c>
      <c r="V284" s="156" t="str">
        <f>IF(分析!W284&lt;&gt;"",分析!W284,"")</f>
        <v/>
      </c>
      <c r="W284" s="157" t="str">
        <f>IF(分析!AD284&lt;&gt;"",分析!AD284,"")</f>
        <v/>
      </c>
      <c r="X284" s="158" t="str">
        <f>IF(分析!AE284&lt;&gt;"",分析!AE284,"")</f>
        <v/>
      </c>
      <c r="Y284" s="159" t="str">
        <f>IF(分析!T284&lt;&gt;"",分析!T284,"")</f>
        <v/>
      </c>
      <c r="Z284" s="160" t="str">
        <f>IF(分析!Y284&lt;&gt;"",分析!Y284,"")</f>
        <v/>
      </c>
    </row>
    <row r="285" spans="1:26" ht="21.95" customHeight="1">
      <c r="A285" s="161" t="str">
        <f>IF(分析!C285&lt;&gt;"",ROW()-2,"")</f>
        <v/>
      </c>
      <c r="B285" s="162" t="str">
        <f>IF(分析!C285&lt;&gt;"",HYPERLINK("https://kabutan.jp/stock/?code="&amp;分析!C285,"株探"),"")</f>
        <v/>
      </c>
      <c r="C285" s="163" t="str">
        <f>IF(分析!C285&lt;&gt;"",分析!C285,"")</f>
        <v/>
      </c>
      <c r="D285" s="164" t="str">
        <f>IF(分析!D285&lt;&gt;"",分析!D285,"")</f>
        <v/>
      </c>
      <c r="E285" s="165" t="str">
        <f>IF(分析!E285&lt;&gt;"",分析!E285,"")</f>
        <v/>
      </c>
      <c r="F285" s="166" t="str">
        <f>IF(分析!F285&lt;&gt;"",分析!F285,"")</f>
        <v/>
      </c>
      <c r="G285" s="166" t="str">
        <f>IF(分析!H285&lt;&gt;"",分析!H285,"")</f>
        <v/>
      </c>
      <c r="H285" s="166" t="str">
        <f>IF(分析!I285&lt;&gt;"",分析!I285,"")</f>
        <v/>
      </c>
      <c r="I285" s="166" t="str">
        <f>IF(分析!J285&lt;&gt;"",分析!J285,"")</f>
        <v/>
      </c>
      <c r="J285" s="166" t="str">
        <f>IF(分析!AB285&lt;&gt;"",分析!AB285,"")</f>
        <v/>
      </c>
      <c r="K285" s="166" t="str">
        <f>IF(分析!AC285&lt;&gt;"",分析!AC285,"")</f>
        <v/>
      </c>
      <c r="L285" s="166" t="str">
        <f>IF(分析!K285&lt;&gt;"",分析!K285,"")</f>
        <v/>
      </c>
      <c r="M285" s="161" t="str">
        <f>IF(分析!P285&lt;&gt;"",分析!P285,"")</f>
        <v/>
      </c>
      <c r="N285" s="167" t="str">
        <f>IF(分析!O285&lt;&gt;"",分析!O285,"")</f>
        <v/>
      </c>
      <c r="O285" s="168" t="str">
        <f>IF(分析!X285&lt;&gt;"",分析!X285,"")</f>
        <v/>
      </c>
      <c r="P285" s="169" t="str">
        <f>IF(分析!L285&lt;&gt;"",分析!L285,"")</f>
        <v/>
      </c>
      <c r="Q285" s="166" t="str">
        <f>IF(分析!S285&lt;&gt;"",分析!S285,"")</f>
        <v/>
      </c>
      <c r="R285" s="166" t="str">
        <f>IF(分析!R285&lt;&gt;"",分析!R285,"")</f>
        <v/>
      </c>
      <c r="S285" s="161" t="str">
        <f>IF(分析!AA285&lt;&gt;"",分析!AA285,"")</f>
        <v/>
      </c>
      <c r="T285" s="170" t="str">
        <f>IF(分析!Z285&lt;&gt;"",分析!Z285,"")</f>
        <v/>
      </c>
      <c r="U285" s="161" t="str">
        <f>IF(分析!V285&lt;&gt;"",分析!V285,"")</f>
        <v/>
      </c>
      <c r="V285" s="171" t="str">
        <f>IF(分析!W285&lt;&gt;"",分析!W285,"")</f>
        <v/>
      </c>
      <c r="W285" s="172" t="str">
        <f>IF(分析!AD285&lt;&gt;"",分析!AD285,"")</f>
        <v/>
      </c>
      <c r="X285" s="173" t="str">
        <f>IF(分析!AE285&lt;&gt;"",分析!AE285,"")</f>
        <v/>
      </c>
      <c r="Y285" s="174" t="str">
        <f>IF(分析!T285&lt;&gt;"",分析!T285,"")</f>
        <v/>
      </c>
      <c r="Z285" s="160" t="str">
        <f>IF(分析!Y285&lt;&gt;"",分析!Y285,"")</f>
        <v/>
      </c>
    </row>
    <row r="286" spans="1:26" ht="21.95" customHeight="1">
      <c r="A286" s="146" t="str">
        <f>IF(分析!C286&lt;&gt;"",ROW()-2,"")</f>
        <v/>
      </c>
      <c r="B286" s="147" t="str">
        <f>IF(分析!C286&lt;&gt;"",HYPERLINK("https://kabutan.jp/stock/?code="&amp;分析!C286,"株探"),"")</f>
        <v/>
      </c>
      <c r="C286" s="148" t="str">
        <f>IF(分析!C286&lt;&gt;"",分析!C286,"")</f>
        <v/>
      </c>
      <c r="D286" s="149" t="str">
        <f>IF(分析!D286&lt;&gt;"",分析!D286,"")</f>
        <v/>
      </c>
      <c r="E286" s="150" t="str">
        <f>IF(分析!E286&lt;&gt;"",分析!E286,"")</f>
        <v/>
      </c>
      <c r="F286" s="151" t="str">
        <f>IF(分析!F286&lt;&gt;"",分析!F286,"")</f>
        <v/>
      </c>
      <c r="G286" s="151" t="str">
        <f>IF(分析!H286&lt;&gt;"",分析!H286,"")</f>
        <v/>
      </c>
      <c r="H286" s="151" t="str">
        <f>IF(分析!I286&lt;&gt;"",分析!I286,"")</f>
        <v/>
      </c>
      <c r="I286" s="151" t="str">
        <f>IF(分析!J286&lt;&gt;"",分析!J286,"")</f>
        <v/>
      </c>
      <c r="J286" s="151" t="str">
        <f>IF(分析!AB286&lt;&gt;"",分析!AB286,"")</f>
        <v/>
      </c>
      <c r="K286" s="151" t="str">
        <f>IF(分析!AC286&lt;&gt;"",分析!AC286,"")</f>
        <v/>
      </c>
      <c r="L286" s="151" t="str">
        <f>IF(分析!K286&lt;&gt;"",分析!K286,"")</f>
        <v/>
      </c>
      <c r="M286" s="146" t="str">
        <f>IF(分析!P286&lt;&gt;"",分析!P286,"")</f>
        <v/>
      </c>
      <c r="N286" s="152" t="str">
        <f>IF(分析!O286&lt;&gt;"",分析!O286,"")</f>
        <v/>
      </c>
      <c r="O286" s="153" t="str">
        <f>IF(分析!X286&lt;&gt;"",分析!X286,"")</f>
        <v/>
      </c>
      <c r="P286" s="154" t="str">
        <f>IF(分析!L286&lt;&gt;"",分析!L286,"")</f>
        <v/>
      </c>
      <c r="Q286" s="151" t="str">
        <f>IF(分析!S286&lt;&gt;"",分析!S286,"")</f>
        <v/>
      </c>
      <c r="R286" s="151" t="str">
        <f>IF(分析!R286&lt;&gt;"",分析!R286,"")</f>
        <v/>
      </c>
      <c r="S286" s="146" t="str">
        <f>IF(分析!AA286&lt;&gt;"",分析!AA286,"")</f>
        <v/>
      </c>
      <c r="T286" s="155" t="str">
        <f>IF(分析!Z286&lt;&gt;"",分析!Z286,"")</f>
        <v/>
      </c>
      <c r="U286" s="146" t="str">
        <f>IF(分析!V286&lt;&gt;"",分析!V286,"")</f>
        <v/>
      </c>
      <c r="V286" s="156" t="str">
        <f>IF(分析!W286&lt;&gt;"",分析!W286,"")</f>
        <v/>
      </c>
      <c r="W286" s="157" t="str">
        <f>IF(分析!AD286&lt;&gt;"",分析!AD286,"")</f>
        <v/>
      </c>
      <c r="X286" s="158" t="str">
        <f>IF(分析!AE286&lt;&gt;"",分析!AE286,"")</f>
        <v/>
      </c>
      <c r="Y286" s="159" t="str">
        <f>IF(分析!T286&lt;&gt;"",分析!T286,"")</f>
        <v/>
      </c>
      <c r="Z286" s="160" t="str">
        <f>IF(分析!Y286&lt;&gt;"",分析!Y286,"")</f>
        <v/>
      </c>
    </row>
    <row r="287" spans="1:26" ht="21.95" customHeight="1">
      <c r="A287" s="161" t="str">
        <f>IF(分析!C287&lt;&gt;"",ROW()-2,"")</f>
        <v/>
      </c>
      <c r="B287" s="162" t="str">
        <f>IF(分析!C287&lt;&gt;"",HYPERLINK("https://kabutan.jp/stock/?code="&amp;分析!C287,"株探"),"")</f>
        <v/>
      </c>
      <c r="C287" s="163" t="str">
        <f>IF(分析!C287&lt;&gt;"",分析!C287,"")</f>
        <v/>
      </c>
      <c r="D287" s="164" t="str">
        <f>IF(分析!D287&lt;&gt;"",分析!D287,"")</f>
        <v/>
      </c>
      <c r="E287" s="165" t="str">
        <f>IF(分析!E287&lt;&gt;"",分析!E287,"")</f>
        <v/>
      </c>
      <c r="F287" s="166" t="str">
        <f>IF(分析!F287&lt;&gt;"",分析!F287,"")</f>
        <v/>
      </c>
      <c r="G287" s="166" t="str">
        <f>IF(分析!H287&lt;&gt;"",分析!H287,"")</f>
        <v/>
      </c>
      <c r="H287" s="166" t="str">
        <f>IF(分析!I287&lt;&gt;"",分析!I287,"")</f>
        <v/>
      </c>
      <c r="I287" s="166" t="str">
        <f>IF(分析!J287&lt;&gt;"",分析!J287,"")</f>
        <v/>
      </c>
      <c r="J287" s="166" t="str">
        <f>IF(分析!AB287&lt;&gt;"",分析!AB287,"")</f>
        <v/>
      </c>
      <c r="K287" s="166" t="str">
        <f>IF(分析!AC287&lt;&gt;"",分析!AC287,"")</f>
        <v/>
      </c>
      <c r="L287" s="166" t="str">
        <f>IF(分析!K287&lt;&gt;"",分析!K287,"")</f>
        <v/>
      </c>
      <c r="M287" s="161" t="str">
        <f>IF(分析!P287&lt;&gt;"",分析!P287,"")</f>
        <v/>
      </c>
      <c r="N287" s="167" t="str">
        <f>IF(分析!O287&lt;&gt;"",分析!O287,"")</f>
        <v/>
      </c>
      <c r="O287" s="168" t="str">
        <f>IF(分析!X287&lt;&gt;"",分析!X287,"")</f>
        <v/>
      </c>
      <c r="P287" s="169" t="str">
        <f>IF(分析!L287&lt;&gt;"",分析!L287,"")</f>
        <v/>
      </c>
      <c r="Q287" s="166" t="str">
        <f>IF(分析!S287&lt;&gt;"",分析!S287,"")</f>
        <v/>
      </c>
      <c r="R287" s="166" t="str">
        <f>IF(分析!R287&lt;&gt;"",分析!R287,"")</f>
        <v/>
      </c>
      <c r="S287" s="161" t="str">
        <f>IF(分析!AA287&lt;&gt;"",分析!AA287,"")</f>
        <v/>
      </c>
      <c r="T287" s="170" t="str">
        <f>IF(分析!Z287&lt;&gt;"",分析!Z287,"")</f>
        <v/>
      </c>
      <c r="U287" s="161" t="str">
        <f>IF(分析!V287&lt;&gt;"",分析!V287,"")</f>
        <v/>
      </c>
      <c r="V287" s="171" t="str">
        <f>IF(分析!W287&lt;&gt;"",分析!W287,"")</f>
        <v/>
      </c>
      <c r="W287" s="172" t="str">
        <f>IF(分析!AD287&lt;&gt;"",分析!AD287,"")</f>
        <v/>
      </c>
      <c r="X287" s="173" t="str">
        <f>IF(分析!AE287&lt;&gt;"",分析!AE287,"")</f>
        <v/>
      </c>
      <c r="Y287" s="174" t="str">
        <f>IF(分析!T287&lt;&gt;"",分析!T287,"")</f>
        <v/>
      </c>
      <c r="Z287" s="160" t="str">
        <f>IF(分析!Y287&lt;&gt;"",分析!Y287,"")</f>
        <v/>
      </c>
    </row>
    <row r="288" spans="1:26" ht="21.95" customHeight="1">
      <c r="A288" s="146" t="str">
        <f>IF(分析!C288&lt;&gt;"",ROW()-2,"")</f>
        <v/>
      </c>
      <c r="B288" s="147" t="str">
        <f>IF(分析!C288&lt;&gt;"",HYPERLINK("https://kabutan.jp/stock/?code="&amp;分析!C288,"株探"),"")</f>
        <v/>
      </c>
      <c r="C288" s="148" t="str">
        <f>IF(分析!C288&lt;&gt;"",分析!C288,"")</f>
        <v/>
      </c>
      <c r="D288" s="149" t="str">
        <f>IF(分析!D288&lt;&gt;"",分析!D288,"")</f>
        <v/>
      </c>
      <c r="E288" s="150" t="str">
        <f>IF(分析!E288&lt;&gt;"",分析!E288,"")</f>
        <v/>
      </c>
      <c r="F288" s="151" t="str">
        <f>IF(分析!F288&lt;&gt;"",分析!F288,"")</f>
        <v/>
      </c>
      <c r="G288" s="151" t="str">
        <f>IF(分析!H288&lt;&gt;"",分析!H288,"")</f>
        <v/>
      </c>
      <c r="H288" s="151" t="str">
        <f>IF(分析!I288&lt;&gt;"",分析!I288,"")</f>
        <v/>
      </c>
      <c r="I288" s="151" t="str">
        <f>IF(分析!J288&lt;&gt;"",分析!J288,"")</f>
        <v/>
      </c>
      <c r="J288" s="151" t="str">
        <f>IF(分析!AB288&lt;&gt;"",分析!AB288,"")</f>
        <v/>
      </c>
      <c r="K288" s="151" t="str">
        <f>IF(分析!AC288&lt;&gt;"",分析!AC288,"")</f>
        <v/>
      </c>
      <c r="L288" s="151" t="str">
        <f>IF(分析!K288&lt;&gt;"",分析!K288,"")</f>
        <v/>
      </c>
      <c r="M288" s="146" t="str">
        <f>IF(分析!P288&lt;&gt;"",分析!P288,"")</f>
        <v/>
      </c>
      <c r="N288" s="152" t="str">
        <f>IF(分析!O288&lt;&gt;"",分析!O288,"")</f>
        <v/>
      </c>
      <c r="O288" s="153" t="str">
        <f>IF(分析!X288&lt;&gt;"",分析!X288,"")</f>
        <v/>
      </c>
      <c r="P288" s="154" t="str">
        <f>IF(分析!L288&lt;&gt;"",分析!L288,"")</f>
        <v/>
      </c>
      <c r="Q288" s="151" t="str">
        <f>IF(分析!S288&lt;&gt;"",分析!S288,"")</f>
        <v/>
      </c>
      <c r="R288" s="151" t="str">
        <f>IF(分析!R288&lt;&gt;"",分析!R288,"")</f>
        <v/>
      </c>
      <c r="S288" s="146" t="str">
        <f>IF(分析!AA288&lt;&gt;"",分析!AA288,"")</f>
        <v/>
      </c>
      <c r="T288" s="155" t="str">
        <f>IF(分析!Z288&lt;&gt;"",分析!Z288,"")</f>
        <v/>
      </c>
      <c r="U288" s="146" t="str">
        <f>IF(分析!V288&lt;&gt;"",分析!V288,"")</f>
        <v/>
      </c>
      <c r="V288" s="156" t="str">
        <f>IF(分析!W288&lt;&gt;"",分析!W288,"")</f>
        <v/>
      </c>
      <c r="W288" s="157" t="str">
        <f>IF(分析!AD288&lt;&gt;"",分析!AD288,"")</f>
        <v/>
      </c>
      <c r="X288" s="158" t="str">
        <f>IF(分析!AE288&lt;&gt;"",分析!AE288,"")</f>
        <v/>
      </c>
      <c r="Y288" s="159" t="str">
        <f>IF(分析!T288&lt;&gt;"",分析!T288,"")</f>
        <v/>
      </c>
      <c r="Z288" s="160" t="str">
        <f>IF(分析!Y288&lt;&gt;"",分析!Y288,"")</f>
        <v/>
      </c>
    </row>
    <row r="289" spans="1:26" ht="21.95" customHeight="1">
      <c r="A289" s="161" t="str">
        <f>IF(分析!C289&lt;&gt;"",ROW()-2,"")</f>
        <v/>
      </c>
      <c r="B289" s="162" t="str">
        <f>IF(分析!C289&lt;&gt;"",HYPERLINK("https://kabutan.jp/stock/?code="&amp;分析!C289,"株探"),"")</f>
        <v/>
      </c>
      <c r="C289" s="163" t="str">
        <f>IF(分析!C289&lt;&gt;"",分析!C289,"")</f>
        <v/>
      </c>
      <c r="D289" s="164" t="str">
        <f>IF(分析!D289&lt;&gt;"",分析!D289,"")</f>
        <v/>
      </c>
      <c r="E289" s="165" t="str">
        <f>IF(分析!E289&lt;&gt;"",分析!E289,"")</f>
        <v/>
      </c>
      <c r="F289" s="166" t="str">
        <f>IF(分析!F289&lt;&gt;"",分析!F289,"")</f>
        <v/>
      </c>
      <c r="G289" s="166" t="str">
        <f>IF(分析!H289&lt;&gt;"",分析!H289,"")</f>
        <v/>
      </c>
      <c r="H289" s="166" t="str">
        <f>IF(分析!I289&lt;&gt;"",分析!I289,"")</f>
        <v/>
      </c>
      <c r="I289" s="166" t="str">
        <f>IF(分析!J289&lt;&gt;"",分析!J289,"")</f>
        <v/>
      </c>
      <c r="J289" s="166" t="str">
        <f>IF(分析!AB289&lt;&gt;"",分析!AB289,"")</f>
        <v/>
      </c>
      <c r="K289" s="166" t="str">
        <f>IF(分析!AC289&lt;&gt;"",分析!AC289,"")</f>
        <v/>
      </c>
      <c r="L289" s="166" t="str">
        <f>IF(分析!K289&lt;&gt;"",分析!K289,"")</f>
        <v/>
      </c>
      <c r="M289" s="161" t="str">
        <f>IF(分析!P289&lt;&gt;"",分析!P289,"")</f>
        <v/>
      </c>
      <c r="N289" s="167" t="str">
        <f>IF(分析!O289&lt;&gt;"",分析!O289,"")</f>
        <v/>
      </c>
      <c r="O289" s="168" t="str">
        <f>IF(分析!X289&lt;&gt;"",分析!X289,"")</f>
        <v/>
      </c>
      <c r="P289" s="169" t="str">
        <f>IF(分析!L289&lt;&gt;"",分析!L289,"")</f>
        <v/>
      </c>
      <c r="Q289" s="166" t="str">
        <f>IF(分析!S289&lt;&gt;"",分析!S289,"")</f>
        <v/>
      </c>
      <c r="R289" s="166" t="str">
        <f>IF(分析!R289&lt;&gt;"",分析!R289,"")</f>
        <v/>
      </c>
      <c r="S289" s="161" t="str">
        <f>IF(分析!AA289&lt;&gt;"",分析!AA289,"")</f>
        <v/>
      </c>
      <c r="T289" s="170" t="str">
        <f>IF(分析!Z289&lt;&gt;"",分析!Z289,"")</f>
        <v/>
      </c>
      <c r="U289" s="161" t="str">
        <f>IF(分析!V289&lt;&gt;"",分析!V289,"")</f>
        <v/>
      </c>
      <c r="V289" s="171" t="str">
        <f>IF(分析!W289&lt;&gt;"",分析!W289,"")</f>
        <v/>
      </c>
      <c r="W289" s="172" t="str">
        <f>IF(分析!AD289&lt;&gt;"",分析!AD289,"")</f>
        <v/>
      </c>
      <c r="X289" s="173" t="str">
        <f>IF(分析!AE289&lt;&gt;"",分析!AE289,"")</f>
        <v/>
      </c>
      <c r="Y289" s="174" t="str">
        <f>IF(分析!T289&lt;&gt;"",分析!T289,"")</f>
        <v/>
      </c>
      <c r="Z289" s="160" t="str">
        <f>IF(分析!Y289&lt;&gt;"",分析!Y289,"")</f>
        <v/>
      </c>
    </row>
    <row r="290" spans="1:26" ht="21.95" customHeight="1">
      <c r="A290" s="146" t="str">
        <f>IF(分析!C290&lt;&gt;"",ROW()-2,"")</f>
        <v/>
      </c>
      <c r="B290" s="147" t="str">
        <f>IF(分析!C290&lt;&gt;"",HYPERLINK("https://kabutan.jp/stock/?code="&amp;分析!C290,"株探"),"")</f>
        <v/>
      </c>
      <c r="C290" s="148" t="str">
        <f>IF(分析!C290&lt;&gt;"",分析!C290,"")</f>
        <v/>
      </c>
      <c r="D290" s="149" t="str">
        <f>IF(分析!D290&lt;&gt;"",分析!D290,"")</f>
        <v/>
      </c>
      <c r="E290" s="150" t="str">
        <f>IF(分析!E290&lt;&gt;"",分析!E290,"")</f>
        <v/>
      </c>
      <c r="F290" s="151" t="str">
        <f>IF(分析!F290&lt;&gt;"",分析!F290,"")</f>
        <v/>
      </c>
      <c r="G290" s="151" t="str">
        <f>IF(分析!H290&lt;&gt;"",分析!H290,"")</f>
        <v/>
      </c>
      <c r="H290" s="151" t="str">
        <f>IF(分析!I290&lt;&gt;"",分析!I290,"")</f>
        <v/>
      </c>
      <c r="I290" s="151" t="str">
        <f>IF(分析!J290&lt;&gt;"",分析!J290,"")</f>
        <v/>
      </c>
      <c r="J290" s="151" t="str">
        <f>IF(分析!AB290&lt;&gt;"",分析!AB290,"")</f>
        <v/>
      </c>
      <c r="K290" s="151" t="str">
        <f>IF(分析!AC290&lt;&gt;"",分析!AC290,"")</f>
        <v/>
      </c>
      <c r="L290" s="151" t="str">
        <f>IF(分析!K290&lt;&gt;"",分析!K290,"")</f>
        <v/>
      </c>
      <c r="M290" s="146" t="str">
        <f>IF(分析!P290&lt;&gt;"",分析!P290,"")</f>
        <v/>
      </c>
      <c r="N290" s="152" t="str">
        <f>IF(分析!O290&lt;&gt;"",分析!O290,"")</f>
        <v/>
      </c>
      <c r="O290" s="153" t="str">
        <f>IF(分析!X290&lt;&gt;"",分析!X290,"")</f>
        <v/>
      </c>
      <c r="P290" s="154" t="str">
        <f>IF(分析!L290&lt;&gt;"",分析!L290,"")</f>
        <v/>
      </c>
      <c r="Q290" s="151" t="str">
        <f>IF(分析!S290&lt;&gt;"",分析!S290,"")</f>
        <v/>
      </c>
      <c r="R290" s="151" t="str">
        <f>IF(分析!R290&lt;&gt;"",分析!R290,"")</f>
        <v/>
      </c>
      <c r="S290" s="146" t="str">
        <f>IF(分析!AA290&lt;&gt;"",分析!AA290,"")</f>
        <v/>
      </c>
      <c r="T290" s="155" t="str">
        <f>IF(分析!Z290&lt;&gt;"",分析!Z290,"")</f>
        <v/>
      </c>
      <c r="U290" s="146" t="str">
        <f>IF(分析!V290&lt;&gt;"",分析!V290,"")</f>
        <v/>
      </c>
      <c r="V290" s="156" t="str">
        <f>IF(分析!W290&lt;&gt;"",分析!W290,"")</f>
        <v/>
      </c>
      <c r="W290" s="157" t="str">
        <f>IF(分析!AD290&lt;&gt;"",分析!AD290,"")</f>
        <v/>
      </c>
      <c r="X290" s="158" t="str">
        <f>IF(分析!AE290&lt;&gt;"",分析!AE290,"")</f>
        <v/>
      </c>
      <c r="Y290" s="159" t="str">
        <f>IF(分析!T290&lt;&gt;"",分析!T290,"")</f>
        <v/>
      </c>
      <c r="Z290" s="160" t="str">
        <f>IF(分析!Y290&lt;&gt;"",分析!Y290,"")</f>
        <v/>
      </c>
    </row>
    <row r="291" spans="1:26" ht="21.95" customHeight="1">
      <c r="A291" s="161" t="str">
        <f>IF(分析!C291&lt;&gt;"",ROW()-2,"")</f>
        <v/>
      </c>
      <c r="B291" s="162" t="str">
        <f>IF(分析!C291&lt;&gt;"",HYPERLINK("https://kabutan.jp/stock/?code="&amp;分析!C291,"株探"),"")</f>
        <v/>
      </c>
      <c r="C291" s="163" t="str">
        <f>IF(分析!C291&lt;&gt;"",分析!C291,"")</f>
        <v/>
      </c>
      <c r="D291" s="164" t="str">
        <f>IF(分析!D291&lt;&gt;"",分析!D291,"")</f>
        <v/>
      </c>
      <c r="E291" s="165" t="str">
        <f>IF(分析!E291&lt;&gt;"",分析!E291,"")</f>
        <v/>
      </c>
      <c r="F291" s="166" t="str">
        <f>IF(分析!F291&lt;&gt;"",分析!F291,"")</f>
        <v/>
      </c>
      <c r="G291" s="166" t="str">
        <f>IF(分析!H291&lt;&gt;"",分析!H291,"")</f>
        <v/>
      </c>
      <c r="H291" s="166" t="str">
        <f>IF(分析!I291&lt;&gt;"",分析!I291,"")</f>
        <v/>
      </c>
      <c r="I291" s="166" t="str">
        <f>IF(分析!J291&lt;&gt;"",分析!J291,"")</f>
        <v/>
      </c>
      <c r="J291" s="166" t="str">
        <f>IF(分析!AB291&lt;&gt;"",分析!AB291,"")</f>
        <v/>
      </c>
      <c r="K291" s="166" t="str">
        <f>IF(分析!AC291&lt;&gt;"",分析!AC291,"")</f>
        <v/>
      </c>
      <c r="L291" s="166" t="str">
        <f>IF(分析!K291&lt;&gt;"",分析!K291,"")</f>
        <v/>
      </c>
      <c r="M291" s="161" t="str">
        <f>IF(分析!P291&lt;&gt;"",分析!P291,"")</f>
        <v/>
      </c>
      <c r="N291" s="167" t="str">
        <f>IF(分析!O291&lt;&gt;"",分析!O291,"")</f>
        <v/>
      </c>
      <c r="O291" s="168" t="str">
        <f>IF(分析!X291&lt;&gt;"",分析!X291,"")</f>
        <v/>
      </c>
      <c r="P291" s="169" t="str">
        <f>IF(分析!L291&lt;&gt;"",分析!L291,"")</f>
        <v/>
      </c>
      <c r="Q291" s="166" t="str">
        <f>IF(分析!S291&lt;&gt;"",分析!S291,"")</f>
        <v/>
      </c>
      <c r="R291" s="166" t="str">
        <f>IF(分析!R291&lt;&gt;"",分析!R291,"")</f>
        <v/>
      </c>
      <c r="S291" s="161" t="str">
        <f>IF(分析!AA291&lt;&gt;"",分析!AA291,"")</f>
        <v/>
      </c>
      <c r="T291" s="170" t="str">
        <f>IF(分析!Z291&lt;&gt;"",分析!Z291,"")</f>
        <v/>
      </c>
      <c r="U291" s="161" t="str">
        <f>IF(分析!V291&lt;&gt;"",分析!V291,"")</f>
        <v/>
      </c>
      <c r="V291" s="171" t="str">
        <f>IF(分析!W291&lt;&gt;"",分析!W291,"")</f>
        <v/>
      </c>
      <c r="W291" s="172" t="str">
        <f>IF(分析!AD291&lt;&gt;"",分析!AD291,"")</f>
        <v/>
      </c>
      <c r="X291" s="173" t="str">
        <f>IF(分析!AE291&lt;&gt;"",分析!AE291,"")</f>
        <v/>
      </c>
      <c r="Y291" s="174" t="str">
        <f>IF(分析!T291&lt;&gt;"",分析!T291,"")</f>
        <v/>
      </c>
      <c r="Z291" s="160" t="str">
        <f>IF(分析!Y291&lt;&gt;"",分析!Y291,"")</f>
        <v/>
      </c>
    </row>
    <row r="292" spans="1:26" ht="21.95" customHeight="1">
      <c r="A292" s="146" t="str">
        <f>IF(分析!C292&lt;&gt;"",ROW()-2,"")</f>
        <v/>
      </c>
      <c r="B292" s="147" t="str">
        <f>IF(分析!C292&lt;&gt;"",HYPERLINK("https://kabutan.jp/stock/?code="&amp;分析!C292,"株探"),"")</f>
        <v/>
      </c>
      <c r="C292" s="148" t="str">
        <f>IF(分析!C292&lt;&gt;"",分析!C292,"")</f>
        <v/>
      </c>
      <c r="D292" s="149" t="str">
        <f>IF(分析!D292&lt;&gt;"",分析!D292,"")</f>
        <v/>
      </c>
      <c r="E292" s="150" t="str">
        <f>IF(分析!E292&lt;&gt;"",分析!E292,"")</f>
        <v/>
      </c>
      <c r="F292" s="151" t="str">
        <f>IF(分析!F292&lt;&gt;"",分析!F292,"")</f>
        <v/>
      </c>
      <c r="G292" s="151" t="str">
        <f>IF(分析!H292&lt;&gt;"",分析!H292,"")</f>
        <v/>
      </c>
      <c r="H292" s="151" t="str">
        <f>IF(分析!I292&lt;&gt;"",分析!I292,"")</f>
        <v/>
      </c>
      <c r="I292" s="151" t="str">
        <f>IF(分析!J292&lt;&gt;"",分析!J292,"")</f>
        <v/>
      </c>
      <c r="J292" s="151" t="str">
        <f>IF(分析!AB292&lt;&gt;"",分析!AB292,"")</f>
        <v/>
      </c>
      <c r="K292" s="151" t="str">
        <f>IF(分析!AC292&lt;&gt;"",分析!AC292,"")</f>
        <v/>
      </c>
      <c r="L292" s="151" t="str">
        <f>IF(分析!K292&lt;&gt;"",分析!K292,"")</f>
        <v/>
      </c>
      <c r="M292" s="146" t="str">
        <f>IF(分析!P292&lt;&gt;"",分析!P292,"")</f>
        <v/>
      </c>
      <c r="N292" s="152" t="str">
        <f>IF(分析!O292&lt;&gt;"",分析!O292,"")</f>
        <v/>
      </c>
      <c r="O292" s="153" t="str">
        <f>IF(分析!X292&lt;&gt;"",分析!X292,"")</f>
        <v/>
      </c>
      <c r="P292" s="154" t="str">
        <f>IF(分析!L292&lt;&gt;"",分析!L292,"")</f>
        <v/>
      </c>
      <c r="Q292" s="151" t="str">
        <f>IF(分析!S292&lt;&gt;"",分析!S292,"")</f>
        <v/>
      </c>
      <c r="R292" s="151" t="str">
        <f>IF(分析!R292&lt;&gt;"",分析!R292,"")</f>
        <v/>
      </c>
      <c r="S292" s="146" t="str">
        <f>IF(分析!AA292&lt;&gt;"",分析!AA292,"")</f>
        <v/>
      </c>
      <c r="T292" s="155" t="str">
        <f>IF(分析!Z292&lt;&gt;"",分析!Z292,"")</f>
        <v/>
      </c>
      <c r="U292" s="146" t="str">
        <f>IF(分析!V292&lt;&gt;"",分析!V292,"")</f>
        <v/>
      </c>
      <c r="V292" s="156" t="str">
        <f>IF(分析!W292&lt;&gt;"",分析!W292,"")</f>
        <v/>
      </c>
      <c r="W292" s="157" t="str">
        <f>IF(分析!AD292&lt;&gt;"",分析!AD292,"")</f>
        <v/>
      </c>
      <c r="X292" s="158" t="str">
        <f>IF(分析!AE292&lt;&gt;"",分析!AE292,"")</f>
        <v/>
      </c>
      <c r="Y292" s="159" t="str">
        <f>IF(分析!T292&lt;&gt;"",分析!T292,"")</f>
        <v/>
      </c>
      <c r="Z292" s="160" t="str">
        <f>IF(分析!Y292&lt;&gt;"",分析!Y292,"")</f>
        <v/>
      </c>
    </row>
    <row r="293" spans="1:26" ht="21.95" customHeight="1">
      <c r="A293" s="161" t="str">
        <f>IF(分析!C293&lt;&gt;"",ROW()-2,"")</f>
        <v/>
      </c>
      <c r="B293" s="162" t="str">
        <f>IF(分析!C293&lt;&gt;"",HYPERLINK("https://kabutan.jp/stock/?code="&amp;分析!C293,"株探"),"")</f>
        <v/>
      </c>
      <c r="C293" s="163" t="str">
        <f>IF(分析!C293&lt;&gt;"",分析!C293,"")</f>
        <v/>
      </c>
      <c r="D293" s="164" t="str">
        <f>IF(分析!D293&lt;&gt;"",分析!D293,"")</f>
        <v/>
      </c>
      <c r="E293" s="165" t="str">
        <f>IF(分析!E293&lt;&gt;"",分析!E293,"")</f>
        <v/>
      </c>
      <c r="F293" s="166" t="str">
        <f>IF(分析!F293&lt;&gt;"",分析!F293,"")</f>
        <v/>
      </c>
      <c r="G293" s="166" t="str">
        <f>IF(分析!H293&lt;&gt;"",分析!H293,"")</f>
        <v/>
      </c>
      <c r="H293" s="166" t="str">
        <f>IF(分析!I293&lt;&gt;"",分析!I293,"")</f>
        <v/>
      </c>
      <c r="I293" s="166" t="str">
        <f>IF(分析!J293&lt;&gt;"",分析!J293,"")</f>
        <v/>
      </c>
      <c r="J293" s="166" t="str">
        <f>IF(分析!AB293&lt;&gt;"",分析!AB293,"")</f>
        <v/>
      </c>
      <c r="K293" s="166" t="str">
        <f>IF(分析!AC293&lt;&gt;"",分析!AC293,"")</f>
        <v/>
      </c>
      <c r="L293" s="166" t="str">
        <f>IF(分析!K293&lt;&gt;"",分析!K293,"")</f>
        <v/>
      </c>
      <c r="M293" s="161" t="str">
        <f>IF(分析!P293&lt;&gt;"",分析!P293,"")</f>
        <v/>
      </c>
      <c r="N293" s="167" t="str">
        <f>IF(分析!O293&lt;&gt;"",分析!O293,"")</f>
        <v/>
      </c>
      <c r="O293" s="168" t="str">
        <f>IF(分析!X293&lt;&gt;"",分析!X293,"")</f>
        <v/>
      </c>
      <c r="P293" s="169" t="str">
        <f>IF(分析!L293&lt;&gt;"",分析!L293,"")</f>
        <v/>
      </c>
      <c r="Q293" s="166" t="str">
        <f>IF(分析!S293&lt;&gt;"",分析!S293,"")</f>
        <v/>
      </c>
      <c r="R293" s="166" t="str">
        <f>IF(分析!R293&lt;&gt;"",分析!R293,"")</f>
        <v/>
      </c>
      <c r="S293" s="161" t="str">
        <f>IF(分析!AA293&lt;&gt;"",分析!AA293,"")</f>
        <v/>
      </c>
      <c r="T293" s="170" t="str">
        <f>IF(分析!Z293&lt;&gt;"",分析!Z293,"")</f>
        <v/>
      </c>
      <c r="U293" s="161" t="str">
        <f>IF(分析!V293&lt;&gt;"",分析!V293,"")</f>
        <v/>
      </c>
      <c r="V293" s="171" t="str">
        <f>IF(分析!W293&lt;&gt;"",分析!W293,"")</f>
        <v/>
      </c>
      <c r="W293" s="172" t="str">
        <f>IF(分析!AD293&lt;&gt;"",分析!AD293,"")</f>
        <v/>
      </c>
      <c r="X293" s="173" t="str">
        <f>IF(分析!AE293&lt;&gt;"",分析!AE293,"")</f>
        <v/>
      </c>
      <c r="Y293" s="174" t="str">
        <f>IF(分析!T293&lt;&gt;"",分析!T293,"")</f>
        <v/>
      </c>
      <c r="Z293" s="160" t="str">
        <f>IF(分析!Y293&lt;&gt;"",分析!Y293,"")</f>
        <v/>
      </c>
    </row>
    <row r="294" spans="1:26" ht="21.95" customHeight="1">
      <c r="A294" s="146" t="str">
        <f>IF(分析!C294&lt;&gt;"",ROW()-2,"")</f>
        <v/>
      </c>
      <c r="B294" s="147" t="str">
        <f>IF(分析!C294&lt;&gt;"",HYPERLINK("https://kabutan.jp/stock/?code="&amp;分析!C294,"株探"),"")</f>
        <v/>
      </c>
      <c r="C294" s="148" t="str">
        <f>IF(分析!C294&lt;&gt;"",分析!C294,"")</f>
        <v/>
      </c>
      <c r="D294" s="149" t="str">
        <f>IF(分析!D294&lt;&gt;"",分析!D294,"")</f>
        <v/>
      </c>
      <c r="E294" s="150" t="str">
        <f>IF(分析!E294&lt;&gt;"",分析!E294,"")</f>
        <v/>
      </c>
      <c r="F294" s="151" t="str">
        <f>IF(分析!F294&lt;&gt;"",分析!F294,"")</f>
        <v/>
      </c>
      <c r="G294" s="151" t="str">
        <f>IF(分析!H294&lt;&gt;"",分析!H294,"")</f>
        <v/>
      </c>
      <c r="H294" s="151" t="str">
        <f>IF(分析!I294&lt;&gt;"",分析!I294,"")</f>
        <v/>
      </c>
      <c r="I294" s="151" t="str">
        <f>IF(分析!J294&lt;&gt;"",分析!J294,"")</f>
        <v/>
      </c>
      <c r="J294" s="151" t="str">
        <f>IF(分析!AB294&lt;&gt;"",分析!AB294,"")</f>
        <v/>
      </c>
      <c r="K294" s="151" t="str">
        <f>IF(分析!AC294&lt;&gt;"",分析!AC294,"")</f>
        <v/>
      </c>
      <c r="L294" s="151" t="str">
        <f>IF(分析!K294&lt;&gt;"",分析!K294,"")</f>
        <v/>
      </c>
      <c r="M294" s="146" t="str">
        <f>IF(分析!P294&lt;&gt;"",分析!P294,"")</f>
        <v/>
      </c>
      <c r="N294" s="152" t="str">
        <f>IF(分析!O294&lt;&gt;"",分析!O294,"")</f>
        <v/>
      </c>
      <c r="O294" s="153" t="str">
        <f>IF(分析!X294&lt;&gt;"",分析!X294,"")</f>
        <v/>
      </c>
      <c r="P294" s="154" t="str">
        <f>IF(分析!L294&lt;&gt;"",分析!L294,"")</f>
        <v/>
      </c>
      <c r="Q294" s="151" t="str">
        <f>IF(分析!S294&lt;&gt;"",分析!S294,"")</f>
        <v/>
      </c>
      <c r="R294" s="151" t="str">
        <f>IF(分析!R294&lt;&gt;"",分析!R294,"")</f>
        <v/>
      </c>
      <c r="S294" s="146" t="str">
        <f>IF(分析!AA294&lt;&gt;"",分析!AA294,"")</f>
        <v/>
      </c>
      <c r="T294" s="155" t="str">
        <f>IF(分析!Z294&lt;&gt;"",分析!Z294,"")</f>
        <v/>
      </c>
      <c r="U294" s="146" t="str">
        <f>IF(分析!V294&lt;&gt;"",分析!V294,"")</f>
        <v/>
      </c>
      <c r="V294" s="156" t="str">
        <f>IF(分析!W294&lt;&gt;"",分析!W294,"")</f>
        <v/>
      </c>
      <c r="W294" s="157" t="str">
        <f>IF(分析!AD294&lt;&gt;"",分析!AD294,"")</f>
        <v/>
      </c>
      <c r="X294" s="158" t="str">
        <f>IF(分析!AE294&lt;&gt;"",分析!AE294,"")</f>
        <v/>
      </c>
      <c r="Y294" s="159" t="str">
        <f>IF(分析!T294&lt;&gt;"",分析!T294,"")</f>
        <v/>
      </c>
      <c r="Z294" s="160" t="str">
        <f>IF(分析!Y294&lt;&gt;"",分析!Y294,"")</f>
        <v/>
      </c>
    </row>
    <row r="295" spans="1:26" ht="21.95" customHeight="1">
      <c r="A295" s="161" t="str">
        <f>IF(分析!C295&lt;&gt;"",ROW()-2,"")</f>
        <v/>
      </c>
      <c r="B295" s="162" t="str">
        <f>IF(分析!C295&lt;&gt;"",HYPERLINK("https://kabutan.jp/stock/?code="&amp;分析!C295,"株探"),"")</f>
        <v/>
      </c>
      <c r="C295" s="163" t="str">
        <f>IF(分析!C295&lt;&gt;"",分析!C295,"")</f>
        <v/>
      </c>
      <c r="D295" s="164" t="str">
        <f>IF(分析!D295&lt;&gt;"",分析!D295,"")</f>
        <v/>
      </c>
      <c r="E295" s="165" t="str">
        <f>IF(分析!E295&lt;&gt;"",分析!E295,"")</f>
        <v/>
      </c>
      <c r="F295" s="166" t="str">
        <f>IF(分析!F295&lt;&gt;"",分析!F295,"")</f>
        <v/>
      </c>
      <c r="G295" s="166" t="str">
        <f>IF(分析!H295&lt;&gt;"",分析!H295,"")</f>
        <v/>
      </c>
      <c r="H295" s="166" t="str">
        <f>IF(分析!I295&lt;&gt;"",分析!I295,"")</f>
        <v/>
      </c>
      <c r="I295" s="166" t="str">
        <f>IF(分析!J295&lt;&gt;"",分析!J295,"")</f>
        <v/>
      </c>
      <c r="J295" s="166" t="str">
        <f>IF(分析!AB295&lt;&gt;"",分析!AB295,"")</f>
        <v/>
      </c>
      <c r="K295" s="166" t="str">
        <f>IF(分析!AC295&lt;&gt;"",分析!AC295,"")</f>
        <v/>
      </c>
      <c r="L295" s="166" t="str">
        <f>IF(分析!K295&lt;&gt;"",分析!K295,"")</f>
        <v/>
      </c>
      <c r="M295" s="161" t="str">
        <f>IF(分析!P295&lt;&gt;"",分析!P295,"")</f>
        <v/>
      </c>
      <c r="N295" s="167" t="str">
        <f>IF(分析!O295&lt;&gt;"",分析!O295,"")</f>
        <v/>
      </c>
      <c r="O295" s="168" t="str">
        <f>IF(分析!X295&lt;&gt;"",分析!X295,"")</f>
        <v/>
      </c>
      <c r="P295" s="169" t="str">
        <f>IF(分析!L295&lt;&gt;"",分析!L295,"")</f>
        <v/>
      </c>
      <c r="Q295" s="166" t="str">
        <f>IF(分析!S295&lt;&gt;"",分析!S295,"")</f>
        <v/>
      </c>
      <c r="R295" s="166" t="str">
        <f>IF(分析!R295&lt;&gt;"",分析!R295,"")</f>
        <v/>
      </c>
      <c r="S295" s="161" t="str">
        <f>IF(分析!AA295&lt;&gt;"",分析!AA295,"")</f>
        <v/>
      </c>
      <c r="T295" s="170" t="str">
        <f>IF(分析!Z295&lt;&gt;"",分析!Z295,"")</f>
        <v/>
      </c>
      <c r="U295" s="161" t="str">
        <f>IF(分析!V295&lt;&gt;"",分析!V295,"")</f>
        <v/>
      </c>
      <c r="V295" s="171" t="str">
        <f>IF(分析!W295&lt;&gt;"",分析!W295,"")</f>
        <v/>
      </c>
      <c r="W295" s="172" t="str">
        <f>IF(分析!AD295&lt;&gt;"",分析!AD295,"")</f>
        <v/>
      </c>
      <c r="X295" s="173" t="str">
        <f>IF(分析!AE295&lt;&gt;"",分析!AE295,"")</f>
        <v/>
      </c>
      <c r="Y295" s="174" t="str">
        <f>IF(分析!T295&lt;&gt;"",分析!T295,"")</f>
        <v/>
      </c>
      <c r="Z295" s="160" t="str">
        <f>IF(分析!Y295&lt;&gt;"",分析!Y295,"")</f>
        <v/>
      </c>
    </row>
    <row r="296" spans="1:26" ht="21.95" customHeight="1">
      <c r="A296" s="146" t="str">
        <f>IF(分析!C296&lt;&gt;"",ROW()-2,"")</f>
        <v/>
      </c>
      <c r="B296" s="147" t="str">
        <f>IF(分析!C296&lt;&gt;"",HYPERLINK("https://kabutan.jp/stock/?code="&amp;分析!C296,"株探"),"")</f>
        <v/>
      </c>
      <c r="C296" s="148" t="str">
        <f>IF(分析!C296&lt;&gt;"",分析!C296,"")</f>
        <v/>
      </c>
      <c r="D296" s="149" t="str">
        <f>IF(分析!D296&lt;&gt;"",分析!D296,"")</f>
        <v/>
      </c>
      <c r="E296" s="150" t="str">
        <f>IF(分析!E296&lt;&gt;"",分析!E296,"")</f>
        <v/>
      </c>
      <c r="F296" s="151" t="str">
        <f>IF(分析!F296&lt;&gt;"",分析!F296,"")</f>
        <v/>
      </c>
      <c r="G296" s="151" t="str">
        <f>IF(分析!H296&lt;&gt;"",分析!H296,"")</f>
        <v/>
      </c>
      <c r="H296" s="151" t="str">
        <f>IF(分析!I296&lt;&gt;"",分析!I296,"")</f>
        <v/>
      </c>
      <c r="I296" s="151" t="str">
        <f>IF(分析!J296&lt;&gt;"",分析!J296,"")</f>
        <v/>
      </c>
      <c r="J296" s="151" t="str">
        <f>IF(分析!AB296&lt;&gt;"",分析!AB296,"")</f>
        <v/>
      </c>
      <c r="K296" s="151" t="str">
        <f>IF(分析!AC296&lt;&gt;"",分析!AC296,"")</f>
        <v/>
      </c>
      <c r="L296" s="151" t="str">
        <f>IF(分析!K296&lt;&gt;"",分析!K296,"")</f>
        <v/>
      </c>
      <c r="M296" s="146" t="str">
        <f>IF(分析!P296&lt;&gt;"",分析!P296,"")</f>
        <v/>
      </c>
      <c r="N296" s="152" t="str">
        <f>IF(分析!O296&lt;&gt;"",分析!O296,"")</f>
        <v/>
      </c>
      <c r="O296" s="153" t="str">
        <f>IF(分析!X296&lt;&gt;"",分析!X296,"")</f>
        <v/>
      </c>
      <c r="P296" s="154" t="str">
        <f>IF(分析!L296&lt;&gt;"",分析!L296,"")</f>
        <v/>
      </c>
      <c r="Q296" s="151" t="str">
        <f>IF(分析!S296&lt;&gt;"",分析!S296,"")</f>
        <v/>
      </c>
      <c r="R296" s="151" t="str">
        <f>IF(分析!R296&lt;&gt;"",分析!R296,"")</f>
        <v/>
      </c>
      <c r="S296" s="146" t="str">
        <f>IF(分析!AA296&lt;&gt;"",分析!AA296,"")</f>
        <v/>
      </c>
      <c r="T296" s="155" t="str">
        <f>IF(分析!Z296&lt;&gt;"",分析!Z296,"")</f>
        <v/>
      </c>
      <c r="U296" s="146" t="str">
        <f>IF(分析!V296&lt;&gt;"",分析!V296,"")</f>
        <v/>
      </c>
      <c r="V296" s="156" t="str">
        <f>IF(分析!W296&lt;&gt;"",分析!W296,"")</f>
        <v/>
      </c>
      <c r="W296" s="157" t="str">
        <f>IF(分析!AD296&lt;&gt;"",分析!AD296,"")</f>
        <v/>
      </c>
      <c r="X296" s="158" t="str">
        <f>IF(分析!AE296&lt;&gt;"",分析!AE296,"")</f>
        <v/>
      </c>
      <c r="Y296" s="159" t="str">
        <f>IF(分析!T296&lt;&gt;"",分析!T296,"")</f>
        <v/>
      </c>
      <c r="Z296" s="160" t="str">
        <f>IF(分析!Y296&lt;&gt;"",分析!Y296,"")</f>
        <v/>
      </c>
    </row>
    <row r="297" spans="1:26" ht="21.95" customHeight="1">
      <c r="A297" s="161" t="str">
        <f>IF(分析!C297&lt;&gt;"",ROW()-2,"")</f>
        <v/>
      </c>
      <c r="B297" s="162" t="str">
        <f>IF(分析!C297&lt;&gt;"",HYPERLINK("https://kabutan.jp/stock/?code="&amp;分析!C297,"株探"),"")</f>
        <v/>
      </c>
      <c r="C297" s="163" t="str">
        <f>IF(分析!C297&lt;&gt;"",分析!C297,"")</f>
        <v/>
      </c>
      <c r="D297" s="164" t="str">
        <f>IF(分析!D297&lt;&gt;"",分析!D297,"")</f>
        <v/>
      </c>
      <c r="E297" s="165" t="str">
        <f>IF(分析!E297&lt;&gt;"",分析!E297,"")</f>
        <v/>
      </c>
      <c r="F297" s="166" t="str">
        <f>IF(分析!F297&lt;&gt;"",分析!F297,"")</f>
        <v/>
      </c>
      <c r="G297" s="166" t="str">
        <f>IF(分析!H297&lt;&gt;"",分析!H297,"")</f>
        <v/>
      </c>
      <c r="H297" s="166" t="str">
        <f>IF(分析!I297&lt;&gt;"",分析!I297,"")</f>
        <v/>
      </c>
      <c r="I297" s="166" t="str">
        <f>IF(分析!J297&lt;&gt;"",分析!J297,"")</f>
        <v/>
      </c>
      <c r="J297" s="166" t="str">
        <f>IF(分析!AB297&lt;&gt;"",分析!AB297,"")</f>
        <v/>
      </c>
      <c r="K297" s="166" t="str">
        <f>IF(分析!AC297&lt;&gt;"",分析!AC297,"")</f>
        <v/>
      </c>
      <c r="L297" s="166" t="str">
        <f>IF(分析!K297&lt;&gt;"",分析!K297,"")</f>
        <v/>
      </c>
      <c r="M297" s="161" t="str">
        <f>IF(分析!P297&lt;&gt;"",分析!P297,"")</f>
        <v/>
      </c>
      <c r="N297" s="167" t="str">
        <f>IF(分析!O297&lt;&gt;"",分析!O297,"")</f>
        <v/>
      </c>
      <c r="O297" s="168" t="str">
        <f>IF(分析!X297&lt;&gt;"",分析!X297,"")</f>
        <v/>
      </c>
      <c r="P297" s="169" t="str">
        <f>IF(分析!L297&lt;&gt;"",分析!L297,"")</f>
        <v/>
      </c>
      <c r="Q297" s="166" t="str">
        <f>IF(分析!S297&lt;&gt;"",分析!S297,"")</f>
        <v/>
      </c>
      <c r="R297" s="166" t="str">
        <f>IF(分析!R297&lt;&gt;"",分析!R297,"")</f>
        <v/>
      </c>
      <c r="S297" s="161" t="str">
        <f>IF(分析!AA297&lt;&gt;"",分析!AA297,"")</f>
        <v/>
      </c>
      <c r="T297" s="170" t="str">
        <f>IF(分析!Z297&lt;&gt;"",分析!Z297,"")</f>
        <v/>
      </c>
      <c r="U297" s="161" t="str">
        <f>IF(分析!V297&lt;&gt;"",分析!V297,"")</f>
        <v/>
      </c>
      <c r="V297" s="171" t="str">
        <f>IF(分析!W297&lt;&gt;"",分析!W297,"")</f>
        <v/>
      </c>
      <c r="W297" s="172" t="str">
        <f>IF(分析!AD297&lt;&gt;"",分析!AD297,"")</f>
        <v/>
      </c>
      <c r="X297" s="173" t="str">
        <f>IF(分析!AE297&lt;&gt;"",分析!AE297,"")</f>
        <v/>
      </c>
      <c r="Y297" s="174" t="str">
        <f>IF(分析!T297&lt;&gt;"",分析!T297,"")</f>
        <v/>
      </c>
      <c r="Z297" s="160" t="str">
        <f>IF(分析!Y297&lt;&gt;"",分析!Y297,"")</f>
        <v/>
      </c>
    </row>
    <row r="298" spans="1:26" ht="21.95" customHeight="1">
      <c r="A298" s="146" t="str">
        <f>IF(分析!C298&lt;&gt;"",ROW()-2,"")</f>
        <v/>
      </c>
      <c r="B298" s="147" t="str">
        <f>IF(分析!C298&lt;&gt;"",HYPERLINK("https://kabutan.jp/stock/?code="&amp;分析!C298,"株探"),"")</f>
        <v/>
      </c>
      <c r="C298" s="148" t="str">
        <f>IF(分析!C298&lt;&gt;"",分析!C298,"")</f>
        <v/>
      </c>
      <c r="D298" s="149" t="str">
        <f>IF(分析!D298&lt;&gt;"",分析!D298,"")</f>
        <v/>
      </c>
      <c r="E298" s="150" t="str">
        <f>IF(分析!E298&lt;&gt;"",分析!E298,"")</f>
        <v/>
      </c>
      <c r="F298" s="151" t="str">
        <f>IF(分析!F298&lt;&gt;"",分析!F298,"")</f>
        <v/>
      </c>
      <c r="G298" s="151" t="str">
        <f>IF(分析!H298&lt;&gt;"",分析!H298,"")</f>
        <v/>
      </c>
      <c r="H298" s="151" t="str">
        <f>IF(分析!I298&lt;&gt;"",分析!I298,"")</f>
        <v/>
      </c>
      <c r="I298" s="151" t="str">
        <f>IF(分析!J298&lt;&gt;"",分析!J298,"")</f>
        <v/>
      </c>
      <c r="J298" s="151" t="str">
        <f>IF(分析!AB298&lt;&gt;"",分析!AB298,"")</f>
        <v/>
      </c>
      <c r="K298" s="151" t="str">
        <f>IF(分析!AC298&lt;&gt;"",分析!AC298,"")</f>
        <v/>
      </c>
      <c r="L298" s="151" t="str">
        <f>IF(分析!K298&lt;&gt;"",分析!K298,"")</f>
        <v/>
      </c>
      <c r="M298" s="146" t="str">
        <f>IF(分析!P298&lt;&gt;"",分析!P298,"")</f>
        <v/>
      </c>
      <c r="N298" s="152" t="str">
        <f>IF(分析!O298&lt;&gt;"",分析!O298,"")</f>
        <v/>
      </c>
      <c r="O298" s="153" t="str">
        <f>IF(分析!X298&lt;&gt;"",分析!X298,"")</f>
        <v/>
      </c>
      <c r="P298" s="154" t="str">
        <f>IF(分析!L298&lt;&gt;"",分析!L298,"")</f>
        <v/>
      </c>
      <c r="Q298" s="151" t="str">
        <f>IF(分析!S298&lt;&gt;"",分析!S298,"")</f>
        <v/>
      </c>
      <c r="R298" s="151" t="str">
        <f>IF(分析!R298&lt;&gt;"",分析!R298,"")</f>
        <v/>
      </c>
      <c r="S298" s="146" t="str">
        <f>IF(分析!AA298&lt;&gt;"",分析!AA298,"")</f>
        <v/>
      </c>
      <c r="T298" s="155" t="str">
        <f>IF(分析!Z298&lt;&gt;"",分析!Z298,"")</f>
        <v/>
      </c>
      <c r="U298" s="146" t="str">
        <f>IF(分析!V298&lt;&gt;"",分析!V298,"")</f>
        <v/>
      </c>
      <c r="V298" s="156" t="str">
        <f>IF(分析!W298&lt;&gt;"",分析!W298,"")</f>
        <v/>
      </c>
      <c r="W298" s="157" t="str">
        <f>IF(分析!AD298&lt;&gt;"",分析!AD298,"")</f>
        <v/>
      </c>
      <c r="X298" s="158" t="str">
        <f>IF(分析!AE298&lt;&gt;"",分析!AE298,"")</f>
        <v/>
      </c>
      <c r="Y298" s="159" t="str">
        <f>IF(分析!T298&lt;&gt;"",分析!T298,"")</f>
        <v/>
      </c>
      <c r="Z298" s="160" t="str">
        <f>IF(分析!Y298&lt;&gt;"",分析!Y298,"")</f>
        <v/>
      </c>
    </row>
    <row r="299" spans="1:26" ht="21.95" customHeight="1">
      <c r="A299" s="161" t="str">
        <f>IF(分析!C299&lt;&gt;"",ROW()-2,"")</f>
        <v/>
      </c>
      <c r="B299" s="162" t="str">
        <f>IF(分析!C299&lt;&gt;"",HYPERLINK("https://kabutan.jp/stock/?code="&amp;分析!C299,"株探"),"")</f>
        <v/>
      </c>
      <c r="C299" s="163" t="str">
        <f>IF(分析!C299&lt;&gt;"",分析!C299,"")</f>
        <v/>
      </c>
      <c r="D299" s="164" t="str">
        <f>IF(分析!D299&lt;&gt;"",分析!D299,"")</f>
        <v/>
      </c>
      <c r="E299" s="165" t="str">
        <f>IF(分析!E299&lt;&gt;"",分析!E299,"")</f>
        <v/>
      </c>
      <c r="F299" s="166" t="str">
        <f>IF(分析!F299&lt;&gt;"",分析!F299,"")</f>
        <v/>
      </c>
      <c r="G299" s="166" t="str">
        <f>IF(分析!H299&lt;&gt;"",分析!H299,"")</f>
        <v/>
      </c>
      <c r="H299" s="166" t="str">
        <f>IF(分析!I299&lt;&gt;"",分析!I299,"")</f>
        <v/>
      </c>
      <c r="I299" s="166" t="str">
        <f>IF(分析!J299&lt;&gt;"",分析!J299,"")</f>
        <v/>
      </c>
      <c r="J299" s="166" t="str">
        <f>IF(分析!AB299&lt;&gt;"",分析!AB299,"")</f>
        <v/>
      </c>
      <c r="K299" s="166" t="str">
        <f>IF(分析!AC299&lt;&gt;"",分析!AC299,"")</f>
        <v/>
      </c>
      <c r="L299" s="166" t="str">
        <f>IF(分析!K299&lt;&gt;"",分析!K299,"")</f>
        <v/>
      </c>
      <c r="M299" s="161" t="str">
        <f>IF(分析!P299&lt;&gt;"",分析!P299,"")</f>
        <v/>
      </c>
      <c r="N299" s="167" t="str">
        <f>IF(分析!O299&lt;&gt;"",分析!O299,"")</f>
        <v/>
      </c>
      <c r="O299" s="168" t="str">
        <f>IF(分析!X299&lt;&gt;"",分析!X299,"")</f>
        <v/>
      </c>
      <c r="P299" s="169" t="str">
        <f>IF(分析!L299&lt;&gt;"",分析!L299,"")</f>
        <v/>
      </c>
      <c r="Q299" s="166" t="str">
        <f>IF(分析!S299&lt;&gt;"",分析!S299,"")</f>
        <v/>
      </c>
      <c r="R299" s="166" t="str">
        <f>IF(分析!R299&lt;&gt;"",分析!R299,"")</f>
        <v/>
      </c>
      <c r="S299" s="161" t="str">
        <f>IF(分析!AA299&lt;&gt;"",分析!AA299,"")</f>
        <v/>
      </c>
      <c r="T299" s="170" t="str">
        <f>IF(分析!Z299&lt;&gt;"",分析!Z299,"")</f>
        <v/>
      </c>
      <c r="U299" s="161" t="str">
        <f>IF(分析!V299&lt;&gt;"",分析!V299,"")</f>
        <v/>
      </c>
      <c r="V299" s="171" t="str">
        <f>IF(分析!W299&lt;&gt;"",分析!W299,"")</f>
        <v/>
      </c>
      <c r="W299" s="172" t="str">
        <f>IF(分析!AD299&lt;&gt;"",分析!AD299,"")</f>
        <v/>
      </c>
      <c r="X299" s="173" t="str">
        <f>IF(分析!AE299&lt;&gt;"",分析!AE299,"")</f>
        <v/>
      </c>
      <c r="Y299" s="174" t="str">
        <f>IF(分析!T299&lt;&gt;"",分析!T299,"")</f>
        <v/>
      </c>
      <c r="Z299" s="160" t="str">
        <f>IF(分析!Y299&lt;&gt;"",分析!Y299,"")</f>
        <v/>
      </c>
    </row>
    <row r="300" spans="1:26" ht="21.95" customHeight="1">
      <c r="A300" s="146" t="str">
        <f>IF(分析!C300&lt;&gt;"",ROW()-2,"")</f>
        <v/>
      </c>
      <c r="B300" s="147" t="str">
        <f>IF(分析!C300&lt;&gt;"",HYPERLINK("https://kabutan.jp/stock/?code="&amp;分析!C300,"株探"),"")</f>
        <v/>
      </c>
      <c r="C300" s="148" t="str">
        <f>IF(分析!C300&lt;&gt;"",分析!C300,"")</f>
        <v/>
      </c>
      <c r="D300" s="149" t="str">
        <f>IF(分析!D300&lt;&gt;"",分析!D300,"")</f>
        <v/>
      </c>
      <c r="E300" s="150" t="str">
        <f>IF(分析!E300&lt;&gt;"",分析!E300,"")</f>
        <v/>
      </c>
      <c r="F300" s="151" t="str">
        <f>IF(分析!F300&lt;&gt;"",分析!F300,"")</f>
        <v/>
      </c>
      <c r="G300" s="151" t="str">
        <f>IF(分析!H300&lt;&gt;"",分析!H300,"")</f>
        <v/>
      </c>
      <c r="H300" s="151" t="str">
        <f>IF(分析!I300&lt;&gt;"",分析!I300,"")</f>
        <v/>
      </c>
      <c r="I300" s="151" t="str">
        <f>IF(分析!J300&lt;&gt;"",分析!J300,"")</f>
        <v/>
      </c>
      <c r="J300" s="151" t="str">
        <f>IF(分析!AB300&lt;&gt;"",分析!AB300,"")</f>
        <v/>
      </c>
      <c r="K300" s="151" t="str">
        <f>IF(分析!AC300&lt;&gt;"",分析!AC300,"")</f>
        <v/>
      </c>
      <c r="L300" s="151" t="str">
        <f>IF(分析!K300&lt;&gt;"",分析!K300,"")</f>
        <v/>
      </c>
      <c r="M300" s="146" t="str">
        <f>IF(分析!P300&lt;&gt;"",分析!P300,"")</f>
        <v/>
      </c>
      <c r="N300" s="152" t="str">
        <f>IF(分析!O300&lt;&gt;"",分析!O300,"")</f>
        <v/>
      </c>
      <c r="O300" s="153" t="str">
        <f>IF(分析!X300&lt;&gt;"",分析!X300,"")</f>
        <v/>
      </c>
      <c r="P300" s="154" t="str">
        <f>IF(分析!L300&lt;&gt;"",分析!L300,"")</f>
        <v/>
      </c>
      <c r="Q300" s="151" t="str">
        <f>IF(分析!S300&lt;&gt;"",分析!S300,"")</f>
        <v/>
      </c>
      <c r="R300" s="151" t="str">
        <f>IF(分析!R300&lt;&gt;"",分析!R300,"")</f>
        <v/>
      </c>
      <c r="S300" s="146" t="str">
        <f>IF(分析!AA300&lt;&gt;"",分析!AA300,"")</f>
        <v/>
      </c>
      <c r="T300" s="155" t="str">
        <f>IF(分析!Z300&lt;&gt;"",分析!Z300,"")</f>
        <v/>
      </c>
      <c r="U300" s="146" t="str">
        <f>IF(分析!V300&lt;&gt;"",分析!V300,"")</f>
        <v/>
      </c>
      <c r="V300" s="156" t="str">
        <f>IF(分析!W300&lt;&gt;"",分析!W300,"")</f>
        <v/>
      </c>
      <c r="W300" s="157" t="str">
        <f>IF(分析!AD300&lt;&gt;"",分析!AD300,"")</f>
        <v/>
      </c>
      <c r="X300" s="158" t="str">
        <f>IF(分析!AE300&lt;&gt;"",分析!AE300,"")</f>
        <v/>
      </c>
      <c r="Y300" s="159" t="str">
        <f>IF(分析!T300&lt;&gt;"",分析!T300,"")</f>
        <v/>
      </c>
      <c r="Z300" s="160" t="str">
        <f>IF(分析!Y300&lt;&gt;"",分析!Y300,"")</f>
        <v/>
      </c>
    </row>
    <row r="301" spans="1:26" ht="21.95" customHeight="1">
      <c r="A301" s="161" t="str">
        <f>IF(分析!C301&lt;&gt;"",ROW()-2,"")</f>
        <v/>
      </c>
      <c r="B301" s="162" t="str">
        <f>IF(分析!C301&lt;&gt;"",HYPERLINK("https://kabutan.jp/stock/?code="&amp;分析!C301,"株探"),"")</f>
        <v/>
      </c>
      <c r="C301" s="163" t="str">
        <f>IF(分析!C301&lt;&gt;"",分析!C301,"")</f>
        <v/>
      </c>
      <c r="D301" s="164" t="str">
        <f>IF(分析!D301&lt;&gt;"",分析!D301,"")</f>
        <v/>
      </c>
      <c r="E301" s="165" t="str">
        <f>IF(分析!E301&lt;&gt;"",分析!E301,"")</f>
        <v/>
      </c>
      <c r="F301" s="166" t="str">
        <f>IF(分析!F301&lt;&gt;"",分析!F301,"")</f>
        <v/>
      </c>
      <c r="G301" s="166" t="str">
        <f>IF(分析!H301&lt;&gt;"",分析!H301,"")</f>
        <v/>
      </c>
      <c r="H301" s="166" t="str">
        <f>IF(分析!I301&lt;&gt;"",分析!I301,"")</f>
        <v/>
      </c>
      <c r="I301" s="166" t="str">
        <f>IF(分析!J301&lt;&gt;"",分析!J301,"")</f>
        <v/>
      </c>
      <c r="J301" s="166" t="str">
        <f>IF(分析!AB301&lt;&gt;"",分析!AB301,"")</f>
        <v/>
      </c>
      <c r="K301" s="166" t="str">
        <f>IF(分析!AC301&lt;&gt;"",分析!AC301,"")</f>
        <v/>
      </c>
      <c r="L301" s="166" t="str">
        <f>IF(分析!K301&lt;&gt;"",分析!K301,"")</f>
        <v/>
      </c>
      <c r="M301" s="161" t="str">
        <f>IF(分析!P301&lt;&gt;"",分析!P301,"")</f>
        <v/>
      </c>
      <c r="N301" s="167" t="str">
        <f>IF(分析!O301&lt;&gt;"",分析!O301,"")</f>
        <v/>
      </c>
      <c r="O301" s="168" t="str">
        <f>IF(分析!X301&lt;&gt;"",分析!X301,"")</f>
        <v/>
      </c>
      <c r="P301" s="169" t="str">
        <f>IF(分析!L301&lt;&gt;"",分析!L301,"")</f>
        <v/>
      </c>
      <c r="Q301" s="166" t="str">
        <f>IF(分析!S301&lt;&gt;"",分析!S301,"")</f>
        <v/>
      </c>
      <c r="R301" s="166" t="str">
        <f>IF(分析!R301&lt;&gt;"",分析!R301,"")</f>
        <v/>
      </c>
      <c r="S301" s="161" t="str">
        <f>IF(分析!AA301&lt;&gt;"",分析!AA301,"")</f>
        <v/>
      </c>
      <c r="T301" s="170" t="str">
        <f>IF(分析!Z301&lt;&gt;"",分析!Z301,"")</f>
        <v/>
      </c>
      <c r="U301" s="161" t="str">
        <f>IF(分析!V301&lt;&gt;"",分析!V301,"")</f>
        <v/>
      </c>
      <c r="V301" s="171" t="str">
        <f>IF(分析!W301&lt;&gt;"",分析!W301,"")</f>
        <v/>
      </c>
      <c r="W301" s="172" t="str">
        <f>IF(分析!AD301&lt;&gt;"",分析!AD301,"")</f>
        <v/>
      </c>
      <c r="X301" s="173" t="str">
        <f>IF(分析!AE301&lt;&gt;"",分析!AE301,"")</f>
        <v/>
      </c>
      <c r="Y301" s="174" t="str">
        <f>IF(分析!T301&lt;&gt;"",分析!T301,"")</f>
        <v/>
      </c>
      <c r="Z301" s="160" t="str">
        <f>IF(分析!Y301&lt;&gt;"",分析!Y301,"")</f>
        <v/>
      </c>
    </row>
    <row r="302" spans="1:26" ht="21.95" customHeight="1">
      <c r="A302" s="146" t="str">
        <f>IF(分析!C302&lt;&gt;"",ROW()-2,"")</f>
        <v/>
      </c>
      <c r="B302" s="147" t="str">
        <f>IF(分析!C302&lt;&gt;"",HYPERLINK("https://kabutan.jp/stock/?code="&amp;分析!C302,"株探"),"")</f>
        <v/>
      </c>
      <c r="C302" s="148" t="str">
        <f>IF(分析!C302&lt;&gt;"",分析!C302,"")</f>
        <v/>
      </c>
      <c r="D302" s="149" t="str">
        <f>IF(分析!D302&lt;&gt;"",分析!D302,"")</f>
        <v/>
      </c>
      <c r="E302" s="150" t="str">
        <f>IF(分析!E302&lt;&gt;"",分析!E302,"")</f>
        <v/>
      </c>
      <c r="F302" s="151" t="str">
        <f>IF(分析!F302&lt;&gt;"",分析!F302,"")</f>
        <v/>
      </c>
      <c r="G302" s="151" t="str">
        <f>IF(分析!H302&lt;&gt;"",分析!H302,"")</f>
        <v/>
      </c>
      <c r="H302" s="151" t="str">
        <f>IF(分析!I302&lt;&gt;"",分析!I302,"")</f>
        <v/>
      </c>
      <c r="I302" s="151" t="str">
        <f>IF(分析!J302&lt;&gt;"",分析!J302,"")</f>
        <v/>
      </c>
      <c r="J302" s="151" t="str">
        <f>IF(分析!AB302&lt;&gt;"",分析!AB302,"")</f>
        <v/>
      </c>
      <c r="K302" s="151" t="str">
        <f>IF(分析!AC302&lt;&gt;"",分析!AC302,"")</f>
        <v/>
      </c>
      <c r="L302" s="151" t="str">
        <f>IF(分析!K302&lt;&gt;"",分析!K302,"")</f>
        <v/>
      </c>
      <c r="M302" s="146" t="str">
        <f>IF(分析!P302&lt;&gt;"",分析!P302,"")</f>
        <v/>
      </c>
      <c r="N302" s="152" t="str">
        <f>IF(分析!O302&lt;&gt;"",分析!O302,"")</f>
        <v/>
      </c>
      <c r="O302" s="153" t="str">
        <f>IF(分析!X302&lt;&gt;"",分析!X302,"")</f>
        <v/>
      </c>
      <c r="P302" s="154" t="str">
        <f>IF(分析!L302&lt;&gt;"",分析!L302,"")</f>
        <v/>
      </c>
      <c r="Q302" s="151" t="str">
        <f>IF(分析!S302&lt;&gt;"",分析!S302,"")</f>
        <v/>
      </c>
      <c r="R302" s="151" t="str">
        <f>IF(分析!R302&lt;&gt;"",分析!R302,"")</f>
        <v/>
      </c>
      <c r="S302" s="146" t="str">
        <f>IF(分析!AA302&lt;&gt;"",分析!AA302,"")</f>
        <v/>
      </c>
      <c r="T302" s="155" t="str">
        <f>IF(分析!Z302&lt;&gt;"",分析!Z302,"")</f>
        <v/>
      </c>
      <c r="U302" s="146" t="str">
        <f>IF(分析!V302&lt;&gt;"",分析!V302,"")</f>
        <v/>
      </c>
      <c r="V302" s="156" t="str">
        <f>IF(分析!W302&lt;&gt;"",分析!W302,"")</f>
        <v/>
      </c>
      <c r="W302" s="157" t="str">
        <f>IF(分析!AD302&lt;&gt;"",分析!AD302,"")</f>
        <v/>
      </c>
      <c r="X302" s="158" t="str">
        <f>IF(分析!AE302&lt;&gt;"",分析!AE302,"")</f>
        <v/>
      </c>
      <c r="Y302" s="159" t="str">
        <f>IF(分析!T302&lt;&gt;"",分析!T302,"")</f>
        <v/>
      </c>
      <c r="Z302" s="160" t="str">
        <f>IF(分析!Y302&lt;&gt;"",分析!Y302,"")</f>
        <v/>
      </c>
    </row>
    <row r="303" spans="1:26" ht="21.95" customHeight="1">
      <c r="A303" s="161" t="str">
        <f>IF(分析!C303&lt;&gt;"",ROW()-2,"")</f>
        <v/>
      </c>
      <c r="B303" s="162" t="str">
        <f>IF(分析!C303&lt;&gt;"",HYPERLINK("https://kabutan.jp/stock/?code="&amp;分析!C303,"株探"),"")</f>
        <v/>
      </c>
      <c r="C303" s="163" t="str">
        <f>IF(分析!C303&lt;&gt;"",分析!C303,"")</f>
        <v/>
      </c>
      <c r="D303" s="164" t="str">
        <f>IF(分析!D303&lt;&gt;"",分析!D303,"")</f>
        <v/>
      </c>
      <c r="E303" s="165" t="str">
        <f>IF(分析!E303&lt;&gt;"",分析!E303,"")</f>
        <v/>
      </c>
      <c r="F303" s="166" t="str">
        <f>IF(分析!F303&lt;&gt;"",分析!F303,"")</f>
        <v/>
      </c>
      <c r="G303" s="166" t="str">
        <f>IF(分析!H303&lt;&gt;"",分析!H303,"")</f>
        <v/>
      </c>
      <c r="H303" s="166" t="str">
        <f>IF(分析!I303&lt;&gt;"",分析!I303,"")</f>
        <v/>
      </c>
      <c r="I303" s="166" t="str">
        <f>IF(分析!J303&lt;&gt;"",分析!J303,"")</f>
        <v/>
      </c>
      <c r="J303" s="166" t="str">
        <f>IF(分析!AB303&lt;&gt;"",分析!AB303,"")</f>
        <v/>
      </c>
      <c r="K303" s="166" t="str">
        <f>IF(分析!AC303&lt;&gt;"",分析!AC303,"")</f>
        <v/>
      </c>
      <c r="L303" s="166" t="str">
        <f>IF(分析!K303&lt;&gt;"",分析!K303,"")</f>
        <v/>
      </c>
      <c r="M303" s="161" t="str">
        <f>IF(分析!P303&lt;&gt;"",分析!P303,"")</f>
        <v/>
      </c>
      <c r="N303" s="167" t="str">
        <f>IF(分析!O303&lt;&gt;"",分析!O303,"")</f>
        <v/>
      </c>
      <c r="O303" s="168" t="str">
        <f>IF(分析!X303&lt;&gt;"",分析!X303,"")</f>
        <v/>
      </c>
      <c r="P303" s="169" t="str">
        <f>IF(分析!L303&lt;&gt;"",分析!L303,"")</f>
        <v/>
      </c>
      <c r="Q303" s="166" t="str">
        <f>IF(分析!S303&lt;&gt;"",分析!S303,"")</f>
        <v/>
      </c>
      <c r="R303" s="166" t="str">
        <f>IF(分析!R303&lt;&gt;"",分析!R303,"")</f>
        <v/>
      </c>
      <c r="S303" s="161" t="str">
        <f>IF(分析!AA303&lt;&gt;"",分析!AA303,"")</f>
        <v/>
      </c>
      <c r="T303" s="170" t="str">
        <f>IF(分析!Z303&lt;&gt;"",分析!Z303,"")</f>
        <v/>
      </c>
      <c r="U303" s="161" t="str">
        <f>IF(分析!V303&lt;&gt;"",分析!V303,"")</f>
        <v/>
      </c>
      <c r="V303" s="171" t="str">
        <f>IF(分析!W303&lt;&gt;"",分析!W303,"")</f>
        <v/>
      </c>
      <c r="W303" s="172" t="str">
        <f>IF(分析!AD303&lt;&gt;"",分析!AD303,"")</f>
        <v/>
      </c>
      <c r="X303" s="173" t="str">
        <f>IF(分析!AE303&lt;&gt;"",分析!AE303,"")</f>
        <v/>
      </c>
      <c r="Y303" s="174" t="str">
        <f>IF(分析!T303&lt;&gt;"",分析!T303,"")</f>
        <v/>
      </c>
      <c r="Z303" s="160" t="str">
        <f>IF(分析!Y303&lt;&gt;"",分析!Y303,"")</f>
        <v/>
      </c>
    </row>
    <row r="304" spans="1:26" ht="21.95" customHeight="1">
      <c r="A304" s="146" t="str">
        <f>IF(分析!C304&lt;&gt;"",ROW()-2,"")</f>
        <v/>
      </c>
      <c r="B304" s="147" t="str">
        <f>IF(分析!C304&lt;&gt;"",HYPERLINK("https://kabutan.jp/stock/?code="&amp;分析!C304,"株探"),"")</f>
        <v/>
      </c>
      <c r="C304" s="148" t="str">
        <f>IF(分析!C304&lt;&gt;"",分析!C304,"")</f>
        <v/>
      </c>
      <c r="D304" s="149" t="str">
        <f>IF(分析!D304&lt;&gt;"",分析!D304,"")</f>
        <v/>
      </c>
      <c r="E304" s="150" t="str">
        <f>IF(分析!E304&lt;&gt;"",分析!E304,"")</f>
        <v/>
      </c>
      <c r="F304" s="151" t="str">
        <f>IF(分析!F304&lt;&gt;"",分析!F304,"")</f>
        <v/>
      </c>
      <c r="G304" s="151" t="str">
        <f>IF(分析!H304&lt;&gt;"",分析!H304,"")</f>
        <v/>
      </c>
      <c r="H304" s="151" t="str">
        <f>IF(分析!I304&lt;&gt;"",分析!I304,"")</f>
        <v/>
      </c>
      <c r="I304" s="151" t="str">
        <f>IF(分析!J304&lt;&gt;"",分析!J304,"")</f>
        <v/>
      </c>
      <c r="J304" s="151" t="str">
        <f>IF(分析!AB304&lt;&gt;"",分析!AB304,"")</f>
        <v/>
      </c>
      <c r="K304" s="151" t="str">
        <f>IF(分析!AC304&lt;&gt;"",分析!AC304,"")</f>
        <v/>
      </c>
      <c r="L304" s="151" t="str">
        <f>IF(分析!K304&lt;&gt;"",分析!K304,"")</f>
        <v/>
      </c>
      <c r="M304" s="146" t="str">
        <f>IF(分析!P304&lt;&gt;"",分析!P304,"")</f>
        <v/>
      </c>
      <c r="N304" s="152" t="str">
        <f>IF(分析!O304&lt;&gt;"",分析!O304,"")</f>
        <v/>
      </c>
      <c r="O304" s="153" t="str">
        <f>IF(分析!X304&lt;&gt;"",分析!X304,"")</f>
        <v/>
      </c>
      <c r="P304" s="154" t="str">
        <f>IF(分析!L304&lt;&gt;"",分析!L304,"")</f>
        <v/>
      </c>
      <c r="Q304" s="151" t="str">
        <f>IF(分析!S304&lt;&gt;"",分析!S304,"")</f>
        <v/>
      </c>
      <c r="R304" s="151" t="str">
        <f>IF(分析!R304&lt;&gt;"",分析!R304,"")</f>
        <v/>
      </c>
      <c r="S304" s="146" t="str">
        <f>IF(分析!AA304&lt;&gt;"",分析!AA304,"")</f>
        <v/>
      </c>
      <c r="T304" s="155" t="str">
        <f>IF(分析!Z304&lt;&gt;"",分析!Z304,"")</f>
        <v/>
      </c>
      <c r="U304" s="146" t="str">
        <f>IF(分析!V304&lt;&gt;"",分析!V304,"")</f>
        <v/>
      </c>
      <c r="V304" s="156" t="str">
        <f>IF(分析!W304&lt;&gt;"",分析!W304,"")</f>
        <v/>
      </c>
      <c r="W304" s="157" t="str">
        <f>IF(分析!AD304&lt;&gt;"",分析!AD304,"")</f>
        <v/>
      </c>
      <c r="X304" s="158" t="str">
        <f>IF(分析!AE304&lt;&gt;"",分析!AE304,"")</f>
        <v/>
      </c>
      <c r="Y304" s="159" t="str">
        <f>IF(分析!T304&lt;&gt;"",分析!T304,"")</f>
        <v/>
      </c>
      <c r="Z304" s="160" t="str">
        <f>IF(分析!Y304&lt;&gt;"",分析!Y304,"")</f>
        <v/>
      </c>
    </row>
    <row r="305" spans="1:26" ht="21.95" customHeight="1">
      <c r="A305" s="161" t="str">
        <f>IF(分析!C305&lt;&gt;"",ROW()-2,"")</f>
        <v/>
      </c>
      <c r="B305" s="162" t="str">
        <f>IF(分析!C305&lt;&gt;"",HYPERLINK("https://kabutan.jp/stock/?code="&amp;分析!C305,"株探"),"")</f>
        <v/>
      </c>
      <c r="C305" s="163" t="str">
        <f>IF(分析!C305&lt;&gt;"",分析!C305,"")</f>
        <v/>
      </c>
      <c r="D305" s="164" t="str">
        <f>IF(分析!D305&lt;&gt;"",分析!D305,"")</f>
        <v/>
      </c>
      <c r="E305" s="165" t="str">
        <f>IF(分析!E305&lt;&gt;"",分析!E305,"")</f>
        <v/>
      </c>
      <c r="F305" s="166" t="str">
        <f>IF(分析!F305&lt;&gt;"",分析!F305,"")</f>
        <v/>
      </c>
      <c r="G305" s="166" t="str">
        <f>IF(分析!H305&lt;&gt;"",分析!H305,"")</f>
        <v/>
      </c>
      <c r="H305" s="166" t="str">
        <f>IF(分析!I305&lt;&gt;"",分析!I305,"")</f>
        <v/>
      </c>
      <c r="I305" s="166" t="str">
        <f>IF(分析!J305&lt;&gt;"",分析!J305,"")</f>
        <v/>
      </c>
      <c r="J305" s="166" t="str">
        <f>IF(分析!AB305&lt;&gt;"",分析!AB305,"")</f>
        <v/>
      </c>
      <c r="K305" s="166" t="str">
        <f>IF(分析!AC305&lt;&gt;"",分析!AC305,"")</f>
        <v/>
      </c>
      <c r="L305" s="166" t="str">
        <f>IF(分析!K305&lt;&gt;"",分析!K305,"")</f>
        <v/>
      </c>
      <c r="M305" s="161" t="str">
        <f>IF(分析!P305&lt;&gt;"",分析!P305,"")</f>
        <v/>
      </c>
      <c r="N305" s="167" t="str">
        <f>IF(分析!O305&lt;&gt;"",分析!O305,"")</f>
        <v/>
      </c>
      <c r="O305" s="168" t="str">
        <f>IF(分析!X305&lt;&gt;"",分析!X305,"")</f>
        <v/>
      </c>
      <c r="P305" s="169" t="str">
        <f>IF(分析!L305&lt;&gt;"",分析!L305,"")</f>
        <v/>
      </c>
      <c r="Q305" s="166" t="str">
        <f>IF(分析!S305&lt;&gt;"",分析!S305,"")</f>
        <v/>
      </c>
      <c r="R305" s="166" t="str">
        <f>IF(分析!R305&lt;&gt;"",分析!R305,"")</f>
        <v/>
      </c>
      <c r="S305" s="161" t="str">
        <f>IF(分析!AA305&lt;&gt;"",分析!AA305,"")</f>
        <v/>
      </c>
      <c r="T305" s="170" t="str">
        <f>IF(分析!Z305&lt;&gt;"",分析!Z305,"")</f>
        <v/>
      </c>
      <c r="U305" s="161" t="str">
        <f>IF(分析!V305&lt;&gt;"",分析!V305,"")</f>
        <v/>
      </c>
      <c r="V305" s="171" t="str">
        <f>IF(分析!W305&lt;&gt;"",分析!W305,"")</f>
        <v/>
      </c>
      <c r="W305" s="172" t="str">
        <f>IF(分析!AD305&lt;&gt;"",分析!AD305,"")</f>
        <v/>
      </c>
      <c r="X305" s="173" t="str">
        <f>IF(分析!AE305&lt;&gt;"",分析!AE305,"")</f>
        <v/>
      </c>
      <c r="Y305" s="174" t="str">
        <f>IF(分析!T305&lt;&gt;"",分析!T305,"")</f>
        <v/>
      </c>
      <c r="Z305" s="160" t="str">
        <f>IF(分析!Y305&lt;&gt;"",分析!Y305,"")</f>
        <v/>
      </c>
    </row>
    <row r="306" spans="1:26" ht="21.95" customHeight="1">
      <c r="A306" s="146" t="str">
        <f>IF(分析!C306&lt;&gt;"",ROW()-2,"")</f>
        <v/>
      </c>
      <c r="B306" s="147" t="str">
        <f>IF(分析!C306&lt;&gt;"",HYPERLINK("https://kabutan.jp/stock/?code="&amp;分析!C306,"株探"),"")</f>
        <v/>
      </c>
      <c r="C306" s="148" t="str">
        <f>IF(分析!C306&lt;&gt;"",分析!C306,"")</f>
        <v/>
      </c>
      <c r="D306" s="149" t="str">
        <f>IF(分析!D306&lt;&gt;"",分析!D306,"")</f>
        <v/>
      </c>
      <c r="E306" s="150" t="str">
        <f>IF(分析!E306&lt;&gt;"",分析!E306,"")</f>
        <v/>
      </c>
      <c r="F306" s="151" t="str">
        <f>IF(分析!F306&lt;&gt;"",分析!F306,"")</f>
        <v/>
      </c>
      <c r="G306" s="151" t="str">
        <f>IF(分析!H306&lt;&gt;"",分析!H306,"")</f>
        <v/>
      </c>
      <c r="H306" s="151" t="str">
        <f>IF(分析!I306&lt;&gt;"",分析!I306,"")</f>
        <v/>
      </c>
      <c r="I306" s="151" t="str">
        <f>IF(分析!J306&lt;&gt;"",分析!J306,"")</f>
        <v/>
      </c>
      <c r="J306" s="151" t="str">
        <f>IF(分析!AB306&lt;&gt;"",分析!AB306,"")</f>
        <v/>
      </c>
      <c r="K306" s="151" t="str">
        <f>IF(分析!AC306&lt;&gt;"",分析!AC306,"")</f>
        <v/>
      </c>
      <c r="L306" s="151" t="str">
        <f>IF(分析!K306&lt;&gt;"",分析!K306,"")</f>
        <v/>
      </c>
      <c r="M306" s="146" t="str">
        <f>IF(分析!P306&lt;&gt;"",分析!P306,"")</f>
        <v/>
      </c>
      <c r="N306" s="152" t="str">
        <f>IF(分析!O306&lt;&gt;"",分析!O306,"")</f>
        <v/>
      </c>
      <c r="O306" s="153" t="str">
        <f>IF(分析!X306&lt;&gt;"",分析!X306,"")</f>
        <v/>
      </c>
      <c r="P306" s="154" t="str">
        <f>IF(分析!L306&lt;&gt;"",分析!L306,"")</f>
        <v/>
      </c>
      <c r="Q306" s="151" t="str">
        <f>IF(分析!S306&lt;&gt;"",分析!S306,"")</f>
        <v/>
      </c>
      <c r="R306" s="151" t="str">
        <f>IF(分析!R306&lt;&gt;"",分析!R306,"")</f>
        <v/>
      </c>
      <c r="S306" s="146" t="str">
        <f>IF(分析!AA306&lt;&gt;"",分析!AA306,"")</f>
        <v/>
      </c>
      <c r="T306" s="155" t="str">
        <f>IF(分析!Z306&lt;&gt;"",分析!Z306,"")</f>
        <v/>
      </c>
      <c r="U306" s="146" t="str">
        <f>IF(分析!V306&lt;&gt;"",分析!V306,"")</f>
        <v/>
      </c>
      <c r="V306" s="156" t="str">
        <f>IF(分析!W306&lt;&gt;"",分析!W306,"")</f>
        <v/>
      </c>
      <c r="W306" s="157" t="str">
        <f>IF(分析!AD306&lt;&gt;"",分析!AD306,"")</f>
        <v/>
      </c>
      <c r="X306" s="158" t="str">
        <f>IF(分析!AE306&lt;&gt;"",分析!AE306,"")</f>
        <v/>
      </c>
      <c r="Y306" s="159" t="str">
        <f>IF(分析!T306&lt;&gt;"",分析!T306,"")</f>
        <v/>
      </c>
      <c r="Z306" s="160" t="str">
        <f>IF(分析!Y306&lt;&gt;"",分析!Y306,"")</f>
        <v/>
      </c>
    </row>
    <row r="307" spans="1:26" ht="21.95" customHeight="1">
      <c r="A307" s="161" t="str">
        <f>IF(分析!C307&lt;&gt;"",ROW()-2,"")</f>
        <v/>
      </c>
      <c r="B307" s="162" t="str">
        <f>IF(分析!C307&lt;&gt;"",HYPERLINK("https://kabutan.jp/stock/?code="&amp;分析!C307,"株探"),"")</f>
        <v/>
      </c>
      <c r="C307" s="163" t="str">
        <f>IF(分析!C307&lt;&gt;"",分析!C307,"")</f>
        <v/>
      </c>
      <c r="D307" s="164" t="str">
        <f>IF(分析!D307&lt;&gt;"",分析!D307,"")</f>
        <v/>
      </c>
      <c r="E307" s="165" t="str">
        <f>IF(分析!E307&lt;&gt;"",分析!E307,"")</f>
        <v/>
      </c>
      <c r="F307" s="166" t="str">
        <f>IF(分析!F307&lt;&gt;"",分析!F307,"")</f>
        <v/>
      </c>
      <c r="G307" s="166" t="str">
        <f>IF(分析!H307&lt;&gt;"",分析!H307,"")</f>
        <v/>
      </c>
      <c r="H307" s="166" t="str">
        <f>IF(分析!I307&lt;&gt;"",分析!I307,"")</f>
        <v/>
      </c>
      <c r="I307" s="166" t="str">
        <f>IF(分析!J307&lt;&gt;"",分析!J307,"")</f>
        <v/>
      </c>
      <c r="J307" s="166" t="str">
        <f>IF(分析!AB307&lt;&gt;"",分析!AB307,"")</f>
        <v/>
      </c>
      <c r="K307" s="166" t="str">
        <f>IF(分析!AC307&lt;&gt;"",分析!AC307,"")</f>
        <v/>
      </c>
      <c r="L307" s="166" t="str">
        <f>IF(分析!K307&lt;&gt;"",分析!K307,"")</f>
        <v/>
      </c>
      <c r="M307" s="161" t="str">
        <f>IF(分析!P307&lt;&gt;"",分析!P307,"")</f>
        <v/>
      </c>
      <c r="N307" s="167" t="str">
        <f>IF(分析!O307&lt;&gt;"",分析!O307,"")</f>
        <v/>
      </c>
      <c r="O307" s="168" t="str">
        <f>IF(分析!X307&lt;&gt;"",分析!X307,"")</f>
        <v/>
      </c>
      <c r="P307" s="169" t="str">
        <f>IF(分析!L307&lt;&gt;"",分析!L307,"")</f>
        <v/>
      </c>
      <c r="Q307" s="166" t="str">
        <f>IF(分析!S307&lt;&gt;"",分析!S307,"")</f>
        <v/>
      </c>
      <c r="R307" s="166" t="str">
        <f>IF(分析!R307&lt;&gt;"",分析!R307,"")</f>
        <v/>
      </c>
      <c r="S307" s="161" t="str">
        <f>IF(分析!AA307&lt;&gt;"",分析!AA307,"")</f>
        <v/>
      </c>
      <c r="T307" s="170" t="str">
        <f>IF(分析!Z307&lt;&gt;"",分析!Z307,"")</f>
        <v/>
      </c>
      <c r="U307" s="161" t="str">
        <f>IF(分析!V307&lt;&gt;"",分析!V307,"")</f>
        <v/>
      </c>
      <c r="V307" s="171" t="str">
        <f>IF(分析!W307&lt;&gt;"",分析!W307,"")</f>
        <v/>
      </c>
      <c r="W307" s="172" t="str">
        <f>IF(分析!AD307&lt;&gt;"",分析!AD307,"")</f>
        <v/>
      </c>
      <c r="X307" s="173" t="str">
        <f>IF(分析!AE307&lt;&gt;"",分析!AE307,"")</f>
        <v/>
      </c>
      <c r="Y307" s="174" t="str">
        <f>IF(分析!T307&lt;&gt;"",分析!T307,"")</f>
        <v/>
      </c>
      <c r="Z307" s="160" t="str">
        <f>IF(分析!Y307&lt;&gt;"",分析!Y307,"")</f>
        <v/>
      </c>
    </row>
    <row r="308" spans="1:26" ht="21.95" customHeight="1">
      <c r="A308" s="146" t="str">
        <f>IF(分析!C308&lt;&gt;"",ROW()-2,"")</f>
        <v/>
      </c>
      <c r="B308" s="147" t="str">
        <f>IF(分析!C308&lt;&gt;"",HYPERLINK("https://kabutan.jp/stock/?code="&amp;分析!C308,"株探"),"")</f>
        <v/>
      </c>
      <c r="C308" s="148" t="str">
        <f>IF(分析!C308&lt;&gt;"",分析!C308,"")</f>
        <v/>
      </c>
      <c r="D308" s="149" t="str">
        <f>IF(分析!D308&lt;&gt;"",分析!D308,"")</f>
        <v/>
      </c>
      <c r="E308" s="150" t="str">
        <f>IF(分析!E308&lt;&gt;"",分析!E308,"")</f>
        <v/>
      </c>
      <c r="F308" s="151" t="str">
        <f>IF(分析!F308&lt;&gt;"",分析!F308,"")</f>
        <v/>
      </c>
      <c r="G308" s="151" t="str">
        <f>IF(分析!H308&lt;&gt;"",分析!H308,"")</f>
        <v/>
      </c>
      <c r="H308" s="151" t="str">
        <f>IF(分析!I308&lt;&gt;"",分析!I308,"")</f>
        <v/>
      </c>
      <c r="I308" s="151" t="str">
        <f>IF(分析!J308&lt;&gt;"",分析!J308,"")</f>
        <v/>
      </c>
      <c r="J308" s="151" t="str">
        <f>IF(分析!AB308&lt;&gt;"",分析!AB308,"")</f>
        <v/>
      </c>
      <c r="K308" s="151" t="str">
        <f>IF(分析!AC308&lt;&gt;"",分析!AC308,"")</f>
        <v/>
      </c>
      <c r="L308" s="151" t="str">
        <f>IF(分析!K308&lt;&gt;"",分析!K308,"")</f>
        <v/>
      </c>
      <c r="M308" s="146" t="str">
        <f>IF(分析!P308&lt;&gt;"",分析!P308,"")</f>
        <v/>
      </c>
      <c r="N308" s="152" t="str">
        <f>IF(分析!O308&lt;&gt;"",分析!O308,"")</f>
        <v/>
      </c>
      <c r="O308" s="153" t="str">
        <f>IF(分析!X308&lt;&gt;"",分析!X308,"")</f>
        <v/>
      </c>
      <c r="P308" s="154" t="str">
        <f>IF(分析!L308&lt;&gt;"",分析!L308,"")</f>
        <v/>
      </c>
      <c r="Q308" s="151" t="str">
        <f>IF(分析!S308&lt;&gt;"",分析!S308,"")</f>
        <v/>
      </c>
      <c r="R308" s="151" t="str">
        <f>IF(分析!R308&lt;&gt;"",分析!R308,"")</f>
        <v/>
      </c>
      <c r="S308" s="146" t="str">
        <f>IF(分析!AA308&lt;&gt;"",分析!AA308,"")</f>
        <v/>
      </c>
      <c r="T308" s="155" t="str">
        <f>IF(分析!Z308&lt;&gt;"",分析!Z308,"")</f>
        <v/>
      </c>
      <c r="U308" s="146" t="str">
        <f>IF(分析!V308&lt;&gt;"",分析!V308,"")</f>
        <v/>
      </c>
      <c r="V308" s="156" t="str">
        <f>IF(分析!W308&lt;&gt;"",分析!W308,"")</f>
        <v/>
      </c>
      <c r="W308" s="157" t="str">
        <f>IF(分析!AD308&lt;&gt;"",分析!AD308,"")</f>
        <v/>
      </c>
      <c r="X308" s="158" t="str">
        <f>IF(分析!AE308&lt;&gt;"",分析!AE308,"")</f>
        <v/>
      </c>
      <c r="Y308" s="159" t="str">
        <f>IF(分析!T308&lt;&gt;"",分析!T308,"")</f>
        <v/>
      </c>
      <c r="Z308" s="160" t="str">
        <f>IF(分析!Y308&lt;&gt;"",分析!Y308,"")</f>
        <v/>
      </c>
    </row>
    <row r="309" spans="1:26" ht="21.95" customHeight="1">
      <c r="A309" s="161" t="str">
        <f>IF(分析!C309&lt;&gt;"",ROW()-2,"")</f>
        <v/>
      </c>
      <c r="B309" s="162" t="str">
        <f>IF(分析!C309&lt;&gt;"",HYPERLINK("https://kabutan.jp/stock/?code="&amp;分析!C309,"株探"),"")</f>
        <v/>
      </c>
      <c r="C309" s="163" t="str">
        <f>IF(分析!C309&lt;&gt;"",分析!C309,"")</f>
        <v/>
      </c>
      <c r="D309" s="164" t="str">
        <f>IF(分析!D309&lt;&gt;"",分析!D309,"")</f>
        <v/>
      </c>
      <c r="E309" s="165" t="str">
        <f>IF(分析!E309&lt;&gt;"",分析!E309,"")</f>
        <v/>
      </c>
      <c r="F309" s="166" t="str">
        <f>IF(分析!F309&lt;&gt;"",分析!F309,"")</f>
        <v/>
      </c>
      <c r="G309" s="166" t="str">
        <f>IF(分析!H309&lt;&gt;"",分析!H309,"")</f>
        <v/>
      </c>
      <c r="H309" s="166" t="str">
        <f>IF(分析!I309&lt;&gt;"",分析!I309,"")</f>
        <v/>
      </c>
      <c r="I309" s="166" t="str">
        <f>IF(分析!J309&lt;&gt;"",分析!J309,"")</f>
        <v/>
      </c>
      <c r="J309" s="166" t="str">
        <f>IF(分析!AB309&lt;&gt;"",分析!AB309,"")</f>
        <v/>
      </c>
      <c r="K309" s="166" t="str">
        <f>IF(分析!AC309&lt;&gt;"",分析!AC309,"")</f>
        <v/>
      </c>
      <c r="L309" s="166" t="str">
        <f>IF(分析!K309&lt;&gt;"",分析!K309,"")</f>
        <v/>
      </c>
      <c r="M309" s="161" t="str">
        <f>IF(分析!P309&lt;&gt;"",分析!P309,"")</f>
        <v/>
      </c>
      <c r="N309" s="167" t="str">
        <f>IF(分析!O309&lt;&gt;"",分析!O309,"")</f>
        <v/>
      </c>
      <c r="O309" s="168" t="str">
        <f>IF(分析!X309&lt;&gt;"",分析!X309,"")</f>
        <v/>
      </c>
      <c r="P309" s="169" t="str">
        <f>IF(分析!L309&lt;&gt;"",分析!L309,"")</f>
        <v/>
      </c>
      <c r="Q309" s="166" t="str">
        <f>IF(分析!S309&lt;&gt;"",分析!S309,"")</f>
        <v/>
      </c>
      <c r="R309" s="166" t="str">
        <f>IF(分析!R309&lt;&gt;"",分析!R309,"")</f>
        <v/>
      </c>
      <c r="S309" s="161" t="str">
        <f>IF(分析!AA309&lt;&gt;"",分析!AA309,"")</f>
        <v/>
      </c>
      <c r="T309" s="170" t="str">
        <f>IF(分析!Z309&lt;&gt;"",分析!Z309,"")</f>
        <v/>
      </c>
      <c r="U309" s="161" t="str">
        <f>IF(分析!V309&lt;&gt;"",分析!V309,"")</f>
        <v/>
      </c>
      <c r="V309" s="171" t="str">
        <f>IF(分析!W309&lt;&gt;"",分析!W309,"")</f>
        <v/>
      </c>
      <c r="W309" s="172" t="str">
        <f>IF(分析!AD309&lt;&gt;"",分析!AD309,"")</f>
        <v/>
      </c>
      <c r="X309" s="173" t="str">
        <f>IF(分析!AE309&lt;&gt;"",分析!AE309,"")</f>
        <v/>
      </c>
      <c r="Y309" s="174" t="str">
        <f>IF(分析!T309&lt;&gt;"",分析!T309,"")</f>
        <v/>
      </c>
      <c r="Z309" s="160" t="str">
        <f>IF(分析!Y309&lt;&gt;"",分析!Y309,"")</f>
        <v/>
      </c>
    </row>
    <row r="310" spans="1:26" ht="21.95" customHeight="1">
      <c r="A310" s="146" t="str">
        <f>IF(分析!C310&lt;&gt;"",ROW()-2,"")</f>
        <v/>
      </c>
      <c r="B310" s="147" t="str">
        <f>IF(分析!C310&lt;&gt;"",HYPERLINK("https://kabutan.jp/stock/?code="&amp;分析!C310,"株探"),"")</f>
        <v/>
      </c>
      <c r="C310" s="148" t="str">
        <f>IF(分析!C310&lt;&gt;"",分析!C310,"")</f>
        <v/>
      </c>
      <c r="D310" s="149" t="str">
        <f>IF(分析!D310&lt;&gt;"",分析!D310,"")</f>
        <v/>
      </c>
      <c r="E310" s="150" t="str">
        <f>IF(分析!E310&lt;&gt;"",分析!E310,"")</f>
        <v/>
      </c>
      <c r="F310" s="151" t="str">
        <f>IF(分析!F310&lt;&gt;"",分析!F310,"")</f>
        <v/>
      </c>
      <c r="G310" s="151" t="str">
        <f>IF(分析!H310&lt;&gt;"",分析!H310,"")</f>
        <v/>
      </c>
      <c r="H310" s="151" t="str">
        <f>IF(分析!I310&lt;&gt;"",分析!I310,"")</f>
        <v/>
      </c>
      <c r="I310" s="151" t="str">
        <f>IF(分析!J310&lt;&gt;"",分析!J310,"")</f>
        <v/>
      </c>
      <c r="J310" s="151" t="str">
        <f>IF(分析!AB310&lt;&gt;"",分析!AB310,"")</f>
        <v/>
      </c>
      <c r="K310" s="151" t="str">
        <f>IF(分析!AC310&lt;&gt;"",分析!AC310,"")</f>
        <v/>
      </c>
      <c r="L310" s="151" t="str">
        <f>IF(分析!K310&lt;&gt;"",分析!K310,"")</f>
        <v/>
      </c>
      <c r="M310" s="146" t="str">
        <f>IF(分析!P310&lt;&gt;"",分析!P310,"")</f>
        <v/>
      </c>
      <c r="N310" s="152" t="str">
        <f>IF(分析!O310&lt;&gt;"",分析!O310,"")</f>
        <v/>
      </c>
      <c r="O310" s="153" t="str">
        <f>IF(分析!X310&lt;&gt;"",分析!X310,"")</f>
        <v/>
      </c>
      <c r="P310" s="154" t="str">
        <f>IF(分析!L310&lt;&gt;"",分析!L310,"")</f>
        <v/>
      </c>
      <c r="Q310" s="151" t="str">
        <f>IF(分析!S310&lt;&gt;"",分析!S310,"")</f>
        <v/>
      </c>
      <c r="R310" s="151" t="str">
        <f>IF(分析!R310&lt;&gt;"",分析!R310,"")</f>
        <v/>
      </c>
      <c r="S310" s="146" t="str">
        <f>IF(分析!AA310&lt;&gt;"",分析!AA310,"")</f>
        <v/>
      </c>
      <c r="T310" s="155" t="str">
        <f>IF(分析!Z310&lt;&gt;"",分析!Z310,"")</f>
        <v/>
      </c>
      <c r="U310" s="146" t="str">
        <f>IF(分析!V310&lt;&gt;"",分析!V310,"")</f>
        <v/>
      </c>
      <c r="V310" s="156" t="str">
        <f>IF(分析!W310&lt;&gt;"",分析!W310,"")</f>
        <v/>
      </c>
      <c r="W310" s="157" t="str">
        <f>IF(分析!AD310&lt;&gt;"",分析!AD310,"")</f>
        <v/>
      </c>
      <c r="X310" s="158" t="str">
        <f>IF(分析!AE310&lt;&gt;"",分析!AE310,"")</f>
        <v/>
      </c>
      <c r="Y310" s="159" t="str">
        <f>IF(分析!T310&lt;&gt;"",分析!T310,"")</f>
        <v/>
      </c>
      <c r="Z310" s="160" t="str">
        <f>IF(分析!Y310&lt;&gt;"",分析!Y310,"")</f>
        <v/>
      </c>
    </row>
    <row r="311" spans="1:26" ht="21.95" customHeight="1">
      <c r="A311" s="161" t="str">
        <f>IF(分析!C311&lt;&gt;"",ROW()-2,"")</f>
        <v/>
      </c>
      <c r="B311" s="162" t="str">
        <f>IF(分析!C311&lt;&gt;"",HYPERLINK("https://kabutan.jp/stock/?code="&amp;分析!C311,"株探"),"")</f>
        <v/>
      </c>
      <c r="C311" s="163" t="str">
        <f>IF(分析!C311&lt;&gt;"",分析!C311,"")</f>
        <v/>
      </c>
      <c r="D311" s="164" t="str">
        <f>IF(分析!D311&lt;&gt;"",分析!D311,"")</f>
        <v/>
      </c>
      <c r="E311" s="165" t="str">
        <f>IF(分析!E311&lt;&gt;"",分析!E311,"")</f>
        <v/>
      </c>
      <c r="F311" s="166" t="str">
        <f>IF(分析!F311&lt;&gt;"",分析!F311,"")</f>
        <v/>
      </c>
      <c r="G311" s="166" t="str">
        <f>IF(分析!H311&lt;&gt;"",分析!H311,"")</f>
        <v/>
      </c>
      <c r="H311" s="166" t="str">
        <f>IF(分析!I311&lt;&gt;"",分析!I311,"")</f>
        <v/>
      </c>
      <c r="I311" s="166" t="str">
        <f>IF(分析!J311&lt;&gt;"",分析!J311,"")</f>
        <v/>
      </c>
      <c r="J311" s="166" t="str">
        <f>IF(分析!AB311&lt;&gt;"",分析!AB311,"")</f>
        <v/>
      </c>
      <c r="K311" s="166" t="str">
        <f>IF(分析!AC311&lt;&gt;"",分析!AC311,"")</f>
        <v/>
      </c>
      <c r="L311" s="166" t="str">
        <f>IF(分析!K311&lt;&gt;"",分析!K311,"")</f>
        <v/>
      </c>
      <c r="M311" s="161" t="str">
        <f>IF(分析!P311&lt;&gt;"",分析!P311,"")</f>
        <v/>
      </c>
      <c r="N311" s="167" t="str">
        <f>IF(分析!O311&lt;&gt;"",分析!O311,"")</f>
        <v/>
      </c>
      <c r="O311" s="168" t="str">
        <f>IF(分析!X311&lt;&gt;"",分析!X311,"")</f>
        <v/>
      </c>
      <c r="P311" s="169" t="str">
        <f>IF(分析!L311&lt;&gt;"",分析!L311,"")</f>
        <v/>
      </c>
      <c r="Q311" s="166" t="str">
        <f>IF(分析!S311&lt;&gt;"",分析!S311,"")</f>
        <v/>
      </c>
      <c r="R311" s="166" t="str">
        <f>IF(分析!R311&lt;&gt;"",分析!R311,"")</f>
        <v/>
      </c>
      <c r="S311" s="161" t="str">
        <f>IF(分析!AA311&lt;&gt;"",分析!AA311,"")</f>
        <v/>
      </c>
      <c r="T311" s="170" t="str">
        <f>IF(分析!Z311&lt;&gt;"",分析!Z311,"")</f>
        <v/>
      </c>
      <c r="U311" s="161" t="str">
        <f>IF(分析!V311&lt;&gt;"",分析!V311,"")</f>
        <v/>
      </c>
      <c r="V311" s="171" t="str">
        <f>IF(分析!W311&lt;&gt;"",分析!W311,"")</f>
        <v/>
      </c>
      <c r="W311" s="172" t="str">
        <f>IF(分析!AD311&lt;&gt;"",分析!AD311,"")</f>
        <v/>
      </c>
      <c r="X311" s="173" t="str">
        <f>IF(分析!AE311&lt;&gt;"",分析!AE311,"")</f>
        <v/>
      </c>
      <c r="Y311" s="174" t="str">
        <f>IF(分析!T311&lt;&gt;"",分析!T311,"")</f>
        <v/>
      </c>
      <c r="Z311" s="160" t="str">
        <f>IF(分析!Y311&lt;&gt;"",分析!Y311,"")</f>
        <v/>
      </c>
    </row>
    <row r="312" spans="1:26" ht="21.95" customHeight="1">
      <c r="A312" s="146" t="str">
        <f>IF(分析!C312&lt;&gt;"",ROW()-2,"")</f>
        <v/>
      </c>
      <c r="B312" s="147" t="str">
        <f>IF(分析!C312&lt;&gt;"",HYPERLINK("https://kabutan.jp/stock/?code="&amp;分析!C312,"株探"),"")</f>
        <v/>
      </c>
      <c r="C312" s="148" t="str">
        <f>IF(分析!C312&lt;&gt;"",分析!C312,"")</f>
        <v/>
      </c>
      <c r="D312" s="149" t="str">
        <f>IF(分析!D312&lt;&gt;"",分析!D312,"")</f>
        <v/>
      </c>
      <c r="E312" s="150" t="str">
        <f>IF(分析!E312&lt;&gt;"",分析!E312,"")</f>
        <v/>
      </c>
      <c r="F312" s="151" t="str">
        <f>IF(分析!F312&lt;&gt;"",分析!F312,"")</f>
        <v/>
      </c>
      <c r="G312" s="151" t="str">
        <f>IF(分析!H312&lt;&gt;"",分析!H312,"")</f>
        <v/>
      </c>
      <c r="H312" s="151" t="str">
        <f>IF(分析!I312&lt;&gt;"",分析!I312,"")</f>
        <v/>
      </c>
      <c r="I312" s="151" t="str">
        <f>IF(分析!J312&lt;&gt;"",分析!J312,"")</f>
        <v/>
      </c>
      <c r="J312" s="151" t="str">
        <f>IF(分析!AB312&lt;&gt;"",分析!AB312,"")</f>
        <v/>
      </c>
      <c r="K312" s="151" t="str">
        <f>IF(分析!AC312&lt;&gt;"",分析!AC312,"")</f>
        <v/>
      </c>
      <c r="L312" s="151" t="str">
        <f>IF(分析!K312&lt;&gt;"",分析!K312,"")</f>
        <v/>
      </c>
      <c r="M312" s="146" t="str">
        <f>IF(分析!P312&lt;&gt;"",分析!P312,"")</f>
        <v/>
      </c>
      <c r="N312" s="152" t="str">
        <f>IF(分析!O312&lt;&gt;"",分析!O312,"")</f>
        <v/>
      </c>
      <c r="O312" s="153" t="str">
        <f>IF(分析!X312&lt;&gt;"",分析!X312,"")</f>
        <v/>
      </c>
      <c r="P312" s="154" t="str">
        <f>IF(分析!L312&lt;&gt;"",分析!L312,"")</f>
        <v/>
      </c>
      <c r="Q312" s="151" t="str">
        <f>IF(分析!S312&lt;&gt;"",分析!S312,"")</f>
        <v/>
      </c>
      <c r="R312" s="151" t="str">
        <f>IF(分析!R312&lt;&gt;"",分析!R312,"")</f>
        <v/>
      </c>
      <c r="S312" s="146" t="str">
        <f>IF(分析!AA312&lt;&gt;"",分析!AA312,"")</f>
        <v/>
      </c>
      <c r="T312" s="155" t="str">
        <f>IF(分析!Z312&lt;&gt;"",分析!Z312,"")</f>
        <v/>
      </c>
      <c r="U312" s="146" t="str">
        <f>IF(分析!V312&lt;&gt;"",分析!V312,"")</f>
        <v/>
      </c>
      <c r="V312" s="156" t="str">
        <f>IF(分析!W312&lt;&gt;"",分析!W312,"")</f>
        <v/>
      </c>
      <c r="W312" s="157" t="str">
        <f>IF(分析!AD312&lt;&gt;"",分析!AD312,"")</f>
        <v/>
      </c>
      <c r="X312" s="158" t="str">
        <f>IF(分析!AE312&lt;&gt;"",分析!AE312,"")</f>
        <v/>
      </c>
      <c r="Y312" s="159" t="str">
        <f>IF(分析!T312&lt;&gt;"",分析!T312,"")</f>
        <v/>
      </c>
      <c r="Z312" s="160" t="str">
        <f>IF(分析!Y312&lt;&gt;"",分析!Y312,"")</f>
        <v/>
      </c>
    </row>
    <row r="313" spans="1:26" ht="21.95" customHeight="1">
      <c r="A313" s="161" t="str">
        <f>IF(分析!C313&lt;&gt;"",ROW()-2,"")</f>
        <v/>
      </c>
      <c r="B313" s="162" t="str">
        <f>IF(分析!C313&lt;&gt;"",HYPERLINK("https://kabutan.jp/stock/?code="&amp;分析!C313,"株探"),"")</f>
        <v/>
      </c>
      <c r="C313" s="163" t="str">
        <f>IF(分析!C313&lt;&gt;"",分析!C313,"")</f>
        <v/>
      </c>
      <c r="D313" s="164" t="str">
        <f>IF(分析!D313&lt;&gt;"",分析!D313,"")</f>
        <v/>
      </c>
      <c r="E313" s="165" t="str">
        <f>IF(分析!E313&lt;&gt;"",分析!E313,"")</f>
        <v/>
      </c>
      <c r="F313" s="166" t="str">
        <f>IF(分析!F313&lt;&gt;"",分析!F313,"")</f>
        <v/>
      </c>
      <c r="G313" s="166" t="str">
        <f>IF(分析!H313&lt;&gt;"",分析!H313,"")</f>
        <v/>
      </c>
      <c r="H313" s="166" t="str">
        <f>IF(分析!I313&lt;&gt;"",分析!I313,"")</f>
        <v/>
      </c>
      <c r="I313" s="166" t="str">
        <f>IF(分析!J313&lt;&gt;"",分析!J313,"")</f>
        <v/>
      </c>
      <c r="J313" s="166" t="str">
        <f>IF(分析!AB313&lt;&gt;"",分析!AB313,"")</f>
        <v/>
      </c>
      <c r="K313" s="166" t="str">
        <f>IF(分析!AC313&lt;&gt;"",分析!AC313,"")</f>
        <v/>
      </c>
      <c r="L313" s="166" t="str">
        <f>IF(分析!K313&lt;&gt;"",分析!K313,"")</f>
        <v/>
      </c>
      <c r="M313" s="161" t="str">
        <f>IF(分析!P313&lt;&gt;"",分析!P313,"")</f>
        <v/>
      </c>
      <c r="N313" s="167" t="str">
        <f>IF(分析!O313&lt;&gt;"",分析!O313,"")</f>
        <v/>
      </c>
      <c r="O313" s="168" t="str">
        <f>IF(分析!X313&lt;&gt;"",分析!X313,"")</f>
        <v/>
      </c>
      <c r="P313" s="169" t="str">
        <f>IF(分析!L313&lt;&gt;"",分析!L313,"")</f>
        <v/>
      </c>
      <c r="Q313" s="166" t="str">
        <f>IF(分析!S313&lt;&gt;"",分析!S313,"")</f>
        <v/>
      </c>
      <c r="R313" s="166" t="str">
        <f>IF(分析!R313&lt;&gt;"",分析!R313,"")</f>
        <v/>
      </c>
      <c r="S313" s="161" t="str">
        <f>IF(分析!AA313&lt;&gt;"",分析!AA313,"")</f>
        <v/>
      </c>
      <c r="T313" s="170" t="str">
        <f>IF(分析!Z313&lt;&gt;"",分析!Z313,"")</f>
        <v/>
      </c>
      <c r="U313" s="161" t="str">
        <f>IF(分析!V313&lt;&gt;"",分析!V313,"")</f>
        <v/>
      </c>
      <c r="V313" s="171" t="str">
        <f>IF(分析!W313&lt;&gt;"",分析!W313,"")</f>
        <v/>
      </c>
      <c r="W313" s="172" t="str">
        <f>IF(分析!AD313&lt;&gt;"",分析!AD313,"")</f>
        <v/>
      </c>
      <c r="X313" s="173" t="str">
        <f>IF(分析!AE313&lt;&gt;"",分析!AE313,"")</f>
        <v/>
      </c>
      <c r="Y313" s="174" t="str">
        <f>IF(分析!T313&lt;&gt;"",分析!T313,"")</f>
        <v/>
      </c>
      <c r="Z313" s="160" t="str">
        <f>IF(分析!Y313&lt;&gt;"",分析!Y313,"")</f>
        <v/>
      </c>
    </row>
    <row r="314" spans="1:26" ht="21.95" customHeight="1">
      <c r="A314" s="146" t="str">
        <f>IF(分析!C314&lt;&gt;"",ROW()-2,"")</f>
        <v/>
      </c>
      <c r="B314" s="147" t="str">
        <f>IF(分析!C314&lt;&gt;"",HYPERLINK("https://kabutan.jp/stock/?code="&amp;分析!C314,"株探"),"")</f>
        <v/>
      </c>
      <c r="C314" s="148" t="str">
        <f>IF(分析!C314&lt;&gt;"",分析!C314,"")</f>
        <v/>
      </c>
      <c r="D314" s="149" t="str">
        <f>IF(分析!D314&lt;&gt;"",分析!D314,"")</f>
        <v/>
      </c>
      <c r="E314" s="150" t="str">
        <f>IF(分析!E314&lt;&gt;"",分析!E314,"")</f>
        <v/>
      </c>
      <c r="F314" s="151" t="str">
        <f>IF(分析!F314&lt;&gt;"",分析!F314,"")</f>
        <v/>
      </c>
      <c r="G314" s="151" t="str">
        <f>IF(分析!H314&lt;&gt;"",分析!H314,"")</f>
        <v/>
      </c>
      <c r="H314" s="151" t="str">
        <f>IF(分析!I314&lt;&gt;"",分析!I314,"")</f>
        <v/>
      </c>
      <c r="I314" s="151" t="str">
        <f>IF(分析!J314&lt;&gt;"",分析!J314,"")</f>
        <v/>
      </c>
      <c r="J314" s="151" t="str">
        <f>IF(分析!AB314&lt;&gt;"",分析!AB314,"")</f>
        <v/>
      </c>
      <c r="K314" s="151" t="str">
        <f>IF(分析!AC314&lt;&gt;"",分析!AC314,"")</f>
        <v/>
      </c>
      <c r="L314" s="151" t="str">
        <f>IF(分析!K314&lt;&gt;"",分析!K314,"")</f>
        <v/>
      </c>
      <c r="M314" s="146" t="str">
        <f>IF(分析!P314&lt;&gt;"",分析!P314,"")</f>
        <v/>
      </c>
      <c r="N314" s="152" t="str">
        <f>IF(分析!O314&lt;&gt;"",分析!O314,"")</f>
        <v/>
      </c>
      <c r="O314" s="153" t="str">
        <f>IF(分析!X314&lt;&gt;"",分析!X314,"")</f>
        <v/>
      </c>
      <c r="P314" s="154" t="str">
        <f>IF(分析!L314&lt;&gt;"",分析!L314,"")</f>
        <v/>
      </c>
      <c r="Q314" s="151" t="str">
        <f>IF(分析!S314&lt;&gt;"",分析!S314,"")</f>
        <v/>
      </c>
      <c r="R314" s="151" t="str">
        <f>IF(分析!R314&lt;&gt;"",分析!R314,"")</f>
        <v/>
      </c>
      <c r="S314" s="146" t="str">
        <f>IF(分析!AA314&lt;&gt;"",分析!AA314,"")</f>
        <v/>
      </c>
      <c r="T314" s="155" t="str">
        <f>IF(分析!Z314&lt;&gt;"",分析!Z314,"")</f>
        <v/>
      </c>
      <c r="U314" s="146" t="str">
        <f>IF(分析!V314&lt;&gt;"",分析!V314,"")</f>
        <v/>
      </c>
      <c r="V314" s="156" t="str">
        <f>IF(分析!W314&lt;&gt;"",分析!W314,"")</f>
        <v/>
      </c>
      <c r="W314" s="157" t="str">
        <f>IF(分析!AD314&lt;&gt;"",分析!AD314,"")</f>
        <v/>
      </c>
      <c r="X314" s="158" t="str">
        <f>IF(分析!AE314&lt;&gt;"",分析!AE314,"")</f>
        <v/>
      </c>
      <c r="Y314" s="159" t="str">
        <f>IF(分析!T314&lt;&gt;"",分析!T314,"")</f>
        <v/>
      </c>
      <c r="Z314" s="160" t="str">
        <f>IF(分析!Y314&lt;&gt;"",分析!Y314,"")</f>
        <v/>
      </c>
    </row>
    <row r="315" spans="1:26" ht="21.95" customHeight="1">
      <c r="A315" s="161" t="str">
        <f>IF(分析!C315&lt;&gt;"",ROW()-2,"")</f>
        <v/>
      </c>
      <c r="B315" s="162" t="str">
        <f>IF(分析!C315&lt;&gt;"",HYPERLINK("https://kabutan.jp/stock/?code="&amp;分析!C315,"株探"),"")</f>
        <v/>
      </c>
      <c r="C315" s="163" t="str">
        <f>IF(分析!C315&lt;&gt;"",分析!C315,"")</f>
        <v/>
      </c>
      <c r="D315" s="164" t="str">
        <f>IF(分析!D315&lt;&gt;"",分析!D315,"")</f>
        <v/>
      </c>
      <c r="E315" s="165" t="str">
        <f>IF(分析!E315&lt;&gt;"",分析!E315,"")</f>
        <v/>
      </c>
      <c r="F315" s="166" t="str">
        <f>IF(分析!F315&lt;&gt;"",分析!F315,"")</f>
        <v/>
      </c>
      <c r="G315" s="166" t="str">
        <f>IF(分析!H315&lt;&gt;"",分析!H315,"")</f>
        <v/>
      </c>
      <c r="H315" s="166" t="str">
        <f>IF(分析!I315&lt;&gt;"",分析!I315,"")</f>
        <v/>
      </c>
      <c r="I315" s="166" t="str">
        <f>IF(分析!J315&lt;&gt;"",分析!J315,"")</f>
        <v/>
      </c>
      <c r="J315" s="166" t="str">
        <f>IF(分析!AB315&lt;&gt;"",分析!AB315,"")</f>
        <v/>
      </c>
      <c r="K315" s="166" t="str">
        <f>IF(分析!AC315&lt;&gt;"",分析!AC315,"")</f>
        <v/>
      </c>
      <c r="L315" s="166" t="str">
        <f>IF(分析!K315&lt;&gt;"",分析!K315,"")</f>
        <v/>
      </c>
      <c r="M315" s="161" t="str">
        <f>IF(分析!P315&lt;&gt;"",分析!P315,"")</f>
        <v/>
      </c>
      <c r="N315" s="167" t="str">
        <f>IF(分析!O315&lt;&gt;"",分析!O315,"")</f>
        <v/>
      </c>
      <c r="O315" s="168" t="str">
        <f>IF(分析!X315&lt;&gt;"",分析!X315,"")</f>
        <v/>
      </c>
      <c r="P315" s="169" t="str">
        <f>IF(分析!L315&lt;&gt;"",分析!L315,"")</f>
        <v/>
      </c>
      <c r="Q315" s="166" t="str">
        <f>IF(分析!S315&lt;&gt;"",分析!S315,"")</f>
        <v/>
      </c>
      <c r="R315" s="166" t="str">
        <f>IF(分析!R315&lt;&gt;"",分析!R315,"")</f>
        <v/>
      </c>
      <c r="S315" s="161" t="str">
        <f>IF(分析!AA315&lt;&gt;"",分析!AA315,"")</f>
        <v/>
      </c>
      <c r="T315" s="170" t="str">
        <f>IF(分析!Z315&lt;&gt;"",分析!Z315,"")</f>
        <v/>
      </c>
      <c r="U315" s="161" t="str">
        <f>IF(分析!V315&lt;&gt;"",分析!V315,"")</f>
        <v/>
      </c>
      <c r="V315" s="171" t="str">
        <f>IF(分析!W315&lt;&gt;"",分析!W315,"")</f>
        <v/>
      </c>
      <c r="W315" s="172" t="str">
        <f>IF(分析!AD315&lt;&gt;"",分析!AD315,"")</f>
        <v/>
      </c>
      <c r="X315" s="173" t="str">
        <f>IF(分析!AE315&lt;&gt;"",分析!AE315,"")</f>
        <v/>
      </c>
      <c r="Y315" s="174" t="str">
        <f>IF(分析!T315&lt;&gt;"",分析!T315,"")</f>
        <v/>
      </c>
      <c r="Z315" s="160" t="str">
        <f>IF(分析!Y315&lt;&gt;"",分析!Y315,"")</f>
        <v/>
      </c>
    </row>
    <row r="316" spans="1:26" ht="21.95" customHeight="1">
      <c r="A316" s="146" t="str">
        <f>IF(分析!C316&lt;&gt;"",ROW()-2,"")</f>
        <v/>
      </c>
      <c r="B316" s="147" t="str">
        <f>IF(分析!C316&lt;&gt;"",HYPERLINK("https://kabutan.jp/stock/?code="&amp;分析!C316,"株探"),"")</f>
        <v/>
      </c>
      <c r="C316" s="148" t="str">
        <f>IF(分析!C316&lt;&gt;"",分析!C316,"")</f>
        <v/>
      </c>
      <c r="D316" s="149" t="str">
        <f>IF(分析!D316&lt;&gt;"",分析!D316,"")</f>
        <v/>
      </c>
      <c r="E316" s="150" t="str">
        <f>IF(分析!E316&lt;&gt;"",分析!E316,"")</f>
        <v/>
      </c>
      <c r="F316" s="151" t="str">
        <f>IF(分析!F316&lt;&gt;"",分析!F316,"")</f>
        <v/>
      </c>
      <c r="G316" s="151" t="str">
        <f>IF(分析!H316&lt;&gt;"",分析!H316,"")</f>
        <v/>
      </c>
      <c r="H316" s="151" t="str">
        <f>IF(分析!I316&lt;&gt;"",分析!I316,"")</f>
        <v/>
      </c>
      <c r="I316" s="151" t="str">
        <f>IF(分析!J316&lt;&gt;"",分析!J316,"")</f>
        <v/>
      </c>
      <c r="J316" s="151" t="str">
        <f>IF(分析!AB316&lt;&gt;"",分析!AB316,"")</f>
        <v/>
      </c>
      <c r="K316" s="151" t="str">
        <f>IF(分析!AC316&lt;&gt;"",分析!AC316,"")</f>
        <v/>
      </c>
      <c r="L316" s="151" t="str">
        <f>IF(分析!K316&lt;&gt;"",分析!K316,"")</f>
        <v/>
      </c>
      <c r="M316" s="146" t="str">
        <f>IF(分析!P316&lt;&gt;"",分析!P316,"")</f>
        <v/>
      </c>
      <c r="N316" s="152" t="str">
        <f>IF(分析!O316&lt;&gt;"",分析!O316,"")</f>
        <v/>
      </c>
      <c r="O316" s="153" t="str">
        <f>IF(分析!X316&lt;&gt;"",分析!X316,"")</f>
        <v/>
      </c>
      <c r="P316" s="154" t="str">
        <f>IF(分析!L316&lt;&gt;"",分析!L316,"")</f>
        <v/>
      </c>
      <c r="Q316" s="151" t="str">
        <f>IF(分析!S316&lt;&gt;"",分析!S316,"")</f>
        <v/>
      </c>
      <c r="R316" s="151" t="str">
        <f>IF(分析!R316&lt;&gt;"",分析!R316,"")</f>
        <v/>
      </c>
      <c r="S316" s="146" t="str">
        <f>IF(分析!AA316&lt;&gt;"",分析!AA316,"")</f>
        <v/>
      </c>
      <c r="T316" s="155" t="str">
        <f>IF(分析!Z316&lt;&gt;"",分析!Z316,"")</f>
        <v/>
      </c>
      <c r="U316" s="146" t="str">
        <f>IF(分析!V316&lt;&gt;"",分析!V316,"")</f>
        <v/>
      </c>
      <c r="V316" s="156" t="str">
        <f>IF(分析!W316&lt;&gt;"",分析!W316,"")</f>
        <v/>
      </c>
      <c r="W316" s="157" t="str">
        <f>IF(分析!AD316&lt;&gt;"",分析!AD316,"")</f>
        <v/>
      </c>
      <c r="X316" s="158" t="str">
        <f>IF(分析!AE316&lt;&gt;"",分析!AE316,"")</f>
        <v/>
      </c>
      <c r="Y316" s="159" t="str">
        <f>IF(分析!T316&lt;&gt;"",分析!T316,"")</f>
        <v/>
      </c>
      <c r="Z316" s="160" t="str">
        <f>IF(分析!Y316&lt;&gt;"",分析!Y316,"")</f>
        <v/>
      </c>
    </row>
    <row r="317" spans="1:26" ht="21.95" customHeight="1">
      <c r="A317" s="161" t="str">
        <f>IF(分析!C317&lt;&gt;"",ROW()-2,"")</f>
        <v/>
      </c>
      <c r="B317" s="162" t="str">
        <f>IF(分析!C317&lt;&gt;"",HYPERLINK("https://kabutan.jp/stock/?code="&amp;分析!C317,"株探"),"")</f>
        <v/>
      </c>
      <c r="C317" s="163" t="str">
        <f>IF(分析!C317&lt;&gt;"",分析!C317,"")</f>
        <v/>
      </c>
      <c r="D317" s="164" t="str">
        <f>IF(分析!D317&lt;&gt;"",分析!D317,"")</f>
        <v/>
      </c>
      <c r="E317" s="165" t="str">
        <f>IF(分析!E317&lt;&gt;"",分析!E317,"")</f>
        <v/>
      </c>
      <c r="F317" s="166" t="str">
        <f>IF(分析!F317&lt;&gt;"",分析!F317,"")</f>
        <v/>
      </c>
      <c r="G317" s="166" t="str">
        <f>IF(分析!H317&lt;&gt;"",分析!H317,"")</f>
        <v/>
      </c>
      <c r="H317" s="166" t="str">
        <f>IF(分析!I317&lt;&gt;"",分析!I317,"")</f>
        <v/>
      </c>
      <c r="I317" s="166" t="str">
        <f>IF(分析!J317&lt;&gt;"",分析!J317,"")</f>
        <v/>
      </c>
      <c r="J317" s="166" t="str">
        <f>IF(分析!AB317&lt;&gt;"",分析!AB317,"")</f>
        <v/>
      </c>
      <c r="K317" s="166" t="str">
        <f>IF(分析!AC317&lt;&gt;"",分析!AC317,"")</f>
        <v/>
      </c>
      <c r="L317" s="166" t="str">
        <f>IF(分析!K317&lt;&gt;"",分析!K317,"")</f>
        <v/>
      </c>
      <c r="M317" s="161" t="str">
        <f>IF(分析!P317&lt;&gt;"",分析!P317,"")</f>
        <v/>
      </c>
      <c r="N317" s="167" t="str">
        <f>IF(分析!O317&lt;&gt;"",分析!O317,"")</f>
        <v/>
      </c>
      <c r="O317" s="168" t="str">
        <f>IF(分析!X317&lt;&gt;"",分析!X317,"")</f>
        <v/>
      </c>
      <c r="P317" s="169" t="str">
        <f>IF(分析!L317&lt;&gt;"",分析!L317,"")</f>
        <v/>
      </c>
      <c r="Q317" s="166" t="str">
        <f>IF(分析!S317&lt;&gt;"",分析!S317,"")</f>
        <v/>
      </c>
      <c r="R317" s="166" t="str">
        <f>IF(分析!R317&lt;&gt;"",分析!R317,"")</f>
        <v/>
      </c>
      <c r="S317" s="161" t="str">
        <f>IF(分析!AA317&lt;&gt;"",分析!AA317,"")</f>
        <v/>
      </c>
      <c r="T317" s="170" t="str">
        <f>IF(分析!Z317&lt;&gt;"",分析!Z317,"")</f>
        <v/>
      </c>
      <c r="U317" s="161" t="str">
        <f>IF(分析!V317&lt;&gt;"",分析!V317,"")</f>
        <v/>
      </c>
      <c r="V317" s="171" t="str">
        <f>IF(分析!W317&lt;&gt;"",分析!W317,"")</f>
        <v/>
      </c>
      <c r="W317" s="172" t="str">
        <f>IF(分析!AD317&lt;&gt;"",分析!AD317,"")</f>
        <v/>
      </c>
      <c r="X317" s="173" t="str">
        <f>IF(分析!AE317&lt;&gt;"",分析!AE317,"")</f>
        <v/>
      </c>
      <c r="Y317" s="174" t="str">
        <f>IF(分析!T317&lt;&gt;"",分析!T317,"")</f>
        <v/>
      </c>
      <c r="Z317" s="160" t="str">
        <f>IF(分析!Y317&lt;&gt;"",分析!Y317,"")</f>
        <v/>
      </c>
    </row>
    <row r="318" spans="1:26" ht="21.95" customHeight="1">
      <c r="A318" s="146" t="str">
        <f>IF(分析!C318&lt;&gt;"",ROW()-2,"")</f>
        <v/>
      </c>
      <c r="B318" s="147" t="str">
        <f>IF(分析!C318&lt;&gt;"",HYPERLINK("https://kabutan.jp/stock/?code="&amp;分析!C318,"株探"),"")</f>
        <v/>
      </c>
      <c r="C318" s="148" t="str">
        <f>IF(分析!C318&lt;&gt;"",分析!C318,"")</f>
        <v/>
      </c>
      <c r="D318" s="149" t="str">
        <f>IF(分析!D318&lt;&gt;"",分析!D318,"")</f>
        <v/>
      </c>
      <c r="E318" s="150" t="str">
        <f>IF(分析!E318&lt;&gt;"",分析!E318,"")</f>
        <v/>
      </c>
      <c r="F318" s="151" t="str">
        <f>IF(分析!F318&lt;&gt;"",分析!F318,"")</f>
        <v/>
      </c>
      <c r="G318" s="151" t="str">
        <f>IF(分析!H318&lt;&gt;"",分析!H318,"")</f>
        <v/>
      </c>
      <c r="H318" s="151" t="str">
        <f>IF(分析!I318&lt;&gt;"",分析!I318,"")</f>
        <v/>
      </c>
      <c r="I318" s="151" t="str">
        <f>IF(分析!J318&lt;&gt;"",分析!J318,"")</f>
        <v/>
      </c>
      <c r="J318" s="151" t="str">
        <f>IF(分析!AB318&lt;&gt;"",分析!AB318,"")</f>
        <v/>
      </c>
      <c r="K318" s="151" t="str">
        <f>IF(分析!AC318&lt;&gt;"",分析!AC318,"")</f>
        <v/>
      </c>
      <c r="L318" s="151" t="str">
        <f>IF(分析!K318&lt;&gt;"",分析!K318,"")</f>
        <v/>
      </c>
      <c r="M318" s="146" t="str">
        <f>IF(分析!P318&lt;&gt;"",分析!P318,"")</f>
        <v/>
      </c>
      <c r="N318" s="152" t="str">
        <f>IF(分析!O318&lt;&gt;"",分析!O318,"")</f>
        <v/>
      </c>
      <c r="O318" s="153" t="str">
        <f>IF(分析!X318&lt;&gt;"",分析!X318,"")</f>
        <v/>
      </c>
      <c r="P318" s="154" t="str">
        <f>IF(分析!L318&lt;&gt;"",分析!L318,"")</f>
        <v/>
      </c>
      <c r="Q318" s="151" t="str">
        <f>IF(分析!S318&lt;&gt;"",分析!S318,"")</f>
        <v/>
      </c>
      <c r="R318" s="151" t="str">
        <f>IF(分析!R318&lt;&gt;"",分析!R318,"")</f>
        <v/>
      </c>
      <c r="S318" s="146" t="str">
        <f>IF(分析!AA318&lt;&gt;"",分析!AA318,"")</f>
        <v/>
      </c>
      <c r="T318" s="155" t="str">
        <f>IF(分析!Z318&lt;&gt;"",分析!Z318,"")</f>
        <v/>
      </c>
      <c r="U318" s="146" t="str">
        <f>IF(分析!V318&lt;&gt;"",分析!V318,"")</f>
        <v/>
      </c>
      <c r="V318" s="156" t="str">
        <f>IF(分析!W318&lt;&gt;"",分析!W318,"")</f>
        <v/>
      </c>
      <c r="W318" s="157" t="str">
        <f>IF(分析!AD318&lt;&gt;"",分析!AD318,"")</f>
        <v/>
      </c>
      <c r="X318" s="158" t="str">
        <f>IF(分析!AE318&lt;&gt;"",分析!AE318,"")</f>
        <v/>
      </c>
      <c r="Y318" s="159" t="str">
        <f>IF(分析!T318&lt;&gt;"",分析!T318,"")</f>
        <v/>
      </c>
      <c r="Z318" s="160" t="str">
        <f>IF(分析!Y318&lt;&gt;"",分析!Y318,"")</f>
        <v/>
      </c>
    </row>
    <row r="319" spans="1:26" ht="21.95" customHeight="1">
      <c r="A319" s="161" t="str">
        <f>IF(分析!C319&lt;&gt;"",ROW()-2,"")</f>
        <v/>
      </c>
      <c r="B319" s="162" t="str">
        <f>IF(分析!C319&lt;&gt;"",HYPERLINK("https://kabutan.jp/stock/?code="&amp;分析!C319,"株探"),"")</f>
        <v/>
      </c>
      <c r="C319" s="163" t="str">
        <f>IF(分析!C319&lt;&gt;"",分析!C319,"")</f>
        <v/>
      </c>
      <c r="D319" s="164" t="str">
        <f>IF(分析!D319&lt;&gt;"",分析!D319,"")</f>
        <v/>
      </c>
      <c r="E319" s="165" t="str">
        <f>IF(分析!E319&lt;&gt;"",分析!E319,"")</f>
        <v/>
      </c>
      <c r="F319" s="166" t="str">
        <f>IF(分析!F319&lt;&gt;"",分析!F319,"")</f>
        <v/>
      </c>
      <c r="G319" s="166" t="str">
        <f>IF(分析!H319&lt;&gt;"",分析!H319,"")</f>
        <v/>
      </c>
      <c r="H319" s="166" t="str">
        <f>IF(分析!I319&lt;&gt;"",分析!I319,"")</f>
        <v/>
      </c>
      <c r="I319" s="166" t="str">
        <f>IF(分析!J319&lt;&gt;"",分析!J319,"")</f>
        <v/>
      </c>
      <c r="J319" s="166" t="str">
        <f>IF(分析!AB319&lt;&gt;"",分析!AB319,"")</f>
        <v/>
      </c>
      <c r="K319" s="166" t="str">
        <f>IF(分析!AC319&lt;&gt;"",分析!AC319,"")</f>
        <v/>
      </c>
      <c r="L319" s="166" t="str">
        <f>IF(分析!K319&lt;&gt;"",分析!K319,"")</f>
        <v/>
      </c>
      <c r="M319" s="161" t="str">
        <f>IF(分析!P319&lt;&gt;"",分析!P319,"")</f>
        <v/>
      </c>
      <c r="N319" s="167" t="str">
        <f>IF(分析!O319&lt;&gt;"",分析!O319,"")</f>
        <v/>
      </c>
      <c r="O319" s="168" t="str">
        <f>IF(分析!X319&lt;&gt;"",分析!X319,"")</f>
        <v/>
      </c>
      <c r="P319" s="169" t="str">
        <f>IF(分析!L319&lt;&gt;"",分析!L319,"")</f>
        <v/>
      </c>
      <c r="Q319" s="166" t="str">
        <f>IF(分析!S319&lt;&gt;"",分析!S319,"")</f>
        <v/>
      </c>
      <c r="R319" s="166" t="str">
        <f>IF(分析!R319&lt;&gt;"",分析!R319,"")</f>
        <v/>
      </c>
      <c r="S319" s="161" t="str">
        <f>IF(分析!AA319&lt;&gt;"",分析!AA319,"")</f>
        <v/>
      </c>
      <c r="T319" s="170" t="str">
        <f>IF(分析!Z319&lt;&gt;"",分析!Z319,"")</f>
        <v/>
      </c>
      <c r="U319" s="161" t="str">
        <f>IF(分析!V319&lt;&gt;"",分析!V319,"")</f>
        <v/>
      </c>
      <c r="V319" s="171" t="str">
        <f>IF(分析!W319&lt;&gt;"",分析!W319,"")</f>
        <v/>
      </c>
      <c r="W319" s="172" t="str">
        <f>IF(分析!AD319&lt;&gt;"",分析!AD319,"")</f>
        <v/>
      </c>
      <c r="X319" s="173" t="str">
        <f>IF(分析!AE319&lt;&gt;"",分析!AE319,"")</f>
        <v/>
      </c>
      <c r="Y319" s="174" t="str">
        <f>IF(分析!T319&lt;&gt;"",分析!T319,"")</f>
        <v/>
      </c>
      <c r="Z319" s="160" t="str">
        <f>IF(分析!Y319&lt;&gt;"",分析!Y319,"")</f>
        <v/>
      </c>
    </row>
    <row r="320" spans="1:26" ht="21.95" customHeight="1">
      <c r="A320" s="146" t="str">
        <f>IF(分析!C320&lt;&gt;"",ROW()-2,"")</f>
        <v/>
      </c>
      <c r="B320" s="147" t="str">
        <f>IF(分析!C320&lt;&gt;"",HYPERLINK("https://kabutan.jp/stock/?code="&amp;分析!C320,"株探"),"")</f>
        <v/>
      </c>
      <c r="C320" s="148" t="str">
        <f>IF(分析!C320&lt;&gt;"",分析!C320,"")</f>
        <v/>
      </c>
      <c r="D320" s="149" t="str">
        <f>IF(分析!D320&lt;&gt;"",分析!D320,"")</f>
        <v/>
      </c>
      <c r="E320" s="150" t="str">
        <f>IF(分析!E320&lt;&gt;"",分析!E320,"")</f>
        <v/>
      </c>
      <c r="F320" s="151" t="str">
        <f>IF(分析!F320&lt;&gt;"",分析!F320,"")</f>
        <v/>
      </c>
      <c r="G320" s="151" t="str">
        <f>IF(分析!H320&lt;&gt;"",分析!H320,"")</f>
        <v/>
      </c>
      <c r="H320" s="151" t="str">
        <f>IF(分析!I320&lt;&gt;"",分析!I320,"")</f>
        <v/>
      </c>
      <c r="I320" s="151" t="str">
        <f>IF(分析!J320&lt;&gt;"",分析!J320,"")</f>
        <v/>
      </c>
      <c r="J320" s="151" t="str">
        <f>IF(分析!AB320&lt;&gt;"",分析!AB320,"")</f>
        <v/>
      </c>
      <c r="K320" s="151" t="str">
        <f>IF(分析!AC320&lt;&gt;"",分析!AC320,"")</f>
        <v/>
      </c>
      <c r="L320" s="151" t="str">
        <f>IF(分析!K320&lt;&gt;"",分析!K320,"")</f>
        <v/>
      </c>
      <c r="M320" s="146" t="str">
        <f>IF(分析!P320&lt;&gt;"",分析!P320,"")</f>
        <v/>
      </c>
      <c r="N320" s="152" t="str">
        <f>IF(分析!O320&lt;&gt;"",分析!O320,"")</f>
        <v/>
      </c>
      <c r="O320" s="153" t="str">
        <f>IF(分析!X320&lt;&gt;"",分析!X320,"")</f>
        <v/>
      </c>
      <c r="P320" s="154" t="str">
        <f>IF(分析!L320&lt;&gt;"",分析!L320,"")</f>
        <v/>
      </c>
      <c r="Q320" s="151" t="str">
        <f>IF(分析!S320&lt;&gt;"",分析!S320,"")</f>
        <v/>
      </c>
      <c r="R320" s="151" t="str">
        <f>IF(分析!R320&lt;&gt;"",分析!R320,"")</f>
        <v/>
      </c>
      <c r="S320" s="146" t="str">
        <f>IF(分析!AA320&lt;&gt;"",分析!AA320,"")</f>
        <v/>
      </c>
      <c r="T320" s="155" t="str">
        <f>IF(分析!Z320&lt;&gt;"",分析!Z320,"")</f>
        <v/>
      </c>
      <c r="U320" s="146" t="str">
        <f>IF(分析!V320&lt;&gt;"",分析!V320,"")</f>
        <v/>
      </c>
      <c r="V320" s="156" t="str">
        <f>IF(分析!W320&lt;&gt;"",分析!W320,"")</f>
        <v/>
      </c>
      <c r="W320" s="157" t="str">
        <f>IF(分析!AD320&lt;&gt;"",分析!AD320,"")</f>
        <v/>
      </c>
      <c r="X320" s="158" t="str">
        <f>IF(分析!AE320&lt;&gt;"",分析!AE320,"")</f>
        <v/>
      </c>
      <c r="Y320" s="159" t="str">
        <f>IF(分析!T320&lt;&gt;"",分析!T320,"")</f>
        <v/>
      </c>
      <c r="Z320" s="160" t="str">
        <f>IF(分析!Y320&lt;&gt;"",分析!Y320,"")</f>
        <v/>
      </c>
    </row>
    <row r="321" spans="1:26" ht="21.95" customHeight="1">
      <c r="A321" s="161" t="str">
        <f>IF(分析!C321&lt;&gt;"",ROW()-2,"")</f>
        <v/>
      </c>
      <c r="B321" s="162" t="str">
        <f>IF(分析!C321&lt;&gt;"",HYPERLINK("https://kabutan.jp/stock/?code="&amp;分析!C321,"株探"),"")</f>
        <v/>
      </c>
      <c r="C321" s="163" t="str">
        <f>IF(分析!C321&lt;&gt;"",分析!C321,"")</f>
        <v/>
      </c>
      <c r="D321" s="164" t="str">
        <f>IF(分析!D321&lt;&gt;"",分析!D321,"")</f>
        <v/>
      </c>
      <c r="E321" s="165" t="str">
        <f>IF(分析!E321&lt;&gt;"",分析!E321,"")</f>
        <v/>
      </c>
      <c r="F321" s="166" t="str">
        <f>IF(分析!F321&lt;&gt;"",分析!F321,"")</f>
        <v/>
      </c>
      <c r="G321" s="166" t="str">
        <f>IF(分析!H321&lt;&gt;"",分析!H321,"")</f>
        <v/>
      </c>
      <c r="H321" s="166" t="str">
        <f>IF(分析!I321&lt;&gt;"",分析!I321,"")</f>
        <v/>
      </c>
      <c r="I321" s="166" t="str">
        <f>IF(分析!J321&lt;&gt;"",分析!J321,"")</f>
        <v/>
      </c>
      <c r="J321" s="166" t="str">
        <f>IF(分析!AB321&lt;&gt;"",分析!AB321,"")</f>
        <v/>
      </c>
      <c r="K321" s="166" t="str">
        <f>IF(分析!AC321&lt;&gt;"",分析!AC321,"")</f>
        <v/>
      </c>
      <c r="L321" s="166" t="str">
        <f>IF(分析!K321&lt;&gt;"",分析!K321,"")</f>
        <v/>
      </c>
      <c r="M321" s="161" t="str">
        <f>IF(分析!P321&lt;&gt;"",分析!P321,"")</f>
        <v/>
      </c>
      <c r="N321" s="167" t="str">
        <f>IF(分析!O321&lt;&gt;"",分析!O321,"")</f>
        <v/>
      </c>
      <c r="O321" s="168" t="str">
        <f>IF(分析!X321&lt;&gt;"",分析!X321,"")</f>
        <v/>
      </c>
      <c r="P321" s="169" t="str">
        <f>IF(分析!L321&lt;&gt;"",分析!L321,"")</f>
        <v/>
      </c>
      <c r="Q321" s="166" t="str">
        <f>IF(分析!S321&lt;&gt;"",分析!S321,"")</f>
        <v/>
      </c>
      <c r="R321" s="166" t="str">
        <f>IF(分析!R321&lt;&gt;"",分析!R321,"")</f>
        <v/>
      </c>
      <c r="S321" s="161" t="str">
        <f>IF(分析!AA321&lt;&gt;"",分析!AA321,"")</f>
        <v/>
      </c>
      <c r="T321" s="170" t="str">
        <f>IF(分析!Z321&lt;&gt;"",分析!Z321,"")</f>
        <v/>
      </c>
      <c r="U321" s="161" t="str">
        <f>IF(分析!V321&lt;&gt;"",分析!V321,"")</f>
        <v/>
      </c>
      <c r="V321" s="171" t="str">
        <f>IF(分析!W321&lt;&gt;"",分析!W321,"")</f>
        <v/>
      </c>
      <c r="W321" s="172" t="str">
        <f>IF(分析!AD321&lt;&gt;"",分析!AD321,"")</f>
        <v/>
      </c>
      <c r="X321" s="173" t="str">
        <f>IF(分析!AE321&lt;&gt;"",分析!AE321,"")</f>
        <v/>
      </c>
      <c r="Y321" s="174" t="str">
        <f>IF(分析!T321&lt;&gt;"",分析!T321,"")</f>
        <v/>
      </c>
      <c r="Z321" s="160" t="str">
        <f>IF(分析!Y321&lt;&gt;"",分析!Y321,"")</f>
        <v/>
      </c>
    </row>
    <row r="322" spans="1:26" ht="21.95" customHeight="1">
      <c r="A322" s="146" t="str">
        <f>IF(分析!C322&lt;&gt;"",ROW()-2,"")</f>
        <v/>
      </c>
      <c r="B322" s="147" t="str">
        <f>IF(分析!C322&lt;&gt;"",HYPERLINK("https://kabutan.jp/stock/?code="&amp;分析!C322,"株探"),"")</f>
        <v/>
      </c>
      <c r="C322" s="148" t="str">
        <f>IF(分析!C322&lt;&gt;"",分析!C322,"")</f>
        <v/>
      </c>
      <c r="D322" s="149" t="str">
        <f>IF(分析!D322&lt;&gt;"",分析!D322,"")</f>
        <v/>
      </c>
      <c r="E322" s="150" t="str">
        <f>IF(分析!E322&lt;&gt;"",分析!E322,"")</f>
        <v/>
      </c>
      <c r="F322" s="151" t="str">
        <f>IF(分析!F322&lt;&gt;"",分析!F322,"")</f>
        <v/>
      </c>
      <c r="G322" s="151" t="str">
        <f>IF(分析!H322&lt;&gt;"",分析!H322,"")</f>
        <v/>
      </c>
      <c r="H322" s="151" t="str">
        <f>IF(分析!I322&lt;&gt;"",分析!I322,"")</f>
        <v/>
      </c>
      <c r="I322" s="151" t="str">
        <f>IF(分析!J322&lt;&gt;"",分析!J322,"")</f>
        <v/>
      </c>
      <c r="J322" s="151" t="str">
        <f>IF(分析!AB322&lt;&gt;"",分析!AB322,"")</f>
        <v/>
      </c>
      <c r="K322" s="151" t="str">
        <f>IF(分析!AC322&lt;&gt;"",分析!AC322,"")</f>
        <v/>
      </c>
      <c r="L322" s="151" t="str">
        <f>IF(分析!K322&lt;&gt;"",分析!K322,"")</f>
        <v/>
      </c>
      <c r="M322" s="146" t="str">
        <f>IF(分析!P322&lt;&gt;"",分析!P322,"")</f>
        <v/>
      </c>
      <c r="N322" s="152" t="str">
        <f>IF(分析!O322&lt;&gt;"",分析!O322,"")</f>
        <v/>
      </c>
      <c r="O322" s="153" t="str">
        <f>IF(分析!X322&lt;&gt;"",分析!X322,"")</f>
        <v/>
      </c>
      <c r="P322" s="154" t="str">
        <f>IF(分析!L322&lt;&gt;"",分析!L322,"")</f>
        <v/>
      </c>
      <c r="Q322" s="151" t="str">
        <f>IF(分析!S322&lt;&gt;"",分析!S322,"")</f>
        <v/>
      </c>
      <c r="R322" s="151" t="str">
        <f>IF(分析!R322&lt;&gt;"",分析!R322,"")</f>
        <v/>
      </c>
      <c r="S322" s="146" t="str">
        <f>IF(分析!AA322&lt;&gt;"",分析!AA322,"")</f>
        <v/>
      </c>
      <c r="T322" s="155" t="str">
        <f>IF(分析!Z322&lt;&gt;"",分析!Z322,"")</f>
        <v/>
      </c>
      <c r="U322" s="146" t="str">
        <f>IF(分析!V322&lt;&gt;"",分析!V322,"")</f>
        <v/>
      </c>
      <c r="V322" s="156" t="str">
        <f>IF(分析!W322&lt;&gt;"",分析!W322,"")</f>
        <v/>
      </c>
      <c r="W322" s="157" t="str">
        <f>IF(分析!AD322&lt;&gt;"",分析!AD322,"")</f>
        <v/>
      </c>
      <c r="X322" s="158" t="str">
        <f>IF(分析!AE322&lt;&gt;"",分析!AE322,"")</f>
        <v/>
      </c>
      <c r="Y322" s="159" t="str">
        <f>IF(分析!T322&lt;&gt;"",分析!T322,"")</f>
        <v/>
      </c>
      <c r="Z322" s="160" t="str">
        <f>IF(分析!Y322&lt;&gt;"",分析!Y322,"")</f>
        <v/>
      </c>
    </row>
    <row r="323" spans="1:26" ht="21.95" customHeight="1">
      <c r="A323" s="161" t="str">
        <f>IF(分析!C323&lt;&gt;"",ROW()-2,"")</f>
        <v/>
      </c>
      <c r="B323" s="162" t="str">
        <f>IF(分析!C323&lt;&gt;"",HYPERLINK("https://kabutan.jp/stock/?code="&amp;分析!C323,"株探"),"")</f>
        <v/>
      </c>
      <c r="C323" s="163" t="str">
        <f>IF(分析!C323&lt;&gt;"",分析!C323,"")</f>
        <v/>
      </c>
      <c r="D323" s="164" t="str">
        <f>IF(分析!D323&lt;&gt;"",分析!D323,"")</f>
        <v/>
      </c>
      <c r="E323" s="165" t="str">
        <f>IF(分析!E323&lt;&gt;"",分析!E323,"")</f>
        <v/>
      </c>
      <c r="F323" s="166" t="str">
        <f>IF(分析!F323&lt;&gt;"",分析!F323,"")</f>
        <v/>
      </c>
      <c r="G323" s="166" t="str">
        <f>IF(分析!H323&lt;&gt;"",分析!H323,"")</f>
        <v/>
      </c>
      <c r="H323" s="166" t="str">
        <f>IF(分析!I323&lt;&gt;"",分析!I323,"")</f>
        <v/>
      </c>
      <c r="I323" s="166" t="str">
        <f>IF(分析!J323&lt;&gt;"",分析!J323,"")</f>
        <v/>
      </c>
      <c r="J323" s="166" t="str">
        <f>IF(分析!AB323&lt;&gt;"",分析!AB323,"")</f>
        <v/>
      </c>
      <c r="K323" s="166" t="str">
        <f>IF(分析!AC323&lt;&gt;"",分析!AC323,"")</f>
        <v/>
      </c>
      <c r="L323" s="166" t="str">
        <f>IF(分析!K323&lt;&gt;"",分析!K323,"")</f>
        <v/>
      </c>
      <c r="M323" s="161" t="str">
        <f>IF(分析!P323&lt;&gt;"",分析!P323,"")</f>
        <v/>
      </c>
      <c r="N323" s="167" t="str">
        <f>IF(分析!O323&lt;&gt;"",分析!O323,"")</f>
        <v/>
      </c>
      <c r="O323" s="168" t="str">
        <f>IF(分析!X323&lt;&gt;"",分析!X323,"")</f>
        <v/>
      </c>
      <c r="P323" s="169" t="str">
        <f>IF(分析!L323&lt;&gt;"",分析!L323,"")</f>
        <v/>
      </c>
      <c r="Q323" s="166" t="str">
        <f>IF(分析!S323&lt;&gt;"",分析!S323,"")</f>
        <v/>
      </c>
      <c r="R323" s="166" t="str">
        <f>IF(分析!R323&lt;&gt;"",分析!R323,"")</f>
        <v/>
      </c>
      <c r="S323" s="161" t="str">
        <f>IF(分析!AA323&lt;&gt;"",分析!AA323,"")</f>
        <v/>
      </c>
      <c r="T323" s="170" t="str">
        <f>IF(分析!Z323&lt;&gt;"",分析!Z323,"")</f>
        <v/>
      </c>
      <c r="U323" s="161" t="str">
        <f>IF(分析!V323&lt;&gt;"",分析!V323,"")</f>
        <v/>
      </c>
      <c r="V323" s="171" t="str">
        <f>IF(分析!W323&lt;&gt;"",分析!W323,"")</f>
        <v/>
      </c>
      <c r="W323" s="172" t="str">
        <f>IF(分析!AD323&lt;&gt;"",分析!AD323,"")</f>
        <v/>
      </c>
      <c r="X323" s="173" t="str">
        <f>IF(分析!AE323&lt;&gt;"",分析!AE323,"")</f>
        <v/>
      </c>
      <c r="Y323" s="174" t="str">
        <f>IF(分析!T323&lt;&gt;"",分析!T323,"")</f>
        <v/>
      </c>
      <c r="Z323" s="160" t="str">
        <f>IF(分析!Y323&lt;&gt;"",分析!Y323,"")</f>
        <v/>
      </c>
    </row>
    <row r="324" spans="1:26" ht="21.95" customHeight="1">
      <c r="A324" s="146" t="str">
        <f>IF(分析!C324&lt;&gt;"",ROW()-2,"")</f>
        <v/>
      </c>
      <c r="B324" s="147" t="str">
        <f>IF(分析!C324&lt;&gt;"",HYPERLINK("https://kabutan.jp/stock/?code="&amp;分析!C324,"株探"),"")</f>
        <v/>
      </c>
      <c r="C324" s="148" t="str">
        <f>IF(分析!C324&lt;&gt;"",分析!C324,"")</f>
        <v/>
      </c>
      <c r="D324" s="149" t="str">
        <f>IF(分析!D324&lt;&gt;"",分析!D324,"")</f>
        <v/>
      </c>
      <c r="E324" s="150" t="str">
        <f>IF(分析!E324&lt;&gt;"",分析!E324,"")</f>
        <v/>
      </c>
      <c r="F324" s="151" t="str">
        <f>IF(分析!F324&lt;&gt;"",分析!F324,"")</f>
        <v/>
      </c>
      <c r="G324" s="151" t="str">
        <f>IF(分析!H324&lt;&gt;"",分析!H324,"")</f>
        <v/>
      </c>
      <c r="H324" s="151" t="str">
        <f>IF(分析!I324&lt;&gt;"",分析!I324,"")</f>
        <v/>
      </c>
      <c r="I324" s="151" t="str">
        <f>IF(分析!J324&lt;&gt;"",分析!J324,"")</f>
        <v/>
      </c>
      <c r="J324" s="151" t="str">
        <f>IF(分析!AB324&lt;&gt;"",分析!AB324,"")</f>
        <v/>
      </c>
      <c r="K324" s="151" t="str">
        <f>IF(分析!AC324&lt;&gt;"",分析!AC324,"")</f>
        <v/>
      </c>
      <c r="L324" s="151" t="str">
        <f>IF(分析!K324&lt;&gt;"",分析!K324,"")</f>
        <v/>
      </c>
      <c r="M324" s="146" t="str">
        <f>IF(分析!P324&lt;&gt;"",分析!P324,"")</f>
        <v/>
      </c>
      <c r="N324" s="152" t="str">
        <f>IF(分析!O324&lt;&gt;"",分析!O324,"")</f>
        <v/>
      </c>
      <c r="O324" s="153" t="str">
        <f>IF(分析!X324&lt;&gt;"",分析!X324,"")</f>
        <v/>
      </c>
      <c r="P324" s="154" t="str">
        <f>IF(分析!L324&lt;&gt;"",分析!L324,"")</f>
        <v/>
      </c>
      <c r="Q324" s="151" t="str">
        <f>IF(分析!S324&lt;&gt;"",分析!S324,"")</f>
        <v/>
      </c>
      <c r="R324" s="151" t="str">
        <f>IF(分析!R324&lt;&gt;"",分析!R324,"")</f>
        <v/>
      </c>
      <c r="S324" s="146" t="str">
        <f>IF(分析!AA324&lt;&gt;"",分析!AA324,"")</f>
        <v/>
      </c>
      <c r="T324" s="155" t="str">
        <f>IF(分析!Z324&lt;&gt;"",分析!Z324,"")</f>
        <v/>
      </c>
      <c r="U324" s="146" t="str">
        <f>IF(分析!V324&lt;&gt;"",分析!V324,"")</f>
        <v/>
      </c>
      <c r="V324" s="156" t="str">
        <f>IF(分析!W324&lt;&gt;"",分析!W324,"")</f>
        <v/>
      </c>
      <c r="W324" s="157" t="str">
        <f>IF(分析!AD324&lt;&gt;"",分析!AD324,"")</f>
        <v/>
      </c>
      <c r="X324" s="158" t="str">
        <f>IF(分析!AE324&lt;&gt;"",分析!AE324,"")</f>
        <v/>
      </c>
      <c r="Y324" s="159" t="str">
        <f>IF(分析!T324&lt;&gt;"",分析!T324,"")</f>
        <v/>
      </c>
      <c r="Z324" s="160" t="str">
        <f>IF(分析!Y324&lt;&gt;"",分析!Y324,"")</f>
        <v/>
      </c>
    </row>
    <row r="325" spans="1:26" ht="21.95" customHeight="1">
      <c r="A325" s="161" t="str">
        <f>IF(分析!C325&lt;&gt;"",ROW()-2,"")</f>
        <v/>
      </c>
      <c r="B325" s="162" t="str">
        <f>IF(分析!C325&lt;&gt;"",HYPERLINK("https://kabutan.jp/stock/?code="&amp;分析!C325,"株探"),"")</f>
        <v/>
      </c>
      <c r="C325" s="163" t="str">
        <f>IF(分析!C325&lt;&gt;"",分析!C325,"")</f>
        <v/>
      </c>
      <c r="D325" s="164" t="str">
        <f>IF(分析!D325&lt;&gt;"",分析!D325,"")</f>
        <v/>
      </c>
      <c r="E325" s="165" t="str">
        <f>IF(分析!E325&lt;&gt;"",分析!E325,"")</f>
        <v/>
      </c>
      <c r="F325" s="166" t="str">
        <f>IF(分析!F325&lt;&gt;"",分析!F325,"")</f>
        <v/>
      </c>
      <c r="G325" s="166" t="str">
        <f>IF(分析!H325&lt;&gt;"",分析!H325,"")</f>
        <v/>
      </c>
      <c r="H325" s="166" t="str">
        <f>IF(分析!I325&lt;&gt;"",分析!I325,"")</f>
        <v/>
      </c>
      <c r="I325" s="166" t="str">
        <f>IF(分析!J325&lt;&gt;"",分析!J325,"")</f>
        <v/>
      </c>
      <c r="J325" s="166" t="str">
        <f>IF(分析!AB325&lt;&gt;"",分析!AB325,"")</f>
        <v/>
      </c>
      <c r="K325" s="166" t="str">
        <f>IF(分析!AC325&lt;&gt;"",分析!AC325,"")</f>
        <v/>
      </c>
      <c r="L325" s="166" t="str">
        <f>IF(分析!K325&lt;&gt;"",分析!K325,"")</f>
        <v/>
      </c>
      <c r="M325" s="161" t="str">
        <f>IF(分析!P325&lt;&gt;"",分析!P325,"")</f>
        <v/>
      </c>
      <c r="N325" s="167" t="str">
        <f>IF(分析!O325&lt;&gt;"",分析!O325,"")</f>
        <v/>
      </c>
      <c r="O325" s="168" t="str">
        <f>IF(分析!X325&lt;&gt;"",分析!X325,"")</f>
        <v/>
      </c>
      <c r="P325" s="169" t="str">
        <f>IF(分析!L325&lt;&gt;"",分析!L325,"")</f>
        <v/>
      </c>
      <c r="Q325" s="166" t="str">
        <f>IF(分析!S325&lt;&gt;"",分析!S325,"")</f>
        <v/>
      </c>
      <c r="R325" s="166" t="str">
        <f>IF(分析!R325&lt;&gt;"",分析!R325,"")</f>
        <v/>
      </c>
      <c r="S325" s="161" t="str">
        <f>IF(分析!AA325&lt;&gt;"",分析!AA325,"")</f>
        <v/>
      </c>
      <c r="T325" s="170" t="str">
        <f>IF(分析!Z325&lt;&gt;"",分析!Z325,"")</f>
        <v/>
      </c>
      <c r="U325" s="161" t="str">
        <f>IF(分析!V325&lt;&gt;"",分析!V325,"")</f>
        <v/>
      </c>
      <c r="V325" s="171" t="str">
        <f>IF(分析!W325&lt;&gt;"",分析!W325,"")</f>
        <v/>
      </c>
      <c r="W325" s="172" t="str">
        <f>IF(分析!AD325&lt;&gt;"",分析!AD325,"")</f>
        <v/>
      </c>
      <c r="X325" s="173" t="str">
        <f>IF(分析!AE325&lt;&gt;"",分析!AE325,"")</f>
        <v/>
      </c>
      <c r="Y325" s="174" t="str">
        <f>IF(分析!T325&lt;&gt;"",分析!T325,"")</f>
        <v/>
      </c>
      <c r="Z325" s="160" t="str">
        <f>IF(分析!Y325&lt;&gt;"",分析!Y325,"")</f>
        <v/>
      </c>
    </row>
    <row r="326" spans="1:26" ht="21.95" customHeight="1">
      <c r="A326" s="146" t="str">
        <f>IF(分析!C326&lt;&gt;"",ROW()-2,"")</f>
        <v/>
      </c>
      <c r="B326" s="147" t="str">
        <f>IF(分析!C326&lt;&gt;"",HYPERLINK("https://kabutan.jp/stock/?code="&amp;分析!C326,"株探"),"")</f>
        <v/>
      </c>
      <c r="C326" s="148" t="str">
        <f>IF(分析!C326&lt;&gt;"",分析!C326,"")</f>
        <v/>
      </c>
      <c r="D326" s="149" t="str">
        <f>IF(分析!D326&lt;&gt;"",分析!D326,"")</f>
        <v/>
      </c>
      <c r="E326" s="150" t="str">
        <f>IF(分析!E326&lt;&gt;"",分析!E326,"")</f>
        <v/>
      </c>
      <c r="F326" s="151" t="str">
        <f>IF(分析!F326&lt;&gt;"",分析!F326,"")</f>
        <v/>
      </c>
      <c r="G326" s="151" t="str">
        <f>IF(分析!H326&lt;&gt;"",分析!H326,"")</f>
        <v/>
      </c>
      <c r="H326" s="151" t="str">
        <f>IF(分析!I326&lt;&gt;"",分析!I326,"")</f>
        <v/>
      </c>
      <c r="I326" s="151" t="str">
        <f>IF(分析!J326&lt;&gt;"",分析!J326,"")</f>
        <v/>
      </c>
      <c r="J326" s="151" t="str">
        <f>IF(分析!AB326&lt;&gt;"",分析!AB326,"")</f>
        <v/>
      </c>
      <c r="K326" s="151" t="str">
        <f>IF(分析!AC326&lt;&gt;"",分析!AC326,"")</f>
        <v/>
      </c>
      <c r="L326" s="151" t="str">
        <f>IF(分析!K326&lt;&gt;"",分析!K326,"")</f>
        <v/>
      </c>
      <c r="M326" s="146" t="str">
        <f>IF(分析!P326&lt;&gt;"",分析!P326,"")</f>
        <v/>
      </c>
      <c r="N326" s="152" t="str">
        <f>IF(分析!O326&lt;&gt;"",分析!O326,"")</f>
        <v/>
      </c>
      <c r="O326" s="153" t="str">
        <f>IF(分析!X326&lt;&gt;"",分析!X326,"")</f>
        <v/>
      </c>
      <c r="P326" s="154" t="str">
        <f>IF(分析!L326&lt;&gt;"",分析!L326,"")</f>
        <v/>
      </c>
      <c r="Q326" s="151" t="str">
        <f>IF(分析!S326&lt;&gt;"",分析!S326,"")</f>
        <v/>
      </c>
      <c r="R326" s="151" t="str">
        <f>IF(分析!R326&lt;&gt;"",分析!R326,"")</f>
        <v/>
      </c>
      <c r="S326" s="146" t="str">
        <f>IF(分析!AA326&lt;&gt;"",分析!AA326,"")</f>
        <v/>
      </c>
      <c r="T326" s="155" t="str">
        <f>IF(分析!Z326&lt;&gt;"",分析!Z326,"")</f>
        <v/>
      </c>
      <c r="U326" s="146" t="str">
        <f>IF(分析!V326&lt;&gt;"",分析!V326,"")</f>
        <v/>
      </c>
      <c r="V326" s="156" t="str">
        <f>IF(分析!W326&lt;&gt;"",分析!W326,"")</f>
        <v/>
      </c>
      <c r="W326" s="157" t="str">
        <f>IF(分析!AD326&lt;&gt;"",分析!AD326,"")</f>
        <v/>
      </c>
      <c r="X326" s="158" t="str">
        <f>IF(分析!AE326&lt;&gt;"",分析!AE326,"")</f>
        <v/>
      </c>
      <c r="Y326" s="159" t="str">
        <f>IF(分析!T326&lt;&gt;"",分析!T326,"")</f>
        <v/>
      </c>
      <c r="Z326" s="160" t="str">
        <f>IF(分析!Y326&lt;&gt;"",分析!Y326,"")</f>
        <v/>
      </c>
    </row>
    <row r="327" spans="1:26" ht="21.95" customHeight="1">
      <c r="A327" s="161" t="str">
        <f>IF(分析!C327&lt;&gt;"",ROW()-2,"")</f>
        <v/>
      </c>
      <c r="B327" s="162" t="str">
        <f>IF(分析!C327&lt;&gt;"",HYPERLINK("https://kabutan.jp/stock/?code="&amp;分析!C327,"株探"),"")</f>
        <v/>
      </c>
      <c r="C327" s="163" t="str">
        <f>IF(分析!C327&lt;&gt;"",分析!C327,"")</f>
        <v/>
      </c>
      <c r="D327" s="164" t="str">
        <f>IF(分析!D327&lt;&gt;"",分析!D327,"")</f>
        <v/>
      </c>
      <c r="E327" s="165" t="str">
        <f>IF(分析!E327&lt;&gt;"",分析!E327,"")</f>
        <v/>
      </c>
      <c r="F327" s="166" t="str">
        <f>IF(分析!F327&lt;&gt;"",分析!F327,"")</f>
        <v/>
      </c>
      <c r="G327" s="166" t="str">
        <f>IF(分析!H327&lt;&gt;"",分析!H327,"")</f>
        <v/>
      </c>
      <c r="H327" s="166" t="str">
        <f>IF(分析!I327&lt;&gt;"",分析!I327,"")</f>
        <v/>
      </c>
      <c r="I327" s="166" t="str">
        <f>IF(分析!J327&lt;&gt;"",分析!J327,"")</f>
        <v/>
      </c>
      <c r="J327" s="166" t="str">
        <f>IF(分析!AB327&lt;&gt;"",分析!AB327,"")</f>
        <v/>
      </c>
      <c r="K327" s="166" t="str">
        <f>IF(分析!AC327&lt;&gt;"",分析!AC327,"")</f>
        <v/>
      </c>
      <c r="L327" s="166" t="str">
        <f>IF(分析!K327&lt;&gt;"",分析!K327,"")</f>
        <v/>
      </c>
      <c r="M327" s="161" t="str">
        <f>IF(分析!P327&lt;&gt;"",分析!P327,"")</f>
        <v/>
      </c>
      <c r="N327" s="167" t="str">
        <f>IF(分析!O327&lt;&gt;"",分析!O327,"")</f>
        <v/>
      </c>
      <c r="O327" s="168" t="str">
        <f>IF(分析!X327&lt;&gt;"",分析!X327,"")</f>
        <v/>
      </c>
      <c r="P327" s="169" t="str">
        <f>IF(分析!L327&lt;&gt;"",分析!L327,"")</f>
        <v/>
      </c>
      <c r="Q327" s="166" t="str">
        <f>IF(分析!S327&lt;&gt;"",分析!S327,"")</f>
        <v/>
      </c>
      <c r="R327" s="166" t="str">
        <f>IF(分析!R327&lt;&gt;"",分析!R327,"")</f>
        <v/>
      </c>
      <c r="S327" s="161" t="str">
        <f>IF(分析!AA327&lt;&gt;"",分析!AA327,"")</f>
        <v/>
      </c>
      <c r="T327" s="170" t="str">
        <f>IF(分析!Z327&lt;&gt;"",分析!Z327,"")</f>
        <v/>
      </c>
      <c r="U327" s="161" t="str">
        <f>IF(分析!V327&lt;&gt;"",分析!V327,"")</f>
        <v/>
      </c>
      <c r="V327" s="171" t="str">
        <f>IF(分析!W327&lt;&gt;"",分析!W327,"")</f>
        <v/>
      </c>
      <c r="W327" s="172" t="str">
        <f>IF(分析!AD327&lt;&gt;"",分析!AD327,"")</f>
        <v/>
      </c>
      <c r="X327" s="173" t="str">
        <f>IF(分析!AE327&lt;&gt;"",分析!AE327,"")</f>
        <v/>
      </c>
      <c r="Y327" s="174" t="str">
        <f>IF(分析!T327&lt;&gt;"",分析!T327,"")</f>
        <v/>
      </c>
      <c r="Z327" s="160" t="str">
        <f>IF(分析!Y327&lt;&gt;"",分析!Y327,"")</f>
        <v/>
      </c>
    </row>
    <row r="328" spans="1:26" ht="21.95" customHeight="1">
      <c r="A328" s="146" t="str">
        <f>IF(分析!C328&lt;&gt;"",ROW()-2,"")</f>
        <v/>
      </c>
      <c r="B328" s="147" t="str">
        <f>IF(分析!C328&lt;&gt;"",HYPERLINK("https://kabutan.jp/stock/?code="&amp;分析!C328,"株探"),"")</f>
        <v/>
      </c>
      <c r="C328" s="148" t="str">
        <f>IF(分析!C328&lt;&gt;"",分析!C328,"")</f>
        <v/>
      </c>
      <c r="D328" s="149" t="str">
        <f>IF(分析!D328&lt;&gt;"",分析!D328,"")</f>
        <v/>
      </c>
      <c r="E328" s="150" t="str">
        <f>IF(分析!E328&lt;&gt;"",分析!E328,"")</f>
        <v/>
      </c>
      <c r="F328" s="151" t="str">
        <f>IF(分析!F328&lt;&gt;"",分析!F328,"")</f>
        <v/>
      </c>
      <c r="G328" s="151" t="str">
        <f>IF(分析!H328&lt;&gt;"",分析!H328,"")</f>
        <v/>
      </c>
      <c r="H328" s="151" t="str">
        <f>IF(分析!I328&lt;&gt;"",分析!I328,"")</f>
        <v/>
      </c>
      <c r="I328" s="151" t="str">
        <f>IF(分析!J328&lt;&gt;"",分析!J328,"")</f>
        <v/>
      </c>
      <c r="J328" s="151" t="str">
        <f>IF(分析!AB328&lt;&gt;"",分析!AB328,"")</f>
        <v/>
      </c>
      <c r="K328" s="151" t="str">
        <f>IF(分析!AC328&lt;&gt;"",分析!AC328,"")</f>
        <v/>
      </c>
      <c r="L328" s="151" t="str">
        <f>IF(分析!K328&lt;&gt;"",分析!K328,"")</f>
        <v/>
      </c>
      <c r="M328" s="146" t="str">
        <f>IF(分析!P328&lt;&gt;"",分析!P328,"")</f>
        <v/>
      </c>
      <c r="N328" s="152" t="str">
        <f>IF(分析!O328&lt;&gt;"",分析!O328,"")</f>
        <v/>
      </c>
      <c r="O328" s="153" t="str">
        <f>IF(分析!X328&lt;&gt;"",分析!X328,"")</f>
        <v/>
      </c>
      <c r="P328" s="154" t="str">
        <f>IF(分析!L328&lt;&gt;"",分析!L328,"")</f>
        <v/>
      </c>
      <c r="Q328" s="151" t="str">
        <f>IF(分析!S328&lt;&gt;"",分析!S328,"")</f>
        <v/>
      </c>
      <c r="R328" s="151" t="str">
        <f>IF(分析!R328&lt;&gt;"",分析!R328,"")</f>
        <v/>
      </c>
      <c r="S328" s="146" t="str">
        <f>IF(分析!AA328&lt;&gt;"",分析!AA328,"")</f>
        <v/>
      </c>
      <c r="T328" s="155" t="str">
        <f>IF(分析!Z328&lt;&gt;"",分析!Z328,"")</f>
        <v/>
      </c>
      <c r="U328" s="146" t="str">
        <f>IF(分析!V328&lt;&gt;"",分析!V328,"")</f>
        <v/>
      </c>
      <c r="V328" s="156" t="str">
        <f>IF(分析!W328&lt;&gt;"",分析!W328,"")</f>
        <v/>
      </c>
      <c r="W328" s="157" t="str">
        <f>IF(分析!AD328&lt;&gt;"",分析!AD328,"")</f>
        <v/>
      </c>
      <c r="X328" s="158" t="str">
        <f>IF(分析!AE328&lt;&gt;"",分析!AE328,"")</f>
        <v/>
      </c>
      <c r="Y328" s="159" t="str">
        <f>IF(分析!T328&lt;&gt;"",分析!T328,"")</f>
        <v/>
      </c>
      <c r="Z328" s="160" t="str">
        <f>IF(分析!Y328&lt;&gt;"",分析!Y328,"")</f>
        <v/>
      </c>
    </row>
    <row r="329" spans="1:26" ht="21.95" customHeight="1">
      <c r="A329" s="161" t="str">
        <f>IF(分析!C329&lt;&gt;"",ROW()-2,"")</f>
        <v/>
      </c>
      <c r="B329" s="162" t="str">
        <f>IF(分析!C329&lt;&gt;"",HYPERLINK("https://kabutan.jp/stock/?code="&amp;分析!C329,"株探"),"")</f>
        <v/>
      </c>
      <c r="C329" s="163" t="str">
        <f>IF(分析!C329&lt;&gt;"",分析!C329,"")</f>
        <v/>
      </c>
      <c r="D329" s="164" t="str">
        <f>IF(分析!D329&lt;&gt;"",分析!D329,"")</f>
        <v/>
      </c>
      <c r="E329" s="165" t="str">
        <f>IF(分析!E329&lt;&gt;"",分析!E329,"")</f>
        <v/>
      </c>
      <c r="F329" s="166" t="str">
        <f>IF(分析!F329&lt;&gt;"",分析!F329,"")</f>
        <v/>
      </c>
      <c r="G329" s="166" t="str">
        <f>IF(分析!H329&lt;&gt;"",分析!H329,"")</f>
        <v/>
      </c>
      <c r="H329" s="166" t="str">
        <f>IF(分析!I329&lt;&gt;"",分析!I329,"")</f>
        <v/>
      </c>
      <c r="I329" s="166" t="str">
        <f>IF(分析!J329&lt;&gt;"",分析!J329,"")</f>
        <v/>
      </c>
      <c r="J329" s="166" t="str">
        <f>IF(分析!AB329&lt;&gt;"",分析!AB329,"")</f>
        <v/>
      </c>
      <c r="K329" s="166" t="str">
        <f>IF(分析!AC329&lt;&gt;"",分析!AC329,"")</f>
        <v/>
      </c>
      <c r="L329" s="166" t="str">
        <f>IF(分析!K329&lt;&gt;"",分析!K329,"")</f>
        <v/>
      </c>
      <c r="M329" s="161" t="str">
        <f>IF(分析!P329&lt;&gt;"",分析!P329,"")</f>
        <v/>
      </c>
      <c r="N329" s="167" t="str">
        <f>IF(分析!O329&lt;&gt;"",分析!O329,"")</f>
        <v/>
      </c>
      <c r="O329" s="168" t="str">
        <f>IF(分析!X329&lt;&gt;"",分析!X329,"")</f>
        <v/>
      </c>
      <c r="P329" s="169" t="str">
        <f>IF(分析!L329&lt;&gt;"",分析!L329,"")</f>
        <v/>
      </c>
      <c r="Q329" s="166" t="str">
        <f>IF(分析!S329&lt;&gt;"",分析!S329,"")</f>
        <v/>
      </c>
      <c r="R329" s="166" t="str">
        <f>IF(分析!R329&lt;&gt;"",分析!R329,"")</f>
        <v/>
      </c>
      <c r="S329" s="161" t="str">
        <f>IF(分析!AA329&lt;&gt;"",分析!AA329,"")</f>
        <v/>
      </c>
      <c r="T329" s="170" t="str">
        <f>IF(分析!Z329&lt;&gt;"",分析!Z329,"")</f>
        <v/>
      </c>
      <c r="U329" s="161" t="str">
        <f>IF(分析!V329&lt;&gt;"",分析!V329,"")</f>
        <v/>
      </c>
      <c r="V329" s="171" t="str">
        <f>IF(分析!W329&lt;&gt;"",分析!W329,"")</f>
        <v/>
      </c>
      <c r="W329" s="172" t="str">
        <f>IF(分析!AD329&lt;&gt;"",分析!AD329,"")</f>
        <v/>
      </c>
      <c r="X329" s="173" t="str">
        <f>IF(分析!AE329&lt;&gt;"",分析!AE329,"")</f>
        <v/>
      </c>
      <c r="Y329" s="174" t="str">
        <f>IF(分析!T329&lt;&gt;"",分析!T329,"")</f>
        <v/>
      </c>
      <c r="Z329" s="160" t="str">
        <f>IF(分析!Y329&lt;&gt;"",分析!Y329,"")</f>
        <v/>
      </c>
    </row>
    <row r="330" spans="1:26" ht="21.95" customHeight="1">
      <c r="A330" s="146" t="str">
        <f>IF(分析!C330&lt;&gt;"",ROW()-2,"")</f>
        <v/>
      </c>
      <c r="B330" s="147" t="str">
        <f>IF(分析!C330&lt;&gt;"",HYPERLINK("https://kabutan.jp/stock/?code="&amp;分析!C330,"株探"),"")</f>
        <v/>
      </c>
      <c r="C330" s="148" t="str">
        <f>IF(分析!C330&lt;&gt;"",分析!C330,"")</f>
        <v/>
      </c>
      <c r="D330" s="149" t="str">
        <f>IF(分析!D330&lt;&gt;"",分析!D330,"")</f>
        <v/>
      </c>
      <c r="E330" s="150" t="str">
        <f>IF(分析!E330&lt;&gt;"",分析!E330,"")</f>
        <v/>
      </c>
      <c r="F330" s="151" t="str">
        <f>IF(分析!F330&lt;&gt;"",分析!F330,"")</f>
        <v/>
      </c>
      <c r="G330" s="151" t="str">
        <f>IF(分析!H330&lt;&gt;"",分析!H330,"")</f>
        <v/>
      </c>
      <c r="H330" s="151" t="str">
        <f>IF(分析!I330&lt;&gt;"",分析!I330,"")</f>
        <v/>
      </c>
      <c r="I330" s="151" t="str">
        <f>IF(分析!J330&lt;&gt;"",分析!J330,"")</f>
        <v/>
      </c>
      <c r="J330" s="151" t="str">
        <f>IF(分析!AB330&lt;&gt;"",分析!AB330,"")</f>
        <v/>
      </c>
      <c r="K330" s="151" t="str">
        <f>IF(分析!AC330&lt;&gt;"",分析!AC330,"")</f>
        <v/>
      </c>
      <c r="L330" s="151" t="str">
        <f>IF(分析!K330&lt;&gt;"",分析!K330,"")</f>
        <v/>
      </c>
      <c r="M330" s="146" t="str">
        <f>IF(分析!P330&lt;&gt;"",分析!P330,"")</f>
        <v/>
      </c>
      <c r="N330" s="152" t="str">
        <f>IF(分析!O330&lt;&gt;"",分析!O330,"")</f>
        <v/>
      </c>
      <c r="O330" s="153" t="str">
        <f>IF(分析!X330&lt;&gt;"",分析!X330,"")</f>
        <v/>
      </c>
      <c r="P330" s="154" t="str">
        <f>IF(分析!L330&lt;&gt;"",分析!L330,"")</f>
        <v/>
      </c>
      <c r="Q330" s="151" t="str">
        <f>IF(分析!S330&lt;&gt;"",分析!S330,"")</f>
        <v/>
      </c>
      <c r="R330" s="151" t="str">
        <f>IF(分析!R330&lt;&gt;"",分析!R330,"")</f>
        <v/>
      </c>
      <c r="S330" s="146" t="str">
        <f>IF(分析!AA330&lt;&gt;"",分析!AA330,"")</f>
        <v/>
      </c>
      <c r="T330" s="155" t="str">
        <f>IF(分析!Z330&lt;&gt;"",分析!Z330,"")</f>
        <v/>
      </c>
      <c r="U330" s="146" t="str">
        <f>IF(分析!V330&lt;&gt;"",分析!V330,"")</f>
        <v/>
      </c>
      <c r="V330" s="156" t="str">
        <f>IF(分析!W330&lt;&gt;"",分析!W330,"")</f>
        <v/>
      </c>
      <c r="W330" s="157" t="str">
        <f>IF(分析!AD330&lt;&gt;"",分析!AD330,"")</f>
        <v/>
      </c>
      <c r="X330" s="158" t="str">
        <f>IF(分析!AE330&lt;&gt;"",分析!AE330,"")</f>
        <v/>
      </c>
      <c r="Y330" s="159" t="str">
        <f>IF(分析!T330&lt;&gt;"",分析!T330,"")</f>
        <v/>
      </c>
      <c r="Z330" s="160" t="str">
        <f>IF(分析!Y330&lt;&gt;"",分析!Y330,"")</f>
        <v/>
      </c>
    </row>
    <row r="331" spans="1:26" ht="21.95" customHeight="1">
      <c r="A331" s="161" t="str">
        <f>IF(分析!C331&lt;&gt;"",ROW()-2,"")</f>
        <v/>
      </c>
      <c r="B331" s="162" t="str">
        <f>IF(分析!C331&lt;&gt;"",HYPERLINK("https://kabutan.jp/stock/?code="&amp;分析!C331,"株探"),"")</f>
        <v/>
      </c>
      <c r="C331" s="163" t="str">
        <f>IF(分析!C331&lt;&gt;"",分析!C331,"")</f>
        <v/>
      </c>
      <c r="D331" s="164" t="str">
        <f>IF(分析!D331&lt;&gt;"",分析!D331,"")</f>
        <v/>
      </c>
      <c r="E331" s="165" t="str">
        <f>IF(分析!E331&lt;&gt;"",分析!E331,"")</f>
        <v/>
      </c>
      <c r="F331" s="166" t="str">
        <f>IF(分析!F331&lt;&gt;"",分析!F331,"")</f>
        <v/>
      </c>
      <c r="G331" s="166" t="str">
        <f>IF(分析!H331&lt;&gt;"",分析!H331,"")</f>
        <v/>
      </c>
      <c r="H331" s="166" t="str">
        <f>IF(分析!I331&lt;&gt;"",分析!I331,"")</f>
        <v/>
      </c>
      <c r="I331" s="166" t="str">
        <f>IF(分析!J331&lt;&gt;"",分析!J331,"")</f>
        <v/>
      </c>
      <c r="J331" s="166" t="str">
        <f>IF(分析!AB331&lt;&gt;"",分析!AB331,"")</f>
        <v/>
      </c>
      <c r="K331" s="166" t="str">
        <f>IF(分析!AC331&lt;&gt;"",分析!AC331,"")</f>
        <v/>
      </c>
      <c r="L331" s="166" t="str">
        <f>IF(分析!K331&lt;&gt;"",分析!K331,"")</f>
        <v/>
      </c>
      <c r="M331" s="161" t="str">
        <f>IF(分析!P331&lt;&gt;"",分析!P331,"")</f>
        <v/>
      </c>
      <c r="N331" s="167" t="str">
        <f>IF(分析!O331&lt;&gt;"",分析!O331,"")</f>
        <v/>
      </c>
      <c r="O331" s="168" t="str">
        <f>IF(分析!X331&lt;&gt;"",分析!X331,"")</f>
        <v/>
      </c>
      <c r="P331" s="169" t="str">
        <f>IF(分析!L331&lt;&gt;"",分析!L331,"")</f>
        <v/>
      </c>
      <c r="Q331" s="166" t="str">
        <f>IF(分析!S331&lt;&gt;"",分析!S331,"")</f>
        <v/>
      </c>
      <c r="R331" s="166" t="str">
        <f>IF(分析!R331&lt;&gt;"",分析!R331,"")</f>
        <v/>
      </c>
      <c r="S331" s="161" t="str">
        <f>IF(分析!AA331&lt;&gt;"",分析!AA331,"")</f>
        <v/>
      </c>
      <c r="T331" s="170" t="str">
        <f>IF(分析!Z331&lt;&gt;"",分析!Z331,"")</f>
        <v/>
      </c>
      <c r="U331" s="161" t="str">
        <f>IF(分析!V331&lt;&gt;"",分析!V331,"")</f>
        <v/>
      </c>
      <c r="V331" s="171" t="str">
        <f>IF(分析!W331&lt;&gt;"",分析!W331,"")</f>
        <v/>
      </c>
      <c r="W331" s="172" t="str">
        <f>IF(分析!AD331&lt;&gt;"",分析!AD331,"")</f>
        <v/>
      </c>
      <c r="X331" s="173" t="str">
        <f>IF(分析!AE331&lt;&gt;"",分析!AE331,"")</f>
        <v/>
      </c>
      <c r="Y331" s="174" t="str">
        <f>IF(分析!T331&lt;&gt;"",分析!T331,"")</f>
        <v/>
      </c>
      <c r="Z331" s="160" t="str">
        <f>IF(分析!Y331&lt;&gt;"",分析!Y331,"")</f>
        <v/>
      </c>
    </row>
    <row r="332" spans="1:26" ht="21.95" customHeight="1">
      <c r="A332" s="146" t="str">
        <f>IF(分析!C332&lt;&gt;"",ROW()-2,"")</f>
        <v/>
      </c>
      <c r="B332" s="147" t="str">
        <f>IF(分析!C332&lt;&gt;"",HYPERLINK("https://kabutan.jp/stock/?code="&amp;分析!C332,"株探"),"")</f>
        <v/>
      </c>
      <c r="C332" s="148" t="str">
        <f>IF(分析!C332&lt;&gt;"",分析!C332,"")</f>
        <v/>
      </c>
      <c r="D332" s="149" t="str">
        <f>IF(分析!D332&lt;&gt;"",分析!D332,"")</f>
        <v/>
      </c>
      <c r="E332" s="150" t="str">
        <f>IF(分析!E332&lt;&gt;"",分析!E332,"")</f>
        <v/>
      </c>
      <c r="F332" s="151" t="str">
        <f>IF(分析!F332&lt;&gt;"",分析!F332,"")</f>
        <v/>
      </c>
      <c r="G332" s="151" t="str">
        <f>IF(分析!H332&lt;&gt;"",分析!H332,"")</f>
        <v/>
      </c>
      <c r="H332" s="151" t="str">
        <f>IF(分析!I332&lt;&gt;"",分析!I332,"")</f>
        <v/>
      </c>
      <c r="I332" s="151" t="str">
        <f>IF(分析!J332&lt;&gt;"",分析!J332,"")</f>
        <v/>
      </c>
      <c r="J332" s="151" t="str">
        <f>IF(分析!AB332&lt;&gt;"",分析!AB332,"")</f>
        <v/>
      </c>
      <c r="K332" s="151" t="str">
        <f>IF(分析!AC332&lt;&gt;"",分析!AC332,"")</f>
        <v/>
      </c>
      <c r="L332" s="151" t="str">
        <f>IF(分析!K332&lt;&gt;"",分析!K332,"")</f>
        <v/>
      </c>
      <c r="M332" s="146" t="str">
        <f>IF(分析!P332&lt;&gt;"",分析!P332,"")</f>
        <v/>
      </c>
      <c r="N332" s="152" t="str">
        <f>IF(分析!O332&lt;&gt;"",分析!O332,"")</f>
        <v/>
      </c>
      <c r="O332" s="153" t="str">
        <f>IF(分析!X332&lt;&gt;"",分析!X332,"")</f>
        <v/>
      </c>
      <c r="P332" s="154" t="str">
        <f>IF(分析!L332&lt;&gt;"",分析!L332,"")</f>
        <v/>
      </c>
      <c r="Q332" s="151" t="str">
        <f>IF(分析!S332&lt;&gt;"",分析!S332,"")</f>
        <v/>
      </c>
      <c r="R332" s="151" t="str">
        <f>IF(分析!R332&lt;&gt;"",分析!R332,"")</f>
        <v/>
      </c>
      <c r="S332" s="146" t="str">
        <f>IF(分析!AA332&lt;&gt;"",分析!AA332,"")</f>
        <v/>
      </c>
      <c r="T332" s="155" t="str">
        <f>IF(分析!Z332&lt;&gt;"",分析!Z332,"")</f>
        <v/>
      </c>
      <c r="U332" s="146" t="str">
        <f>IF(分析!V332&lt;&gt;"",分析!V332,"")</f>
        <v/>
      </c>
      <c r="V332" s="156" t="str">
        <f>IF(分析!W332&lt;&gt;"",分析!W332,"")</f>
        <v/>
      </c>
      <c r="W332" s="157" t="str">
        <f>IF(分析!AD332&lt;&gt;"",分析!AD332,"")</f>
        <v/>
      </c>
      <c r="X332" s="158" t="str">
        <f>IF(分析!AE332&lt;&gt;"",分析!AE332,"")</f>
        <v/>
      </c>
      <c r="Y332" s="159" t="str">
        <f>IF(分析!T332&lt;&gt;"",分析!T332,"")</f>
        <v/>
      </c>
      <c r="Z332" s="160" t="str">
        <f>IF(分析!Y332&lt;&gt;"",分析!Y332,"")</f>
        <v/>
      </c>
    </row>
    <row r="333" spans="1:26" ht="21.95" customHeight="1">
      <c r="A333" s="161" t="str">
        <f>IF(分析!C333&lt;&gt;"",ROW()-2,"")</f>
        <v/>
      </c>
      <c r="B333" s="162" t="str">
        <f>IF(分析!C333&lt;&gt;"",HYPERLINK("https://kabutan.jp/stock/?code="&amp;分析!C333,"株探"),"")</f>
        <v/>
      </c>
      <c r="C333" s="163" t="str">
        <f>IF(分析!C333&lt;&gt;"",分析!C333,"")</f>
        <v/>
      </c>
      <c r="D333" s="164" t="str">
        <f>IF(分析!D333&lt;&gt;"",分析!D333,"")</f>
        <v/>
      </c>
      <c r="E333" s="165" t="str">
        <f>IF(分析!E333&lt;&gt;"",分析!E333,"")</f>
        <v/>
      </c>
      <c r="F333" s="166" t="str">
        <f>IF(分析!F333&lt;&gt;"",分析!F333,"")</f>
        <v/>
      </c>
      <c r="G333" s="166" t="str">
        <f>IF(分析!H333&lt;&gt;"",分析!H333,"")</f>
        <v/>
      </c>
      <c r="H333" s="166" t="str">
        <f>IF(分析!I333&lt;&gt;"",分析!I333,"")</f>
        <v/>
      </c>
      <c r="I333" s="166" t="str">
        <f>IF(分析!J333&lt;&gt;"",分析!J333,"")</f>
        <v/>
      </c>
      <c r="J333" s="166" t="str">
        <f>IF(分析!AB333&lt;&gt;"",分析!AB333,"")</f>
        <v/>
      </c>
      <c r="K333" s="166" t="str">
        <f>IF(分析!AC333&lt;&gt;"",分析!AC333,"")</f>
        <v/>
      </c>
      <c r="L333" s="166" t="str">
        <f>IF(分析!K333&lt;&gt;"",分析!K333,"")</f>
        <v/>
      </c>
      <c r="M333" s="161" t="str">
        <f>IF(分析!P333&lt;&gt;"",分析!P333,"")</f>
        <v/>
      </c>
      <c r="N333" s="167" t="str">
        <f>IF(分析!O333&lt;&gt;"",分析!O333,"")</f>
        <v/>
      </c>
      <c r="O333" s="168" t="str">
        <f>IF(分析!X333&lt;&gt;"",分析!X333,"")</f>
        <v/>
      </c>
      <c r="P333" s="169" t="str">
        <f>IF(分析!L333&lt;&gt;"",分析!L333,"")</f>
        <v/>
      </c>
      <c r="Q333" s="166" t="str">
        <f>IF(分析!S333&lt;&gt;"",分析!S333,"")</f>
        <v/>
      </c>
      <c r="R333" s="166" t="str">
        <f>IF(分析!R333&lt;&gt;"",分析!R333,"")</f>
        <v/>
      </c>
      <c r="S333" s="161" t="str">
        <f>IF(分析!AA333&lt;&gt;"",分析!AA333,"")</f>
        <v/>
      </c>
      <c r="T333" s="170" t="str">
        <f>IF(分析!Z333&lt;&gt;"",分析!Z333,"")</f>
        <v/>
      </c>
      <c r="U333" s="161" t="str">
        <f>IF(分析!V333&lt;&gt;"",分析!V333,"")</f>
        <v/>
      </c>
      <c r="V333" s="171" t="str">
        <f>IF(分析!W333&lt;&gt;"",分析!W333,"")</f>
        <v/>
      </c>
      <c r="W333" s="172" t="str">
        <f>IF(分析!AD333&lt;&gt;"",分析!AD333,"")</f>
        <v/>
      </c>
      <c r="X333" s="173" t="str">
        <f>IF(分析!AE333&lt;&gt;"",分析!AE333,"")</f>
        <v/>
      </c>
      <c r="Y333" s="174" t="str">
        <f>IF(分析!T333&lt;&gt;"",分析!T333,"")</f>
        <v/>
      </c>
      <c r="Z333" s="160" t="str">
        <f>IF(分析!Y333&lt;&gt;"",分析!Y333,"")</f>
        <v/>
      </c>
    </row>
    <row r="334" spans="1:26" ht="21.95" customHeight="1">
      <c r="A334" s="146" t="str">
        <f>IF(分析!C334&lt;&gt;"",ROW()-2,"")</f>
        <v/>
      </c>
      <c r="B334" s="147" t="str">
        <f>IF(分析!C334&lt;&gt;"",HYPERLINK("https://kabutan.jp/stock/?code="&amp;分析!C334,"株探"),"")</f>
        <v/>
      </c>
      <c r="C334" s="148" t="str">
        <f>IF(分析!C334&lt;&gt;"",分析!C334,"")</f>
        <v/>
      </c>
      <c r="D334" s="149" t="str">
        <f>IF(分析!D334&lt;&gt;"",分析!D334,"")</f>
        <v/>
      </c>
      <c r="E334" s="150" t="str">
        <f>IF(分析!E334&lt;&gt;"",分析!E334,"")</f>
        <v/>
      </c>
      <c r="F334" s="151" t="str">
        <f>IF(分析!F334&lt;&gt;"",分析!F334,"")</f>
        <v/>
      </c>
      <c r="G334" s="151" t="str">
        <f>IF(分析!H334&lt;&gt;"",分析!H334,"")</f>
        <v/>
      </c>
      <c r="H334" s="151" t="str">
        <f>IF(分析!I334&lt;&gt;"",分析!I334,"")</f>
        <v/>
      </c>
      <c r="I334" s="151" t="str">
        <f>IF(分析!J334&lt;&gt;"",分析!J334,"")</f>
        <v/>
      </c>
      <c r="J334" s="151" t="str">
        <f>IF(分析!AB334&lt;&gt;"",分析!AB334,"")</f>
        <v/>
      </c>
      <c r="K334" s="151" t="str">
        <f>IF(分析!AC334&lt;&gt;"",分析!AC334,"")</f>
        <v/>
      </c>
      <c r="L334" s="151" t="str">
        <f>IF(分析!K334&lt;&gt;"",分析!K334,"")</f>
        <v/>
      </c>
      <c r="M334" s="146" t="str">
        <f>IF(分析!P334&lt;&gt;"",分析!P334,"")</f>
        <v/>
      </c>
      <c r="N334" s="152" t="str">
        <f>IF(分析!O334&lt;&gt;"",分析!O334,"")</f>
        <v/>
      </c>
      <c r="O334" s="153" t="str">
        <f>IF(分析!X334&lt;&gt;"",分析!X334,"")</f>
        <v/>
      </c>
      <c r="P334" s="154" t="str">
        <f>IF(分析!L334&lt;&gt;"",分析!L334,"")</f>
        <v/>
      </c>
      <c r="Q334" s="151" t="str">
        <f>IF(分析!S334&lt;&gt;"",分析!S334,"")</f>
        <v/>
      </c>
      <c r="R334" s="151" t="str">
        <f>IF(分析!R334&lt;&gt;"",分析!R334,"")</f>
        <v/>
      </c>
      <c r="S334" s="146" t="str">
        <f>IF(分析!AA334&lt;&gt;"",分析!AA334,"")</f>
        <v/>
      </c>
      <c r="T334" s="155" t="str">
        <f>IF(分析!Z334&lt;&gt;"",分析!Z334,"")</f>
        <v/>
      </c>
      <c r="U334" s="146" t="str">
        <f>IF(分析!V334&lt;&gt;"",分析!V334,"")</f>
        <v/>
      </c>
      <c r="V334" s="156" t="str">
        <f>IF(分析!W334&lt;&gt;"",分析!W334,"")</f>
        <v/>
      </c>
      <c r="W334" s="157" t="str">
        <f>IF(分析!AD334&lt;&gt;"",分析!AD334,"")</f>
        <v/>
      </c>
      <c r="X334" s="158" t="str">
        <f>IF(分析!AE334&lt;&gt;"",分析!AE334,"")</f>
        <v/>
      </c>
      <c r="Y334" s="159" t="str">
        <f>IF(分析!T334&lt;&gt;"",分析!T334,"")</f>
        <v/>
      </c>
      <c r="Z334" s="160" t="str">
        <f>IF(分析!Y334&lt;&gt;"",分析!Y334,"")</f>
        <v/>
      </c>
    </row>
    <row r="335" spans="1:26" ht="21.95" customHeight="1">
      <c r="A335" s="161" t="str">
        <f>IF(分析!C335&lt;&gt;"",ROW()-2,"")</f>
        <v/>
      </c>
      <c r="B335" s="162" t="str">
        <f>IF(分析!C335&lt;&gt;"",HYPERLINK("https://kabutan.jp/stock/?code="&amp;分析!C335,"株探"),"")</f>
        <v/>
      </c>
      <c r="C335" s="163" t="str">
        <f>IF(分析!C335&lt;&gt;"",分析!C335,"")</f>
        <v/>
      </c>
      <c r="D335" s="164" t="str">
        <f>IF(分析!D335&lt;&gt;"",分析!D335,"")</f>
        <v/>
      </c>
      <c r="E335" s="165" t="str">
        <f>IF(分析!E335&lt;&gt;"",分析!E335,"")</f>
        <v/>
      </c>
      <c r="F335" s="166" t="str">
        <f>IF(分析!F335&lt;&gt;"",分析!F335,"")</f>
        <v/>
      </c>
      <c r="G335" s="166" t="str">
        <f>IF(分析!H335&lt;&gt;"",分析!H335,"")</f>
        <v/>
      </c>
      <c r="H335" s="166" t="str">
        <f>IF(分析!I335&lt;&gt;"",分析!I335,"")</f>
        <v/>
      </c>
      <c r="I335" s="166" t="str">
        <f>IF(分析!J335&lt;&gt;"",分析!J335,"")</f>
        <v/>
      </c>
      <c r="J335" s="166" t="str">
        <f>IF(分析!AB335&lt;&gt;"",分析!AB335,"")</f>
        <v/>
      </c>
      <c r="K335" s="166" t="str">
        <f>IF(分析!AC335&lt;&gt;"",分析!AC335,"")</f>
        <v/>
      </c>
      <c r="L335" s="166" t="str">
        <f>IF(分析!K335&lt;&gt;"",分析!K335,"")</f>
        <v/>
      </c>
      <c r="M335" s="161" t="str">
        <f>IF(分析!P335&lt;&gt;"",分析!P335,"")</f>
        <v/>
      </c>
      <c r="N335" s="167" t="str">
        <f>IF(分析!O335&lt;&gt;"",分析!O335,"")</f>
        <v/>
      </c>
      <c r="O335" s="168" t="str">
        <f>IF(分析!X335&lt;&gt;"",分析!X335,"")</f>
        <v/>
      </c>
      <c r="P335" s="169" t="str">
        <f>IF(分析!L335&lt;&gt;"",分析!L335,"")</f>
        <v/>
      </c>
      <c r="Q335" s="166" t="str">
        <f>IF(分析!S335&lt;&gt;"",分析!S335,"")</f>
        <v/>
      </c>
      <c r="R335" s="166" t="str">
        <f>IF(分析!R335&lt;&gt;"",分析!R335,"")</f>
        <v/>
      </c>
      <c r="S335" s="161" t="str">
        <f>IF(分析!AA335&lt;&gt;"",分析!AA335,"")</f>
        <v/>
      </c>
      <c r="T335" s="170" t="str">
        <f>IF(分析!Z335&lt;&gt;"",分析!Z335,"")</f>
        <v/>
      </c>
      <c r="U335" s="161" t="str">
        <f>IF(分析!V335&lt;&gt;"",分析!V335,"")</f>
        <v/>
      </c>
      <c r="V335" s="171" t="str">
        <f>IF(分析!W335&lt;&gt;"",分析!W335,"")</f>
        <v/>
      </c>
      <c r="W335" s="172" t="str">
        <f>IF(分析!AD335&lt;&gt;"",分析!AD335,"")</f>
        <v/>
      </c>
      <c r="X335" s="173" t="str">
        <f>IF(分析!AE335&lt;&gt;"",分析!AE335,"")</f>
        <v/>
      </c>
      <c r="Y335" s="174" t="str">
        <f>IF(分析!T335&lt;&gt;"",分析!T335,"")</f>
        <v/>
      </c>
      <c r="Z335" s="160" t="str">
        <f>IF(分析!Y335&lt;&gt;"",分析!Y335,"")</f>
        <v/>
      </c>
    </row>
    <row r="336" spans="1:26" ht="21.95" customHeight="1">
      <c r="A336" s="146" t="str">
        <f>IF(分析!C336&lt;&gt;"",ROW()-2,"")</f>
        <v/>
      </c>
      <c r="B336" s="147" t="str">
        <f>IF(分析!C336&lt;&gt;"",HYPERLINK("https://kabutan.jp/stock/?code="&amp;分析!C336,"株探"),"")</f>
        <v/>
      </c>
      <c r="C336" s="148" t="str">
        <f>IF(分析!C336&lt;&gt;"",分析!C336,"")</f>
        <v/>
      </c>
      <c r="D336" s="149" t="str">
        <f>IF(分析!D336&lt;&gt;"",分析!D336,"")</f>
        <v/>
      </c>
      <c r="E336" s="150" t="str">
        <f>IF(分析!E336&lt;&gt;"",分析!E336,"")</f>
        <v/>
      </c>
      <c r="F336" s="151" t="str">
        <f>IF(分析!F336&lt;&gt;"",分析!F336,"")</f>
        <v/>
      </c>
      <c r="G336" s="151" t="str">
        <f>IF(分析!H336&lt;&gt;"",分析!H336,"")</f>
        <v/>
      </c>
      <c r="H336" s="151" t="str">
        <f>IF(分析!I336&lt;&gt;"",分析!I336,"")</f>
        <v/>
      </c>
      <c r="I336" s="151" t="str">
        <f>IF(分析!J336&lt;&gt;"",分析!J336,"")</f>
        <v/>
      </c>
      <c r="J336" s="151" t="str">
        <f>IF(分析!AB336&lt;&gt;"",分析!AB336,"")</f>
        <v/>
      </c>
      <c r="K336" s="151" t="str">
        <f>IF(分析!AC336&lt;&gt;"",分析!AC336,"")</f>
        <v/>
      </c>
      <c r="L336" s="151" t="str">
        <f>IF(分析!K336&lt;&gt;"",分析!K336,"")</f>
        <v/>
      </c>
      <c r="M336" s="146" t="str">
        <f>IF(分析!P336&lt;&gt;"",分析!P336,"")</f>
        <v/>
      </c>
      <c r="N336" s="152" t="str">
        <f>IF(分析!O336&lt;&gt;"",分析!O336,"")</f>
        <v/>
      </c>
      <c r="O336" s="153" t="str">
        <f>IF(分析!X336&lt;&gt;"",分析!X336,"")</f>
        <v/>
      </c>
      <c r="P336" s="154" t="str">
        <f>IF(分析!L336&lt;&gt;"",分析!L336,"")</f>
        <v/>
      </c>
      <c r="Q336" s="151" t="str">
        <f>IF(分析!S336&lt;&gt;"",分析!S336,"")</f>
        <v/>
      </c>
      <c r="R336" s="151" t="str">
        <f>IF(分析!R336&lt;&gt;"",分析!R336,"")</f>
        <v/>
      </c>
      <c r="S336" s="146" t="str">
        <f>IF(分析!AA336&lt;&gt;"",分析!AA336,"")</f>
        <v/>
      </c>
      <c r="T336" s="155" t="str">
        <f>IF(分析!Z336&lt;&gt;"",分析!Z336,"")</f>
        <v/>
      </c>
      <c r="U336" s="146" t="str">
        <f>IF(分析!V336&lt;&gt;"",分析!V336,"")</f>
        <v/>
      </c>
      <c r="V336" s="156" t="str">
        <f>IF(分析!W336&lt;&gt;"",分析!W336,"")</f>
        <v/>
      </c>
      <c r="W336" s="157" t="str">
        <f>IF(分析!AD336&lt;&gt;"",分析!AD336,"")</f>
        <v/>
      </c>
      <c r="X336" s="158" t="str">
        <f>IF(分析!AE336&lt;&gt;"",分析!AE336,"")</f>
        <v/>
      </c>
      <c r="Y336" s="159" t="str">
        <f>IF(分析!T336&lt;&gt;"",分析!T336,"")</f>
        <v/>
      </c>
      <c r="Z336" s="160" t="str">
        <f>IF(分析!Y336&lt;&gt;"",分析!Y336,"")</f>
        <v/>
      </c>
    </row>
    <row r="337" spans="1:26" ht="21.95" customHeight="1">
      <c r="A337" s="161" t="str">
        <f>IF(分析!C337&lt;&gt;"",ROW()-2,"")</f>
        <v/>
      </c>
      <c r="B337" s="162" t="str">
        <f>IF(分析!C337&lt;&gt;"",HYPERLINK("https://kabutan.jp/stock/?code="&amp;分析!C337,"株探"),"")</f>
        <v/>
      </c>
      <c r="C337" s="163" t="str">
        <f>IF(分析!C337&lt;&gt;"",分析!C337,"")</f>
        <v/>
      </c>
      <c r="D337" s="164" t="str">
        <f>IF(分析!D337&lt;&gt;"",分析!D337,"")</f>
        <v/>
      </c>
      <c r="E337" s="165" t="str">
        <f>IF(分析!E337&lt;&gt;"",分析!E337,"")</f>
        <v/>
      </c>
      <c r="F337" s="166" t="str">
        <f>IF(分析!F337&lt;&gt;"",分析!F337,"")</f>
        <v/>
      </c>
      <c r="G337" s="166" t="str">
        <f>IF(分析!H337&lt;&gt;"",分析!H337,"")</f>
        <v/>
      </c>
      <c r="H337" s="166" t="str">
        <f>IF(分析!I337&lt;&gt;"",分析!I337,"")</f>
        <v/>
      </c>
      <c r="I337" s="166" t="str">
        <f>IF(分析!J337&lt;&gt;"",分析!J337,"")</f>
        <v/>
      </c>
      <c r="J337" s="166" t="str">
        <f>IF(分析!AB337&lt;&gt;"",分析!AB337,"")</f>
        <v/>
      </c>
      <c r="K337" s="166" t="str">
        <f>IF(分析!AC337&lt;&gt;"",分析!AC337,"")</f>
        <v/>
      </c>
      <c r="L337" s="166" t="str">
        <f>IF(分析!K337&lt;&gt;"",分析!K337,"")</f>
        <v/>
      </c>
      <c r="M337" s="161" t="str">
        <f>IF(分析!P337&lt;&gt;"",分析!P337,"")</f>
        <v/>
      </c>
      <c r="N337" s="167" t="str">
        <f>IF(分析!O337&lt;&gt;"",分析!O337,"")</f>
        <v/>
      </c>
      <c r="O337" s="168" t="str">
        <f>IF(分析!X337&lt;&gt;"",分析!X337,"")</f>
        <v/>
      </c>
      <c r="P337" s="169" t="str">
        <f>IF(分析!L337&lt;&gt;"",分析!L337,"")</f>
        <v/>
      </c>
      <c r="Q337" s="166" t="str">
        <f>IF(分析!S337&lt;&gt;"",分析!S337,"")</f>
        <v/>
      </c>
      <c r="R337" s="166" t="str">
        <f>IF(分析!R337&lt;&gt;"",分析!R337,"")</f>
        <v/>
      </c>
      <c r="S337" s="161" t="str">
        <f>IF(分析!AA337&lt;&gt;"",分析!AA337,"")</f>
        <v/>
      </c>
      <c r="T337" s="170" t="str">
        <f>IF(分析!Z337&lt;&gt;"",分析!Z337,"")</f>
        <v/>
      </c>
      <c r="U337" s="161" t="str">
        <f>IF(分析!V337&lt;&gt;"",分析!V337,"")</f>
        <v/>
      </c>
      <c r="V337" s="171" t="str">
        <f>IF(分析!W337&lt;&gt;"",分析!W337,"")</f>
        <v/>
      </c>
      <c r="W337" s="172" t="str">
        <f>IF(分析!AD337&lt;&gt;"",分析!AD337,"")</f>
        <v/>
      </c>
      <c r="X337" s="173" t="str">
        <f>IF(分析!AE337&lt;&gt;"",分析!AE337,"")</f>
        <v/>
      </c>
      <c r="Y337" s="174" t="str">
        <f>IF(分析!T337&lt;&gt;"",分析!T337,"")</f>
        <v/>
      </c>
      <c r="Z337" s="160" t="str">
        <f>IF(分析!Y337&lt;&gt;"",分析!Y337,"")</f>
        <v/>
      </c>
    </row>
    <row r="338" spans="1:26" ht="21.95" customHeight="1">
      <c r="A338" s="146" t="str">
        <f>IF(分析!C338&lt;&gt;"",ROW()-2,"")</f>
        <v/>
      </c>
      <c r="B338" s="147" t="str">
        <f>IF(分析!C338&lt;&gt;"",HYPERLINK("https://kabutan.jp/stock/?code="&amp;分析!C338,"株探"),"")</f>
        <v/>
      </c>
      <c r="C338" s="148" t="str">
        <f>IF(分析!C338&lt;&gt;"",分析!C338,"")</f>
        <v/>
      </c>
      <c r="D338" s="149" t="str">
        <f>IF(分析!D338&lt;&gt;"",分析!D338,"")</f>
        <v/>
      </c>
      <c r="E338" s="150" t="str">
        <f>IF(分析!E338&lt;&gt;"",分析!E338,"")</f>
        <v/>
      </c>
      <c r="F338" s="151" t="str">
        <f>IF(分析!F338&lt;&gt;"",分析!F338,"")</f>
        <v/>
      </c>
      <c r="G338" s="151" t="str">
        <f>IF(分析!H338&lt;&gt;"",分析!H338,"")</f>
        <v/>
      </c>
      <c r="H338" s="151" t="str">
        <f>IF(分析!I338&lt;&gt;"",分析!I338,"")</f>
        <v/>
      </c>
      <c r="I338" s="151" t="str">
        <f>IF(分析!J338&lt;&gt;"",分析!J338,"")</f>
        <v/>
      </c>
      <c r="J338" s="151" t="str">
        <f>IF(分析!AB338&lt;&gt;"",分析!AB338,"")</f>
        <v/>
      </c>
      <c r="K338" s="151" t="str">
        <f>IF(分析!AC338&lt;&gt;"",分析!AC338,"")</f>
        <v/>
      </c>
      <c r="L338" s="151" t="str">
        <f>IF(分析!K338&lt;&gt;"",分析!K338,"")</f>
        <v/>
      </c>
      <c r="M338" s="146" t="str">
        <f>IF(分析!P338&lt;&gt;"",分析!P338,"")</f>
        <v/>
      </c>
      <c r="N338" s="152" t="str">
        <f>IF(分析!O338&lt;&gt;"",分析!O338,"")</f>
        <v/>
      </c>
      <c r="O338" s="153" t="str">
        <f>IF(分析!X338&lt;&gt;"",分析!X338,"")</f>
        <v/>
      </c>
      <c r="P338" s="154" t="str">
        <f>IF(分析!L338&lt;&gt;"",分析!L338,"")</f>
        <v/>
      </c>
      <c r="Q338" s="151" t="str">
        <f>IF(分析!S338&lt;&gt;"",分析!S338,"")</f>
        <v/>
      </c>
      <c r="R338" s="151" t="str">
        <f>IF(分析!R338&lt;&gt;"",分析!R338,"")</f>
        <v/>
      </c>
      <c r="S338" s="146" t="str">
        <f>IF(分析!AA338&lt;&gt;"",分析!AA338,"")</f>
        <v/>
      </c>
      <c r="T338" s="155" t="str">
        <f>IF(分析!Z338&lt;&gt;"",分析!Z338,"")</f>
        <v/>
      </c>
      <c r="U338" s="146" t="str">
        <f>IF(分析!V338&lt;&gt;"",分析!V338,"")</f>
        <v/>
      </c>
      <c r="V338" s="156" t="str">
        <f>IF(分析!W338&lt;&gt;"",分析!W338,"")</f>
        <v/>
      </c>
      <c r="W338" s="157" t="str">
        <f>IF(分析!AD338&lt;&gt;"",分析!AD338,"")</f>
        <v/>
      </c>
      <c r="X338" s="158" t="str">
        <f>IF(分析!AE338&lt;&gt;"",分析!AE338,"")</f>
        <v/>
      </c>
      <c r="Y338" s="159" t="str">
        <f>IF(分析!T338&lt;&gt;"",分析!T338,"")</f>
        <v/>
      </c>
      <c r="Z338" s="160" t="str">
        <f>IF(分析!Y338&lt;&gt;"",分析!Y338,"")</f>
        <v/>
      </c>
    </row>
    <row r="339" spans="1:26" ht="21.95" customHeight="1">
      <c r="A339" s="161" t="str">
        <f>IF(分析!C339&lt;&gt;"",ROW()-2,"")</f>
        <v/>
      </c>
      <c r="B339" s="162" t="str">
        <f>IF(分析!C339&lt;&gt;"",HYPERLINK("https://kabutan.jp/stock/?code="&amp;分析!C339,"株探"),"")</f>
        <v/>
      </c>
      <c r="C339" s="163" t="str">
        <f>IF(分析!C339&lt;&gt;"",分析!C339,"")</f>
        <v/>
      </c>
      <c r="D339" s="164" t="str">
        <f>IF(分析!D339&lt;&gt;"",分析!D339,"")</f>
        <v/>
      </c>
      <c r="E339" s="165" t="str">
        <f>IF(分析!E339&lt;&gt;"",分析!E339,"")</f>
        <v/>
      </c>
      <c r="F339" s="166" t="str">
        <f>IF(分析!F339&lt;&gt;"",分析!F339,"")</f>
        <v/>
      </c>
      <c r="G339" s="166" t="str">
        <f>IF(分析!H339&lt;&gt;"",分析!H339,"")</f>
        <v/>
      </c>
      <c r="H339" s="166" t="str">
        <f>IF(分析!I339&lt;&gt;"",分析!I339,"")</f>
        <v/>
      </c>
      <c r="I339" s="166" t="str">
        <f>IF(分析!J339&lt;&gt;"",分析!J339,"")</f>
        <v/>
      </c>
      <c r="J339" s="166" t="str">
        <f>IF(分析!AB339&lt;&gt;"",分析!AB339,"")</f>
        <v/>
      </c>
      <c r="K339" s="166" t="str">
        <f>IF(分析!AC339&lt;&gt;"",分析!AC339,"")</f>
        <v/>
      </c>
      <c r="L339" s="166" t="str">
        <f>IF(分析!K339&lt;&gt;"",分析!K339,"")</f>
        <v/>
      </c>
      <c r="M339" s="161" t="str">
        <f>IF(分析!P339&lt;&gt;"",分析!P339,"")</f>
        <v/>
      </c>
      <c r="N339" s="167" t="str">
        <f>IF(分析!O339&lt;&gt;"",分析!O339,"")</f>
        <v/>
      </c>
      <c r="O339" s="168" t="str">
        <f>IF(分析!X339&lt;&gt;"",分析!X339,"")</f>
        <v/>
      </c>
      <c r="P339" s="169" t="str">
        <f>IF(分析!L339&lt;&gt;"",分析!L339,"")</f>
        <v/>
      </c>
      <c r="Q339" s="166" t="str">
        <f>IF(分析!S339&lt;&gt;"",分析!S339,"")</f>
        <v/>
      </c>
      <c r="R339" s="166" t="str">
        <f>IF(分析!R339&lt;&gt;"",分析!R339,"")</f>
        <v/>
      </c>
      <c r="S339" s="161" t="str">
        <f>IF(分析!AA339&lt;&gt;"",分析!AA339,"")</f>
        <v/>
      </c>
      <c r="T339" s="170" t="str">
        <f>IF(分析!Z339&lt;&gt;"",分析!Z339,"")</f>
        <v/>
      </c>
      <c r="U339" s="161" t="str">
        <f>IF(分析!V339&lt;&gt;"",分析!V339,"")</f>
        <v/>
      </c>
      <c r="V339" s="171" t="str">
        <f>IF(分析!W339&lt;&gt;"",分析!W339,"")</f>
        <v/>
      </c>
      <c r="W339" s="172" t="str">
        <f>IF(分析!AD339&lt;&gt;"",分析!AD339,"")</f>
        <v/>
      </c>
      <c r="X339" s="173" t="str">
        <f>IF(分析!AE339&lt;&gt;"",分析!AE339,"")</f>
        <v/>
      </c>
      <c r="Y339" s="174" t="str">
        <f>IF(分析!T339&lt;&gt;"",分析!T339,"")</f>
        <v/>
      </c>
      <c r="Z339" s="160" t="str">
        <f>IF(分析!Y339&lt;&gt;"",分析!Y339,"")</f>
        <v/>
      </c>
    </row>
    <row r="340" spans="1:26" ht="21.95" customHeight="1">
      <c r="A340" s="146" t="str">
        <f>IF(分析!C340&lt;&gt;"",ROW()-2,"")</f>
        <v/>
      </c>
      <c r="B340" s="147" t="str">
        <f>IF(分析!C340&lt;&gt;"",HYPERLINK("https://kabutan.jp/stock/?code="&amp;分析!C340,"株探"),"")</f>
        <v/>
      </c>
      <c r="C340" s="148" t="str">
        <f>IF(分析!C340&lt;&gt;"",分析!C340,"")</f>
        <v/>
      </c>
      <c r="D340" s="149" t="str">
        <f>IF(分析!D340&lt;&gt;"",分析!D340,"")</f>
        <v/>
      </c>
      <c r="E340" s="150" t="str">
        <f>IF(分析!E340&lt;&gt;"",分析!E340,"")</f>
        <v/>
      </c>
      <c r="F340" s="151" t="str">
        <f>IF(分析!F340&lt;&gt;"",分析!F340,"")</f>
        <v/>
      </c>
      <c r="G340" s="151" t="str">
        <f>IF(分析!H340&lt;&gt;"",分析!H340,"")</f>
        <v/>
      </c>
      <c r="H340" s="151" t="str">
        <f>IF(分析!I340&lt;&gt;"",分析!I340,"")</f>
        <v/>
      </c>
      <c r="I340" s="151" t="str">
        <f>IF(分析!J340&lt;&gt;"",分析!J340,"")</f>
        <v/>
      </c>
      <c r="J340" s="151" t="str">
        <f>IF(分析!AB340&lt;&gt;"",分析!AB340,"")</f>
        <v/>
      </c>
      <c r="K340" s="151" t="str">
        <f>IF(分析!AC340&lt;&gt;"",分析!AC340,"")</f>
        <v/>
      </c>
      <c r="L340" s="151" t="str">
        <f>IF(分析!K340&lt;&gt;"",分析!K340,"")</f>
        <v/>
      </c>
      <c r="M340" s="146" t="str">
        <f>IF(分析!P340&lt;&gt;"",分析!P340,"")</f>
        <v/>
      </c>
      <c r="N340" s="152" t="str">
        <f>IF(分析!O340&lt;&gt;"",分析!O340,"")</f>
        <v/>
      </c>
      <c r="O340" s="153" t="str">
        <f>IF(分析!X340&lt;&gt;"",分析!X340,"")</f>
        <v/>
      </c>
      <c r="P340" s="154" t="str">
        <f>IF(分析!L340&lt;&gt;"",分析!L340,"")</f>
        <v/>
      </c>
      <c r="Q340" s="151" t="str">
        <f>IF(分析!S340&lt;&gt;"",分析!S340,"")</f>
        <v/>
      </c>
      <c r="R340" s="151" t="str">
        <f>IF(分析!R340&lt;&gt;"",分析!R340,"")</f>
        <v/>
      </c>
      <c r="S340" s="146" t="str">
        <f>IF(分析!AA340&lt;&gt;"",分析!AA340,"")</f>
        <v/>
      </c>
      <c r="T340" s="155" t="str">
        <f>IF(分析!Z340&lt;&gt;"",分析!Z340,"")</f>
        <v/>
      </c>
      <c r="U340" s="146" t="str">
        <f>IF(分析!V340&lt;&gt;"",分析!V340,"")</f>
        <v/>
      </c>
      <c r="V340" s="156" t="str">
        <f>IF(分析!W340&lt;&gt;"",分析!W340,"")</f>
        <v/>
      </c>
      <c r="W340" s="157" t="str">
        <f>IF(分析!AD340&lt;&gt;"",分析!AD340,"")</f>
        <v/>
      </c>
      <c r="X340" s="158" t="str">
        <f>IF(分析!AE340&lt;&gt;"",分析!AE340,"")</f>
        <v/>
      </c>
      <c r="Y340" s="159" t="str">
        <f>IF(分析!T340&lt;&gt;"",分析!T340,"")</f>
        <v/>
      </c>
      <c r="Z340" s="160" t="str">
        <f>IF(分析!Y340&lt;&gt;"",分析!Y340,"")</f>
        <v/>
      </c>
    </row>
    <row r="341" spans="1:26" ht="21.95" customHeight="1">
      <c r="A341" s="161" t="str">
        <f>IF(分析!C341&lt;&gt;"",ROW()-2,"")</f>
        <v/>
      </c>
      <c r="B341" s="162" t="str">
        <f>IF(分析!C341&lt;&gt;"",HYPERLINK("https://kabutan.jp/stock/?code="&amp;分析!C341,"株探"),"")</f>
        <v/>
      </c>
      <c r="C341" s="163" t="str">
        <f>IF(分析!C341&lt;&gt;"",分析!C341,"")</f>
        <v/>
      </c>
      <c r="D341" s="164" t="str">
        <f>IF(分析!D341&lt;&gt;"",分析!D341,"")</f>
        <v/>
      </c>
      <c r="E341" s="165" t="str">
        <f>IF(分析!E341&lt;&gt;"",分析!E341,"")</f>
        <v/>
      </c>
      <c r="F341" s="166" t="str">
        <f>IF(分析!F341&lt;&gt;"",分析!F341,"")</f>
        <v/>
      </c>
      <c r="G341" s="166" t="str">
        <f>IF(分析!H341&lt;&gt;"",分析!H341,"")</f>
        <v/>
      </c>
      <c r="H341" s="166" t="str">
        <f>IF(分析!I341&lt;&gt;"",分析!I341,"")</f>
        <v/>
      </c>
      <c r="I341" s="166" t="str">
        <f>IF(分析!J341&lt;&gt;"",分析!J341,"")</f>
        <v/>
      </c>
      <c r="J341" s="166" t="str">
        <f>IF(分析!AB341&lt;&gt;"",分析!AB341,"")</f>
        <v/>
      </c>
      <c r="K341" s="166" t="str">
        <f>IF(分析!AC341&lt;&gt;"",分析!AC341,"")</f>
        <v/>
      </c>
      <c r="L341" s="166" t="str">
        <f>IF(分析!K341&lt;&gt;"",分析!K341,"")</f>
        <v/>
      </c>
      <c r="M341" s="161" t="str">
        <f>IF(分析!P341&lt;&gt;"",分析!P341,"")</f>
        <v/>
      </c>
      <c r="N341" s="167" t="str">
        <f>IF(分析!O341&lt;&gt;"",分析!O341,"")</f>
        <v/>
      </c>
      <c r="O341" s="168" t="str">
        <f>IF(分析!X341&lt;&gt;"",分析!X341,"")</f>
        <v/>
      </c>
      <c r="P341" s="169" t="str">
        <f>IF(分析!L341&lt;&gt;"",分析!L341,"")</f>
        <v/>
      </c>
      <c r="Q341" s="166" t="str">
        <f>IF(分析!S341&lt;&gt;"",分析!S341,"")</f>
        <v/>
      </c>
      <c r="R341" s="166" t="str">
        <f>IF(分析!R341&lt;&gt;"",分析!R341,"")</f>
        <v/>
      </c>
      <c r="S341" s="161" t="str">
        <f>IF(分析!AA341&lt;&gt;"",分析!AA341,"")</f>
        <v/>
      </c>
      <c r="T341" s="170" t="str">
        <f>IF(分析!Z341&lt;&gt;"",分析!Z341,"")</f>
        <v/>
      </c>
      <c r="U341" s="161" t="str">
        <f>IF(分析!V341&lt;&gt;"",分析!V341,"")</f>
        <v/>
      </c>
      <c r="V341" s="171" t="str">
        <f>IF(分析!W341&lt;&gt;"",分析!W341,"")</f>
        <v/>
      </c>
      <c r="W341" s="172" t="str">
        <f>IF(分析!AD341&lt;&gt;"",分析!AD341,"")</f>
        <v/>
      </c>
      <c r="X341" s="173" t="str">
        <f>IF(分析!AE341&lt;&gt;"",分析!AE341,"")</f>
        <v/>
      </c>
      <c r="Y341" s="174" t="str">
        <f>IF(分析!T341&lt;&gt;"",分析!T341,"")</f>
        <v/>
      </c>
      <c r="Z341" s="160" t="str">
        <f>IF(分析!Y341&lt;&gt;"",分析!Y341,"")</f>
        <v/>
      </c>
    </row>
    <row r="342" spans="1:26" ht="21.95" customHeight="1">
      <c r="A342" s="146" t="str">
        <f>IF(分析!C342&lt;&gt;"",ROW()-2,"")</f>
        <v/>
      </c>
      <c r="B342" s="147" t="str">
        <f>IF(分析!C342&lt;&gt;"",HYPERLINK("https://kabutan.jp/stock/?code="&amp;分析!C342,"株探"),"")</f>
        <v/>
      </c>
      <c r="C342" s="148" t="str">
        <f>IF(分析!C342&lt;&gt;"",分析!C342,"")</f>
        <v/>
      </c>
      <c r="D342" s="149" t="str">
        <f>IF(分析!D342&lt;&gt;"",分析!D342,"")</f>
        <v/>
      </c>
      <c r="E342" s="150" t="str">
        <f>IF(分析!E342&lt;&gt;"",分析!E342,"")</f>
        <v/>
      </c>
      <c r="F342" s="151" t="str">
        <f>IF(分析!F342&lt;&gt;"",分析!F342,"")</f>
        <v/>
      </c>
      <c r="G342" s="151" t="str">
        <f>IF(分析!H342&lt;&gt;"",分析!H342,"")</f>
        <v/>
      </c>
      <c r="H342" s="151" t="str">
        <f>IF(分析!I342&lt;&gt;"",分析!I342,"")</f>
        <v/>
      </c>
      <c r="I342" s="151" t="str">
        <f>IF(分析!J342&lt;&gt;"",分析!J342,"")</f>
        <v/>
      </c>
      <c r="J342" s="151" t="str">
        <f>IF(分析!AB342&lt;&gt;"",分析!AB342,"")</f>
        <v/>
      </c>
      <c r="K342" s="151" t="str">
        <f>IF(分析!AC342&lt;&gt;"",分析!AC342,"")</f>
        <v/>
      </c>
      <c r="L342" s="151" t="str">
        <f>IF(分析!K342&lt;&gt;"",分析!K342,"")</f>
        <v/>
      </c>
      <c r="M342" s="146" t="str">
        <f>IF(分析!P342&lt;&gt;"",分析!P342,"")</f>
        <v/>
      </c>
      <c r="N342" s="152" t="str">
        <f>IF(分析!O342&lt;&gt;"",分析!O342,"")</f>
        <v/>
      </c>
      <c r="O342" s="153" t="str">
        <f>IF(分析!X342&lt;&gt;"",分析!X342,"")</f>
        <v/>
      </c>
      <c r="P342" s="154" t="str">
        <f>IF(分析!L342&lt;&gt;"",分析!L342,"")</f>
        <v/>
      </c>
      <c r="Q342" s="151" t="str">
        <f>IF(分析!S342&lt;&gt;"",分析!S342,"")</f>
        <v/>
      </c>
      <c r="R342" s="151" t="str">
        <f>IF(分析!R342&lt;&gt;"",分析!R342,"")</f>
        <v/>
      </c>
      <c r="S342" s="146" t="str">
        <f>IF(分析!AA342&lt;&gt;"",分析!AA342,"")</f>
        <v/>
      </c>
      <c r="T342" s="155" t="str">
        <f>IF(分析!Z342&lt;&gt;"",分析!Z342,"")</f>
        <v/>
      </c>
      <c r="U342" s="146" t="str">
        <f>IF(分析!V342&lt;&gt;"",分析!V342,"")</f>
        <v/>
      </c>
      <c r="V342" s="156" t="str">
        <f>IF(分析!W342&lt;&gt;"",分析!W342,"")</f>
        <v/>
      </c>
      <c r="W342" s="157" t="str">
        <f>IF(分析!AD342&lt;&gt;"",分析!AD342,"")</f>
        <v/>
      </c>
      <c r="X342" s="158" t="str">
        <f>IF(分析!AE342&lt;&gt;"",分析!AE342,"")</f>
        <v/>
      </c>
      <c r="Y342" s="159" t="str">
        <f>IF(分析!T342&lt;&gt;"",分析!T342,"")</f>
        <v/>
      </c>
      <c r="Z342" s="160" t="str">
        <f>IF(分析!Y342&lt;&gt;"",分析!Y342,"")</f>
        <v/>
      </c>
    </row>
    <row r="343" spans="1:26" ht="21.95" customHeight="1">
      <c r="A343" s="161" t="str">
        <f>IF(分析!C343&lt;&gt;"",ROW()-2,"")</f>
        <v/>
      </c>
      <c r="B343" s="162" t="str">
        <f>IF(分析!C343&lt;&gt;"",HYPERLINK("https://kabutan.jp/stock/?code="&amp;分析!C343,"株探"),"")</f>
        <v/>
      </c>
      <c r="C343" s="163" t="str">
        <f>IF(分析!C343&lt;&gt;"",分析!C343,"")</f>
        <v/>
      </c>
      <c r="D343" s="164" t="str">
        <f>IF(分析!D343&lt;&gt;"",分析!D343,"")</f>
        <v/>
      </c>
      <c r="E343" s="165" t="str">
        <f>IF(分析!E343&lt;&gt;"",分析!E343,"")</f>
        <v/>
      </c>
      <c r="F343" s="166" t="str">
        <f>IF(分析!F343&lt;&gt;"",分析!F343,"")</f>
        <v/>
      </c>
      <c r="G343" s="166" t="str">
        <f>IF(分析!H343&lt;&gt;"",分析!H343,"")</f>
        <v/>
      </c>
      <c r="H343" s="166" t="str">
        <f>IF(分析!I343&lt;&gt;"",分析!I343,"")</f>
        <v/>
      </c>
      <c r="I343" s="166" t="str">
        <f>IF(分析!J343&lt;&gt;"",分析!J343,"")</f>
        <v/>
      </c>
      <c r="J343" s="166" t="str">
        <f>IF(分析!AB343&lt;&gt;"",分析!AB343,"")</f>
        <v/>
      </c>
      <c r="K343" s="166" t="str">
        <f>IF(分析!AC343&lt;&gt;"",分析!AC343,"")</f>
        <v/>
      </c>
      <c r="L343" s="166" t="str">
        <f>IF(分析!K343&lt;&gt;"",分析!K343,"")</f>
        <v/>
      </c>
      <c r="M343" s="161" t="str">
        <f>IF(分析!P343&lt;&gt;"",分析!P343,"")</f>
        <v/>
      </c>
      <c r="N343" s="167" t="str">
        <f>IF(分析!O343&lt;&gt;"",分析!O343,"")</f>
        <v/>
      </c>
      <c r="O343" s="168" t="str">
        <f>IF(分析!X343&lt;&gt;"",分析!X343,"")</f>
        <v/>
      </c>
      <c r="P343" s="169" t="str">
        <f>IF(分析!L343&lt;&gt;"",分析!L343,"")</f>
        <v/>
      </c>
      <c r="Q343" s="166" t="str">
        <f>IF(分析!S343&lt;&gt;"",分析!S343,"")</f>
        <v/>
      </c>
      <c r="R343" s="166" t="str">
        <f>IF(分析!R343&lt;&gt;"",分析!R343,"")</f>
        <v/>
      </c>
      <c r="S343" s="161" t="str">
        <f>IF(分析!AA343&lt;&gt;"",分析!AA343,"")</f>
        <v/>
      </c>
      <c r="T343" s="170" t="str">
        <f>IF(分析!Z343&lt;&gt;"",分析!Z343,"")</f>
        <v/>
      </c>
      <c r="U343" s="161" t="str">
        <f>IF(分析!V343&lt;&gt;"",分析!V343,"")</f>
        <v/>
      </c>
      <c r="V343" s="171" t="str">
        <f>IF(分析!W343&lt;&gt;"",分析!W343,"")</f>
        <v/>
      </c>
      <c r="W343" s="172" t="str">
        <f>IF(分析!AD343&lt;&gt;"",分析!AD343,"")</f>
        <v/>
      </c>
      <c r="X343" s="173" t="str">
        <f>IF(分析!AE343&lt;&gt;"",分析!AE343,"")</f>
        <v/>
      </c>
      <c r="Y343" s="174" t="str">
        <f>IF(分析!T343&lt;&gt;"",分析!T343,"")</f>
        <v/>
      </c>
      <c r="Z343" s="160" t="str">
        <f>IF(分析!Y343&lt;&gt;"",分析!Y343,"")</f>
        <v/>
      </c>
    </row>
    <row r="344" spans="1:26" ht="21.95" customHeight="1">
      <c r="A344" s="146" t="str">
        <f>IF(分析!C344&lt;&gt;"",ROW()-2,"")</f>
        <v/>
      </c>
      <c r="B344" s="147" t="str">
        <f>IF(分析!C344&lt;&gt;"",HYPERLINK("https://kabutan.jp/stock/?code="&amp;分析!C344,"株探"),"")</f>
        <v/>
      </c>
      <c r="C344" s="148" t="str">
        <f>IF(分析!C344&lt;&gt;"",分析!C344,"")</f>
        <v/>
      </c>
      <c r="D344" s="149" t="str">
        <f>IF(分析!D344&lt;&gt;"",分析!D344,"")</f>
        <v/>
      </c>
      <c r="E344" s="150" t="str">
        <f>IF(分析!E344&lt;&gt;"",分析!E344,"")</f>
        <v/>
      </c>
      <c r="F344" s="151" t="str">
        <f>IF(分析!F344&lt;&gt;"",分析!F344,"")</f>
        <v/>
      </c>
      <c r="G344" s="151" t="str">
        <f>IF(分析!H344&lt;&gt;"",分析!H344,"")</f>
        <v/>
      </c>
      <c r="H344" s="151" t="str">
        <f>IF(分析!I344&lt;&gt;"",分析!I344,"")</f>
        <v/>
      </c>
      <c r="I344" s="151" t="str">
        <f>IF(分析!J344&lt;&gt;"",分析!J344,"")</f>
        <v/>
      </c>
      <c r="J344" s="151" t="str">
        <f>IF(分析!AB344&lt;&gt;"",分析!AB344,"")</f>
        <v/>
      </c>
      <c r="K344" s="151" t="str">
        <f>IF(分析!AC344&lt;&gt;"",分析!AC344,"")</f>
        <v/>
      </c>
      <c r="L344" s="151" t="str">
        <f>IF(分析!K344&lt;&gt;"",分析!K344,"")</f>
        <v/>
      </c>
      <c r="M344" s="146" t="str">
        <f>IF(分析!P344&lt;&gt;"",分析!P344,"")</f>
        <v/>
      </c>
      <c r="N344" s="152" t="str">
        <f>IF(分析!O344&lt;&gt;"",分析!O344,"")</f>
        <v/>
      </c>
      <c r="O344" s="153" t="str">
        <f>IF(分析!X344&lt;&gt;"",分析!X344,"")</f>
        <v/>
      </c>
      <c r="P344" s="154" t="str">
        <f>IF(分析!L344&lt;&gt;"",分析!L344,"")</f>
        <v/>
      </c>
      <c r="Q344" s="151" t="str">
        <f>IF(分析!S344&lt;&gt;"",分析!S344,"")</f>
        <v/>
      </c>
      <c r="R344" s="151" t="str">
        <f>IF(分析!R344&lt;&gt;"",分析!R344,"")</f>
        <v/>
      </c>
      <c r="S344" s="146" t="str">
        <f>IF(分析!AA344&lt;&gt;"",分析!AA344,"")</f>
        <v/>
      </c>
      <c r="T344" s="155" t="str">
        <f>IF(分析!Z344&lt;&gt;"",分析!Z344,"")</f>
        <v/>
      </c>
      <c r="U344" s="146" t="str">
        <f>IF(分析!V344&lt;&gt;"",分析!V344,"")</f>
        <v/>
      </c>
      <c r="V344" s="156" t="str">
        <f>IF(分析!W344&lt;&gt;"",分析!W344,"")</f>
        <v/>
      </c>
      <c r="W344" s="157" t="str">
        <f>IF(分析!AD344&lt;&gt;"",分析!AD344,"")</f>
        <v/>
      </c>
      <c r="X344" s="158" t="str">
        <f>IF(分析!AE344&lt;&gt;"",分析!AE344,"")</f>
        <v/>
      </c>
      <c r="Y344" s="159" t="str">
        <f>IF(分析!T344&lt;&gt;"",分析!T344,"")</f>
        <v/>
      </c>
      <c r="Z344" s="160" t="str">
        <f>IF(分析!Y344&lt;&gt;"",分析!Y344,"")</f>
        <v/>
      </c>
    </row>
    <row r="345" spans="1:26" ht="21.95" customHeight="1">
      <c r="A345" s="161" t="str">
        <f>IF(分析!C345&lt;&gt;"",ROW()-2,"")</f>
        <v/>
      </c>
      <c r="B345" s="162" t="str">
        <f>IF(分析!C345&lt;&gt;"",HYPERLINK("https://kabutan.jp/stock/?code="&amp;分析!C345,"株探"),"")</f>
        <v/>
      </c>
      <c r="C345" s="163" t="str">
        <f>IF(分析!C345&lt;&gt;"",分析!C345,"")</f>
        <v/>
      </c>
      <c r="D345" s="164" t="str">
        <f>IF(分析!D345&lt;&gt;"",分析!D345,"")</f>
        <v/>
      </c>
      <c r="E345" s="165" t="str">
        <f>IF(分析!E345&lt;&gt;"",分析!E345,"")</f>
        <v/>
      </c>
      <c r="F345" s="166" t="str">
        <f>IF(分析!F345&lt;&gt;"",分析!F345,"")</f>
        <v/>
      </c>
      <c r="G345" s="166" t="str">
        <f>IF(分析!H345&lt;&gt;"",分析!H345,"")</f>
        <v/>
      </c>
      <c r="H345" s="166" t="str">
        <f>IF(分析!I345&lt;&gt;"",分析!I345,"")</f>
        <v/>
      </c>
      <c r="I345" s="166" t="str">
        <f>IF(分析!J345&lt;&gt;"",分析!J345,"")</f>
        <v/>
      </c>
      <c r="J345" s="166" t="str">
        <f>IF(分析!AB345&lt;&gt;"",分析!AB345,"")</f>
        <v/>
      </c>
      <c r="K345" s="166" t="str">
        <f>IF(分析!AC345&lt;&gt;"",分析!AC345,"")</f>
        <v/>
      </c>
      <c r="L345" s="166" t="str">
        <f>IF(分析!K345&lt;&gt;"",分析!K345,"")</f>
        <v/>
      </c>
      <c r="M345" s="161" t="str">
        <f>IF(分析!P345&lt;&gt;"",分析!P345,"")</f>
        <v/>
      </c>
      <c r="N345" s="167" t="str">
        <f>IF(分析!O345&lt;&gt;"",分析!O345,"")</f>
        <v/>
      </c>
      <c r="O345" s="168" t="str">
        <f>IF(分析!X345&lt;&gt;"",分析!X345,"")</f>
        <v/>
      </c>
      <c r="P345" s="169" t="str">
        <f>IF(分析!L345&lt;&gt;"",分析!L345,"")</f>
        <v/>
      </c>
      <c r="Q345" s="166" t="str">
        <f>IF(分析!S345&lt;&gt;"",分析!S345,"")</f>
        <v/>
      </c>
      <c r="R345" s="166" t="str">
        <f>IF(分析!R345&lt;&gt;"",分析!R345,"")</f>
        <v/>
      </c>
      <c r="S345" s="161" t="str">
        <f>IF(分析!AA345&lt;&gt;"",分析!AA345,"")</f>
        <v/>
      </c>
      <c r="T345" s="170" t="str">
        <f>IF(分析!Z345&lt;&gt;"",分析!Z345,"")</f>
        <v/>
      </c>
      <c r="U345" s="161" t="str">
        <f>IF(分析!V345&lt;&gt;"",分析!V345,"")</f>
        <v/>
      </c>
      <c r="V345" s="171" t="str">
        <f>IF(分析!W345&lt;&gt;"",分析!W345,"")</f>
        <v/>
      </c>
      <c r="W345" s="172" t="str">
        <f>IF(分析!AD345&lt;&gt;"",分析!AD345,"")</f>
        <v/>
      </c>
      <c r="X345" s="173" t="str">
        <f>IF(分析!AE345&lt;&gt;"",分析!AE345,"")</f>
        <v/>
      </c>
      <c r="Y345" s="174" t="str">
        <f>IF(分析!T345&lt;&gt;"",分析!T345,"")</f>
        <v/>
      </c>
      <c r="Z345" s="160" t="str">
        <f>IF(分析!Y345&lt;&gt;"",分析!Y345,"")</f>
        <v/>
      </c>
    </row>
    <row r="346" spans="1:26" ht="21.95" customHeight="1">
      <c r="A346" s="146" t="str">
        <f>IF(分析!C346&lt;&gt;"",ROW()-2,"")</f>
        <v/>
      </c>
      <c r="B346" s="147" t="str">
        <f>IF(分析!C346&lt;&gt;"",HYPERLINK("https://kabutan.jp/stock/?code="&amp;分析!C346,"株探"),"")</f>
        <v/>
      </c>
      <c r="C346" s="148" t="str">
        <f>IF(分析!C346&lt;&gt;"",分析!C346,"")</f>
        <v/>
      </c>
      <c r="D346" s="149" t="str">
        <f>IF(分析!D346&lt;&gt;"",分析!D346,"")</f>
        <v/>
      </c>
      <c r="E346" s="150" t="str">
        <f>IF(分析!E346&lt;&gt;"",分析!E346,"")</f>
        <v/>
      </c>
      <c r="F346" s="151" t="str">
        <f>IF(分析!F346&lt;&gt;"",分析!F346,"")</f>
        <v/>
      </c>
      <c r="G346" s="151" t="str">
        <f>IF(分析!H346&lt;&gt;"",分析!H346,"")</f>
        <v/>
      </c>
      <c r="H346" s="151" t="str">
        <f>IF(分析!I346&lt;&gt;"",分析!I346,"")</f>
        <v/>
      </c>
      <c r="I346" s="151" t="str">
        <f>IF(分析!J346&lt;&gt;"",分析!J346,"")</f>
        <v/>
      </c>
      <c r="J346" s="151" t="str">
        <f>IF(分析!AB346&lt;&gt;"",分析!AB346,"")</f>
        <v/>
      </c>
      <c r="K346" s="151" t="str">
        <f>IF(分析!AC346&lt;&gt;"",分析!AC346,"")</f>
        <v/>
      </c>
      <c r="L346" s="151" t="str">
        <f>IF(分析!K346&lt;&gt;"",分析!K346,"")</f>
        <v/>
      </c>
      <c r="M346" s="146" t="str">
        <f>IF(分析!P346&lt;&gt;"",分析!P346,"")</f>
        <v/>
      </c>
      <c r="N346" s="152" t="str">
        <f>IF(分析!O346&lt;&gt;"",分析!O346,"")</f>
        <v/>
      </c>
      <c r="O346" s="153" t="str">
        <f>IF(分析!X346&lt;&gt;"",分析!X346,"")</f>
        <v/>
      </c>
      <c r="P346" s="154" t="str">
        <f>IF(分析!L346&lt;&gt;"",分析!L346,"")</f>
        <v/>
      </c>
      <c r="Q346" s="151" t="str">
        <f>IF(分析!S346&lt;&gt;"",分析!S346,"")</f>
        <v/>
      </c>
      <c r="R346" s="151" t="str">
        <f>IF(分析!R346&lt;&gt;"",分析!R346,"")</f>
        <v/>
      </c>
      <c r="S346" s="146" t="str">
        <f>IF(分析!AA346&lt;&gt;"",分析!AA346,"")</f>
        <v/>
      </c>
      <c r="T346" s="155" t="str">
        <f>IF(分析!Z346&lt;&gt;"",分析!Z346,"")</f>
        <v/>
      </c>
      <c r="U346" s="146" t="str">
        <f>IF(分析!V346&lt;&gt;"",分析!V346,"")</f>
        <v/>
      </c>
      <c r="V346" s="156" t="str">
        <f>IF(分析!W346&lt;&gt;"",分析!W346,"")</f>
        <v/>
      </c>
      <c r="W346" s="157" t="str">
        <f>IF(分析!AD346&lt;&gt;"",分析!AD346,"")</f>
        <v/>
      </c>
      <c r="X346" s="158" t="str">
        <f>IF(分析!AE346&lt;&gt;"",分析!AE346,"")</f>
        <v/>
      </c>
      <c r="Y346" s="159" t="str">
        <f>IF(分析!T346&lt;&gt;"",分析!T346,"")</f>
        <v/>
      </c>
      <c r="Z346" s="160" t="str">
        <f>IF(分析!Y346&lt;&gt;"",分析!Y346,"")</f>
        <v/>
      </c>
    </row>
    <row r="347" spans="1:26" ht="21.95" customHeight="1">
      <c r="A347" s="161" t="str">
        <f>IF(分析!C347&lt;&gt;"",ROW()-2,"")</f>
        <v/>
      </c>
      <c r="B347" s="162" t="str">
        <f>IF(分析!C347&lt;&gt;"",HYPERLINK("https://kabutan.jp/stock/?code="&amp;分析!C347,"株探"),"")</f>
        <v/>
      </c>
      <c r="C347" s="163" t="str">
        <f>IF(分析!C347&lt;&gt;"",分析!C347,"")</f>
        <v/>
      </c>
      <c r="D347" s="164" t="str">
        <f>IF(分析!D347&lt;&gt;"",分析!D347,"")</f>
        <v/>
      </c>
      <c r="E347" s="165" t="str">
        <f>IF(分析!E347&lt;&gt;"",分析!E347,"")</f>
        <v/>
      </c>
      <c r="F347" s="166" t="str">
        <f>IF(分析!F347&lt;&gt;"",分析!F347,"")</f>
        <v/>
      </c>
      <c r="G347" s="166" t="str">
        <f>IF(分析!H347&lt;&gt;"",分析!H347,"")</f>
        <v/>
      </c>
      <c r="H347" s="166" t="str">
        <f>IF(分析!I347&lt;&gt;"",分析!I347,"")</f>
        <v/>
      </c>
      <c r="I347" s="166" t="str">
        <f>IF(分析!J347&lt;&gt;"",分析!J347,"")</f>
        <v/>
      </c>
      <c r="J347" s="166" t="str">
        <f>IF(分析!AB347&lt;&gt;"",分析!AB347,"")</f>
        <v/>
      </c>
      <c r="K347" s="166" t="str">
        <f>IF(分析!AC347&lt;&gt;"",分析!AC347,"")</f>
        <v/>
      </c>
      <c r="L347" s="166" t="str">
        <f>IF(分析!K347&lt;&gt;"",分析!K347,"")</f>
        <v/>
      </c>
      <c r="M347" s="161" t="str">
        <f>IF(分析!P347&lt;&gt;"",分析!P347,"")</f>
        <v/>
      </c>
      <c r="N347" s="167" t="str">
        <f>IF(分析!O347&lt;&gt;"",分析!O347,"")</f>
        <v/>
      </c>
      <c r="O347" s="168" t="str">
        <f>IF(分析!X347&lt;&gt;"",分析!X347,"")</f>
        <v/>
      </c>
      <c r="P347" s="169" t="str">
        <f>IF(分析!L347&lt;&gt;"",分析!L347,"")</f>
        <v/>
      </c>
      <c r="Q347" s="166" t="str">
        <f>IF(分析!S347&lt;&gt;"",分析!S347,"")</f>
        <v/>
      </c>
      <c r="R347" s="166" t="str">
        <f>IF(分析!R347&lt;&gt;"",分析!R347,"")</f>
        <v/>
      </c>
      <c r="S347" s="161" t="str">
        <f>IF(分析!AA347&lt;&gt;"",分析!AA347,"")</f>
        <v/>
      </c>
      <c r="T347" s="170" t="str">
        <f>IF(分析!Z347&lt;&gt;"",分析!Z347,"")</f>
        <v/>
      </c>
      <c r="U347" s="161" t="str">
        <f>IF(分析!V347&lt;&gt;"",分析!V347,"")</f>
        <v/>
      </c>
      <c r="V347" s="171" t="str">
        <f>IF(分析!W347&lt;&gt;"",分析!W347,"")</f>
        <v/>
      </c>
      <c r="W347" s="172" t="str">
        <f>IF(分析!AD347&lt;&gt;"",分析!AD347,"")</f>
        <v/>
      </c>
      <c r="X347" s="173" t="str">
        <f>IF(分析!AE347&lt;&gt;"",分析!AE347,"")</f>
        <v/>
      </c>
      <c r="Y347" s="174" t="str">
        <f>IF(分析!T347&lt;&gt;"",分析!T347,"")</f>
        <v/>
      </c>
      <c r="Z347" s="160" t="str">
        <f>IF(分析!Y347&lt;&gt;"",分析!Y347,"")</f>
        <v/>
      </c>
    </row>
    <row r="348" spans="1:26" ht="21.95" customHeight="1">
      <c r="A348" s="146" t="str">
        <f>IF(分析!C348&lt;&gt;"",ROW()-2,"")</f>
        <v/>
      </c>
      <c r="B348" s="147" t="str">
        <f>IF(分析!C348&lt;&gt;"",HYPERLINK("https://kabutan.jp/stock/?code="&amp;分析!C348,"株探"),"")</f>
        <v/>
      </c>
      <c r="C348" s="148" t="str">
        <f>IF(分析!C348&lt;&gt;"",分析!C348,"")</f>
        <v/>
      </c>
      <c r="D348" s="149" t="str">
        <f>IF(分析!D348&lt;&gt;"",分析!D348,"")</f>
        <v/>
      </c>
      <c r="E348" s="150" t="str">
        <f>IF(分析!E348&lt;&gt;"",分析!E348,"")</f>
        <v/>
      </c>
      <c r="F348" s="151" t="str">
        <f>IF(分析!F348&lt;&gt;"",分析!F348,"")</f>
        <v/>
      </c>
      <c r="G348" s="151" t="str">
        <f>IF(分析!H348&lt;&gt;"",分析!H348,"")</f>
        <v/>
      </c>
      <c r="H348" s="151" t="str">
        <f>IF(分析!I348&lt;&gt;"",分析!I348,"")</f>
        <v/>
      </c>
      <c r="I348" s="151" t="str">
        <f>IF(分析!J348&lt;&gt;"",分析!J348,"")</f>
        <v/>
      </c>
      <c r="J348" s="151" t="str">
        <f>IF(分析!AB348&lt;&gt;"",分析!AB348,"")</f>
        <v/>
      </c>
      <c r="K348" s="151" t="str">
        <f>IF(分析!AC348&lt;&gt;"",分析!AC348,"")</f>
        <v/>
      </c>
      <c r="L348" s="151" t="str">
        <f>IF(分析!K348&lt;&gt;"",分析!K348,"")</f>
        <v/>
      </c>
      <c r="M348" s="146" t="str">
        <f>IF(分析!P348&lt;&gt;"",分析!P348,"")</f>
        <v/>
      </c>
      <c r="N348" s="152" t="str">
        <f>IF(分析!O348&lt;&gt;"",分析!O348,"")</f>
        <v/>
      </c>
      <c r="O348" s="153" t="str">
        <f>IF(分析!X348&lt;&gt;"",分析!X348,"")</f>
        <v/>
      </c>
      <c r="P348" s="154" t="str">
        <f>IF(分析!L348&lt;&gt;"",分析!L348,"")</f>
        <v/>
      </c>
      <c r="Q348" s="151" t="str">
        <f>IF(分析!S348&lt;&gt;"",分析!S348,"")</f>
        <v/>
      </c>
      <c r="R348" s="151" t="str">
        <f>IF(分析!R348&lt;&gt;"",分析!R348,"")</f>
        <v/>
      </c>
      <c r="S348" s="146" t="str">
        <f>IF(分析!AA348&lt;&gt;"",分析!AA348,"")</f>
        <v/>
      </c>
      <c r="T348" s="155" t="str">
        <f>IF(分析!Z348&lt;&gt;"",分析!Z348,"")</f>
        <v/>
      </c>
      <c r="U348" s="146" t="str">
        <f>IF(分析!V348&lt;&gt;"",分析!V348,"")</f>
        <v/>
      </c>
      <c r="V348" s="156" t="str">
        <f>IF(分析!W348&lt;&gt;"",分析!W348,"")</f>
        <v/>
      </c>
      <c r="W348" s="157" t="str">
        <f>IF(分析!AD348&lt;&gt;"",分析!AD348,"")</f>
        <v/>
      </c>
      <c r="X348" s="158" t="str">
        <f>IF(分析!AE348&lt;&gt;"",分析!AE348,"")</f>
        <v/>
      </c>
      <c r="Y348" s="159" t="str">
        <f>IF(分析!T348&lt;&gt;"",分析!T348,"")</f>
        <v/>
      </c>
      <c r="Z348" s="160" t="str">
        <f>IF(分析!Y348&lt;&gt;"",分析!Y348,"")</f>
        <v/>
      </c>
    </row>
    <row r="349" spans="1:26" ht="21.95" customHeight="1">
      <c r="A349" s="161" t="str">
        <f>IF(分析!C349&lt;&gt;"",ROW()-2,"")</f>
        <v/>
      </c>
      <c r="B349" s="162" t="str">
        <f>IF(分析!C349&lt;&gt;"",HYPERLINK("https://kabutan.jp/stock/?code="&amp;分析!C349,"株探"),"")</f>
        <v/>
      </c>
      <c r="C349" s="163" t="str">
        <f>IF(分析!C349&lt;&gt;"",分析!C349,"")</f>
        <v/>
      </c>
      <c r="D349" s="164" t="str">
        <f>IF(分析!D349&lt;&gt;"",分析!D349,"")</f>
        <v/>
      </c>
      <c r="E349" s="165" t="str">
        <f>IF(分析!E349&lt;&gt;"",分析!E349,"")</f>
        <v/>
      </c>
      <c r="F349" s="166" t="str">
        <f>IF(分析!F349&lt;&gt;"",分析!F349,"")</f>
        <v/>
      </c>
      <c r="G349" s="166" t="str">
        <f>IF(分析!H349&lt;&gt;"",分析!H349,"")</f>
        <v/>
      </c>
      <c r="H349" s="166" t="str">
        <f>IF(分析!I349&lt;&gt;"",分析!I349,"")</f>
        <v/>
      </c>
      <c r="I349" s="166" t="str">
        <f>IF(分析!J349&lt;&gt;"",分析!J349,"")</f>
        <v/>
      </c>
      <c r="J349" s="166" t="str">
        <f>IF(分析!AB349&lt;&gt;"",分析!AB349,"")</f>
        <v/>
      </c>
      <c r="K349" s="166" t="str">
        <f>IF(分析!AC349&lt;&gt;"",分析!AC349,"")</f>
        <v/>
      </c>
      <c r="L349" s="166" t="str">
        <f>IF(分析!K349&lt;&gt;"",分析!K349,"")</f>
        <v/>
      </c>
      <c r="M349" s="161" t="str">
        <f>IF(分析!P349&lt;&gt;"",分析!P349,"")</f>
        <v/>
      </c>
      <c r="N349" s="167" t="str">
        <f>IF(分析!O349&lt;&gt;"",分析!O349,"")</f>
        <v/>
      </c>
      <c r="O349" s="168" t="str">
        <f>IF(分析!X349&lt;&gt;"",分析!X349,"")</f>
        <v/>
      </c>
      <c r="P349" s="169" t="str">
        <f>IF(分析!L349&lt;&gt;"",分析!L349,"")</f>
        <v/>
      </c>
      <c r="Q349" s="166" t="str">
        <f>IF(分析!S349&lt;&gt;"",分析!S349,"")</f>
        <v/>
      </c>
      <c r="R349" s="166" t="str">
        <f>IF(分析!R349&lt;&gt;"",分析!R349,"")</f>
        <v/>
      </c>
      <c r="S349" s="161" t="str">
        <f>IF(分析!AA349&lt;&gt;"",分析!AA349,"")</f>
        <v/>
      </c>
      <c r="T349" s="170" t="str">
        <f>IF(分析!Z349&lt;&gt;"",分析!Z349,"")</f>
        <v/>
      </c>
      <c r="U349" s="161" t="str">
        <f>IF(分析!V349&lt;&gt;"",分析!V349,"")</f>
        <v/>
      </c>
      <c r="V349" s="171" t="str">
        <f>IF(分析!W349&lt;&gt;"",分析!W349,"")</f>
        <v/>
      </c>
      <c r="W349" s="172" t="str">
        <f>IF(分析!AD349&lt;&gt;"",分析!AD349,"")</f>
        <v/>
      </c>
      <c r="X349" s="173" t="str">
        <f>IF(分析!AE349&lt;&gt;"",分析!AE349,"")</f>
        <v/>
      </c>
      <c r="Y349" s="174" t="str">
        <f>IF(分析!T349&lt;&gt;"",分析!T349,"")</f>
        <v/>
      </c>
      <c r="Z349" s="160" t="str">
        <f>IF(分析!Y349&lt;&gt;"",分析!Y349,"")</f>
        <v/>
      </c>
    </row>
    <row r="350" spans="1:26" ht="21.95" customHeight="1">
      <c r="A350" s="146" t="str">
        <f>IF(分析!C350&lt;&gt;"",ROW()-2,"")</f>
        <v/>
      </c>
      <c r="B350" s="147" t="str">
        <f>IF(分析!C350&lt;&gt;"",HYPERLINK("https://kabutan.jp/stock/?code="&amp;分析!C350,"株探"),"")</f>
        <v/>
      </c>
      <c r="C350" s="148" t="str">
        <f>IF(分析!C350&lt;&gt;"",分析!C350,"")</f>
        <v/>
      </c>
      <c r="D350" s="149" t="str">
        <f>IF(分析!D350&lt;&gt;"",分析!D350,"")</f>
        <v/>
      </c>
      <c r="E350" s="150" t="str">
        <f>IF(分析!E350&lt;&gt;"",分析!E350,"")</f>
        <v/>
      </c>
      <c r="F350" s="151" t="str">
        <f>IF(分析!F350&lt;&gt;"",分析!F350,"")</f>
        <v/>
      </c>
      <c r="G350" s="151" t="str">
        <f>IF(分析!H350&lt;&gt;"",分析!H350,"")</f>
        <v/>
      </c>
      <c r="H350" s="151" t="str">
        <f>IF(分析!I350&lt;&gt;"",分析!I350,"")</f>
        <v/>
      </c>
      <c r="I350" s="151" t="str">
        <f>IF(分析!J350&lt;&gt;"",分析!J350,"")</f>
        <v/>
      </c>
      <c r="J350" s="151" t="str">
        <f>IF(分析!AB350&lt;&gt;"",分析!AB350,"")</f>
        <v/>
      </c>
      <c r="K350" s="151" t="str">
        <f>IF(分析!AC350&lt;&gt;"",分析!AC350,"")</f>
        <v/>
      </c>
      <c r="L350" s="151" t="str">
        <f>IF(分析!K350&lt;&gt;"",分析!K350,"")</f>
        <v/>
      </c>
      <c r="M350" s="146" t="str">
        <f>IF(分析!P350&lt;&gt;"",分析!P350,"")</f>
        <v/>
      </c>
      <c r="N350" s="152" t="str">
        <f>IF(分析!O350&lt;&gt;"",分析!O350,"")</f>
        <v/>
      </c>
      <c r="O350" s="153" t="str">
        <f>IF(分析!X350&lt;&gt;"",分析!X350,"")</f>
        <v/>
      </c>
      <c r="P350" s="154" t="str">
        <f>IF(分析!L350&lt;&gt;"",分析!L350,"")</f>
        <v/>
      </c>
      <c r="Q350" s="151" t="str">
        <f>IF(分析!S350&lt;&gt;"",分析!S350,"")</f>
        <v/>
      </c>
      <c r="R350" s="151" t="str">
        <f>IF(分析!R350&lt;&gt;"",分析!R350,"")</f>
        <v/>
      </c>
      <c r="S350" s="146" t="str">
        <f>IF(分析!AA350&lt;&gt;"",分析!AA350,"")</f>
        <v/>
      </c>
      <c r="T350" s="155" t="str">
        <f>IF(分析!Z350&lt;&gt;"",分析!Z350,"")</f>
        <v/>
      </c>
      <c r="U350" s="146" t="str">
        <f>IF(分析!V350&lt;&gt;"",分析!V350,"")</f>
        <v/>
      </c>
      <c r="V350" s="156" t="str">
        <f>IF(分析!W350&lt;&gt;"",分析!W350,"")</f>
        <v/>
      </c>
      <c r="W350" s="157" t="str">
        <f>IF(分析!AD350&lt;&gt;"",分析!AD350,"")</f>
        <v/>
      </c>
      <c r="X350" s="158" t="str">
        <f>IF(分析!AE350&lt;&gt;"",分析!AE350,"")</f>
        <v/>
      </c>
      <c r="Y350" s="159" t="str">
        <f>IF(分析!T350&lt;&gt;"",分析!T350,"")</f>
        <v/>
      </c>
      <c r="Z350" s="160" t="str">
        <f>IF(分析!Y350&lt;&gt;"",分析!Y350,"")</f>
        <v/>
      </c>
    </row>
    <row r="351" spans="1:26" ht="21.95" customHeight="1">
      <c r="A351" s="161" t="str">
        <f>IF(分析!C351&lt;&gt;"",ROW()-2,"")</f>
        <v/>
      </c>
      <c r="B351" s="162" t="str">
        <f>IF(分析!C351&lt;&gt;"",HYPERLINK("https://kabutan.jp/stock/?code="&amp;分析!C351,"株探"),"")</f>
        <v/>
      </c>
      <c r="C351" s="163" t="str">
        <f>IF(分析!C351&lt;&gt;"",分析!C351,"")</f>
        <v/>
      </c>
      <c r="D351" s="164" t="str">
        <f>IF(分析!D351&lt;&gt;"",分析!D351,"")</f>
        <v/>
      </c>
      <c r="E351" s="165" t="str">
        <f>IF(分析!E351&lt;&gt;"",分析!E351,"")</f>
        <v/>
      </c>
      <c r="F351" s="166" t="str">
        <f>IF(分析!F351&lt;&gt;"",分析!F351,"")</f>
        <v/>
      </c>
      <c r="G351" s="166" t="str">
        <f>IF(分析!H351&lt;&gt;"",分析!H351,"")</f>
        <v/>
      </c>
      <c r="H351" s="166" t="str">
        <f>IF(分析!I351&lt;&gt;"",分析!I351,"")</f>
        <v/>
      </c>
      <c r="I351" s="166" t="str">
        <f>IF(分析!J351&lt;&gt;"",分析!J351,"")</f>
        <v/>
      </c>
      <c r="J351" s="166" t="str">
        <f>IF(分析!AB351&lt;&gt;"",分析!AB351,"")</f>
        <v/>
      </c>
      <c r="K351" s="166" t="str">
        <f>IF(分析!AC351&lt;&gt;"",分析!AC351,"")</f>
        <v/>
      </c>
      <c r="L351" s="166" t="str">
        <f>IF(分析!K351&lt;&gt;"",分析!K351,"")</f>
        <v/>
      </c>
      <c r="M351" s="161" t="str">
        <f>IF(分析!P351&lt;&gt;"",分析!P351,"")</f>
        <v/>
      </c>
      <c r="N351" s="167" t="str">
        <f>IF(分析!O351&lt;&gt;"",分析!O351,"")</f>
        <v/>
      </c>
      <c r="O351" s="168" t="str">
        <f>IF(分析!X351&lt;&gt;"",分析!X351,"")</f>
        <v/>
      </c>
      <c r="P351" s="169" t="str">
        <f>IF(分析!L351&lt;&gt;"",分析!L351,"")</f>
        <v/>
      </c>
      <c r="Q351" s="166" t="str">
        <f>IF(分析!S351&lt;&gt;"",分析!S351,"")</f>
        <v/>
      </c>
      <c r="R351" s="166" t="str">
        <f>IF(分析!R351&lt;&gt;"",分析!R351,"")</f>
        <v/>
      </c>
      <c r="S351" s="161" t="str">
        <f>IF(分析!AA351&lt;&gt;"",分析!AA351,"")</f>
        <v/>
      </c>
      <c r="T351" s="170" t="str">
        <f>IF(分析!Z351&lt;&gt;"",分析!Z351,"")</f>
        <v/>
      </c>
      <c r="U351" s="161" t="str">
        <f>IF(分析!V351&lt;&gt;"",分析!V351,"")</f>
        <v/>
      </c>
      <c r="V351" s="171" t="str">
        <f>IF(分析!W351&lt;&gt;"",分析!W351,"")</f>
        <v/>
      </c>
      <c r="W351" s="172" t="str">
        <f>IF(分析!AD351&lt;&gt;"",分析!AD351,"")</f>
        <v/>
      </c>
      <c r="X351" s="173" t="str">
        <f>IF(分析!AE351&lt;&gt;"",分析!AE351,"")</f>
        <v/>
      </c>
      <c r="Y351" s="174" t="str">
        <f>IF(分析!T351&lt;&gt;"",分析!T351,"")</f>
        <v/>
      </c>
      <c r="Z351" s="160" t="str">
        <f>IF(分析!Y351&lt;&gt;"",分析!Y351,"")</f>
        <v/>
      </c>
    </row>
    <row r="352" spans="1:26" ht="21.95" customHeight="1">
      <c r="A352" s="146" t="str">
        <f>IF(分析!C352&lt;&gt;"",ROW()-2,"")</f>
        <v/>
      </c>
      <c r="B352" s="147" t="str">
        <f>IF(分析!C352&lt;&gt;"",HYPERLINK("https://kabutan.jp/stock/?code="&amp;分析!C352,"株探"),"")</f>
        <v/>
      </c>
      <c r="C352" s="148" t="str">
        <f>IF(分析!C352&lt;&gt;"",分析!C352,"")</f>
        <v/>
      </c>
      <c r="D352" s="149" t="str">
        <f>IF(分析!D352&lt;&gt;"",分析!D352,"")</f>
        <v/>
      </c>
      <c r="E352" s="150" t="str">
        <f>IF(分析!E352&lt;&gt;"",分析!E352,"")</f>
        <v/>
      </c>
      <c r="F352" s="151" t="str">
        <f>IF(分析!F352&lt;&gt;"",分析!F352,"")</f>
        <v/>
      </c>
      <c r="G352" s="151" t="str">
        <f>IF(分析!H352&lt;&gt;"",分析!H352,"")</f>
        <v/>
      </c>
      <c r="H352" s="151" t="str">
        <f>IF(分析!I352&lt;&gt;"",分析!I352,"")</f>
        <v/>
      </c>
      <c r="I352" s="151" t="str">
        <f>IF(分析!J352&lt;&gt;"",分析!J352,"")</f>
        <v/>
      </c>
      <c r="J352" s="151" t="str">
        <f>IF(分析!AB352&lt;&gt;"",分析!AB352,"")</f>
        <v/>
      </c>
      <c r="K352" s="151" t="str">
        <f>IF(分析!AC352&lt;&gt;"",分析!AC352,"")</f>
        <v/>
      </c>
      <c r="L352" s="151" t="str">
        <f>IF(分析!K352&lt;&gt;"",分析!K352,"")</f>
        <v/>
      </c>
      <c r="M352" s="146" t="str">
        <f>IF(分析!P352&lt;&gt;"",分析!P352,"")</f>
        <v/>
      </c>
      <c r="N352" s="152" t="str">
        <f>IF(分析!O352&lt;&gt;"",分析!O352,"")</f>
        <v/>
      </c>
      <c r="O352" s="153" t="str">
        <f>IF(分析!X352&lt;&gt;"",分析!X352,"")</f>
        <v/>
      </c>
      <c r="P352" s="154" t="str">
        <f>IF(分析!L352&lt;&gt;"",分析!L352,"")</f>
        <v/>
      </c>
      <c r="Q352" s="151" t="str">
        <f>IF(分析!S352&lt;&gt;"",分析!S352,"")</f>
        <v/>
      </c>
      <c r="R352" s="151" t="str">
        <f>IF(分析!R352&lt;&gt;"",分析!R352,"")</f>
        <v/>
      </c>
      <c r="S352" s="146" t="str">
        <f>IF(分析!AA352&lt;&gt;"",分析!AA352,"")</f>
        <v/>
      </c>
      <c r="T352" s="155" t="str">
        <f>IF(分析!Z352&lt;&gt;"",分析!Z352,"")</f>
        <v/>
      </c>
      <c r="U352" s="146" t="str">
        <f>IF(分析!V352&lt;&gt;"",分析!V352,"")</f>
        <v/>
      </c>
      <c r="V352" s="156" t="str">
        <f>IF(分析!W352&lt;&gt;"",分析!W352,"")</f>
        <v/>
      </c>
      <c r="W352" s="157" t="str">
        <f>IF(分析!AD352&lt;&gt;"",分析!AD352,"")</f>
        <v/>
      </c>
      <c r="X352" s="158" t="str">
        <f>IF(分析!AE352&lt;&gt;"",分析!AE352,"")</f>
        <v/>
      </c>
      <c r="Y352" s="159" t="str">
        <f>IF(分析!T352&lt;&gt;"",分析!T352,"")</f>
        <v/>
      </c>
      <c r="Z352" s="160" t="str">
        <f>IF(分析!Y352&lt;&gt;"",分析!Y352,"")</f>
        <v/>
      </c>
    </row>
    <row r="353" spans="1:26" ht="21.95" customHeight="1">
      <c r="A353" s="161" t="str">
        <f>IF(分析!C353&lt;&gt;"",ROW()-2,"")</f>
        <v/>
      </c>
      <c r="B353" s="162" t="str">
        <f>IF(分析!C353&lt;&gt;"",HYPERLINK("https://kabutan.jp/stock/?code="&amp;分析!C353,"株探"),"")</f>
        <v/>
      </c>
      <c r="C353" s="163" t="str">
        <f>IF(分析!C353&lt;&gt;"",分析!C353,"")</f>
        <v/>
      </c>
      <c r="D353" s="164" t="str">
        <f>IF(分析!D353&lt;&gt;"",分析!D353,"")</f>
        <v/>
      </c>
      <c r="E353" s="165" t="str">
        <f>IF(分析!E353&lt;&gt;"",分析!E353,"")</f>
        <v/>
      </c>
      <c r="F353" s="166" t="str">
        <f>IF(分析!F353&lt;&gt;"",分析!F353,"")</f>
        <v/>
      </c>
      <c r="G353" s="166" t="str">
        <f>IF(分析!H353&lt;&gt;"",分析!H353,"")</f>
        <v/>
      </c>
      <c r="H353" s="166" t="str">
        <f>IF(分析!I353&lt;&gt;"",分析!I353,"")</f>
        <v/>
      </c>
      <c r="I353" s="166" t="str">
        <f>IF(分析!J353&lt;&gt;"",分析!J353,"")</f>
        <v/>
      </c>
      <c r="J353" s="166" t="str">
        <f>IF(分析!AB353&lt;&gt;"",分析!AB353,"")</f>
        <v/>
      </c>
      <c r="K353" s="166" t="str">
        <f>IF(分析!AC353&lt;&gt;"",分析!AC353,"")</f>
        <v/>
      </c>
      <c r="L353" s="166" t="str">
        <f>IF(分析!K353&lt;&gt;"",分析!K353,"")</f>
        <v/>
      </c>
      <c r="M353" s="161" t="str">
        <f>IF(分析!P353&lt;&gt;"",分析!P353,"")</f>
        <v/>
      </c>
      <c r="N353" s="167" t="str">
        <f>IF(分析!O353&lt;&gt;"",分析!O353,"")</f>
        <v/>
      </c>
      <c r="O353" s="168" t="str">
        <f>IF(分析!X353&lt;&gt;"",分析!X353,"")</f>
        <v/>
      </c>
      <c r="P353" s="169" t="str">
        <f>IF(分析!L353&lt;&gt;"",分析!L353,"")</f>
        <v/>
      </c>
      <c r="Q353" s="166" t="str">
        <f>IF(分析!S353&lt;&gt;"",分析!S353,"")</f>
        <v/>
      </c>
      <c r="R353" s="166" t="str">
        <f>IF(分析!R353&lt;&gt;"",分析!R353,"")</f>
        <v/>
      </c>
      <c r="S353" s="161" t="str">
        <f>IF(分析!AA353&lt;&gt;"",分析!AA353,"")</f>
        <v/>
      </c>
      <c r="T353" s="170" t="str">
        <f>IF(分析!Z353&lt;&gt;"",分析!Z353,"")</f>
        <v/>
      </c>
      <c r="U353" s="161" t="str">
        <f>IF(分析!V353&lt;&gt;"",分析!V353,"")</f>
        <v/>
      </c>
      <c r="V353" s="171" t="str">
        <f>IF(分析!W353&lt;&gt;"",分析!W353,"")</f>
        <v/>
      </c>
      <c r="W353" s="172" t="str">
        <f>IF(分析!AD353&lt;&gt;"",分析!AD353,"")</f>
        <v/>
      </c>
      <c r="X353" s="173" t="str">
        <f>IF(分析!AE353&lt;&gt;"",分析!AE353,"")</f>
        <v/>
      </c>
      <c r="Y353" s="174" t="str">
        <f>IF(分析!T353&lt;&gt;"",分析!T353,"")</f>
        <v/>
      </c>
      <c r="Z353" s="160" t="str">
        <f>IF(分析!Y353&lt;&gt;"",分析!Y353,"")</f>
        <v/>
      </c>
    </row>
    <row r="354" spans="1:26" ht="21.95" customHeight="1">
      <c r="A354" s="146" t="str">
        <f>IF(分析!C354&lt;&gt;"",ROW()-2,"")</f>
        <v/>
      </c>
      <c r="B354" s="147" t="str">
        <f>IF(分析!C354&lt;&gt;"",HYPERLINK("https://kabutan.jp/stock/?code="&amp;分析!C354,"株探"),"")</f>
        <v/>
      </c>
      <c r="C354" s="148" t="str">
        <f>IF(分析!C354&lt;&gt;"",分析!C354,"")</f>
        <v/>
      </c>
      <c r="D354" s="149" t="str">
        <f>IF(分析!D354&lt;&gt;"",分析!D354,"")</f>
        <v/>
      </c>
      <c r="E354" s="150" t="str">
        <f>IF(分析!E354&lt;&gt;"",分析!E354,"")</f>
        <v/>
      </c>
      <c r="F354" s="151" t="str">
        <f>IF(分析!F354&lt;&gt;"",分析!F354,"")</f>
        <v/>
      </c>
      <c r="G354" s="151" t="str">
        <f>IF(分析!H354&lt;&gt;"",分析!H354,"")</f>
        <v/>
      </c>
      <c r="H354" s="151" t="str">
        <f>IF(分析!I354&lt;&gt;"",分析!I354,"")</f>
        <v/>
      </c>
      <c r="I354" s="151" t="str">
        <f>IF(分析!J354&lt;&gt;"",分析!J354,"")</f>
        <v/>
      </c>
      <c r="J354" s="151" t="str">
        <f>IF(分析!AB354&lt;&gt;"",分析!AB354,"")</f>
        <v/>
      </c>
      <c r="K354" s="151" t="str">
        <f>IF(分析!AC354&lt;&gt;"",分析!AC354,"")</f>
        <v/>
      </c>
      <c r="L354" s="151" t="str">
        <f>IF(分析!K354&lt;&gt;"",分析!K354,"")</f>
        <v/>
      </c>
      <c r="M354" s="146" t="str">
        <f>IF(分析!P354&lt;&gt;"",分析!P354,"")</f>
        <v/>
      </c>
      <c r="N354" s="152" t="str">
        <f>IF(分析!O354&lt;&gt;"",分析!O354,"")</f>
        <v/>
      </c>
      <c r="O354" s="153" t="str">
        <f>IF(分析!X354&lt;&gt;"",分析!X354,"")</f>
        <v/>
      </c>
      <c r="P354" s="154" t="str">
        <f>IF(分析!L354&lt;&gt;"",分析!L354,"")</f>
        <v/>
      </c>
      <c r="Q354" s="151" t="str">
        <f>IF(分析!S354&lt;&gt;"",分析!S354,"")</f>
        <v/>
      </c>
      <c r="R354" s="151" t="str">
        <f>IF(分析!R354&lt;&gt;"",分析!R354,"")</f>
        <v/>
      </c>
      <c r="S354" s="146" t="str">
        <f>IF(分析!AA354&lt;&gt;"",分析!AA354,"")</f>
        <v/>
      </c>
      <c r="T354" s="155" t="str">
        <f>IF(分析!Z354&lt;&gt;"",分析!Z354,"")</f>
        <v/>
      </c>
      <c r="U354" s="146" t="str">
        <f>IF(分析!V354&lt;&gt;"",分析!V354,"")</f>
        <v/>
      </c>
      <c r="V354" s="156" t="str">
        <f>IF(分析!W354&lt;&gt;"",分析!W354,"")</f>
        <v/>
      </c>
      <c r="W354" s="157" t="str">
        <f>IF(分析!AD354&lt;&gt;"",分析!AD354,"")</f>
        <v/>
      </c>
      <c r="X354" s="158" t="str">
        <f>IF(分析!AE354&lt;&gt;"",分析!AE354,"")</f>
        <v/>
      </c>
      <c r="Y354" s="159" t="str">
        <f>IF(分析!T354&lt;&gt;"",分析!T354,"")</f>
        <v/>
      </c>
      <c r="Z354" s="160" t="str">
        <f>IF(分析!Y354&lt;&gt;"",分析!Y354,"")</f>
        <v/>
      </c>
    </row>
    <row r="355" spans="1:26" ht="21.95" customHeight="1">
      <c r="A355" s="161" t="str">
        <f>IF(分析!C355&lt;&gt;"",ROW()-2,"")</f>
        <v/>
      </c>
      <c r="B355" s="162" t="str">
        <f>IF(分析!C355&lt;&gt;"",HYPERLINK("https://kabutan.jp/stock/?code="&amp;分析!C355,"株探"),"")</f>
        <v/>
      </c>
      <c r="C355" s="163" t="str">
        <f>IF(分析!C355&lt;&gt;"",分析!C355,"")</f>
        <v/>
      </c>
      <c r="D355" s="164" t="str">
        <f>IF(分析!D355&lt;&gt;"",分析!D355,"")</f>
        <v/>
      </c>
      <c r="E355" s="165" t="str">
        <f>IF(分析!E355&lt;&gt;"",分析!E355,"")</f>
        <v/>
      </c>
      <c r="F355" s="166" t="str">
        <f>IF(分析!F355&lt;&gt;"",分析!F355,"")</f>
        <v/>
      </c>
      <c r="G355" s="166" t="str">
        <f>IF(分析!H355&lt;&gt;"",分析!H355,"")</f>
        <v/>
      </c>
      <c r="H355" s="166" t="str">
        <f>IF(分析!I355&lt;&gt;"",分析!I355,"")</f>
        <v/>
      </c>
      <c r="I355" s="166" t="str">
        <f>IF(分析!J355&lt;&gt;"",分析!J355,"")</f>
        <v/>
      </c>
      <c r="J355" s="166" t="str">
        <f>IF(分析!AB355&lt;&gt;"",分析!AB355,"")</f>
        <v/>
      </c>
      <c r="K355" s="166" t="str">
        <f>IF(分析!AC355&lt;&gt;"",分析!AC355,"")</f>
        <v/>
      </c>
      <c r="L355" s="166" t="str">
        <f>IF(分析!K355&lt;&gt;"",分析!K355,"")</f>
        <v/>
      </c>
      <c r="M355" s="161" t="str">
        <f>IF(分析!P355&lt;&gt;"",分析!P355,"")</f>
        <v/>
      </c>
      <c r="N355" s="167" t="str">
        <f>IF(分析!O355&lt;&gt;"",分析!O355,"")</f>
        <v/>
      </c>
      <c r="O355" s="168" t="str">
        <f>IF(分析!X355&lt;&gt;"",分析!X355,"")</f>
        <v/>
      </c>
      <c r="P355" s="169" t="str">
        <f>IF(分析!L355&lt;&gt;"",分析!L355,"")</f>
        <v/>
      </c>
      <c r="Q355" s="166" t="str">
        <f>IF(分析!S355&lt;&gt;"",分析!S355,"")</f>
        <v/>
      </c>
      <c r="R355" s="166" t="str">
        <f>IF(分析!R355&lt;&gt;"",分析!R355,"")</f>
        <v/>
      </c>
      <c r="S355" s="161" t="str">
        <f>IF(分析!AA355&lt;&gt;"",分析!AA355,"")</f>
        <v/>
      </c>
      <c r="T355" s="170" t="str">
        <f>IF(分析!Z355&lt;&gt;"",分析!Z355,"")</f>
        <v/>
      </c>
      <c r="U355" s="161" t="str">
        <f>IF(分析!V355&lt;&gt;"",分析!V355,"")</f>
        <v/>
      </c>
      <c r="V355" s="171" t="str">
        <f>IF(分析!W355&lt;&gt;"",分析!W355,"")</f>
        <v/>
      </c>
      <c r="W355" s="172" t="str">
        <f>IF(分析!AD355&lt;&gt;"",分析!AD355,"")</f>
        <v/>
      </c>
      <c r="X355" s="173" t="str">
        <f>IF(分析!AE355&lt;&gt;"",分析!AE355,"")</f>
        <v/>
      </c>
      <c r="Y355" s="174" t="str">
        <f>IF(分析!T355&lt;&gt;"",分析!T355,"")</f>
        <v/>
      </c>
      <c r="Z355" s="160" t="str">
        <f>IF(分析!Y355&lt;&gt;"",分析!Y355,"")</f>
        <v/>
      </c>
    </row>
    <row r="356" spans="1:26" ht="21.95" customHeight="1">
      <c r="A356" s="146" t="str">
        <f>IF(分析!C356&lt;&gt;"",ROW()-2,"")</f>
        <v/>
      </c>
      <c r="B356" s="147" t="str">
        <f>IF(分析!C356&lt;&gt;"",HYPERLINK("https://kabutan.jp/stock/?code="&amp;分析!C356,"株探"),"")</f>
        <v/>
      </c>
      <c r="C356" s="148" t="str">
        <f>IF(分析!C356&lt;&gt;"",分析!C356,"")</f>
        <v/>
      </c>
      <c r="D356" s="149" t="str">
        <f>IF(分析!D356&lt;&gt;"",分析!D356,"")</f>
        <v/>
      </c>
      <c r="E356" s="150" t="str">
        <f>IF(分析!E356&lt;&gt;"",分析!E356,"")</f>
        <v/>
      </c>
      <c r="F356" s="151" t="str">
        <f>IF(分析!F356&lt;&gt;"",分析!F356,"")</f>
        <v/>
      </c>
      <c r="G356" s="151" t="str">
        <f>IF(分析!H356&lt;&gt;"",分析!H356,"")</f>
        <v/>
      </c>
      <c r="H356" s="151" t="str">
        <f>IF(分析!I356&lt;&gt;"",分析!I356,"")</f>
        <v/>
      </c>
      <c r="I356" s="151" t="str">
        <f>IF(分析!J356&lt;&gt;"",分析!J356,"")</f>
        <v/>
      </c>
      <c r="J356" s="151" t="str">
        <f>IF(分析!AB356&lt;&gt;"",分析!AB356,"")</f>
        <v/>
      </c>
      <c r="K356" s="151" t="str">
        <f>IF(分析!AC356&lt;&gt;"",分析!AC356,"")</f>
        <v/>
      </c>
      <c r="L356" s="151" t="str">
        <f>IF(分析!K356&lt;&gt;"",分析!K356,"")</f>
        <v/>
      </c>
      <c r="M356" s="146" t="str">
        <f>IF(分析!P356&lt;&gt;"",分析!P356,"")</f>
        <v/>
      </c>
      <c r="N356" s="152" t="str">
        <f>IF(分析!O356&lt;&gt;"",分析!O356,"")</f>
        <v/>
      </c>
      <c r="O356" s="153" t="str">
        <f>IF(分析!X356&lt;&gt;"",分析!X356,"")</f>
        <v/>
      </c>
      <c r="P356" s="154" t="str">
        <f>IF(分析!L356&lt;&gt;"",分析!L356,"")</f>
        <v/>
      </c>
      <c r="Q356" s="151" t="str">
        <f>IF(分析!S356&lt;&gt;"",分析!S356,"")</f>
        <v/>
      </c>
      <c r="R356" s="151" t="str">
        <f>IF(分析!R356&lt;&gt;"",分析!R356,"")</f>
        <v/>
      </c>
      <c r="S356" s="146" t="str">
        <f>IF(分析!AA356&lt;&gt;"",分析!AA356,"")</f>
        <v/>
      </c>
      <c r="T356" s="155" t="str">
        <f>IF(分析!Z356&lt;&gt;"",分析!Z356,"")</f>
        <v/>
      </c>
      <c r="U356" s="146" t="str">
        <f>IF(分析!V356&lt;&gt;"",分析!V356,"")</f>
        <v/>
      </c>
      <c r="V356" s="156" t="str">
        <f>IF(分析!W356&lt;&gt;"",分析!W356,"")</f>
        <v/>
      </c>
      <c r="W356" s="157" t="str">
        <f>IF(分析!AD356&lt;&gt;"",分析!AD356,"")</f>
        <v/>
      </c>
      <c r="X356" s="158" t="str">
        <f>IF(分析!AE356&lt;&gt;"",分析!AE356,"")</f>
        <v/>
      </c>
      <c r="Y356" s="159" t="str">
        <f>IF(分析!T356&lt;&gt;"",分析!T356,"")</f>
        <v/>
      </c>
      <c r="Z356" s="160" t="str">
        <f>IF(分析!Y356&lt;&gt;"",分析!Y356,"")</f>
        <v/>
      </c>
    </row>
    <row r="357" spans="1:26" ht="21.95" customHeight="1">
      <c r="A357" s="161" t="str">
        <f>IF(分析!C357&lt;&gt;"",ROW()-2,"")</f>
        <v/>
      </c>
      <c r="B357" s="162" t="str">
        <f>IF(分析!C357&lt;&gt;"",HYPERLINK("https://kabutan.jp/stock/?code="&amp;分析!C357,"株探"),"")</f>
        <v/>
      </c>
      <c r="C357" s="163" t="str">
        <f>IF(分析!C357&lt;&gt;"",分析!C357,"")</f>
        <v/>
      </c>
      <c r="D357" s="164" t="str">
        <f>IF(分析!D357&lt;&gt;"",分析!D357,"")</f>
        <v/>
      </c>
      <c r="E357" s="165" t="str">
        <f>IF(分析!E357&lt;&gt;"",分析!E357,"")</f>
        <v/>
      </c>
      <c r="F357" s="166" t="str">
        <f>IF(分析!F357&lt;&gt;"",分析!F357,"")</f>
        <v/>
      </c>
      <c r="G357" s="166" t="str">
        <f>IF(分析!H357&lt;&gt;"",分析!H357,"")</f>
        <v/>
      </c>
      <c r="H357" s="166" t="str">
        <f>IF(分析!I357&lt;&gt;"",分析!I357,"")</f>
        <v/>
      </c>
      <c r="I357" s="166" t="str">
        <f>IF(分析!J357&lt;&gt;"",分析!J357,"")</f>
        <v/>
      </c>
      <c r="J357" s="166" t="str">
        <f>IF(分析!AB357&lt;&gt;"",分析!AB357,"")</f>
        <v/>
      </c>
      <c r="K357" s="166" t="str">
        <f>IF(分析!AC357&lt;&gt;"",分析!AC357,"")</f>
        <v/>
      </c>
      <c r="L357" s="166" t="str">
        <f>IF(分析!K357&lt;&gt;"",分析!K357,"")</f>
        <v/>
      </c>
      <c r="M357" s="161" t="str">
        <f>IF(分析!P357&lt;&gt;"",分析!P357,"")</f>
        <v/>
      </c>
      <c r="N357" s="167" t="str">
        <f>IF(分析!O357&lt;&gt;"",分析!O357,"")</f>
        <v/>
      </c>
      <c r="O357" s="168" t="str">
        <f>IF(分析!X357&lt;&gt;"",分析!X357,"")</f>
        <v/>
      </c>
      <c r="P357" s="169" t="str">
        <f>IF(分析!L357&lt;&gt;"",分析!L357,"")</f>
        <v/>
      </c>
      <c r="Q357" s="166" t="str">
        <f>IF(分析!S357&lt;&gt;"",分析!S357,"")</f>
        <v/>
      </c>
      <c r="R357" s="166" t="str">
        <f>IF(分析!R357&lt;&gt;"",分析!R357,"")</f>
        <v/>
      </c>
      <c r="S357" s="161" t="str">
        <f>IF(分析!AA357&lt;&gt;"",分析!AA357,"")</f>
        <v/>
      </c>
      <c r="T357" s="170" t="str">
        <f>IF(分析!Z357&lt;&gt;"",分析!Z357,"")</f>
        <v/>
      </c>
      <c r="U357" s="161" t="str">
        <f>IF(分析!V357&lt;&gt;"",分析!V357,"")</f>
        <v/>
      </c>
      <c r="V357" s="171" t="str">
        <f>IF(分析!W357&lt;&gt;"",分析!W357,"")</f>
        <v/>
      </c>
      <c r="W357" s="172" t="str">
        <f>IF(分析!AD357&lt;&gt;"",分析!AD357,"")</f>
        <v/>
      </c>
      <c r="X357" s="173" t="str">
        <f>IF(分析!AE357&lt;&gt;"",分析!AE357,"")</f>
        <v/>
      </c>
      <c r="Y357" s="174" t="str">
        <f>IF(分析!T357&lt;&gt;"",分析!T357,"")</f>
        <v/>
      </c>
      <c r="Z357" s="160" t="str">
        <f>IF(分析!Y357&lt;&gt;"",分析!Y357,"")</f>
        <v/>
      </c>
    </row>
    <row r="358" spans="1:26" ht="21.95" customHeight="1">
      <c r="A358" s="146" t="str">
        <f>IF(分析!C358&lt;&gt;"",ROW()-2,"")</f>
        <v/>
      </c>
      <c r="B358" s="147" t="str">
        <f>IF(分析!C358&lt;&gt;"",HYPERLINK("https://kabutan.jp/stock/?code="&amp;分析!C358,"株探"),"")</f>
        <v/>
      </c>
      <c r="C358" s="148" t="str">
        <f>IF(分析!C358&lt;&gt;"",分析!C358,"")</f>
        <v/>
      </c>
      <c r="D358" s="149" t="str">
        <f>IF(分析!D358&lt;&gt;"",分析!D358,"")</f>
        <v/>
      </c>
      <c r="E358" s="150" t="str">
        <f>IF(分析!E358&lt;&gt;"",分析!E358,"")</f>
        <v/>
      </c>
      <c r="F358" s="151" t="str">
        <f>IF(分析!F358&lt;&gt;"",分析!F358,"")</f>
        <v/>
      </c>
      <c r="G358" s="151" t="str">
        <f>IF(分析!H358&lt;&gt;"",分析!H358,"")</f>
        <v/>
      </c>
      <c r="H358" s="151" t="str">
        <f>IF(分析!I358&lt;&gt;"",分析!I358,"")</f>
        <v/>
      </c>
      <c r="I358" s="151" t="str">
        <f>IF(分析!J358&lt;&gt;"",分析!J358,"")</f>
        <v/>
      </c>
      <c r="J358" s="151" t="str">
        <f>IF(分析!AB358&lt;&gt;"",分析!AB358,"")</f>
        <v/>
      </c>
      <c r="K358" s="151" t="str">
        <f>IF(分析!AC358&lt;&gt;"",分析!AC358,"")</f>
        <v/>
      </c>
      <c r="L358" s="151" t="str">
        <f>IF(分析!K358&lt;&gt;"",分析!K358,"")</f>
        <v/>
      </c>
      <c r="M358" s="146" t="str">
        <f>IF(分析!P358&lt;&gt;"",分析!P358,"")</f>
        <v/>
      </c>
      <c r="N358" s="152" t="str">
        <f>IF(分析!O358&lt;&gt;"",分析!O358,"")</f>
        <v/>
      </c>
      <c r="O358" s="153" t="str">
        <f>IF(分析!X358&lt;&gt;"",分析!X358,"")</f>
        <v/>
      </c>
      <c r="P358" s="154" t="str">
        <f>IF(分析!L358&lt;&gt;"",分析!L358,"")</f>
        <v/>
      </c>
      <c r="Q358" s="151" t="str">
        <f>IF(分析!S358&lt;&gt;"",分析!S358,"")</f>
        <v/>
      </c>
      <c r="R358" s="151" t="str">
        <f>IF(分析!R358&lt;&gt;"",分析!R358,"")</f>
        <v/>
      </c>
      <c r="S358" s="146" t="str">
        <f>IF(分析!AA358&lt;&gt;"",分析!AA358,"")</f>
        <v/>
      </c>
      <c r="T358" s="155" t="str">
        <f>IF(分析!Z358&lt;&gt;"",分析!Z358,"")</f>
        <v/>
      </c>
      <c r="U358" s="146" t="str">
        <f>IF(分析!V358&lt;&gt;"",分析!V358,"")</f>
        <v/>
      </c>
      <c r="V358" s="156" t="str">
        <f>IF(分析!W358&lt;&gt;"",分析!W358,"")</f>
        <v/>
      </c>
      <c r="W358" s="157" t="str">
        <f>IF(分析!AD358&lt;&gt;"",分析!AD358,"")</f>
        <v/>
      </c>
      <c r="X358" s="158" t="str">
        <f>IF(分析!AE358&lt;&gt;"",分析!AE358,"")</f>
        <v/>
      </c>
      <c r="Y358" s="159" t="str">
        <f>IF(分析!T358&lt;&gt;"",分析!T358,"")</f>
        <v/>
      </c>
      <c r="Z358" s="160" t="str">
        <f>IF(分析!Y358&lt;&gt;"",分析!Y358,"")</f>
        <v/>
      </c>
    </row>
    <row r="359" spans="1:26" ht="21.95" customHeight="1">
      <c r="A359" s="161" t="str">
        <f>IF(分析!C359&lt;&gt;"",ROW()-2,"")</f>
        <v/>
      </c>
      <c r="B359" s="162" t="str">
        <f>IF(分析!C359&lt;&gt;"",HYPERLINK("https://kabutan.jp/stock/?code="&amp;分析!C359,"株探"),"")</f>
        <v/>
      </c>
      <c r="C359" s="163" t="str">
        <f>IF(分析!C359&lt;&gt;"",分析!C359,"")</f>
        <v/>
      </c>
      <c r="D359" s="164" t="str">
        <f>IF(分析!D359&lt;&gt;"",分析!D359,"")</f>
        <v/>
      </c>
      <c r="E359" s="165" t="str">
        <f>IF(分析!E359&lt;&gt;"",分析!E359,"")</f>
        <v/>
      </c>
      <c r="F359" s="166" t="str">
        <f>IF(分析!F359&lt;&gt;"",分析!F359,"")</f>
        <v/>
      </c>
      <c r="G359" s="166" t="str">
        <f>IF(分析!H359&lt;&gt;"",分析!H359,"")</f>
        <v/>
      </c>
      <c r="H359" s="166" t="str">
        <f>IF(分析!I359&lt;&gt;"",分析!I359,"")</f>
        <v/>
      </c>
      <c r="I359" s="166" t="str">
        <f>IF(分析!J359&lt;&gt;"",分析!J359,"")</f>
        <v/>
      </c>
      <c r="J359" s="166" t="str">
        <f>IF(分析!AB359&lt;&gt;"",分析!AB359,"")</f>
        <v/>
      </c>
      <c r="K359" s="166" t="str">
        <f>IF(分析!AC359&lt;&gt;"",分析!AC359,"")</f>
        <v/>
      </c>
      <c r="L359" s="166" t="str">
        <f>IF(分析!K359&lt;&gt;"",分析!K359,"")</f>
        <v/>
      </c>
      <c r="M359" s="161" t="str">
        <f>IF(分析!P359&lt;&gt;"",分析!P359,"")</f>
        <v/>
      </c>
      <c r="N359" s="167" t="str">
        <f>IF(分析!O359&lt;&gt;"",分析!O359,"")</f>
        <v/>
      </c>
      <c r="O359" s="168" t="str">
        <f>IF(分析!X359&lt;&gt;"",分析!X359,"")</f>
        <v/>
      </c>
      <c r="P359" s="169" t="str">
        <f>IF(分析!L359&lt;&gt;"",分析!L359,"")</f>
        <v/>
      </c>
      <c r="Q359" s="166" t="str">
        <f>IF(分析!S359&lt;&gt;"",分析!S359,"")</f>
        <v/>
      </c>
      <c r="R359" s="166" t="str">
        <f>IF(分析!R359&lt;&gt;"",分析!R359,"")</f>
        <v/>
      </c>
      <c r="S359" s="161" t="str">
        <f>IF(分析!AA359&lt;&gt;"",分析!AA359,"")</f>
        <v/>
      </c>
      <c r="T359" s="170" t="str">
        <f>IF(分析!Z359&lt;&gt;"",分析!Z359,"")</f>
        <v/>
      </c>
      <c r="U359" s="161" t="str">
        <f>IF(分析!V359&lt;&gt;"",分析!V359,"")</f>
        <v/>
      </c>
      <c r="V359" s="171" t="str">
        <f>IF(分析!W359&lt;&gt;"",分析!W359,"")</f>
        <v/>
      </c>
      <c r="W359" s="172" t="str">
        <f>IF(分析!AD359&lt;&gt;"",分析!AD359,"")</f>
        <v/>
      </c>
      <c r="X359" s="173" t="str">
        <f>IF(分析!AE359&lt;&gt;"",分析!AE359,"")</f>
        <v/>
      </c>
      <c r="Y359" s="174" t="str">
        <f>IF(分析!T359&lt;&gt;"",分析!T359,"")</f>
        <v/>
      </c>
      <c r="Z359" s="160" t="str">
        <f>IF(分析!Y359&lt;&gt;"",分析!Y359,"")</f>
        <v/>
      </c>
    </row>
    <row r="360" spans="1:26" ht="21.95" customHeight="1">
      <c r="A360" s="146" t="str">
        <f>IF(分析!C360&lt;&gt;"",ROW()-2,"")</f>
        <v/>
      </c>
      <c r="B360" s="147" t="str">
        <f>IF(分析!C360&lt;&gt;"",HYPERLINK("https://kabutan.jp/stock/?code="&amp;分析!C360,"株探"),"")</f>
        <v/>
      </c>
      <c r="C360" s="148" t="str">
        <f>IF(分析!C360&lt;&gt;"",分析!C360,"")</f>
        <v/>
      </c>
      <c r="D360" s="149" t="str">
        <f>IF(分析!D360&lt;&gt;"",分析!D360,"")</f>
        <v/>
      </c>
      <c r="E360" s="150" t="str">
        <f>IF(分析!E360&lt;&gt;"",分析!E360,"")</f>
        <v/>
      </c>
      <c r="F360" s="151" t="str">
        <f>IF(分析!F360&lt;&gt;"",分析!F360,"")</f>
        <v/>
      </c>
      <c r="G360" s="151" t="str">
        <f>IF(分析!H360&lt;&gt;"",分析!H360,"")</f>
        <v/>
      </c>
      <c r="H360" s="151" t="str">
        <f>IF(分析!I360&lt;&gt;"",分析!I360,"")</f>
        <v/>
      </c>
      <c r="I360" s="151" t="str">
        <f>IF(分析!J360&lt;&gt;"",分析!J360,"")</f>
        <v/>
      </c>
      <c r="J360" s="151" t="str">
        <f>IF(分析!AB360&lt;&gt;"",分析!AB360,"")</f>
        <v/>
      </c>
      <c r="K360" s="151" t="str">
        <f>IF(分析!AC360&lt;&gt;"",分析!AC360,"")</f>
        <v/>
      </c>
      <c r="L360" s="151" t="str">
        <f>IF(分析!K360&lt;&gt;"",分析!K360,"")</f>
        <v/>
      </c>
      <c r="M360" s="146" t="str">
        <f>IF(分析!P360&lt;&gt;"",分析!P360,"")</f>
        <v/>
      </c>
      <c r="N360" s="152" t="str">
        <f>IF(分析!O360&lt;&gt;"",分析!O360,"")</f>
        <v/>
      </c>
      <c r="O360" s="153" t="str">
        <f>IF(分析!X360&lt;&gt;"",分析!X360,"")</f>
        <v/>
      </c>
      <c r="P360" s="154" t="str">
        <f>IF(分析!L360&lt;&gt;"",分析!L360,"")</f>
        <v/>
      </c>
      <c r="Q360" s="151" t="str">
        <f>IF(分析!S360&lt;&gt;"",分析!S360,"")</f>
        <v/>
      </c>
      <c r="R360" s="151" t="str">
        <f>IF(分析!R360&lt;&gt;"",分析!R360,"")</f>
        <v/>
      </c>
      <c r="S360" s="146" t="str">
        <f>IF(分析!AA360&lt;&gt;"",分析!AA360,"")</f>
        <v/>
      </c>
      <c r="T360" s="155" t="str">
        <f>IF(分析!Z360&lt;&gt;"",分析!Z360,"")</f>
        <v/>
      </c>
      <c r="U360" s="146" t="str">
        <f>IF(分析!V360&lt;&gt;"",分析!V360,"")</f>
        <v/>
      </c>
      <c r="V360" s="156" t="str">
        <f>IF(分析!W360&lt;&gt;"",分析!W360,"")</f>
        <v/>
      </c>
      <c r="W360" s="157" t="str">
        <f>IF(分析!AD360&lt;&gt;"",分析!AD360,"")</f>
        <v/>
      </c>
      <c r="X360" s="158" t="str">
        <f>IF(分析!AE360&lt;&gt;"",分析!AE360,"")</f>
        <v/>
      </c>
      <c r="Y360" s="159" t="str">
        <f>IF(分析!T360&lt;&gt;"",分析!T360,"")</f>
        <v/>
      </c>
      <c r="Z360" s="160" t="str">
        <f>IF(分析!Y360&lt;&gt;"",分析!Y360,"")</f>
        <v/>
      </c>
    </row>
    <row r="361" spans="1:26" ht="21.95" customHeight="1">
      <c r="A361" s="161" t="str">
        <f>IF(分析!C361&lt;&gt;"",ROW()-2,"")</f>
        <v/>
      </c>
      <c r="B361" s="162" t="str">
        <f>IF(分析!C361&lt;&gt;"",HYPERLINK("https://kabutan.jp/stock/?code="&amp;分析!C361,"株探"),"")</f>
        <v/>
      </c>
      <c r="C361" s="163" t="str">
        <f>IF(分析!C361&lt;&gt;"",分析!C361,"")</f>
        <v/>
      </c>
      <c r="D361" s="164" t="str">
        <f>IF(分析!D361&lt;&gt;"",分析!D361,"")</f>
        <v/>
      </c>
      <c r="E361" s="165" t="str">
        <f>IF(分析!E361&lt;&gt;"",分析!E361,"")</f>
        <v/>
      </c>
      <c r="F361" s="166" t="str">
        <f>IF(分析!F361&lt;&gt;"",分析!F361,"")</f>
        <v/>
      </c>
      <c r="G361" s="166" t="str">
        <f>IF(分析!H361&lt;&gt;"",分析!H361,"")</f>
        <v/>
      </c>
      <c r="H361" s="166" t="str">
        <f>IF(分析!I361&lt;&gt;"",分析!I361,"")</f>
        <v/>
      </c>
      <c r="I361" s="166" t="str">
        <f>IF(分析!J361&lt;&gt;"",分析!J361,"")</f>
        <v/>
      </c>
      <c r="J361" s="166" t="str">
        <f>IF(分析!AB361&lt;&gt;"",分析!AB361,"")</f>
        <v/>
      </c>
      <c r="K361" s="166" t="str">
        <f>IF(分析!AC361&lt;&gt;"",分析!AC361,"")</f>
        <v/>
      </c>
      <c r="L361" s="166" t="str">
        <f>IF(分析!K361&lt;&gt;"",分析!K361,"")</f>
        <v/>
      </c>
      <c r="M361" s="161" t="str">
        <f>IF(分析!P361&lt;&gt;"",分析!P361,"")</f>
        <v/>
      </c>
      <c r="N361" s="167" t="str">
        <f>IF(分析!O361&lt;&gt;"",分析!O361,"")</f>
        <v/>
      </c>
      <c r="O361" s="168" t="str">
        <f>IF(分析!X361&lt;&gt;"",分析!X361,"")</f>
        <v/>
      </c>
      <c r="P361" s="169" t="str">
        <f>IF(分析!L361&lt;&gt;"",分析!L361,"")</f>
        <v/>
      </c>
      <c r="Q361" s="166" t="str">
        <f>IF(分析!S361&lt;&gt;"",分析!S361,"")</f>
        <v/>
      </c>
      <c r="R361" s="166" t="str">
        <f>IF(分析!R361&lt;&gt;"",分析!R361,"")</f>
        <v/>
      </c>
      <c r="S361" s="161" t="str">
        <f>IF(分析!AA361&lt;&gt;"",分析!AA361,"")</f>
        <v/>
      </c>
      <c r="T361" s="170" t="str">
        <f>IF(分析!Z361&lt;&gt;"",分析!Z361,"")</f>
        <v/>
      </c>
      <c r="U361" s="161" t="str">
        <f>IF(分析!V361&lt;&gt;"",分析!V361,"")</f>
        <v/>
      </c>
      <c r="V361" s="171" t="str">
        <f>IF(分析!W361&lt;&gt;"",分析!W361,"")</f>
        <v/>
      </c>
      <c r="W361" s="172" t="str">
        <f>IF(分析!AD361&lt;&gt;"",分析!AD361,"")</f>
        <v/>
      </c>
      <c r="X361" s="173" t="str">
        <f>IF(分析!AE361&lt;&gt;"",分析!AE361,"")</f>
        <v/>
      </c>
      <c r="Y361" s="174" t="str">
        <f>IF(分析!T361&lt;&gt;"",分析!T361,"")</f>
        <v/>
      </c>
      <c r="Z361" s="160" t="str">
        <f>IF(分析!Y361&lt;&gt;"",分析!Y361,"")</f>
        <v/>
      </c>
    </row>
    <row r="362" spans="1:26" ht="21.95" customHeight="1">
      <c r="A362" s="146" t="str">
        <f>IF(分析!C362&lt;&gt;"",ROW()-2,"")</f>
        <v/>
      </c>
      <c r="B362" s="147" t="str">
        <f>IF(分析!C362&lt;&gt;"",HYPERLINK("https://kabutan.jp/stock/?code="&amp;分析!C362,"株探"),"")</f>
        <v/>
      </c>
      <c r="C362" s="148" t="str">
        <f>IF(分析!C362&lt;&gt;"",分析!C362,"")</f>
        <v/>
      </c>
      <c r="D362" s="149" t="str">
        <f>IF(分析!D362&lt;&gt;"",分析!D362,"")</f>
        <v/>
      </c>
      <c r="E362" s="150" t="str">
        <f>IF(分析!E362&lt;&gt;"",分析!E362,"")</f>
        <v/>
      </c>
      <c r="F362" s="151" t="str">
        <f>IF(分析!F362&lt;&gt;"",分析!F362,"")</f>
        <v/>
      </c>
      <c r="G362" s="151" t="str">
        <f>IF(分析!H362&lt;&gt;"",分析!H362,"")</f>
        <v/>
      </c>
      <c r="H362" s="151" t="str">
        <f>IF(分析!I362&lt;&gt;"",分析!I362,"")</f>
        <v/>
      </c>
      <c r="I362" s="151" t="str">
        <f>IF(分析!J362&lt;&gt;"",分析!J362,"")</f>
        <v/>
      </c>
      <c r="J362" s="151" t="str">
        <f>IF(分析!AB362&lt;&gt;"",分析!AB362,"")</f>
        <v/>
      </c>
      <c r="K362" s="151" t="str">
        <f>IF(分析!AC362&lt;&gt;"",分析!AC362,"")</f>
        <v/>
      </c>
      <c r="L362" s="151" t="str">
        <f>IF(分析!K362&lt;&gt;"",分析!K362,"")</f>
        <v/>
      </c>
      <c r="M362" s="146" t="str">
        <f>IF(分析!P362&lt;&gt;"",分析!P362,"")</f>
        <v/>
      </c>
      <c r="N362" s="152" t="str">
        <f>IF(分析!O362&lt;&gt;"",分析!O362,"")</f>
        <v/>
      </c>
      <c r="O362" s="153" t="str">
        <f>IF(分析!X362&lt;&gt;"",分析!X362,"")</f>
        <v/>
      </c>
      <c r="P362" s="154" t="str">
        <f>IF(分析!L362&lt;&gt;"",分析!L362,"")</f>
        <v/>
      </c>
      <c r="Q362" s="151" t="str">
        <f>IF(分析!S362&lt;&gt;"",分析!S362,"")</f>
        <v/>
      </c>
      <c r="R362" s="151" t="str">
        <f>IF(分析!R362&lt;&gt;"",分析!R362,"")</f>
        <v/>
      </c>
      <c r="S362" s="146" t="str">
        <f>IF(分析!AA362&lt;&gt;"",分析!AA362,"")</f>
        <v/>
      </c>
      <c r="T362" s="155" t="str">
        <f>IF(分析!Z362&lt;&gt;"",分析!Z362,"")</f>
        <v/>
      </c>
      <c r="U362" s="146" t="str">
        <f>IF(分析!V362&lt;&gt;"",分析!V362,"")</f>
        <v/>
      </c>
      <c r="V362" s="156" t="str">
        <f>IF(分析!W362&lt;&gt;"",分析!W362,"")</f>
        <v/>
      </c>
      <c r="W362" s="157" t="str">
        <f>IF(分析!AD362&lt;&gt;"",分析!AD362,"")</f>
        <v/>
      </c>
      <c r="X362" s="158" t="str">
        <f>IF(分析!AE362&lt;&gt;"",分析!AE362,"")</f>
        <v/>
      </c>
      <c r="Y362" s="159" t="str">
        <f>IF(分析!T362&lt;&gt;"",分析!T362,"")</f>
        <v/>
      </c>
      <c r="Z362" s="160" t="str">
        <f>IF(分析!Y362&lt;&gt;"",分析!Y362,"")</f>
        <v/>
      </c>
    </row>
    <row r="363" spans="1:26" ht="21.95" customHeight="1">
      <c r="A363" s="161" t="str">
        <f>IF(分析!C363&lt;&gt;"",ROW()-2,"")</f>
        <v/>
      </c>
      <c r="B363" s="162" t="str">
        <f>IF(分析!C363&lt;&gt;"",HYPERLINK("https://kabutan.jp/stock/?code="&amp;分析!C363,"株探"),"")</f>
        <v/>
      </c>
      <c r="C363" s="163" t="str">
        <f>IF(分析!C363&lt;&gt;"",分析!C363,"")</f>
        <v/>
      </c>
      <c r="D363" s="164" t="str">
        <f>IF(分析!D363&lt;&gt;"",分析!D363,"")</f>
        <v/>
      </c>
      <c r="E363" s="165" t="str">
        <f>IF(分析!E363&lt;&gt;"",分析!E363,"")</f>
        <v/>
      </c>
      <c r="F363" s="166" t="str">
        <f>IF(分析!F363&lt;&gt;"",分析!F363,"")</f>
        <v/>
      </c>
      <c r="G363" s="166" t="str">
        <f>IF(分析!H363&lt;&gt;"",分析!H363,"")</f>
        <v/>
      </c>
      <c r="H363" s="166" t="str">
        <f>IF(分析!I363&lt;&gt;"",分析!I363,"")</f>
        <v/>
      </c>
      <c r="I363" s="166" t="str">
        <f>IF(分析!J363&lt;&gt;"",分析!J363,"")</f>
        <v/>
      </c>
      <c r="J363" s="166" t="str">
        <f>IF(分析!AB363&lt;&gt;"",分析!AB363,"")</f>
        <v/>
      </c>
      <c r="K363" s="166" t="str">
        <f>IF(分析!AC363&lt;&gt;"",分析!AC363,"")</f>
        <v/>
      </c>
      <c r="L363" s="166" t="str">
        <f>IF(分析!K363&lt;&gt;"",分析!K363,"")</f>
        <v/>
      </c>
      <c r="M363" s="161" t="str">
        <f>IF(分析!P363&lt;&gt;"",分析!P363,"")</f>
        <v/>
      </c>
      <c r="N363" s="167" t="str">
        <f>IF(分析!O363&lt;&gt;"",分析!O363,"")</f>
        <v/>
      </c>
      <c r="O363" s="168" t="str">
        <f>IF(分析!X363&lt;&gt;"",分析!X363,"")</f>
        <v/>
      </c>
      <c r="P363" s="169" t="str">
        <f>IF(分析!L363&lt;&gt;"",分析!L363,"")</f>
        <v/>
      </c>
      <c r="Q363" s="166" t="str">
        <f>IF(分析!S363&lt;&gt;"",分析!S363,"")</f>
        <v/>
      </c>
      <c r="R363" s="166" t="str">
        <f>IF(分析!R363&lt;&gt;"",分析!R363,"")</f>
        <v/>
      </c>
      <c r="S363" s="161" t="str">
        <f>IF(分析!AA363&lt;&gt;"",分析!AA363,"")</f>
        <v/>
      </c>
      <c r="T363" s="170" t="str">
        <f>IF(分析!Z363&lt;&gt;"",分析!Z363,"")</f>
        <v/>
      </c>
      <c r="U363" s="161" t="str">
        <f>IF(分析!V363&lt;&gt;"",分析!V363,"")</f>
        <v/>
      </c>
      <c r="V363" s="171" t="str">
        <f>IF(分析!W363&lt;&gt;"",分析!W363,"")</f>
        <v/>
      </c>
      <c r="W363" s="172" t="str">
        <f>IF(分析!AD363&lt;&gt;"",分析!AD363,"")</f>
        <v/>
      </c>
      <c r="X363" s="173" t="str">
        <f>IF(分析!AE363&lt;&gt;"",分析!AE363,"")</f>
        <v/>
      </c>
      <c r="Y363" s="174" t="str">
        <f>IF(分析!T363&lt;&gt;"",分析!T363,"")</f>
        <v/>
      </c>
      <c r="Z363" s="160" t="str">
        <f>IF(分析!Y363&lt;&gt;"",分析!Y363,"")</f>
        <v/>
      </c>
    </row>
    <row r="364" spans="1:26" ht="21.95" customHeight="1">
      <c r="A364" s="146" t="str">
        <f>IF(分析!C364&lt;&gt;"",ROW()-2,"")</f>
        <v/>
      </c>
      <c r="B364" s="147" t="str">
        <f>IF(分析!C364&lt;&gt;"",HYPERLINK("https://kabutan.jp/stock/?code="&amp;分析!C364,"株探"),"")</f>
        <v/>
      </c>
      <c r="C364" s="148" t="str">
        <f>IF(分析!C364&lt;&gt;"",分析!C364,"")</f>
        <v/>
      </c>
      <c r="D364" s="149" t="str">
        <f>IF(分析!D364&lt;&gt;"",分析!D364,"")</f>
        <v/>
      </c>
      <c r="E364" s="150" t="str">
        <f>IF(分析!E364&lt;&gt;"",分析!E364,"")</f>
        <v/>
      </c>
      <c r="F364" s="151" t="str">
        <f>IF(分析!F364&lt;&gt;"",分析!F364,"")</f>
        <v/>
      </c>
      <c r="G364" s="151" t="str">
        <f>IF(分析!H364&lt;&gt;"",分析!H364,"")</f>
        <v/>
      </c>
      <c r="H364" s="151" t="str">
        <f>IF(分析!I364&lt;&gt;"",分析!I364,"")</f>
        <v/>
      </c>
      <c r="I364" s="151" t="str">
        <f>IF(分析!J364&lt;&gt;"",分析!J364,"")</f>
        <v/>
      </c>
      <c r="J364" s="151" t="str">
        <f>IF(分析!AB364&lt;&gt;"",分析!AB364,"")</f>
        <v/>
      </c>
      <c r="K364" s="151" t="str">
        <f>IF(分析!AC364&lt;&gt;"",分析!AC364,"")</f>
        <v/>
      </c>
      <c r="L364" s="151" t="str">
        <f>IF(分析!K364&lt;&gt;"",分析!K364,"")</f>
        <v/>
      </c>
      <c r="M364" s="146" t="str">
        <f>IF(分析!P364&lt;&gt;"",分析!P364,"")</f>
        <v/>
      </c>
      <c r="N364" s="152" t="str">
        <f>IF(分析!O364&lt;&gt;"",分析!O364,"")</f>
        <v/>
      </c>
      <c r="O364" s="153" t="str">
        <f>IF(分析!X364&lt;&gt;"",分析!X364,"")</f>
        <v/>
      </c>
      <c r="P364" s="154" t="str">
        <f>IF(分析!L364&lt;&gt;"",分析!L364,"")</f>
        <v/>
      </c>
      <c r="Q364" s="151" t="str">
        <f>IF(分析!S364&lt;&gt;"",分析!S364,"")</f>
        <v/>
      </c>
      <c r="R364" s="151" t="str">
        <f>IF(分析!R364&lt;&gt;"",分析!R364,"")</f>
        <v/>
      </c>
      <c r="S364" s="146" t="str">
        <f>IF(分析!AA364&lt;&gt;"",分析!AA364,"")</f>
        <v/>
      </c>
      <c r="T364" s="155" t="str">
        <f>IF(分析!Z364&lt;&gt;"",分析!Z364,"")</f>
        <v/>
      </c>
      <c r="U364" s="146" t="str">
        <f>IF(分析!V364&lt;&gt;"",分析!V364,"")</f>
        <v/>
      </c>
      <c r="V364" s="156" t="str">
        <f>IF(分析!W364&lt;&gt;"",分析!W364,"")</f>
        <v/>
      </c>
      <c r="W364" s="157" t="str">
        <f>IF(分析!AD364&lt;&gt;"",分析!AD364,"")</f>
        <v/>
      </c>
      <c r="X364" s="158" t="str">
        <f>IF(分析!AE364&lt;&gt;"",分析!AE364,"")</f>
        <v/>
      </c>
      <c r="Y364" s="159" t="str">
        <f>IF(分析!T364&lt;&gt;"",分析!T364,"")</f>
        <v/>
      </c>
      <c r="Z364" s="160" t="str">
        <f>IF(分析!Y364&lt;&gt;"",分析!Y364,"")</f>
        <v/>
      </c>
    </row>
    <row r="365" spans="1:26" ht="21.95" customHeight="1">
      <c r="A365" s="161" t="str">
        <f>IF(分析!C365&lt;&gt;"",ROW()-2,"")</f>
        <v/>
      </c>
      <c r="B365" s="162" t="str">
        <f>IF(分析!C365&lt;&gt;"",HYPERLINK("https://kabutan.jp/stock/?code="&amp;分析!C365,"株探"),"")</f>
        <v/>
      </c>
      <c r="C365" s="163" t="str">
        <f>IF(分析!C365&lt;&gt;"",分析!C365,"")</f>
        <v/>
      </c>
      <c r="D365" s="164" t="str">
        <f>IF(分析!D365&lt;&gt;"",分析!D365,"")</f>
        <v/>
      </c>
      <c r="E365" s="165" t="str">
        <f>IF(分析!E365&lt;&gt;"",分析!E365,"")</f>
        <v/>
      </c>
      <c r="F365" s="166" t="str">
        <f>IF(分析!F365&lt;&gt;"",分析!F365,"")</f>
        <v/>
      </c>
      <c r="G365" s="166" t="str">
        <f>IF(分析!H365&lt;&gt;"",分析!H365,"")</f>
        <v/>
      </c>
      <c r="H365" s="166" t="str">
        <f>IF(分析!I365&lt;&gt;"",分析!I365,"")</f>
        <v/>
      </c>
      <c r="I365" s="166" t="str">
        <f>IF(分析!J365&lt;&gt;"",分析!J365,"")</f>
        <v/>
      </c>
      <c r="J365" s="166" t="str">
        <f>IF(分析!AB365&lt;&gt;"",分析!AB365,"")</f>
        <v/>
      </c>
      <c r="K365" s="166" t="str">
        <f>IF(分析!AC365&lt;&gt;"",分析!AC365,"")</f>
        <v/>
      </c>
      <c r="L365" s="166" t="str">
        <f>IF(分析!K365&lt;&gt;"",分析!K365,"")</f>
        <v/>
      </c>
      <c r="M365" s="161" t="str">
        <f>IF(分析!P365&lt;&gt;"",分析!P365,"")</f>
        <v/>
      </c>
      <c r="N365" s="167" t="str">
        <f>IF(分析!O365&lt;&gt;"",分析!O365,"")</f>
        <v/>
      </c>
      <c r="O365" s="168" t="str">
        <f>IF(分析!X365&lt;&gt;"",分析!X365,"")</f>
        <v/>
      </c>
      <c r="P365" s="169" t="str">
        <f>IF(分析!L365&lt;&gt;"",分析!L365,"")</f>
        <v/>
      </c>
      <c r="Q365" s="166" t="str">
        <f>IF(分析!S365&lt;&gt;"",分析!S365,"")</f>
        <v/>
      </c>
      <c r="R365" s="166" t="str">
        <f>IF(分析!R365&lt;&gt;"",分析!R365,"")</f>
        <v/>
      </c>
      <c r="S365" s="161" t="str">
        <f>IF(分析!AA365&lt;&gt;"",分析!AA365,"")</f>
        <v/>
      </c>
      <c r="T365" s="170" t="str">
        <f>IF(分析!Z365&lt;&gt;"",分析!Z365,"")</f>
        <v/>
      </c>
      <c r="U365" s="161" t="str">
        <f>IF(分析!V365&lt;&gt;"",分析!V365,"")</f>
        <v/>
      </c>
      <c r="V365" s="171" t="str">
        <f>IF(分析!W365&lt;&gt;"",分析!W365,"")</f>
        <v/>
      </c>
      <c r="W365" s="172" t="str">
        <f>IF(分析!AD365&lt;&gt;"",分析!AD365,"")</f>
        <v/>
      </c>
      <c r="X365" s="173" t="str">
        <f>IF(分析!AE365&lt;&gt;"",分析!AE365,"")</f>
        <v/>
      </c>
      <c r="Y365" s="174" t="str">
        <f>IF(分析!T365&lt;&gt;"",分析!T365,"")</f>
        <v/>
      </c>
      <c r="Z365" s="160" t="str">
        <f>IF(分析!Y365&lt;&gt;"",分析!Y365,"")</f>
        <v/>
      </c>
    </row>
    <row r="366" spans="1:26" ht="21.95" customHeight="1">
      <c r="A366" s="146" t="str">
        <f>IF(分析!C366&lt;&gt;"",ROW()-2,"")</f>
        <v/>
      </c>
      <c r="B366" s="147" t="str">
        <f>IF(分析!C366&lt;&gt;"",HYPERLINK("https://kabutan.jp/stock/?code="&amp;分析!C366,"株探"),"")</f>
        <v/>
      </c>
      <c r="C366" s="148" t="str">
        <f>IF(分析!C366&lt;&gt;"",分析!C366,"")</f>
        <v/>
      </c>
      <c r="D366" s="149" t="str">
        <f>IF(分析!D366&lt;&gt;"",分析!D366,"")</f>
        <v/>
      </c>
      <c r="E366" s="150" t="str">
        <f>IF(分析!E366&lt;&gt;"",分析!E366,"")</f>
        <v/>
      </c>
      <c r="F366" s="151" t="str">
        <f>IF(分析!F366&lt;&gt;"",分析!F366,"")</f>
        <v/>
      </c>
      <c r="G366" s="151" t="str">
        <f>IF(分析!H366&lt;&gt;"",分析!H366,"")</f>
        <v/>
      </c>
      <c r="H366" s="151" t="str">
        <f>IF(分析!I366&lt;&gt;"",分析!I366,"")</f>
        <v/>
      </c>
      <c r="I366" s="151" t="str">
        <f>IF(分析!J366&lt;&gt;"",分析!J366,"")</f>
        <v/>
      </c>
      <c r="J366" s="151" t="str">
        <f>IF(分析!AB366&lt;&gt;"",分析!AB366,"")</f>
        <v/>
      </c>
      <c r="K366" s="151" t="str">
        <f>IF(分析!AC366&lt;&gt;"",分析!AC366,"")</f>
        <v/>
      </c>
      <c r="L366" s="151" t="str">
        <f>IF(分析!K366&lt;&gt;"",分析!K366,"")</f>
        <v/>
      </c>
      <c r="M366" s="146" t="str">
        <f>IF(分析!P366&lt;&gt;"",分析!P366,"")</f>
        <v/>
      </c>
      <c r="N366" s="152" t="str">
        <f>IF(分析!O366&lt;&gt;"",分析!O366,"")</f>
        <v/>
      </c>
      <c r="O366" s="153" t="str">
        <f>IF(分析!X366&lt;&gt;"",分析!X366,"")</f>
        <v/>
      </c>
      <c r="P366" s="154" t="str">
        <f>IF(分析!L366&lt;&gt;"",分析!L366,"")</f>
        <v/>
      </c>
      <c r="Q366" s="151" t="str">
        <f>IF(分析!S366&lt;&gt;"",分析!S366,"")</f>
        <v/>
      </c>
      <c r="R366" s="151" t="str">
        <f>IF(分析!R366&lt;&gt;"",分析!R366,"")</f>
        <v/>
      </c>
      <c r="S366" s="146" t="str">
        <f>IF(分析!AA366&lt;&gt;"",分析!AA366,"")</f>
        <v/>
      </c>
      <c r="T366" s="155" t="str">
        <f>IF(分析!Z366&lt;&gt;"",分析!Z366,"")</f>
        <v/>
      </c>
      <c r="U366" s="146" t="str">
        <f>IF(分析!V366&lt;&gt;"",分析!V366,"")</f>
        <v/>
      </c>
      <c r="V366" s="156" t="str">
        <f>IF(分析!W366&lt;&gt;"",分析!W366,"")</f>
        <v/>
      </c>
      <c r="W366" s="157" t="str">
        <f>IF(分析!AD366&lt;&gt;"",分析!AD366,"")</f>
        <v/>
      </c>
      <c r="X366" s="158" t="str">
        <f>IF(分析!AE366&lt;&gt;"",分析!AE366,"")</f>
        <v/>
      </c>
      <c r="Y366" s="159" t="str">
        <f>IF(分析!T366&lt;&gt;"",分析!T366,"")</f>
        <v/>
      </c>
      <c r="Z366" s="160" t="str">
        <f>IF(分析!Y366&lt;&gt;"",分析!Y366,"")</f>
        <v/>
      </c>
    </row>
    <row r="367" spans="1:26" ht="21.95" customHeight="1">
      <c r="A367" s="161" t="str">
        <f>IF(分析!C367&lt;&gt;"",ROW()-2,"")</f>
        <v/>
      </c>
      <c r="B367" s="162" t="str">
        <f>IF(分析!C367&lt;&gt;"",HYPERLINK("https://kabutan.jp/stock/?code="&amp;分析!C367,"株探"),"")</f>
        <v/>
      </c>
      <c r="C367" s="163" t="str">
        <f>IF(分析!C367&lt;&gt;"",分析!C367,"")</f>
        <v/>
      </c>
      <c r="D367" s="164" t="str">
        <f>IF(分析!D367&lt;&gt;"",分析!D367,"")</f>
        <v/>
      </c>
      <c r="E367" s="165" t="str">
        <f>IF(分析!E367&lt;&gt;"",分析!E367,"")</f>
        <v/>
      </c>
      <c r="F367" s="166" t="str">
        <f>IF(分析!F367&lt;&gt;"",分析!F367,"")</f>
        <v/>
      </c>
      <c r="G367" s="166" t="str">
        <f>IF(分析!H367&lt;&gt;"",分析!H367,"")</f>
        <v/>
      </c>
      <c r="H367" s="166" t="str">
        <f>IF(分析!I367&lt;&gt;"",分析!I367,"")</f>
        <v/>
      </c>
      <c r="I367" s="166" t="str">
        <f>IF(分析!J367&lt;&gt;"",分析!J367,"")</f>
        <v/>
      </c>
      <c r="J367" s="166" t="str">
        <f>IF(分析!AB367&lt;&gt;"",分析!AB367,"")</f>
        <v/>
      </c>
      <c r="K367" s="166" t="str">
        <f>IF(分析!AC367&lt;&gt;"",分析!AC367,"")</f>
        <v/>
      </c>
      <c r="L367" s="166" t="str">
        <f>IF(分析!K367&lt;&gt;"",分析!K367,"")</f>
        <v/>
      </c>
      <c r="M367" s="161" t="str">
        <f>IF(分析!P367&lt;&gt;"",分析!P367,"")</f>
        <v/>
      </c>
      <c r="N367" s="167" t="str">
        <f>IF(分析!O367&lt;&gt;"",分析!O367,"")</f>
        <v/>
      </c>
      <c r="O367" s="168" t="str">
        <f>IF(分析!X367&lt;&gt;"",分析!X367,"")</f>
        <v/>
      </c>
      <c r="P367" s="169" t="str">
        <f>IF(分析!L367&lt;&gt;"",分析!L367,"")</f>
        <v/>
      </c>
      <c r="Q367" s="166" t="str">
        <f>IF(分析!S367&lt;&gt;"",分析!S367,"")</f>
        <v/>
      </c>
      <c r="R367" s="166" t="str">
        <f>IF(分析!R367&lt;&gt;"",分析!R367,"")</f>
        <v/>
      </c>
      <c r="S367" s="161" t="str">
        <f>IF(分析!AA367&lt;&gt;"",分析!AA367,"")</f>
        <v/>
      </c>
      <c r="T367" s="170" t="str">
        <f>IF(分析!Z367&lt;&gt;"",分析!Z367,"")</f>
        <v/>
      </c>
      <c r="U367" s="161" t="str">
        <f>IF(分析!V367&lt;&gt;"",分析!V367,"")</f>
        <v/>
      </c>
      <c r="V367" s="171" t="str">
        <f>IF(分析!W367&lt;&gt;"",分析!W367,"")</f>
        <v/>
      </c>
      <c r="W367" s="172" t="str">
        <f>IF(分析!AD367&lt;&gt;"",分析!AD367,"")</f>
        <v/>
      </c>
      <c r="X367" s="173" t="str">
        <f>IF(分析!AE367&lt;&gt;"",分析!AE367,"")</f>
        <v/>
      </c>
      <c r="Y367" s="174" t="str">
        <f>IF(分析!T367&lt;&gt;"",分析!T367,"")</f>
        <v/>
      </c>
      <c r="Z367" s="160" t="str">
        <f>IF(分析!Y367&lt;&gt;"",分析!Y367,"")</f>
        <v/>
      </c>
    </row>
    <row r="368" spans="1:26" ht="21.95" customHeight="1">
      <c r="A368" s="146" t="str">
        <f>IF(分析!C368&lt;&gt;"",ROW()-2,"")</f>
        <v/>
      </c>
      <c r="B368" s="147" t="str">
        <f>IF(分析!C368&lt;&gt;"",HYPERLINK("https://kabutan.jp/stock/?code="&amp;分析!C368,"株探"),"")</f>
        <v/>
      </c>
      <c r="C368" s="148" t="str">
        <f>IF(分析!C368&lt;&gt;"",分析!C368,"")</f>
        <v/>
      </c>
      <c r="D368" s="149" t="str">
        <f>IF(分析!D368&lt;&gt;"",分析!D368,"")</f>
        <v/>
      </c>
      <c r="E368" s="150" t="str">
        <f>IF(分析!E368&lt;&gt;"",分析!E368,"")</f>
        <v/>
      </c>
      <c r="F368" s="151" t="str">
        <f>IF(分析!F368&lt;&gt;"",分析!F368,"")</f>
        <v/>
      </c>
      <c r="G368" s="151" t="str">
        <f>IF(分析!H368&lt;&gt;"",分析!H368,"")</f>
        <v/>
      </c>
      <c r="H368" s="151" t="str">
        <f>IF(分析!I368&lt;&gt;"",分析!I368,"")</f>
        <v/>
      </c>
      <c r="I368" s="151" t="str">
        <f>IF(分析!J368&lt;&gt;"",分析!J368,"")</f>
        <v/>
      </c>
      <c r="J368" s="151" t="str">
        <f>IF(分析!AB368&lt;&gt;"",分析!AB368,"")</f>
        <v/>
      </c>
      <c r="K368" s="151" t="str">
        <f>IF(分析!AC368&lt;&gt;"",分析!AC368,"")</f>
        <v/>
      </c>
      <c r="L368" s="151" t="str">
        <f>IF(分析!K368&lt;&gt;"",分析!K368,"")</f>
        <v/>
      </c>
      <c r="M368" s="146" t="str">
        <f>IF(分析!P368&lt;&gt;"",分析!P368,"")</f>
        <v/>
      </c>
      <c r="N368" s="152" t="str">
        <f>IF(分析!O368&lt;&gt;"",分析!O368,"")</f>
        <v/>
      </c>
      <c r="O368" s="153" t="str">
        <f>IF(分析!X368&lt;&gt;"",分析!X368,"")</f>
        <v/>
      </c>
      <c r="P368" s="154" t="str">
        <f>IF(分析!L368&lt;&gt;"",分析!L368,"")</f>
        <v/>
      </c>
      <c r="Q368" s="151" t="str">
        <f>IF(分析!S368&lt;&gt;"",分析!S368,"")</f>
        <v/>
      </c>
      <c r="R368" s="151" t="str">
        <f>IF(分析!R368&lt;&gt;"",分析!R368,"")</f>
        <v/>
      </c>
      <c r="S368" s="146" t="str">
        <f>IF(分析!AA368&lt;&gt;"",分析!AA368,"")</f>
        <v/>
      </c>
      <c r="T368" s="155" t="str">
        <f>IF(分析!Z368&lt;&gt;"",分析!Z368,"")</f>
        <v/>
      </c>
      <c r="U368" s="146" t="str">
        <f>IF(分析!V368&lt;&gt;"",分析!V368,"")</f>
        <v/>
      </c>
      <c r="V368" s="156" t="str">
        <f>IF(分析!W368&lt;&gt;"",分析!W368,"")</f>
        <v/>
      </c>
      <c r="W368" s="157" t="str">
        <f>IF(分析!AD368&lt;&gt;"",分析!AD368,"")</f>
        <v/>
      </c>
      <c r="X368" s="158" t="str">
        <f>IF(分析!AE368&lt;&gt;"",分析!AE368,"")</f>
        <v/>
      </c>
      <c r="Y368" s="159" t="str">
        <f>IF(分析!T368&lt;&gt;"",分析!T368,"")</f>
        <v/>
      </c>
      <c r="Z368" s="160" t="str">
        <f>IF(分析!Y368&lt;&gt;"",分析!Y368,"")</f>
        <v/>
      </c>
    </row>
    <row r="369" spans="1:26" ht="21.95" customHeight="1">
      <c r="A369" s="161" t="str">
        <f>IF(分析!C369&lt;&gt;"",ROW()-2,"")</f>
        <v/>
      </c>
      <c r="B369" s="162" t="str">
        <f>IF(分析!C369&lt;&gt;"",HYPERLINK("https://kabutan.jp/stock/?code="&amp;分析!C369,"株探"),"")</f>
        <v/>
      </c>
      <c r="C369" s="163" t="str">
        <f>IF(分析!C369&lt;&gt;"",分析!C369,"")</f>
        <v/>
      </c>
      <c r="D369" s="164" t="str">
        <f>IF(分析!D369&lt;&gt;"",分析!D369,"")</f>
        <v/>
      </c>
      <c r="E369" s="165" t="str">
        <f>IF(分析!E369&lt;&gt;"",分析!E369,"")</f>
        <v/>
      </c>
      <c r="F369" s="166" t="str">
        <f>IF(分析!F369&lt;&gt;"",分析!F369,"")</f>
        <v/>
      </c>
      <c r="G369" s="166" t="str">
        <f>IF(分析!H369&lt;&gt;"",分析!H369,"")</f>
        <v/>
      </c>
      <c r="H369" s="166" t="str">
        <f>IF(分析!I369&lt;&gt;"",分析!I369,"")</f>
        <v/>
      </c>
      <c r="I369" s="166" t="str">
        <f>IF(分析!J369&lt;&gt;"",分析!J369,"")</f>
        <v/>
      </c>
      <c r="J369" s="166" t="str">
        <f>IF(分析!AB369&lt;&gt;"",分析!AB369,"")</f>
        <v/>
      </c>
      <c r="K369" s="166" t="str">
        <f>IF(分析!AC369&lt;&gt;"",分析!AC369,"")</f>
        <v/>
      </c>
      <c r="L369" s="166" t="str">
        <f>IF(分析!K369&lt;&gt;"",分析!K369,"")</f>
        <v/>
      </c>
      <c r="M369" s="161" t="str">
        <f>IF(分析!P369&lt;&gt;"",分析!P369,"")</f>
        <v/>
      </c>
      <c r="N369" s="167" t="str">
        <f>IF(分析!O369&lt;&gt;"",分析!O369,"")</f>
        <v/>
      </c>
      <c r="O369" s="168" t="str">
        <f>IF(分析!X369&lt;&gt;"",分析!X369,"")</f>
        <v/>
      </c>
      <c r="P369" s="169" t="str">
        <f>IF(分析!L369&lt;&gt;"",分析!L369,"")</f>
        <v/>
      </c>
      <c r="Q369" s="166" t="str">
        <f>IF(分析!S369&lt;&gt;"",分析!S369,"")</f>
        <v/>
      </c>
      <c r="R369" s="166" t="str">
        <f>IF(分析!R369&lt;&gt;"",分析!R369,"")</f>
        <v/>
      </c>
      <c r="S369" s="161" t="str">
        <f>IF(分析!AA369&lt;&gt;"",分析!AA369,"")</f>
        <v/>
      </c>
      <c r="T369" s="170" t="str">
        <f>IF(分析!Z369&lt;&gt;"",分析!Z369,"")</f>
        <v/>
      </c>
      <c r="U369" s="161" t="str">
        <f>IF(分析!V369&lt;&gt;"",分析!V369,"")</f>
        <v/>
      </c>
      <c r="V369" s="171" t="str">
        <f>IF(分析!W369&lt;&gt;"",分析!W369,"")</f>
        <v/>
      </c>
      <c r="W369" s="172" t="str">
        <f>IF(分析!AD369&lt;&gt;"",分析!AD369,"")</f>
        <v/>
      </c>
      <c r="X369" s="173" t="str">
        <f>IF(分析!AE369&lt;&gt;"",分析!AE369,"")</f>
        <v/>
      </c>
      <c r="Y369" s="174" t="str">
        <f>IF(分析!T369&lt;&gt;"",分析!T369,"")</f>
        <v/>
      </c>
      <c r="Z369" s="160" t="str">
        <f>IF(分析!Y369&lt;&gt;"",分析!Y369,"")</f>
        <v/>
      </c>
    </row>
    <row r="370" spans="1:26" ht="21.95" customHeight="1">
      <c r="A370" s="146" t="str">
        <f>IF(分析!C370&lt;&gt;"",ROW()-2,"")</f>
        <v/>
      </c>
      <c r="B370" s="147" t="str">
        <f>IF(分析!C370&lt;&gt;"",HYPERLINK("https://kabutan.jp/stock/?code="&amp;分析!C370,"株探"),"")</f>
        <v/>
      </c>
      <c r="C370" s="148" t="str">
        <f>IF(分析!C370&lt;&gt;"",分析!C370,"")</f>
        <v/>
      </c>
      <c r="D370" s="149" t="str">
        <f>IF(分析!D370&lt;&gt;"",分析!D370,"")</f>
        <v/>
      </c>
      <c r="E370" s="150" t="str">
        <f>IF(分析!E370&lt;&gt;"",分析!E370,"")</f>
        <v/>
      </c>
      <c r="F370" s="151" t="str">
        <f>IF(分析!F370&lt;&gt;"",分析!F370,"")</f>
        <v/>
      </c>
      <c r="G370" s="151" t="str">
        <f>IF(分析!H370&lt;&gt;"",分析!H370,"")</f>
        <v/>
      </c>
      <c r="H370" s="151" t="str">
        <f>IF(分析!I370&lt;&gt;"",分析!I370,"")</f>
        <v/>
      </c>
      <c r="I370" s="151" t="str">
        <f>IF(分析!J370&lt;&gt;"",分析!J370,"")</f>
        <v/>
      </c>
      <c r="J370" s="151" t="str">
        <f>IF(分析!AB370&lt;&gt;"",分析!AB370,"")</f>
        <v/>
      </c>
      <c r="K370" s="151" t="str">
        <f>IF(分析!AC370&lt;&gt;"",分析!AC370,"")</f>
        <v/>
      </c>
      <c r="L370" s="151" t="str">
        <f>IF(分析!K370&lt;&gt;"",分析!K370,"")</f>
        <v/>
      </c>
      <c r="M370" s="146" t="str">
        <f>IF(分析!P370&lt;&gt;"",分析!P370,"")</f>
        <v/>
      </c>
      <c r="N370" s="152" t="str">
        <f>IF(分析!O370&lt;&gt;"",分析!O370,"")</f>
        <v/>
      </c>
      <c r="O370" s="153" t="str">
        <f>IF(分析!X370&lt;&gt;"",分析!X370,"")</f>
        <v/>
      </c>
      <c r="P370" s="154" t="str">
        <f>IF(分析!L370&lt;&gt;"",分析!L370,"")</f>
        <v/>
      </c>
      <c r="Q370" s="151" t="str">
        <f>IF(分析!S370&lt;&gt;"",分析!S370,"")</f>
        <v/>
      </c>
      <c r="R370" s="151" t="str">
        <f>IF(分析!R370&lt;&gt;"",分析!R370,"")</f>
        <v/>
      </c>
      <c r="S370" s="146" t="str">
        <f>IF(分析!AA370&lt;&gt;"",分析!AA370,"")</f>
        <v/>
      </c>
      <c r="T370" s="155" t="str">
        <f>IF(分析!Z370&lt;&gt;"",分析!Z370,"")</f>
        <v/>
      </c>
      <c r="U370" s="146" t="str">
        <f>IF(分析!V370&lt;&gt;"",分析!V370,"")</f>
        <v/>
      </c>
      <c r="V370" s="156" t="str">
        <f>IF(分析!W370&lt;&gt;"",分析!W370,"")</f>
        <v/>
      </c>
      <c r="W370" s="157" t="str">
        <f>IF(分析!AD370&lt;&gt;"",分析!AD370,"")</f>
        <v/>
      </c>
      <c r="X370" s="158" t="str">
        <f>IF(分析!AE370&lt;&gt;"",分析!AE370,"")</f>
        <v/>
      </c>
      <c r="Y370" s="159" t="str">
        <f>IF(分析!T370&lt;&gt;"",分析!T370,"")</f>
        <v/>
      </c>
      <c r="Z370" s="160" t="str">
        <f>IF(分析!Y370&lt;&gt;"",分析!Y370,"")</f>
        <v/>
      </c>
    </row>
    <row r="371" spans="1:26" ht="21.95" customHeight="1">
      <c r="A371" s="161" t="str">
        <f>IF(分析!C371&lt;&gt;"",ROW()-2,"")</f>
        <v/>
      </c>
      <c r="B371" s="162" t="str">
        <f>IF(分析!C371&lt;&gt;"",HYPERLINK("https://kabutan.jp/stock/?code="&amp;分析!C371,"株探"),"")</f>
        <v/>
      </c>
      <c r="C371" s="163" t="str">
        <f>IF(分析!C371&lt;&gt;"",分析!C371,"")</f>
        <v/>
      </c>
      <c r="D371" s="164" t="str">
        <f>IF(分析!D371&lt;&gt;"",分析!D371,"")</f>
        <v/>
      </c>
      <c r="E371" s="165" t="str">
        <f>IF(分析!E371&lt;&gt;"",分析!E371,"")</f>
        <v/>
      </c>
      <c r="F371" s="166" t="str">
        <f>IF(分析!F371&lt;&gt;"",分析!F371,"")</f>
        <v/>
      </c>
      <c r="G371" s="166" t="str">
        <f>IF(分析!H371&lt;&gt;"",分析!H371,"")</f>
        <v/>
      </c>
      <c r="H371" s="166" t="str">
        <f>IF(分析!I371&lt;&gt;"",分析!I371,"")</f>
        <v/>
      </c>
      <c r="I371" s="166" t="str">
        <f>IF(分析!J371&lt;&gt;"",分析!J371,"")</f>
        <v/>
      </c>
      <c r="J371" s="166" t="str">
        <f>IF(分析!AB371&lt;&gt;"",分析!AB371,"")</f>
        <v/>
      </c>
      <c r="K371" s="166" t="str">
        <f>IF(分析!AC371&lt;&gt;"",分析!AC371,"")</f>
        <v/>
      </c>
      <c r="L371" s="166" t="str">
        <f>IF(分析!K371&lt;&gt;"",分析!K371,"")</f>
        <v/>
      </c>
      <c r="M371" s="161" t="str">
        <f>IF(分析!P371&lt;&gt;"",分析!P371,"")</f>
        <v/>
      </c>
      <c r="N371" s="167" t="str">
        <f>IF(分析!O371&lt;&gt;"",分析!O371,"")</f>
        <v/>
      </c>
      <c r="O371" s="168" t="str">
        <f>IF(分析!X371&lt;&gt;"",分析!X371,"")</f>
        <v/>
      </c>
      <c r="P371" s="169" t="str">
        <f>IF(分析!L371&lt;&gt;"",分析!L371,"")</f>
        <v/>
      </c>
      <c r="Q371" s="166" t="str">
        <f>IF(分析!S371&lt;&gt;"",分析!S371,"")</f>
        <v/>
      </c>
      <c r="R371" s="166" t="str">
        <f>IF(分析!R371&lt;&gt;"",分析!R371,"")</f>
        <v/>
      </c>
      <c r="S371" s="161" t="str">
        <f>IF(分析!AA371&lt;&gt;"",分析!AA371,"")</f>
        <v/>
      </c>
      <c r="T371" s="170" t="str">
        <f>IF(分析!Z371&lt;&gt;"",分析!Z371,"")</f>
        <v/>
      </c>
      <c r="U371" s="161" t="str">
        <f>IF(分析!V371&lt;&gt;"",分析!V371,"")</f>
        <v/>
      </c>
      <c r="V371" s="171" t="str">
        <f>IF(分析!W371&lt;&gt;"",分析!W371,"")</f>
        <v/>
      </c>
      <c r="W371" s="172" t="str">
        <f>IF(分析!AD371&lt;&gt;"",分析!AD371,"")</f>
        <v/>
      </c>
      <c r="X371" s="173" t="str">
        <f>IF(分析!AE371&lt;&gt;"",分析!AE371,"")</f>
        <v/>
      </c>
      <c r="Y371" s="174" t="str">
        <f>IF(分析!T371&lt;&gt;"",分析!T371,"")</f>
        <v/>
      </c>
      <c r="Z371" s="160" t="str">
        <f>IF(分析!Y371&lt;&gt;"",分析!Y371,"")</f>
        <v/>
      </c>
    </row>
    <row r="372" spans="1:26" ht="21.95" customHeight="1">
      <c r="A372" s="146" t="str">
        <f>IF(分析!C372&lt;&gt;"",ROW()-2,"")</f>
        <v/>
      </c>
      <c r="B372" s="147" t="str">
        <f>IF(分析!C372&lt;&gt;"",HYPERLINK("https://kabutan.jp/stock/?code="&amp;分析!C372,"株探"),"")</f>
        <v/>
      </c>
      <c r="C372" s="148" t="str">
        <f>IF(分析!C372&lt;&gt;"",分析!C372,"")</f>
        <v/>
      </c>
      <c r="D372" s="149" t="str">
        <f>IF(分析!D372&lt;&gt;"",分析!D372,"")</f>
        <v/>
      </c>
      <c r="E372" s="150" t="str">
        <f>IF(分析!E372&lt;&gt;"",分析!E372,"")</f>
        <v/>
      </c>
      <c r="F372" s="151" t="str">
        <f>IF(分析!F372&lt;&gt;"",分析!F372,"")</f>
        <v/>
      </c>
      <c r="G372" s="151" t="str">
        <f>IF(分析!H372&lt;&gt;"",分析!H372,"")</f>
        <v/>
      </c>
      <c r="H372" s="151" t="str">
        <f>IF(分析!I372&lt;&gt;"",分析!I372,"")</f>
        <v/>
      </c>
      <c r="I372" s="151" t="str">
        <f>IF(分析!J372&lt;&gt;"",分析!J372,"")</f>
        <v/>
      </c>
      <c r="J372" s="151" t="str">
        <f>IF(分析!AB372&lt;&gt;"",分析!AB372,"")</f>
        <v/>
      </c>
      <c r="K372" s="151" t="str">
        <f>IF(分析!AC372&lt;&gt;"",分析!AC372,"")</f>
        <v/>
      </c>
      <c r="L372" s="151" t="str">
        <f>IF(分析!K372&lt;&gt;"",分析!K372,"")</f>
        <v/>
      </c>
      <c r="M372" s="146" t="str">
        <f>IF(分析!P372&lt;&gt;"",分析!P372,"")</f>
        <v/>
      </c>
      <c r="N372" s="152" t="str">
        <f>IF(分析!O372&lt;&gt;"",分析!O372,"")</f>
        <v/>
      </c>
      <c r="O372" s="153" t="str">
        <f>IF(分析!X372&lt;&gt;"",分析!X372,"")</f>
        <v/>
      </c>
      <c r="P372" s="154" t="str">
        <f>IF(分析!L372&lt;&gt;"",分析!L372,"")</f>
        <v/>
      </c>
      <c r="Q372" s="151" t="str">
        <f>IF(分析!S372&lt;&gt;"",分析!S372,"")</f>
        <v/>
      </c>
      <c r="R372" s="151" t="str">
        <f>IF(分析!R372&lt;&gt;"",分析!R372,"")</f>
        <v/>
      </c>
      <c r="S372" s="146" t="str">
        <f>IF(分析!AA372&lt;&gt;"",分析!AA372,"")</f>
        <v/>
      </c>
      <c r="T372" s="155" t="str">
        <f>IF(分析!Z372&lt;&gt;"",分析!Z372,"")</f>
        <v/>
      </c>
      <c r="U372" s="146" t="str">
        <f>IF(分析!V372&lt;&gt;"",分析!V372,"")</f>
        <v/>
      </c>
      <c r="V372" s="156" t="str">
        <f>IF(分析!W372&lt;&gt;"",分析!W372,"")</f>
        <v/>
      </c>
      <c r="W372" s="157" t="str">
        <f>IF(分析!AD372&lt;&gt;"",分析!AD372,"")</f>
        <v/>
      </c>
      <c r="X372" s="158" t="str">
        <f>IF(分析!AE372&lt;&gt;"",分析!AE372,"")</f>
        <v/>
      </c>
      <c r="Y372" s="159" t="str">
        <f>IF(分析!T372&lt;&gt;"",分析!T372,"")</f>
        <v/>
      </c>
      <c r="Z372" s="160" t="str">
        <f>IF(分析!Y372&lt;&gt;"",分析!Y372,"")</f>
        <v/>
      </c>
    </row>
    <row r="373" spans="1:26" ht="21.95" customHeight="1">
      <c r="A373" s="161" t="str">
        <f>IF(分析!C373&lt;&gt;"",ROW()-2,"")</f>
        <v/>
      </c>
      <c r="B373" s="162" t="str">
        <f>IF(分析!C373&lt;&gt;"",HYPERLINK("https://kabutan.jp/stock/?code="&amp;分析!C373,"株探"),"")</f>
        <v/>
      </c>
      <c r="C373" s="163" t="str">
        <f>IF(分析!C373&lt;&gt;"",分析!C373,"")</f>
        <v/>
      </c>
      <c r="D373" s="164" t="str">
        <f>IF(分析!D373&lt;&gt;"",分析!D373,"")</f>
        <v/>
      </c>
      <c r="E373" s="165" t="str">
        <f>IF(分析!E373&lt;&gt;"",分析!E373,"")</f>
        <v/>
      </c>
      <c r="F373" s="166" t="str">
        <f>IF(分析!F373&lt;&gt;"",分析!F373,"")</f>
        <v/>
      </c>
      <c r="G373" s="166" t="str">
        <f>IF(分析!H373&lt;&gt;"",分析!H373,"")</f>
        <v/>
      </c>
      <c r="H373" s="166" t="str">
        <f>IF(分析!I373&lt;&gt;"",分析!I373,"")</f>
        <v/>
      </c>
      <c r="I373" s="166" t="str">
        <f>IF(分析!J373&lt;&gt;"",分析!J373,"")</f>
        <v/>
      </c>
      <c r="J373" s="166" t="str">
        <f>IF(分析!AB373&lt;&gt;"",分析!AB373,"")</f>
        <v/>
      </c>
      <c r="K373" s="166" t="str">
        <f>IF(分析!AC373&lt;&gt;"",分析!AC373,"")</f>
        <v/>
      </c>
      <c r="L373" s="166" t="str">
        <f>IF(分析!K373&lt;&gt;"",分析!K373,"")</f>
        <v/>
      </c>
      <c r="M373" s="161" t="str">
        <f>IF(分析!P373&lt;&gt;"",分析!P373,"")</f>
        <v/>
      </c>
      <c r="N373" s="167" t="str">
        <f>IF(分析!O373&lt;&gt;"",分析!O373,"")</f>
        <v/>
      </c>
      <c r="O373" s="168" t="str">
        <f>IF(分析!X373&lt;&gt;"",分析!X373,"")</f>
        <v/>
      </c>
      <c r="P373" s="169" t="str">
        <f>IF(分析!L373&lt;&gt;"",分析!L373,"")</f>
        <v/>
      </c>
      <c r="Q373" s="166" t="str">
        <f>IF(分析!S373&lt;&gt;"",分析!S373,"")</f>
        <v/>
      </c>
      <c r="R373" s="166" t="str">
        <f>IF(分析!R373&lt;&gt;"",分析!R373,"")</f>
        <v/>
      </c>
      <c r="S373" s="161" t="str">
        <f>IF(分析!AA373&lt;&gt;"",分析!AA373,"")</f>
        <v/>
      </c>
      <c r="T373" s="170" t="str">
        <f>IF(分析!Z373&lt;&gt;"",分析!Z373,"")</f>
        <v/>
      </c>
      <c r="U373" s="161" t="str">
        <f>IF(分析!V373&lt;&gt;"",分析!V373,"")</f>
        <v/>
      </c>
      <c r="V373" s="171" t="str">
        <f>IF(分析!W373&lt;&gt;"",分析!W373,"")</f>
        <v/>
      </c>
      <c r="W373" s="172" t="str">
        <f>IF(分析!AD373&lt;&gt;"",分析!AD373,"")</f>
        <v/>
      </c>
      <c r="X373" s="173" t="str">
        <f>IF(分析!AE373&lt;&gt;"",分析!AE373,"")</f>
        <v/>
      </c>
      <c r="Y373" s="174" t="str">
        <f>IF(分析!T373&lt;&gt;"",分析!T373,"")</f>
        <v/>
      </c>
      <c r="Z373" s="160" t="str">
        <f>IF(分析!Y373&lt;&gt;"",分析!Y373,"")</f>
        <v/>
      </c>
    </row>
    <row r="374" spans="1:26" ht="21.95" customHeight="1">
      <c r="A374" s="146" t="str">
        <f>IF(分析!C374&lt;&gt;"",ROW()-2,"")</f>
        <v/>
      </c>
      <c r="B374" s="147" t="str">
        <f>IF(分析!C374&lt;&gt;"",HYPERLINK("https://kabutan.jp/stock/?code="&amp;分析!C374,"株探"),"")</f>
        <v/>
      </c>
      <c r="C374" s="148" t="str">
        <f>IF(分析!C374&lt;&gt;"",分析!C374,"")</f>
        <v/>
      </c>
      <c r="D374" s="149" t="str">
        <f>IF(分析!D374&lt;&gt;"",分析!D374,"")</f>
        <v/>
      </c>
      <c r="E374" s="150" t="str">
        <f>IF(分析!E374&lt;&gt;"",分析!E374,"")</f>
        <v/>
      </c>
      <c r="F374" s="151" t="str">
        <f>IF(分析!F374&lt;&gt;"",分析!F374,"")</f>
        <v/>
      </c>
      <c r="G374" s="151" t="str">
        <f>IF(分析!H374&lt;&gt;"",分析!H374,"")</f>
        <v/>
      </c>
      <c r="H374" s="151" t="str">
        <f>IF(分析!I374&lt;&gt;"",分析!I374,"")</f>
        <v/>
      </c>
      <c r="I374" s="151" t="str">
        <f>IF(分析!J374&lt;&gt;"",分析!J374,"")</f>
        <v/>
      </c>
      <c r="J374" s="151" t="str">
        <f>IF(分析!AB374&lt;&gt;"",分析!AB374,"")</f>
        <v/>
      </c>
      <c r="K374" s="151" t="str">
        <f>IF(分析!AC374&lt;&gt;"",分析!AC374,"")</f>
        <v/>
      </c>
      <c r="L374" s="151" t="str">
        <f>IF(分析!K374&lt;&gt;"",分析!K374,"")</f>
        <v/>
      </c>
      <c r="M374" s="146" t="str">
        <f>IF(分析!P374&lt;&gt;"",分析!P374,"")</f>
        <v/>
      </c>
      <c r="N374" s="152" t="str">
        <f>IF(分析!O374&lt;&gt;"",分析!O374,"")</f>
        <v/>
      </c>
      <c r="O374" s="153" t="str">
        <f>IF(分析!X374&lt;&gt;"",分析!X374,"")</f>
        <v/>
      </c>
      <c r="P374" s="154" t="str">
        <f>IF(分析!L374&lt;&gt;"",分析!L374,"")</f>
        <v/>
      </c>
      <c r="Q374" s="151" t="str">
        <f>IF(分析!S374&lt;&gt;"",分析!S374,"")</f>
        <v/>
      </c>
      <c r="R374" s="151" t="str">
        <f>IF(分析!R374&lt;&gt;"",分析!R374,"")</f>
        <v/>
      </c>
      <c r="S374" s="146" t="str">
        <f>IF(分析!AA374&lt;&gt;"",分析!AA374,"")</f>
        <v/>
      </c>
      <c r="T374" s="155" t="str">
        <f>IF(分析!Z374&lt;&gt;"",分析!Z374,"")</f>
        <v/>
      </c>
      <c r="U374" s="146" t="str">
        <f>IF(分析!V374&lt;&gt;"",分析!V374,"")</f>
        <v/>
      </c>
      <c r="V374" s="156" t="str">
        <f>IF(分析!W374&lt;&gt;"",分析!W374,"")</f>
        <v/>
      </c>
      <c r="W374" s="157" t="str">
        <f>IF(分析!AD374&lt;&gt;"",分析!AD374,"")</f>
        <v/>
      </c>
      <c r="X374" s="158" t="str">
        <f>IF(分析!AE374&lt;&gt;"",分析!AE374,"")</f>
        <v/>
      </c>
      <c r="Y374" s="159" t="str">
        <f>IF(分析!T374&lt;&gt;"",分析!T374,"")</f>
        <v/>
      </c>
      <c r="Z374" s="160" t="str">
        <f>IF(分析!Y374&lt;&gt;"",分析!Y374,"")</f>
        <v/>
      </c>
    </row>
    <row r="375" spans="1:26" ht="21.95" customHeight="1">
      <c r="A375" s="161" t="str">
        <f>IF(分析!C375&lt;&gt;"",ROW()-2,"")</f>
        <v/>
      </c>
      <c r="B375" s="162" t="str">
        <f>IF(分析!C375&lt;&gt;"",HYPERLINK("https://kabutan.jp/stock/?code="&amp;分析!C375,"株探"),"")</f>
        <v/>
      </c>
      <c r="C375" s="163" t="str">
        <f>IF(分析!C375&lt;&gt;"",分析!C375,"")</f>
        <v/>
      </c>
      <c r="D375" s="164" t="str">
        <f>IF(分析!D375&lt;&gt;"",分析!D375,"")</f>
        <v/>
      </c>
      <c r="E375" s="165" t="str">
        <f>IF(分析!E375&lt;&gt;"",分析!E375,"")</f>
        <v/>
      </c>
      <c r="F375" s="166" t="str">
        <f>IF(分析!F375&lt;&gt;"",分析!F375,"")</f>
        <v/>
      </c>
      <c r="G375" s="166" t="str">
        <f>IF(分析!H375&lt;&gt;"",分析!H375,"")</f>
        <v/>
      </c>
      <c r="H375" s="166" t="str">
        <f>IF(分析!I375&lt;&gt;"",分析!I375,"")</f>
        <v/>
      </c>
      <c r="I375" s="166" t="str">
        <f>IF(分析!J375&lt;&gt;"",分析!J375,"")</f>
        <v/>
      </c>
      <c r="J375" s="166" t="str">
        <f>IF(分析!AB375&lt;&gt;"",分析!AB375,"")</f>
        <v/>
      </c>
      <c r="K375" s="166" t="str">
        <f>IF(分析!AC375&lt;&gt;"",分析!AC375,"")</f>
        <v/>
      </c>
      <c r="L375" s="166" t="str">
        <f>IF(分析!K375&lt;&gt;"",分析!K375,"")</f>
        <v/>
      </c>
      <c r="M375" s="161" t="str">
        <f>IF(分析!P375&lt;&gt;"",分析!P375,"")</f>
        <v/>
      </c>
      <c r="N375" s="167" t="str">
        <f>IF(分析!O375&lt;&gt;"",分析!O375,"")</f>
        <v/>
      </c>
      <c r="O375" s="168" t="str">
        <f>IF(分析!X375&lt;&gt;"",分析!X375,"")</f>
        <v/>
      </c>
      <c r="P375" s="169" t="str">
        <f>IF(分析!L375&lt;&gt;"",分析!L375,"")</f>
        <v/>
      </c>
      <c r="Q375" s="166" t="str">
        <f>IF(分析!S375&lt;&gt;"",分析!S375,"")</f>
        <v/>
      </c>
      <c r="R375" s="166" t="str">
        <f>IF(分析!R375&lt;&gt;"",分析!R375,"")</f>
        <v/>
      </c>
      <c r="S375" s="161" t="str">
        <f>IF(分析!AA375&lt;&gt;"",分析!AA375,"")</f>
        <v/>
      </c>
      <c r="T375" s="170" t="str">
        <f>IF(分析!Z375&lt;&gt;"",分析!Z375,"")</f>
        <v/>
      </c>
      <c r="U375" s="161" t="str">
        <f>IF(分析!V375&lt;&gt;"",分析!V375,"")</f>
        <v/>
      </c>
      <c r="V375" s="171" t="str">
        <f>IF(分析!W375&lt;&gt;"",分析!W375,"")</f>
        <v/>
      </c>
      <c r="W375" s="172" t="str">
        <f>IF(分析!AD375&lt;&gt;"",分析!AD375,"")</f>
        <v/>
      </c>
      <c r="X375" s="173" t="str">
        <f>IF(分析!AE375&lt;&gt;"",分析!AE375,"")</f>
        <v/>
      </c>
      <c r="Y375" s="174" t="str">
        <f>IF(分析!T375&lt;&gt;"",分析!T375,"")</f>
        <v/>
      </c>
      <c r="Z375" s="160" t="str">
        <f>IF(分析!Y375&lt;&gt;"",分析!Y375,"")</f>
        <v/>
      </c>
    </row>
    <row r="376" spans="1:26" ht="21.95" customHeight="1">
      <c r="A376" s="146" t="str">
        <f>IF(分析!C376&lt;&gt;"",ROW()-2,"")</f>
        <v/>
      </c>
      <c r="B376" s="147" t="str">
        <f>IF(分析!C376&lt;&gt;"",HYPERLINK("https://kabutan.jp/stock/?code="&amp;分析!C376,"株探"),"")</f>
        <v/>
      </c>
      <c r="C376" s="148" t="str">
        <f>IF(分析!C376&lt;&gt;"",分析!C376,"")</f>
        <v/>
      </c>
      <c r="D376" s="149" t="str">
        <f>IF(分析!D376&lt;&gt;"",分析!D376,"")</f>
        <v/>
      </c>
      <c r="E376" s="150" t="str">
        <f>IF(分析!E376&lt;&gt;"",分析!E376,"")</f>
        <v/>
      </c>
      <c r="F376" s="151" t="str">
        <f>IF(分析!F376&lt;&gt;"",分析!F376,"")</f>
        <v/>
      </c>
      <c r="G376" s="151" t="str">
        <f>IF(分析!H376&lt;&gt;"",分析!H376,"")</f>
        <v/>
      </c>
      <c r="H376" s="151" t="str">
        <f>IF(分析!I376&lt;&gt;"",分析!I376,"")</f>
        <v/>
      </c>
      <c r="I376" s="151" t="str">
        <f>IF(分析!J376&lt;&gt;"",分析!J376,"")</f>
        <v/>
      </c>
      <c r="J376" s="151" t="str">
        <f>IF(分析!AB376&lt;&gt;"",分析!AB376,"")</f>
        <v/>
      </c>
      <c r="K376" s="151" t="str">
        <f>IF(分析!AC376&lt;&gt;"",分析!AC376,"")</f>
        <v/>
      </c>
      <c r="L376" s="151" t="str">
        <f>IF(分析!K376&lt;&gt;"",分析!K376,"")</f>
        <v/>
      </c>
      <c r="M376" s="146" t="str">
        <f>IF(分析!P376&lt;&gt;"",分析!P376,"")</f>
        <v/>
      </c>
      <c r="N376" s="152" t="str">
        <f>IF(分析!O376&lt;&gt;"",分析!O376,"")</f>
        <v/>
      </c>
      <c r="O376" s="153" t="str">
        <f>IF(分析!X376&lt;&gt;"",分析!X376,"")</f>
        <v/>
      </c>
      <c r="P376" s="154" t="str">
        <f>IF(分析!L376&lt;&gt;"",分析!L376,"")</f>
        <v/>
      </c>
      <c r="Q376" s="151" t="str">
        <f>IF(分析!S376&lt;&gt;"",分析!S376,"")</f>
        <v/>
      </c>
      <c r="R376" s="151" t="str">
        <f>IF(分析!R376&lt;&gt;"",分析!R376,"")</f>
        <v/>
      </c>
      <c r="S376" s="146" t="str">
        <f>IF(分析!AA376&lt;&gt;"",分析!AA376,"")</f>
        <v/>
      </c>
      <c r="T376" s="155" t="str">
        <f>IF(分析!Z376&lt;&gt;"",分析!Z376,"")</f>
        <v/>
      </c>
      <c r="U376" s="146" t="str">
        <f>IF(分析!V376&lt;&gt;"",分析!V376,"")</f>
        <v/>
      </c>
      <c r="V376" s="156" t="str">
        <f>IF(分析!W376&lt;&gt;"",分析!W376,"")</f>
        <v/>
      </c>
      <c r="W376" s="157" t="str">
        <f>IF(分析!AD376&lt;&gt;"",分析!AD376,"")</f>
        <v/>
      </c>
      <c r="X376" s="158" t="str">
        <f>IF(分析!AE376&lt;&gt;"",分析!AE376,"")</f>
        <v/>
      </c>
      <c r="Y376" s="159" t="str">
        <f>IF(分析!T376&lt;&gt;"",分析!T376,"")</f>
        <v/>
      </c>
      <c r="Z376" s="160" t="str">
        <f>IF(分析!Y376&lt;&gt;"",分析!Y376,"")</f>
        <v/>
      </c>
    </row>
    <row r="377" spans="1:26" ht="21.95" customHeight="1">
      <c r="A377" s="161" t="str">
        <f>IF(分析!C377&lt;&gt;"",ROW()-2,"")</f>
        <v/>
      </c>
      <c r="B377" s="162" t="str">
        <f>IF(分析!C377&lt;&gt;"",HYPERLINK("https://kabutan.jp/stock/?code="&amp;分析!C377,"株探"),"")</f>
        <v/>
      </c>
      <c r="C377" s="163" t="str">
        <f>IF(分析!C377&lt;&gt;"",分析!C377,"")</f>
        <v/>
      </c>
      <c r="D377" s="164" t="str">
        <f>IF(分析!D377&lt;&gt;"",分析!D377,"")</f>
        <v/>
      </c>
      <c r="E377" s="165" t="str">
        <f>IF(分析!E377&lt;&gt;"",分析!E377,"")</f>
        <v/>
      </c>
      <c r="F377" s="166" t="str">
        <f>IF(分析!F377&lt;&gt;"",分析!F377,"")</f>
        <v/>
      </c>
      <c r="G377" s="166" t="str">
        <f>IF(分析!H377&lt;&gt;"",分析!H377,"")</f>
        <v/>
      </c>
      <c r="H377" s="166" t="str">
        <f>IF(分析!I377&lt;&gt;"",分析!I377,"")</f>
        <v/>
      </c>
      <c r="I377" s="166" t="str">
        <f>IF(分析!J377&lt;&gt;"",分析!J377,"")</f>
        <v/>
      </c>
      <c r="J377" s="166" t="str">
        <f>IF(分析!AB377&lt;&gt;"",分析!AB377,"")</f>
        <v/>
      </c>
      <c r="K377" s="166" t="str">
        <f>IF(分析!AC377&lt;&gt;"",分析!AC377,"")</f>
        <v/>
      </c>
      <c r="L377" s="166" t="str">
        <f>IF(分析!K377&lt;&gt;"",分析!K377,"")</f>
        <v/>
      </c>
      <c r="M377" s="161" t="str">
        <f>IF(分析!P377&lt;&gt;"",分析!P377,"")</f>
        <v/>
      </c>
      <c r="N377" s="167" t="str">
        <f>IF(分析!O377&lt;&gt;"",分析!O377,"")</f>
        <v/>
      </c>
      <c r="O377" s="168" t="str">
        <f>IF(分析!X377&lt;&gt;"",分析!X377,"")</f>
        <v/>
      </c>
      <c r="P377" s="169" t="str">
        <f>IF(分析!L377&lt;&gt;"",分析!L377,"")</f>
        <v/>
      </c>
      <c r="Q377" s="166" t="str">
        <f>IF(分析!S377&lt;&gt;"",分析!S377,"")</f>
        <v/>
      </c>
      <c r="R377" s="166" t="str">
        <f>IF(分析!R377&lt;&gt;"",分析!R377,"")</f>
        <v/>
      </c>
      <c r="S377" s="161" t="str">
        <f>IF(分析!AA377&lt;&gt;"",分析!AA377,"")</f>
        <v/>
      </c>
      <c r="T377" s="170" t="str">
        <f>IF(分析!Z377&lt;&gt;"",分析!Z377,"")</f>
        <v/>
      </c>
      <c r="U377" s="161" t="str">
        <f>IF(分析!V377&lt;&gt;"",分析!V377,"")</f>
        <v/>
      </c>
      <c r="V377" s="171" t="str">
        <f>IF(分析!W377&lt;&gt;"",分析!W377,"")</f>
        <v/>
      </c>
      <c r="W377" s="172" t="str">
        <f>IF(分析!AD377&lt;&gt;"",分析!AD377,"")</f>
        <v/>
      </c>
      <c r="X377" s="173" t="str">
        <f>IF(分析!AE377&lt;&gt;"",分析!AE377,"")</f>
        <v/>
      </c>
      <c r="Y377" s="174" t="str">
        <f>IF(分析!T377&lt;&gt;"",分析!T377,"")</f>
        <v/>
      </c>
      <c r="Z377" s="160" t="str">
        <f>IF(分析!Y377&lt;&gt;"",分析!Y377,"")</f>
        <v/>
      </c>
    </row>
    <row r="378" spans="1:26" ht="21.95" customHeight="1">
      <c r="A378" s="146" t="str">
        <f>IF(分析!C378&lt;&gt;"",ROW()-2,"")</f>
        <v/>
      </c>
      <c r="B378" s="147" t="str">
        <f>IF(分析!C378&lt;&gt;"",HYPERLINK("https://kabutan.jp/stock/?code="&amp;分析!C378,"株探"),"")</f>
        <v/>
      </c>
      <c r="C378" s="148" t="str">
        <f>IF(分析!C378&lt;&gt;"",分析!C378,"")</f>
        <v/>
      </c>
      <c r="D378" s="149" t="str">
        <f>IF(分析!D378&lt;&gt;"",分析!D378,"")</f>
        <v/>
      </c>
      <c r="E378" s="150" t="str">
        <f>IF(分析!E378&lt;&gt;"",分析!E378,"")</f>
        <v/>
      </c>
      <c r="F378" s="151" t="str">
        <f>IF(分析!F378&lt;&gt;"",分析!F378,"")</f>
        <v/>
      </c>
      <c r="G378" s="151" t="str">
        <f>IF(分析!H378&lt;&gt;"",分析!H378,"")</f>
        <v/>
      </c>
      <c r="H378" s="151" t="str">
        <f>IF(分析!I378&lt;&gt;"",分析!I378,"")</f>
        <v/>
      </c>
      <c r="I378" s="151" t="str">
        <f>IF(分析!J378&lt;&gt;"",分析!J378,"")</f>
        <v/>
      </c>
      <c r="J378" s="151" t="str">
        <f>IF(分析!AB378&lt;&gt;"",分析!AB378,"")</f>
        <v/>
      </c>
      <c r="K378" s="151" t="str">
        <f>IF(分析!AC378&lt;&gt;"",分析!AC378,"")</f>
        <v/>
      </c>
      <c r="L378" s="151" t="str">
        <f>IF(分析!K378&lt;&gt;"",分析!K378,"")</f>
        <v/>
      </c>
      <c r="M378" s="146" t="str">
        <f>IF(分析!P378&lt;&gt;"",分析!P378,"")</f>
        <v/>
      </c>
      <c r="N378" s="152" t="str">
        <f>IF(分析!O378&lt;&gt;"",分析!O378,"")</f>
        <v/>
      </c>
      <c r="O378" s="153" t="str">
        <f>IF(分析!X378&lt;&gt;"",分析!X378,"")</f>
        <v/>
      </c>
      <c r="P378" s="154" t="str">
        <f>IF(分析!L378&lt;&gt;"",分析!L378,"")</f>
        <v/>
      </c>
      <c r="Q378" s="151" t="str">
        <f>IF(分析!S378&lt;&gt;"",分析!S378,"")</f>
        <v/>
      </c>
      <c r="R378" s="151" t="str">
        <f>IF(分析!R378&lt;&gt;"",分析!R378,"")</f>
        <v/>
      </c>
      <c r="S378" s="146" t="str">
        <f>IF(分析!AA378&lt;&gt;"",分析!AA378,"")</f>
        <v/>
      </c>
      <c r="T378" s="155" t="str">
        <f>IF(分析!Z378&lt;&gt;"",分析!Z378,"")</f>
        <v/>
      </c>
      <c r="U378" s="146" t="str">
        <f>IF(分析!V378&lt;&gt;"",分析!V378,"")</f>
        <v/>
      </c>
      <c r="V378" s="156" t="str">
        <f>IF(分析!W378&lt;&gt;"",分析!W378,"")</f>
        <v/>
      </c>
      <c r="W378" s="157" t="str">
        <f>IF(分析!AD378&lt;&gt;"",分析!AD378,"")</f>
        <v/>
      </c>
      <c r="X378" s="158" t="str">
        <f>IF(分析!AE378&lt;&gt;"",分析!AE378,"")</f>
        <v/>
      </c>
      <c r="Y378" s="159" t="str">
        <f>IF(分析!T378&lt;&gt;"",分析!T378,"")</f>
        <v/>
      </c>
      <c r="Z378" s="160" t="str">
        <f>IF(分析!Y378&lt;&gt;"",分析!Y378,"")</f>
        <v/>
      </c>
    </row>
    <row r="379" spans="1:26" ht="21.95" customHeight="1">
      <c r="A379" s="161" t="str">
        <f>IF(分析!C379&lt;&gt;"",ROW()-2,"")</f>
        <v/>
      </c>
      <c r="B379" s="162" t="str">
        <f>IF(分析!C379&lt;&gt;"",HYPERLINK("https://kabutan.jp/stock/?code="&amp;分析!C379,"株探"),"")</f>
        <v/>
      </c>
      <c r="C379" s="163" t="str">
        <f>IF(分析!C379&lt;&gt;"",分析!C379,"")</f>
        <v/>
      </c>
      <c r="D379" s="164" t="str">
        <f>IF(分析!D379&lt;&gt;"",分析!D379,"")</f>
        <v/>
      </c>
      <c r="E379" s="165" t="str">
        <f>IF(分析!E379&lt;&gt;"",分析!E379,"")</f>
        <v/>
      </c>
      <c r="F379" s="166" t="str">
        <f>IF(分析!F379&lt;&gt;"",分析!F379,"")</f>
        <v/>
      </c>
      <c r="G379" s="166" t="str">
        <f>IF(分析!H379&lt;&gt;"",分析!H379,"")</f>
        <v/>
      </c>
      <c r="H379" s="166" t="str">
        <f>IF(分析!I379&lt;&gt;"",分析!I379,"")</f>
        <v/>
      </c>
      <c r="I379" s="166" t="str">
        <f>IF(分析!J379&lt;&gt;"",分析!J379,"")</f>
        <v/>
      </c>
      <c r="J379" s="166" t="str">
        <f>IF(分析!AB379&lt;&gt;"",分析!AB379,"")</f>
        <v/>
      </c>
      <c r="K379" s="166" t="str">
        <f>IF(分析!AC379&lt;&gt;"",分析!AC379,"")</f>
        <v/>
      </c>
      <c r="L379" s="166" t="str">
        <f>IF(分析!K379&lt;&gt;"",分析!K379,"")</f>
        <v/>
      </c>
      <c r="M379" s="161" t="str">
        <f>IF(分析!P379&lt;&gt;"",分析!P379,"")</f>
        <v/>
      </c>
      <c r="N379" s="167" t="str">
        <f>IF(分析!O379&lt;&gt;"",分析!O379,"")</f>
        <v/>
      </c>
      <c r="O379" s="168" t="str">
        <f>IF(分析!X379&lt;&gt;"",分析!X379,"")</f>
        <v/>
      </c>
      <c r="P379" s="169" t="str">
        <f>IF(分析!L379&lt;&gt;"",分析!L379,"")</f>
        <v/>
      </c>
      <c r="Q379" s="166" t="str">
        <f>IF(分析!S379&lt;&gt;"",分析!S379,"")</f>
        <v/>
      </c>
      <c r="R379" s="166" t="str">
        <f>IF(分析!R379&lt;&gt;"",分析!R379,"")</f>
        <v/>
      </c>
      <c r="S379" s="161" t="str">
        <f>IF(分析!AA379&lt;&gt;"",分析!AA379,"")</f>
        <v/>
      </c>
      <c r="T379" s="170" t="str">
        <f>IF(分析!Z379&lt;&gt;"",分析!Z379,"")</f>
        <v/>
      </c>
      <c r="U379" s="161" t="str">
        <f>IF(分析!V379&lt;&gt;"",分析!V379,"")</f>
        <v/>
      </c>
      <c r="V379" s="171" t="str">
        <f>IF(分析!W379&lt;&gt;"",分析!W379,"")</f>
        <v/>
      </c>
      <c r="W379" s="172" t="str">
        <f>IF(分析!AD379&lt;&gt;"",分析!AD379,"")</f>
        <v/>
      </c>
      <c r="X379" s="173" t="str">
        <f>IF(分析!AE379&lt;&gt;"",分析!AE379,"")</f>
        <v/>
      </c>
      <c r="Y379" s="174" t="str">
        <f>IF(分析!T379&lt;&gt;"",分析!T379,"")</f>
        <v/>
      </c>
      <c r="Z379" s="160" t="str">
        <f>IF(分析!Y379&lt;&gt;"",分析!Y379,"")</f>
        <v/>
      </c>
    </row>
    <row r="380" spans="1:26" ht="21.95" customHeight="1">
      <c r="A380" s="146" t="str">
        <f>IF(分析!C380&lt;&gt;"",ROW()-2,"")</f>
        <v/>
      </c>
      <c r="B380" s="147" t="str">
        <f>IF(分析!C380&lt;&gt;"",HYPERLINK("https://kabutan.jp/stock/?code="&amp;分析!C380,"株探"),"")</f>
        <v/>
      </c>
      <c r="C380" s="148" t="str">
        <f>IF(分析!C380&lt;&gt;"",分析!C380,"")</f>
        <v/>
      </c>
      <c r="D380" s="149" t="str">
        <f>IF(分析!D380&lt;&gt;"",分析!D380,"")</f>
        <v/>
      </c>
      <c r="E380" s="150" t="str">
        <f>IF(分析!E380&lt;&gt;"",分析!E380,"")</f>
        <v/>
      </c>
      <c r="F380" s="151" t="str">
        <f>IF(分析!F380&lt;&gt;"",分析!F380,"")</f>
        <v/>
      </c>
      <c r="G380" s="151" t="str">
        <f>IF(分析!H380&lt;&gt;"",分析!H380,"")</f>
        <v/>
      </c>
      <c r="H380" s="151" t="str">
        <f>IF(分析!I380&lt;&gt;"",分析!I380,"")</f>
        <v/>
      </c>
      <c r="I380" s="151" t="str">
        <f>IF(分析!J380&lt;&gt;"",分析!J380,"")</f>
        <v/>
      </c>
      <c r="J380" s="151" t="str">
        <f>IF(分析!AB380&lt;&gt;"",分析!AB380,"")</f>
        <v/>
      </c>
      <c r="K380" s="151" t="str">
        <f>IF(分析!AC380&lt;&gt;"",分析!AC380,"")</f>
        <v/>
      </c>
      <c r="L380" s="151" t="str">
        <f>IF(分析!K380&lt;&gt;"",分析!K380,"")</f>
        <v/>
      </c>
      <c r="M380" s="146" t="str">
        <f>IF(分析!P380&lt;&gt;"",分析!P380,"")</f>
        <v/>
      </c>
      <c r="N380" s="152" t="str">
        <f>IF(分析!O380&lt;&gt;"",分析!O380,"")</f>
        <v/>
      </c>
      <c r="O380" s="153" t="str">
        <f>IF(分析!X380&lt;&gt;"",分析!X380,"")</f>
        <v/>
      </c>
      <c r="P380" s="154" t="str">
        <f>IF(分析!L380&lt;&gt;"",分析!L380,"")</f>
        <v/>
      </c>
      <c r="Q380" s="151" t="str">
        <f>IF(分析!S380&lt;&gt;"",分析!S380,"")</f>
        <v/>
      </c>
      <c r="R380" s="151" t="str">
        <f>IF(分析!R380&lt;&gt;"",分析!R380,"")</f>
        <v/>
      </c>
      <c r="S380" s="146" t="str">
        <f>IF(分析!AA380&lt;&gt;"",分析!AA380,"")</f>
        <v/>
      </c>
      <c r="T380" s="155" t="str">
        <f>IF(分析!Z380&lt;&gt;"",分析!Z380,"")</f>
        <v/>
      </c>
      <c r="U380" s="146" t="str">
        <f>IF(分析!V380&lt;&gt;"",分析!V380,"")</f>
        <v/>
      </c>
      <c r="V380" s="156" t="str">
        <f>IF(分析!W380&lt;&gt;"",分析!W380,"")</f>
        <v/>
      </c>
      <c r="W380" s="157" t="str">
        <f>IF(分析!AD380&lt;&gt;"",分析!AD380,"")</f>
        <v/>
      </c>
      <c r="X380" s="158" t="str">
        <f>IF(分析!AE380&lt;&gt;"",分析!AE380,"")</f>
        <v/>
      </c>
      <c r="Y380" s="159" t="str">
        <f>IF(分析!T380&lt;&gt;"",分析!T380,"")</f>
        <v/>
      </c>
      <c r="Z380" s="160" t="str">
        <f>IF(分析!Y380&lt;&gt;"",分析!Y380,"")</f>
        <v/>
      </c>
    </row>
    <row r="381" spans="1:26" ht="21.95" customHeight="1">
      <c r="A381" s="161" t="str">
        <f>IF(分析!C381&lt;&gt;"",ROW()-2,"")</f>
        <v/>
      </c>
      <c r="B381" s="162" t="str">
        <f>IF(分析!C381&lt;&gt;"",HYPERLINK("https://kabutan.jp/stock/?code="&amp;分析!C381,"株探"),"")</f>
        <v/>
      </c>
      <c r="C381" s="163" t="str">
        <f>IF(分析!C381&lt;&gt;"",分析!C381,"")</f>
        <v/>
      </c>
      <c r="D381" s="164" t="str">
        <f>IF(分析!D381&lt;&gt;"",分析!D381,"")</f>
        <v/>
      </c>
      <c r="E381" s="165" t="str">
        <f>IF(分析!E381&lt;&gt;"",分析!E381,"")</f>
        <v/>
      </c>
      <c r="F381" s="166" t="str">
        <f>IF(分析!F381&lt;&gt;"",分析!F381,"")</f>
        <v/>
      </c>
      <c r="G381" s="166" t="str">
        <f>IF(分析!H381&lt;&gt;"",分析!H381,"")</f>
        <v/>
      </c>
      <c r="H381" s="166" t="str">
        <f>IF(分析!I381&lt;&gt;"",分析!I381,"")</f>
        <v/>
      </c>
      <c r="I381" s="166" t="str">
        <f>IF(分析!J381&lt;&gt;"",分析!J381,"")</f>
        <v/>
      </c>
      <c r="J381" s="166" t="str">
        <f>IF(分析!AB381&lt;&gt;"",分析!AB381,"")</f>
        <v/>
      </c>
      <c r="K381" s="166" t="str">
        <f>IF(分析!AC381&lt;&gt;"",分析!AC381,"")</f>
        <v/>
      </c>
      <c r="L381" s="166" t="str">
        <f>IF(分析!K381&lt;&gt;"",分析!K381,"")</f>
        <v/>
      </c>
      <c r="M381" s="161" t="str">
        <f>IF(分析!P381&lt;&gt;"",分析!P381,"")</f>
        <v/>
      </c>
      <c r="N381" s="167" t="str">
        <f>IF(分析!O381&lt;&gt;"",分析!O381,"")</f>
        <v/>
      </c>
      <c r="O381" s="168" t="str">
        <f>IF(分析!X381&lt;&gt;"",分析!X381,"")</f>
        <v/>
      </c>
      <c r="P381" s="169" t="str">
        <f>IF(分析!L381&lt;&gt;"",分析!L381,"")</f>
        <v/>
      </c>
      <c r="Q381" s="166" t="str">
        <f>IF(分析!S381&lt;&gt;"",分析!S381,"")</f>
        <v/>
      </c>
      <c r="R381" s="166" t="str">
        <f>IF(分析!R381&lt;&gt;"",分析!R381,"")</f>
        <v/>
      </c>
      <c r="S381" s="161" t="str">
        <f>IF(分析!AA381&lt;&gt;"",分析!AA381,"")</f>
        <v/>
      </c>
      <c r="T381" s="170" t="str">
        <f>IF(分析!Z381&lt;&gt;"",分析!Z381,"")</f>
        <v/>
      </c>
      <c r="U381" s="161" t="str">
        <f>IF(分析!V381&lt;&gt;"",分析!V381,"")</f>
        <v/>
      </c>
      <c r="V381" s="171" t="str">
        <f>IF(分析!W381&lt;&gt;"",分析!W381,"")</f>
        <v/>
      </c>
      <c r="W381" s="172" t="str">
        <f>IF(分析!AD381&lt;&gt;"",分析!AD381,"")</f>
        <v/>
      </c>
      <c r="X381" s="173" t="str">
        <f>IF(分析!AE381&lt;&gt;"",分析!AE381,"")</f>
        <v/>
      </c>
      <c r="Y381" s="174" t="str">
        <f>IF(分析!T381&lt;&gt;"",分析!T381,"")</f>
        <v/>
      </c>
      <c r="Z381" s="160" t="str">
        <f>IF(分析!Y381&lt;&gt;"",分析!Y381,"")</f>
        <v/>
      </c>
    </row>
    <row r="382" spans="1:26" ht="21.95" customHeight="1">
      <c r="A382" s="146" t="str">
        <f>IF(分析!C382&lt;&gt;"",ROW()-2,"")</f>
        <v/>
      </c>
      <c r="B382" s="147" t="str">
        <f>IF(分析!C382&lt;&gt;"",HYPERLINK("https://kabutan.jp/stock/?code="&amp;分析!C382,"株探"),"")</f>
        <v/>
      </c>
      <c r="C382" s="148" t="str">
        <f>IF(分析!C382&lt;&gt;"",分析!C382,"")</f>
        <v/>
      </c>
      <c r="D382" s="149" t="str">
        <f>IF(分析!D382&lt;&gt;"",分析!D382,"")</f>
        <v/>
      </c>
      <c r="E382" s="150" t="str">
        <f>IF(分析!E382&lt;&gt;"",分析!E382,"")</f>
        <v/>
      </c>
      <c r="F382" s="151" t="str">
        <f>IF(分析!F382&lt;&gt;"",分析!F382,"")</f>
        <v/>
      </c>
      <c r="G382" s="151" t="str">
        <f>IF(分析!H382&lt;&gt;"",分析!H382,"")</f>
        <v/>
      </c>
      <c r="H382" s="151" t="str">
        <f>IF(分析!I382&lt;&gt;"",分析!I382,"")</f>
        <v/>
      </c>
      <c r="I382" s="151" t="str">
        <f>IF(分析!J382&lt;&gt;"",分析!J382,"")</f>
        <v/>
      </c>
      <c r="J382" s="151" t="str">
        <f>IF(分析!AB382&lt;&gt;"",分析!AB382,"")</f>
        <v/>
      </c>
      <c r="K382" s="151" t="str">
        <f>IF(分析!AC382&lt;&gt;"",分析!AC382,"")</f>
        <v/>
      </c>
      <c r="L382" s="151" t="str">
        <f>IF(分析!K382&lt;&gt;"",分析!K382,"")</f>
        <v/>
      </c>
      <c r="M382" s="146" t="str">
        <f>IF(分析!P382&lt;&gt;"",分析!P382,"")</f>
        <v/>
      </c>
      <c r="N382" s="152" t="str">
        <f>IF(分析!O382&lt;&gt;"",分析!O382,"")</f>
        <v/>
      </c>
      <c r="O382" s="153" t="str">
        <f>IF(分析!X382&lt;&gt;"",分析!X382,"")</f>
        <v/>
      </c>
      <c r="P382" s="154" t="str">
        <f>IF(分析!L382&lt;&gt;"",分析!L382,"")</f>
        <v/>
      </c>
      <c r="Q382" s="151" t="str">
        <f>IF(分析!S382&lt;&gt;"",分析!S382,"")</f>
        <v/>
      </c>
      <c r="R382" s="151" t="str">
        <f>IF(分析!R382&lt;&gt;"",分析!R382,"")</f>
        <v/>
      </c>
      <c r="S382" s="146" t="str">
        <f>IF(分析!AA382&lt;&gt;"",分析!AA382,"")</f>
        <v/>
      </c>
      <c r="T382" s="155" t="str">
        <f>IF(分析!Z382&lt;&gt;"",分析!Z382,"")</f>
        <v/>
      </c>
      <c r="U382" s="146" t="str">
        <f>IF(分析!V382&lt;&gt;"",分析!V382,"")</f>
        <v/>
      </c>
      <c r="V382" s="156" t="str">
        <f>IF(分析!W382&lt;&gt;"",分析!W382,"")</f>
        <v/>
      </c>
      <c r="W382" s="157" t="str">
        <f>IF(分析!AD382&lt;&gt;"",分析!AD382,"")</f>
        <v/>
      </c>
      <c r="X382" s="158" t="str">
        <f>IF(分析!AE382&lt;&gt;"",分析!AE382,"")</f>
        <v/>
      </c>
      <c r="Y382" s="159" t="str">
        <f>IF(分析!T382&lt;&gt;"",分析!T382,"")</f>
        <v/>
      </c>
      <c r="Z382" s="160" t="str">
        <f>IF(分析!Y382&lt;&gt;"",分析!Y382,"")</f>
        <v/>
      </c>
    </row>
    <row r="383" spans="1:26" ht="21.95" customHeight="1">
      <c r="A383" s="161" t="str">
        <f>IF(分析!C383&lt;&gt;"",ROW()-2,"")</f>
        <v/>
      </c>
      <c r="B383" s="162" t="str">
        <f>IF(分析!C383&lt;&gt;"",HYPERLINK("https://kabutan.jp/stock/?code="&amp;分析!C383,"株探"),"")</f>
        <v/>
      </c>
      <c r="C383" s="163" t="str">
        <f>IF(分析!C383&lt;&gt;"",分析!C383,"")</f>
        <v/>
      </c>
      <c r="D383" s="164" t="str">
        <f>IF(分析!D383&lt;&gt;"",分析!D383,"")</f>
        <v/>
      </c>
      <c r="E383" s="165" t="str">
        <f>IF(分析!E383&lt;&gt;"",分析!E383,"")</f>
        <v/>
      </c>
      <c r="F383" s="166" t="str">
        <f>IF(分析!F383&lt;&gt;"",分析!F383,"")</f>
        <v/>
      </c>
      <c r="G383" s="166" t="str">
        <f>IF(分析!H383&lt;&gt;"",分析!H383,"")</f>
        <v/>
      </c>
      <c r="H383" s="166" t="str">
        <f>IF(分析!I383&lt;&gt;"",分析!I383,"")</f>
        <v/>
      </c>
      <c r="I383" s="166" t="str">
        <f>IF(分析!J383&lt;&gt;"",分析!J383,"")</f>
        <v/>
      </c>
      <c r="J383" s="166" t="str">
        <f>IF(分析!AB383&lt;&gt;"",分析!AB383,"")</f>
        <v/>
      </c>
      <c r="K383" s="166" t="str">
        <f>IF(分析!AC383&lt;&gt;"",分析!AC383,"")</f>
        <v/>
      </c>
      <c r="L383" s="166" t="str">
        <f>IF(分析!K383&lt;&gt;"",分析!K383,"")</f>
        <v/>
      </c>
      <c r="M383" s="161" t="str">
        <f>IF(分析!P383&lt;&gt;"",分析!P383,"")</f>
        <v/>
      </c>
      <c r="N383" s="167" t="str">
        <f>IF(分析!O383&lt;&gt;"",分析!O383,"")</f>
        <v/>
      </c>
      <c r="O383" s="168" t="str">
        <f>IF(分析!X383&lt;&gt;"",分析!X383,"")</f>
        <v/>
      </c>
      <c r="P383" s="169" t="str">
        <f>IF(分析!L383&lt;&gt;"",分析!L383,"")</f>
        <v/>
      </c>
      <c r="Q383" s="166" t="str">
        <f>IF(分析!S383&lt;&gt;"",分析!S383,"")</f>
        <v/>
      </c>
      <c r="R383" s="166" t="str">
        <f>IF(分析!R383&lt;&gt;"",分析!R383,"")</f>
        <v/>
      </c>
      <c r="S383" s="161" t="str">
        <f>IF(分析!AA383&lt;&gt;"",分析!AA383,"")</f>
        <v/>
      </c>
      <c r="T383" s="170" t="str">
        <f>IF(分析!Z383&lt;&gt;"",分析!Z383,"")</f>
        <v/>
      </c>
      <c r="U383" s="161" t="str">
        <f>IF(分析!V383&lt;&gt;"",分析!V383,"")</f>
        <v/>
      </c>
      <c r="V383" s="171" t="str">
        <f>IF(分析!W383&lt;&gt;"",分析!W383,"")</f>
        <v/>
      </c>
      <c r="W383" s="172" t="str">
        <f>IF(分析!AD383&lt;&gt;"",分析!AD383,"")</f>
        <v/>
      </c>
      <c r="X383" s="173" t="str">
        <f>IF(分析!AE383&lt;&gt;"",分析!AE383,"")</f>
        <v/>
      </c>
      <c r="Y383" s="174" t="str">
        <f>IF(分析!T383&lt;&gt;"",分析!T383,"")</f>
        <v/>
      </c>
      <c r="Z383" s="160" t="str">
        <f>IF(分析!Y383&lt;&gt;"",分析!Y383,"")</f>
        <v/>
      </c>
    </row>
    <row r="384" spans="1:26" ht="21.95" customHeight="1">
      <c r="A384" s="146" t="str">
        <f>IF(分析!C384&lt;&gt;"",ROW()-2,"")</f>
        <v/>
      </c>
      <c r="B384" s="147" t="str">
        <f>IF(分析!C384&lt;&gt;"",HYPERLINK("https://kabutan.jp/stock/?code="&amp;分析!C384,"株探"),"")</f>
        <v/>
      </c>
      <c r="C384" s="148" t="str">
        <f>IF(分析!C384&lt;&gt;"",分析!C384,"")</f>
        <v/>
      </c>
      <c r="D384" s="149" t="str">
        <f>IF(分析!D384&lt;&gt;"",分析!D384,"")</f>
        <v/>
      </c>
      <c r="E384" s="150" t="str">
        <f>IF(分析!E384&lt;&gt;"",分析!E384,"")</f>
        <v/>
      </c>
      <c r="F384" s="151" t="str">
        <f>IF(分析!F384&lt;&gt;"",分析!F384,"")</f>
        <v/>
      </c>
      <c r="G384" s="151" t="str">
        <f>IF(分析!H384&lt;&gt;"",分析!H384,"")</f>
        <v/>
      </c>
      <c r="H384" s="151" t="str">
        <f>IF(分析!I384&lt;&gt;"",分析!I384,"")</f>
        <v/>
      </c>
      <c r="I384" s="151" t="str">
        <f>IF(分析!J384&lt;&gt;"",分析!J384,"")</f>
        <v/>
      </c>
      <c r="J384" s="151" t="str">
        <f>IF(分析!AB384&lt;&gt;"",分析!AB384,"")</f>
        <v/>
      </c>
      <c r="K384" s="151" t="str">
        <f>IF(分析!AC384&lt;&gt;"",分析!AC384,"")</f>
        <v/>
      </c>
      <c r="L384" s="151" t="str">
        <f>IF(分析!K384&lt;&gt;"",分析!K384,"")</f>
        <v/>
      </c>
      <c r="M384" s="146" t="str">
        <f>IF(分析!P384&lt;&gt;"",分析!P384,"")</f>
        <v/>
      </c>
      <c r="N384" s="152" t="str">
        <f>IF(分析!O384&lt;&gt;"",分析!O384,"")</f>
        <v/>
      </c>
      <c r="O384" s="153" t="str">
        <f>IF(分析!X384&lt;&gt;"",分析!X384,"")</f>
        <v/>
      </c>
      <c r="P384" s="154" t="str">
        <f>IF(分析!L384&lt;&gt;"",分析!L384,"")</f>
        <v/>
      </c>
      <c r="Q384" s="151" t="str">
        <f>IF(分析!S384&lt;&gt;"",分析!S384,"")</f>
        <v/>
      </c>
      <c r="R384" s="151" t="str">
        <f>IF(分析!R384&lt;&gt;"",分析!R384,"")</f>
        <v/>
      </c>
      <c r="S384" s="146" t="str">
        <f>IF(分析!AA384&lt;&gt;"",分析!AA384,"")</f>
        <v/>
      </c>
      <c r="T384" s="155" t="str">
        <f>IF(分析!Z384&lt;&gt;"",分析!Z384,"")</f>
        <v/>
      </c>
      <c r="U384" s="146" t="str">
        <f>IF(分析!V384&lt;&gt;"",分析!V384,"")</f>
        <v/>
      </c>
      <c r="V384" s="156" t="str">
        <f>IF(分析!W384&lt;&gt;"",分析!W384,"")</f>
        <v/>
      </c>
      <c r="W384" s="157" t="str">
        <f>IF(分析!AD384&lt;&gt;"",分析!AD384,"")</f>
        <v/>
      </c>
      <c r="X384" s="158" t="str">
        <f>IF(分析!AE384&lt;&gt;"",分析!AE384,"")</f>
        <v/>
      </c>
      <c r="Y384" s="159" t="str">
        <f>IF(分析!T384&lt;&gt;"",分析!T384,"")</f>
        <v/>
      </c>
      <c r="Z384" s="160" t="str">
        <f>IF(分析!Y384&lt;&gt;"",分析!Y384,"")</f>
        <v/>
      </c>
    </row>
    <row r="385" spans="1:26" ht="21.95" customHeight="1">
      <c r="A385" s="161" t="str">
        <f>IF(分析!C385&lt;&gt;"",ROW()-2,"")</f>
        <v/>
      </c>
      <c r="B385" s="162" t="str">
        <f>IF(分析!C385&lt;&gt;"",HYPERLINK("https://kabutan.jp/stock/?code="&amp;分析!C385,"株探"),"")</f>
        <v/>
      </c>
      <c r="C385" s="163" t="str">
        <f>IF(分析!C385&lt;&gt;"",分析!C385,"")</f>
        <v/>
      </c>
      <c r="D385" s="164" t="str">
        <f>IF(分析!D385&lt;&gt;"",分析!D385,"")</f>
        <v/>
      </c>
      <c r="E385" s="165" t="str">
        <f>IF(分析!E385&lt;&gt;"",分析!E385,"")</f>
        <v/>
      </c>
      <c r="F385" s="166" t="str">
        <f>IF(分析!F385&lt;&gt;"",分析!F385,"")</f>
        <v/>
      </c>
      <c r="G385" s="166" t="str">
        <f>IF(分析!H385&lt;&gt;"",分析!H385,"")</f>
        <v/>
      </c>
      <c r="H385" s="166" t="str">
        <f>IF(分析!I385&lt;&gt;"",分析!I385,"")</f>
        <v/>
      </c>
      <c r="I385" s="166" t="str">
        <f>IF(分析!J385&lt;&gt;"",分析!J385,"")</f>
        <v/>
      </c>
      <c r="J385" s="166" t="str">
        <f>IF(分析!AB385&lt;&gt;"",分析!AB385,"")</f>
        <v/>
      </c>
      <c r="K385" s="166" t="str">
        <f>IF(分析!AC385&lt;&gt;"",分析!AC385,"")</f>
        <v/>
      </c>
      <c r="L385" s="166" t="str">
        <f>IF(分析!K385&lt;&gt;"",分析!K385,"")</f>
        <v/>
      </c>
      <c r="M385" s="161" t="str">
        <f>IF(分析!P385&lt;&gt;"",分析!P385,"")</f>
        <v/>
      </c>
      <c r="N385" s="167" t="str">
        <f>IF(分析!O385&lt;&gt;"",分析!O385,"")</f>
        <v/>
      </c>
      <c r="O385" s="168" t="str">
        <f>IF(分析!X385&lt;&gt;"",分析!X385,"")</f>
        <v/>
      </c>
      <c r="P385" s="169" t="str">
        <f>IF(分析!L385&lt;&gt;"",分析!L385,"")</f>
        <v/>
      </c>
      <c r="Q385" s="166" t="str">
        <f>IF(分析!S385&lt;&gt;"",分析!S385,"")</f>
        <v/>
      </c>
      <c r="R385" s="166" t="str">
        <f>IF(分析!R385&lt;&gt;"",分析!R385,"")</f>
        <v/>
      </c>
      <c r="S385" s="161" t="str">
        <f>IF(分析!AA385&lt;&gt;"",分析!AA385,"")</f>
        <v/>
      </c>
      <c r="T385" s="170" t="str">
        <f>IF(分析!Z385&lt;&gt;"",分析!Z385,"")</f>
        <v/>
      </c>
      <c r="U385" s="161" t="str">
        <f>IF(分析!V385&lt;&gt;"",分析!V385,"")</f>
        <v/>
      </c>
      <c r="V385" s="171" t="str">
        <f>IF(分析!W385&lt;&gt;"",分析!W385,"")</f>
        <v/>
      </c>
      <c r="W385" s="172" t="str">
        <f>IF(分析!AD385&lt;&gt;"",分析!AD385,"")</f>
        <v/>
      </c>
      <c r="X385" s="173" t="str">
        <f>IF(分析!AE385&lt;&gt;"",分析!AE385,"")</f>
        <v/>
      </c>
      <c r="Y385" s="174" t="str">
        <f>IF(分析!T385&lt;&gt;"",分析!T385,"")</f>
        <v/>
      </c>
      <c r="Z385" s="160" t="str">
        <f>IF(分析!Y385&lt;&gt;"",分析!Y385,"")</f>
        <v/>
      </c>
    </row>
    <row r="386" spans="1:26" ht="21.95" customHeight="1">
      <c r="A386" s="146" t="str">
        <f>IF(分析!C386&lt;&gt;"",ROW()-2,"")</f>
        <v/>
      </c>
      <c r="B386" s="147" t="str">
        <f>IF(分析!C386&lt;&gt;"",HYPERLINK("https://kabutan.jp/stock/?code="&amp;分析!C386,"株探"),"")</f>
        <v/>
      </c>
      <c r="C386" s="148" t="str">
        <f>IF(分析!C386&lt;&gt;"",分析!C386,"")</f>
        <v/>
      </c>
      <c r="D386" s="149" t="str">
        <f>IF(分析!D386&lt;&gt;"",分析!D386,"")</f>
        <v/>
      </c>
      <c r="E386" s="150" t="str">
        <f>IF(分析!E386&lt;&gt;"",分析!E386,"")</f>
        <v/>
      </c>
      <c r="F386" s="151" t="str">
        <f>IF(分析!F386&lt;&gt;"",分析!F386,"")</f>
        <v/>
      </c>
      <c r="G386" s="151" t="str">
        <f>IF(分析!H386&lt;&gt;"",分析!H386,"")</f>
        <v/>
      </c>
      <c r="H386" s="151" t="str">
        <f>IF(分析!I386&lt;&gt;"",分析!I386,"")</f>
        <v/>
      </c>
      <c r="I386" s="151" t="str">
        <f>IF(分析!J386&lt;&gt;"",分析!J386,"")</f>
        <v/>
      </c>
      <c r="J386" s="151" t="str">
        <f>IF(分析!AB386&lt;&gt;"",分析!AB386,"")</f>
        <v/>
      </c>
      <c r="K386" s="151" t="str">
        <f>IF(分析!AC386&lt;&gt;"",分析!AC386,"")</f>
        <v/>
      </c>
      <c r="L386" s="151" t="str">
        <f>IF(分析!K386&lt;&gt;"",分析!K386,"")</f>
        <v/>
      </c>
      <c r="M386" s="146" t="str">
        <f>IF(分析!P386&lt;&gt;"",分析!P386,"")</f>
        <v/>
      </c>
      <c r="N386" s="152" t="str">
        <f>IF(分析!O386&lt;&gt;"",分析!O386,"")</f>
        <v/>
      </c>
      <c r="O386" s="153" t="str">
        <f>IF(分析!X386&lt;&gt;"",分析!X386,"")</f>
        <v/>
      </c>
      <c r="P386" s="154" t="str">
        <f>IF(分析!L386&lt;&gt;"",分析!L386,"")</f>
        <v/>
      </c>
      <c r="Q386" s="151" t="str">
        <f>IF(分析!S386&lt;&gt;"",分析!S386,"")</f>
        <v/>
      </c>
      <c r="R386" s="151" t="str">
        <f>IF(分析!R386&lt;&gt;"",分析!R386,"")</f>
        <v/>
      </c>
      <c r="S386" s="146" t="str">
        <f>IF(分析!AA386&lt;&gt;"",分析!AA386,"")</f>
        <v/>
      </c>
      <c r="T386" s="155" t="str">
        <f>IF(分析!Z386&lt;&gt;"",分析!Z386,"")</f>
        <v/>
      </c>
      <c r="U386" s="146" t="str">
        <f>IF(分析!V386&lt;&gt;"",分析!V386,"")</f>
        <v/>
      </c>
      <c r="V386" s="156" t="str">
        <f>IF(分析!W386&lt;&gt;"",分析!W386,"")</f>
        <v/>
      </c>
      <c r="W386" s="157" t="str">
        <f>IF(分析!AD386&lt;&gt;"",分析!AD386,"")</f>
        <v/>
      </c>
      <c r="X386" s="158" t="str">
        <f>IF(分析!AE386&lt;&gt;"",分析!AE386,"")</f>
        <v/>
      </c>
      <c r="Y386" s="159" t="str">
        <f>IF(分析!T386&lt;&gt;"",分析!T386,"")</f>
        <v/>
      </c>
      <c r="Z386" s="160" t="str">
        <f>IF(分析!Y386&lt;&gt;"",分析!Y386,"")</f>
        <v/>
      </c>
    </row>
    <row r="387" spans="1:26" ht="21.95" customHeight="1">
      <c r="A387" s="161" t="str">
        <f>IF(分析!C387&lt;&gt;"",ROW()-2,"")</f>
        <v/>
      </c>
      <c r="B387" s="162" t="str">
        <f>IF(分析!C387&lt;&gt;"",HYPERLINK("https://kabutan.jp/stock/?code="&amp;分析!C387,"株探"),"")</f>
        <v/>
      </c>
      <c r="C387" s="163" t="str">
        <f>IF(分析!C387&lt;&gt;"",分析!C387,"")</f>
        <v/>
      </c>
      <c r="D387" s="164" t="str">
        <f>IF(分析!D387&lt;&gt;"",分析!D387,"")</f>
        <v/>
      </c>
      <c r="E387" s="165" t="str">
        <f>IF(分析!E387&lt;&gt;"",分析!E387,"")</f>
        <v/>
      </c>
      <c r="F387" s="166" t="str">
        <f>IF(分析!F387&lt;&gt;"",分析!F387,"")</f>
        <v/>
      </c>
      <c r="G387" s="166" t="str">
        <f>IF(分析!H387&lt;&gt;"",分析!H387,"")</f>
        <v/>
      </c>
      <c r="H387" s="166" t="str">
        <f>IF(分析!I387&lt;&gt;"",分析!I387,"")</f>
        <v/>
      </c>
      <c r="I387" s="166" t="str">
        <f>IF(分析!J387&lt;&gt;"",分析!J387,"")</f>
        <v/>
      </c>
      <c r="J387" s="166" t="str">
        <f>IF(分析!AB387&lt;&gt;"",分析!AB387,"")</f>
        <v/>
      </c>
      <c r="K387" s="166" t="str">
        <f>IF(分析!AC387&lt;&gt;"",分析!AC387,"")</f>
        <v/>
      </c>
      <c r="L387" s="166" t="str">
        <f>IF(分析!K387&lt;&gt;"",分析!K387,"")</f>
        <v/>
      </c>
      <c r="M387" s="161" t="str">
        <f>IF(分析!P387&lt;&gt;"",分析!P387,"")</f>
        <v/>
      </c>
      <c r="N387" s="167" t="str">
        <f>IF(分析!O387&lt;&gt;"",分析!O387,"")</f>
        <v/>
      </c>
      <c r="O387" s="168" t="str">
        <f>IF(分析!X387&lt;&gt;"",分析!X387,"")</f>
        <v/>
      </c>
      <c r="P387" s="169" t="str">
        <f>IF(分析!L387&lt;&gt;"",分析!L387,"")</f>
        <v/>
      </c>
      <c r="Q387" s="166" t="str">
        <f>IF(分析!S387&lt;&gt;"",分析!S387,"")</f>
        <v/>
      </c>
      <c r="R387" s="166" t="str">
        <f>IF(分析!R387&lt;&gt;"",分析!R387,"")</f>
        <v/>
      </c>
      <c r="S387" s="161" t="str">
        <f>IF(分析!AA387&lt;&gt;"",分析!AA387,"")</f>
        <v/>
      </c>
      <c r="T387" s="170" t="str">
        <f>IF(分析!Z387&lt;&gt;"",分析!Z387,"")</f>
        <v/>
      </c>
      <c r="U387" s="161" t="str">
        <f>IF(分析!V387&lt;&gt;"",分析!V387,"")</f>
        <v/>
      </c>
      <c r="V387" s="171" t="str">
        <f>IF(分析!W387&lt;&gt;"",分析!W387,"")</f>
        <v/>
      </c>
      <c r="W387" s="172" t="str">
        <f>IF(分析!AD387&lt;&gt;"",分析!AD387,"")</f>
        <v/>
      </c>
      <c r="X387" s="173" t="str">
        <f>IF(分析!AE387&lt;&gt;"",分析!AE387,"")</f>
        <v/>
      </c>
      <c r="Y387" s="174" t="str">
        <f>IF(分析!T387&lt;&gt;"",分析!T387,"")</f>
        <v/>
      </c>
      <c r="Z387" s="160" t="str">
        <f>IF(分析!Y387&lt;&gt;"",分析!Y387,"")</f>
        <v/>
      </c>
    </row>
    <row r="388" spans="1:26" ht="21.95" customHeight="1">
      <c r="A388" s="146" t="str">
        <f>IF(分析!C388&lt;&gt;"",ROW()-2,"")</f>
        <v/>
      </c>
      <c r="B388" s="147" t="str">
        <f>IF(分析!C388&lt;&gt;"",HYPERLINK("https://kabutan.jp/stock/?code="&amp;分析!C388,"株探"),"")</f>
        <v/>
      </c>
      <c r="C388" s="148" t="str">
        <f>IF(分析!C388&lt;&gt;"",分析!C388,"")</f>
        <v/>
      </c>
      <c r="D388" s="149" t="str">
        <f>IF(分析!D388&lt;&gt;"",分析!D388,"")</f>
        <v/>
      </c>
      <c r="E388" s="150" t="str">
        <f>IF(分析!E388&lt;&gt;"",分析!E388,"")</f>
        <v/>
      </c>
      <c r="F388" s="151" t="str">
        <f>IF(分析!F388&lt;&gt;"",分析!F388,"")</f>
        <v/>
      </c>
      <c r="G388" s="151" t="str">
        <f>IF(分析!H388&lt;&gt;"",分析!H388,"")</f>
        <v/>
      </c>
      <c r="H388" s="151" t="str">
        <f>IF(分析!I388&lt;&gt;"",分析!I388,"")</f>
        <v/>
      </c>
      <c r="I388" s="151" t="str">
        <f>IF(分析!J388&lt;&gt;"",分析!J388,"")</f>
        <v/>
      </c>
      <c r="J388" s="151" t="str">
        <f>IF(分析!AB388&lt;&gt;"",分析!AB388,"")</f>
        <v/>
      </c>
      <c r="K388" s="151" t="str">
        <f>IF(分析!AC388&lt;&gt;"",分析!AC388,"")</f>
        <v/>
      </c>
      <c r="L388" s="151" t="str">
        <f>IF(分析!K388&lt;&gt;"",分析!K388,"")</f>
        <v/>
      </c>
      <c r="M388" s="146" t="str">
        <f>IF(分析!P388&lt;&gt;"",分析!P388,"")</f>
        <v/>
      </c>
      <c r="N388" s="152" t="str">
        <f>IF(分析!O388&lt;&gt;"",分析!O388,"")</f>
        <v/>
      </c>
      <c r="O388" s="153" t="str">
        <f>IF(分析!X388&lt;&gt;"",分析!X388,"")</f>
        <v/>
      </c>
      <c r="P388" s="154" t="str">
        <f>IF(分析!L388&lt;&gt;"",分析!L388,"")</f>
        <v/>
      </c>
      <c r="Q388" s="151" t="str">
        <f>IF(分析!S388&lt;&gt;"",分析!S388,"")</f>
        <v/>
      </c>
      <c r="R388" s="151" t="str">
        <f>IF(分析!R388&lt;&gt;"",分析!R388,"")</f>
        <v/>
      </c>
      <c r="S388" s="146" t="str">
        <f>IF(分析!AA388&lt;&gt;"",分析!AA388,"")</f>
        <v/>
      </c>
      <c r="T388" s="155" t="str">
        <f>IF(分析!Z388&lt;&gt;"",分析!Z388,"")</f>
        <v/>
      </c>
      <c r="U388" s="146" t="str">
        <f>IF(分析!V388&lt;&gt;"",分析!V388,"")</f>
        <v/>
      </c>
      <c r="V388" s="156" t="str">
        <f>IF(分析!W388&lt;&gt;"",分析!W388,"")</f>
        <v/>
      </c>
      <c r="W388" s="157" t="str">
        <f>IF(分析!AD388&lt;&gt;"",分析!AD388,"")</f>
        <v/>
      </c>
      <c r="X388" s="158" t="str">
        <f>IF(分析!AE388&lt;&gt;"",分析!AE388,"")</f>
        <v/>
      </c>
      <c r="Y388" s="159" t="str">
        <f>IF(分析!T388&lt;&gt;"",分析!T388,"")</f>
        <v/>
      </c>
      <c r="Z388" s="160" t="str">
        <f>IF(分析!Y388&lt;&gt;"",分析!Y388,"")</f>
        <v/>
      </c>
    </row>
    <row r="389" spans="1:26" ht="21.95" customHeight="1">
      <c r="A389" s="161" t="str">
        <f>IF(分析!C389&lt;&gt;"",ROW()-2,"")</f>
        <v/>
      </c>
      <c r="B389" s="162" t="str">
        <f>IF(分析!C389&lt;&gt;"",HYPERLINK("https://kabutan.jp/stock/?code="&amp;分析!C389,"株探"),"")</f>
        <v/>
      </c>
      <c r="C389" s="163" t="str">
        <f>IF(分析!C389&lt;&gt;"",分析!C389,"")</f>
        <v/>
      </c>
      <c r="D389" s="164" t="str">
        <f>IF(分析!D389&lt;&gt;"",分析!D389,"")</f>
        <v/>
      </c>
      <c r="E389" s="165" t="str">
        <f>IF(分析!E389&lt;&gt;"",分析!E389,"")</f>
        <v/>
      </c>
      <c r="F389" s="166" t="str">
        <f>IF(分析!F389&lt;&gt;"",分析!F389,"")</f>
        <v/>
      </c>
      <c r="G389" s="166" t="str">
        <f>IF(分析!H389&lt;&gt;"",分析!H389,"")</f>
        <v/>
      </c>
      <c r="H389" s="166" t="str">
        <f>IF(分析!I389&lt;&gt;"",分析!I389,"")</f>
        <v/>
      </c>
      <c r="I389" s="166" t="str">
        <f>IF(分析!J389&lt;&gt;"",分析!J389,"")</f>
        <v/>
      </c>
      <c r="J389" s="166" t="str">
        <f>IF(分析!AB389&lt;&gt;"",分析!AB389,"")</f>
        <v/>
      </c>
      <c r="K389" s="166" t="str">
        <f>IF(分析!AC389&lt;&gt;"",分析!AC389,"")</f>
        <v/>
      </c>
      <c r="L389" s="166" t="str">
        <f>IF(分析!K389&lt;&gt;"",分析!K389,"")</f>
        <v/>
      </c>
      <c r="M389" s="161" t="str">
        <f>IF(分析!P389&lt;&gt;"",分析!P389,"")</f>
        <v/>
      </c>
      <c r="N389" s="167" t="str">
        <f>IF(分析!O389&lt;&gt;"",分析!O389,"")</f>
        <v/>
      </c>
      <c r="O389" s="168" t="str">
        <f>IF(分析!X389&lt;&gt;"",分析!X389,"")</f>
        <v/>
      </c>
      <c r="P389" s="169" t="str">
        <f>IF(分析!L389&lt;&gt;"",分析!L389,"")</f>
        <v/>
      </c>
      <c r="Q389" s="166" t="str">
        <f>IF(分析!S389&lt;&gt;"",分析!S389,"")</f>
        <v/>
      </c>
      <c r="R389" s="166" t="str">
        <f>IF(分析!R389&lt;&gt;"",分析!R389,"")</f>
        <v/>
      </c>
      <c r="S389" s="161" t="str">
        <f>IF(分析!AA389&lt;&gt;"",分析!AA389,"")</f>
        <v/>
      </c>
      <c r="T389" s="170" t="str">
        <f>IF(分析!Z389&lt;&gt;"",分析!Z389,"")</f>
        <v/>
      </c>
      <c r="U389" s="161" t="str">
        <f>IF(分析!V389&lt;&gt;"",分析!V389,"")</f>
        <v/>
      </c>
      <c r="V389" s="171" t="str">
        <f>IF(分析!W389&lt;&gt;"",分析!W389,"")</f>
        <v/>
      </c>
      <c r="W389" s="172" t="str">
        <f>IF(分析!AD389&lt;&gt;"",分析!AD389,"")</f>
        <v/>
      </c>
      <c r="X389" s="173" t="str">
        <f>IF(分析!AE389&lt;&gt;"",分析!AE389,"")</f>
        <v/>
      </c>
      <c r="Y389" s="174" t="str">
        <f>IF(分析!T389&lt;&gt;"",分析!T389,"")</f>
        <v/>
      </c>
      <c r="Z389" s="160" t="str">
        <f>IF(分析!Y389&lt;&gt;"",分析!Y389,"")</f>
        <v/>
      </c>
    </row>
    <row r="390" spans="1:26" ht="21.95" customHeight="1">
      <c r="A390" s="146" t="str">
        <f>IF(分析!C390&lt;&gt;"",ROW()-2,"")</f>
        <v/>
      </c>
      <c r="B390" s="147" t="str">
        <f>IF(分析!C390&lt;&gt;"",HYPERLINK("https://kabutan.jp/stock/?code="&amp;分析!C390,"株探"),"")</f>
        <v/>
      </c>
      <c r="C390" s="148" t="str">
        <f>IF(分析!C390&lt;&gt;"",分析!C390,"")</f>
        <v/>
      </c>
      <c r="D390" s="149" t="str">
        <f>IF(分析!D390&lt;&gt;"",分析!D390,"")</f>
        <v/>
      </c>
      <c r="E390" s="150" t="str">
        <f>IF(分析!E390&lt;&gt;"",分析!E390,"")</f>
        <v/>
      </c>
      <c r="F390" s="151" t="str">
        <f>IF(分析!F390&lt;&gt;"",分析!F390,"")</f>
        <v/>
      </c>
      <c r="G390" s="151" t="str">
        <f>IF(分析!H390&lt;&gt;"",分析!H390,"")</f>
        <v/>
      </c>
      <c r="H390" s="151" t="str">
        <f>IF(分析!I390&lt;&gt;"",分析!I390,"")</f>
        <v/>
      </c>
      <c r="I390" s="151" t="str">
        <f>IF(分析!J390&lt;&gt;"",分析!J390,"")</f>
        <v/>
      </c>
      <c r="J390" s="151" t="str">
        <f>IF(分析!AB390&lt;&gt;"",分析!AB390,"")</f>
        <v/>
      </c>
      <c r="K390" s="151" t="str">
        <f>IF(分析!AC390&lt;&gt;"",分析!AC390,"")</f>
        <v/>
      </c>
      <c r="L390" s="151" t="str">
        <f>IF(分析!K390&lt;&gt;"",分析!K390,"")</f>
        <v/>
      </c>
      <c r="M390" s="146" t="str">
        <f>IF(分析!P390&lt;&gt;"",分析!P390,"")</f>
        <v/>
      </c>
      <c r="N390" s="152" t="str">
        <f>IF(分析!O390&lt;&gt;"",分析!O390,"")</f>
        <v/>
      </c>
      <c r="O390" s="153" t="str">
        <f>IF(分析!X390&lt;&gt;"",分析!X390,"")</f>
        <v/>
      </c>
      <c r="P390" s="154" t="str">
        <f>IF(分析!L390&lt;&gt;"",分析!L390,"")</f>
        <v/>
      </c>
      <c r="Q390" s="151" t="str">
        <f>IF(分析!S390&lt;&gt;"",分析!S390,"")</f>
        <v/>
      </c>
      <c r="R390" s="151" t="str">
        <f>IF(分析!R390&lt;&gt;"",分析!R390,"")</f>
        <v/>
      </c>
      <c r="S390" s="146" t="str">
        <f>IF(分析!AA390&lt;&gt;"",分析!AA390,"")</f>
        <v/>
      </c>
      <c r="T390" s="155" t="str">
        <f>IF(分析!Z390&lt;&gt;"",分析!Z390,"")</f>
        <v/>
      </c>
      <c r="U390" s="146" t="str">
        <f>IF(分析!V390&lt;&gt;"",分析!V390,"")</f>
        <v/>
      </c>
      <c r="V390" s="156" t="str">
        <f>IF(分析!W390&lt;&gt;"",分析!W390,"")</f>
        <v/>
      </c>
      <c r="W390" s="157" t="str">
        <f>IF(分析!AD390&lt;&gt;"",分析!AD390,"")</f>
        <v/>
      </c>
      <c r="X390" s="158" t="str">
        <f>IF(分析!AE390&lt;&gt;"",分析!AE390,"")</f>
        <v/>
      </c>
      <c r="Y390" s="159" t="str">
        <f>IF(分析!T390&lt;&gt;"",分析!T390,"")</f>
        <v/>
      </c>
      <c r="Z390" s="160" t="str">
        <f>IF(分析!Y390&lt;&gt;"",分析!Y390,"")</f>
        <v/>
      </c>
    </row>
    <row r="391" spans="1:26" ht="21.95" customHeight="1">
      <c r="A391" s="161" t="str">
        <f>IF(分析!C391&lt;&gt;"",ROW()-2,"")</f>
        <v/>
      </c>
      <c r="B391" s="162" t="str">
        <f>IF(分析!C391&lt;&gt;"",HYPERLINK("https://kabutan.jp/stock/?code="&amp;分析!C391,"株探"),"")</f>
        <v/>
      </c>
      <c r="C391" s="163" t="str">
        <f>IF(分析!C391&lt;&gt;"",分析!C391,"")</f>
        <v/>
      </c>
      <c r="D391" s="164" t="str">
        <f>IF(分析!D391&lt;&gt;"",分析!D391,"")</f>
        <v/>
      </c>
      <c r="E391" s="165" t="str">
        <f>IF(分析!E391&lt;&gt;"",分析!E391,"")</f>
        <v/>
      </c>
      <c r="F391" s="166" t="str">
        <f>IF(分析!F391&lt;&gt;"",分析!F391,"")</f>
        <v/>
      </c>
      <c r="G391" s="166" t="str">
        <f>IF(分析!H391&lt;&gt;"",分析!H391,"")</f>
        <v/>
      </c>
      <c r="H391" s="166" t="str">
        <f>IF(分析!I391&lt;&gt;"",分析!I391,"")</f>
        <v/>
      </c>
      <c r="I391" s="166" t="str">
        <f>IF(分析!J391&lt;&gt;"",分析!J391,"")</f>
        <v/>
      </c>
      <c r="J391" s="166" t="str">
        <f>IF(分析!AB391&lt;&gt;"",分析!AB391,"")</f>
        <v/>
      </c>
      <c r="K391" s="166" t="str">
        <f>IF(分析!AC391&lt;&gt;"",分析!AC391,"")</f>
        <v/>
      </c>
      <c r="L391" s="166" t="str">
        <f>IF(分析!K391&lt;&gt;"",分析!K391,"")</f>
        <v/>
      </c>
      <c r="M391" s="161" t="str">
        <f>IF(分析!P391&lt;&gt;"",分析!P391,"")</f>
        <v/>
      </c>
      <c r="N391" s="167" t="str">
        <f>IF(分析!O391&lt;&gt;"",分析!O391,"")</f>
        <v/>
      </c>
      <c r="O391" s="168" t="str">
        <f>IF(分析!X391&lt;&gt;"",分析!X391,"")</f>
        <v/>
      </c>
      <c r="P391" s="169" t="str">
        <f>IF(分析!L391&lt;&gt;"",分析!L391,"")</f>
        <v/>
      </c>
      <c r="Q391" s="166" t="str">
        <f>IF(分析!S391&lt;&gt;"",分析!S391,"")</f>
        <v/>
      </c>
      <c r="R391" s="166" t="str">
        <f>IF(分析!R391&lt;&gt;"",分析!R391,"")</f>
        <v/>
      </c>
      <c r="S391" s="161" t="str">
        <f>IF(分析!AA391&lt;&gt;"",分析!AA391,"")</f>
        <v/>
      </c>
      <c r="T391" s="170" t="str">
        <f>IF(分析!Z391&lt;&gt;"",分析!Z391,"")</f>
        <v/>
      </c>
      <c r="U391" s="161" t="str">
        <f>IF(分析!V391&lt;&gt;"",分析!V391,"")</f>
        <v/>
      </c>
      <c r="V391" s="171" t="str">
        <f>IF(分析!W391&lt;&gt;"",分析!W391,"")</f>
        <v/>
      </c>
      <c r="W391" s="172" t="str">
        <f>IF(分析!AD391&lt;&gt;"",分析!AD391,"")</f>
        <v/>
      </c>
      <c r="X391" s="173" t="str">
        <f>IF(分析!AE391&lt;&gt;"",分析!AE391,"")</f>
        <v/>
      </c>
      <c r="Y391" s="174" t="str">
        <f>IF(分析!T391&lt;&gt;"",分析!T391,"")</f>
        <v/>
      </c>
      <c r="Z391" s="160" t="str">
        <f>IF(分析!Y391&lt;&gt;"",分析!Y391,"")</f>
        <v/>
      </c>
    </row>
    <row r="392" spans="1:26" ht="21.95" customHeight="1">
      <c r="A392" s="146" t="str">
        <f>IF(分析!C392&lt;&gt;"",ROW()-2,"")</f>
        <v/>
      </c>
      <c r="B392" s="147" t="str">
        <f>IF(分析!C392&lt;&gt;"",HYPERLINK("https://kabutan.jp/stock/?code="&amp;分析!C392,"株探"),"")</f>
        <v/>
      </c>
      <c r="C392" s="148" t="str">
        <f>IF(分析!C392&lt;&gt;"",分析!C392,"")</f>
        <v/>
      </c>
      <c r="D392" s="149" t="str">
        <f>IF(分析!D392&lt;&gt;"",分析!D392,"")</f>
        <v/>
      </c>
      <c r="E392" s="150" t="str">
        <f>IF(分析!E392&lt;&gt;"",分析!E392,"")</f>
        <v/>
      </c>
      <c r="F392" s="151" t="str">
        <f>IF(分析!F392&lt;&gt;"",分析!F392,"")</f>
        <v/>
      </c>
      <c r="G392" s="151" t="str">
        <f>IF(分析!H392&lt;&gt;"",分析!H392,"")</f>
        <v/>
      </c>
      <c r="H392" s="151" t="str">
        <f>IF(分析!I392&lt;&gt;"",分析!I392,"")</f>
        <v/>
      </c>
      <c r="I392" s="151" t="str">
        <f>IF(分析!J392&lt;&gt;"",分析!J392,"")</f>
        <v/>
      </c>
      <c r="J392" s="151" t="str">
        <f>IF(分析!AB392&lt;&gt;"",分析!AB392,"")</f>
        <v/>
      </c>
      <c r="K392" s="151" t="str">
        <f>IF(分析!AC392&lt;&gt;"",分析!AC392,"")</f>
        <v/>
      </c>
      <c r="L392" s="151" t="str">
        <f>IF(分析!K392&lt;&gt;"",分析!K392,"")</f>
        <v/>
      </c>
      <c r="M392" s="146" t="str">
        <f>IF(分析!P392&lt;&gt;"",分析!P392,"")</f>
        <v/>
      </c>
      <c r="N392" s="152" t="str">
        <f>IF(分析!O392&lt;&gt;"",分析!O392,"")</f>
        <v/>
      </c>
      <c r="O392" s="153" t="str">
        <f>IF(分析!X392&lt;&gt;"",分析!X392,"")</f>
        <v/>
      </c>
      <c r="P392" s="154" t="str">
        <f>IF(分析!L392&lt;&gt;"",分析!L392,"")</f>
        <v/>
      </c>
      <c r="Q392" s="151" t="str">
        <f>IF(分析!S392&lt;&gt;"",分析!S392,"")</f>
        <v/>
      </c>
      <c r="R392" s="151" t="str">
        <f>IF(分析!R392&lt;&gt;"",分析!R392,"")</f>
        <v/>
      </c>
      <c r="S392" s="146" t="str">
        <f>IF(分析!AA392&lt;&gt;"",分析!AA392,"")</f>
        <v/>
      </c>
      <c r="T392" s="155" t="str">
        <f>IF(分析!Z392&lt;&gt;"",分析!Z392,"")</f>
        <v/>
      </c>
      <c r="U392" s="146" t="str">
        <f>IF(分析!V392&lt;&gt;"",分析!V392,"")</f>
        <v/>
      </c>
      <c r="V392" s="156" t="str">
        <f>IF(分析!W392&lt;&gt;"",分析!W392,"")</f>
        <v/>
      </c>
      <c r="W392" s="157" t="str">
        <f>IF(分析!AD392&lt;&gt;"",分析!AD392,"")</f>
        <v/>
      </c>
      <c r="X392" s="158" t="str">
        <f>IF(分析!AE392&lt;&gt;"",分析!AE392,"")</f>
        <v/>
      </c>
      <c r="Y392" s="159" t="str">
        <f>IF(分析!T392&lt;&gt;"",分析!T392,"")</f>
        <v/>
      </c>
      <c r="Z392" s="160" t="str">
        <f>IF(分析!Y392&lt;&gt;"",分析!Y392,"")</f>
        <v/>
      </c>
    </row>
    <row r="393" spans="1:26" ht="21.95" customHeight="1">
      <c r="A393" s="161" t="str">
        <f>IF(分析!C393&lt;&gt;"",ROW()-2,"")</f>
        <v/>
      </c>
      <c r="B393" s="162" t="str">
        <f>IF(分析!C393&lt;&gt;"",HYPERLINK("https://kabutan.jp/stock/?code="&amp;分析!C393,"株探"),"")</f>
        <v/>
      </c>
      <c r="C393" s="163" t="str">
        <f>IF(分析!C393&lt;&gt;"",分析!C393,"")</f>
        <v/>
      </c>
      <c r="D393" s="164" t="str">
        <f>IF(分析!D393&lt;&gt;"",分析!D393,"")</f>
        <v/>
      </c>
      <c r="E393" s="165" t="str">
        <f>IF(分析!E393&lt;&gt;"",分析!E393,"")</f>
        <v/>
      </c>
      <c r="F393" s="166" t="str">
        <f>IF(分析!F393&lt;&gt;"",分析!F393,"")</f>
        <v/>
      </c>
      <c r="G393" s="166" t="str">
        <f>IF(分析!H393&lt;&gt;"",分析!H393,"")</f>
        <v/>
      </c>
      <c r="H393" s="166" t="str">
        <f>IF(分析!I393&lt;&gt;"",分析!I393,"")</f>
        <v/>
      </c>
      <c r="I393" s="166" t="str">
        <f>IF(分析!J393&lt;&gt;"",分析!J393,"")</f>
        <v/>
      </c>
      <c r="J393" s="166" t="str">
        <f>IF(分析!AB393&lt;&gt;"",分析!AB393,"")</f>
        <v/>
      </c>
      <c r="K393" s="166" t="str">
        <f>IF(分析!AC393&lt;&gt;"",分析!AC393,"")</f>
        <v/>
      </c>
      <c r="L393" s="166" t="str">
        <f>IF(分析!K393&lt;&gt;"",分析!K393,"")</f>
        <v/>
      </c>
      <c r="M393" s="161" t="str">
        <f>IF(分析!P393&lt;&gt;"",分析!P393,"")</f>
        <v/>
      </c>
      <c r="N393" s="167" t="str">
        <f>IF(分析!O393&lt;&gt;"",分析!O393,"")</f>
        <v/>
      </c>
      <c r="O393" s="168" t="str">
        <f>IF(分析!X393&lt;&gt;"",分析!X393,"")</f>
        <v/>
      </c>
      <c r="P393" s="169" t="str">
        <f>IF(分析!L393&lt;&gt;"",分析!L393,"")</f>
        <v/>
      </c>
      <c r="Q393" s="166" t="str">
        <f>IF(分析!S393&lt;&gt;"",分析!S393,"")</f>
        <v/>
      </c>
      <c r="R393" s="166" t="str">
        <f>IF(分析!R393&lt;&gt;"",分析!R393,"")</f>
        <v/>
      </c>
      <c r="S393" s="161" t="str">
        <f>IF(分析!AA393&lt;&gt;"",分析!AA393,"")</f>
        <v/>
      </c>
      <c r="T393" s="170" t="str">
        <f>IF(分析!Z393&lt;&gt;"",分析!Z393,"")</f>
        <v/>
      </c>
      <c r="U393" s="161" t="str">
        <f>IF(分析!V393&lt;&gt;"",分析!V393,"")</f>
        <v/>
      </c>
      <c r="V393" s="171" t="str">
        <f>IF(分析!W393&lt;&gt;"",分析!W393,"")</f>
        <v/>
      </c>
      <c r="W393" s="172" t="str">
        <f>IF(分析!AD393&lt;&gt;"",分析!AD393,"")</f>
        <v/>
      </c>
      <c r="X393" s="173" t="str">
        <f>IF(分析!AE393&lt;&gt;"",分析!AE393,"")</f>
        <v/>
      </c>
      <c r="Y393" s="174" t="str">
        <f>IF(分析!T393&lt;&gt;"",分析!T393,"")</f>
        <v/>
      </c>
      <c r="Z393" s="160" t="str">
        <f>IF(分析!Y393&lt;&gt;"",分析!Y393,"")</f>
        <v/>
      </c>
    </row>
    <row r="394" spans="1:26" ht="21.95" customHeight="1">
      <c r="A394" s="146" t="str">
        <f>IF(分析!C394&lt;&gt;"",ROW()-2,"")</f>
        <v/>
      </c>
      <c r="B394" s="147" t="str">
        <f>IF(分析!C394&lt;&gt;"",HYPERLINK("https://kabutan.jp/stock/?code="&amp;分析!C394,"株探"),"")</f>
        <v/>
      </c>
      <c r="C394" s="148" t="str">
        <f>IF(分析!C394&lt;&gt;"",分析!C394,"")</f>
        <v/>
      </c>
      <c r="D394" s="149" t="str">
        <f>IF(分析!D394&lt;&gt;"",分析!D394,"")</f>
        <v/>
      </c>
      <c r="E394" s="150" t="str">
        <f>IF(分析!E394&lt;&gt;"",分析!E394,"")</f>
        <v/>
      </c>
      <c r="F394" s="151" t="str">
        <f>IF(分析!F394&lt;&gt;"",分析!F394,"")</f>
        <v/>
      </c>
      <c r="G394" s="151" t="str">
        <f>IF(分析!H394&lt;&gt;"",分析!H394,"")</f>
        <v/>
      </c>
      <c r="H394" s="151" t="str">
        <f>IF(分析!I394&lt;&gt;"",分析!I394,"")</f>
        <v/>
      </c>
      <c r="I394" s="151" t="str">
        <f>IF(分析!J394&lt;&gt;"",分析!J394,"")</f>
        <v/>
      </c>
      <c r="J394" s="151" t="str">
        <f>IF(分析!AB394&lt;&gt;"",分析!AB394,"")</f>
        <v/>
      </c>
      <c r="K394" s="151" t="str">
        <f>IF(分析!AC394&lt;&gt;"",分析!AC394,"")</f>
        <v/>
      </c>
      <c r="L394" s="151" t="str">
        <f>IF(分析!K394&lt;&gt;"",分析!K394,"")</f>
        <v/>
      </c>
      <c r="M394" s="146" t="str">
        <f>IF(分析!P394&lt;&gt;"",分析!P394,"")</f>
        <v/>
      </c>
      <c r="N394" s="152" t="str">
        <f>IF(分析!O394&lt;&gt;"",分析!O394,"")</f>
        <v/>
      </c>
      <c r="O394" s="153" t="str">
        <f>IF(分析!X394&lt;&gt;"",分析!X394,"")</f>
        <v/>
      </c>
      <c r="P394" s="154" t="str">
        <f>IF(分析!L394&lt;&gt;"",分析!L394,"")</f>
        <v/>
      </c>
      <c r="Q394" s="151" t="str">
        <f>IF(分析!S394&lt;&gt;"",分析!S394,"")</f>
        <v/>
      </c>
      <c r="R394" s="151" t="str">
        <f>IF(分析!R394&lt;&gt;"",分析!R394,"")</f>
        <v/>
      </c>
      <c r="S394" s="146" t="str">
        <f>IF(分析!AA394&lt;&gt;"",分析!AA394,"")</f>
        <v/>
      </c>
      <c r="T394" s="155" t="str">
        <f>IF(分析!Z394&lt;&gt;"",分析!Z394,"")</f>
        <v/>
      </c>
      <c r="U394" s="146" t="str">
        <f>IF(分析!V394&lt;&gt;"",分析!V394,"")</f>
        <v/>
      </c>
      <c r="V394" s="156" t="str">
        <f>IF(分析!W394&lt;&gt;"",分析!W394,"")</f>
        <v/>
      </c>
      <c r="W394" s="157" t="str">
        <f>IF(分析!AD394&lt;&gt;"",分析!AD394,"")</f>
        <v/>
      </c>
      <c r="X394" s="158" t="str">
        <f>IF(分析!AE394&lt;&gt;"",分析!AE394,"")</f>
        <v/>
      </c>
      <c r="Y394" s="159" t="str">
        <f>IF(分析!T394&lt;&gt;"",分析!T394,"")</f>
        <v/>
      </c>
      <c r="Z394" s="160" t="str">
        <f>IF(分析!Y394&lt;&gt;"",分析!Y394,"")</f>
        <v/>
      </c>
    </row>
    <row r="395" spans="1:26" ht="21.95" customHeight="1">
      <c r="A395" s="161" t="str">
        <f>IF(分析!C395&lt;&gt;"",ROW()-2,"")</f>
        <v/>
      </c>
      <c r="B395" s="162" t="str">
        <f>IF(分析!C395&lt;&gt;"",HYPERLINK("https://kabutan.jp/stock/?code="&amp;分析!C395,"株探"),"")</f>
        <v/>
      </c>
      <c r="C395" s="163" t="str">
        <f>IF(分析!C395&lt;&gt;"",分析!C395,"")</f>
        <v/>
      </c>
      <c r="D395" s="164" t="str">
        <f>IF(分析!D395&lt;&gt;"",分析!D395,"")</f>
        <v/>
      </c>
      <c r="E395" s="165" t="str">
        <f>IF(分析!E395&lt;&gt;"",分析!E395,"")</f>
        <v/>
      </c>
      <c r="F395" s="166" t="str">
        <f>IF(分析!F395&lt;&gt;"",分析!F395,"")</f>
        <v/>
      </c>
      <c r="G395" s="166" t="str">
        <f>IF(分析!H395&lt;&gt;"",分析!H395,"")</f>
        <v/>
      </c>
      <c r="H395" s="166" t="str">
        <f>IF(分析!I395&lt;&gt;"",分析!I395,"")</f>
        <v/>
      </c>
      <c r="I395" s="166" t="str">
        <f>IF(分析!J395&lt;&gt;"",分析!J395,"")</f>
        <v/>
      </c>
      <c r="J395" s="166" t="str">
        <f>IF(分析!AB395&lt;&gt;"",分析!AB395,"")</f>
        <v/>
      </c>
      <c r="K395" s="166" t="str">
        <f>IF(分析!AC395&lt;&gt;"",分析!AC395,"")</f>
        <v/>
      </c>
      <c r="L395" s="166" t="str">
        <f>IF(分析!K395&lt;&gt;"",分析!K395,"")</f>
        <v/>
      </c>
      <c r="M395" s="161" t="str">
        <f>IF(分析!P395&lt;&gt;"",分析!P395,"")</f>
        <v/>
      </c>
      <c r="N395" s="167" t="str">
        <f>IF(分析!O395&lt;&gt;"",分析!O395,"")</f>
        <v/>
      </c>
      <c r="O395" s="168" t="str">
        <f>IF(分析!X395&lt;&gt;"",分析!X395,"")</f>
        <v/>
      </c>
      <c r="P395" s="169" t="str">
        <f>IF(分析!L395&lt;&gt;"",分析!L395,"")</f>
        <v/>
      </c>
      <c r="Q395" s="166" t="str">
        <f>IF(分析!S395&lt;&gt;"",分析!S395,"")</f>
        <v/>
      </c>
      <c r="R395" s="166" t="str">
        <f>IF(分析!R395&lt;&gt;"",分析!R395,"")</f>
        <v/>
      </c>
      <c r="S395" s="161" t="str">
        <f>IF(分析!AA395&lt;&gt;"",分析!AA395,"")</f>
        <v/>
      </c>
      <c r="T395" s="170" t="str">
        <f>IF(分析!Z395&lt;&gt;"",分析!Z395,"")</f>
        <v/>
      </c>
      <c r="U395" s="161" t="str">
        <f>IF(分析!V395&lt;&gt;"",分析!V395,"")</f>
        <v/>
      </c>
      <c r="V395" s="171" t="str">
        <f>IF(分析!W395&lt;&gt;"",分析!W395,"")</f>
        <v/>
      </c>
      <c r="W395" s="172" t="str">
        <f>IF(分析!AD395&lt;&gt;"",分析!AD395,"")</f>
        <v/>
      </c>
      <c r="X395" s="173" t="str">
        <f>IF(分析!AE395&lt;&gt;"",分析!AE395,"")</f>
        <v/>
      </c>
      <c r="Y395" s="174" t="str">
        <f>IF(分析!T395&lt;&gt;"",分析!T395,"")</f>
        <v/>
      </c>
      <c r="Z395" s="160" t="str">
        <f>IF(分析!Y395&lt;&gt;"",分析!Y395,"")</f>
        <v/>
      </c>
    </row>
    <row r="396" spans="1:26" ht="21.95" customHeight="1">
      <c r="A396" s="146" t="str">
        <f>IF(分析!C396&lt;&gt;"",ROW()-2,"")</f>
        <v/>
      </c>
      <c r="B396" s="147" t="str">
        <f>IF(分析!C396&lt;&gt;"",HYPERLINK("https://kabutan.jp/stock/?code="&amp;分析!C396,"株探"),"")</f>
        <v/>
      </c>
      <c r="C396" s="148" t="str">
        <f>IF(分析!C396&lt;&gt;"",分析!C396,"")</f>
        <v/>
      </c>
      <c r="D396" s="149" t="str">
        <f>IF(分析!D396&lt;&gt;"",分析!D396,"")</f>
        <v/>
      </c>
      <c r="E396" s="150" t="str">
        <f>IF(分析!E396&lt;&gt;"",分析!E396,"")</f>
        <v/>
      </c>
      <c r="F396" s="151" t="str">
        <f>IF(分析!F396&lt;&gt;"",分析!F396,"")</f>
        <v/>
      </c>
      <c r="G396" s="151" t="str">
        <f>IF(分析!H396&lt;&gt;"",分析!H396,"")</f>
        <v/>
      </c>
      <c r="H396" s="151" t="str">
        <f>IF(分析!I396&lt;&gt;"",分析!I396,"")</f>
        <v/>
      </c>
      <c r="I396" s="151" t="str">
        <f>IF(分析!J396&lt;&gt;"",分析!J396,"")</f>
        <v/>
      </c>
      <c r="J396" s="151" t="str">
        <f>IF(分析!AB396&lt;&gt;"",分析!AB396,"")</f>
        <v/>
      </c>
      <c r="K396" s="151" t="str">
        <f>IF(分析!AC396&lt;&gt;"",分析!AC396,"")</f>
        <v/>
      </c>
      <c r="L396" s="151" t="str">
        <f>IF(分析!K396&lt;&gt;"",分析!K396,"")</f>
        <v/>
      </c>
      <c r="M396" s="146" t="str">
        <f>IF(分析!P396&lt;&gt;"",分析!P396,"")</f>
        <v/>
      </c>
      <c r="N396" s="152" t="str">
        <f>IF(分析!O396&lt;&gt;"",分析!O396,"")</f>
        <v/>
      </c>
      <c r="O396" s="153" t="str">
        <f>IF(分析!X396&lt;&gt;"",分析!X396,"")</f>
        <v/>
      </c>
      <c r="P396" s="154" t="str">
        <f>IF(分析!L396&lt;&gt;"",分析!L396,"")</f>
        <v/>
      </c>
      <c r="Q396" s="151" t="str">
        <f>IF(分析!S396&lt;&gt;"",分析!S396,"")</f>
        <v/>
      </c>
      <c r="R396" s="151" t="str">
        <f>IF(分析!R396&lt;&gt;"",分析!R396,"")</f>
        <v/>
      </c>
      <c r="S396" s="146" t="str">
        <f>IF(分析!AA396&lt;&gt;"",分析!AA396,"")</f>
        <v/>
      </c>
      <c r="T396" s="155" t="str">
        <f>IF(分析!Z396&lt;&gt;"",分析!Z396,"")</f>
        <v/>
      </c>
      <c r="U396" s="146" t="str">
        <f>IF(分析!V396&lt;&gt;"",分析!V396,"")</f>
        <v/>
      </c>
      <c r="V396" s="156" t="str">
        <f>IF(分析!W396&lt;&gt;"",分析!W396,"")</f>
        <v/>
      </c>
      <c r="W396" s="157" t="str">
        <f>IF(分析!AD396&lt;&gt;"",分析!AD396,"")</f>
        <v/>
      </c>
      <c r="X396" s="158" t="str">
        <f>IF(分析!AE396&lt;&gt;"",分析!AE396,"")</f>
        <v/>
      </c>
      <c r="Y396" s="159" t="str">
        <f>IF(分析!T396&lt;&gt;"",分析!T396,"")</f>
        <v/>
      </c>
      <c r="Z396" s="160" t="str">
        <f>IF(分析!Y396&lt;&gt;"",分析!Y396,"")</f>
        <v/>
      </c>
    </row>
    <row r="397" spans="1:26" ht="21.95" customHeight="1">
      <c r="A397" s="161" t="str">
        <f>IF(分析!C397&lt;&gt;"",ROW()-2,"")</f>
        <v/>
      </c>
      <c r="B397" s="162" t="str">
        <f>IF(分析!C397&lt;&gt;"",HYPERLINK("https://kabutan.jp/stock/?code="&amp;分析!C397,"株探"),"")</f>
        <v/>
      </c>
      <c r="C397" s="163" t="str">
        <f>IF(分析!C397&lt;&gt;"",分析!C397,"")</f>
        <v/>
      </c>
      <c r="D397" s="164" t="str">
        <f>IF(分析!D397&lt;&gt;"",分析!D397,"")</f>
        <v/>
      </c>
      <c r="E397" s="165" t="str">
        <f>IF(分析!E397&lt;&gt;"",分析!E397,"")</f>
        <v/>
      </c>
      <c r="F397" s="166" t="str">
        <f>IF(分析!F397&lt;&gt;"",分析!F397,"")</f>
        <v/>
      </c>
      <c r="G397" s="166" t="str">
        <f>IF(分析!H397&lt;&gt;"",分析!H397,"")</f>
        <v/>
      </c>
      <c r="H397" s="166" t="str">
        <f>IF(分析!I397&lt;&gt;"",分析!I397,"")</f>
        <v/>
      </c>
      <c r="I397" s="166" t="str">
        <f>IF(分析!J397&lt;&gt;"",分析!J397,"")</f>
        <v/>
      </c>
      <c r="J397" s="166" t="str">
        <f>IF(分析!AB397&lt;&gt;"",分析!AB397,"")</f>
        <v/>
      </c>
      <c r="K397" s="166" t="str">
        <f>IF(分析!AC397&lt;&gt;"",分析!AC397,"")</f>
        <v/>
      </c>
      <c r="L397" s="166" t="str">
        <f>IF(分析!K397&lt;&gt;"",分析!K397,"")</f>
        <v/>
      </c>
      <c r="M397" s="161" t="str">
        <f>IF(分析!P397&lt;&gt;"",分析!P397,"")</f>
        <v/>
      </c>
      <c r="N397" s="167" t="str">
        <f>IF(分析!O397&lt;&gt;"",分析!O397,"")</f>
        <v/>
      </c>
      <c r="O397" s="168" t="str">
        <f>IF(分析!X397&lt;&gt;"",分析!X397,"")</f>
        <v/>
      </c>
      <c r="P397" s="169" t="str">
        <f>IF(分析!L397&lt;&gt;"",分析!L397,"")</f>
        <v/>
      </c>
      <c r="Q397" s="166" t="str">
        <f>IF(分析!S397&lt;&gt;"",分析!S397,"")</f>
        <v/>
      </c>
      <c r="R397" s="166" t="str">
        <f>IF(分析!R397&lt;&gt;"",分析!R397,"")</f>
        <v/>
      </c>
      <c r="S397" s="161" t="str">
        <f>IF(分析!AA397&lt;&gt;"",分析!AA397,"")</f>
        <v/>
      </c>
      <c r="T397" s="170" t="str">
        <f>IF(分析!Z397&lt;&gt;"",分析!Z397,"")</f>
        <v/>
      </c>
      <c r="U397" s="161" t="str">
        <f>IF(分析!V397&lt;&gt;"",分析!V397,"")</f>
        <v/>
      </c>
      <c r="V397" s="171" t="str">
        <f>IF(分析!W397&lt;&gt;"",分析!W397,"")</f>
        <v/>
      </c>
      <c r="W397" s="172" t="str">
        <f>IF(分析!AD397&lt;&gt;"",分析!AD397,"")</f>
        <v/>
      </c>
      <c r="X397" s="173" t="str">
        <f>IF(分析!AE397&lt;&gt;"",分析!AE397,"")</f>
        <v/>
      </c>
      <c r="Y397" s="174" t="str">
        <f>IF(分析!T397&lt;&gt;"",分析!T397,"")</f>
        <v/>
      </c>
      <c r="Z397" s="160" t="str">
        <f>IF(分析!Y397&lt;&gt;"",分析!Y397,"")</f>
        <v/>
      </c>
    </row>
    <row r="398" spans="1:26" ht="21.95" customHeight="1">
      <c r="A398" s="146" t="str">
        <f>IF(分析!C398&lt;&gt;"",ROW()-2,"")</f>
        <v/>
      </c>
      <c r="B398" s="147" t="str">
        <f>IF(分析!C398&lt;&gt;"",HYPERLINK("https://kabutan.jp/stock/?code="&amp;分析!C398,"株探"),"")</f>
        <v/>
      </c>
      <c r="C398" s="148" t="str">
        <f>IF(分析!C398&lt;&gt;"",分析!C398,"")</f>
        <v/>
      </c>
      <c r="D398" s="149" t="str">
        <f>IF(分析!D398&lt;&gt;"",分析!D398,"")</f>
        <v/>
      </c>
      <c r="E398" s="150" t="str">
        <f>IF(分析!E398&lt;&gt;"",分析!E398,"")</f>
        <v/>
      </c>
      <c r="F398" s="151" t="str">
        <f>IF(分析!F398&lt;&gt;"",分析!F398,"")</f>
        <v/>
      </c>
      <c r="G398" s="151" t="str">
        <f>IF(分析!H398&lt;&gt;"",分析!H398,"")</f>
        <v/>
      </c>
      <c r="H398" s="151" t="str">
        <f>IF(分析!I398&lt;&gt;"",分析!I398,"")</f>
        <v/>
      </c>
      <c r="I398" s="151" t="str">
        <f>IF(分析!J398&lt;&gt;"",分析!J398,"")</f>
        <v/>
      </c>
      <c r="J398" s="151" t="str">
        <f>IF(分析!AB398&lt;&gt;"",分析!AB398,"")</f>
        <v/>
      </c>
      <c r="K398" s="151" t="str">
        <f>IF(分析!AC398&lt;&gt;"",分析!AC398,"")</f>
        <v/>
      </c>
      <c r="L398" s="151" t="str">
        <f>IF(分析!K398&lt;&gt;"",分析!K398,"")</f>
        <v/>
      </c>
      <c r="M398" s="146" t="str">
        <f>IF(分析!P398&lt;&gt;"",分析!P398,"")</f>
        <v/>
      </c>
      <c r="N398" s="152" t="str">
        <f>IF(分析!O398&lt;&gt;"",分析!O398,"")</f>
        <v/>
      </c>
      <c r="O398" s="153" t="str">
        <f>IF(分析!X398&lt;&gt;"",分析!X398,"")</f>
        <v/>
      </c>
      <c r="P398" s="154" t="str">
        <f>IF(分析!L398&lt;&gt;"",分析!L398,"")</f>
        <v/>
      </c>
      <c r="Q398" s="151" t="str">
        <f>IF(分析!S398&lt;&gt;"",分析!S398,"")</f>
        <v/>
      </c>
      <c r="R398" s="151" t="str">
        <f>IF(分析!R398&lt;&gt;"",分析!R398,"")</f>
        <v/>
      </c>
      <c r="S398" s="146" t="str">
        <f>IF(分析!AA398&lt;&gt;"",分析!AA398,"")</f>
        <v/>
      </c>
      <c r="T398" s="155" t="str">
        <f>IF(分析!Z398&lt;&gt;"",分析!Z398,"")</f>
        <v/>
      </c>
      <c r="U398" s="146" t="str">
        <f>IF(分析!V398&lt;&gt;"",分析!V398,"")</f>
        <v/>
      </c>
      <c r="V398" s="156" t="str">
        <f>IF(分析!W398&lt;&gt;"",分析!W398,"")</f>
        <v/>
      </c>
      <c r="W398" s="157" t="str">
        <f>IF(分析!AD398&lt;&gt;"",分析!AD398,"")</f>
        <v/>
      </c>
      <c r="X398" s="158" t="str">
        <f>IF(分析!AE398&lt;&gt;"",分析!AE398,"")</f>
        <v/>
      </c>
      <c r="Y398" s="159" t="str">
        <f>IF(分析!T398&lt;&gt;"",分析!T398,"")</f>
        <v/>
      </c>
      <c r="Z398" s="160" t="str">
        <f>IF(分析!Y398&lt;&gt;"",分析!Y398,"")</f>
        <v/>
      </c>
    </row>
    <row r="399" spans="1:26" ht="21.95" customHeight="1">
      <c r="A399" s="161" t="str">
        <f>IF(分析!C399&lt;&gt;"",ROW()-2,"")</f>
        <v/>
      </c>
      <c r="B399" s="162" t="str">
        <f>IF(分析!C399&lt;&gt;"",HYPERLINK("https://kabutan.jp/stock/?code="&amp;分析!C399,"株探"),"")</f>
        <v/>
      </c>
      <c r="C399" s="163" t="str">
        <f>IF(分析!C399&lt;&gt;"",分析!C399,"")</f>
        <v/>
      </c>
      <c r="D399" s="164" t="str">
        <f>IF(分析!D399&lt;&gt;"",分析!D399,"")</f>
        <v/>
      </c>
      <c r="E399" s="165" t="str">
        <f>IF(分析!E399&lt;&gt;"",分析!E399,"")</f>
        <v/>
      </c>
      <c r="F399" s="166" t="str">
        <f>IF(分析!F399&lt;&gt;"",分析!F399,"")</f>
        <v/>
      </c>
      <c r="G399" s="166" t="str">
        <f>IF(分析!H399&lt;&gt;"",分析!H399,"")</f>
        <v/>
      </c>
      <c r="H399" s="166" t="str">
        <f>IF(分析!I399&lt;&gt;"",分析!I399,"")</f>
        <v/>
      </c>
      <c r="I399" s="166" t="str">
        <f>IF(分析!J399&lt;&gt;"",分析!J399,"")</f>
        <v/>
      </c>
      <c r="J399" s="166" t="str">
        <f>IF(分析!AB399&lt;&gt;"",分析!AB399,"")</f>
        <v/>
      </c>
      <c r="K399" s="166" t="str">
        <f>IF(分析!AC399&lt;&gt;"",分析!AC399,"")</f>
        <v/>
      </c>
      <c r="L399" s="166" t="str">
        <f>IF(分析!K399&lt;&gt;"",分析!K399,"")</f>
        <v/>
      </c>
      <c r="M399" s="161" t="str">
        <f>IF(分析!P399&lt;&gt;"",分析!P399,"")</f>
        <v/>
      </c>
      <c r="N399" s="167" t="str">
        <f>IF(分析!O399&lt;&gt;"",分析!O399,"")</f>
        <v/>
      </c>
      <c r="O399" s="168" t="str">
        <f>IF(分析!X399&lt;&gt;"",分析!X399,"")</f>
        <v/>
      </c>
      <c r="P399" s="169" t="str">
        <f>IF(分析!L399&lt;&gt;"",分析!L399,"")</f>
        <v/>
      </c>
      <c r="Q399" s="166" t="str">
        <f>IF(分析!S399&lt;&gt;"",分析!S399,"")</f>
        <v/>
      </c>
      <c r="R399" s="166" t="str">
        <f>IF(分析!R399&lt;&gt;"",分析!R399,"")</f>
        <v/>
      </c>
      <c r="S399" s="161" t="str">
        <f>IF(分析!AA399&lt;&gt;"",分析!AA399,"")</f>
        <v/>
      </c>
      <c r="T399" s="170" t="str">
        <f>IF(分析!Z399&lt;&gt;"",分析!Z399,"")</f>
        <v/>
      </c>
      <c r="U399" s="161" t="str">
        <f>IF(分析!V399&lt;&gt;"",分析!V399,"")</f>
        <v/>
      </c>
      <c r="V399" s="171" t="str">
        <f>IF(分析!W399&lt;&gt;"",分析!W399,"")</f>
        <v/>
      </c>
      <c r="W399" s="172" t="str">
        <f>IF(分析!AD399&lt;&gt;"",分析!AD399,"")</f>
        <v/>
      </c>
      <c r="X399" s="173" t="str">
        <f>IF(分析!AE399&lt;&gt;"",分析!AE399,"")</f>
        <v/>
      </c>
      <c r="Y399" s="174" t="str">
        <f>IF(分析!T399&lt;&gt;"",分析!T399,"")</f>
        <v/>
      </c>
      <c r="Z399" s="160" t="str">
        <f>IF(分析!Y399&lt;&gt;"",分析!Y399,"")</f>
        <v/>
      </c>
    </row>
    <row r="400" spans="1:26" ht="21.95" customHeight="1">
      <c r="A400" s="146" t="str">
        <f>IF(分析!C400&lt;&gt;"",ROW()-2,"")</f>
        <v/>
      </c>
      <c r="B400" s="147" t="str">
        <f>IF(分析!C400&lt;&gt;"",HYPERLINK("https://kabutan.jp/stock/?code="&amp;分析!C400,"株探"),"")</f>
        <v/>
      </c>
      <c r="C400" s="148" t="str">
        <f>IF(分析!C400&lt;&gt;"",分析!C400,"")</f>
        <v/>
      </c>
      <c r="D400" s="149" t="str">
        <f>IF(分析!D400&lt;&gt;"",分析!D400,"")</f>
        <v/>
      </c>
      <c r="E400" s="150" t="str">
        <f>IF(分析!E400&lt;&gt;"",分析!E400,"")</f>
        <v/>
      </c>
      <c r="F400" s="151" t="str">
        <f>IF(分析!F400&lt;&gt;"",分析!F400,"")</f>
        <v/>
      </c>
      <c r="G400" s="151" t="str">
        <f>IF(分析!H400&lt;&gt;"",分析!H400,"")</f>
        <v/>
      </c>
      <c r="H400" s="151" t="str">
        <f>IF(分析!I400&lt;&gt;"",分析!I400,"")</f>
        <v/>
      </c>
      <c r="I400" s="151" t="str">
        <f>IF(分析!J400&lt;&gt;"",分析!J400,"")</f>
        <v/>
      </c>
      <c r="J400" s="151" t="str">
        <f>IF(分析!AB400&lt;&gt;"",分析!AB400,"")</f>
        <v/>
      </c>
      <c r="K400" s="151" t="str">
        <f>IF(分析!AC400&lt;&gt;"",分析!AC400,"")</f>
        <v/>
      </c>
      <c r="L400" s="151" t="str">
        <f>IF(分析!K400&lt;&gt;"",分析!K400,"")</f>
        <v/>
      </c>
      <c r="M400" s="146" t="str">
        <f>IF(分析!P400&lt;&gt;"",分析!P400,"")</f>
        <v/>
      </c>
      <c r="N400" s="152" t="str">
        <f>IF(分析!O400&lt;&gt;"",分析!O400,"")</f>
        <v/>
      </c>
      <c r="O400" s="153" t="str">
        <f>IF(分析!X400&lt;&gt;"",分析!X400,"")</f>
        <v/>
      </c>
      <c r="P400" s="154" t="str">
        <f>IF(分析!L400&lt;&gt;"",分析!L400,"")</f>
        <v/>
      </c>
      <c r="Q400" s="151" t="str">
        <f>IF(分析!S400&lt;&gt;"",分析!S400,"")</f>
        <v/>
      </c>
      <c r="R400" s="151" t="str">
        <f>IF(分析!R400&lt;&gt;"",分析!R400,"")</f>
        <v/>
      </c>
      <c r="S400" s="146" t="str">
        <f>IF(分析!AA400&lt;&gt;"",分析!AA400,"")</f>
        <v/>
      </c>
      <c r="T400" s="155" t="str">
        <f>IF(分析!Z400&lt;&gt;"",分析!Z400,"")</f>
        <v/>
      </c>
      <c r="U400" s="146" t="str">
        <f>IF(分析!V400&lt;&gt;"",分析!V400,"")</f>
        <v/>
      </c>
      <c r="V400" s="156" t="str">
        <f>IF(分析!W400&lt;&gt;"",分析!W400,"")</f>
        <v/>
      </c>
      <c r="W400" s="157" t="str">
        <f>IF(分析!AD400&lt;&gt;"",分析!AD400,"")</f>
        <v/>
      </c>
      <c r="X400" s="158" t="str">
        <f>IF(分析!AE400&lt;&gt;"",分析!AE400,"")</f>
        <v/>
      </c>
      <c r="Y400" s="159" t="str">
        <f>IF(分析!T400&lt;&gt;"",分析!T400,"")</f>
        <v/>
      </c>
      <c r="Z400" s="160" t="str">
        <f>IF(分析!Y400&lt;&gt;"",分析!Y400,"")</f>
        <v/>
      </c>
    </row>
    <row r="401" spans="1:26" ht="21.95" customHeight="1">
      <c r="A401" s="161" t="str">
        <f>IF(分析!C401&lt;&gt;"",ROW()-2,"")</f>
        <v/>
      </c>
      <c r="B401" s="162" t="str">
        <f>IF(分析!C401&lt;&gt;"",HYPERLINK("https://kabutan.jp/stock/?code="&amp;分析!C401,"株探"),"")</f>
        <v/>
      </c>
      <c r="C401" s="163" t="str">
        <f>IF(分析!C401&lt;&gt;"",分析!C401,"")</f>
        <v/>
      </c>
      <c r="D401" s="164" t="str">
        <f>IF(分析!D401&lt;&gt;"",分析!D401,"")</f>
        <v/>
      </c>
      <c r="E401" s="165" t="str">
        <f>IF(分析!E401&lt;&gt;"",分析!E401,"")</f>
        <v/>
      </c>
      <c r="F401" s="166" t="str">
        <f>IF(分析!F401&lt;&gt;"",分析!F401,"")</f>
        <v/>
      </c>
      <c r="G401" s="166" t="str">
        <f>IF(分析!H401&lt;&gt;"",分析!H401,"")</f>
        <v/>
      </c>
      <c r="H401" s="166" t="str">
        <f>IF(分析!I401&lt;&gt;"",分析!I401,"")</f>
        <v/>
      </c>
      <c r="I401" s="166" t="str">
        <f>IF(分析!J401&lt;&gt;"",分析!J401,"")</f>
        <v/>
      </c>
      <c r="J401" s="166" t="str">
        <f>IF(分析!AB401&lt;&gt;"",分析!AB401,"")</f>
        <v/>
      </c>
      <c r="K401" s="166" t="str">
        <f>IF(分析!AC401&lt;&gt;"",分析!AC401,"")</f>
        <v/>
      </c>
      <c r="L401" s="166" t="str">
        <f>IF(分析!K401&lt;&gt;"",分析!K401,"")</f>
        <v/>
      </c>
      <c r="M401" s="161" t="str">
        <f>IF(分析!P401&lt;&gt;"",分析!P401,"")</f>
        <v/>
      </c>
      <c r="N401" s="167" t="str">
        <f>IF(分析!O401&lt;&gt;"",分析!O401,"")</f>
        <v/>
      </c>
      <c r="O401" s="168" t="str">
        <f>IF(分析!X401&lt;&gt;"",分析!X401,"")</f>
        <v/>
      </c>
      <c r="P401" s="169" t="str">
        <f>IF(分析!L401&lt;&gt;"",分析!L401,"")</f>
        <v/>
      </c>
      <c r="Q401" s="166" t="str">
        <f>IF(分析!S401&lt;&gt;"",分析!S401,"")</f>
        <v/>
      </c>
      <c r="R401" s="166" t="str">
        <f>IF(分析!R401&lt;&gt;"",分析!R401,"")</f>
        <v/>
      </c>
      <c r="S401" s="161" t="str">
        <f>IF(分析!AA401&lt;&gt;"",分析!AA401,"")</f>
        <v/>
      </c>
      <c r="T401" s="170" t="str">
        <f>IF(分析!Z401&lt;&gt;"",分析!Z401,"")</f>
        <v/>
      </c>
      <c r="U401" s="161" t="str">
        <f>IF(分析!V401&lt;&gt;"",分析!V401,"")</f>
        <v/>
      </c>
      <c r="V401" s="171" t="str">
        <f>IF(分析!W401&lt;&gt;"",分析!W401,"")</f>
        <v/>
      </c>
      <c r="W401" s="172" t="str">
        <f>IF(分析!AD401&lt;&gt;"",分析!AD401,"")</f>
        <v/>
      </c>
      <c r="X401" s="173" t="str">
        <f>IF(分析!AE401&lt;&gt;"",分析!AE401,"")</f>
        <v/>
      </c>
      <c r="Y401" s="174" t="str">
        <f>IF(分析!T401&lt;&gt;"",分析!T401,"")</f>
        <v/>
      </c>
      <c r="Z401" s="160" t="str">
        <f>IF(分析!Y401&lt;&gt;"",分析!Y401,"")</f>
        <v/>
      </c>
    </row>
    <row r="402" spans="1:26" ht="21.95" customHeight="1">
      <c r="A402" s="146" t="str">
        <f>IF(分析!C402&lt;&gt;"",ROW()-2,"")</f>
        <v/>
      </c>
      <c r="B402" s="147" t="str">
        <f>IF(分析!C402&lt;&gt;"",HYPERLINK("https://kabutan.jp/stock/?code="&amp;分析!C402,"株探"),"")</f>
        <v/>
      </c>
      <c r="C402" s="148" t="str">
        <f>IF(分析!C402&lt;&gt;"",分析!C402,"")</f>
        <v/>
      </c>
      <c r="D402" s="149" t="str">
        <f>IF(分析!D402&lt;&gt;"",分析!D402,"")</f>
        <v/>
      </c>
      <c r="E402" s="150" t="str">
        <f>IF(分析!E402&lt;&gt;"",分析!E402,"")</f>
        <v/>
      </c>
      <c r="F402" s="151" t="str">
        <f>IF(分析!F402&lt;&gt;"",分析!F402,"")</f>
        <v/>
      </c>
      <c r="G402" s="151" t="str">
        <f>IF(分析!H402&lt;&gt;"",分析!H402,"")</f>
        <v/>
      </c>
      <c r="H402" s="151" t="str">
        <f>IF(分析!I402&lt;&gt;"",分析!I402,"")</f>
        <v/>
      </c>
      <c r="I402" s="151" t="str">
        <f>IF(分析!J402&lt;&gt;"",分析!J402,"")</f>
        <v/>
      </c>
      <c r="J402" s="151" t="str">
        <f>IF(分析!AB402&lt;&gt;"",分析!AB402,"")</f>
        <v/>
      </c>
      <c r="K402" s="151" t="str">
        <f>IF(分析!AC402&lt;&gt;"",分析!AC402,"")</f>
        <v/>
      </c>
      <c r="L402" s="151" t="str">
        <f>IF(分析!K402&lt;&gt;"",分析!K402,"")</f>
        <v/>
      </c>
      <c r="M402" s="146" t="str">
        <f>IF(分析!P402&lt;&gt;"",分析!P402,"")</f>
        <v/>
      </c>
      <c r="N402" s="152" t="str">
        <f>IF(分析!O402&lt;&gt;"",分析!O402,"")</f>
        <v/>
      </c>
      <c r="O402" s="153" t="str">
        <f>IF(分析!X402&lt;&gt;"",分析!X402,"")</f>
        <v/>
      </c>
      <c r="P402" s="154" t="str">
        <f>IF(分析!L402&lt;&gt;"",分析!L402,"")</f>
        <v/>
      </c>
      <c r="Q402" s="151" t="str">
        <f>IF(分析!S402&lt;&gt;"",分析!S402,"")</f>
        <v/>
      </c>
      <c r="R402" s="151" t="str">
        <f>IF(分析!R402&lt;&gt;"",分析!R402,"")</f>
        <v/>
      </c>
      <c r="S402" s="146" t="str">
        <f>IF(分析!AA402&lt;&gt;"",分析!AA402,"")</f>
        <v/>
      </c>
      <c r="T402" s="155" t="str">
        <f>IF(分析!Z402&lt;&gt;"",分析!Z402,"")</f>
        <v/>
      </c>
      <c r="U402" s="146" t="str">
        <f>IF(分析!V402&lt;&gt;"",分析!V402,"")</f>
        <v/>
      </c>
      <c r="V402" s="156" t="str">
        <f>IF(分析!W402&lt;&gt;"",分析!W402,"")</f>
        <v/>
      </c>
      <c r="W402" s="157" t="str">
        <f>IF(分析!AD402&lt;&gt;"",分析!AD402,"")</f>
        <v/>
      </c>
      <c r="X402" s="158" t="str">
        <f>IF(分析!AE402&lt;&gt;"",分析!AE402,"")</f>
        <v/>
      </c>
      <c r="Y402" s="159" t="str">
        <f>IF(分析!T402&lt;&gt;"",分析!T402,"")</f>
        <v/>
      </c>
      <c r="Z402" s="160" t="str">
        <f>IF(分析!Y402&lt;&gt;"",分析!Y402,"")</f>
        <v/>
      </c>
    </row>
    <row r="403" spans="1:26" ht="21.95" customHeight="1">
      <c r="A403" s="161" t="str">
        <f>IF(分析!C403&lt;&gt;"",ROW()-2,"")</f>
        <v/>
      </c>
      <c r="B403" s="162" t="str">
        <f>IF(分析!C403&lt;&gt;"",HYPERLINK("https://kabutan.jp/stock/?code="&amp;分析!C403,"株探"),"")</f>
        <v/>
      </c>
      <c r="C403" s="163" t="str">
        <f>IF(分析!C403&lt;&gt;"",分析!C403,"")</f>
        <v/>
      </c>
      <c r="D403" s="164" t="str">
        <f>IF(分析!D403&lt;&gt;"",分析!D403,"")</f>
        <v/>
      </c>
      <c r="E403" s="165" t="str">
        <f>IF(分析!E403&lt;&gt;"",分析!E403,"")</f>
        <v/>
      </c>
      <c r="F403" s="166" t="str">
        <f>IF(分析!F403&lt;&gt;"",分析!F403,"")</f>
        <v/>
      </c>
      <c r="G403" s="166" t="str">
        <f>IF(分析!H403&lt;&gt;"",分析!H403,"")</f>
        <v/>
      </c>
      <c r="H403" s="166" t="str">
        <f>IF(分析!I403&lt;&gt;"",分析!I403,"")</f>
        <v/>
      </c>
      <c r="I403" s="166" t="str">
        <f>IF(分析!J403&lt;&gt;"",分析!J403,"")</f>
        <v/>
      </c>
      <c r="J403" s="166" t="str">
        <f>IF(分析!AB403&lt;&gt;"",分析!AB403,"")</f>
        <v/>
      </c>
      <c r="K403" s="166" t="str">
        <f>IF(分析!AC403&lt;&gt;"",分析!AC403,"")</f>
        <v/>
      </c>
      <c r="L403" s="166" t="str">
        <f>IF(分析!K403&lt;&gt;"",分析!K403,"")</f>
        <v/>
      </c>
      <c r="M403" s="161" t="str">
        <f>IF(分析!P403&lt;&gt;"",分析!P403,"")</f>
        <v/>
      </c>
      <c r="N403" s="167" t="str">
        <f>IF(分析!O403&lt;&gt;"",分析!O403,"")</f>
        <v/>
      </c>
      <c r="O403" s="168" t="str">
        <f>IF(分析!X403&lt;&gt;"",分析!X403,"")</f>
        <v/>
      </c>
      <c r="P403" s="169" t="str">
        <f>IF(分析!L403&lt;&gt;"",分析!L403,"")</f>
        <v/>
      </c>
      <c r="Q403" s="166" t="str">
        <f>IF(分析!S403&lt;&gt;"",分析!S403,"")</f>
        <v/>
      </c>
      <c r="R403" s="166" t="str">
        <f>IF(分析!R403&lt;&gt;"",分析!R403,"")</f>
        <v/>
      </c>
      <c r="S403" s="161" t="str">
        <f>IF(分析!AA403&lt;&gt;"",分析!AA403,"")</f>
        <v/>
      </c>
      <c r="T403" s="170" t="str">
        <f>IF(分析!Z403&lt;&gt;"",分析!Z403,"")</f>
        <v/>
      </c>
      <c r="U403" s="161" t="str">
        <f>IF(分析!V403&lt;&gt;"",分析!V403,"")</f>
        <v/>
      </c>
      <c r="V403" s="171" t="str">
        <f>IF(分析!W403&lt;&gt;"",分析!W403,"")</f>
        <v/>
      </c>
      <c r="W403" s="172" t="str">
        <f>IF(分析!AD403&lt;&gt;"",分析!AD403,"")</f>
        <v/>
      </c>
      <c r="X403" s="173" t="str">
        <f>IF(分析!AE403&lt;&gt;"",分析!AE403,"")</f>
        <v/>
      </c>
      <c r="Y403" s="174" t="str">
        <f>IF(分析!T403&lt;&gt;"",分析!T403,"")</f>
        <v/>
      </c>
      <c r="Z403" s="160" t="str">
        <f>IF(分析!Y403&lt;&gt;"",分析!Y403,"")</f>
        <v/>
      </c>
    </row>
    <row r="404" spans="1:26" ht="21.95" customHeight="1">
      <c r="A404" s="146" t="str">
        <f>IF(分析!C404&lt;&gt;"",ROW()-2,"")</f>
        <v/>
      </c>
      <c r="B404" s="147" t="str">
        <f>IF(分析!C404&lt;&gt;"",HYPERLINK("https://kabutan.jp/stock/?code="&amp;分析!C404,"株探"),"")</f>
        <v/>
      </c>
      <c r="C404" s="148" t="str">
        <f>IF(分析!C404&lt;&gt;"",分析!C404,"")</f>
        <v/>
      </c>
      <c r="D404" s="149" t="str">
        <f>IF(分析!D404&lt;&gt;"",分析!D404,"")</f>
        <v/>
      </c>
      <c r="E404" s="150" t="str">
        <f>IF(分析!E404&lt;&gt;"",分析!E404,"")</f>
        <v/>
      </c>
      <c r="F404" s="151" t="str">
        <f>IF(分析!F404&lt;&gt;"",分析!F404,"")</f>
        <v/>
      </c>
      <c r="G404" s="151" t="str">
        <f>IF(分析!H404&lt;&gt;"",分析!H404,"")</f>
        <v/>
      </c>
      <c r="H404" s="151" t="str">
        <f>IF(分析!I404&lt;&gt;"",分析!I404,"")</f>
        <v/>
      </c>
      <c r="I404" s="151" t="str">
        <f>IF(分析!J404&lt;&gt;"",分析!J404,"")</f>
        <v/>
      </c>
      <c r="J404" s="151" t="str">
        <f>IF(分析!AB404&lt;&gt;"",分析!AB404,"")</f>
        <v/>
      </c>
      <c r="K404" s="151" t="str">
        <f>IF(分析!AC404&lt;&gt;"",分析!AC404,"")</f>
        <v/>
      </c>
      <c r="L404" s="151" t="str">
        <f>IF(分析!K404&lt;&gt;"",分析!K404,"")</f>
        <v/>
      </c>
      <c r="M404" s="146" t="str">
        <f>IF(分析!P404&lt;&gt;"",分析!P404,"")</f>
        <v/>
      </c>
      <c r="N404" s="152" t="str">
        <f>IF(分析!O404&lt;&gt;"",分析!O404,"")</f>
        <v/>
      </c>
      <c r="O404" s="153" t="str">
        <f>IF(分析!X404&lt;&gt;"",分析!X404,"")</f>
        <v/>
      </c>
      <c r="P404" s="154" t="str">
        <f>IF(分析!L404&lt;&gt;"",分析!L404,"")</f>
        <v/>
      </c>
      <c r="Q404" s="151" t="str">
        <f>IF(分析!S404&lt;&gt;"",分析!S404,"")</f>
        <v/>
      </c>
      <c r="R404" s="151" t="str">
        <f>IF(分析!R404&lt;&gt;"",分析!R404,"")</f>
        <v/>
      </c>
      <c r="S404" s="146" t="str">
        <f>IF(分析!AA404&lt;&gt;"",分析!AA404,"")</f>
        <v/>
      </c>
      <c r="T404" s="155" t="str">
        <f>IF(分析!Z404&lt;&gt;"",分析!Z404,"")</f>
        <v/>
      </c>
      <c r="U404" s="146" t="str">
        <f>IF(分析!V404&lt;&gt;"",分析!V404,"")</f>
        <v/>
      </c>
      <c r="V404" s="156" t="str">
        <f>IF(分析!W404&lt;&gt;"",分析!W404,"")</f>
        <v/>
      </c>
      <c r="W404" s="157" t="str">
        <f>IF(分析!AD404&lt;&gt;"",分析!AD404,"")</f>
        <v/>
      </c>
      <c r="X404" s="158" t="str">
        <f>IF(分析!AE404&lt;&gt;"",分析!AE404,"")</f>
        <v/>
      </c>
      <c r="Y404" s="159" t="str">
        <f>IF(分析!T404&lt;&gt;"",分析!T404,"")</f>
        <v/>
      </c>
      <c r="Z404" s="160" t="str">
        <f>IF(分析!Y404&lt;&gt;"",分析!Y404,"")</f>
        <v/>
      </c>
    </row>
    <row r="405" spans="1:26" ht="21.95" customHeight="1">
      <c r="A405" s="161" t="str">
        <f>IF(分析!C405&lt;&gt;"",ROW()-2,"")</f>
        <v/>
      </c>
      <c r="B405" s="162" t="str">
        <f>IF(分析!C405&lt;&gt;"",HYPERLINK("https://kabutan.jp/stock/?code="&amp;分析!C405,"株探"),"")</f>
        <v/>
      </c>
      <c r="C405" s="163" t="str">
        <f>IF(分析!C405&lt;&gt;"",分析!C405,"")</f>
        <v/>
      </c>
      <c r="D405" s="164" t="str">
        <f>IF(分析!D405&lt;&gt;"",分析!D405,"")</f>
        <v/>
      </c>
      <c r="E405" s="165" t="str">
        <f>IF(分析!E405&lt;&gt;"",分析!E405,"")</f>
        <v/>
      </c>
      <c r="F405" s="166" t="str">
        <f>IF(分析!F405&lt;&gt;"",分析!F405,"")</f>
        <v/>
      </c>
      <c r="G405" s="166" t="str">
        <f>IF(分析!H405&lt;&gt;"",分析!H405,"")</f>
        <v/>
      </c>
      <c r="H405" s="166" t="str">
        <f>IF(分析!I405&lt;&gt;"",分析!I405,"")</f>
        <v/>
      </c>
      <c r="I405" s="166" t="str">
        <f>IF(分析!J405&lt;&gt;"",分析!J405,"")</f>
        <v/>
      </c>
      <c r="J405" s="166" t="str">
        <f>IF(分析!AB405&lt;&gt;"",分析!AB405,"")</f>
        <v/>
      </c>
      <c r="K405" s="166" t="str">
        <f>IF(分析!AC405&lt;&gt;"",分析!AC405,"")</f>
        <v/>
      </c>
      <c r="L405" s="166" t="str">
        <f>IF(分析!K405&lt;&gt;"",分析!K405,"")</f>
        <v/>
      </c>
      <c r="M405" s="161" t="str">
        <f>IF(分析!P405&lt;&gt;"",分析!P405,"")</f>
        <v/>
      </c>
      <c r="N405" s="167" t="str">
        <f>IF(分析!O405&lt;&gt;"",分析!O405,"")</f>
        <v/>
      </c>
      <c r="O405" s="168" t="str">
        <f>IF(分析!X405&lt;&gt;"",分析!X405,"")</f>
        <v/>
      </c>
      <c r="P405" s="169" t="str">
        <f>IF(分析!L405&lt;&gt;"",分析!L405,"")</f>
        <v/>
      </c>
      <c r="Q405" s="166" t="str">
        <f>IF(分析!S405&lt;&gt;"",分析!S405,"")</f>
        <v/>
      </c>
      <c r="R405" s="166" t="str">
        <f>IF(分析!R405&lt;&gt;"",分析!R405,"")</f>
        <v/>
      </c>
      <c r="S405" s="161" t="str">
        <f>IF(分析!AA405&lt;&gt;"",分析!AA405,"")</f>
        <v/>
      </c>
      <c r="T405" s="170" t="str">
        <f>IF(分析!Z405&lt;&gt;"",分析!Z405,"")</f>
        <v/>
      </c>
      <c r="U405" s="161" t="str">
        <f>IF(分析!V405&lt;&gt;"",分析!V405,"")</f>
        <v/>
      </c>
      <c r="V405" s="171" t="str">
        <f>IF(分析!W405&lt;&gt;"",分析!W405,"")</f>
        <v/>
      </c>
      <c r="W405" s="172" t="str">
        <f>IF(分析!AD405&lt;&gt;"",分析!AD405,"")</f>
        <v/>
      </c>
      <c r="X405" s="173" t="str">
        <f>IF(分析!AE405&lt;&gt;"",分析!AE405,"")</f>
        <v/>
      </c>
      <c r="Y405" s="174" t="str">
        <f>IF(分析!T405&lt;&gt;"",分析!T405,"")</f>
        <v/>
      </c>
      <c r="Z405" s="160" t="str">
        <f>IF(分析!Y405&lt;&gt;"",分析!Y405,"")</f>
        <v/>
      </c>
    </row>
    <row r="406" spans="1:26" ht="21.95" customHeight="1">
      <c r="A406" s="146" t="str">
        <f>IF(分析!C406&lt;&gt;"",ROW()-2,"")</f>
        <v/>
      </c>
      <c r="B406" s="147" t="str">
        <f>IF(分析!C406&lt;&gt;"",HYPERLINK("https://kabutan.jp/stock/?code="&amp;分析!C406,"株探"),"")</f>
        <v/>
      </c>
      <c r="C406" s="148" t="str">
        <f>IF(分析!C406&lt;&gt;"",分析!C406,"")</f>
        <v/>
      </c>
      <c r="D406" s="149" t="str">
        <f>IF(分析!D406&lt;&gt;"",分析!D406,"")</f>
        <v/>
      </c>
      <c r="E406" s="150" t="str">
        <f>IF(分析!E406&lt;&gt;"",分析!E406,"")</f>
        <v/>
      </c>
      <c r="F406" s="151" t="str">
        <f>IF(分析!F406&lt;&gt;"",分析!F406,"")</f>
        <v/>
      </c>
      <c r="G406" s="151" t="str">
        <f>IF(分析!H406&lt;&gt;"",分析!H406,"")</f>
        <v/>
      </c>
      <c r="H406" s="151" t="str">
        <f>IF(分析!I406&lt;&gt;"",分析!I406,"")</f>
        <v/>
      </c>
      <c r="I406" s="151" t="str">
        <f>IF(分析!J406&lt;&gt;"",分析!J406,"")</f>
        <v/>
      </c>
      <c r="J406" s="151" t="str">
        <f>IF(分析!AB406&lt;&gt;"",分析!AB406,"")</f>
        <v/>
      </c>
      <c r="K406" s="151" t="str">
        <f>IF(分析!AC406&lt;&gt;"",分析!AC406,"")</f>
        <v/>
      </c>
      <c r="L406" s="151" t="str">
        <f>IF(分析!K406&lt;&gt;"",分析!K406,"")</f>
        <v/>
      </c>
      <c r="M406" s="146" t="str">
        <f>IF(分析!P406&lt;&gt;"",分析!P406,"")</f>
        <v/>
      </c>
      <c r="N406" s="152" t="str">
        <f>IF(分析!O406&lt;&gt;"",分析!O406,"")</f>
        <v/>
      </c>
      <c r="O406" s="153" t="str">
        <f>IF(分析!X406&lt;&gt;"",分析!X406,"")</f>
        <v/>
      </c>
      <c r="P406" s="154" t="str">
        <f>IF(分析!L406&lt;&gt;"",分析!L406,"")</f>
        <v/>
      </c>
      <c r="Q406" s="151" t="str">
        <f>IF(分析!S406&lt;&gt;"",分析!S406,"")</f>
        <v/>
      </c>
      <c r="R406" s="151" t="str">
        <f>IF(分析!R406&lt;&gt;"",分析!R406,"")</f>
        <v/>
      </c>
      <c r="S406" s="146" t="str">
        <f>IF(分析!AA406&lt;&gt;"",分析!AA406,"")</f>
        <v/>
      </c>
      <c r="T406" s="155" t="str">
        <f>IF(分析!Z406&lt;&gt;"",分析!Z406,"")</f>
        <v/>
      </c>
      <c r="U406" s="146" t="str">
        <f>IF(分析!V406&lt;&gt;"",分析!V406,"")</f>
        <v/>
      </c>
      <c r="V406" s="156" t="str">
        <f>IF(分析!W406&lt;&gt;"",分析!W406,"")</f>
        <v/>
      </c>
      <c r="W406" s="157" t="str">
        <f>IF(分析!AD406&lt;&gt;"",分析!AD406,"")</f>
        <v/>
      </c>
      <c r="X406" s="158" t="str">
        <f>IF(分析!AE406&lt;&gt;"",分析!AE406,"")</f>
        <v/>
      </c>
      <c r="Y406" s="159" t="str">
        <f>IF(分析!T406&lt;&gt;"",分析!T406,"")</f>
        <v/>
      </c>
      <c r="Z406" s="160" t="str">
        <f>IF(分析!Y406&lt;&gt;"",分析!Y406,"")</f>
        <v/>
      </c>
    </row>
    <row r="407" spans="1:26" ht="21.95" customHeight="1">
      <c r="A407" s="161" t="str">
        <f>IF(分析!C407&lt;&gt;"",ROW()-2,"")</f>
        <v/>
      </c>
      <c r="B407" s="162" t="str">
        <f>IF(分析!C407&lt;&gt;"",HYPERLINK("https://kabutan.jp/stock/?code="&amp;分析!C407,"株探"),"")</f>
        <v/>
      </c>
      <c r="C407" s="163" t="str">
        <f>IF(分析!C407&lt;&gt;"",分析!C407,"")</f>
        <v/>
      </c>
      <c r="D407" s="164" t="str">
        <f>IF(分析!D407&lt;&gt;"",分析!D407,"")</f>
        <v/>
      </c>
      <c r="E407" s="165" t="str">
        <f>IF(分析!E407&lt;&gt;"",分析!E407,"")</f>
        <v/>
      </c>
      <c r="F407" s="166" t="str">
        <f>IF(分析!F407&lt;&gt;"",分析!F407,"")</f>
        <v/>
      </c>
      <c r="G407" s="166" t="str">
        <f>IF(分析!H407&lt;&gt;"",分析!H407,"")</f>
        <v/>
      </c>
      <c r="H407" s="166" t="str">
        <f>IF(分析!I407&lt;&gt;"",分析!I407,"")</f>
        <v/>
      </c>
      <c r="I407" s="166" t="str">
        <f>IF(分析!J407&lt;&gt;"",分析!J407,"")</f>
        <v/>
      </c>
      <c r="J407" s="166" t="str">
        <f>IF(分析!AB407&lt;&gt;"",分析!AB407,"")</f>
        <v/>
      </c>
      <c r="K407" s="166" t="str">
        <f>IF(分析!AC407&lt;&gt;"",分析!AC407,"")</f>
        <v/>
      </c>
      <c r="L407" s="166" t="str">
        <f>IF(分析!K407&lt;&gt;"",分析!K407,"")</f>
        <v/>
      </c>
      <c r="M407" s="161" t="str">
        <f>IF(分析!P407&lt;&gt;"",分析!P407,"")</f>
        <v/>
      </c>
      <c r="N407" s="167" t="str">
        <f>IF(分析!O407&lt;&gt;"",分析!O407,"")</f>
        <v/>
      </c>
      <c r="O407" s="168" t="str">
        <f>IF(分析!X407&lt;&gt;"",分析!X407,"")</f>
        <v/>
      </c>
      <c r="P407" s="169" t="str">
        <f>IF(分析!L407&lt;&gt;"",分析!L407,"")</f>
        <v/>
      </c>
      <c r="Q407" s="166" t="str">
        <f>IF(分析!S407&lt;&gt;"",分析!S407,"")</f>
        <v/>
      </c>
      <c r="R407" s="166" t="str">
        <f>IF(分析!R407&lt;&gt;"",分析!R407,"")</f>
        <v/>
      </c>
      <c r="S407" s="161" t="str">
        <f>IF(分析!AA407&lt;&gt;"",分析!AA407,"")</f>
        <v/>
      </c>
      <c r="T407" s="170" t="str">
        <f>IF(分析!Z407&lt;&gt;"",分析!Z407,"")</f>
        <v/>
      </c>
      <c r="U407" s="161" t="str">
        <f>IF(分析!V407&lt;&gt;"",分析!V407,"")</f>
        <v/>
      </c>
      <c r="V407" s="171" t="str">
        <f>IF(分析!W407&lt;&gt;"",分析!W407,"")</f>
        <v/>
      </c>
      <c r="W407" s="172" t="str">
        <f>IF(分析!AD407&lt;&gt;"",分析!AD407,"")</f>
        <v/>
      </c>
      <c r="X407" s="173" t="str">
        <f>IF(分析!AE407&lt;&gt;"",分析!AE407,"")</f>
        <v/>
      </c>
      <c r="Y407" s="174" t="str">
        <f>IF(分析!T407&lt;&gt;"",分析!T407,"")</f>
        <v/>
      </c>
      <c r="Z407" s="160" t="str">
        <f>IF(分析!Y407&lt;&gt;"",分析!Y407,"")</f>
        <v/>
      </c>
    </row>
    <row r="408" spans="1:26" ht="21.95" customHeight="1">
      <c r="A408" s="146" t="str">
        <f>IF(分析!C408&lt;&gt;"",ROW()-2,"")</f>
        <v/>
      </c>
      <c r="B408" s="147" t="str">
        <f>IF(分析!C408&lt;&gt;"",HYPERLINK("https://kabutan.jp/stock/?code="&amp;分析!C408,"株探"),"")</f>
        <v/>
      </c>
      <c r="C408" s="148" t="str">
        <f>IF(分析!C408&lt;&gt;"",分析!C408,"")</f>
        <v/>
      </c>
      <c r="D408" s="149" t="str">
        <f>IF(分析!D408&lt;&gt;"",分析!D408,"")</f>
        <v/>
      </c>
      <c r="E408" s="150" t="str">
        <f>IF(分析!E408&lt;&gt;"",分析!E408,"")</f>
        <v/>
      </c>
      <c r="F408" s="151" t="str">
        <f>IF(分析!F408&lt;&gt;"",分析!F408,"")</f>
        <v/>
      </c>
      <c r="G408" s="151" t="str">
        <f>IF(分析!H408&lt;&gt;"",分析!H408,"")</f>
        <v/>
      </c>
      <c r="H408" s="151" t="str">
        <f>IF(分析!I408&lt;&gt;"",分析!I408,"")</f>
        <v/>
      </c>
      <c r="I408" s="151" t="str">
        <f>IF(分析!J408&lt;&gt;"",分析!J408,"")</f>
        <v/>
      </c>
      <c r="J408" s="151" t="str">
        <f>IF(分析!AB408&lt;&gt;"",分析!AB408,"")</f>
        <v/>
      </c>
      <c r="K408" s="151" t="str">
        <f>IF(分析!AC408&lt;&gt;"",分析!AC408,"")</f>
        <v/>
      </c>
      <c r="L408" s="151" t="str">
        <f>IF(分析!K408&lt;&gt;"",分析!K408,"")</f>
        <v/>
      </c>
      <c r="M408" s="146" t="str">
        <f>IF(分析!P408&lt;&gt;"",分析!P408,"")</f>
        <v/>
      </c>
      <c r="N408" s="152" t="str">
        <f>IF(分析!O408&lt;&gt;"",分析!O408,"")</f>
        <v/>
      </c>
      <c r="O408" s="153" t="str">
        <f>IF(分析!X408&lt;&gt;"",分析!X408,"")</f>
        <v/>
      </c>
      <c r="P408" s="154" t="str">
        <f>IF(分析!L408&lt;&gt;"",分析!L408,"")</f>
        <v/>
      </c>
      <c r="Q408" s="151" t="str">
        <f>IF(分析!S408&lt;&gt;"",分析!S408,"")</f>
        <v/>
      </c>
      <c r="R408" s="151" t="str">
        <f>IF(分析!R408&lt;&gt;"",分析!R408,"")</f>
        <v/>
      </c>
      <c r="S408" s="146" t="str">
        <f>IF(分析!AA408&lt;&gt;"",分析!AA408,"")</f>
        <v/>
      </c>
      <c r="T408" s="155" t="str">
        <f>IF(分析!Z408&lt;&gt;"",分析!Z408,"")</f>
        <v/>
      </c>
      <c r="U408" s="146" t="str">
        <f>IF(分析!V408&lt;&gt;"",分析!V408,"")</f>
        <v/>
      </c>
      <c r="V408" s="156" t="str">
        <f>IF(分析!W408&lt;&gt;"",分析!W408,"")</f>
        <v/>
      </c>
      <c r="W408" s="157" t="str">
        <f>IF(分析!AD408&lt;&gt;"",分析!AD408,"")</f>
        <v/>
      </c>
      <c r="X408" s="158" t="str">
        <f>IF(分析!AE408&lt;&gt;"",分析!AE408,"")</f>
        <v/>
      </c>
      <c r="Y408" s="159" t="str">
        <f>IF(分析!T408&lt;&gt;"",分析!T408,"")</f>
        <v/>
      </c>
      <c r="Z408" s="160" t="str">
        <f>IF(分析!Y408&lt;&gt;"",分析!Y408,"")</f>
        <v/>
      </c>
    </row>
    <row r="409" spans="1:26" ht="21.95" customHeight="1">
      <c r="A409" s="161" t="str">
        <f>IF(分析!C409&lt;&gt;"",ROW()-2,"")</f>
        <v/>
      </c>
      <c r="B409" s="162" t="str">
        <f>IF(分析!C409&lt;&gt;"",HYPERLINK("https://kabutan.jp/stock/?code="&amp;分析!C409,"株探"),"")</f>
        <v/>
      </c>
      <c r="C409" s="163" t="str">
        <f>IF(分析!C409&lt;&gt;"",分析!C409,"")</f>
        <v/>
      </c>
      <c r="D409" s="164" t="str">
        <f>IF(分析!D409&lt;&gt;"",分析!D409,"")</f>
        <v/>
      </c>
      <c r="E409" s="165" t="str">
        <f>IF(分析!E409&lt;&gt;"",分析!E409,"")</f>
        <v/>
      </c>
      <c r="F409" s="166" t="str">
        <f>IF(分析!F409&lt;&gt;"",分析!F409,"")</f>
        <v/>
      </c>
      <c r="G409" s="166" t="str">
        <f>IF(分析!H409&lt;&gt;"",分析!H409,"")</f>
        <v/>
      </c>
      <c r="H409" s="166" t="str">
        <f>IF(分析!I409&lt;&gt;"",分析!I409,"")</f>
        <v/>
      </c>
      <c r="I409" s="166" t="str">
        <f>IF(分析!J409&lt;&gt;"",分析!J409,"")</f>
        <v/>
      </c>
      <c r="J409" s="166" t="str">
        <f>IF(分析!AB409&lt;&gt;"",分析!AB409,"")</f>
        <v/>
      </c>
      <c r="K409" s="166" t="str">
        <f>IF(分析!AC409&lt;&gt;"",分析!AC409,"")</f>
        <v/>
      </c>
      <c r="L409" s="166" t="str">
        <f>IF(分析!K409&lt;&gt;"",分析!K409,"")</f>
        <v/>
      </c>
      <c r="M409" s="161" t="str">
        <f>IF(分析!P409&lt;&gt;"",分析!P409,"")</f>
        <v/>
      </c>
      <c r="N409" s="167" t="str">
        <f>IF(分析!O409&lt;&gt;"",分析!O409,"")</f>
        <v/>
      </c>
      <c r="O409" s="168" t="str">
        <f>IF(分析!X409&lt;&gt;"",分析!X409,"")</f>
        <v/>
      </c>
      <c r="P409" s="169" t="str">
        <f>IF(分析!L409&lt;&gt;"",分析!L409,"")</f>
        <v/>
      </c>
      <c r="Q409" s="166" t="str">
        <f>IF(分析!S409&lt;&gt;"",分析!S409,"")</f>
        <v/>
      </c>
      <c r="R409" s="166" t="str">
        <f>IF(分析!R409&lt;&gt;"",分析!R409,"")</f>
        <v/>
      </c>
      <c r="S409" s="161" t="str">
        <f>IF(分析!AA409&lt;&gt;"",分析!AA409,"")</f>
        <v/>
      </c>
      <c r="T409" s="170" t="str">
        <f>IF(分析!Z409&lt;&gt;"",分析!Z409,"")</f>
        <v/>
      </c>
      <c r="U409" s="161" t="str">
        <f>IF(分析!V409&lt;&gt;"",分析!V409,"")</f>
        <v/>
      </c>
      <c r="V409" s="171" t="str">
        <f>IF(分析!W409&lt;&gt;"",分析!W409,"")</f>
        <v/>
      </c>
      <c r="W409" s="172" t="str">
        <f>IF(分析!AD409&lt;&gt;"",分析!AD409,"")</f>
        <v/>
      </c>
      <c r="X409" s="173" t="str">
        <f>IF(分析!AE409&lt;&gt;"",分析!AE409,"")</f>
        <v/>
      </c>
      <c r="Y409" s="174" t="str">
        <f>IF(分析!T409&lt;&gt;"",分析!T409,"")</f>
        <v/>
      </c>
      <c r="Z409" s="160" t="str">
        <f>IF(分析!Y409&lt;&gt;"",分析!Y409,"")</f>
        <v/>
      </c>
    </row>
    <row r="410" spans="1:26" ht="21.95" customHeight="1">
      <c r="A410" s="146" t="str">
        <f>IF(分析!C410&lt;&gt;"",ROW()-2,"")</f>
        <v/>
      </c>
      <c r="B410" s="147" t="str">
        <f>IF(分析!C410&lt;&gt;"",HYPERLINK("https://kabutan.jp/stock/?code="&amp;分析!C410,"株探"),"")</f>
        <v/>
      </c>
      <c r="C410" s="148" t="str">
        <f>IF(分析!C410&lt;&gt;"",分析!C410,"")</f>
        <v/>
      </c>
      <c r="D410" s="149" t="str">
        <f>IF(分析!D410&lt;&gt;"",分析!D410,"")</f>
        <v/>
      </c>
      <c r="E410" s="150" t="str">
        <f>IF(分析!E410&lt;&gt;"",分析!E410,"")</f>
        <v/>
      </c>
      <c r="F410" s="151" t="str">
        <f>IF(分析!F410&lt;&gt;"",分析!F410,"")</f>
        <v/>
      </c>
      <c r="G410" s="151" t="str">
        <f>IF(分析!H410&lt;&gt;"",分析!H410,"")</f>
        <v/>
      </c>
      <c r="H410" s="151" t="str">
        <f>IF(分析!I410&lt;&gt;"",分析!I410,"")</f>
        <v/>
      </c>
      <c r="I410" s="151" t="str">
        <f>IF(分析!J410&lt;&gt;"",分析!J410,"")</f>
        <v/>
      </c>
      <c r="J410" s="151" t="str">
        <f>IF(分析!AB410&lt;&gt;"",分析!AB410,"")</f>
        <v/>
      </c>
      <c r="K410" s="151" t="str">
        <f>IF(分析!AC410&lt;&gt;"",分析!AC410,"")</f>
        <v/>
      </c>
      <c r="L410" s="151" t="str">
        <f>IF(分析!K410&lt;&gt;"",分析!K410,"")</f>
        <v/>
      </c>
      <c r="M410" s="146" t="str">
        <f>IF(分析!P410&lt;&gt;"",分析!P410,"")</f>
        <v/>
      </c>
      <c r="N410" s="152" t="str">
        <f>IF(分析!O410&lt;&gt;"",分析!O410,"")</f>
        <v/>
      </c>
      <c r="O410" s="153" t="str">
        <f>IF(分析!X410&lt;&gt;"",分析!X410,"")</f>
        <v/>
      </c>
      <c r="P410" s="154" t="str">
        <f>IF(分析!L410&lt;&gt;"",分析!L410,"")</f>
        <v/>
      </c>
      <c r="Q410" s="151" t="str">
        <f>IF(分析!S410&lt;&gt;"",分析!S410,"")</f>
        <v/>
      </c>
      <c r="R410" s="151" t="str">
        <f>IF(分析!R410&lt;&gt;"",分析!R410,"")</f>
        <v/>
      </c>
      <c r="S410" s="146" t="str">
        <f>IF(分析!AA410&lt;&gt;"",分析!AA410,"")</f>
        <v/>
      </c>
      <c r="T410" s="155" t="str">
        <f>IF(分析!Z410&lt;&gt;"",分析!Z410,"")</f>
        <v/>
      </c>
      <c r="U410" s="146" t="str">
        <f>IF(分析!V410&lt;&gt;"",分析!V410,"")</f>
        <v/>
      </c>
      <c r="V410" s="156" t="str">
        <f>IF(分析!W410&lt;&gt;"",分析!W410,"")</f>
        <v/>
      </c>
      <c r="W410" s="157" t="str">
        <f>IF(分析!AD410&lt;&gt;"",分析!AD410,"")</f>
        <v/>
      </c>
      <c r="X410" s="158" t="str">
        <f>IF(分析!AE410&lt;&gt;"",分析!AE410,"")</f>
        <v/>
      </c>
      <c r="Y410" s="159" t="str">
        <f>IF(分析!T410&lt;&gt;"",分析!T410,"")</f>
        <v/>
      </c>
      <c r="Z410" s="160" t="str">
        <f>IF(分析!Y410&lt;&gt;"",分析!Y410,"")</f>
        <v/>
      </c>
    </row>
    <row r="411" spans="1:26" ht="21.95" customHeight="1">
      <c r="A411" s="161" t="str">
        <f>IF(分析!C411&lt;&gt;"",ROW()-2,"")</f>
        <v/>
      </c>
      <c r="B411" s="162" t="str">
        <f>IF(分析!C411&lt;&gt;"",HYPERLINK("https://kabutan.jp/stock/?code="&amp;分析!C411,"株探"),"")</f>
        <v/>
      </c>
      <c r="C411" s="163" t="str">
        <f>IF(分析!C411&lt;&gt;"",分析!C411,"")</f>
        <v/>
      </c>
      <c r="D411" s="164" t="str">
        <f>IF(分析!D411&lt;&gt;"",分析!D411,"")</f>
        <v/>
      </c>
      <c r="E411" s="165" t="str">
        <f>IF(分析!E411&lt;&gt;"",分析!E411,"")</f>
        <v/>
      </c>
      <c r="F411" s="166" t="str">
        <f>IF(分析!F411&lt;&gt;"",分析!F411,"")</f>
        <v/>
      </c>
      <c r="G411" s="166" t="str">
        <f>IF(分析!H411&lt;&gt;"",分析!H411,"")</f>
        <v/>
      </c>
      <c r="H411" s="166" t="str">
        <f>IF(分析!I411&lt;&gt;"",分析!I411,"")</f>
        <v/>
      </c>
      <c r="I411" s="166" t="str">
        <f>IF(分析!J411&lt;&gt;"",分析!J411,"")</f>
        <v/>
      </c>
      <c r="J411" s="166" t="str">
        <f>IF(分析!AB411&lt;&gt;"",分析!AB411,"")</f>
        <v/>
      </c>
      <c r="K411" s="166" t="str">
        <f>IF(分析!AC411&lt;&gt;"",分析!AC411,"")</f>
        <v/>
      </c>
      <c r="L411" s="166" t="str">
        <f>IF(分析!K411&lt;&gt;"",分析!K411,"")</f>
        <v/>
      </c>
      <c r="M411" s="161" t="str">
        <f>IF(分析!P411&lt;&gt;"",分析!P411,"")</f>
        <v/>
      </c>
      <c r="N411" s="167" t="str">
        <f>IF(分析!O411&lt;&gt;"",分析!O411,"")</f>
        <v/>
      </c>
      <c r="O411" s="168" t="str">
        <f>IF(分析!X411&lt;&gt;"",分析!X411,"")</f>
        <v/>
      </c>
      <c r="P411" s="169" t="str">
        <f>IF(分析!L411&lt;&gt;"",分析!L411,"")</f>
        <v/>
      </c>
      <c r="Q411" s="166" t="str">
        <f>IF(分析!S411&lt;&gt;"",分析!S411,"")</f>
        <v/>
      </c>
      <c r="R411" s="166" t="str">
        <f>IF(分析!R411&lt;&gt;"",分析!R411,"")</f>
        <v/>
      </c>
      <c r="S411" s="161" t="str">
        <f>IF(分析!AA411&lt;&gt;"",分析!AA411,"")</f>
        <v/>
      </c>
      <c r="T411" s="170" t="str">
        <f>IF(分析!Z411&lt;&gt;"",分析!Z411,"")</f>
        <v/>
      </c>
      <c r="U411" s="161" t="str">
        <f>IF(分析!V411&lt;&gt;"",分析!V411,"")</f>
        <v/>
      </c>
      <c r="V411" s="171" t="str">
        <f>IF(分析!W411&lt;&gt;"",分析!W411,"")</f>
        <v/>
      </c>
      <c r="W411" s="172" t="str">
        <f>IF(分析!AD411&lt;&gt;"",分析!AD411,"")</f>
        <v/>
      </c>
      <c r="X411" s="173" t="str">
        <f>IF(分析!AE411&lt;&gt;"",分析!AE411,"")</f>
        <v/>
      </c>
      <c r="Y411" s="174" t="str">
        <f>IF(分析!T411&lt;&gt;"",分析!T411,"")</f>
        <v/>
      </c>
      <c r="Z411" s="160" t="str">
        <f>IF(分析!Y411&lt;&gt;"",分析!Y411,"")</f>
        <v/>
      </c>
    </row>
    <row r="412" spans="1:26" ht="21.95" customHeight="1">
      <c r="A412" s="146" t="str">
        <f>IF(分析!C412&lt;&gt;"",ROW()-2,"")</f>
        <v/>
      </c>
      <c r="B412" s="147" t="str">
        <f>IF(分析!C412&lt;&gt;"",HYPERLINK("https://kabutan.jp/stock/?code="&amp;分析!C412,"株探"),"")</f>
        <v/>
      </c>
      <c r="C412" s="148" t="str">
        <f>IF(分析!C412&lt;&gt;"",分析!C412,"")</f>
        <v/>
      </c>
      <c r="D412" s="149" t="str">
        <f>IF(分析!D412&lt;&gt;"",分析!D412,"")</f>
        <v/>
      </c>
      <c r="E412" s="150" t="str">
        <f>IF(分析!E412&lt;&gt;"",分析!E412,"")</f>
        <v/>
      </c>
      <c r="F412" s="151" t="str">
        <f>IF(分析!F412&lt;&gt;"",分析!F412,"")</f>
        <v/>
      </c>
      <c r="G412" s="151" t="str">
        <f>IF(分析!H412&lt;&gt;"",分析!H412,"")</f>
        <v/>
      </c>
      <c r="H412" s="151" t="str">
        <f>IF(分析!I412&lt;&gt;"",分析!I412,"")</f>
        <v/>
      </c>
      <c r="I412" s="151" t="str">
        <f>IF(分析!J412&lt;&gt;"",分析!J412,"")</f>
        <v/>
      </c>
      <c r="J412" s="151" t="str">
        <f>IF(分析!AB412&lt;&gt;"",分析!AB412,"")</f>
        <v/>
      </c>
      <c r="K412" s="151" t="str">
        <f>IF(分析!AC412&lt;&gt;"",分析!AC412,"")</f>
        <v/>
      </c>
      <c r="L412" s="151" t="str">
        <f>IF(分析!K412&lt;&gt;"",分析!K412,"")</f>
        <v/>
      </c>
      <c r="M412" s="146" t="str">
        <f>IF(分析!P412&lt;&gt;"",分析!P412,"")</f>
        <v/>
      </c>
      <c r="N412" s="152" t="str">
        <f>IF(分析!O412&lt;&gt;"",分析!O412,"")</f>
        <v/>
      </c>
      <c r="O412" s="153" t="str">
        <f>IF(分析!X412&lt;&gt;"",分析!X412,"")</f>
        <v/>
      </c>
      <c r="P412" s="154" t="str">
        <f>IF(分析!L412&lt;&gt;"",分析!L412,"")</f>
        <v/>
      </c>
      <c r="Q412" s="151" t="str">
        <f>IF(分析!S412&lt;&gt;"",分析!S412,"")</f>
        <v/>
      </c>
      <c r="R412" s="151" t="str">
        <f>IF(分析!R412&lt;&gt;"",分析!R412,"")</f>
        <v/>
      </c>
      <c r="S412" s="146" t="str">
        <f>IF(分析!AA412&lt;&gt;"",分析!AA412,"")</f>
        <v/>
      </c>
      <c r="T412" s="155" t="str">
        <f>IF(分析!Z412&lt;&gt;"",分析!Z412,"")</f>
        <v/>
      </c>
      <c r="U412" s="146" t="str">
        <f>IF(分析!V412&lt;&gt;"",分析!V412,"")</f>
        <v/>
      </c>
      <c r="V412" s="156" t="str">
        <f>IF(分析!W412&lt;&gt;"",分析!W412,"")</f>
        <v/>
      </c>
      <c r="W412" s="157" t="str">
        <f>IF(分析!AD412&lt;&gt;"",分析!AD412,"")</f>
        <v/>
      </c>
      <c r="X412" s="158" t="str">
        <f>IF(分析!AE412&lt;&gt;"",分析!AE412,"")</f>
        <v/>
      </c>
      <c r="Y412" s="159" t="str">
        <f>IF(分析!T412&lt;&gt;"",分析!T412,"")</f>
        <v/>
      </c>
      <c r="Z412" s="160" t="str">
        <f>IF(分析!Y412&lt;&gt;"",分析!Y412,"")</f>
        <v/>
      </c>
    </row>
    <row r="413" spans="1:26" ht="21.95" customHeight="1">
      <c r="A413" s="161" t="str">
        <f>IF(分析!C413&lt;&gt;"",ROW()-2,"")</f>
        <v/>
      </c>
      <c r="B413" s="162" t="str">
        <f>IF(分析!C413&lt;&gt;"",HYPERLINK("https://kabutan.jp/stock/?code="&amp;分析!C413,"株探"),"")</f>
        <v/>
      </c>
      <c r="C413" s="163" t="str">
        <f>IF(分析!C413&lt;&gt;"",分析!C413,"")</f>
        <v/>
      </c>
      <c r="D413" s="164" t="str">
        <f>IF(分析!D413&lt;&gt;"",分析!D413,"")</f>
        <v/>
      </c>
      <c r="E413" s="165" t="str">
        <f>IF(分析!E413&lt;&gt;"",分析!E413,"")</f>
        <v/>
      </c>
      <c r="F413" s="166" t="str">
        <f>IF(分析!F413&lt;&gt;"",分析!F413,"")</f>
        <v/>
      </c>
      <c r="G413" s="166" t="str">
        <f>IF(分析!H413&lt;&gt;"",分析!H413,"")</f>
        <v/>
      </c>
      <c r="H413" s="166" t="str">
        <f>IF(分析!I413&lt;&gt;"",分析!I413,"")</f>
        <v/>
      </c>
      <c r="I413" s="166" t="str">
        <f>IF(分析!J413&lt;&gt;"",分析!J413,"")</f>
        <v/>
      </c>
      <c r="J413" s="166" t="str">
        <f>IF(分析!AB413&lt;&gt;"",分析!AB413,"")</f>
        <v/>
      </c>
      <c r="K413" s="166" t="str">
        <f>IF(分析!AC413&lt;&gt;"",分析!AC413,"")</f>
        <v/>
      </c>
      <c r="L413" s="166" t="str">
        <f>IF(分析!K413&lt;&gt;"",分析!K413,"")</f>
        <v/>
      </c>
      <c r="M413" s="161" t="str">
        <f>IF(分析!P413&lt;&gt;"",分析!P413,"")</f>
        <v/>
      </c>
      <c r="N413" s="167" t="str">
        <f>IF(分析!O413&lt;&gt;"",分析!O413,"")</f>
        <v/>
      </c>
      <c r="O413" s="168" t="str">
        <f>IF(分析!X413&lt;&gt;"",分析!X413,"")</f>
        <v/>
      </c>
      <c r="P413" s="169" t="str">
        <f>IF(分析!L413&lt;&gt;"",分析!L413,"")</f>
        <v/>
      </c>
      <c r="Q413" s="166" t="str">
        <f>IF(分析!S413&lt;&gt;"",分析!S413,"")</f>
        <v/>
      </c>
      <c r="R413" s="166" t="str">
        <f>IF(分析!R413&lt;&gt;"",分析!R413,"")</f>
        <v/>
      </c>
      <c r="S413" s="161" t="str">
        <f>IF(分析!AA413&lt;&gt;"",分析!AA413,"")</f>
        <v/>
      </c>
      <c r="T413" s="170" t="str">
        <f>IF(分析!Z413&lt;&gt;"",分析!Z413,"")</f>
        <v/>
      </c>
      <c r="U413" s="161" t="str">
        <f>IF(分析!V413&lt;&gt;"",分析!V413,"")</f>
        <v/>
      </c>
      <c r="V413" s="171" t="str">
        <f>IF(分析!W413&lt;&gt;"",分析!W413,"")</f>
        <v/>
      </c>
      <c r="W413" s="172" t="str">
        <f>IF(分析!AD413&lt;&gt;"",分析!AD413,"")</f>
        <v/>
      </c>
      <c r="X413" s="173" t="str">
        <f>IF(分析!AE413&lt;&gt;"",分析!AE413,"")</f>
        <v/>
      </c>
      <c r="Y413" s="174" t="str">
        <f>IF(分析!T413&lt;&gt;"",分析!T413,"")</f>
        <v/>
      </c>
      <c r="Z413" s="160" t="str">
        <f>IF(分析!Y413&lt;&gt;"",分析!Y413,"")</f>
        <v/>
      </c>
    </row>
    <row r="414" spans="1:26" ht="21.95" customHeight="1">
      <c r="A414" s="146" t="str">
        <f>IF(分析!C414&lt;&gt;"",ROW()-2,"")</f>
        <v/>
      </c>
      <c r="B414" s="147" t="str">
        <f>IF(分析!C414&lt;&gt;"",HYPERLINK("https://kabutan.jp/stock/?code="&amp;分析!C414,"株探"),"")</f>
        <v/>
      </c>
      <c r="C414" s="148" t="str">
        <f>IF(分析!C414&lt;&gt;"",分析!C414,"")</f>
        <v/>
      </c>
      <c r="D414" s="149" t="str">
        <f>IF(分析!D414&lt;&gt;"",分析!D414,"")</f>
        <v/>
      </c>
      <c r="E414" s="150" t="str">
        <f>IF(分析!E414&lt;&gt;"",分析!E414,"")</f>
        <v/>
      </c>
      <c r="F414" s="151" t="str">
        <f>IF(分析!F414&lt;&gt;"",分析!F414,"")</f>
        <v/>
      </c>
      <c r="G414" s="151" t="str">
        <f>IF(分析!H414&lt;&gt;"",分析!H414,"")</f>
        <v/>
      </c>
      <c r="H414" s="151" t="str">
        <f>IF(分析!I414&lt;&gt;"",分析!I414,"")</f>
        <v/>
      </c>
      <c r="I414" s="151" t="str">
        <f>IF(分析!J414&lt;&gt;"",分析!J414,"")</f>
        <v/>
      </c>
      <c r="J414" s="151" t="str">
        <f>IF(分析!AB414&lt;&gt;"",分析!AB414,"")</f>
        <v/>
      </c>
      <c r="K414" s="151" t="str">
        <f>IF(分析!AC414&lt;&gt;"",分析!AC414,"")</f>
        <v/>
      </c>
      <c r="L414" s="151" t="str">
        <f>IF(分析!K414&lt;&gt;"",分析!K414,"")</f>
        <v/>
      </c>
      <c r="M414" s="146" t="str">
        <f>IF(分析!P414&lt;&gt;"",分析!P414,"")</f>
        <v/>
      </c>
      <c r="N414" s="152" t="str">
        <f>IF(分析!O414&lt;&gt;"",分析!O414,"")</f>
        <v/>
      </c>
      <c r="O414" s="153" t="str">
        <f>IF(分析!X414&lt;&gt;"",分析!X414,"")</f>
        <v/>
      </c>
      <c r="P414" s="154" t="str">
        <f>IF(分析!L414&lt;&gt;"",分析!L414,"")</f>
        <v/>
      </c>
      <c r="Q414" s="151" t="str">
        <f>IF(分析!S414&lt;&gt;"",分析!S414,"")</f>
        <v/>
      </c>
      <c r="R414" s="151" t="str">
        <f>IF(分析!R414&lt;&gt;"",分析!R414,"")</f>
        <v/>
      </c>
      <c r="S414" s="146" t="str">
        <f>IF(分析!AA414&lt;&gt;"",分析!AA414,"")</f>
        <v/>
      </c>
      <c r="T414" s="155" t="str">
        <f>IF(分析!Z414&lt;&gt;"",分析!Z414,"")</f>
        <v/>
      </c>
      <c r="U414" s="146" t="str">
        <f>IF(分析!V414&lt;&gt;"",分析!V414,"")</f>
        <v/>
      </c>
      <c r="V414" s="156" t="str">
        <f>IF(分析!W414&lt;&gt;"",分析!W414,"")</f>
        <v/>
      </c>
      <c r="W414" s="157" t="str">
        <f>IF(分析!AD414&lt;&gt;"",分析!AD414,"")</f>
        <v/>
      </c>
      <c r="X414" s="158" t="str">
        <f>IF(分析!AE414&lt;&gt;"",分析!AE414,"")</f>
        <v/>
      </c>
      <c r="Y414" s="159" t="str">
        <f>IF(分析!T414&lt;&gt;"",分析!T414,"")</f>
        <v/>
      </c>
      <c r="Z414" s="160" t="str">
        <f>IF(分析!Y414&lt;&gt;"",分析!Y414,"")</f>
        <v/>
      </c>
    </row>
    <row r="415" spans="1:26" ht="21.95" customHeight="1">
      <c r="A415" s="161" t="str">
        <f>IF(分析!C415&lt;&gt;"",ROW()-2,"")</f>
        <v/>
      </c>
      <c r="B415" s="162" t="str">
        <f>IF(分析!C415&lt;&gt;"",HYPERLINK("https://kabutan.jp/stock/?code="&amp;分析!C415,"株探"),"")</f>
        <v/>
      </c>
      <c r="C415" s="163" t="str">
        <f>IF(分析!C415&lt;&gt;"",分析!C415,"")</f>
        <v/>
      </c>
      <c r="D415" s="164" t="str">
        <f>IF(分析!D415&lt;&gt;"",分析!D415,"")</f>
        <v/>
      </c>
      <c r="E415" s="165" t="str">
        <f>IF(分析!E415&lt;&gt;"",分析!E415,"")</f>
        <v/>
      </c>
      <c r="F415" s="166" t="str">
        <f>IF(分析!F415&lt;&gt;"",分析!F415,"")</f>
        <v/>
      </c>
      <c r="G415" s="166" t="str">
        <f>IF(分析!H415&lt;&gt;"",分析!H415,"")</f>
        <v/>
      </c>
      <c r="H415" s="166" t="str">
        <f>IF(分析!I415&lt;&gt;"",分析!I415,"")</f>
        <v/>
      </c>
      <c r="I415" s="166" t="str">
        <f>IF(分析!J415&lt;&gt;"",分析!J415,"")</f>
        <v/>
      </c>
      <c r="J415" s="166" t="str">
        <f>IF(分析!AB415&lt;&gt;"",分析!AB415,"")</f>
        <v/>
      </c>
      <c r="K415" s="166" t="str">
        <f>IF(分析!AC415&lt;&gt;"",分析!AC415,"")</f>
        <v/>
      </c>
      <c r="L415" s="166" t="str">
        <f>IF(分析!K415&lt;&gt;"",分析!K415,"")</f>
        <v/>
      </c>
      <c r="M415" s="161" t="str">
        <f>IF(分析!P415&lt;&gt;"",分析!P415,"")</f>
        <v/>
      </c>
      <c r="N415" s="167" t="str">
        <f>IF(分析!O415&lt;&gt;"",分析!O415,"")</f>
        <v/>
      </c>
      <c r="O415" s="168" t="str">
        <f>IF(分析!X415&lt;&gt;"",分析!X415,"")</f>
        <v/>
      </c>
      <c r="P415" s="169" t="str">
        <f>IF(分析!L415&lt;&gt;"",分析!L415,"")</f>
        <v/>
      </c>
      <c r="Q415" s="166" t="str">
        <f>IF(分析!S415&lt;&gt;"",分析!S415,"")</f>
        <v/>
      </c>
      <c r="R415" s="166" t="str">
        <f>IF(分析!R415&lt;&gt;"",分析!R415,"")</f>
        <v/>
      </c>
      <c r="S415" s="161" t="str">
        <f>IF(分析!AA415&lt;&gt;"",分析!AA415,"")</f>
        <v/>
      </c>
      <c r="T415" s="170" t="str">
        <f>IF(分析!Z415&lt;&gt;"",分析!Z415,"")</f>
        <v/>
      </c>
      <c r="U415" s="161" t="str">
        <f>IF(分析!V415&lt;&gt;"",分析!V415,"")</f>
        <v/>
      </c>
      <c r="V415" s="171" t="str">
        <f>IF(分析!W415&lt;&gt;"",分析!W415,"")</f>
        <v/>
      </c>
      <c r="W415" s="172" t="str">
        <f>IF(分析!AD415&lt;&gt;"",分析!AD415,"")</f>
        <v/>
      </c>
      <c r="X415" s="173" t="str">
        <f>IF(分析!AE415&lt;&gt;"",分析!AE415,"")</f>
        <v/>
      </c>
      <c r="Y415" s="174" t="str">
        <f>IF(分析!T415&lt;&gt;"",分析!T415,"")</f>
        <v/>
      </c>
      <c r="Z415" s="160" t="str">
        <f>IF(分析!Y415&lt;&gt;"",分析!Y415,"")</f>
        <v/>
      </c>
    </row>
    <row r="416" spans="1:26" ht="21.95" customHeight="1">
      <c r="A416" s="146" t="str">
        <f>IF(分析!C416&lt;&gt;"",ROW()-2,"")</f>
        <v/>
      </c>
      <c r="B416" s="147" t="str">
        <f>IF(分析!C416&lt;&gt;"",HYPERLINK("https://kabutan.jp/stock/?code="&amp;分析!C416,"株探"),"")</f>
        <v/>
      </c>
      <c r="C416" s="148" t="str">
        <f>IF(分析!C416&lt;&gt;"",分析!C416,"")</f>
        <v/>
      </c>
      <c r="D416" s="149" t="str">
        <f>IF(分析!D416&lt;&gt;"",分析!D416,"")</f>
        <v/>
      </c>
      <c r="E416" s="150" t="str">
        <f>IF(分析!E416&lt;&gt;"",分析!E416,"")</f>
        <v/>
      </c>
      <c r="F416" s="151" t="str">
        <f>IF(分析!F416&lt;&gt;"",分析!F416,"")</f>
        <v/>
      </c>
      <c r="G416" s="151" t="str">
        <f>IF(分析!H416&lt;&gt;"",分析!H416,"")</f>
        <v/>
      </c>
      <c r="H416" s="151" t="str">
        <f>IF(分析!I416&lt;&gt;"",分析!I416,"")</f>
        <v/>
      </c>
      <c r="I416" s="151" t="str">
        <f>IF(分析!J416&lt;&gt;"",分析!J416,"")</f>
        <v/>
      </c>
      <c r="J416" s="151" t="str">
        <f>IF(分析!AB416&lt;&gt;"",分析!AB416,"")</f>
        <v/>
      </c>
      <c r="K416" s="151" t="str">
        <f>IF(分析!AC416&lt;&gt;"",分析!AC416,"")</f>
        <v/>
      </c>
      <c r="L416" s="151" t="str">
        <f>IF(分析!K416&lt;&gt;"",分析!K416,"")</f>
        <v/>
      </c>
      <c r="M416" s="146" t="str">
        <f>IF(分析!P416&lt;&gt;"",分析!P416,"")</f>
        <v/>
      </c>
      <c r="N416" s="152" t="str">
        <f>IF(分析!O416&lt;&gt;"",分析!O416,"")</f>
        <v/>
      </c>
      <c r="O416" s="153" t="str">
        <f>IF(分析!X416&lt;&gt;"",分析!X416,"")</f>
        <v/>
      </c>
      <c r="P416" s="154" t="str">
        <f>IF(分析!L416&lt;&gt;"",分析!L416,"")</f>
        <v/>
      </c>
      <c r="Q416" s="151" t="str">
        <f>IF(分析!S416&lt;&gt;"",分析!S416,"")</f>
        <v/>
      </c>
      <c r="R416" s="151" t="str">
        <f>IF(分析!R416&lt;&gt;"",分析!R416,"")</f>
        <v/>
      </c>
      <c r="S416" s="146" t="str">
        <f>IF(分析!AA416&lt;&gt;"",分析!AA416,"")</f>
        <v/>
      </c>
      <c r="T416" s="155" t="str">
        <f>IF(分析!Z416&lt;&gt;"",分析!Z416,"")</f>
        <v/>
      </c>
      <c r="U416" s="146" t="str">
        <f>IF(分析!V416&lt;&gt;"",分析!V416,"")</f>
        <v/>
      </c>
      <c r="V416" s="156" t="str">
        <f>IF(分析!W416&lt;&gt;"",分析!W416,"")</f>
        <v/>
      </c>
      <c r="W416" s="157" t="str">
        <f>IF(分析!AD416&lt;&gt;"",分析!AD416,"")</f>
        <v/>
      </c>
      <c r="X416" s="158" t="str">
        <f>IF(分析!AE416&lt;&gt;"",分析!AE416,"")</f>
        <v/>
      </c>
      <c r="Y416" s="159" t="str">
        <f>IF(分析!T416&lt;&gt;"",分析!T416,"")</f>
        <v/>
      </c>
      <c r="Z416" s="160" t="str">
        <f>IF(分析!Y416&lt;&gt;"",分析!Y416,"")</f>
        <v/>
      </c>
    </row>
    <row r="417" spans="1:26" ht="21.95" customHeight="1">
      <c r="A417" s="161" t="str">
        <f>IF(分析!C417&lt;&gt;"",ROW()-2,"")</f>
        <v/>
      </c>
      <c r="B417" s="162" t="str">
        <f>IF(分析!C417&lt;&gt;"",HYPERLINK("https://kabutan.jp/stock/?code="&amp;分析!C417,"株探"),"")</f>
        <v/>
      </c>
      <c r="C417" s="163" t="str">
        <f>IF(分析!C417&lt;&gt;"",分析!C417,"")</f>
        <v/>
      </c>
      <c r="D417" s="164" t="str">
        <f>IF(分析!D417&lt;&gt;"",分析!D417,"")</f>
        <v/>
      </c>
      <c r="E417" s="165" t="str">
        <f>IF(分析!E417&lt;&gt;"",分析!E417,"")</f>
        <v/>
      </c>
      <c r="F417" s="166" t="str">
        <f>IF(分析!F417&lt;&gt;"",分析!F417,"")</f>
        <v/>
      </c>
      <c r="G417" s="166" t="str">
        <f>IF(分析!H417&lt;&gt;"",分析!H417,"")</f>
        <v/>
      </c>
      <c r="H417" s="166" t="str">
        <f>IF(分析!I417&lt;&gt;"",分析!I417,"")</f>
        <v/>
      </c>
      <c r="I417" s="166" t="str">
        <f>IF(分析!J417&lt;&gt;"",分析!J417,"")</f>
        <v/>
      </c>
      <c r="J417" s="166" t="str">
        <f>IF(分析!AB417&lt;&gt;"",分析!AB417,"")</f>
        <v/>
      </c>
      <c r="K417" s="166" t="str">
        <f>IF(分析!AC417&lt;&gt;"",分析!AC417,"")</f>
        <v/>
      </c>
      <c r="L417" s="166" t="str">
        <f>IF(分析!K417&lt;&gt;"",分析!K417,"")</f>
        <v/>
      </c>
      <c r="M417" s="161" t="str">
        <f>IF(分析!P417&lt;&gt;"",分析!P417,"")</f>
        <v/>
      </c>
      <c r="N417" s="167" t="str">
        <f>IF(分析!O417&lt;&gt;"",分析!O417,"")</f>
        <v/>
      </c>
      <c r="O417" s="168" t="str">
        <f>IF(分析!X417&lt;&gt;"",分析!X417,"")</f>
        <v/>
      </c>
      <c r="P417" s="169" t="str">
        <f>IF(分析!L417&lt;&gt;"",分析!L417,"")</f>
        <v/>
      </c>
      <c r="Q417" s="166" t="str">
        <f>IF(分析!S417&lt;&gt;"",分析!S417,"")</f>
        <v/>
      </c>
      <c r="R417" s="166" t="str">
        <f>IF(分析!R417&lt;&gt;"",分析!R417,"")</f>
        <v/>
      </c>
      <c r="S417" s="161" t="str">
        <f>IF(分析!AA417&lt;&gt;"",分析!AA417,"")</f>
        <v/>
      </c>
      <c r="T417" s="170" t="str">
        <f>IF(分析!Z417&lt;&gt;"",分析!Z417,"")</f>
        <v/>
      </c>
      <c r="U417" s="161" t="str">
        <f>IF(分析!V417&lt;&gt;"",分析!V417,"")</f>
        <v/>
      </c>
      <c r="V417" s="171" t="str">
        <f>IF(分析!W417&lt;&gt;"",分析!W417,"")</f>
        <v/>
      </c>
      <c r="W417" s="172" t="str">
        <f>IF(分析!AD417&lt;&gt;"",分析!AD417,"")</f>
        <v/>
      </c>
      <c r="X417" s="173" t="str">
        <f>IF(分析!AE417&lt;&gt;"",分析!AE417,"")</f>
        <v/>
      </c>
      <c r="Y417" s="174" t="str">
        <f>IF(分析!T417&lt;&gt;"",分析!T417,"")</f>
        <v/>
      </c>
      <c r="Z417" s="160" t="str">
        <f>IF(分析!Y417&lt;&gt;"",分析!Y417,"")</f>
        <v/>
      </c>
    </row>
    <row r="418" spans="1:26" ht="21.95" customHeight="1">
      <c r="A418" s="146" t="str">
        <f>IF(分析!C418&lt;&gt;"",ROW()-2,"")</f>
        <v/>
      </c>
      <c r="B418" s="147" t="str">
        <f>IF(分析!C418&lt;&gt;"",HYPERLINK("https://kabutan.jp/stock/?code="&amp;分析!C418,"株探"),"")</f>
        <v/>
      </c>
      <c r="C418" s="148" t="str">
        <f>IF(分析!C418&lt;&gt;"",分析!C418,"")</f>
        <v/>
      </c>
      <c r="D418" s="149" t="str">
        <f>IF(分析!D418&lt;&gt;"",分析!D418,"")</f>
        <v/>
      </c>
      <c r="E418" s="150" t="str">
        <f>IF(分析!E418&lt;&gt;"",分析!E418,"")</f>
        <v/>
      </c>
      <c r="F418" s="151" t="str">
        <f>IF(分析!F418&lt;&gt;"",分析!F418,"")</f>
        <v/>
      </c>
      <c r="G418" s="151" t="str">
        <f>IF(分析!H418&lt;&gt;"",分析!H418,"")</f>
        <v/>
      </c>
      <c r="H418" s="151" t="str">
        <f>IF(分析!I418&lt;&gt;"",分析!I418,"")</f>
        <v/>
      </c>
      <c r="I418" s="151" t="str">
        <f>IF(分析!J418&lt;&gt;"",分析!J418,"")</f>
        <v/>
      </c>
      <c r="J418" s="151" t="str">
        <f>IF(分析!AB418&lt;&gt;"",分析!AB418,"")</f>
        <v/>
      </c>
      <c r="K418" s="151" t="str">
        <f>IF(分析!AC418&lt;&gt;"",分析!AC418,"")</f>
        <v/>
      </c>
      <c r="L418" s="151" t="str">
        <f>IF(分析!K418&lt;&gt;"",分析!K418,"")</f>
        <v/>
      </c>
      <c r="M418" s="146" t="str">
        <f>IF(分析!P418&lt;&gt;"",分析!P418,"")</f>
        <v/>
      </c>
      <c r="N418" s="152" t="str">
        <f>IF(分析!O418&lt;&gt;"",分析!O418,"")</f>
        <v/>
      </c>
      <c r="O418" s="153" t="str">
        <f>IF(分析!X418&lt;&gt;"",分析!X418,"")</f>
        <v/>
      </c>
      <c r="P418" s="154" t="str">
        <f>IF(分析!L418&lt;&gt;"",分析!L418,"")</f>
        <v/>
      </c>
      <c r="Q418" s="151" t="str">
        <f>IF(分析!S418&lt;&gt;"",分析!S418,"")</f>
        <v/>
      </c>
      <c r="R418" s="151" t="str">
        <f>IF(分析!R418&lt;&gt;"",分析!R418,"")</f>
        <v/>
      </c>
      <c r="S418" s="146" t="str">
        <f>IF(分析!AA418&lt;&gt;"",分析!AA418,"")</f>
        <v/>
      </c>
      <c r="T418" s="155" t="str">
        <f>IF(分析!Z418&lt;&gt;"",分析!Z418,"")</f>
        <v/>
      </c>
      <c r="U418" s="146" t="str">
        <f>IF(分析!V418&lt;&gt;"",分析!V418,"")</f>
        <v/>
      </c>
      <c r="V418" s="156" t="str">
        <f>IF(分析!W418&lt;&gt;"",分析!W418,"")</f>
        <v/>
      </c>
      <c r="W418" s="157" t="str">
        <f>IF(分析!AD418&lt;&gt;"",分析!AD418,"")</f>
        <v/>
      </c>
      <c r="X418" s="158" t="str">
        <f>IF(分析!AE418&lt;&gt;"",分析!AE418,"")</f>
        <v/>
      </c>
      <c r="Y418" s="159" t="str">
        <f>IF(分析!T418&lt;&gt;"",分析!T418,"")</f>
        <v/>
      </c>
      <c r="Z418" s="160" t="str">
        <f>IF(分析!Y418&lt;&gt;"",分析!Y418,"")</f>
        <v/>
      </c>
    </row>
    <row r="419" spans="1:26" ht="21.95" customHeight="1">
      <c r="A419" s="161" t="str">
        <f>IF(分析!C419&lt;&gt;"",ROW()-2,"")</f>
        <v/>
      </c>
      <c r="B419" s="162" t="str">
        <f>IF(分析!C419&lt;&gt;"",HYPERLINK("https://kabutan.jp/stock/?code="&amp;分析!C419,"株探"),"")</f>
        <v/>
      </c>
      <c r="C419" s="163" t="str">
        <f>IF(分析!C419&lt;&gt;"",分析!C419,"")</f>
        <v/>
      </c>
      <c r="D419" s="164" t="str">
        <f>IF(分析!D419&lt;&gt;"",分析!D419,"")</f>
        <v/>
      </c>
      <c r="E419" s="165" t="str">
        <f>IF(分析!E419&lt;&gt;"",分析!E419,"")</f>
        <v/>
      </c>
      <c r="F419" s="166" t="str">
        <f>IF(分析!F419&lt;&gt;"",分析!F419,"")</f>
        <v/>
      </c>
      <c r="G419" s="166" t="str">
        <f>IF(分析!H419&lt;&gt;"",分析!H419,"")</f>
        <v/>
      </c>
      <c r="H419" s="166" t="str">
        <f>IF(分析!I419&lt;&gt;"",分析!I419,"")</f>
        <v/>
      </c>
      <c r="I419" s="166" t="str">
        <f>IF(分析!J419&lt;&gt;"",分析!J419,"")</f>
        <v/>
      </c>
      <c r="J419" s="166" t="str">
        <f>IF(分析!AB419&lt;&gt;"",分析!AB419,"")</f>
        <v/>
      </c>
      <c r="K419" s="166" t="str">
        <f>IF(分析!AC419&lt;&gt;"",分析!AC419,"")</f>
        <v/>
      </c>
      <c r="L419" s="166" t="str">
        <f>IF(分析!K419&lt;&gt;"",分析!K419,"")</f>
        <v/>
      </c>
      <c r="M419" s="161" t="str">
        <f>IF(分析!P419&lt;&gt;"",分析!P419,"")</f>
        <v/>
      </c>
      <c r="N419" s="167" t="str">
        <f>IF(分析!O419&lt;&gt;"",分析!O419,"")</f>
        <v/>
      </c>
      <c r="O419" s="168" t="str">
        <f>IF(分析!X419&lt;&gt;"",分析!X419,"")</f>
        <v/>
      </c>
      <c r="P419" s="169" t="str">
        <f>IF(分析!L419&lt;&gt;"",分析!L419,"")</f>
        <v/>
      </c>
      <c r="Q419" s="166" t="str">
        <f>IF(分析!S419&lt;&gt;"",分析!S419,"")</f>
        <v/>
      </c>
      <c r="R419" s="166" t="str">
        <f>IF(分析!R419&lt;&gt;"",分析!R419,"")</f>
        <v/>
      </c>
      <c r="S419" s="161" t="str">
        <f>IF(分析!AA419&lt;&gt;"",分析!AA419,"")</f>
        <v/>
      </c>
      <c r="T419" s="170" t="str">
        <f>IF(分析!Z419&lt;&gt;"",分析!Z419,"")</f>
        <v/>
      </c>
      <c r="U419" s="161" t="str">
        <f>IF(分析!V419&lt;&gt;"",分析!V419,"")</f>
        <v/>
      </c>
      <c r="V419" s="171" t="str">
        <f>IF(分析!W419&lt;&gt;"",分析!W419,"")</f>
        <v/>
      </c>
      <c r="W419" s="172" t="str">
        <f>IF(分析!AD419&lt;&gt;"",分析!AD419,"")</f>
        <v/>
      </c>
      <c r="X419" s="173" t="str">
        <f>IF(分析!AE419&lt;&gt;"",分析!AE419,"")</f>
        <v/>
      </c>
      <c r="Y419" s="174" t="str">
        <f>IF(分析!T419&lt;&gt;"",分析!T419,"")</f>
        <v/>
      </c>
      <c r="Z419" s="160" t="str">
        <f>IF(分析!Y419&lt;&gt;"",分析!Y419,"")</f>
        <v/>
      </c>
    </row>
    <row r="420" spans="1:26" ht="21.95" customHeight="1">
      <c r="A420" s="146" t="str">
        <f>IF(分析!C420&lt;&gt;"",ROW()-2,"")</f>
        <v/>
      </c>
      <c r="B420" s="147" t="str">
        <f>IF(分析!C420&lt;&gt;"",HYPERLINK("https://kabutan.jp/stock/?code="&amp;分析!C420,"株探"),"")</f>
        <v/>
      </c>
      <c r="C420" s="148" t="str">
        <f>IF(分析!C420&lt;&gt;"",分析!C420,"")</f>
        <v/>
      </c>
      <c r="D420" s="149" t="str">
        <f>IF(分析!D420&lt;&gt;"",分析!D420,"")</f>
        <v/>
      </c>
      <c r="E420" s="150" t="str">
        <f>IF(分析!E420&lt;&gt;"",分析!E420,"")</f>
        <v/>
      </c>
      <c r="F420" s="151" t="str">
        <f>IF(分析!F420&lt;&gt;"",分析!F420,"")</f>
        <v/>
      </c>
      <c r="G420" s="151" t="str">
        <f>IF(分析!H420&lt;&gt;"",分析!H420,"")</f>
        <v/>
      </c>
      <c r="H420" s="151" t="str">
        <f>IF(分析!I420&lt;&gt;"",分析!I420,"")</f>
        <v/>
      </c>
      <c r="I420" s="151" t="str">
        <f>IF(分析!J420&lt;&gt;"",分析!J420,"")</f>
        <v/>
      </c>
      <c r="J420" s="151" t="str">
        <f>IF(分析!AB420&lt;&gt;"",分析!AB420,"")</f>
        <v/>
      </c>
      <c r="K420" s="151" t="str">
        <f>IF(分析!AC420&lt;&gt;"",分析!AC420,"")</f>
        <v/>
      </c>
      <c r="L420" s="151" t="str">
        <f>IF(分析!K420&lt;&gt;"",分析!K420,"")</f>
        <v/>
      </c>
      <c r="M420" s="146" t="str">
        <f>IF(分析!P420&lt;&gt;"",分析!P420,"")</f>
        <v/>
      </c>
      <c r="N420" s="152" t="str">
        <f>IF(分析!O420&lt;&gt;"",分析!O420,"")</f>
        <v/>
      </c>
      <c r="O420" s="153" t="str">
        <f>IF(分析!X420&lt;&gt;"",分析!X420,"")</f>
        <v/>
      </c>
      <c r="P420" s="154" t="str">
        <f>IF(分析!L420&lt;&gt;"",分析!L420,"")</f>
        <v/>
      </c>
      <c r="Q420" s="151" t="str">
        <f>IF(分析!S420&lt;&gt;"",分析!S420,"")</f>
        <v/>
      </c>
      <c r="R420" s="151" t="str">
        <f>IF(分析!R420&lt;&gt;"",分析!R420,"")</f>
        <v/>
      </c>
      <c r="S420" s="146" t="str">
        <f>IF(分析!AA420&lt;&gt;"",分析!AA420,"")</f>
        <v/>
      </c>
      <c r="T420" s="155" t="str">
        <f>IF(分析!Z420&lt;&gt;"",分析!Z420,"")</f>
        <v/>
      </c>
      <c r="U420" s="146" t="str">
        <f>IF(分析!V420&lt;&gt;"",分析!V420,"")</f>
        <v/>
      </c>
      <c r="V420" s="156" t="str">
        <f>IF(分析!W420&lt;&gt;"",分析!W420,"")</f>
        <v/>
      </c>
      <c r="W420" s="157" t="str">
        <f>IF(分析!AD420&lt;&gt;"",分析!AD420,"")</f>
        <v/>
      </c>
      <c r="X420" s="158" t="str">
        <f>IF(分析!AE420&lt;&gt;"",分析!AE420,"")</f>
        <v/>
      </c>
      <c r="Y420" s="159" t="str">
        <f>IF(分析!T420&lt;&gt;"",分析!T420,"")</f>
        <v/>
      </c>
      <c r="Z420" s="160" t="str">
        <f>IF(分析!Y420&lt;&gt;"",分析!Y420,"")</f>
        <v/>
      </c>
    </row>
    <row r="421" spans="1:26" ht="21.95" customHeight="1">
      <c r="A421" s="161" t="str">
        <f>IF(分析!C421&lt;&gt;"",ROW()-2,"")</f>
        <v/>
      </c>
      <c r="B421" s="162" t="str">
        <f>IF(分析!C421&lt;&gt;"",HYPERLINK("https://kabutan.jp/stock/?code="&amp;分析!C421,"株探"),"")</f>
        <v/>
      </c>
      <c r="C421" s="163" t="str">
        <f>IF(分析!C421&lt;&gt;"",分析!C421,"")</f>
        <v/>
      </c>
      <c r="D421" s="164" t="str">
        <f>IF(分析!D421&lt;&gt;"",分析!D421,"")</f>
        <v/>
      </c>
      <c r="E421" s="165" t="str">
        <f>IF(分析!E421&lt;&gt;"",分析!E421,"")</f>
        <v/>
      </c>
      <c r="F421" s="166" t="str">
        <f>IF(分析!F421&lt;&gt;"",分析!F421,"")</f>
        <v/>
      </c>
      <c r="G421" s="166" t="str">
        <f>IF(分析!H421&lt;&gt;"",分析!H421,"")</f>
        <v/>
      </c>
      <c r="H421" s="166" t="str">
        <f>IF(分析!I421&lt;&gt;"",分析!I421,"")</f>
        <v/>
      </c>
      <c r="I421" s="166" t="str">
        <f>IF(分析!J421&lt;&gt;"",分析!J421,"")</f>
        <v/>
      </c>
      <c r="J421" s="166" t="str">
        <f>IF(分析!AB421&lt;&gt;"",分析!AB421,"")</f>
        <v/>
      </c>
      <c r="K421" s="166" t="str">
        <f>IF(分析!AC421&lt;&gt;"",分析!AC421,"")</f>
        <v/>
      </c>
      <c r="L421" s="166" t="str">
        <f>IF(分析!K421&lt;&gt;"",分析!K421,"")</f>
        <v/>
      </c>
      <c r="M421" s="161" t="str">
        <f>IF(分析!P421&lt;&gt;"",分析!P421,"")</f>
        <v/>
      </c>
      <c r="N421" s="167" t="str">
        <f>IF(分析!O421&lt;&gt;"",分析!O421,"")</f>
        <v/>
      </c>
      <c r="O421" s="168" t="str">
        <f>IF(分析!X421&lt;&gt;"",分析!X421,"")</f>
        <v/>
      </c>
      <c r="P421" s="169" t="str">
        <f>IF(分析!L421&lt;&gt;"",分析!L421,"")</f>
        <v/>
      </c>
      <c r="Q421" s="166" t="str">
        <f>IF(分析!S421&lt;&gt;"",分析!S421,"")</f>
        <v/>
      </c>
      <c r="R421" s="166" t="str">
        <f>IF(分析!R421&lt;&gt;"",分析!R421,"")</f>
        <v/>
      </c>
      <c r="S421" s="161" t="str">
        <f>IF(分析!AA421&lt;&gt;"",分析!AA421,"")</f>
        <v/>
      </c>
      <c r="T421" s="170" t="str">
        <f>IF(分析!Z421&lt;&gt;"",分析!Z421,"")</f>
        <v/>
      </c>
      <c r="U421" s="161" t="str">
        <f>IF(分析!V421&lt;&gt;"",分析!V421,"")</f>
        <v/>
      </c>
      <c r="V421" s="171" t="str">
        <f>IF(分析!W421&lt;&gt;"",分析!W421,"")</f>
        <v/>
      </c>
      <c r="W421" s="172" t="str">
        <f>IF(分析!AD421&lt;&gt;"",分析!AD421,"")</f>
        <v/>
      </c>
      <c r="X421" s="173" t="str">
        <f>IF(分析!AE421&lt;&gt;"",分析!AE421,"")</f>
        <v/>
      </c>
      <c r="Y421" s="174" t="str">
        <f>IF(分析!T421&lt;&gt;"",分析!T421,"")</f>
        <v/>
      </c>
      <c r="Z421" s="160" t="str">
        <f>IF(分析!Y421&lt;&gt;"",分析!Y421,"")</f>
        <v/>
      </c>
    </row>
    <row r="422" spans="1:26" ht="21.95" customHeight="1">
      <c r="A422" s="146" t="str">
        <f>IF(分析!C422&lt;&gt;"",ROW()-2,"")</f>
        <v/>
      </c>
      <c r="B422" s="147" t="str">
        <f>IF(分析!C422&lt;&gt;"",HYPERLINK("https://kabutan.jp/stock/?code="&amp;分析!C422,"株探"),"")</f>
        <v/>
      </c>
      <c r="C422" s="148" t="str">
        <f>IF(分析!C422&lt;&gt;"",分析!C422,"")</f>
        <v/>
      </c>
      <c r="D422" s="149" t="str">
        <f>IF(分析!D422&lt;&gt;"",分析!D422,"")</f>
        <v/>
      </c>
      <c r="E422" s="150" t="str">
        <f>IF(分析!E422&lt;&gt;"",分析!E422,"")</f>
        <v/>
      </c>
      <c r="F422" s="151" t="str">
        <f>IF(分析!F422&lt;&gt;"",分析!F422,"")</f>
        <v/>
      </c>
      <c r="G422" s="151" t="str">
        <f>IF(分析!H422&lt;&gt;"",分析!H422,"")</f>
        <v/>
      </c>
      <c r="H422" s="151" t="str">
        <f>IF(分析!I422&lt;&gt;"",分析!I422,"")</f>
        <v/>
      </c>
      <c r="I422" s="151" t="str">
        <f>IF(分析!J422&lt;&gt;"",分析!J422,"")</f>
        <v/>
      </c>
      <c r="J422" s="151" t="str">
        <f>IF(分析!AB422&lt;&gt;"",分析!AB422,"")</f>
        <v/>
      </c>
      <c r="K422" s="151" t="str">
        <f>IF(分析!AC422&lt;&gt;"",分析!AC422,"")</f>
        <v/>
      </c>
      <c r="L422" s="151" t="str">
        <f>IF(分析!K422&lt;&gt;"",分析!K422,"")</f>
        <v/>
      </c>
      <c r="M422" s="146" t="str">
        <f>IF(分析!P422&lt;&gt;"",分析!P422,"")</f>
        <v/>
      </c>
      <c r="N422" s="152" t="str">
        <f>IF(分析!O422&lt;&gt;"",分析!O422,"")</f>
        <v/>
      </c>
      <c r="O422" s="153" t="str">
        <f>IF(分析!X422&lt;&gt;"",分析!X422,"")</f>
        <v/>
      </c>
      <c r="P422" s="154" t="str">
        <f>IF(分析!L422&lt;&gt;"",分析!L422,"")</f>
        <v/>
      </c>
      <c r="Q422" s="151" t="str">
        <f>IF(分析!S422&lt;&gt;"",分析!S422,"")</f>
        <v/>
      </c>
      <c r="R422" s="151" t="str">
        <f>IF(分析!R422&lt;&gt;"",分析!R422,"")</f>
        <v/>
      </c>
      <c r="S422" s="146" t="str">
        <f>IF(分析!AA422&lt;&gt;"",分析!AA422,"")</f>
        <v/>
      </c>
      <c r="T422" s="155" t="str">
        <f>IF(分析!Z422&lt;&gt;"",分析!Z422,"")</f>
        <v/>
      </c>
      <c r="U422" s="146" t="str">
        <f>IF(分析!V422&lt;&gt;"",分析!V422,"")</f>
        <v/>
      </c>
      <c r="V422" s="156" t="str">
        <f>IF(分析!W422&lt;&gt;"",分析!W422,"")</f>
        <v/>
      </c>
      <c r="W422" s="157" t="str">
        <f>IF(分析!AD422&lt;&gt;"",分析!AD422,"")</f>
        <v/>
      </c>
      <c r="X422" s="158" t="str">
        <f>IF(分析!AE422&lt;&gt;"",分析!AE422,"")</f>
        <v/>
      </c>
      <c r="Y422" s="159" t="str">
        <f>IF(分析!T422&lt;&gt;"",分析!T422,"")</f>
        <v/>
      </c>
      <c r="Z422" s="160" t="str">
        <f>IF(分析!Y422&lt;&gt;"",分析!Y422,"")</f>
        <v/>
      </c>
    </row>
    <row r="423" spans="1:26" ht="21.95" customHeight="1">
      <c r="A423" s="161" t="str">
        <f>IF(分析!C423&lt;&gt;"",ROW()-2,"")</f>
        <v/>
      </c>
      <c r="B423" s="162" t="str">
        <f>IF(分析!C423&lt;&gt;"",HYPERLINK("https://kabutan.jp/stock/?code="&amp;分析!C423,"株探"),"")</f>
        <v/>
      </c>
      <c r="C423" s="163" t="str">
        <f>IF(分析!C423&lt;&gt;"",分析!C423,"")</f>
        <v/>
      </c>
      <c r="D423" s="164" t="str">
        <f>IF(分析!D423&lt;&gt;"",分析!D423,"")</f>
        <v/>
      </c>
      <c r="E423" s="165" t="str">
        <f>IF(分析!E423&lt;&gt;"",分析!E423,"")</f>
        <v/>
      </c>
      <c r="F423" s="166" t="str">
        <f>IF(分析!F423&lt;&gt;"",分析!F423,"")</f>
        <v/>
      </c>
      <c r="G423" s="166" t="str">
        <f>IF(分析!H423&lt;&gt;"",分析!H423,"")</f>
        <v/>
      </c>
      <c r="H423" s="166" t="str">
        <f>IF(分析!I423&lt;&gt;"",分析!I423,"")</f>
        <v/>
      </c>
      <c r="I423" s="166" t="str">
        <f>IF(分析!J423&lt;&gt;"",分析!J423,"")</f>
        <v/>
      </c>
      <c r="J423" s="166" t="str">
        <f>IF(分析!AB423&lt;&gt;"",分析!AB423,"")</f>
        <v/>
      </c>
      <c r="K423" s="166" t="str">
        <f>IF(分析!AC423&lt;&gt;"",分析!AC423,"")</f>
        <v/>
      </c>
      <c r="L423" s="166" t="str">
        <f>IF(分析!K423&lt;&gt;"",分析!K423,"")</f>
        <v/>
      </c>
      <c r="M423" s="161" t="str">
        <f>IF(分析!P423&lt;&gt;"",分析!P423,"")</f>
        <v/>
      </c>
      <c r="N423" s="167" t="str">
        <f>IF(分析!O423&lt;&gt;"",分析!O423,"")</f>
        <v/>
      </c>
      <c r="O423" s="168" t="str">
        <f>IF(分析!X423&lt;&gt;"",分析!X423,"")</f>
        <v/>
      </c>
      <c r="P423" s="169" t="str">
        <f>IF(分析!L423&lt;&gt;"",分析!L423,"")</f>
        <v/>
      </c>
      <c r="Q423" s="166" t="str">
        <f>IF(分析!S423&lt;&gt;"",分析!S423,"")</f>
        <v/>
      </c>
      <c r="R423" s="166" t="str">
        <f>IF(分析!R423&lt;&gt;"",分析!R423,"")</f>
        <v/>
      </c>
      <c r="S423" s="161" t="str">
        <f>IF(分析!AA423&lt;&gt;"",分析!AA423,"")</f>
        <v/>
      </c>
      <c r="T423" s="170" t="str">
        <f>IF(分析!Z423&lt;&gt;"",分析!Z423,"")</f>
        <v/>
      </c>
      <c r="U423" s="161" t="str">
        <f>IF(分析!V423&lt;&gt;"",分析!V423,"")</f>
        <v/>
      </c>
      <c r="V423" s="171" t="str">
        <f>IF(分析!W423&lt;&gt;"",分析!W423,"")</f>
        <v/>
      </c>
      <c r="W423" s="172" t="str">
        <f>IF(分析!AD423&lt;&gt;"",分析!AD423,"")</f>
        <v/>
      </c>
      <c r="X423" s="173" t="str">
        <f>IF(分析!AE423&lt;&gt;"",分析!AE423,"")</f>
        <v/>
      </c>
      <c r="Y423" s="174" t="str">
        <f>IF(分析!T423&lt;&gt;"",分析!T423,"")</f>
        <v/>
      </c>
      <c r="Z423" s="160" t="str">
        <f>IF(分析!Y423&lt;&gt;"",分析!Y423,"")</f>
        <v/>
      </c>
    </row>
    <row r="424" spans="1:26" ht="21.95" customHeight="1">
      <c r="A424" s="146" t="str">
        <f>IF(分析!C424&lt;&gt;"",ROW()-2,"")</f>
        <v/>
      </c>
      <c r="B424" s="147" t="str">
        <f>IF(分析!C424&lt;&gt;"",HYPERLINK("https://kabutan.jp/stock/?code="&amp;分析!C424,"株探"),"")</f>
        <v/>
      </c>
      <c r="C424" s="148" t="str">
        <f>IF(分析!C424&lt;&gt;"",分析!C424,"")</f>
        <v/>
      </c>
      <c r="D424" s="149" t="str">
        <f>IF(分析!D424&lt;&gt;"",分析!D424,"")</f>
        <v/>
      </c>
      <c r="E424" s="150" t="str">
        <f>IF(分析!E424&lt;&gt;"",分析!E424,"")</f>
        <v/>
      </c>
      <c r="F424" s="151" t="str">
        <f>IF(分析!F424&lt;&gt;"",分析!F424,"")</f>
        <v/>
      </c>
      <c r="G424" s="151" t="str">
        <f>IF(分析!H424&lt;&gt;"",分析!H424,"")</f>
        <v/>
      </c>
      <c r="H424" s="151" t="str">
        <f>IF(分析!I424&lt;&gt;"",分析!I424,"")</f>
        <v/>
      </c>
      <c r="I424" s="151" t="str">
        <f>IF(分析!J424&lt;&gt;"",分析!J424,"")</f>
        <v/>
      </c>
      <c r="J424" s="151" t="str">
        <f>IF(分析!AB424&lt;&gt;"",分析!AB424,"")</f>
        <v/>
      </c>
      <c r="K424" s="151" t="str">
        <f>IF(分析!AC424&lt;&gt;"",分析!AC424,"")</f>
        <v/>
      </c>
      <c r="L424" s="151" t="str">
        <f>IF(分析!K424&lt;&gt;"",分析!K424,"")</f>
        <v/>
      </c>
      <c r="M424" s="146" t="str">
        <f>IF(分析!P424&lt;&gt;"",分析!P424,"")</f>
        <v/>
      </c>
      <c r="N424" s="152" t="str">
        <f>IF(分析!O424&lt;&gt;"",分析!O424,"")</f>
        <v/>
      </c>
      <c r="O424" s="153" t="str">
        <f>IF(分析!X424&lt;&gt;"",分析!X424,"")</f>
        <v/>
      </c>
      <c r="P424" s="154" t="str">
        <f>IF(分析!L424&lt;&gt;"",分析!L424,"")</f>
        <v/>
      </c>
      <c r="Q424" s="151" t="str">
        <f>IF(分析!S424&lt;&gt;"",分析!S424,"")</f>
        <v/>
      </c>
      <c r="R424" s="151" t="str">
        <f>IF(分析!R424&lt;&gt;"",分析!R424,"")</f>
        <v/>
      </c>
      <c r="S424" s="146" t="str">
        <f>IF(分析!AA424&lt;&gt;"",分析!AA424,"")</f>
        <v/>
      </c>
      <c r="T424" s="155" t="str">
        <f>IF(分析!Z424&lt;&gt;"",分析!Z424,"")</f>
        <v/>
      </c>
      <c r="U424" s="146" t="str">
        <f>IF(分析!V424&lt;&gt;"",分析!V424,"")</f>
        <v/>
      </c>
      <c r="V424" s="156" t="str">
        <f>IF(分析!W424&lt;&gt;"",分析!W424,"")</f>
        <v/>
      </c>
      <c r="W424" s="157" t="str">
        <f>IF(分析!AD424&lt;&gt;"",分析!AD424,"")</f>
        <v/>
      </c>
      <c r="X424" s="158" t="str">
        <f>IF(分析!AE424&lt;&gt;"",分析!AE424,"")</f>
        <v/>
      </c>
      <c r="Y424" s="159" t="str">
        <f>IF(分析!T424&lt;&gt;"",分析!T424,"")</f>
        <v/>
      </c>
      <c r="Z424" s="160" t="str">
        <f>IF(分析!Y424&lt;&gt;"",分析!Y424,"")</f>
        <v/>
      </c>
    </row>
    <row r="425" spans="1:26" ht="21.95" customHeight="1">
      <c r="A425" s="161" t="str">
        <f>IF(分析!C425&lt;&gt;"",ROW()-2,"")</f>
        <v/>
      </c>
      <c r="B425" s="162" t="str">
        <f>IF(分析!C425&lt;&gt;"",HYPERLINK("https://kabutan.jp/stock/?code="&amp;分析!C425,"株探"),"")</f>
        <v/>
      </c>
      <c r="C425" s="163" t="str">
        <f>IF(分析!C425&lt;&gt;"",分析!C425,"")</f>
        <v/>
      </c>
      <c r="D425" s="164" t="str">
        <f>IF(分析!D425&lt;&gt;"",分析!D425,"")</f>
        <v/>
      </c>
      <c r="E425" s="165" t="str">
        <f>IF(分析!E425&lt;&gt;"",分析!E425,"")</f>
        <v/>
      </c>
      <c r="F425" s="166" t="str">
        <f>IF(分析!F425&lt;&gt;"",分析!F425,"")</f>
        <v/>
      </c>
      <c r="G425" s="166" t="str">
        <f>IF(分析!H425&lt;&gt;"",分析!H425,"")</f>
        <v/>
      </c>
      <c r="H425" s="166" t="str">
        <f>IF(分析!I425&lt;&gt;"",分析!I425,"")</f>
        <v/>
      </c>
      <c r="I425" s="166" t="str">
        <f>IF(分析!J425&lt;&gt;"",分析!J425,"")</f>
        <v/>
      </c>
      <c r="J425" s="166" t="str">
        <f>IF(分析!AB425&lt;&gt;"",分析!AB425,"")</f>
        <v/>
      </c>
      <c r="K425" s="166" t="str">
        <f>IF(分析!AC425&lt;&gt;"",分析!AC425,"")</f>
        <v/>
      </c>
      <c r="L425" s="166" t="str">
        <f>IF(分析!K425&lt;&gt;"",分析!K425,"")</f>
        <v/>
      </c>
      <c r="M425" s="161" t="str">
        <f>IF(分析!P425&lt;&gt;"",分析!P425,"")</f>
        <v/>
      </c>
      <c r="N425" s="167" t="str">
        <f>IF(分析!O425&lt;&gt;"",分析!O425,"")</f>
        <v/>
      </c>
      <c r="O425" s="168" t="str">
        <f>IF(分析!X425&lt;&gt;"",分析!X425,"")</f>
        <v/>
      </c>
      <c r="P425" s="169" t="str">
        <f>IF(分析!L425&lt;&gt;"",分析!L425,"")</f>
        <v/>
      </c>
      <c r="Q425" s="166" t="str">
        <f>IF(分析!S425&lt;&gt;"",分析!S425,"")</f>
        <v/>
      </c>
      <c r="R425" s="166" t="str">
        <f>IF(分析!R425&lt;&gt;"",分析!R425,"")</f>
        <v/>
      </c>
      <c r="S425" s="161" t="str">
        <f>IF(分析!AA425&lt;&gt;"",分析!AA425,"")</f>
        <v/>
      </c>
      <c r="T425" s="170" t="str">
        <f>IF(分析!Z425&lt;&gt;"",分析!Z425,"")</f>
        <v/>
      </c>
      <c r="U425" s="161" t="str">
        <f>IF(分析!V425&lt;&gt;"",分析!V425,"")</f>
        <v/>
      </c>
      <c r="V425" s="171" t="str">
        <f>IF(分析!W425&lt;&gt;"",分析!W425,"")</f>
        <v/>
      </c>
      <c r="W425" s="172" t="str">
        <f>IF(分析!AD425&lt;&gt;"",分析!AD425,"")</f>
        <v/>
      </c>
      <c r="X425" s="173" t="str">
        <f>IF(分析!AE425&lt;&gt;"",分析!AE425,"")</f>
        <v/>
      </c>
      <c r="Y425" s="174" t="str">
        <f>IF(分析!T425&lt;&gt;"",分析!T425,"")</f>
        <v/>
      </c>
      <c r="Z425" s="160" t="str">
        <f>IF(分析!Y425&lt;&gt;"",分析!Y425,"")</f>
        <v/>
      </c>
    </row>
    <row r="426" spans="1:26" ht="21.95" customHeight="1">
      <c r="A426" s="146" t="str">
        <f>IF(分析!C426&lt;&gt;"",ROW()-2,"")</f>
        <v/>
      </c>
      <c r="B426" s="147" t="str">
        <f>IF(分析!C426&lt;&gt;"",HYPERLINK("https://kabutan.jp/stock/?code="&amp;分析!C426,"株探"),"")</f>
        <v/>
      </c>
      <c r="C426" s="148" t="str">
        <f>IF(分析!C426&lt;&gt;"",分析!C426,"")</f>
        <v/>
      </c>
      <c r="D426" s="149" t="str">
        <f>IF(分析!D426&lt;&gt;"",分析!D426,"")</f>
        <v/>
      </c>
      <c r="E426" s="150" t="str">
        <f>IF(分析!E426&lt;&gt;"",分析!E426,"")</f>
        <v/>
      </c>
      <c r="F426" s="151" t="str">
        <f>IF(分析!F426&lt;&gt;"",分析!F426,"")</f>
        <v/>
      </c>
      <c r="G426" s="151" t="str">
        <f>IF(分析!H426&lt;&gt;"",分析!H426,"")</f>
        <v/>
      </c>
      <c r="H426" s="151" t="str">
        <f>IF(分析!I426&lt;&gt;"",分析!I426,"")</f>
        <v/>
      </c>
      <c r="I426" s="151" t="str">
        <f>IF(分析!J426&lt;&gt;"",分析!J426,"")</f>
        <v/>
      </c>
      <c r="J426" s="151" t="str">
        <f>IF(分析!AB426&lt;&gt;"",分析!AB426,"")</f>
        <v/>
      </c>
      <c r="K426" s="151" t="str">
        <f>IF(分析!AC426&lt;&gt;"",分析!AC426,"")</f>
        <v/>
      </c>
      <c r="L426" s="151" t="str">
        <f>IF(分析!K426&lt;&gt;"",分析!K426,"")</f>
        <v/>
      </c>
      <c r="M426" s="146" t="str">
        <f>IF(分析!P426&lt;&gt;"",分析!P426,"")</f>
        <v/>
      </c>
      <c r="N426" s="152" t="str">
        <f>IF(分析!O426&lt;&gt;"",分析!O426,"")</f>
        <v/>
      </c>
      <c r="O426" s="153" t="str">
        <f>IF(分析!X426&lt;&gt;"",分析!X426,"")</f>
        <v/>
      </c>
      <c r="P426" s="154" t="str">
        <f>IF(分析!L426&lt;&gt;"",分析!L426,"")</f>
        <v/>
      </c>
      <c r="Q426" s="151" t="str">
        <f>IF(分析!S426&lt;&gt;"",分析!S426,"")</f>
        <v/>
      </c>
      <c r="R426" s="151" t="str">
        <f>IF(分析!R426&lt;&gt;"",分析!R426,"")</f>
        <v/>
      </c>
      <c r="S426" s="146" t="str">
        <f>IF(分析!AA426&lt;&gt;"",分析!AA426,"")</f>
        <v/>
      </c>
      <c r="T426" s="155" t="str">
        <f>IF(分析!Z426&lt;&gt;"",分析!Z426,"")</f>
        <v/>
      </c>
      <c r="U426" s="146" t="str">
        <f>IF(分析!V426&lt;&gt;"",分析!V426,"")</f>
        <v/>
      </c>
      <c r="V426" s="156" t="str">
        <f>IF(分析!W426&lt;&gt;"",分析!W426,"")</f>
        <v/>
      </c>
      <c r="W426" s="157" t="str">
        <f>IF(分析!AD426&lt;&gt;"",分析!AD426,"")</f>
        <v/>
      </c>
      <c r="X426" s="158" t="str">
        <f>IF(分析!AE426&lt;&gt;"",分析!AE426,"")</f>
        <v/>
      </c>
      <c r="Y426" s="159" t="str">
        <f>IF(分析!T426&lt;&gt;"",分析!T426,"")</f>
        <v/>
      </c>
      <c r="Z426" s="160" t="str">
        <f>IF(分析!Y426&lt;&gt;"",分析!Y426,"")</f>
        <v/>
      </c>
    </row>
    <row r="427" spans="1:26" ht="21.95" customHeight="1">
      <c r="A427" s="161" t="str">
        <f>IF(分析!C427&lt;&gt;"",ROW()-2,"")</f>
        <v/>
      </c>
      <c r="B427" s="162" t="str">
        <f>IF(分析!C427&lt;&gt;"",HYPERLINK("https://kabutan.jp/stock/?code="&amp;分析!C427,"株探"),"")</f>
        <v/>
      </c>
      <c r="C427" s="163" t="str">
        <f>IF(分析!C427&lt;&gt;"",分析!C427,"")</f>
        <v/>
      </c>
      <c r="D427" s="164" t="str">
        <f>IF(分析!D427&lt;&gt;"",分析!D427,"")</f>
        <v/>
      </c>
      <c r="E427" s="165" t="str">
        <f>IF(分析!E427&lt;&gt;"",分析!E427,"")</f>
        <v/>
      </c>
      <c r="F427" s="166" t="str">
        <f>IF(分析!F427&lt;&gt;"",分析!F427,"")</f>
        <v/>
      </c>
      <c r="G427" s="166" t="str">
        <f>IF(分析!H427&lt;&gt;"",分析!H427,"")</f>
        <v/>
      </c>
      <c r="H427" s="166" t="str">
        <f>IF(分析!I427&lt;&gt;"",分析!I427,"")</f>
        <v/>
      </c>
      <c r="I427" s="166" t="str">
        <f>IF(分析!J427&lt;&gt;"",分析!J427,"")</f>
        <v/>
      </c>
      <c r="J427" s="166" t="str">
        <f>IF(分析!AB427&lt;&gt;"",分析!AB427,"")</f>
        <v/>
      </c>
      <c r="K427" s="166" t="str">
        <f>IF(分析!AC427&lt;&gt;"",分析!AC427,"")</f>
        <v/>
      </c>
      <c r="L427" s="166" t="str">
        <f>IF(分析!K427&lt;&gt;"",分析!K427,"")</f>
        <v/>
      </c>
      <c r="M427" s="161" t="str">
        <f>IF(分析!P427&lt;&gt;"",分析!P427,"")</f>
        <v/>
      </c>
      <c r="N427" s="167" t="str">
        <f>IF(分析!O427&lt;&gt;"",分析!O427,"")</f>
        <v/>
      </c>
      <c r="O427" s="168" t="str">
        <f>IF(分析!X427&lt;&gt;"",分析!X427,"")</f>
        <v/>
      </c>
      <c r="P427" s="169" t="str">
        <f>IF(分析!L427&lt;&gt;"",分析!L427,"")</f>
        <v/>
      </c>
      <c r="Q427" s="166" t="str">
        <f>IF(分析!S427&lt;&gt;"",分析!S427,"")</f>
        <v/>
      </c>
      <c r="R427" s="166" t="str">
        <f>IF(分析!R427&lt;&gt;"",分析!R427,"")</f>
        <v/>
      </c>
      <c r="S427" s="161" t="str">
        <f>IF(分析!AA427&lt;&gt;"",分析!AA427,"")</f>
        <v/>
      </c>
      <c r="T427" s="170" t="str">
        <f>IF(分析!Z427&lt;&gt;"",分析!Z427,"")</f>
        <v/>
      </c>
      <c r="U427" s="161" t="str">
        <f>IF(分析!V427&lt;&gt;"",分析!V427,"")</f>
        <v/>
      </c>
      <c r="V427" s="171" t="str">
        <f>IF(分析!W427&lt;&gt;"",分析!W427,"")</f>
        <v/>
      </c>
      <c r="W427" s="172" t="str">
        <f>IF(分析!AD427&lt;&gt;"",分析!AD427,"")</f>
        <v/>
      </c>
      <c r="X427" s="173" t="str">
        <f>IF(分析!AE427&lt;&gt;"",分析!AE427,"")</f>
        <v/>
      </c>
      <c r="Y427" s="174" t="str">
        <f>IF(分析!T427&lt;&gt;"",分析!T427,"")</f>
        <v/>
      </c>
      <c r="Z427" s="160" t="str">
        <f>IF(分析!Y427&lt;&gt;"",分析!Y427,"")</f>
        <v/>
      </c>
    </row>
    <row r="428" spans="1:26" ht="21.95" customHeight="1">
      <c r="A428" s="146" t="str">
        <f>IF(分析!C428&lt;&gt;"",ROW()-2,"")</f>
        <v/>
      </c>
      <c r="B428" s="147" t="str">
        <f>IF(分析!C428&lt;&gt;"",HYPERLINK("https://kabutan.jp/stock/?code="&amp;分析!C428,"株探"),"")</f>
        <v/>
      </c>
      <c r="C428" s="148" t="str">
        <f>IF(分析!C428&lt;&gt;"",分析!C428,"")</f>
        <v/>
      </c>
      <c r="D428" s="149" t="str">
        <f>IF(分析!D428&lt;&gt;"",分析!D428,"")</f>
        <v/>
      </c>
      <c r="E428" s="150" t="str">
        <f>IF(分析!E428&lt;&gt;"",分析!E428,"")</f>
        <v/>
      </c>
      <c r="F428" s="151" t="str">
        <f>IF(分析!F428&lt;&gt;"",分析!F428,"")</f>
        <v/>
      </c>
      <c r="G428" s="151" t="str">
        <f>IF(分析!H428&lt;&gt;"",分析!H428,"")</f>
        <v/>
      </c>
      <c r="H428" s="151" t="str">
        <f>IF(分析!I428&lt;&gt;"",分析!I428,"")</f>
        <v/>
      </c>
      <c r="I428" s="151" t="str">
        <f>IF(分析!J428&lt;&gt;"",分析!J428,"")</f>
        <v/>
      </c>
      <c r="J428" s="151" t="str">
        <f>IF(分析!AB428&lt;&gt;"",分析!AB428,"")</f>
        <v/>
      </c>
      <c r="K428" s="151" t="str">
        <f>IF(分析!AC428&lt;&gt;"",分析!AC428,"")</f>
        <v/>
      </c>
      <c r="L428" s="151" t="str">
        <f>IF(分析!K428&lt;&gt;"",分析!K428,"")</f>
        <v/>
      </c>
      <c r="M428" s="146" t="str">
        <f>IF(分析!P428&lt;&gt;"",分析!P428,"")</f>
        <v/>
      </c>
      <c r="N428" s="152" t="str">
        <f>IF(分析!O428&lt;&gt;"",分析!O428,"")</f>
        <v/>
      </c>
      <c r="O428" s="153" t="str">
        <f>IF(分析!X428&lt;&gt;"",分析!X428,"")</f>
        <v/>
      </c>
      <c r="P428" s="154" t="str">
        <f>IF(分析!L428&lt;&gt;"",分析!L428,"")</f>
        <v/>
      </c>
      <c r="Q428" s="151" t="str">
        <f>IF(分析!S428&lt;&gt;"",分析!S428,"")</f>
        <v/>
      </c>
      <c r="R428" s="151" t="str">
        <f>IF(分析!R428&lt;&gt;"",分析!R428,"")</f>
        <v/>
      </c>
      <c r="S428" s="146" t="str">
        <f>IF(分析!AA428&lt;&gt;"",分析!AA428,"")</f>
        <v/>
      </c>
      <c r="T428" s="155" t="str">
        <f>IF(分析!Z428&lt;&gt;"",分析!Z428,"")</f>
        <v/>
      </c>
      <c r="U428" s="146" t="str">
        <f>IF(分析!V428&lt;&gt;"",分析!V428,"")</f>
        <v/>
      </c>
      <c r="V428" s="156" t="str">
        <f>IF(分析!W428&lt;&gt;"",分析!W428,"")</f>
        <v/>
      </c>
      <c r="W428" s="157" t="str">
        <f>IF(分析!AD428&lt;&gt;"",分析!AD428,"")</f>
        <v/>
      </c>
      <c r="X428" s="158" t="str">
        <f>IF(分析!AE428&lt;&gt;"",分析!AE428,"")</f>
        <v/>
      </c>
      <c r="Y428" s="159" t="str">
        <f>IF(分析!T428&lt;&gt;"",分析!T428,"")</f>
        <v/>
      </c>
      <c r="Z428" s="160" t="str">
        <f>IF(分析!Y428&lt;&gt;"",分析!Y428,"")</f>
        <v/>
      </c>
    </row>
    <row r="429" spans="1:26" ht="21.95" customHeight="1">
      <c r="A429" s="161" t="str">
        <f>IF(分析!C429&lt;&gt;"",ROW()-2,"")</f>
        <v/>
      </c>
      <c r="B429" s="162" t="str">
        <f>IF(分析!C429&lt;&gt;"",HYPERLINK("https://kabutan.jp/stock/?code="&amp;分析!C429,"株探"),"")</f>
        <v/>
      </c>
      <c r="C429" s="163" t="str">
        <f>IF(分析!C429&lt;&gt;"",分析!C429,"")</f>
        <v/>
      </c>
      <c r="D429" s="164" t="str">
        <f>IF(分析!D429&lt;&gt;"",分析!D429,"")</f>
        <v/>
      </c>
      <c r="E429" s="165" t="str">
        <f>IF(分析!E429&lt;&gt;"",分析!E429,"")</f>
        <v/>
      </c>
      <c r="F429" s="166" t="str">
        <f>IF(分析!F429&lt;&gt;"",分析!F429,"")</f>
        <v/>
      </c>
      <c r="G429" s="166" t="str">
        <f>IF(分析!H429&lt;&gt;"",分析!H429,"")</f>
        <v/>
      </c>
      <c r="H429" s="166" t="str">
        <f>IF(分析!I429&lt;&gt;"",分析!I429,"")</f>
        <v/>
      </c>
      <c r="I429" s="166" t="str">
        <f>IF(分析!J429&lt;&gt;"",分析!J429,"")</f>
        <v/>
      </c>
      <c r="J429" s="166" t="str">
        <f>IF(分析!AB429&lt;&gt;"",分析!AB429,"")</f>
        <v/>
      </c>
      <c r="K429" s="166" t="str">
        <f>IF(分析!AC429&lt;&gt;"",分析!AC429,"")</f>
        <v/>
      </c>
      <c r="L429" s="166" t="str">
        <f>IF(分析!K429&lt;&gt;"",分析!K429,"")</f>
        <v/>
      </c>
      <c r="M429" s="161" t="str">
        <f>IF(分析!P429&lt;&gt;"",分析!P429,"")</f>
        <v/>
      </c>
      <c r="N429" s="167" t="str">
        <f>IF(分析!O429&lt;&gt;"",分析!O429,"")</f>
        <v/>
      </c>
      <c r="O429" s="168" t="str">
        <f>IF(分析!X429&lt;&gt;"",分析!X429,"")</f>
        <v/>
      </c>
      <c r="P429" s="169" t="str">
        <f>IF(分析!L429&lt;&gt;"",分析!L429,"")</f>
        <v/>
      </c>
      <c r="Q429" s="166" t="str">
        <f>IF(分析!S429&lt;&gt;"",分析!S429,"")</f>
        <v/>
      </c>
      <c r="R429" s="166" t="str">
        <f>IF(分析!R429&lt;&gt;"",分析!R429,"")</f>
        <v/>
      </c>
      <c r="S429" s="161" t="str">
        <f>IF(分析!AA429&lt;&gt;"",分析!AA429,"")</f>
        <v/>
      </c>
      <c r="T429" s="170" t="str">
        <f>IF(分析!Z429&lt;&gt;"",分析!Z429,"")</f>
        <v/>
      </c>
      <c r="U429" s="161" t="str">
        <f>IF(分析!V429&lt;&gt;"",分析!V429,"")</f>
        <v/>
      </c>
      <c r="V429" s="171" t="str">
        <f>IF(分析!W429&lt;&gt;"",分析!W429,"")</f>
        <v/>
      </c>
      <c r="W429" s="172" t="str">
        <f>IF(分析!AD429&lt;&gt;"",分析!AD429,"")</f>
        <v/>
      </c>
      <c r="X429" s="173" t="str">
        <f>IF(分析!AE429&lt;&gt;"",分析!AE429,"")</f>
        <v/>
      </c>
      <c r="Y429" s="174" t="str">
        <f>IF(分析!T429&lt;&gt;"",分析!T429,"")</f>
        <v/>
      </c>
      <c r="Z429" s="160" t="str">
        <f>IF(分析!Y429&lt;&gt;"",分析!Y429,"")</f>
        <v/>
      </c>
    </row>
    <row r="430" spans="1:26" ht="21.95" customHeight="1">
      <c r="A430" s="146" t="str">
        <f>IF(分析!C430&lt;&gt;"",ROW()-2,"")</f>
        <v/>
      </c>
      <c r="B430" s="147" t="str">
        <f>IF(分析!C430&lt;&gt;"",HYPERLINK("https://kabutan.jp/stock/?code="&amp;分析!C430,"株探"),"")</f>
        <v/>
      </c>
      <c r="C430" s="148" t="str">
        <f>IF(分析!C430&lt;&gt;"",分析!C430,"")</f>
        <v/>
      </c>
      <c r="D430" s="149" t="str">
        <f>IF(分析!D430&lt;&gt;"",分析!D430,"")</f>
        <v/>
      </c>
      <c r="E430" s="150" t="str">
        <f>IF(分析!E430&lt;&gt;"",分析!E430,"")</f>
        <v/>
      </c>
      <c r="F430" s="151" t="str">
        <f>IF(分析!F430&lt;&gt;"",分析!F430,"")</f>
        <v/>
      </c>
      <c r="G430" s="151" t="str">
        <f>IF(分析!H430&lt;&gt;"",分析!H430,"")</f>
        <v/>
      </c>
      <c r="H430" s="151" t="str">
        <f>IF(分析!I430&lt;&gt;"",分析!I430,"")</f>
        <v/>
      </c>
      <c r="I430" s="151" t="str">
        <f>IF(分析!J430&lt;&gt;"",分析!J430,"")</f>
        <v/>
      </c>
      <c r="J430" s="151" t="str">
        <f>IF(分析!AB430&lt;&gt;"",分析!AB430,"")</f>
        <v/>
      </c>
      <c r="K430" s="151" t="str">
        <f>IF(分析!AC430&lt;&gt;"",分析!AC430,"")</f>
        <v/>
      </c>
      <c r="L430" s="151" t="str">
        <f>IF(分析!K430&lt;&gt;"",分析!K430,"")</f>
        <v/>
      </c>
      <c r="M430" s="146" t="str">
        <f>IF(分析!P430&lt;&gt;"",分析!P430,"")</f>
        <v/>
      </c>
      <c r="N430" s="152" t="str">
        <f>IF(分析!O430&lt;&gt;"",分析!O430,"")</f>
        <v/>
      </c>
      <c r="O430" s="153" t="str">
        <f>IF(分析!X430&lt;&gt;"",分析!X430,"")</f>
        <v/>
      </c>
      <c r="P430" s="154" t="str">
        <f>IF(分析!L430&lt;&gt;"",分析!L430,"")</f>
        <v/>
      </c>
      <c r="Q430" s="151" t="str">
        <f>IF(分析!S430&lt;&gt;"",分析!S430,"")</f>
        <v/>
      </c>
      <c r="R430" s="151" t="str">
        <f>IF(分析!R430&lt;&gt;"",分析!R430,"")</f>
        <v/>
      </c>
      <c r="S430" s="146" t="str">
        <f>IF(分析!AA430&lt;&gt;"",分析!AA430,"")</f>
        <v/>
      </c>
      <c r="T430" s="155" t="str">
        <f>IF(分析!Z430&lt;&gt;"",分析!Z430,"")</f>
        <v/>
      </c>
      <c r="U430" s="146" t="str">
        <f>IF(分析!V430&lt;&gt;"",分析!V430,"")</f>
        <v/>
      </c>
      <c r="V430" s="156" t="str">
        <f>IF(分析!W430&lt;&gt;"",分析!W430,"")</f>
        <v/>
      </c>
      <c r="W430" s="157" t="str">
        <f>IF(分析!AD430&lt;&gt;"",分析!AD430,"")</f>
        <v/>
      </c>
      <c r="X430" s="158" t="str">
        <f>IF(分析!AE430&lt;&gt;"",分析!AE430,"")</f>
        <v/>
      </c>
      <c r="Y430" s="159" t="str">
        <f>IF(分析!T430&lt;&gt;"",分析!T430,"")</f>
        <v/>
      </c>
      <c r="Z430" s="160" t="str">
        <f>IF(分析!Y430&lt;&gt;"",分析!Y430,"")</f>
        <v/>
      </c>
    </row>
    <row r="431" spans="1:26" ht="21.95" customHeight="1">
      <c r="A431" s="161" t="str">
        <f>IF(分析!C431&lt;&gt;"",ROW()-2,"")</f>
        <v/>
      </c>
      <c r="B431" s="162" t="str">
        <f>IF(分析!C431&lt;&gt;"",HYPERLINK("https://kabutan.jp/stock/?code="&amp;分析!C431,"株探"),"")</f>
        <v/>
      </c>
      <c r="C431" s="163" t="str">
        <f>IF(分析!C431&lt;&gt;"",分析!C431,"")</f>
        <v/>
      </c>
      <c r="D431" s="164" t="str">
        <f>IF(分析!D431&lt;&gt;"",分析!D431,"")</f>
        <v/>
      </c>
      <c r="E431" s="165" t="str">
        <f>IF(分析!E431&lt;&gt;"",分析!E431,"")</f>
        <v/>
      </c>
      <c r="F431" s="166" t="str">
        <f>IF(分析!F431&lt;&gt;"",分析!F431,"")</f>
        <v/>
      </c>
      <c r="G431" s="166" t="str">
        <f>IF(分析!H431&lt;&gt;"",分析!H431,"")</f>
        <v/>
      </c>
      <c r="H431" s="166" t="str">
        <f>IF(分析!I431&lt;&gt;"",分析!I431,"")</f>
        <v/>
      </c>
      <c r="I431" s="166" t="str">
        <f>IF(分析!J431&lt;&gt;"",分析!J431,"")</f>
        <v/>
      </c>
      <c r="J431" s="166" t="str">
        <f>IF(分析!AB431&lt;&gt;"",分析!AB431,"")</f>
        <v/>
      </c>
      <c r="K431" s="166" t="str">
        <f>IF(分析!AC431&lt;&gt;"",分析!AC431,"")</f>
        <v/>
      </c>
      <c r="L431" s="166" t="str">
        <f>IF(分析!K431&lt;&gt;"",分析!K431,"")</f>
        <v/>
      </c>
      <c r="M431" s="161" t="str">
        <f>IF(分析!P431&lt;&gt;"",分析!P431,"")</f>
        <v/>
      </c>
      <c r="N431" s="167" t="str">
        <f>IF(分析!O431&lt;&gt;"",分析!O431,"")</f>
        <v/>
      </c>
      <c r="O431" s="168" t="str">
        <f>IF(分析!X431&lt;&gt;"",分析!X431,"")</f>
        <v/>
      </c>
      <c r="P431" s="169" t="str">
        <f>IF(分析!L431&lt;&gt;"",分析!L431,"")</f>
        <v/>
      </c>
      <c r="Q431" s="166" t="str">
        <f>IF(分析!S431&lt;&gt;"",分析!S431,"")</f>
        <v/>
      </c>
      <c r="R431" s="166" t="str">
        <f>IF(分析!R431&lt;&gt;"",分析!R431,"")</f>
        <v/>
      </c>
      <c r="S431" s="161" t="str">
        <f>IF(分析!AA431&lt;&gt;"",分析!AA431,"")</f>
        <v/>
      </c>
      <c r="T431" s="170" t="str">
        <f>IF(分析!Z431&lt;&gt;"",分析!Z431,"")</f>
        <v/>
      </c>
      <c r="U431" s="161" t="str">
        <f>IF(分析!V431&lt;&gt;"",分析!V431,"")</f>
        <v/>
      </c>
      <c r="V431" s="171" t="str">
        <f>IF(分析!W431&lt;&gt;"",分析!W431,"")</f>
        <v/>
      </c>
      <c r="W431" s="172" t="str">
        <f>IF(分析!AD431&lt;&gt;"",分析!AD431,"")</f>
        <v/>
      </c>
      <c r="X431" s="173" t="str">
        <f>IF(分析!AE431&lt;&gt;"",分析!AE431,"")</f>
        <v/>
      </c>
      <c r="Y431" s="174" t="str">
        <f>IF(分析!T431&lt;&gt;"",分析!T431,"")</f>
        <v/>
      </c>
      <c r="Z431" s="160" t="str">
        <f>IF(分析!Y431&lt;&gt;"",分析!Y431,"")</f>
        <v/>
      </c>
    </row>
    <row r="432" spans="1:26" ht="21.95" customHeight="1">
      <c r="A432" s="146" t="str">
        <f>IF(分析!C432&lt;&gt;"",ROW()-2,"")</f>
        <v/>
      </c>
      <c r="B432" s="147" t="str">
        <f>IF(分析!C432&lt;&gt;"",HYPERLINK("https://kabutan.jp/stock/?code="&amp;分析!C432,"株探"),"")</f>
        <v/>
      </c>
      <c r="C432" s="148" t="str">
        <f>IF(分析!C432&lt;&gt;"",分析!C432,"")</f>
        <v/>
      </c>
      <c r="D432" s="149" t="str">
        <f>IF(分析!D432&lt;&gt;"",分析!D432,"")</f>
        <v/>
      </c>
      <c r="E432" s="150" t="str">
        <f>IF(分析!E432&lt;&gt;"",分析!E432,"")</f>
        <v/>
      </c>
      <c r="F432" s="151" t="str">
        <f>IF(分析!F432&lt;&gt;"",分析!F432,"")</f>
        <v/>
      </c>
      <c r="G432" s="151" t="str">
        <f>IF(分析!H432&lt;&gt;"",分析!H432,"")</f>
        <v/>
      </c>
      <c r="H432" s="151" t="str">
        <f>IF(分析!I432&lt;&gt;"",分析!I432,"")</f>
        <v/>
      </c>
      <c r="I432" s="151" t="str">
        <f>IF(分析!J432&lt;&gt;"",分析!J432,"")</f>
        <v/>
      </c>
      <c r="J432" s="151" t="str">
        <f>IF(分析!AB432&lt;&gt;"",分析!AB432,"")</f>
        <v/>
      </c>
      <c r="K432" s="151" t="str">
        <f>IF(分析!AC432&lt;&gt;"",分析!AC432,"")</f>
        <v/>
      </c>
      <c r="L432" s="151" t="str">
        <f>IF(分析!K432&lt;&gt;"",分析!K432,"")</f>
        <v/>
      </c>
      <c r="M432" s="146" t="str">
        <f>IF(分析!P432&lt;&gt;"",分析!P432,"")</f>
        <v/>
      </c>
      <c r="N432" s="152" t="str">
        <f>IF(分析!O432&lt;&gt;"",分析!O432,"")</f>
        <v/>
      </c>
      <c r="O432" s="153" t="str">
        <f>IF(分析!X432&lt;&gt;"",分析!X432,"")</f>
        <v/>
      </c>
      <c r="P432" s="154" t="str">
        <f>IF(分析!L432&lt;&gt;"",分析!L432,"")</f>
        <v/>
      </c>
      <c r="Q432" s="151" t="str">
        <f>IF(分析!S432&lt;&gt;"",分析!S432,"")</f>
        <v/>
      </c>
      <c r="R432" s="151" t="str">
        <f>IF(分析!R432&lt;&gt;"",分析!R432,"")</f>
        <v/>
      </c>
      <c r="S432" s="146" t="str">
        <f>IF(分析!AA432&lt;&gt;"",分析!AA432,"")</f>
        <v/>
      </c>
      <c r="T432" s="155" t="str">
        <f>IF(分析!Z432&lt;&gt;"",分析!Z432,"")</f>
        <v/>
      </c>
      <c r="U432" s="146" t="str">
        <f>IF(分析!V432&lt;&gt;"",分析!V432,"")</f>
        <v/>
      </c>
      <c r="V432" s="156" t="str">
        <f>IF(分析!W432&lt;&gt;"",分析!W432,"")</f>
        <v/>
      </c>
      <c r="W432" s="157" t="str">
        <f>IF(分析!AD432&lt;&gt;"",分析!AD432,"")</f>
        <v/>
      </c>
      <c r="X432" s="158" t="str">
        <f>IF(分析!AE432&lt;&gt;"",分析!AE432,"")</f>
        <v/>
      </c>
      <c r="Y432" s="159" t="str">
        <f>IF(分析!T432&lt;&gt;"",分析!T432,"")</f>
        <v/>
      </c>
      <c r="Z432" s="160" t="str">
        <f>IF(分析!Y432&lt;&gt;"",分析!Y432,"")</f>
        <v/>
      </c>
    </row>
    <row r="433" spans="1:26" ht="21.95" customHeight="1">
      <c r="A433" s="161" t="str">
        <f>IF(分析!C433&lt;&gt;"",ROW()-2,"")</f>
        <v/>
      </c>
      <c r="B433" s="162" t="str">
        <f>IF(分析!C433&lt;&gt;"",HYPERLINK("https://kabutan.jp/stock/?code="&amp;分析!C433,"株探"),"")</f>
        <v/>
      </c>
      <c r="C433" s="163" t="str">
        <f>IF(分析!C433&lt;&gt;"",分析!C433,"")</f>
        <v/>
      </c>
      <c r="D433" s="164" t="str">
        <f>IF(分析!D433&lt;&gt;"",分析!D433,"")</f>
        <v/>
      </c>
      <c r="E433" s="165" t="str">
        <f>IF(分析!E433&lt;&gt;"",分析!E433,"")</f>
        <v/>
      </c>
      <c r="F433" s="166" t="str">
        <f>IF(分析!F433&lt;&gt;"",分析!F433,"")</f>
        <v/>
      </c>
      <c r="G433" s="166" t="str">
        <f>IF(分析!H433&lt;&gt;"",分析!H433,"")</f>
        <v/>
      </c>
      <c r="H433" s="166" t="str">
        <f>IF(分析!I433&lt;&gt;"",分析!I433,"")</f>
        <v/>
      </c>
      <c r="I433" s="166" t="str">
        <f>IF(分析!J433&lt;&gt;"",分析!J433,"")</f>
        <v/>
      </c>
      <c r="J433" s="166" t="str">
        <f>IF(分析!AB433&lt;&gt;"",分析!AB433,"")</f>
        <v/>
      </c>
      <c r="K433" s="166" t="str">
        <f>IF(分析!AC433&lt;&gt;"",分析!AC433,"")</f>
        <v/>
      </c>
      <c r="L433" s="166" t="str">
        <f>IF(分析!K433&lt;&gt;"",分析!K433,"")</f>
        <v/>
      </c>
      <c r="M433" s="161" t="str">
        <f>IF(分析!P433&lt;&gt;"",分析!P433,"")</f>
        <v/>
      </c>
      <c r="N433" s="167" t="str">
        <f>IF(分析!O433&lt;&gt;"",分析!O433,"")</f>
        <v/>
      </c>
      <c r="O433" s="168" t="str">
        <f>IF(分析!X433&lt;&gt;"",分析!X433,"")</f>
        <v/>
      </c>
      <c r="P433" s="169" t="str">
        <f>IF(分析!L433&lt;&gt;"",分析!L433,"")</f>
        <v/>
      </c>
      <c r="Q433" s="166" t="str">
        <f>IF(分析!S433&lt;&gt;"",分析!S433,"")</f>
        <v/>
      </c>
      <c r="R433" s="166" t="str">
        <f>IF(分析!R433&lt;&gt;"",分析!R433,"")</f>
        <v/>
      </c>
      <c r="S433" s="161" t="str">
        <f>IF(分析!AA433&lt;&gt;"",分析!AA433,"")</f>
        <v/>
      </c>
      <c r="T433" s="170" t="str">
        <f>IF(分析!Z433&lt;&gt;"",分析!Z433,"")</f>
        <v/>
      </c>
      <c r="U433" s="161" t="str">
        <f>IF(分析!V433&lt;&gt;"",分析!V433,"")</f>
        <v/>
      </c>
      <c r="V433" s="171" t="str">
        <f>IF(分析!W433&lt;&gt;"",分析!W433,"")</f>
        <v/>
      </c>
      <c r="W433" s="172" t="str">
        <f>IF(分析!AD433&lt;&gt;"",分析!AD433,"")</f>
        <v/>
      </c>
      <c r="X433" s="173" t="str">
        <f>IF(分析!AE433&lt;&gt;"",分析!AE433,"")</f>
        <v/>
      </c>
      <c r="Y433" s="174" t="str">
        <f>IF(分析!T433&lt;&gt;"",分析!T433,"")</f>
        <v/>
      </c>
      <c r="Z433" s="160" t="str">
        <f>IF(分析!Y433&lt;&gt;"",分析!Y433,"")</f>
        <v/>
      </c>
    </row>
    <row r="434" spans="1:26" ht="21.95" customHeight="1">
      <c r="A434" s="146" t="str">
        <f>IF(分析!C434&lt;&gt;"",ROW()-2,"")</f>
        <v/>
      </c>
      <c r="B434" s="147" t="str">
        <f>IF(分析!C434&lt;&gt;"",HYPERLINK("https://kabutan.jp/stock/?code="&amp;分析!C434,"株探"),"")</f>
        <v/>
      </c>
      <c r="C434" s="148" t="str">
        <f>IF(分析!C434&lt;&gt;"",分析!C434,"")</f>
        <v/>
      </c>
      <c r="D434" s="149" t="str">
        <f>IF(分析!D434&lt;&gt;"",分析!D434,"")</f>
        <v/>
      </c>
      <c r="E434" s="150" t="str">
        <f>IF(分析!E434&lt;&gt;"",分析!E434,"")</f>
        <v/>
      </c>
      <c r="F434" s="151" t="str">
        <f>IF(分析!F434&lt;&gt;"",分析!F434,"")</f>
        <v/>
      </c>
      <c r="G434" s="151" t="str">
        <f>IF(分析!H434&lt;&gt;"",分析!H434,"")</f>
        <v/>
      </c>
      <c r="H434" s="151" t="str">
        <f>IF(分析!I434&lt;&gt;"",分析!I434,"")</f>
        <v/>
      </c>
      <c r="I434" s="151" t="str">
        <f>IF(分析!J434&lt;&gt;"",分析!J434,"")</f>
        <v/>
      </c>
      <c r="J434" s="151" t="str">
        <f>IF(分析!AB434&lt;&gt;"",分析!AB434,"")</f>
        <v/>
      </c>
      <c r="K434" s="151" t="str">
        <f>IF(分析!AC434&lt;&gt;"",分析!AC434,"")</f>
        <v/>
      </c>
      <c r="L434" s="151" t="str">
        <f>IF(分析!K434&lt;&gt;"",分析!K434,"")</f>
        <v/>
      </c>
      <c r="M434" s="146" t="str">
        <f>IF(分析!P434&lt;&gt;"",分析!P434,"")</f>
        <v/>
      </c>
      <c r="N434" s="152" t="str">
        <f>IF(分析!O434&lt;&gt;"",分析!O434,"")</f>
        <v/>
      </c>
      <c r="O434" s="153" t="str">
        <f>IF(分析!X434&lt;&gt;"",分析!X434,"")</f>
        <v/>
      </c>
      <c r="P434" s="154" t="str">
        <f>IF(分析!L434&lt;&gt;"",分析!L434,"")</f>
        <v/>
      </c>
      <c r="Q434" s="151" t="str">
        <f>IF(分析!S434&lt;&gt;"",分析!S434,"")</f>
        <v/>
      </c>
      <c r="R434" s="151" t="str">
        <f>IF(分析!R434&lt;&gt;"",分析!R434,"")</f>
        <v/>
      </c>
      <c r="S434" s="146" t="str">
        <f>IF(分析!AA434&lt;&gt;"",分析!AA434,"")</f>
        <v/>
      </c>
      <c r="T434" s="155" t="str">
        <f>IF(分析!Z434&lt;&gt;"",分析!Z434,"")</f>
        <v/>
      </c>
      <c r="U434" s="146" t="str">
        <f>IF(分析!V434&lt;&gt;"",分析!V434,"")</f>
        <v/>
      </c>
      <c r="V434" s="156" t="str">
        <f>IF(分析!W434&lt;&gt;"",分析!W434,"")</f>
        <v/>
      </c>
      <c r="W434" s="157" t="str">
        <f>IF(分析!AD434&lt;&gt;"",分析!AD434,"")</f>
        <v/>
      </c>
      <c r="X434" s="158" t="str">
        <f>IF(分析!AE434&lt;&gt;"",分析!AE434,"")</f>
        <v/>
      </c>
      <c r="Y434" s="159" t="str">
        <f>IF(分析!T434&lt;&gt;"",分析!T434,"")</f>
        <v/>
      </c>
      <c r="Z434" s="160" t="str">
        <f>IF(分析!Y434&lt;&gt;"",分析!Y434,"")</f>
        <v/>
      </c>
    </row>
    <row r="435" spans="1:26" ht="21.95" customHeight="1">
      <c r="A435" s="161" t="str">
        <f>IF(分析!C435&lt;&gt;"",ROW()-2,"")</f>
        <v/>
      </c>
      <c r="B435" s="162" t="str">
        <f>IF(分析!C435&lt;&gt;"",HYPERLINK("https://kabutan.jp/stock/?code="&amp;分析!C435,"株探"),"")</f>
        <v/>
      </c>
      <c r="C435" s="163" t="str">
        <f>IF(分析!C435&lt;&gt;"",分析!C435,"")</f>
        <v/>
      </c>
      <c r="D435" s="164" t="str">
        <f>IF(分析!D435&lt;&gt;"",分析!D435,"")</f>
        <v/>
      </c>
      <c r="E435" s="165" t="str">
        <f>IF(分析!E435&lt;&gt;"",分析!E435,"")</f>
        <v/>
      </c>
      <c r="F435" s="166" t="str">
        <f>IF(分析!F435&lt;&gt;"",分析!F435,"")</f>
        <v/>
      </c>
      <c r="G435" s="166" t="str">
        <f>IF(分析!H435&lt;&gt;"",分析!H435,"")</f>
        <v/>
      </c>
      <c r="H435" s="166" t="str">
        <f>IF(分析!I435&lt;&gt;"",分析!I435,"")</f>
        <v/>
      </c>
      <c r="I435" s="166" t="str">
        <f>IF(分析!J435&lt;&gt;"",分析!J435,"")</f>
        <v/>
      </c>
      <c r="J435" s="166" t="str">
        <f>IF(分析!AB435&lt;&gt;"",分析!AB435,"")</f>
        <v/>
      </c>
      <c r="K435" s="166" t="str">
        <f>IF(分析!AC435&lt;&gt;"",分析!AC435,"")</f>
        <v/>
      </c>
      <c r="L435" s="166" t="str">
        <f>IF(分析!K435&lt;&gt;"",分析!K435,"")</f>
        <v/>
      </c>
      <c r="M435" s="161" t="str">
        <f>IF(分析!P435&lt;&gt;"",分析!P435,"")</f>
        <v/>
      </c>
      <c r="N435" s="167" t="str">
        <f>IF(分析!O435&lt;&gt;"",分析!O435,"")</f>
        <v/>
      </c>
      <c r="O435" s="168" t="str">
        <f>IF(分析!X435&lt;&gt;"",分析!X435,"")</f>
        <v/>
      </c>
      <c r="P435" s="169" t="str">
        <f>IF(分析!L435&lt;&gt;"",分析!L435,"")</f>
        <v/>
      </c>
      <c r="Q435" s="166" t="str">
        <f>IF(分析!S435&lt;&gt;"",分析!S435,"")</f>
        <v/>
      </c>
      <c r="R435" s="166" t="str">
        <f>IF(分析!R435&lt;&gt;"",分析!R435,"")</f>
        <v/>
      </c>
      <c r="S435" s="161" t="str">
        <f>IF(分析!AA435&lt;&gt;"",分析!AA435,"")</f>
        <v/>
      </c>
      <c r="T435" s="170" t="str">
        <f>IF(分析!Z435&lt;&gt;"",分析!Z435,"")</f>
        <v/>
      </c>
      <c r="U435" s="161" t="str">
        <f>IF(分析!V435&lt;&gt;"",分析!V435,"")</f>
        <v/>
      </c>
      <c r="V435" s="171" t="str">
        <f>IF(分析!W435&lt;&gt;"",分析!W435,"")</f>
        <v/>
      </c>
      <c r="W435" s="172" t="str">
        <f>IF(分析!AD435&lt;&gt;"",分析!AD435,"")</f>
        <v/>
      </c>
      <c r="X435" s="173" t="str">
        <f>IF(分析!AE435&lt;&gt;"",分析!AE435,"")</f>
        <v/>
      </c>
      <c r="Y435" s="174" t="str">
        <f>IF(分析!T435&lt;&gt;"",分析!T435,"")</f>
        <v/>
      </c>
      <c r="Z435" s="160" t="str">
        <f>IF(分析!Y435&lt;&gt;"",分析!Y435,"")</f>
        <v/>
      </c>
    </row>
    <row r="436" spans="1:26" ht="21.95" customHeight="1">
      <c r="A436" s="146" t="str">
        <f>IF(分析!C436&lt;&gt;"",ROW()-2,"")</f>
        <v/>
      </c>
      <c r="B436" s="147" t="str">
        <f>IF(分析!C436&lt;&gt;"",HYPERLINK("https://kabutan.jp/stock/?code="&amp;分析!C436,"株探"),"")</f>
        <v/>
      </c>
      <c r="C436" s="148" t="str">
        <f>IF(分析!C436&lt;&gt;"",分析!C436,"")</f>
        <v/>
      </c>
      <c r="D436" s="149" t="str">
        <f>IF(分析!D436&lt;&gt;"",分析!D436,"")</f>
        <v/>
      </c>
      <c r="E436" s="150" t="str">
        <f>IF(分析!E436&lt;&gt;"",分析!E436,"")</f>
        <v/>
      </c>
      <c r="F436" s="151" t="str">
        <f>IF(分析!F436&lt;&gt;"",分析!F436,"")</f>
        <v/>
      </c>
      <c r="G436" s="151" t="str">
        <f>IF(分析!H436&lt;&gt;"",分析!H436,"")</f>
        <v/>
      </c>
      <c r="H436" s="151" t="str">
        <f>IF(分析!I436&lt;&gt;"",分析!I436,"")</f>
        <v/>
      </c>
      <c r="I436" s="151" t="str">
        <f>IF(分析!J436&lt;&gt;"",分析!J436,"")</f>
        <v/>
      </c>
      <c r="J436" s="151" t="str">
        <f>IF(分析!AB436&lt;&gt;"",分析!AB436,"")</f>
        <v/>
      </c>
      <c r="K436" s="151" t="str">
        <f>IF(分析!AC436&lt;&gt;"",分析!AC436,"")</f>
        <v/>
      </c>
      <c r="L436" s="151" t="str">
        <f>IF(分析!K436&lt;&gt;"",分析!K436,"")</f>
        <v/>
      </c>
      <c r="M436" s="146" t="str">
        <f>IF(分析!P436&lt;&gt;"",分析!P436,"")</f>
        <v/>
      </c>
      <c r="N436" s="152" t="str">
        <f>IF(分析!O436&lt;&gt;"",分析!O436,"")</f>
        <v/>
      </c>
      <c r="O436" s="153" t="str">
        <f>IF(分析!X436&lt;&gt;"",分析!X436,"")</f>
        <v/>
      </c>
      <c r="P436" s="154" t="str">
        <f>IF(分析!L436&lt;&gt;"",分析!L436,"")</f>
        <v/>
      </c>
      <c r="Q436" s="151" t="str">
        <f>IF(分析!S436&lt;&gt;"",分析!S436,"")</f>
        <v/>
      </c>
      <c r="R436" s="151" t="str">
        <f>IF(分析!R436&lt;&gt;"",分析!R436,"")</f>
        <v/>
      </c>
      <c r="S436" s="146" t="str">
        <f>IF(分析!AA436&lt;&gt;"",分析!AA436,"")</f>
        <v/>
      </c>
      <c r="T436" s="155" t="str">
        <f>IF(分析!Z436&lt;&gt;"",分析!Z436,"")</f>
        <v/>
      </c>
      <c r="U436" s="146" t="str">
        <f>IF(分析!V436&lt;&gt;"",分析!V436,"")</f>
        <v/>
      </c>
      <c r="V436" s="156" t="str">
        <f>IF(分析!W436&lt;&gt;"",分析!W436,"")</f>
        <v/>
      </c>
      <c r="W436" s="157" t="str">
        <f>IF(分析!AD436&lt;&gt;"",分析!AD436,"")</f>
        <v/>
      </c>
      <c r="X436" s="158" t="str">
        <f>IF(分析!AE436&lt;&gt;"",分析!AE436,"")</f>
        <v/>
      </c>
      <c r="Y436" s="159" t="str">
        <f>IF(分析!T436&lt;&gt;"",分析!T436,"")</f>
        <v/>
      </c>
      <c r="Z436" s="160" t="str">
        <f>IF(分析!Y436&lt;&gt;"",分析!Y436,"")</f>
        <v/>
      </c>
    </row>
    <row r="437" spans="1:26" ht="21.95" customHeight="1">
      <c r="A437" s="161" t="str">
        <f>IF(分析!C437&lt;&gt;"",ROW()-2,"")</f>
        <v/>
      </c>
      <c r="B437" s="162" t="str">
        <f>IF(分析!C437&lt;&gt;"",HYPERLINK("https://kabutan.jp/stock/?code="&amp;分析!C437,"株探"),"")</f>
        <v/>
      </c>
      <c r="C437" s="163" t="str">
        <f>IF(分析!C437&lt;&gt;"",分析!C437,"")</f>
        <v/>
      </c>
      <c r="D437" s="164" t="str">
        <f>IF(分析!D437&lt;&gt;"",分析!D437,"")</f>
        <v/>
      </c>
      <c r="E437" s="165" t="str">
        <f>IF(分析!E437&lt;&gt;"",分析!E437,"")</f>
        <v/>
      </c>
      <c r="F437" s="166" t="str">
        <f>IF(分析!F437&lt;&gt;"",分析!F437,"")</f>
        <v/>
      </c>
      <c r="G437" s="166" t="str">
        <f>IF(分析!H437&lt;&gt;"",分析!H437,"")</f>
        <v/>
      </c>
      <c r="H437" s="166" t="str">
        <f>IF(分析!I437&lt;&gt;"",分析!I437,"")</f>
        <v/>
      </c>
      <c r="I437" s="166" t="str">
        <f>IF(分析!J437&lt;&gt;"",分析!J437,"")</f>
        <v/>
      </c>
      <c r="J437" s="166" t="str">
        <f>IF(分析!AB437&lt;&gt;"",分析!AB437,"")</f>
        <v/>
      </c>
      <c r="K437" s="166" t="str">
        <f>IF(分析!AC437&lt;&gt;"",分析!AC437,"")</f>
        <v/>
      </c>
      <c r="L437" s="166" t="str">
        <f>IF(分析!K437&lt;&gt;"",分析!K437,"")</f>
        <v/>
      </c>
      <c r="M437" s="161" t="str">
        <f>IF(分析!P437&lt;&gt;"",分析!P437,"")</f>
        <v/>
      </c>
      <c r="N437" s="167" t="str">
        <f>IF(分析!O437&lt;&gt;"",分析!O437,"")</f>
        <v/>
      </c>
      <c r="O437" s="168" t="str">
        <f>IF(分析!X437&lt;&gt;"",分析!X437,"")</f>
        <v/>
      </c>
      <c r="P437" s="169" t="str">
        <f>IF(分析!L437&lt;&gt;"",分析!L437,"")</f>
        <v/>
      </c>
      <c r="Q437" s="166" t="str">
        <f>IF(分析!S437&lt;&gt;"",分析!S437,"")</f>
        <v/>
      </c>
      <c r="R437" s="166" t="str">
        <f>IF(分析!R437&lt;&gt;"",分析!R437,"")</f>
        <v/>
      </c>
      <c r="S437" s="161" t="str">
        <f>IF(分析!AA437&lt;&gt;"",分析!AA437,"")</f>
        <v/>
      </c>
      <c r="T437" s="170" t="str">
        <f>IF(分析!Z437&lt;&gt;"",分析!Z437,"")</f>
        <v/>
      </c>
      <c r="U437" s="161" t="str">
        <f>IF(分析!V437&lt;&gt;"",分析!V437,"")</f>
        <v/>
      </c>
      <c r="V437" s="171" t="str">
        <f>IF(分析!W437&lt;&gt;"",分析!W437,"")</f>
        <v/>
      </c>
      <c r="W437" s="172" t="str">
        <f>IF(分析!AD437&lt;&gt;"",分析!AD437,"")</f>
        <v/>
      </c>
      <c r="X437" s="173" t="str">
        <f>IF(分析!AE437&lt;&gt;"",分析!AE437,"")</f>
        <v/>
      </c>
      <c r="Y437" s="174" t="str">
        <f>IF(分析!T437&lt;&gt;"",分析!T437,"")</f>
        <v/>
      </c>
      <c r="Z437" s="160" t="str">
        <f>IF(分析!Y437&lt;&gt;"",分析!Y437,"")</f>
        <v/>
      </c>
    </row>
    <row r="438" spans="1:26" ht="21.95" customHeight="1">
      <c r="A438" s="146" t="str">
        <f>IF(分析!C438&lt;&gt;"",ROW()-2,"")</f>
        <v/>
      </c>
      <c r="B438" s="147" t="str">
        <f>IF(分析!C438&lt;&gt;"",HYPERLINK("https://kabutan.jp/stock/?code="&amp;分析!C438,"株探"),"")</f>
        <v/>
      </c>
      <c r="C438" s="148" t="str">
        <f>IF(分析!C438&lt;&gt;"",分析!C438,"")</f>
        <v/>
      </c>
      <c r="D438" s="149" t="str">
        <f>IF(分析!D438&lt;&gt;"",分析!D438,"")</f>
        <v/>
      </c>
      <c r="E438" s="150" t="str">
        <f>IF(分析!E438&lt;&gt;"",分析!E438,"")</f>
        <v/>
      </c>
      <c r="F438" s="151" t="str">
        <f>IF(分析!F438&lt;&gt;"",分析!F438,"")</f>
        <v/>
      </c>
      <c r="G438" s="151" t="str">
        <f>IF(分析!H438&lt;&gt;"",分析!H438,"")</f>
        <v/>
      </c>
      <c r="H438" s="151" t="str">
        <f>IF(分析!I438&lt;&gt;"",分析!I438,"")</f>
        <v/>
      </c>
      <c r="I438" s="151" t="str">
        <f>IF(分析!J438&lt;&gt;"",分析!J438,"")</f>
        <v/>
      </c>
      <c r="J438" s="151" t="str">
        <f>IF(分析!AB438&lt;&gt;"",分析!AB438,"")</f>
        <v/>
      </c>
      <c r="K438" s="151" t="str">
        <f>IF(分析!AC438&lt;&gt;"",分析!AC438,"")</f>
        <v/>
      </c>
      <c r="L438" s="151" t="str">
        <f>IF(分析!K438&lt;&gt;"",分析!K438,"")</f>
        <v/>
      </c>
      <c r="M438" s="146" t="str">
        <f>IF(分析!P438&lt;&gt;"",分析!P438,"")</f>
        <v/>
      </c>
      <c r="N438" s="152" t="str">
        <f>IF(分析!O438&lt;&gt;"",分析!O438,"")</f>
        <v/>
      </c>
      <c r="O438" s="153" t="str">
        <f>IF(分析!X438&lt;&gt;"",分析!X438,"")</f>
        <v/>
      </c>
      <c r="P438" s="154" t="str">
        <f>IF(分析!L438&lt;&gt;"",分析!L438,"")</f>
        <v/>
      </c>
      <c r="Q438" s="151" t="str">
        <f>IF(分析!S438&lt;&gt;"",分析!S438,"")</f>
        <v/>
      </c>
      <c r="R438" s="151" t="str">
        <f>IF(分析!R438&lt;&gt;"",分析!R438,"")</f>
        <v/>
      </c>
      <c r="S438" s="146" t="str">
        <f>IF(分析!AA438&lt;&gt;"",分析!AA438,"")</f>
        <v/>
      </c>
      <c r="T438" s="155" t="str">
        <f>IF(分析!Z438&lt;&gt;"",分析!Z438,"")</f>
        <v/>
      </c>
      <c r="U438" s="146" t="str">
        <f>IF(分析!V438&lt;&gt;"",分析!V438,"")</f>
        <v/>
      </c>
      <c r="V438" s="156" t="str">
        <f>IF(分析!W438&lt;&gt;"",分析!W438,"")</f>
        <v/>
      </c>
      <c r="W438" s="157" t="str">
        <f>IF(分析!AD438&lt;&gt;"",分析!AD438,"")</f>
        <v/>
      </c>
      <c r="X438" s="158" t="str">
        <f>IF(分析!AE438&lt;&gt;"",分析!AE438,"")</f>
        <v/>
      </c>
      <c r="Y438" s="159" t="str">
        <f>IF(分析!T438&lt;&gt;"",分析!T438,"")</f>
        <v/>
      </c>
      <c r="Z438" s="160" t="str">
        <f>IF(分析!Y438&lt;&gt;"",分析!Y438,"")</f>
        <v/>
      </c>
    </row>
    <row r="439" spans="1:26" ht="21.95" customHeight="1">
      <c r="A439" s="161" t="str">
        <f>IF(分析!C439&lt;&gt;"",ROW()-2,"")</f>
        <v/>
      </c>
      <c r="B439" s="162" t="str">
        <f>IF(分析!C439&lt;&gt;"",HYPERLINK("https://kabutan.jp/stock/?code="&amp;分析!C439,"株探"),"")</f>
        <v/>
      </c>
      <c r="C439" s="163" t="str">
        <f>IF(分析!C439&lt;&gt;"",分析!C439,"")</f>
        <v/>
      </c>
      <c r="D439" s="164" t="str">
        <f>IF(分析!D439&lt;&gt;"",分析!D439,"")</f>
        <v/>
      </c>
      <c r="E439" s="165" t="str">
        <f>IF(分析!E439&lt;&gt;"",分析!E439,"")</f>
        <v/>
      </c>
      <c r="F439" s="166" t="str">
        <f>IF(分析!F439&lt;&gt;"",分析!F439,"")</f>
        <v/>
      </c>
      <c r="G439" s="166" t="str">
        <f>IF(分析!H439&lt;&gt;"",分析!H439,"")</f>
        <v/>
      </c>
      <c r="H439" s="166" t="str">
        <f>IF(分析!I439&lt;&gt;"",分析!I439,"")</f>
        <v/>
      </c>
      <c r="I439" s="166" t="str">
        <f>IF(分析!J439&lt;&gt;"",分析!J439,"")</f>
        <v/>
      </c>
      <c r="J439" s="166" t="str">
        <f>IF(分析!AB439&lt;&gt;"",分析!AB439,"")</f>
        <v/>
      </c>
      <c r="K439" s="166" t="str">
        <f>IF(分析!AC439&lt;&gt;"",分析!AC439,"")</f>
        <v/>
      </c>
      <c r="L439" s="166" t="str">
        <f>IF(分析!K439&lt;&gt;"",分析!K439,"")</f>
        <v/>
      </c>
      <c r="M439" s="161" t="str">
        <f>IF(分析!P439&lt;&gt;"",分析!P439,"")</f>
        <v/>
      </c>
      <c r="N439" s="167" t="str">
        <f>IF(分析!O439&lt;&gt;"",分析!O439,"")</f>
        <v/>
      </c>
      <c r="O439" s="168" t="str">
        <f>IF(分析!X439&lt;&gt;"",分析!X439,"")</f>
        <v/>
      </c>
      <c r="P439" s="169" t="str">
        <f>IF(分析!L439&lt;&gt;"",分析!L439,"")</f>
        <v/>
      </c>
      <c r="Q439" s="166" t="str">
        <f>IF(分析!S439&lt;&gt;"",分析!S439,"")</f>
        <v/>
      </c>
      <c r="R439" s="166" t="str">
        <f>IF(分析!R439&lt;&gt;"",分析!R439,"")</f>
        <v/>
      </c>
      <c r="S439" s="161" t="str">
        <f>IF(分析!AA439&lt;&gt;"",分析!AA439,"")</f>
        <v/>
      </c>
      <c r="T439" s="170" t="str">
        <f>IF(分析!Z439&lt;&gt;"",分析!Z439,"")</f>
        <v/>
      </c>
      <c r="U439" s="161" t="str">
        <f>IF(分析!V439&lt;&gt;"",分析!V439,"")</f>
        <v/>
      </c>
      <c r="V439" s="171" t="str">
        <f>IF(分析!W439&lt;&gt;"",分析!W439,"")</f>
        <v/>
      </c>
      <c r="W439" s="172" t="str">
        <f>IF(分析!AD439&lt;&gt;"",分析!AD439,"")</f>
        <v/>
      </c>
      <c r="X439" s="173" t="str">
        <f>IF(分析!AE439&lt;&gt;"",分析!AE439,"")</f>
        <v/>
      </c>
      <c r="Y439" s="174" t="str">
        <f>IF(分析!T439&lt;&gt;"",分析!T439,"")</f>
        <v/>
      </c>
      <c r="Z439" s="160" t="str">
        <f>IF(分析!Y439&lt;&gt;"",分析!Y439,"")</f>
        <v/>
      </c>
    </row>
    <row r="440" spans="1:26" ht="21.95" customHeight="1">
      <c r="A440" s="146" t="str">
        <f>IF(分析!C440&lt;&gt;"",ROW()-2,"")</f>
        <v/>
      </c>
      <c r="B440" s="147" t="str">
        <f>IF(分析!C440&lt;&gt;"",HYPERLINK("https://kabutan.jp/stock/?code="&amp;分析!C440,"株探"),"")</f>
        <v/>
      </c>
      <c r="C440" s="148" t="str">
        <f>IF(分析!C440&lt;&gt;"",分析!C440,"")</f>
        <v/>
      </c>
      <c r="D440" s="149" t="str">
        <f>IF(分析!D440&lt;&gt;"",分析!D440,"")</f>
        <v/>
      </c>
      <c r="E440" s="150" t="str">
        <f>IF(分析!E440&lt;&gt;"",分析!E440,"")</f>
        <v/>
      </c>
      <c r="F440" s="151" t="str">
        <f>IF(分析!F440&lt;&gt;"",分析!F440,"")</f>
        <v/>
      </c>
      <c r="G440" s="151" t="str">
        <f>IF(分析!H440&lt;&gt;"",分析!H440,"")</f>
        <v/>
      </c>
      <c r="H440" s="151" t="str">
        <f>IF(分析!I440&lt;&gt;"",分析!I440,"")</f>
        <v/>
      </c>
      <c r="I440" s="151" t="str">
        <f>IF(分析!J440&lt;&gt;"",分析!J440,"")</f>
        <v/>
      </c>
      <c r="J440" s="151" t="str">
        <f>IF(分析!AB440&lt;&gt;"",分析!AB440,"")</f>
        <v/>
      </c>
      <c r="K440" s="151" t="str">
        <f>IF(分析!AC440&lt;&gt;"",分析!AC440,"")</f>
        <v/>
      </c>
      <c r="L440" s="151" t="str">
        <f>IF(分析!K440&lt;&gt;"",分析!K440,"")</f>
        <v/>
      </c>
      <c r="M440" s="146" t="str">
        <f>IF(分析!P440&lt;&gt;"",分析!P440,"")</f>
        <v/>
      </c>
      <c r="N440" s="152" t="str">
        <f>IF(分析!O440&lt;&gt;"",分析!O440,"")</f>
        <v/>
      </c>
      <c r="O440" s="153" t="str">
        <f>IF(分析!X440&lt;&gt;"",分析!X440,"")</f>
        <v/>
      </c>
      <c r="P440" s="154" t="str">
        <f>IF(分析!L440&lt;&gt;"",分析!L440,"")</f>
        <v/>
      </c>
      <c r="Q440" s="151" t="str">
        <f>IF(分析!S440&lt;&gt;"",分析!S440,"")</f>
        <v/>
      </c>
      <c r="R440" s="151" t="str">
        <f>IF(分析!R440&lt;&gt;"",分析!R440,"")</f>
        <v/>
      </c>
      <c r="S440" s="146" t="str">
        <f>IF(分析!AA440&lt;&gt;"",分析!AA440,"")</f>
        <v/>
      </c>
      <c r="T440" s="155" t="str">
        <f>IF(分析!Z440&lt;&gt;"",分析!Z440,"")</f>
        <v/>
      </c>
      <c r="U440" s="146" t="str">
        <f>IF(分析!V440&lt;&gt;"",分析!V440,"")</f>
        <v/>
      </c>
      <c r="V440" s="156" t="str">
        <f>IF(分析!W440&lt;&gt;"",分析!W440,"")</f>
        <v/>
      </c>
      <c r="W440" s="157" t="str">
        <f>IF(分析!AD440&lt;&gt;"",分析!AD440,"")</f>
        <v/>
      </c>
      <c r="X440" s="158" t="str">
        <f>IF(分析!AE440&lt;&gt;"",分析!AE440,"")</f>
        <v/>
      </c>
      <c r="Y440" s="159" t="str">
        <f>IF(分析!T440&lt;&gt;"",分析!T440,"")</f>
        <v/>
      </c>
      <c r="Z440" s="160" t="str">
        <f>IF(分析!Y440&lt;&gt;"",分析!Y440,"")</f>
        <v/>
      </c>
    </row>
    <row r="441" spans="1:26" ht="21.95" customHeight="1">
      <c r="A441" s="161" t="str">
        <f>IF(分析!C441&lt;&gt;"",ROW()-2,"")</f>
        <v/>
      </c>
      <c r="B441" s="162" t="str">
        <f>IF(分析!C441&lt;&gt;"",HYPERLINK("https://kabutan.jp/stock/?code="&amp;分析!C441,"株探"),"")</f>
        <v/>
      </c>
      <c r="C441" s="163" t="str">
        <f>IF(分析!C441&lt;&gt;"",分析!C441,"")</f>
        <v/>
      </c>
      <c r="D441" s="164" t="str">
        <f>IF(分析!D441&lt;&gt;"",分析!D441,"")</f>
        <v/>
      </c>
      <c r="E441" s="165" t="str">
        <f>IF(分析!E441&lt;&gt;"",分析!E441,"")</f>
        <v/>
      </c>
      <c r="F441" s="166" t="str">
        <f>IF(分析!F441&lt;&gt;"",分析!F441,"")</f>
        <v/>
      </c>
      <c r="G441" s="166" t="str">
        <f>IF(分析!H441&lt;&gt;"",分析!H441,"")</f>
        <v/>
      </c>
      <c r="H441" s="166" t="str">
        <f>IF(分析!I441&lt;&gt;"",分析!I441,"")</f>
        <v/>
      </c>
      <c r="I441" s="166" t="str">
        <f>IF(分析!J441&lt;&gt;"",分析!J441,"")</f>
        <v/>
      </c>
      <c r="J441" s="166" t="str">
        <f>IF(分析!AB441&lt;&gt;"",分析!AB441,"")</f>
        <v/>
      </c>
      <c r="K441" s="166" t="str">
        <f>IF(分析!AC441&lt;&gt;"",分析!AC441,"")</f>
        <v/>
      </c>
      <c r="L441" s="166" t="str">
        <f>IF(分析!K441&lt;&gt;"",分析!K441,"")</f>
        <v/>
      </c>
      <c r="M441" s="161" t="str">
        <f>IF(分析!P441&lt;&gt;"",分析!P441,"")</f>
        <v/>
      </c>
      <c r="N441" s="167" t="str">
        <f>IF(分析!O441&lt;&gt;"",分析!O441,"")</f>
        <v/>
      </c>
      <c r="O441" s="168" t="str">
        <f>IF(分析!X441&lt;&gt;"",分析!X441,"")</f>
        <v/>
      </c>
      <c r="P441" s="169" t="str">
        <f>IF(分析!L441&lt;&gt;"",分析!L441,"")</f>
        <v/>
      </c>
      <c r="Q441" s="166" t="str">
        <f>IF(分析!S441&lt;&gt;"",分析!S441,"")</f>
        <v/>
      </c>
      <c r="R441" s="166" t="str">
        <f>IF(分析!R441&lt;&gt;"",分析!R441,"")</f>
        <v/>
      </c>
      <c r="S441" s="161" t="str">
        <f>IF(分析!AA441&lt;&gt;"",分析!AA441,"")</f>
        <v/>
      </c>
      <c r="T441" s="170" t="str">
        <f>IF(分析!Z441&lt;&gt;"",分析!Z441,"")</f>
        <v/>
      </c>
      <c r="U441" s="161" t="str">
        <f>IF(分析!V441&lt;&gt;"",分析!V441,"")</f>
        <v/>
      </c>
      <c r="V441" s="171" t="str">
        <f>IF(分析!W441&lt;&gt;"",分析!W441,"")</f>
        <v/>
      </c>
      <c r="W441" s="172" t="str">
        <f>IF(分析!AD441&lt;&gt;"",分析!AD441,"")</f>
        <v/>
      </c>
      <c r="X441" s="173" t="str">
        <f>IF(分析!AE441&lt;&gt;"",分析!AE441,"")</f>
        <v/>
      </c>
      <c r="Y441" s="174" t="str">
        <f>IF(分析!T441&lt;&gt;"",分析!T441,"")</f>
        <v/>
      </c>
      <c r="Z441" s="160" t="str">
        <f>IF(分析!Y441&lt;&gt;"",分析!Y441,"")</f>
        <v/>
      </c>
    </row>
    <row r="442" spans="1:26" ht="21.95" customHeight="1">
      <c r="A442" s="146" t="str">
        <f>IF(分析!C442&lt;&gt;"",ROW()-2,"")</f>
        <v/>
      </c>
      <c r="B442" s="147" t="str">
        <f>IF(分析!C442&lt;&gt;"",HYPERLINK("https://kabutan.jp/stock/?code="&amp;分析!C442,"株探"),"")</f>
        <v/>
      </c>
      <c r="C442" s="148" t="str">
        <f>IF(分析!C442&lt;&gt;"",分析!C442,"")</f>
        <v/>
      </c>
      <c r="D442" s="149" t="str">
        <f>IF(分析!D442&lt;&gt;"",分析!D442,"")</f>
        <v/>
      </c>
      <c r="E442" s="150" t="str">
        <f>IF(分析!E442&lt;&gt;"",分析!E442,"")</f>
        <v/>
      </c>
      <c r="F442" s="151" t="str">
        <f>IF(分析!F442&lt;&gt;"",分析!F442,"")</f>
        <v/>
      </c>
      <c r="G442" s="151" t="str">
        <f>IF(分析!H442&lt;&gt;"",分析!H442,"")</f>
        <v/>
      </c>
      <c r="H442" s="151" t="str">
        <f>IF(分析!I442&lt;&gt;"",分析!I442,"")</f>
        <v/>
      </c>
      <c r="I442" s="151" t="str">
        <f>IF(分析!J442&lt;&gt;"",分析!J442,"")</f>
        <v/>
      </c>
      <c r="J442" s="151" t="str">
        <f>IF(分析!AB442&lt;&gt;"",分析!AB442,"")</f>
        <v/>
      </c>
      <c r="K442" s="151" t="str">
        <f>IF(分析!AC442&lt;&gt;"",分析!AC442,"")</f>
        <v/>
      </c>
      <c r="L442" s="151" t="str">
        <f>IF(分析!K442&lt;&gt;"",分析!K442,"")</f>
        <v/>
      </c>
      <c r="M442" s="146" t="str">
        <f>IF(分析!P442&lt;&gt;"",分析!P442,"")</f>
        <v/>
      </c>
      <c r="N442" s="152" t="str">
        <f>IF(分析!O442&lt;&gt;"",分析!O442,"")</f>
        <v/>
      </c>
      <c r="O442" s="153" t="str">
        <f>IF(分析!X442&lt;&gt;"",分析!X442,"")</f>
        <v/>
      </c>
      <c r="P442" s="154" t="str">
        <f>IF(分析!L442&lt;&gt;"",分析!L442,"")</f>
        <v/>
      </c>
      <c r="Q442" s="151" t="str">
        <f>IF(分析!S442&lt;&gt;"",分析!S442,"")</f>
        <v/>
      </c>
      <c r="R442" s="151" t="str">
        <f>IF(分析!R442&lt;&gt;"",分析!R442,"")</f>
        <v/>
      </c>
      <c r="S442" s="146" t="str">
        <f>IF(分析!AA442&lt;&gt;"",分析!AA442,"")</f>
        <v/>
      </c>
      <c r="T442" s="155" t="str">
        <f>IF(分析!Z442&lt;&gt;"",分析!Z442,"")</f>
        <v/>
      </c>
      <c r="U442" s="146" t="str">
        <f>IF(分析!V442&lt;&gt;"",分析!V442,"")</f>
        <v/>
      </c>
      <c r="V442" s="156" t="str">
        <f>IF(分析!W442&lt;&gt;"",分析!W442,"")</f>
        <v/>
      </c>
      <c r="W442" s="157" t="str">
        <f>IF(分析!AD442&lt;&gt;"",分析!AD442,"")</f>
        <v/>
      </c>
      <c r="X442" s="158" t="str">
        <f>IF(分析!AE442&lt;&gt;"",分析!AE442,"")</f>
        <v/>
      </c>
      <c r="Y442" s="159" t="str">
        <f>IF(分析!T442&lt;&gt;"",分析!T442,"")</f>
        <v/>
      </c>
      <c r="Z442" s="160" t="str">
        <f>IF(分析!Y442&lt;&gt;"",分析!Y442,"")</f>
        <v/>
      </c>
    </row>
    <row r="443" spans="1:26" ht="21.95" customHeight="1">
      <c r="A443" s="161" t="str">
        <f>IF(分析!C443&lt;&gt;"",ROW()-2,"")</f>
        <v/>
      </c>
      <c r="B443" s="162" t="str">
        <f>IF(分析!C443&lt;&gt;"",HYPERLINK("https://kabutan.jp/stock/?code="&amp;分析!C443,"株探"),"")</f>
        <v/>
      </c>
      <c r="C443" s="163" t="str">
        <f>IF(分析!C443&lt;&gt;"",分析!C443,"")</f>
        <v/>
      </c>
      <c r="D443" s="164" t="str">
        <f>IF(分析!D443&lt;&gt;"",分析!D443,"")</f>
        <v/>
      </c>
      <c r="E443" s="165" t="str">
        <f>IF(分析!E443&lt;&gt;"",分析!E443,"")</f>
        <v/>
      </c>
      <c r="F443" s="166" t="str">
        <f>IF(分析!F443&lt;&gt;"",分析!F443,"")</f>
        <v/>
      </c>
      <c r="G443" s="166" t="str">
        <f>IF(分析!H443&lt;&gt;"",分析!H443,"")</f>
        <v/>
      </c>
      <c r="H443" s="166" t="str">
        <f>IF(分析!I443&lt;&gt;"",分析!I443,"")</f>
        <v/>
      </c>
      <c r="I443" s="166" t="str">
        <f>IF(分析!J443&lt;&gt;"",分析!J443,"")</f>
        <v/>
      </c>
      <c r="J443" s="166" t="str">
        <f>IF(分析!AB443&lt;&gt;"",分析!AB443,"")</f>
        <v/>
      </c>
      <c r="K443" s="166" t="str">
        <f>IF(分析!AC443&lt;&gt;"",分析!AC443,"")</f>
        <v/>
      </c>
      <c r="L443" s="166" t="str">
        <f>IF(分析!K443&lt;&gt;"",分析!K443,"")</f>
        <v/>
      </c>
      <c r="M443" s="161" t="str">
        <f>IF(分析!P443&lt;&gt;"",分析!P443,"")</f>
        <v/>
      </c>
      <c r="N443" s="167" t="str">
        <f>IF(分析!O443&lt;&gt;"",分析!O443,"")</f>
        <v/>
      </c>
      <c r="O443" s="168" t="str">
        <f>IF(分析!X443&lt;&gt;"",分析!X443,"")</f>
        <v/>
      </c>
      <c r="P443" s="169" t="str">
        <f>IF(分析!L443&lt;&gt;"",分析!L443,"")</f>
        <v/>
      </c>
      <c r="Q443" s="166" t="str">
        <f>IF(分析!S443&lt;&gt;"",分析!S443,"")</f>
        <v/>
      </c>
      <c r="R443" s="166" t="str">
        <f>IF(分析!R443&lt;&gt;"",分析!R443,"")</f>
        <v/>
      </c>
      <c r="S443" s="161" t="str">
        <f>IF(分析!AA443&lt;&gt;"",分析!AA443,"")</f>
        <v/>
      </c>
      <c r="T443" s="170" t="str">
        <f>IF(分析!Z443&lt;&gt;"",分析!Z443,"")</f>
        <v/>
      </c>
      <c r="U443" s="161" t="str">
        <f>IF(分析!V443&lt;&gt;"",分析!V443,"")</f>
        <v/>
      </c>
      <c r="V443" s="171" t="str">
        <f>IF(分析!W443&lt;&gt;"",分析!W443,"")</f>
        <v/>
      </c>
      <c r="W443" s="172" t="str">
        <f>IF(分析!AD443&lt;&gt;"",分析!AD443,"")</f>
        <v/>
      </c>
      <c r="X443" s="173" t="str">
        <f>IF(分析!AE443&lt;&gt;"",分析!AE443,"")</f>
        <v/>
      </c>
      <c r="Y443" s="174" t="str">
        <f>IF(分析!T443&lt;&gt;"",分析!T443,"")</f>
        <v/>
      </c>
      <c r="Z443" s="160" t="str">
        <f>IF(分析!Y443&lt;&gt;"",分析!Y443,"")</f>
        <v/>
      </c>
    </row>
    <row r="444" spans="1:26" ht="21.95" customHeight="1">
      <c r="A444" s="146" t="str">
        <f>IF(分析!C444&lt;&gt;"",ROW()-2,"")</f>
        <v/>
      </c>
      <c r="B444" s="147" t="str">
        <f>IF(分析!C444&lt;&gt;"",HYPERLINK("https://kabutan.jp/stock/?code="&amp;分析!C444,"株探"),"")</f>
        <v/>
      </c>
      <c r="C444" s="148" t="str">
        <f>IF(分析!C444&lt;&gt;"",分析!C444,"")</f>
        <v/>
      </c>
      <c r="D444" s="149" t="str">
        <f>IF(分析!D444&lt;&gt;"",分析!D444,"")</f>
        <v/>
      </c>
      <c r="E444" s="150" t="str">
        <f>IF(分析!E444&lt;&gt;"",分析!E444,"")</f>
        <v/>
      </c>
      <c r="F444" s="151" t="str">
        <f>IF(分析!F444&lt;&gt;"",分析!F444,"")</f>
        <v/>
      </c>
      <c r="G444" s="151" t="str">
        <f>IF(分析!H444&lt;&gt;"",分析!H444,"")</f>
        <v/>
      </c>
      <c r="H444" s="151" t="str">
        <f>IF(分析!I444&lt;&gt;"",分析!I444,"")</f>
        <v/>
      </c>
      <c r="I444" s="151" t="str">
        <f>IF(分析!J444&lt;&gt;"",分析!J444,"")</f>
        <v/>
      </c>
      <c r="J444" s="151" t="str">
        <f>IF(分析!AB444&lt;&gt;"",分析!AB444,"")</f>
        <v/>
      </c>
      <c r="K444" s="151" t="str">
        <f>IF(分析!AC444&lt;&gt;"",分析!AC444,"")</f>
        <v/>
      </c>
      <c r="L444" s="151" t="str">
        <f>IF(分析!K444&lt;&gt;"",分析!K444,"")</f>
        <v/>
      </c>
      <c r="M444" s="146" t="str">
        <f>IF(分析!P444&lt;&gt;"",分析!P444,"")</f>
        <v/>
      </c>
      <c r="N444" s="152" t="str">
        <f>IF(分析!O444&lt;&gt;"",分析!O444,"")</f>
        <v/>
      </c>
      <c r="O444" s="153" t="str">
        <f>IF(分析!X444&lt;&gt;"",分析!X444,"")</f>
        <v/>
      </c>
      <c r="P444" s="154" t="str">
        <f>IF(分析!L444&lt;&gt;"",分析!L444,"")</f>
        <v/>
      </c>
      <c r="Q444" s="151" t="str">
        <f>IF(分析!S444&lt;&gt;"",分析!S444,"")</f>
        <v/>
      </c>
      <c r="R444" s="151" t="str">
        <f>IF(分析!R444&lt;&gt;"",分析!R444,"")</f>
        <v/>
      </c>
      <c r="S444" s="146" t="str">
        <f>IF(分析!AA444&lt;&gt;"",分析!AA444,"")</f>
        <v/>
      </c>
      <c r="T444" s="155" t="str">
        <f>IF(分析!Z444&lt;&gt;"",分析!Z444,"")</f>
        <v/>
      </c>
      <c r="U444" s="146" t="str">
        <f>IF(分析!V444&lt;&gt;"",分析!V444,"")</f>
        <v/>
      </c>
      <c r="V444" s="156" t="str">
        <f>IF(分析!W444&lt;&gt;"",分析!W444,"")</f>
        <v/>
      </c>
      <c r="W444" s="157" t="str">
        <f>IF(分析!AD444&lt;&gt;"",分析!AD444,"")</f>
        <v/>
      </c>
      <c r="X444" s="158" t="str">
        <f>IF(分析!AE444&lt;&gt;"",分析!AE444,"")</f>
        <v/>
      </c>
      <c r="Y444" s="159" t="str">
        <f>IF(分析!T444&lt;&gt;"",分析!T444,"")</f>
        <v/>
      </c>
      <c r="Z444" s="160" t="str">
        <f>IF(分析!Y444&lt;&gt;"",分析!Y444,"")</f>
        <v/>
      </c>
    </row>
    <row r="445" spans="1:26" ht="21.95" customHeight="1">
      <c r="A445" s="161" t="str">
        <f>IF(分析!C445&lt;&gt;"",ROW()-2,"")</f>
        <v/>
      </c>
      <c r="B445" s="162" t="str">
        <f>IF(分析!C445&lt;&gt;"",HYPERLINK("https://kabutan.jp/stock/?code="&amp;分析!C445,"株探"),"")</f>
        <v/>
      </c>
      <c r="C445" s="163" t="str">
        <f>IF(分析!C445&lt;&gt;"",分析!C445,"")</f>
        <v/>
      </c>
      <c r="D445" s="164" t="str">
        <f>IF(分析!D445&lt;&gt;"",分析!D445,"")</f>
        <v/>
      </c>
      <c r="E445" s="165" t="str">
        <f>IF(分析!E445&lt;&gt;"",分析!E445,"")</f>
        <v/>
      </c>
      <c r="F445" s="166" t="str">
        <f>IF(分析!F445&lt;&gt;"",分析!F445,"")</f>
        <v/>
      </c>
      <c r="G445" s="166" t="str">
        <f>IF(分析!H445&lt;&gt;"",分析!H445,"")</f>
        <v/>
      </c>
      <c r="H445" s="166" t="str">
        <f>IF(分析!I445&lt;&gt;"",分析!I445,"")</f>
        <v/>
      </c>
      <c r="I445" s="166" t="str">
        <f>IF(分析!J445&lt;&gt;"",分析!J445,"")</f>
        <v/>
      </c>
      <c r="J445" s="166" t="str">
        <f>IF(分析!AB445&lt;&gt;"",分析!AB445,"")</f>
        <v/>
      </c>
      <c r="K445" s="166" t="str">
        <f>IF(分析!AC445&lt;&gt;"",分析!AC445,"")</f>
        <v/>
      </c>
      <c r="L445" s="166" t="str">
        <f>IF(分析!K445&lt;&gt;"",分析!K445,"")</f>
        <v/>
      </c>
      <c r="M445" s="161" t="str">
        <f>IF(分析!P445&lt;&gt;"",分析!P445,"")</f>
        <v/>
      </c>
      <c r="N445" s="167" t="str">
        <f>IF(分析!O445&lt;&gt;"",分析!O445,"")</f>
        <v/>
      </c>
      <c r="O445" s="168" t="str">
        <f>IF(分析!X445&lt;&gt;"",分析!X445,"")</f>
        <v/>
      </c>
      <c r="P445" s="169" t="str">
        <f>IF(分析!L445&lt;&gt;"",分析!L445,"")</f>
        <v/>
      </c>
      <c r="Q445" s="166" t="str">
        <f>IF(分析!S445&lt;&gt;"",分析!S445,"")</f>
        <v/>
      </c>
      <c r="R445" s="166" t="str">
        <f>IF(分析!R445&lt;&gt;"",分析!R445,"")</f>
        <v/>
      </c>
      <c r="S445" s="161" t="str">
        <f>IF(分析!AA445&lt;&gt;"",分析!AA445,"")</f>
        <v/>
      </c>
      <c r="T445" s="170" t="str">
        <f>IF(分析!Z445&lt;&gt;"",分析!Z445,"")</f>
        <v/>
      </c>
      <c r="U445" s="161" t="str">
        <f>IF(分析!V445&lt;&gt;"",分析!V445,"")</f>
        <v/>
      </c>
      <c r="V445" s="171" t="str">
        <f>IF(分析!W445&lt;&gt;"",分析!W445,"")</f>
        <v/>
      </c>
      <c r="W445" s="172" t="str">
        <f>IF(分析!AD445&lt;&gt;"",分析!AD445,"")</f>
        <v/>
      </c>
      <c r="X445" s="173" t="str">
        <f>IF(分析!AE445&lt;&gt;"",分析!AE445,"")</f>
        <v/>
      </c>
      <c r="Y445" s="174" t="str">
        <f>IF(分析!T445&lt;&gt;"",分析!T445,"")</f>
        <v/>
      </c>
      <c r="Z445" s="160" t="str">
        <f>IF(分析!Y445&lt;&gt;"",分析!Y445,"")</f>
        <v/>
      </c>
    </row>
    <row r="446" spans="1:26" ht="21.95" customHeight="1">
      <c r="A446" s="146" t="str">
        <f>IF(分析!C446&lt;&gt;"",ROW()-2,"")</f>
        <v/>
      </c>
      <c r="B446" s="147" t="str">
        <f>IF(分析!C446&lt;&gt;"",HYPERLINK("https://kabutan.jp/stock/?code="&amp;分析!C446,"株探"),"")</f>
        <v/>
      </c>
      <c r="C446" s="148" t="str">
        <f>IF(分析!C446&lt;&gt;"",分析!C446,"")</f>
        <v/>
      </c>
      <c r="D446" s="149" t="str">
        <f>IF(分析!D446&lt;&gt;"",分析!D446,"")</f>
        <v/>
      </c>
      <c r="E446" s="150" t="str">
        <f>IF(分析!E446&lt;&gt;"",分析!E446,"")</f>
        <v/>
      </c>
      <c r="F446" s="151" t="str">
        <f>IF(分析!F446&lt;&gt;"",分析!F446,"")</f>
        <v/>
      </c>
      <c r="G446" s="151" t="str">
        <f>IF(分析!H446&lt;&gt;"",分析!H446,"")</f>
        <v/>
      </c>
      <c r="H446" s="151" t="str">
        <f>IF(分析!I446&lt;&gt;"",分析!I446,"")</f>
        <v/>
      </c>
      <c r="I446" s="151" t="str">
        <f>IF(分析!J446&lt;&gt;"",分析!J446,"")</f>
        <v/>
      </c>
      <c r="J446" s="151" t="str">
        <f>IF(分析!AB446&lt;&gt;"",分析!AB446,"")</f>
        <v/>
      </c>
      <c r="K446" s="151" t="str">
        <f>IF(分析!AC446&lt;&gt;"",分析!AC446,"")</f>
        <v/>
      </c>
      <c r="L446" s="151" t="str">
        <f>IF(分析!K446&lt;&gt;"",分析!K446,"")</f>
        <v/>
      </c>
      <c r="M446" s="146" t="str">
        <f>IF(分析!P446&lt;&gt;"",分析!P446,"")</f>
        <v/>
      </c>
      <c r="N446" s="152" t="str">
        <f>IF(分析!O446&lt;&gt;"",分析!O446,"")</f>
        <v/>
      </c>
      <c r="O446" s="153" t="str">
        <f>IF(分析!X446&lt;&gt;"",分析!X446,"")</f>
        <v/>
      </c>
      <c r="P446" s="154" t="str">
        <f>IF(分析!L446&lt;&gt;"",分析!L446,"")</f>
        <v/>
      </c>
      <c r="Q446" s="151" t="str">
        <f>IF(分析!S446&lt;&gt;"",分析!S446,"")</f>
        <v/>
      </c>
      <c r="R446" s="151" t="str">
        <f>IF(分析!R446&lt;&gt;"",分析!R446,"")</f>
        <v/>
      </c>
      <c r="S446" s="146" t="str">
        <f>IF(分析!AA446&lt;&gt;"",分析!AA446,"")</f>
        <v/>
      </c>
      <c r="T446" s="155" t="str">
        <f>IF(分析!Z446&lt;&gt;"",分析!Z446,"")</f>
        <v/>
      </c>
      <c r="U446" s="146" t="str">
        <f>IF(分析!V446&lt;&gt;"",分析!V446,"")</f>
        <v/>
      </c>
      <c r="V446" s="156" t="str">
        <f>IF(分析!W446&lt;&gt;"",分析!W446,"")</f>
        <v/>
      </c>
      <c r="W446" s="157" t="str">
        <f>IF(分析!AD446&lt;&gt;"",分析!AD446,"")</f>
        <v/>
      </c>
      <c r="X446" s="158" t="str">
        <f>IF(分析!AE446&lt;&gt;"",分析!AE446,"")</f>
        <v/>
      </c>
      <c r="Y446" s="159" t="str">
        <f>IF(分析!T446&lt;&gt;"",分析!T446,"")</f>
        <v/>
      </c>
      <c r="Z446" s="160" t="str">
        <f>IF(分析!Y446&lt;&gt;"",分析!Y446,"")</f>
        <v/>
      </c>
    </row>
    <row r="447" spans="1:26" ht="21.95" customHeight="1">
      <c r="A447" s="161" t="str">
        <f>IF(分析!C447&lt;&gt;"",ROW()-2,"")</f>
        <v/>
      </c>
      <c r="B447" s="162" t="str">
        <f>IF(分析!C447&lt;&gt;"",HYPERLINK("https://kabutan.jp/stock/?code="&amp;分析!C447,"株探"),"")</f>
        <v/>
      </c>
      <c r="C447" s="163" t="str">
        <f>IF(分析!C447&lt;&gt;"",分析!C447,"")</f>
        <v/>
      </c>
      <c r="D447" s="164" t="str">
        <f>IF(分析!D447&lt;&gt;"",分析!D447,"")</f>
        <v/>
      </c>
      <c r="E447" s="165" t="str">
        <f>IF(分析!E447&lt;&gt;"",分析!E447,"")</f>
        <v/>
      </c>
      <c r="F447" s="166" t="str">
        <f>IF(分析!F447&lt;&gt;"",分析!F447,"")</f>
        <v/>
      </c>
      <c r="G447" s="166" t="str">
        <f>IF(分析!H447&lt;&gt;"",分析!H447,"")</f>
        <v/>
      </c>
      <c r="H447" s="166" t="str">
        <f>IF(分析!I447&lt;&gt;"",分析!I447,"")</f>
        <v/>
      </c>
      <c r="I447" s="166" t="str">
        <f>IF(分析!J447&lt;&gt;"",分析!J447,"")</f>
        <v/>
      </c>
      <c r="J447" s="166" t="str">
        <f>IF(分析!AB447&lt;&gt;"",分析!AB447,"")</f>
        <v/>
      </c>
      <c r="K447" s="166" t="str">
        <f>IF(分析!AC447&lt;&gt;"",分析!AC447,"")</f>
        <v/>
      </c>
      <c r="L447" s="166" t="str">
        <f>IF(分析!K447&lt;&gt;"",分析!K447,"")</f>
        <v/>
      </c>
      <c r="M447" s="161" t="str">
        <f>IF(分析!P447&lt;&gt;"",分析!P447,"")</f>
        <v/>
      </c>
      <c r="N447" s="167" t="str">
        <f>IF(分析!O447&lt;&gt;"",分析!O447,"")</f>
        <v/>
      </c>
      <c r="O447" s="168" t="str">
        <f>IF(分析!X447&lt;&gt;"",分析!X447,"")</f>
        <v/>
      </c>
      <c r="P447" s="169" t="str">
        <f>IF(分析!L447&lt;&gt;"",分析!L447,"")</f>
        <v/>
      </c>
      <c r="Q447" s="166" t="str">
        <f>IF(分析!S447&lt;&gt;"",分析!S447,"")</f>
        <v/>
      </c>
      <c r="R447" s="166" t="str">
        <f>IF(分析!R447&lt;&gt;"",分析!R447,"")</f>
        <v/>
      </c>
      <c r="S447" s="161" t="str">
        <f>IF(分析!AA447&lt;&gt;"",分析!AA447,"")</f>
        <v/>
      </c>
      <c r="T447" s="170" t="str">
        <f>IF(分析!Z447&lt;&gt;"",分析!Z447,"")</f>
        <v/>
      </c>
      <c r="U447" s="161" t="str">
        <f>IF(分析!V447&lt;&gt;"",分析!V447,"")</f>
        <v/>
      </c>
      <c r="V447" s="171" t="str">
        <f>IF(分析!W447&lt;&gt;"",分析!W447,"")</f>
        <v/>
      </c>
      <c r="W447" s="172" t="str">
        <f>IF(分析!AD447&lt;&gt;"",分析!AD447,"")</f>
        <v/>
      </c>
      <c r="X447" s="173" t="str">
        <f>IF(分析!AE447&lt;&gt;"",分析!AE447,"")</f>
        <v/>
      </c>
      <c r="Y447" s="174" t="str">
        <f>IF(分析!T447&lt;&gt;"",分析!T447,"")</f>
        <v/>
      </c>
      <c r="Z447" s="160" t="str">
        <f>IF(分析!Y447&lt;&gt;"",分析!Y447,"")</f>
        <v/>
      </c>
    </row>
    <row r="448" spans="1:26" ht="21.95" customHeight="1">
      <c r="A448" s="146" t="str">
        <f>IF(分析!C448&lt;&gt;"",ROW()-2,"")</f>
        <v/>
      </c>
      <c r="B448" s="147" t="str">
        <f>IF(分析!C448&lt;&gt;"",HYPERLINK("https://kabutan.jp/stock/?code="&amp;分析!C448,"株探"),"")</f>
        <v/>
      </c>
      <c r="C448" s="148" t="str">
        <f>IF(分析!C448&lt;&gt;"",分析!C448,"")</f>
        <v/>
      </c>
      <c r="D448" s="149" t="str">
        <f>IF(分析!D448&lt;&gt;"",分析!D448,"")</f>
        <v/>
      </c>
      <c r="E448" s="150" t="str">
        <f>IF(分析!E448&lt;&gt;"",分析!E448,"")</f>
        <v/>
      </c>
      <c r="F448" s="151" t="str">
        <f>IF(分析!F448&lt;&gt;"",分析!F448,"")</f>
        <v/>
      </c>
      <c r="G448" s="151" t="str">
        <f>IF(分析!H448&lt;&gt;"",分析!H448,"")</f>
        <v/>
      </c>
      <c r="H448" s="151" t="str">
        <f>IF(分析!I448&lt;&gt;"",分析!I448,"")</f>
        <v/>
      </c>
      <c r="I448" s="151" t="str">
        <f>IF(分析!J448&lt;&gt;"",分析!J448,"")</f>
        <v/>
      </c>
      <c r="J448" s="151" t="str">
        <f>IF(分析!AB448&lt;&gt;"",分析!AB448,"")</f>
        <v/>
      </c>
      <c r="K448" s="151" t="str">
        <f>IF(分析!AC448&lt;&gt;"",分析!AC448,"")</f>
        <v/>
      </c>
      <c r="L448" s="151" t="str">
        <f>IF(分析!K448&lt;&gt;"",分析!K448,"")</f>
        <v/>
      </c>
      <c r="M448" s="146" t="str">
        <f>IF(分析!P448&lt;&gt;"",分析!P448,"")</f>
        <v/>
      </c>
      <c r="N448" s="152" t="str">
        <f>IF(分析!O448&lt;&gt;"",分析!O448,"")</f>
        <v/>
      </c>
      <c r="O448" s="153" t="str">
        <f>IF(分析!X448&lt;&gt;"",分析!X448,"")</f>
        <v/>
      </c>
      <c r="P448" s="154" t="str">
        <f>IF(分析!L448&lt;&gt;"",分析!L448,"")</f>
        <v/>
      </c>
      <c r="Q448" s="151" t="str">
        <f>IF(分析!S448&lt;&gt;"",分析!S448,"")</f>
        <v/>
      </c>
      <c r="R448" s="151" t="str">
        <f>IF(分析!R448&lt;&gt;"",分析!R448,"")</f>
        <v/>
      </c>
      <c r="S448" s="146" t="str">
        <f>IF(分析!AA448&lt;&gt;"",分析!AA448,"")</f>
        <v/>
      </c>
      <c r="T448" s="155" t="str">
        <f>IF(分析!Z448&lt;&gt;"",分析!Z448,"")</f>
        <v/>
      </c>
      <c r="U448" s="146" t="str">
        <f>IF(分析!V448&lt;&gt;"",分析!V448,"")</f>
        <v/>
      </c>
      <c r="V448" s="156" t="str">
        <f>IF(分析!W448&lt;&gt;"",分析!W448,"")</f>
        <v/>
      </c>
      <c r="W448" s="157" t="str">
        <f>IF(分析!AD448&lt;&gt;"",分析!AD448,"")</f>
        <v/>
      </c>
      <c r="X448" s="158" t="str">
        <f>IF(分析!AE448&lt;&gt;"",分析!AE448,"")</f>
        <v/>
      </c>
      <c r="Y448" s="159" t="str">
        <f>IF(分析!T448&lt;&gt;"",分析!T448,"")</f>
        <v/>
      </c>
      <c r="Z448" s="160" t="str">
        <f>IF(分析!Y448&lt;&gt;"",分析!Y448,"")</f>
        <v/>
      </c>
    </row>
    <row r="449" spans="1:26" ht="21.95" customHeight="1">
      <c r="A449" s="161" t="str">
        <f>IF(分析!C449&lt;&gt;"",ROW()-2,"")</f>
        <v/>
      </c>
      <c r="B449" s="162" t="str">
        <f>IF(分析!C449&lt;&gt;"",HYPERLINK("https://kabutan.jp/stock/?code="&amp;分析!C449,"株探"),"")</f>
        <v/>
      </c>
      <c r="C449" s="163" t="str">
        <f>IF(分析!C449&lt;&gt;"",分析!C449,"")</f>
        <v/>
      </c>
      <c r="D449" s="164" t="str">
        <f>IF(分析!D449&lt;&gt;"",分析!D449,"")</f>
        <v/>
      </c>
      <c r="E449" s="165" t="str">
        <f>IF(分析!E449&lt;&gt;"",分析!E449,"")</f>
        <v/>
      </c>
      <c r="F449" s="166" t="str">
        <f>IF(分析!F449&lt;&gt;"",分析!F449,"")</f>
        <v/>
      </c>
      <c r="G449" s="166" t="str">
        <f>IF(分析!H449&lt;&gt;"",分析!H449,"")</f>
        <v/>
      </c>
      <c r="H449" s="166" t="str">
        <f>IF(分析!I449&lt;&gt;"",分析!I449,"")</f>
        <v/>
      </c>
      <c r="I449" s="166" t="str">
        <f>IF(分析!J449&lt;&gt;"",分析!J449,"")</f>
        <v/>
      </c>
      <c r="J449" s="166" t="str">
        <f>IF(分析!AB449&lt;&gt;"",分析!AB449,"")</f>
        <v/>
      </c>
      <c r="K449" s="166" t="str">
        <f>IF(分析!AC449&lt;&gt;"",分析!AC449,"")</f>
        <v/>
      </c>
      <c r="L449" s="166" t="str">
        <f>IF(分析!K449&lt;&gt;"",分析!K449,"")</f>
        <v/>
      </c>
      <c r="M449" s="161" t="str">
        <f>IF(分析!P449&lt;&gt;"",分析!P449,"")</f>
        <v/>
      </c>
      <c r="N449" s="167" t="str">
        <f>IF(分析!O449&lt;&gt;"",分析!O449,"")</f>
        <v/>
      </c>
      <c r="O449" s="168" t="str">
        <f>IF(分析!X449&lt;&gt;"",分析!X449,"")</f>
        <v/>
      </c>
      <c r="P449" s="169" t="str">
        <f>IF(分析!L449&lt;&gt;"",分析!L449,"")</f>
        <v/>
      </c>
      <c r="Q449" s="166" t="str">
        <f>IF(分析!S449&lt;&gt;"",分析!S449,"")</f>
        <v/>
      </c>
      <c r="R449" s="166" t="str">
        <f>IF(分析!R449&lt;&gt;"",分析!R449,"")</f>
        <v/>
      </c>
      <c r="S449" s="161" t="str">
        <f>IF(分析!AA449&lt;&gt;"",分析!AA449,"")</f>
        <v/>
      </c>
      <c r="T449" s="170" t="str">
        <f>IF(分析!Z449&lt;&gt;"",分析!Z449,"")</f>
        <v/>
      </c>
      <c r="U449" s="161" t="str">
        <f>IF(分析!V449&lt;&gt;"",分析!V449,"")</f>
        <v/>
      </c>
      <c r="V449" s="171" t="str">
        <f>IF(分析!W449&lt;&gt;"",分析!W449,"")</f>
        <v/>
      </c>
      <c r="W449" s="172" t="str">
        <f>IF(分析!AD449&lt;&gt;"",分析!AD449,"")</f>
        <v/>
      </c>
      <c r="X449" s="173" t="str">
        <f>IF(分析!AE449&lt;&gt;"",分析!AE449,"")</f>
        <v/>
      </c>
      <c r="Y449" s="174" t="str">
        <f>IF(分析!T449&lt;&gt;"",分析!T449,"")</f>
        <v/>
      </c>
      <c r="Z449" s="160" t="str">
        <f>IF(分析!Y449&lt;&gt;"",分析!Y449,"")</f>
        <v/>
      </c>
    </row>
    <row r="450" spans="1:26" ht="21.95" customHeight="1">
      <c r="A450" s="146" t="str">
        <f>IF(分析!C450&lt;&gt;"",ROW()-2,"")</f>
        <v/>
      </c>
      <c r="B450" s="147" t="str">
        <f>IF(分析!C450&lt;&gt;"",HYPERLINK("https://kabutan.jp/stock/?code="&amp;分析!C450,"株探"),"")</f>
        <v/>
      </c>
      <c r="C450" s="148" t="str">
        <f>IF(分析!C450&lt;&gt;"",分析!C450,"")</f>
        <v/>
      </c>
      <c r="D450" s="149" t="str">
        <f>IF(分析!D450&lt;&gt;"",分析!D450,"")</f>
        <v/>
      </c>
      <c r="E450" s="150" t="str">
        <f>IF(分析!E450&lt;&gt;"",分析!E450,"")</f>
        <v/>
      </c>
      <c r="F450" s="151" t="str">
        <f>IF(分析!F450&lt;&gt;"",分析!F450,"")</f>
        <v/>
      </c>
      <c r="G450" s="151" t="str">
        <f>IF(分析!H450&lt;&gt;"",分析!H450,"")</f>
        <v/>
      </c>
      <c r="H450" s="151" t="str">
        <f>IF(分析!I450&lt;&gt;"",分析!I450,"")</f>
        <v/>
      </c>
      <c r="I450" s="151" t="str">
        <f>IF(分析!J450&lt;&gt;"",分析!J450,"")</f>
        <v/>
      </c>
      <c r="J450" s="151" t="str">
        <f>IF(分析!AB450&lt;&gt;"",分析!AB450,"")</f>
        <v/>
      </c>
      <c r="K450" s="151" t="str">
        <f>IF(分析!AC450&lt;&gt;"",分析!AC450,"")</f>
        <v/>
      </c>
      <c r="L450" s="151" t="str">
        <f>IF(分析!K450&lt;&gt;"",分析!K450,"")</f>
        <v/>
      </c>
      <c r="M450" s="146" t="str">
        <f>IF(分析!P450&lt;&gt;"",分析!P450,"")</f>
        <v/>
      </c>
      <c r="N450" s="152" t="str">
        <f>IF(分析!O450&lt;&gt;"",分析!O450,"")</f>
        <v/>
      </c>
      <c r="O450" s="153" t="str">
        <f>IF(分析!X450&lt;&gt;"",分析!X450,"")</f>
        <v/>
      </c>
      <c r="P450" s="154" t="str">
        <f>IF(分析!L450&lt;&gt;"",分析!L450,"")</f>
        <v/>
      </c>
      <c r="Q450" s="151" t="str">
        <f>IF(分析!S450&lt;&gt;"",分析!S450,"")</f>
        <v/>
      </c>
      <c r="R450" s="151" t="str">
        <f>IF(分析!R450&lt;&gt;"",分析!R450,"")</f>
        <v/>
      </c>
      <c r="S450" s="146" t="str">
        <f>IF(分析!AA450&lt;&gt;"",分析!AA450,"")</f>
        <v/>
      </c>
      <c r="T450" s="155" t="str">
        <f>IF(分析!Z450&lt;&gt;"",分析!Z450,"")</f>
        <v/>
      </c>
      <c r="U450" s="146" t="str">
        <f>IF(分析!V450&lt;&gt;"",分析!V450,"")</f>
        <v/>
      </c>
      <c r="V450" s="156" t="str">
        <f>IF(分析!W450&lt;&gt;"",分析!W450,"")</f>
        <v/>
      </c>
      <c r="W450" s="157" t="str">
        <f>IF(分析!AD450&lt;&gt;"",分析!AD450,"")</f>
        <v/>
      </c>
      <c r="X450" s="158" t="str">
        <f>IF(分析!AE450&lt;&gt;"",分析!AE450,"")</f>
        <v/>
      </c>
      <c r="Y450" s="159" t="str">
        <f>IF(分析!T450&lt;&gt;"",分析!T450,"")</f>
        <v/>
      </c>
      <c r="Z450" s="160" t="str">
        <f>IF(分析!Y450&lt;&gt;"",分析!Y450,"")</f>
        <v/>
      </c>
    </row>
    <row r="451" spans="1:26" ht="21.95" customHeight="1">
      <c r="A451" s="161" t="str">
        <f>IF(分析!C451&lt;&gt;"",ROW()-2,"")</f>
        <v/>
      </c>
      <c r="B451" s="162" t="str">
        <f>IF(分析!C451&lt;&gt;"",HYPERLINK("https://kabutan.jp/stock/?code="&amp;分析!C451,"株探"),"")</f>
        <v/>
      </c>
      <c r="C451" s="163" t="str">
        <f>IF(分析!C451&lt;&gt;"",分析!C451,"")</f>
        <v/>
      </c>
      <c r="D451" s="164" t="str">
        <f>IF(分析!D451&lt;&gt;"",分析!D451,"")</f>
        <v/>
      </c>
      <c r="E451" s="165" t="str">
        <f>IF(分析!E451&lt;&gt;"",分析!E451,"")</f>
        <v/>
      </c>
      <c r="F451" s="166" t="str">
        <f>IF(分析!F451&lt;&gt;"",分析!F451,"")</f>
        <v/>
      </c>
      <c r="G451" s="166" t="str">
        <f>IF(分析!H451&lt;&gt;"",分析!H451,"")</f>
        <v/>
      </c>
      <c r="H451" s="166" t="str">
        <f>IF(分析!I451&lt;&gt;"",分析!I451,"")</f>
        <v/>
      </c>
      <c r="I451" s="166" t="str">
        <f>IF(分析!J451&lt;&gt;"",分析!J451,"")</f>
        <v/>
      </c>
      <c r="J451" s="166" t="str">
        <f>IF(分析!AB451&lt;&gt;"",分析!AB451,"")</f>
        <v/>
      </c>
      <c r="K451" s="166" t="str">
        <f>IF(分析!AC451&lt;&gt;"",分析!AC451,"")</f>
        <v/>
      </c>
      <c r="L451" s="166" t="str">
        <f>IF(分析!K451&lt;&gt;"",分析!K451,"")</f>
        <v/>
      </c>
      <c r="M451" s="161" t="str">
        <f>IF(分析!P451&lt;&gt;"",分析!P451,"")</f>
        <v/>
      </c>
      <c r="N451" s="167" t="str">
        <f>IF(分析!O451&lt;&gt;"",分析!O451,"")</f>
        <v/>
      </c>
      <c r="O451" s="168" t="str">
        <f>IF(分析!X451&lt;&gt;"",分析!X451,"")</f>
        <v/>
      </c>
      <c r="P451" s="169" t="str">
        <f>IF(分析!L451&lt;&gt;"",分析!L451,"")</f>
        <v/>
      </c>
      <c r="Q451" s="166" t="str">
        <f>IF(分析!S451&lt;&gt;"",分析!S451,"")</f>
        <v/>
      </c>
      <c r="R451" s="166" t="str">
        <f>IF(分析!R451&lt;&gt;"",分析!R451,"")</f>
        <v/>
      </c>
      <c r="S451" s="161" t="str">
        <f>IF(分析!AA451&lt;&gt;"",分析!AA451,"")</f>
        <v/>
      </c>
      <c r="T451" s="170" t="str">
        <f>IF(分析!Z451&lt;&gt;"",分析!Z451,"")</f>
        <v/>
      </c>
      <c r="U451" s="161" t="str">
        <f>IF(分析!V451&lt;&gt;"",分析!V451,"")</f>
        <v/>
      </c>
      <c r="V451" s="171" t="str">
        <f>IF(分析!W451&lt;&gt;"",分析!W451,"")</f>
        <v/>
      </c>
      <c r="W451" s="172" t="str">
        <f>IF(分析!AD451&lt;&gt;"",分析!AD451,"")</f>
        <v/>
      </c>
      <c r="X451" s="173" t="str">
        <f>IF(分析!AE451&lt;&gt;"",分析!AE451,"")</f>
        <v/>
      </c>
      <c r="Y451" s="174" t="str">
        <f>IF(分析!T451&lt;&gt;"",分析!T451,"")</f>
        <v/>
      </c>
      <c r="Z451" s="160" t="str">
        <f>IF(分析!Y451&lt;&gt;"",分析!Y451,"")</f>
        <v/>
      </c>
    </row>
    <row r="452" spans="1:26" ht="21.95" customHeight="1">
      <c r="A452" s="146" t="str">
        <f>IF(分析!C452&lt;&gt;"",ROW()-2,"")</f>
        <v/>
      </c>
      <c r="B452" s="147" t="str">
        <f>IF(分析!C452&lt;&gt;"",HYPERLINK("https://kabutan.jp/stock/?code="&amp;分析!C452,"株探"),"")</f>
        <v/>
      </c>
      <c r="C452" s="148" t="str">
        <f>IF(分析!C452&lt;&gt;"",分析!C452,"")</f>
        <v/>
      </c>
      <c r="D452" s="149" t="str">
        <f>IF(分析!D452&lt;&gt;"",分析!D452,"")</f>
        <v/>
      </c>
      <c r="E452" s="150" t="str">
        <f>IF(分析!E452&lt;&gt;"",分析!E452,"")</f>
        <v/>
      </c>
      <c r="F452" s="151" t="str">
        <f>IF(分析!F452&lt;&gt;"",分析!F452,"")</f>
        <v/>
      </c>
      <c r="G452" s="151" t="str">
        <f>IF(分析!H452&lt;&gt;"",分析!H452,"")</f>
        <v/>
      </c>
      <c r="H452" s="151" t="str">
        <f>IF(分析!I452&lt;&gt;"",分析!I452,"")</f>
        <v/>
      </c>
      <c r="I452" s="151" t="str">
        <f>IF(分析!J452&lt;&gt;"",分析!J452,"")</f>
        <v/>
      </c>
      <c r="J452" s="151" t="str">
        <f>IF(分析!AB452&lt;&gt;"",分析!AB452,"")</f>
        <v/>
      </c>
      <c r="K452" s="151" t="str">
        <f>IF(分析!AC452&lt;&gt;"",分析!AC452,"")</f>
        <v/>
      </c>
      <c r="L452" s="151" t="str">
        <f>IF(分析!K452&lt;&gt;"",分析!K452,"")</f>
        <v/>
      </c>
      <c r="M452" s="146" t="str">
        <f>IF(分析!P452&lt;&gt;"",分析!P452,"")</f>
        <v/>
      </c>
      <c r="N452" s="152" t="str">
        <f>IF(分析!O452&lt;&gt;"",分析!O452,"")</f>
        <v/>
      </c>
      <c r="O452" s="153" t="str">
        <f>IF(分析!X452&lt;&gt;"",分析!X452,"")</f>
        <v/>
      </c>
      <c r="P452" s="154" t="str">
        <f>IF(分析!L452&lt;&gt;"",分析!L452,"")</f>
        <v/>
      </c>
      <c r="Q452" s="151" t="str">
        <f>IF(分析!S452&lt;&gt;"",分析!S452,"")</f>
        <v/>
      </c>
      <c r="R452" s="151" t="str">
        <f>IF(分析!R452&lt;&gt;"",分析!R452,"")</f>
        <v/>
      </c>
      <c r="S452" s="146" t="str">
        <f>IF(分析!AA452&lt;&gt;"",分析!AA452,"")</f>
        <v/>
      </c>
      <c r="T452" s="155" t="str">
        <f>IF(分析!Z452&lt;&gt;"",分析!Z452,"")</f>
        <v/>
      </c>
      <c r="U452" s="146" t="str">
        <f>IF(分析!V452&lt;&gt;"",分析!V452,"")</f>
        <v/>
      </c>
      <c r="V452" s="156" t="str">
        <f>IF(分析!W452&lt;&gt;"",分析!W452,"")</f>
        <v/>
      </c>
      <c r="W452" s="157" t="str">
        <f>IF(分析!AD452&lt;&gt;"",分析!AD452,"")</f>
        <v/>
      </c>
      <c r="X452" s="158" t="str">
        <f>IF(分析!AE452&lt;&gt;"",分析!AE452,"")</f>
        <v/>
      </c>
      <c r="Y452" s="159" t="str">
        <f>IF(分析!T452&lt;&gt;"",分析!T452,"")</f>
        <v/>
      </c>
      <c r="Z452" s="160" t="str">
        <f>IF(分析!Y452&lt;&gt;"",分析!Y452,"")</f>
        <v/>
      </c>
    </row>
    <row r="453" spans="1:26" ht="21.95" customHeight="1">
      <c r="A453" s="161" t="str">
        <f>IF(分析!C453&lt;&gt;"",ROW()-2,"")</f>
        <v/>
      </c>
      <c r="B453" s="162" t="str">
        <f>IF(分析!C453&lt;&gt;"",HYPERLINK("https://kabutan.jp/stock/?code="&amp;分析!C453,"株探"),"")</f>
        <v/>
      </c>
      <c r="C453" s="163" t="str">
        <f>IF(分析!C453&lt;&gt;"",分析!C453,"")</f>
        <v/>
      </c>
      <c r="D453" s="164" t="str">
        <f>IF(分析!D453&lt;&gt;"",分析!D453,"")</f>
        <v/>
      </c>
      <c r="E453" s="165" t="str">
        <f>IF(分析!E453&lt;&gt;"",分析!E453,"")</f>
        <v/>
      </c>
      <c r="F453" s="166" t="str">
        <f>IF(分析!F453&lt;&gt;"",分析!F453,"")</f>
        <v/>
      </c>
      <c r="G453" s="166" t="str">
        <f>IF(分析!H453&lt;&gt;"",分析!H453,"")</f>
        <v/>
      </c>
      <c r="H453" s="166" t="str">
        <f>IF(分析!I453&lt;&gt;"",分析!I453,"")</f>
        <v/>
      </c>
      <c r="I453" s="166" t="str">
        <f>IF(分析!J453&lt;&gt;"",分析!J453,"")</f>
        <v/>
      </c>
      <c r="J453" s="166" t="str">
        <f>IF(分析!AB453&lt;&gt;"",分析!AB453,"")</f>
        <v/>
      </c>
      <c r="K453" s="166" t="str">
        <f>IF(分析!AC453&lt;&gt;"",分析!AC453,"")</f>
        <v/>
      </c>
      <c r="L453" s="166" t="str">
        <f>IF(分析!K453&lt;&gt;"",分析!K453,"")</f>
        <v/>
      </c>
      <c r="M453" s="161" t="str">
        <f>IF(分析!P453&lt;&gt;"",分析!P453,"")</f>
        <v/>
      </c>
      <c r="N453" s="167" t="str">
        <f>IF(分析!O453&lt;&gt;"",分析!O453,"")</f>
        <v/>
      </c>
      <c r="O453" s="168" t="str">
        <f>IF(分析!X453&lt;&gt;"",分析!X453,"")</f>
        <v/>
      </c>
      <c r="P453" s="169" t="str">
        <f>IF(分析!L453&lt;&gt;"",分析!L453,"")</f>
        <v/>
      </c>
      <c r="Q453" s="166" t="str">
        <f>IF(分析!S453&lt;&gt;"",分析!S453,"")</f>
        <v/>
      </c>
      <c r="R453" s="166" t="str">
        <f>IF(分析!R453&lt;&gt;"",分析!R453,"")</f>
        <v/>
      </c>
      <c r="S453" s="161" t="str">
        <f>IF(分析!AA453&lt;&gt;"",分析!AA453,"")</f>
        <v/>
      </c>
      <c r="T453" s="170" t="str">
        <f>IF(分析!Z453&lt;&gt;"",分析!Z453,"")</f>
        <v/>
      </c>
      <c r="U453" s="161" t="str">
        <f>IF(分析!V453&lt;&gt;"",分析!V453,"")</f>
        <v/>
      </c>
      <c r="V453" s="171" t="str">
        <f>IF(分析!W453&lt;&gt;"",分析!W453,"")</f>
        <v/>
      </c>
      <c r="W453" s="172" t="str">
        <f>IF(分析!AD453&lt;&gt;"",分析!AD453,"")</f>
        <v/>
      </c>
      <c r="X453" s="173" t="str">
        <f>IF(分析!AE453&lt;&gt;"",分析!AE453,"")</f>
        <v/>
      </c>
      <c r="Y453" s="174" t="str">
        <f>IF(分析!T453&lt;&gt;"",分析!T453,"")</f>
        <v/>
      </c>
      <c r="Z453" s="160" t="str">
        <f>IF(分析!Y453&lt;&gt;"",分析!Y453,"")</f>
        <v/>
      </c>
    </row>
    <row r="454" spans="1:26" ht="21.95" customHeight="1">
      <c r="A454" s="146" t="str">
        <f>IF(分析!C454&lt;&gt;"",ROW()-2,"")</f>
        <v/>
      </c>
      <c r="B454" s="147" t="str">
        <f>IF(分析!C454&lt;&gt;"",HYPERLINK("https://kabutan.jp/stock/?code="&amp;分析!C454,"株探"),"")</f>
        <v/>
      </c>
      <c r="C454" s="148" t="str">
        <f>IF(分析!C454&lt;&gt;"",分析!C454,"")</f>
        <v/>
      </c>
      <c r="D454" s="149" t="str">
        <f>IF(分析!D454&lt;&gt;"",分析!D454,"")</f>
        <v/>
      </c>
      <c r="E454" s="150" t="str">
        <f>IF(分析!E454&lt;&gt;"",分析!E454,"")</f>
        <v/>
      </c>
      <c r="F454" s="151" t="str">
        <f>IF(分析!F454&lt;&gt;"",分析!F454,"")</f>
        <v/>
      </c>
      <c r="G454" s="151" t="str">
        <f>IF(分析!H454&lt;&gt;"",分析!H454,"")</f>
        <v/>
      </c>
      <c r="H454" s="151" t="str">
        <f>IF(分析!I454&lt;&gt;"",分析!I454,"")</f>
        <v/>
      </c>
      <c r="I454" s="151" t="str">
        <f>IF(分析!J454&lt;&gt;"",分析!J454,"")</f>
        <v/>
      </c>
      <c r="J454" s="151" t="str">
        <f>IF(分析!AB454&lt;&gt;"",分析!AB454,"")</f>
        <v/>
      </c>
      <c r="K454" s="151" t="str">
        <f>IF(分析!AC454&lt;&gt;"",分析!AC454,"")</f>
        <v/>
      </c>
      <c r="L454" s="151" t="str">
        <f>IF(分析!K454&lt;&gt;"",分析!K454,"")</f>
        <v/>
      </c>
      <c r="M454" s="146" t="str">
        <f>IF(分析!P454&lt;&gt;"",分析!P454,"")</f>
        <v/>
      </c>
      <c r="N454" s="152" t="str">
        <f>IF(分析!O454&lt;&gt;"",分析!O454,"")</f>
        <v/>
      </c>
      <c r="O454" s="153" t="str">
        <f>IF(分析!X454&lt;&gt;"",分析!X454,"")</f>
        <v/>
      </c>
      <c r="P454" s="154" t="str">
        <f>IF(分析!L454&lt;&gt;"",分析!L454,"")</f>
        <v/>
      </c>
      <c r="Q454" s="151" t="str">
        <f>IF(分析!S454&lt;&gt;"",分析!S454,"")</f>
        <v/>
      </c>
      <c r="R454" s="151" t="str">
        <f>IF(分析!R454&lt;&gt;"",分析!R454,"")</f>
        <v/>
      </c>
      <c r="S454" s="146" t="str">
        <f>IF(分析!AA454&lt;&gt;"",分析!AA454,"")</f>
        <v/>
      </c>
      <c r="T454" s="155" t="str">
        <f>IF(分析!Z454&lt;&gt;"",分析!Z454,"")</f>
        <v/>
      </c>
      <c r="U454" s="146" t="str">
        <f>IF(分析!V454&lt;&gt;"",分析!V454,"")</f>
        <v/>
      </c>
      <c r="V454" s="156" t="str">
        <f>IF(分析!W454&lt;&gt;"",分析!W454,"")</f>
        <v/>
      </c>
      <c r="W454" s="157" t="str">
        <f>IF(分析!AD454&lt;&gt;"",分析!AD454,"")</f>
        <v/>
      </c>
      <c r="X454" s="158" t="str">
        <f>IF(分析!AE454&lt;&gt;"",分析!AE454,"")</f>
        <v/>
      </c>
      <c r="Y454" s="159" t="str">
        <f>IF(分析!T454&lt;&gt;"",分析!T454,"")</f>
        <v/>
      </c>
      <c r="Z454" s="160" t="str">
        <f>IF(分析!Y454&lt;&gt;"",分析!Y454,"")</f>
        <v/>
      </c>
    </row>
    <row r="455" spans="1:26" ht="21.95" customHeight="1">
      <c r="A455" s="161" t="str">
        <f>IF(分析!C455&lt;&gt;"",ROW()-2,"")</f>
        <v/>
      </c>
      <c r="B455" s="162" t="str">
        <f>IF(分析!C455&lt;&gt;"",HYPERLINK("https://kabutan.jp/stock/?code="&amp;分析!C455,"株探"),"")</f>
        <v/>
      </c>
      <c r="C455" s="163" t="str">
        <f>IF(分析!C455&lt;&gt;"",分析!C455,"")</f>
        <v/>
      </c>
      <c r="D455" s="164" t="str">
        <f>IF(分析!D455&lt;&gt;"",分析!D455,"")</f>
        <v/>
      </c>
      <c r="E455" s="165" t="str">
        <f>IF(分析!E455&lt;&gt;"",分析!E455,"")</f>
        <v/>
      </c>
      <c r="F455" s="166" t="str">
        <f>IF(分析!F455&lt;&gt;"",分析!F455,"")</f>
        <v/>
      </c>
      <c r="G455" s="166" t="str">
        <f>IF(分析!H455&lt;&gt;"",分析!H455,"")</f>
        <v/>
      </c>
      <c r="H455" s="166" t="str">
        <f>IF(分析!I455&lt;&gt;"",分析!I455,"")</f>
        <v/>
      </c>
      <c r="I455" s="166" t="str">
        <f>IF(分析!J455&lt;&gt;"",分析!J455,"")</f>
        <v/>
      </c>
      <c r="J455" s="166" t="str">
        <f>IF(分析!AB455&lt;&gt;"",分析!AB455,"")</f>
        <v/>
      </c>
      <c r="K455" s="166" t="str">
        <f>IF(分析!AC455&lt;&gt;"",分析!AC455,"")</f>
        <v/>
      </c>
      <c r="L455" s="166" t="str">
        <f>IF(分析!K455&lt;&gt;"",分析!K455,"")</f>
        <v/>
      </c>
      <c r="M455" s="161" t="str">
        <f>IF(分析!P455&lt;&gt;"",分析!P455,"")</f>
        <v/>
      </c>
      <c r="N455" s="167" t="str">
        <f>IF(分析!O455&lt;&gt;"",分析!O455,"")</f>
        <v/>
      </c>
      <c r="O455" s="168" t="str">
        <f>IF(分析!X455&lt;&gt;"",分析!X455,"")</f>
        <v/>
      </c>
      <c r="P455" s="169" t="str">
        <f>IF(分析!L455&lt;&gt;"",分析!L455,"")</f>
        <v/>
      </c>
      <c r="Q455" s="166" t="str">
        <f>IF(分析!S455&lt;&gt;"",分析!S455,"")</f>
        <v/>
      </c>
      <c r="R455" s="166" t="str">
        <f>IF(分析!R455&lt;&gt;"",分析!R455,"")</f>
        <v/>
      </c>
      <c r="S455" s="161" t="str">
        <f>IF(分析!AA455&lt;&gt;"",分析!AA455,"")</f>
        <v/>
      </c>
      <c r="T455" s="170" t="str">
        <f>IF(分析!Z455&lt;&gt;"",分析!Z455,"")</f>
        <v/>
      </c>
      <c r="U455" s="161" t="str">
        <f>IF(分析!V455&lt;&gt;"",分析!V455,"")</f>
        <v/>
      </c>
      <c r="V455" s="171" t="str">
        <f>IF(分析!W455&lt;&gt;"",分析!W455,"")</f>
        <v/>
      </c>
      <c r="W455" s="172" t="str">
        <f>IF(分析!AD455&lt;&gt;"",分析!AD455,"")</f>
        <v/>
      </c>
      <c r="X455" s="173" t="str">
        <f>IF(分析!AE455&lt;&gt;"",分析!AE455,"")</f>
        <v/>
      </c>
      <c r="Y455" s="174" t="str">
        <f>IF(分析!T455&lt;&gt;"",分析!T455,"")</f>
        <v/>
      </c>
      <c r="Z455" s="160" t="str">
        <f>IF(分析!Y455&lt;&gt;"",分析!Y455,"")</f>
        <v/>
      </c>
    </row>
    <row r="456" spans="1:26" ht="21.95" customHeight="1">
      <c r="A456" s="146" t="str">
        <f>IF(分析!C456&lt;&gt;"",ROW()-2,"")</f>
        <v/>
      </c>
      <c r="B456" s="147" t="str">
        <f>IF(分析!C456&lt;&gt;"",HYPERLINK("https://kabutan.jp/stock/?code="&amp;分析!C456,"株探"),"")</f>
        <v/>
      </c>
      <c r="C456" s="148" t="str">
        <f>IF(分析!C456&lt;&gt;"",分析!C456,"")</f>
        <v/>
      </c>
      <c r="D456" s="149" t="str">
        <f>IF(分析!D456&lt;&gt;"",分析!D456,"")</f>
        <v/>
      </c>
      <c r="E456" s="150" t="str">
        <f>IF(分析!E456&lt;&gt;"",分析!E456,"")</f>
        <v/>
      </c>
      <c r="F456" s="151" t="str">
        <f>IF(分析!F456&lt;&gt;"",分析!F456,"")</f>
        <v/>
      </c>
      <c r="G456" s="151" t="str">
        <f>IF(分析!H456&lt;&gt;"",分析!H456,"")</f>
        <v/>
      </c>
      <c r="H456" s="151" t="str">
        <f>IF(分析!I456&lt;&gt;"",分析!I456,"")</f>
        <v/>
      </c>
      <c r="I456" s="151" t="str">
        <f>IF(分析!J456&lt;&gt;"",分析!J456,"")</f>
        <v/>
      </c>
      <c r="J456" s="151" t="str">
        <f>IF(分析!AB456&lt;&gt;"",分析!AB456,"")</f>
        <v/>
      </c>
      <c r="K456" s="151" t="str">
        <f>IF(分析!AC456&lt;&gt;"",分析!AC456,"")</f>
        <v/>
      </c>
      <c r="L456" s="151" t="str">
        <f>IF(分析!K456&lt;&gt;"",分析!K456,"")</f>
        <v/>
      </c>
      <c r="M456" s="146" t="str">
        <f>IF(分析!P456&lt;&gt;"",分析!P456,"")</f>
        <v/>
      </c>
      <c r="N456" s="152" t="str">
        <f>IF(分析!O456&lt;&gt;"",分析!O456,"")</f>
        <v/>
      </c>
      <c r="O456" s="153" t="str">
        <f>IF(分析!X456&lt;&gt;"",分析!X456,"")</f>
        <v/>
      </c>
      <c r="P456" s="154" t="str">
        <f>IF(分析!L456&lt;&gt;"",分析!L456,"")</f>
        <v/>
      </c>
      <c r="Q456" s="151" t="str">
        <f>IF(分析!S456&lt;&gt;"",分析!S456,"")</f>
        <v/>
      </c>
      <c r="R456" s="151" t="str">
        <f>IF(分析!R456&lt;&gt;"",分析!R456,"")</f>
        <v/>
      </c>
      <c r="S456" s="146" t="str">
        <f>IF(分析!AA456&lt;&gt;"",分析!AA456,"")</f>
        <v/>
      </c>
      <c r="T456" s="155" t="str">
        <f>IF(分析!Z456&lt;&gt;"",分析!Z456,"")</f>
        <v/>
      </c>
      <c r="U456" s="146" t="str">
        <f>IF(分析!V456&lt;&gt;"",分析!V456,"")</f>
        <v/>
      </c>
      <c r="V456" s="156" t="str">
        <f>IF(分析!W456&lt;&gt;"",分析!W456,"")</f>
        <v/>
      </c>
      <c r="W456" s="157" t="str">
        <f>IF(分析!AD456&lt;&gt;"",分析!AD456,"")</f>
        <v/>
      </c>
      <c r="X456" s="158" t="str">
        <f>IF(分析!AE456&lt;&gt;"",分析!AE456,"")</f>
        <v/>
      </c>
      <c r="Y456" s="159" t="str">
        <f>IF(分析!T456&lt;&gt;"",分析!T456,"")</f>
        <v/>
      </c>
      <c r="Z456" s="160" t="str">
        <f>IF(分析!Y456&lt;&gt;"",分析!Y456,"")</f>
        <v/>
      </c>
    </row>
    <row r="457" spans="1:26" ht="21.95" customHeight="1">
      <c r="A457" s="161" t="str">
        <f>IF(分析!C457&lt;&gt;"",ROW()-2,"")</f>
        <v/>
      </c>
      <c r="B457" s="162" t="str">
        <f>IF(分析!C457&lt;&gt;"",HYPERLINK("https://kabutan.jp/stock/?code="&amp;分析!C457,"株探"),"")</f>
        <v/>
      </c>
      <c r="C457" s="163" t="str">
        <f>IF(分析!C457&lt;&gt;"",分析!C457,"")</f>
        <v/>
      </c>
      <c r="D457" s="164" t="str">
        <f>IF(分析!D457&lt;&gt;"",分析!D457,"")</f>
        <v/>
      </c>
      <c r="E457" s="165" t="str">
        <f>IF(分析!E457&lt;&gt;"",分析!E457,"")</f>
        <v/>
      </c>
      <c r="F457" s="166" t="str">
        <f>IF(分析!F457&lt;&gt;"",分析!F457,"")</f>
        <v/>
      </c>
      <c r="G457" s="166" t="str">
        <f>IF(分析!H457&lt;&gt;"",分析!H457,"")</f>
        <v/>
      </c>
      <c r="H457" s="166" t="str">
        <f>IF(分析!I457&lt;&gt;"",分析!I457,"")</f>
        <v/>
      </c>
      <c r="I457" s="166" t="str">
        <f>IF(分析!J457&lt;&gt;"",分析!J457,"")</f>
        <v/>
      </c>
      <c r="J457" s="166" t="str">
        <f>IF(分析!AB457&lt;&gt;"",分析!AB457,"")</f>
        <v/>
      </c>
      <c r="K457" s="166" t="str">
        <f>IF(分析!AC457&lt;&gt;"",分析!AC457,"")</f>
        <v/>
      </c>
      <c r="L457" s="166" t="str">
        <f>IF(分析!K457&lt;&gt;"",分析!K457,"")</f>
        <v/>
      </c>
      <c r="M457" s="161" t="str">
        <f>IF(分析!P457&lt;&gt;"",分析!P457,"")</f>
        <v/>
      </c>
      <c r="N457" s="167" t="str">
        <f>IF(分析!O457&lt;&gt;"",分析!O457,"")</f>
        <v/>
      </c>
      <c r="O457" s="168" t="str">
        <f>IF(分析!X457&lt;&gt;"",分析!X457,"")</f>
        <v/>
      </c>
      <c r="P457" s="169" t="str">
        <f>IF(分析!L457&lt;&gt;"",分析!L457,"")</f>
        <v/>
      </c>
      <c r="Q457" s="166" t="str">
        <f>IF(分析!S457&lt;&gt;"",分析!S457,"")</f>
        <v/>
      </c>
      <c r="R457" s="166" t="str">
        <f>IF(分析!R457&lt;&gt;"",分析!R457,"")</f>
        <v/>
      </c>
      <c r="S457" s="161" t="str">
        <f>IF(分析!AA457&lt;&gt;"",分析!AA457,"")</f>
        <v/>
      </c>
      <c r="T457" s="170" t="str">
        <f>IF(分析!Z457&lt;&gt;"",分析!Z457,"")</f>
        <v/>
      </c>
      <c r="U457" s="161" t="str">
        <f>IF(分析!V457&lt;&gt;"",分析!V457,"")</f>
        <v/>
      </c>
      <c r="V457" s="171" t="str">
        <f>IF(分析!W457&lt;&gt;"",分析!W457,"")</f>
        <v/>
      </c>
      <c r="W457" s="172" t="str">
        <f>IF(分析!AD457&lt;&gt;"",分析!AD457,"")</f>
        <v/>
      </c>
      <c r="X457" s="173" t="str">
        <f>IF(分析!AE457&lt;&gt;"",分析!AE457,"")</f>
        <v/>
      </c>
      <c r="Y457" s="174" t="str">
        <f>IF(分析!T457&lt;&gt;"",分析!T457,"")</f>
        <v/>
      </c>
      <c r="Z457" s="160" t="str">
        <f>IF(分析!Y457&lt;&gt;"",分析!Y457,"")</f>
        <v/>
      </c>
    </row>
    <row r="458" spans="1:26" ht="21.95" customHeight="1">
      <c r="A458" s="146" t="str">
        <f>IF(分析!C458&lt;&gt;"",ROW()-2,"")</f>
        <v/>
      </c>
      <c r="B458" s="147" t="str">
        <f>IF(分析!C458&lt;&gt;"",HYPERLINK("https://kabutan.jp/stock/?code="&amp;分析!C458,"株探"),"")</f>
        <v/>
      </c>
      <c r="C458" s="148" t="str">
        <f>IF(分析!C458&lt;&gt;"",分析!C458,"")</f>
        <v/>
      </c>
      <c r="D458" s="149" t="str">
        <f>IF(分析!D458&lt;&gt;"",分析!D458,"")</f>
        <v/>
      </c>
      <c r="E458" s="150" t="str">
        <f>IF(分析!E458&lt;&gt;"",分析!E458,"")</f>
        <v/>
      </c>
      <c r="F458" s="151" t="str">
        <f>IF(分析!F458&lt;&gt;"",分析!F458,"")</f>
        <v/>
      </c>
      <c r="G458" s="151" t="str">
        <f>IF(分析!H458&lt;&gt;"",分析!H458,"")</f>
        <v/>
      </c>
      <c r="H458" s="151" t="str">
        <f>IF(分析!I458&lt;&gt;"",分析!I458,"")</f>
        <v/>
      </c>
      <c r="I458" s="151" t="str">
        <f>IF(分析!J458&lt;&gt;"",分析!J458,"")</f>
        <v/>
      </c>
      <c r="J458" s="151" t="str">
        <f>IF(分析!AB458&lt;&gt;"",分析!AB458,"")</f>
        <v/>
      </c>
      <c r="K458" s="151" t="str">
        <f>IF(分析!AC458&lt;&gt;"",分析!AC458,"")</f>
        <v/>
      </c>
      <c r="L458" s="151" t="str">
        <f>IF(分析!K458&lt;&gt;"",分析!K458,"")</f>
        <v/>
      </c>
      <c r="M458" s="146" t="str">
        <f>IF(分析!P458&lt;&gt;"",分析!P458,"")</f>
        <v/>
      </c>
      <c r="N458" s="152" t="str">
        <f>IF(分析!O458&lt;&gt;"",分析!O458,"")</f>
        <v/>
      </c>
      <c r="O458" s="153" t="str">
        <f>IF(分析!X458&lt;&gt;"",分析!X458,"")</f>
        <v/>
      </c>
      <c r="P458" s="154" t="str">
        <f>IF(分析!L458&lt;&gt;"",分析!L458,"")</f>
        <v/>
      </c>
      <c r="Q458" s="151" t="str">
        <f>IF(分析!S458&lt;&gt;"",分析!S458,"")</f>
        <v/>
      </c>
      <c r="R458" s="151" t="str">
        <f>IF(分析!R458&lt;&gt;"",分析!R458,"")</f>
        <v/>
      </c>
      <c r="S458" s="146" t="str">
        <f>IF(分析!AA458&lt;&gt;"",分析!AA458,"")</f>
        <v/>
      </c>
      <c r="T458" s="155" t="str">
        <f>IF(分析!Z458&lt;&gt;"",分析!Z458,"")</f>
        <v/>
      </c>
      <c r="U458" s="146" t="str">
        <f>IF(分析!V458&lt;&gt;"",分析!V458,"")</f>
        <v/>
      </c>
      <c r="V458" s="156" t="str">
        <f>IF(分析!W458&lt;&gt;"",分析!W458,"")</f>
        <v/>
      </c>
      <c r="W458" s="157" t="str">
        <f>IF(分析!AD458&lt;&gt;"",分析!AD458,"")</f>
        <v/>
      </c>
      <c r="X458" s="158" t="str">
        <f>IF(分析!AE458&lt;&gt;"",分析!AE458,"")</f>
        <v/>
      </c>
      <c r="Y458" s="159" t="str">
        <f>IF(分析!T458&lt;&gt;"",分析!T458,"")</f>
        <v/>
      </c>
      <c r="Z458" s="160" t="str">
        <f>IF(分析!Y458&lt;&gt;"",分析!Y458,"")</f>
        <v/>
      </c>
    </row>
    <row r="459" spans="1:26" ht="21.95" customHeight="1">
      <c r="A459" s="161" t="str">
        <f>IF(分析!C459&lt;&gt;"",ROW()-2,"")</f>
        <v/>
      </c>
      <c r="B459" s="162" t="str">
        <f>IF(分析!C459&lt;&gt;"",HYPERLINK("https://kabutan.jp/stock/?code="&amp;分析!C459,"株探"),"")</f>
        <v/>
      </c>
      <c r="C459" s="163" t="str">
        <f>IF(分析!C459&lt;&gt;"",分析!C459,"")</f>
        <v/>
      </c>
      <c r="D459" s="164" t="str">
        <f>IF(分析!D459&lt;&gt;"",分析!D459,"")</f>
        <v/>
      </c>
      <c r="E459" s="165" t="str">
        <f>IF(分析!E459&lt;&gt;"",分析!E459,"")</f>
        <v/>
      </c>
      <c r="F459" s="166" t="str">
        <f>IF(分析!F459&lt;&gt;"",分析!F459,"")</f>
        <v/>
      </c>
      <c r="G459" s="166" t="str">
        <f>IF(分析!H459&lt;&gt;"",分析!H459,"")</f>
        <v/>
      </c>
      <c r="H459" s="166" t="str">
        <f>IF(分析!I459&lt;&gt;"",分析!I459,"")</f>
        <v/>
      </c>
      <c r="I459" s="166" t="str">
        <f>IF(分析!J459&lt;&gt;"",分析!J459,"")</f>
        <v/>
      </c>
      <c r="J459" s="166" t="str">
        <f>IF(分析!AB459&lt;&gt;"",分析!AB459,"")</f>
        <v/>
      </c>
      <c r="K459" s="166" t="str">
        <f>IF(分析!AC459&lt;&gt;"",分析!AC459,"")</f>
        <v/>
      </c>
      <c r="L459" s="166" t="str">
        <f>IF(分析!K459&lt;&gt;"",分析!K459,"")</f>
        <v/>
      </c>
      <c r="M459" s="161" t="str">
        <f>IF(分析!P459&lt;&gt;"",分析!P459,"")</f>
        <v/>
      </c>
      <c r="N459" s="167" t="str">
        <f>IF(分析!O459&lt;&gt;"",分析!O459,"")</f>
        <v/>
      </c>
      <c r="O459" s="168" t="str">
        <f>IF(分析!X459&lt;&gt;"",分析!X459,"")</f>
        <v/>
      </c>
      <c r="P459" s="169" t="str">
        <f>IF(分析!L459&lt;&gt;"",分析!L459,"")</f>
        <v/>
      </c>
      <c r="Q459" s="166" t="str">
        <f>IF(分析!S459&lt;&gt;"",分析!S459,"")</f>
        <v/>
      </c>
      <c r="R459" s="166" t="str">
        <f>IF(分析!R459&lt;&gt;"",分析!R459,"")</f>
        <v/>
      </c>
      <c r="S459" s="161" t="str">
        <f>IF(分析!AA459&lt;&gt;"",分析!AA459,"")</f>
        <v/>
      </c>
      <c r="T459" s="170" t="str">
        <f>IF(分析!Z459&lt;&gt;"",分析!Z459,"")</f>
        <v/>
      </c>
      <c r="U459" s="161" t="str">
        <f>IF(分析!V459&lt;&gt;"",分析!V459,"")</f>
        <v/>
      </c>
      <c r="V459" s="171" t="str">
        <f>IF(分析!W459&lt;&gt;"",分析!W459,"")</f>
        <v/>
      </c>
      <c r="W459" s="172" t="str">
        <f>IF(分析!AD459&lt;&gt;"",分析!AD459,"")</f>
        <v/>
      </c>
      <c r="X459" s="173" t="str">
        <f>IF(分析!AE459&lt;&gt;"",分析!AE459,"")</f>
        <v/>
      </c>
      <c r="Y459" s="174" t="str">
        <f>IF(分析!T459&lt;&gt;"",分析!T459,"")</f>
        <v/>
      </c>
      <c r="Z459" s="160" t="str">
        <f>IF(分析!Y459&lt;&gt;"",分析!Y459,"")</f>
        <v/>
      </c>
    </row>
    <row r="460" spans="1:26" ht="21.95" customHeight="1">
      <c r="A460" s="146" t="str">
        <f>IF(分析!C460&lt;&gt;"",ROW()-2,"")</f>
        <v/>
      </c>
      <c r="B460" s="147" t="str">
        <f>IF(分析!C460&lt;&gt;"",HYPERLINK("https://kabutan.jp/stock/?code="&amp;分析!C460,"株探"),"")</f>
        <v/>
      </c>
      <c r="C460" s="148" t="str">
        <f>IF(分析!C460&lt;&gt;"",分析!C460,"")</f>
        <v/>
      </c>
      <c r="D460" s="149" t="str">
        <f>IF(分析!D460&lt;&gt;"",分析!D460,"")</f>
        <v/>
      </c>
      <c r="E460" s="150" t="str">
        <f>IF(分析!E460&lt;&gt;"",分析!E460,"")</f>
        <v/>
      </c>
      <c r="F460" s="151" t="str">
        <f>IF(分析!F460&lt;&gt;"",分析!F460,"")</f>
        <v/>
      </c>
      <c r="G460" s="151" t="str">
        <f>IF(分析!H460&lt;&gt;"",分析!H460,"")</f>
        <v/>
      </c>
      <c r="H460" s="151" t="str">
        <f>IF(分析!I460&lt;&gt;"",分析!I460,"")</f>
        <v/>
      </c>
      <c r="I460" s="151" t="str">
        <f>IF(分析!J460&lt;&gt;"",分析!J460,"")</f>
        <v/>
      </c>
      <c r="J460" s="151" t="str">
        <f>IF(分析!AB460&lt;&gt;"",分析!AB460,"")</f>
        <v/>
      </c>
      <c r="K460" s="151" t="str">
        <f>IF(分析!AC460&lt;&gt;"",分析!AC460,"")</f>
        <v/>
      </c>
      <c r="L460" s="151" t="str">
        <f>IF(分析!K460&lt;&gt;"",分析!K460,"")</f>
        <v/>
      </c>
      <c r="M460" s="146" t="str">
        <f>IF(分析!P460&lt;&gt;"",分析!P460,"")</f>
        <v/>
      </c>
      <c r="N460" s="152" t="str">
        <f>IF(分析!O460&lt;&gt;"",分析!O460,"")</f>
        <v/>
      </c>
      <c r="O460" s="153" t="str">
        <f>IF(分析!X460&lt;&gt;"",分析!X460,"")</f>
        <v/>
      </c>
      <c r="P460" s="154" t="str">
        <f>IF(分析!L460&lt;&gt;"",分析!L460,"")</f>
        <v/>
      </c>
      <c r="Q460" s="151" t="str">
        <f>IF(分析!S460&lt;&gt;"",分析!S460,"")</f>
        <v/>
      </c>
      <c r="R460" s="151" t="str">
        <f>IF(分析!R460&lt;&gt;"",分析!R460,"")</f>
        <v/>
      </c>
      <c r="S460" s="146" t="str">
        <f>IF(分析!AA460&lt;&gt;"",分析!AA460,"")</f>
        <v/>
      </c>
      <c r="T460" s="155" t="str">
        <f>IF(分析!Z460&lt;&gt;"",分析!Z460,"")</f>
        <v/>
      </c>
      <c r="U460" s="146" t="str">
        <f>IF(分析!V460&lt;&gt;"",分析!V460,"")</f>
        <v/>
      </c>
      <c r="V460" s="156" t="str">
        <f>IF(分析!W460&lt;&gt;"",分析!W460,"")</f>
        <v/>
      </c>
      <c r="W460" s="157" t="str">
        <f>IF(分析!AD460&lt;&gt;"",分析!AD460,"")</f>
        <v/>
      </c>
      <c r="X460" s="158" t="str">
        <f>IF(分析!AE460&lt;&gt;"",分析!AE460,"")</f>
        <v/>
      </c>
      <c r="Y460" s="159" t="str">
        <f>IF(分析!T460&lt;&gt;"",分析!T460,"")</f>
        <v/>
      </c>
      <c r="Z460" s="160" t="str">
        <f>IF(分析!Y460&lt;&gt;"",分析!Y460,"")</f>
        <v/>
      </c>
    </row>
    <row r="461" spans="1:26" ht="21.95" customHeight="1">
      <c r="A461" s="161" t="str">
        <f>IF(分析!C461&lt;&gt;"",ROW()-2,"")</f>
        <v/>
      </c>
      <c r="B461" s="162" t="str">
        <f>IF(分析!C461&lt;&gt;"",HYPERLINK("https://kabutan.jp/stock/?code="&amp;分析!C461,"株探"),"")</f>
        <v/>
      </c>
      <c r="C461" s="163" t="str">
        <f>IF(分析!C461&lt;&gt;"",分析!C461,"")</f>
        <v/>
      </c>
      <c r="D461" s="164" t="str">
        <f>IF(分析!D461&lt;&gt;"",分析!D461,"")</f>
        <v/>
      </c>
      <c r="E461" s="165" t="str">
        <f>IF(分析!E461&lt;&gt;"",分析!E461,"")</f>
        <v/>
      </c>
      <c r="F461" s="166" t="str">
        <f>IF(分析!F461&lt;&gt;"",分析!F461,"")</f>
        <v/>
      </c>
      <c r="G461" s="166" t="str">
        <f>IF(分析!H461&lt;&gt;"",分析!H461,"")</f>
        <v/>
      </c>
      <c r="H461" s="166" t="str">
        <f>IF(分析!I461&lt;&gt;"",分析!I461,"")</f>
        <v/>
      </c>
      <c r="I461" s="166" t="str">
        <f>IF(分析!J461&lt;&gt;"",分析!J461,"")</f>
        <v/>
      </c>
      <c r="J461" s="166" t="str">
        <f>IF(分析!AB461&lt;&gt;"",分析!AB461,"")</f>
        <v/>
      </c>
      <c r="K461" s="166" t="str">
        <f>IF(分析!AC461&lt;&gt;"",分析!AC461,"")</f>
        <v/>
      </c>
      <c r="L461" s="166" t="str">
        <f>IF(分析!K461&lt;&gt;"",分析!K461,"")</f>
        <v/>
      </c>
      <c r="M461" s="161" t="str">
        <f>IF(分析!P461&lt;&gt;"",分析!P461,"")</f>
        <v/>
      </c>
      <c r="N461" s="167" t="str">
        <f>IF(分析!O461&lt;&gt;"",分析!O461,"")</f>
        <v/>
      </c>
      <c r="O461" s="168" t="str">
        <f>IF(分析!X461&lt;&gt;"",分析!X461,"")</f>
        <v/>
      </c>
      <c r="P461" s="169" t="str">
        <f>IF(分析!L461&lt;&gt;"",分析!L461,"")</f>
        <v/>
      </c>
      <c r="Q461" s="166" t="str">
        <f>IF(分析!S461&lt;&gt;"",分析!S461,"")</f>
        <v/>
      </c>
      <c r="R461" s="166" t="str">
        <f>IF(分析!R461&lt;&gt;"",分析!R461,"")</f>
        <v/>
      </c>
      <c r="S461" s="161" t="str">
        <f>IF(分析!AA461&lt;&gt;"",分析!AA461,"")</f>
        <v/>
      </c>
      <c r="T461" s="170" t="str">
        <f>IF(分析!Z461&lt;&gt;"",分析!Z461,"")</f>
        <v/>
      </c>
      <c r="U461" s="161" t="str">
        <f>IF(分析!V461&lt;&gt;"",分析!V461,"")</f>
        <v/>
      </c>
      <c r="V461" s="171" t="str">
        <f>IF(分析!W461&lt;&gt;"",分析!W461,"")</f>
        <v/>
      </c>
      <c r="W461" s="172" t="str">
        <f>IF(分析!AD461&lt;&gt;"",分析!AD461,"")</f>
        <v/>
      </c>
      <c r="X461" s="173" t="str">
        <f>IF(分析!AE461&lt;&gt;"",分析!AE461,"")</f>
        <v/>
      </c>
      <c r="Y461" s="174" t="str">
        <f>IF(分析!T461&lt;&gt;"",分析!T461,"")</f>
        <v/>
      </c>
      <c r="Z461" s="160" t="str">
        <f>IF(分析!Y461&lt;&gt;"",分析!Y461,"")</f>
        <v/>
      </c>
    </row>
    <row r="462" spans="1:26" ht="21.95" customHeight="1">
      <c r="A462" s="146" t="str">
        <f>IF(分析!C462&lt;&gt;"",ROW()-2,"")</f>
        <v/>
      </c>
      <c r="B462" s="147" t="str">
        <f>IF(分析!C462&lt;&gt;"",HYPERLINK("https://kabutan.jp/stock/?code="&amp;分析!C462,"株探"),"")</f>
        <v/>
      </c>
      <c r="C462" s="148" t="str">
        <f>IF(分析!C462&lt;&gt;"",分析!C462,"")</f>
        <v/>
      </c>
      <c r="D462" s="149" t="str">
        <f>IF(分析!D462&lt;&gt;"",分析!D462,"")</f>
        <v/>
      </c>
      <c r="E462" s="150" t="str">
        <f>IF(分析!E462&lt;&gt;"",分析!E462,"")</f>
        <v/>
      </c>
      <c r="F462" s="151" t="str">
        <f>IF(分析!F462&lt;&gt;"",分析!F462,"")</f>
        <v/>
      </c>
      <c r="G462" s="151" t="str">
        <f>IF(分析!H462&lt;&gt;"",分析!H462,"")</f>
        <v/>
      </c>
      <c r="H462" s="151" t="str">
        <f>IF(分析!I462&lt;&gt;"",分析!I462,"")</f>
        <v/>
      </c>
      <c r="I462" s="151" t="str">
        <f>IF(分析!J462&lt;&gt;"",分析!J462,"")</f>
        <v/>
      </c>
      <c r="J462" s="151" t="str">
        <f>IF(分析!AB462&lt;&gt;"",分析!AB462,"")</f>
        <v/>
      </c>
      <c r="K462" s="151" t="str">
        <f>IF(分析!AC462&lt;&gt;"",分析!AC462,"")</f>
        <v/>
      </c>
      <c r="L462" s="151" t="str">
        <f>IF(分析!K462&lt;&gt;"",分析!K462,"")</f>
        <v/>
      </c>
      <c r="M462" s="146" t="str">
        <f>IF(分析!P462&lt;&gt;"",分析!P462,"")</f>
        <v/>
      </c>
      <c r="N462" s="152" t="str">
        <f>IF(分析!O462&lt;&gt;"",分析!O462,"")</f>
        <v/>
      </c>
      <c r="O462" s="153" t="str">
        <f>IF(分析!X462&lt;&gt;"",分析!X462,"")</f>
        <v/>
      </c>
      <c r="P462" s="154" t="str">
        <f>IF(分析!L462&lt;&gt;"",分析!L462,"")</f>
        <v/>
      </c>
      <c r="Q462" s="151" t="str">
        <f>IF(分析!S462&lt;&gt;"",分析!S462,"")</f>
        <v/>
      </c>
      <c r="R462" s="151" t="str">
        <f>IF(分析!R462&lt;&gt;"",分析!R462,"")</f>
        <v/>
      </c>
      <c r="S462" s="146" t="str">
        <f>IF(分析!AA462&lt;&gt;"",分析!AA462,"")</f>
        <v/>
      </c>
      <c r="T462" s="155" t="str">
        <f>IF(分析!Z462&lt;&gt;"",分析!Z462,"")</f>
        <v/>
      </c>
      <c r="U462" s="146" t="str">
        <f>IF(分析!V462&lt;&gt;"",分析!V462,"")</f>
        <v/>
      </c>
      <c r="V462" s="156" t="str">
        <f>IF(分析!W462&lt;&gt;"",分析!W462,"")</f>
        <v/>
      </c>
      <c r="W462" s="157" t="str">
        <f>IF(分析!AD462&lt;&gt;"",分析!AD462,"")</f>
        <v/>
      </c>
      <c r="X462" s="158" t="str">
        <f>IF(分析!AE462&lt;&gt;"",分析!AE462,"")</f>
        <v/>
      </c>
      <c r="Y462" s="159" t="str">
        <f>IF(分析!T462&lt;&gt;"",分析!T462,"")</f>
        <v/>
      </c>
      <c r="Z462" s="160" t="str">
        <f>IF(分析!Y462&lt;&gt;"",分析!Y462,"")</f>
        <v/>
      </c>
    </row>
    <row r="463" spans="1:26" ht="21.95" customHeight="1">
      <c r="A463" s="161" t="str">
        <f>IF(分析!C463&lt;&gt;"",ROW()-2,"")</f>
        <v/>
      </c>
      <c r="B463" s="162" t="str">
        <f>IF(分析!C463&lt;&gt;"",HYPERLINK("https://kabutan.jp/stock/?code="&amp;分析!C463,"株探"),"")</f>
        <v/>
      </c>
      <c r="C463" s="163" t="str">
        <f>IF(分析!C463&lt;&gt;"",分析!C463,"")</f>
        <v/>
      </c>
      <c r="D463" s="164" t="str">
        <f>IF(分析!D463&lt;&gt;"",分析!D463,"")</f>
        <v/>
      </c>
      <c r="E463" s="165" t="str">
        <f>IF(分析!E463&lt;&gt;"",分析!E463,"")</f>
        <v/>
      </c>
      <c r="F463" s="166" t="str">
        <f>IF(分析!F463&lt;&gt;"",分析!F463,"")</f>
        <v/>
      </c>
      <c r="G463" s="166" t="str">
        <f>IF(分析!H463&lt;&gt;"",分析!H463,"")</f>
        <v/>
      </c>
      <c r="H463" s="166" t="str">
        <f>IF(分析!I463&lt;&gt;"",分析!I463,"")</f>
        <v/>
      </c>
      <c r="I463" s="166" t="str">
        <f>IF(分析!J463&lt;&gt;"",分析!J463,"")</f>
        <v/>
      </c>
      <c r="J463" s="166" t="str">
        <f>IF(分析!AB463&lt;&gt;"",分析!AB463,"")</f>
        <v/>
      </c>
      <c r="K463" s="166" t="str">
        <f>IF(分析!AC463&lt;&gt;"",分析!AC463,"")</f>
        <v/>
      </c>
      <c r="L463" s="166" t="str">
        <f>IF(分析!K463&lt;&gt;"",分析!K463,"")</f>
        <v/>
      </c>
      <c r="M463" s="161" t="str">
        <f>IF(分析!P463&lt;&gt;"",分析!P463,"")</f>
        <v/>
      </c>
      <c r="N463" s="167" t="str">
        <f>IF(分析!O463&lt;&gt;"",分析!O463,"")</f>
        <v/>
      </c>
      <c r="O463" s="168" t="str">
        <f>IF(分析!X463&lt;&gt;"",分析!X463,"")</f>
        <v/>
      </c>
      <c r="P463" s="169" t="str">
        <f>IF(分析!L463&lt;&gt;"",分析!L463,"")</f>
        <v/>
      </c>
      <c r="Q463" s="166" t="str">
        <f>IF(分析!S463&lt;&gt;"",分析!S463,"")</f>
        <v/>
      </c>
      <c r="R463" s="166" t="str">
        <f>IF(分析!R463&lt;&gt;"",分析!R463,"")</f>
        <v/>
      </c>
      <c r="S463" s="161" t="str">
        <f>IF(分析!AA463&lt;&gt;"",分析!AA463,"")</f>
        <v/>
      </c>
      <c r="T463" s="170" t="str">
        <f>IF(分析!Z463&lt;&gt;"",分析!Z463,"")</f>
        <v/>
      </c>
      <c r="U463" s="161" t="str">
        <f>IF(分析!V463&lt;&gt;"",分析!V463,"")</f>
        <v/>
      </c>
      <c r="V463" s="171" t="str">
        <f>IF(分析!W463&lt;&gt;"",分析!W463,"")</f>
        <v/>
      </c>
      <c r="W463" s="172" t="str">
        <f>IF(分析!AD463&lt;&gt;"",分析!AD463,"")</f>
        <v/>
      </c>
      <c r="X463" s="173" t="str">
        <f>IF(分析!AE463&lt;&gt;"",分析!AE463,"")</f>
        <v/>
      </c>
      <c r="Y463" s="174" t="str">
        <f>IF(分析!T463&lt;&gt;"",分析!T463,"")</f>
        <v/>
      </c>
      <c r="Z463" s="160" t="str">
        <f>IF(分析!Y463&lt;&gt;"",分析!Y463,"")</f>
        <v/>
      </c>
    </row>
    <row r="464" spans="1:26" ht="21.95" customHeight="1">
      <c r="A464" s="146" t="str">
        <f>IF(分析!C464&lt;&gt;"",ROW()-2,"")</f>
        <v/>
      </c>
      <c r="B464" s="147" t="str">
        <f>IF(分析!C464&lt;&gt;"",HYPERLINK("https://kabutan.jp/stock/?code="&amp;分析!C464,"株探"),"")</f>
        <v/>
      </c>
      <c r="C464" s="148" t="str">
        <f>IF(分析!C464&lt;&gt;"",分析!C464,"")</f>
        <v/>
      </c>
      <c r="D464" s="149" t="str">
        <f>IF(分析!D464&lt;&gt;"",分析!D464,"")</f>
        <v/>
      </c>
      <c r="E464" s="150" t="str">
        <f>IF(分析!E464&lt;&gt;"",分析!E464,"")</f>
        <v/>
      </c>
      <c r="F464" s="151" t="str">
        <f>IF(分析!F464&lt;&gt;"",分析!F464,"")</f>
        <v/>
      </c>
      <c r="G464" s="151" t="str">
        <f>IF(分析!H464&lt;&gt;"",分析!H464,"")</f>
        <v/>
      </c>
      <c r="H464" s="151" t="str">
        <f>IF(分析!I464&lt;&gt;"",分析!I464,"")</f>
        <v/>
      </c>
      <c r="I464" s="151" t="str">
        <f>IF(分析!J464&lt;&gt;"",分析!J464,"")</f>
        <v/>
      </c>
      <c r="J464" s="151" t="str">
        <f>IF(分析!AB464&lt;&gt;"",分析!AB464,"")</f>
        <v/>
      </c>
      <c r="K464" s="151" t="str">
        <f>IF(分析!AC464&lt;&gt;"",分析!AC464,"")</f>
        <v/>
      </c>
      <c r="L464" s="151" t="str">
        <f>IF(分析!K464&lt;&gt;"",分析!K464,"")</f>
        <v/>
      </c>
      <c r="M464" s="146" t="str">
        <f>IF(分析!P464&lt;&gt;"",分析!P464,"")</f>
        <v/>
      </c>
      <c r="N464" s="152" t="str">
        <f>IF(分析!O464&lt;&gt;"",分析!O464,"")</f>
        <v/>
      </c>
      <c r="O464" s="153" t="str">
        <f>IF(分析!X464&lt;&gt;"",分析!X464,"")</f>
        <v/>
      </c>
      <c r="P464" s="154" t="str">
        <f>IF(分析!L464&lt;&gt;"",分析!L464,"")</f>
        <v/>
      </c>
      <c r="Q464" s="151" t="str">
        <f>IF(分析!S464&lt;&gt;"",分析!S464,"")</f>
        <v/>
      </c>
      <c r="R464" s="151" t="str">
        <f>IF(分析!R464&lt;&gt;"",分析!R464,"")</f>
        <v/>
      </c>
      <c r="S464" s="146" t="str">
        <f>IF(分析!AA464&lt;&gt;"",分析!AA464,"")</f>
        <v/>
      </c>
      <c r="T464" s="155" t="str">
        <f>IF(分析!Z464&lt;&gt;"",分析!Z464,"")</f>
        <v/>
      </c>
      <c r="U464" s="146" t="str">
        <f>IF(分析!V464&lt;&gt;"",分析!V464,"")</f>
        <v/>
      </c>
      <c r="V464" s="156" t="str">
        <f>IF(分析!W464&lt;&gt;"",分析!W464,"")</f>
        <v/>
      </c>
      <c r="W464" s="157" t="str">
        <f>IF(分析!AD464&lt;&gt;"",分析!AD464,"")</f>
        <v/>
      </c>
      <c r="X464" s="158" t="str">
        <f>IF(分析!AE464&lt;&gt;"",分析!AE464,"")</f>
        <v/>
      </c>
      <c r="Y464" s="159" t="str">
        <f>IF(分析!T464&lt;&gt;"",分析!T464,"")</f>
        <v/>
      </c>
      <c r="Z464" s="160" t="str">
        <f>IF(分析!Y464&lt;&gt;"",分析!Y464,"")</f>
        <v/>
      </c>
    </row>
    <row r="465" spans="1:26" ht="21.95" customHeight="1">
      <c r="A465" s="161" t="str">
        <f>IF(分析!C465&lt;&gt;"",ROW()-2,"")</f>
        <v/>
      </c>
      <c r="B465" s="162" t="str">
        <f>IF(分析!C465&lt;&gt;"",HYPERLINK("https://kabutan.jp/stock/?code="&amp;分析!C465,"株探"),"")</f>
        <v/>
      </c>
      <c r="C465" s="163" t="str">
        <f>IF(分析!C465&lt;&gt;"",分析!C465,"")</f>
        <v/>
      </c>
      <c r="D465" s="164" t="str">
        <f>IF(分析!D465&lt;&gt;"",分析!D465,"")</f>
        <v/>
      </c>
      <c r="E465" s="165" t="str">
        <f>IF(分析!E465&lt;&gt;"",分析!E465,"")</f>
        <v/>
      </c>
      <c r="F465" s="166" t="str">
        <f>IF(分析!F465&lt;&gt;"",分析!F465,"")</f>
        <v/>
      </c>
      <c r="G465" s="166" t="str">
        <f>IF(分析!H465&lt;&gt;"",分析!H465,"")</f>
        <v/>
      </c>
      <c r="H465" s="166" t="str">
        <f>IF(分析!I465&lt;&gt;"",分析!I465,"")</f>
        <v/>
      </c>
      <c r="I465" s="166" t="str">
        <f>IF(分析!J465&lt;&gt;"",分析!J465,"")</f>
        <v/>
      </c>
      <c r="J465" s="166" t="str">
        <f>IF(分析!AB465&lt;&gt;"",分析!AB465,"")</f>
        <v/>
      </c>
      <c r="K465" s="166" t="str">
        <f>IF(分析!AC465&lt;&gt;"",分析!AC465,"")</f>
        <v/>
      </c>
      <c r="L465" s="166" t="str">
        <f>IF(分析!K465&lt;&gt;"",分析!K465,"")</f>
        <v/>
      </c>
      <c r="M465" s="161" t="str">
        <f>IF(分析!P465&lt;&gt;"",分析!P465,"")</f>
        <v/>
      </c>
      <c r="N465" s="167" t="str">
        <f>IF(分析!O465&lt;&gt;"",分析!O465,"")</f>
        <v/>
      </c>
      <c r="O465" s="168" t="str">
        <f>IF(分析!X465&lt;&gt;"",分析!X465,"")</f>
        <v/>
      </c>
      <c r="P465" s="169" t="str">
        <f>IF(分析!L465&lt;&gt;"",分析!L465,"")</f>
        <v/>
      </c>
      <c r="Q465" s="166" t="str">
        <f>IF(分析!S465&lt;&gt;"",分析!S465,"")</f>
        <v/>
      </c>
      <c r="R465" s="166" t="str">
        <f>IF(分析!R465&lt;&gt;"",分析!R465,"")</f>
        <v/>
      </c>
      <c r="S465" s="161" t="str">
        <f>IF(分析!AA465&lt;&gt;"",分析!AA465,"")</f>
        <v/>
      </c>
      <c r="T465" s="170" t="str">
        <f>IF(分析!Z465&lt;&gt;"",分析!Z465,"")</f>
        <v/>
      </c>
      <c r="U465" s="161" t="str">
        <f>IF(分析!V465&lt;&gt;"",分析!V465,"")</f>
        <v/>
      </c>
      <c r="V465" s="171" t="str">
        <f>IF(分析!W465&lt;&gt;"",分析!W465,"")</f>
        <v/>
      </c>
      <c r="W465" s="172" t="str">
        <f>IF(分析!AD465&lt;&gt;"",分析!AD465,"")</f>
        <v/>
      </c>
      <c r="X465" s="173" t="str">
        <f>IF(分析!AE465&lt;&gt;"",分析!AE465,"")</f>
        <v/>
      </c>
      <c r="Y465" s="174" t="str">
        <f>IF(分析!T465&lt;&gt;"",分析!T465,"")</f>
        <v/>
      </c>
      <c r="Z465" s="160" t="str">
        <f>IF(分析!Y465&lt;&gt;"",分析!Y465,"")</f>
        <v/>
      </c>
    </row>
    <row r="466" spans="1:26" ht="21.95" customHeight="1">
      <c r="A466" s="146" t="str">
        <f>IF(分析!C466&lt;&gt;"",ROW()-2,"")</f>
        <v/>
      </c>
      <c r="B466" s="147" t="str">
        <f>IF(分析!C466&lt;&gt;"",HYPERLINK("https://kabutan.jp/stock/?code="&amp;分析!C466,"株探"),"")</f>
        <v/>
      </c>
      <c r="C466" s="148" t="str">
        <f>IF(分析!C466&lt;&gt;"",分析!C466,"")</f>
        <v/>
      </c>
      <c r="D466" s="149" t="str">
        <f>IF(分析!D466&lt;&gt;"",分析!D466,"")</f>
        <v/>
      </c>
      <c r="E466" s="150" t="str">
        <f>IF(分析!E466&lt;&gt;"",分析!E466,"")</f>
        <v/>
      </c>
      <c r="F466" s="151" t="str">
        <f>IF(分析!F466&lt;&gt;"",分析!F466,"")</f>
        <v/>
      </c>
      <c r="G466" s="151" t="str">
        <f>IF(分析!H466&lt;&gt;"",分析!H466,"")</f>
        <v/>
      </c>
      <c r="H466" s="151" t="str">
        <f>IF(分析!I466&lt;&gt;"",分析!I466,"")</f>
        <v/>
      </c>
      <c r="I466" s="151" t="str">
        <f>IF(分析!J466&lt;&gt;"",分析!J466,"")</f>
        <v/>
      </c>
      <c r="J466" s="151" t="str">
        <f>IF(分析!AB466&lt;&gt;"",分析!AB466,"")</f>
        <v/>
      </c>
      <c r="K466" s="151" t="str">
        <f>IF(分析!AC466&lt;&gt;"",分析!AC466,"")</f>
        <v/>
      </c>
      <c r="L466" s="151" t="str">
        <f>IF(分析!K466&lt;&gt;"",分析!K466,"")</f>
        <v/>
      </c>
      <c r="M466" s="146" t="str">
        <f>IF(分析!P466&lt;&gt;"",分析!P466,"")</f>
        <v/>
      </c>
      <c r="N466" s="152" t="str">
        <f>IF(分析!O466&lt;&gt;"",分析!O466,"")</f>
        <v/>
      </c>
      <c r="O466" s="153" t="str">
        <f>IF(分析!X466&lt;&gt;"",分析!X466,"")</f>
        <v/>
      </c>
      <c r="P466" s="154" t="str">
        <f>IF(分析!L466&lt;&gt;"",分析!L466,"")</f>
        <v/>
      </c>
      <c r="Q466" s="151" t="str">
        <f>IF(分析!S466&lt;&gt;"",分析!S466,"")</f>
        <v/>
      </c>
      <c r="R466" s="151" t="str">
        <f>IF(分析!R466&lt;&gt;"",分析!R466,"")</f>
        <v/>
      </c>
      <c r="S466" s="146" t="str">
        <f>IF(分析!AA466&lt;&gt;"",分析!AA466,"")</f>
        <v/>
      </c>
      <c r="T466" s="155" t="str">
        <f>IF(分析!Z466&lt;&gt;"",分析!Z466,"")</f>
        <v/>
      </c>
      <c r="U466" s="146" t="str">
        <f>IF(分析!V466&lt;&gt;"",分析!V466,"")</f>
        <v/>
      </c>
      <c r="V466" s="156" t="str">
        <f>IF(分析!W466&lt;&gt;"",分析!W466,"")</f>
        <v/>
      </c>
      <c r="W466" s="157" t="str">
        <f>IF(分析!AD466&lt;&gt;"",分析!AD466,"")</f>
        <v/>
      </c>
      <c r="X466" s="158" t="str">
        <f>IF(分析!AE466&lt;&gt;"",分析!AE466,"")</f>
        <v/>
      </c>
      <c r="Y466" s="159" t="str">
        <f>IF(分析!T466&lt;&gt;"",分析!T466,"")</f>
        <v/>
      </c>
      <c r="Z466" s="160" t="str">
        <f>IF(分析!Y466&lt;&gt;"",分析!Y466,"")</f>
        <v/>
      </c>
    </row>
    <row r="467" spans="1:26" ht="21.95" customHeight="1">
      <c r="A467" s="161" t="str">
        <f>IF(分析!C467&lt;&gt;"",ROW()-2,"")</f>
        <v/>
      </c>
      <c r="B467" s="162" t="str">
        <f>IF(分析!C467&lt;&gt;"",HYPERLINK("https://kabutan.jp/stock/?code="&amp;分析!C467,"株探"),"")</f>
        <v/>
      </c>
      <c r="C467" s="163" t="str">
        <f>IF(分析!C467&lt;&gt;"",分析!C467,"")</f>
        <v/>
      </c>
      <c r="D467" s="164" t="str">
        <f>IF(分析!D467&lt;&gt;"",分析!D467,"")</f>
        <v/>
      </c>
      <c r="E467" s="165" t="str">
        <f>IF(分析!E467&lt;&gt;"",分析!E467,"")</f>
        <v/>
      </c>
      <c r="F467" s="166" t="str">
        <f>IF(分析!F467&lt;&gt;"",分析!F467,"")</f>
        <v/>
      </c>
      <c r="G467" s="166" t="str">
        <f>IF(分析!H467&lt;&gt;"",分析!H467,"")</f>
        <v/>
      </c>
      <c r="H467" s="166" t="str">
        <f>IF(分析!I467&lt;&gt;"",分析!I467,"")</f>
        <v/>
      </c>
      <c r="I467" s="166" t="str">
        <f>IF(分析!J467&lt;&gt;"",分析!J467,"")</f>
        <v/>
      </c>
      <c r="J467" s="166" t="str">
        <f>IF(分析!AB467&lt;&gt;"",分析!AB467,"")</f>
        <v/>
      </c>
      <c r="K467" s="166" t="str">
        <f>IF(分析!AC467&lt;&gt;"",分析!AC467,"")</f>
        <v/>
      </c>
      <c r="L467" s="166" t="str">
        <f>IF(分析!K467&lt;&gt;"",分析!K467,"")</f>
        <v/>
      </c>
      <c r="M467" s="161" t="str">
        <f>IF(分析!P467&lt;&gt;"",分析!P467,"")</f>
        <v/>
      </c>
      <c r="N467" s="167" t="str">
        <f>IF(分析!O467&lt;&gt;"",分析!O467,"")</f>
        <v/>
      </c>
      <c r="O467" s="168" t="str">
        <f>IF(分析!X467&lt;&gt;"",分析!X467,"")</f>
        <v/>
      </c>
      <c r="P467" s="169" t="str">
        <f>IF(分析!L467&lt;&gt;"",分析!L467,"")</f>
        <v/>
      </c>
      <c r="Q467" s="166" t="str">
        <f>IF(分析!S467&lt;&gt;"",分析!S467,"")</f>
        <v/>
      </c>
      <c r="R467" s="166" t="str">
        <f>IF(分析!R467&lt;&gt;"",分析!R467,"")</f>
        <v/>
      </c>
      <c r="S467" s="161" t="str">
        <f>IF(分析!AA467&lt;&gt;"",分析!AA467,"")</f>
        <v/>
      </c>
      <c r="T467" s="170" t="str">
        <f>IF(分析!Z467&lt;&gt;"",分析!Z467,"")</f>
        <v/>
      </c>
      <c r="U467" s="161" t="str">
        <f>IF(分析!V467&lt;&gt;"",分析!V467,"")</f>
        <v/>
      </c>
      <c r="V467" s="171" t="str">
        <f>IF(分析!W467&lt;&gt;"",分析!W467,"")</f>
        <v/>
      </c>
      <c r="W467" s="172" t="str">
        <f>IF(分析!AD467&lt;&gt;"",分析!AD467,"")</f>
        <v/>
      </c>
      <c r="X467" s="173" t="str">
        <f>IF(分析!AE467&lt;&gt;"",分析!AE467,"")</f>
        <v/>
      </c>
      <c r="Y467" s="174" t="str">
        <f>IF(分析!T467&lt;&gt;"",分析!T467,"")</f>
        <v/>
      </c>
      <c r="Z467" s="160" t="str">
        <f>IF(分析!Y467&lt;&gt;"",分析!Y467,"")</f>
        <v/>
      </c>
    </row>
    <row r="468" spans="1:26" ht="21.95" customHeight="1">
      <c r="A468" s="146" t="str">
        <f>IF(分析!C468&lt;&gt;"",ROW()-2,"")</f>
        <v/>
      </c>
      <c r="B468" s="147" t="str">
        <f>IF(分析!C468&lt;&gt;"",HYPERLINK("https://kabutan.jp/stock/?code="&amp;分析!C468,"株探"),"")</f>
        <v/>
      </c>
      <c r="C468" s="148" t="str">
        <f>IF(分析!C468&lt;&gt;"",分析!C468,"")</f>
        <v/>
      </c>
      <c r="D468" s="149" t="str">
        <f>IF(分析!D468&lt;&gt;"",分析!D468,"")</f>
        <v/>
      </c>
      <c r="E468" s="150" t="str">
        <f>IF(分析!E468&lt;&gt;"",分析!E468,"")</f>
        <v/>
      </c>
      <c r="F468" s="151" t="str">
        <f>IF(分析!F468&lt;&gt;"",分析!F468,"")</f>
        <v/>
      </c>
      <c r="G468" s="151" t="str">
        <f>IF(分析!H468&lt;&gt;"",分析!H468,"")</f>
        <v/>
      </c>
      <c r="H468" s="151" t="str">
        <f>IF(分析!I468&lt;&gt;"",分析!I468,"")</f>
        <v/>
      </c>
      <c r="I468" s="151" t="str">
        <f>IF(分析!J468&lt;&gt;"",分析!J468,"")</f>
        <v/>
      </c>
      <c r="J468" s="151" t="str">
        <f>IF(分析!AB468&lt;&gt;"",分析!AB468,"")</f>
        <v/>
      </c>
      <c r="K468" s="151" t="str">
        <f>IF(分析!AC468&lt;&gt;"",分析!AC468,"")</f>
        <v/>
      </c>
      <c r="L468" s="151" t="str">
        <f>IF(分析!K468&lt;&gt;"",分析!K468,"")</f>
        <v/>
      </c>
      <c r="M468" s="146" t="str">
        <f>IF(分析!P468&lt;&gt;"",分析!P468,"")</f>
        <v/>
      </c>
      <c r="N468" s="152" t="str">
        <f>IF(分析!O468&lt;&gt;"",分析!O468,"")</f>
        <v/>
      </c>
      <c r="O468" s="153" t="str">
        <f>IF(分析!X468&lt;&gt;"",分析!X468,"")</f>
        <v/>
      </c>
      <c r="P468" s="154" t="str">
        <f>IF(分析!L468&lt;&gt;"",分析!L468,"")</f>
        <v/>
      </c>
      <c r="Q468" s="151" t="str">
        <f>IF(分析!S468&lt;&gt;"",分析!S468,"")</f>
        <v/>
      </c>
      <c r="R468" s="151" t="str">
        <f>IF(分析!R468&lt;&gt;"",分析!R468,"")</f>
        <v/>
      </c>
      <c r="S468" s="146" t="str">
        <f>IF(分析!AA468&lt;&gt;"",分析!AA468,"")</f>
        <v/>
      </c>
      <c r="T468" s="155" t="str">
        <f>IF(分析!Z468&lt;&gt;"",分析!Z468,"")</f>
        <v/>
      </c>
      <c r="U468" s="146" t="str">
        <f>IF(分析!V468&lt;&gt;"",分析!V468,"")</f>
        <v/>
      </c>
      <c r="V468" s="156" t="str">
        <f>IF(分析!W468&lt;&gt;"",分析!W468,"")</f>
        <v/>
      </c>
      <c r="W468" s="157" t="str">
        <f>IF(分析!AD468&lt;&gt;"",分析!AD468,"")</f>
        <v/>
      </c>
      <c r="X468" s="158" t="str">
        <f>IF(分析!AE468&lt;&gt;"",分析!AE468,"")</f>
        <v/>
      </c>
      <c r="Y468" s="159" t="str">
        <f>IF(分析!T468&lt;&gt;"",分析!T468,"")</f>
        <v/>
      </c>
      <c r="Z468" s="160" t="str">
        <f>IF(分析!Y468&lt;&gt;"",分析!Y468,"")</f>
        <v/>
      </c>
    </row>
    <row r="469" spans="1:26" ht="21.95" customHeight="1">
      <c r="A469" s="161" t="str">
        <f>IF(分析!C469&lt;&gt;"",ROW()-2,"")</f>
        <v/>
      </c>
      <c r="B469" s="162" t="str">
        <f>IF(分析!C469&lt;&gt;"",HYPERLINK("https://kabutan.jp/stock/?code="&amp;分析!C469,"株探"),"")</f>
        <v/>
      </c>
      <c r="C469" s="163" t="str">
        <f>IF(分析!C469&lt;&gt;"",分析!C469,"")</f>
        <v/>
      </c>
      <c r="D469" s="164" t="str">
        <f>IF(分析!D469&lt;&gt;"",分析!D469,"")</f>
        <v/>
      </c>
      <c r="E469" s="165" t="str">
        <f>IF(分析!E469&lt;&gt;"",分析!E469,"")</f>
        <v/>
      </c>
      <c r="F469" s="166" t="str">
        <f>IF(分析!F469&lt;&gt;"",分析!F469,"")</f>
        <v/>
      </c>
      <c r="G469" s="166" t="str">
        <f>IF(分析!H469&lt;&gt;"",分析!H469,"")</f>
        <v/>
      </c>
      <c r="H469" s="166" t="str">
        <f>IF(分析!I469&lt;&gt;"",分析!I469,"")</f>
        <v/>
      </c>
      <c r="I469" s="166" t="str">
        <f>IF(分析!J469&lt;&gt;"",分析!J469,"")</f>
        <v/>
      </c>
      <c r="J469" s="166" t="str">
        <f>IF(分析!AB469&lt;&gt;"",分析!AB469,"")</f>
        <v/>
      </c>
      <c r="K469" s="166" t="str">
        <f>IF(分析!AC469&lt;&gt;"",分析!AC469,"")</f>
        <v/>
      </c>
      <c r="L469" s="166" t="str">
        <f>IF(分析!K469&lt;&gt;"",分析!K469,"")</f>
        <v/>
      </c>
      <c r="M469" s="161" t="str">
        <f>IF(分析!P469&lt;&gt;"",分析!P469,"")</f>
        <v/>
      </c>
      <c r="N469" s="167" t="str">
        <f>IF(分析!O469&lt;&gt;"",分析!O469,"")</f>
        <v/>
      </c>
      <c r="O469" s="168" t="str">
        <f>IF(分析!X469&lt;&gt;"",分析!X469,"")</f>
        <v/>
      </c>
      <c r="P469" s="169" t="str">
        <f>IF(分析!L469&lt;&gt;"",分析!L469,"")</f>
        <v/>
      </c>
      <c r="Q469" s="166" t="str">
        <f>IF(分析!S469&lt;&gt;"",分析!S469,"")</f>
        <v/>
      </c>
      <c r="R469" s="166" t="str">
        <f>IF(分析!R469&lt;&gt;"",分析!R469,"")</f>
        <v/>
      </c>
      <c r="S469" s="161" t="str">
        <f>IF(分析!AA469&lt;&gt;"",分析!AA469,"")</f>
        <v/>
      </c>
      <c r="T469" s="170" t="str">
        <f>IF(分析!Z469&lt;&gt;"",分析!Z469,"")</f>
        <v/>
      </c>
      <c r="U469" s="161" t="str">
        <f>IF(分析!V469&lt;&gt;"",分析!V469,"")</f>
        <v/>
      </c>
      <c r="V469" s="171" t="str">
        <f>IF(分析!W469&lt;&gt;"",分析!W469,"")</f>
        <v/>
      </c>
      <c r="W469" s="172" t="str">
        <f>IF(分析!AD469&lt;&gt;"",分析!AD469,"")</f>
        <v/>
      </c>
      <c r="X469" s="173" t="str">
        <f>IF(分析!AE469&lt;&gt;"",分析!AE469,"")</f>
        <v/>
      </c>
      <c r="Y469" s="174" t="str">
        <f>IF(分析!T469&lt;&gt;"",分析!T469,"")</f>
        <v/>
      </c>
      <c r="Z469" s="160" t="str">
        <f>IF(分析!Y469&lt;&gt;"",分析!Y469,"")</f>
        <v/>
      </c>
    </row>
    <row r="470" spans="1:26" ht="21.95" customHeight="1">
      <c r="A470" s="146" t="str">
        <f>IF(分析!C470&lt;&gt;"",ROW()-2,"")</f>
        <v/>
      </c>
      <c r="B470" s="147" t="str">
        <f>IF(分析!C470&lt;&gt;"",HYPERLINK("https://kabutan.jp/stock/?code="&amp;分析!C470,"株探"),"")</f>
        <v/>
      </c>
      <c r="C470" s="148" t="str">
        <f>IF(分析!C470&lt;&gt;"",分析!C470,"")</f>
        <v/>
      </c>
      <c r="D470" s="149" t="str">
        <f>IF(分析!D470&lt;&gt;"",分析!D470,"")</f>
        <v/>
      </c>
      <c r="E470" s="150" t="str">
        <f>IF(分析!E470&lt;&gt;"",分析!E470,"")</f>
        <v/>
      </c>
      <c r="F470" s="151" t="str">
        <f>IF(分析!F470&lt;&gt;"",分析!F470,"")</f>
        <v/>
      </c>
      <c r="G470" s="151" t="str">
        <f>IF(分析!H470&lt;&gt;"",分析!H470,"")</f>
        <v/>
      </c>
      <c r="H470" s="151" t="str">
        <f>IF(分析!I470&lt;&gt;"",分析!I470,"")</f>
        <v/>
      </c>
      <c r="I470" s="151" t="str">
        <f>IF(分析!J470&lt;&gt;"",分析!J470,"")</f>
        <v/>
      </c>
      <c r="J470" s="151" t="str">
        <f>IF(分析!AB470&lt;&gt;"",分析!AB470,"")</f>
        <v/>
      </c>
      <c r="K470" s="151" t="str">
        <f>IF(分析!AC470&lt;&gt;"",分析!AC470,"")</f>
        <v/>
      </c>
      <c r="L470" s="151" t="str">
        <f>IF(分析!K470&lt;&gt;"",分析!K470,"")</f>
        <v/>
      </c>
      <c r="M470" s="146" t="str">
        <f>IF(分析!P470&lt;&gt;"",分析!P470,"")</f>
        <v/>
      </c>
      <c r="N470" s="152" t="str">
        <f>IF(分析!O470&lt;&gt;"",分析!O470,"")</f>
        <v/>
      </c>
      <c r="O470" s="153" t="str">
        <f>IF(分析!X470&lt;&gt;"",分析!X470,"")</f>
        <v/>
      </c>
      <c r="P470" s="154" t="str">
        <f>IF(分析!L470&lt;&gt;"",分析!L470,"")</f>
        <v/>
      </c>
      <c r="Q470" s="151" t="str">
        <f>IF(分析!S470&lt;&gt;"",分析!S470,"")</f>
        <v/>
      </c>
      <c r="R470" s="151" t="str">
        <f>IF(分析!R470&lt;&gt;"",分析!R470,"")</f>
        <v/>
      </c>
      <c r="S470" s="146" t="str">
        <f>IF(分析!AA470&lt;&gt;"",分析!AA470,"")</f>
        <v/>
      </c>
      <c r="T470" s="155" t="str">
        <f>IF(分析!Z470&lt;&gt;"",分析!Z470,"")</f>
        <v/>
      </c>
      <c r="U470" s="146" t="str">
        <f>IF(分析!V470&lt;&gt;"",分析!V470,"")</f>
        <v/>
      </c>
      <c r="V470" s="156" t="str">
        <f>IF(分析!W470&lt;&gt;"",分析!W470,"")</f>
        <v/>
      </c>
      <c r="W470" s="157" t="str">
        <f>IF(分析!AD470&lt;&gt;"",分析!AD470,"")</f>
        <v/>
      </c>
      <c r="X470" s="158" t="str">
        <f>IF(分析!AE470&lt;&gt;"",分析!AE470,"")</f>
        <v/>
      </c>
      <c r="Y470" s="159" t="str">
        <f>IF(分析!T470&lt;&gt;"",分析!T470,"")</f>
        <v/>
      </c>
      <c r="Z470" s="160" t="str">
        <f>IF(分析!Y470&lt;&gt;"",分析!Y470,"")</f>
        <v/>
      </c>
    </row>
    <row r="471" spans="1:26" ht="21.95" customHeight="1">
      <c r="A471" s="161" t="str">
        <f>IF(分析!C471&lt;&gt;"",ROW()-2,"")</f>
        <v/>
      </c>
      <c r="B471" s="162" t="str">
        <f>IF(分析!C471&lt;&gt;"",HYPERLINK("https://kabutan.jp/stock/?code="&amp;分析!C471,"株探"),"")</f>
        <v/>
      </c>
      <c r="C471" s="163" t="str">
        <f>IF(分析!C471&lt;&gt;"",分析!C471,"")</f>
        <v/>
      </c>
      <c r="D471" s="164" t="str">
        <f>IF(分析!D471&lt;&gt;"",分析!D471,"")</f>
        <v/>
      </c>
      <c r="E471" s="165" t="str">
        <f>IF(分析!E471&lt;&gt;"",分析!E471,"")</f>
        <v/>
      </c>
      <c r="F471" s="166" t="str">
        <f>IF(分析!F471&lt;&gt;"",分析!F471,"")</f>
        <v/>
      </c>
      <c r="G471" s="166" t="str">
        <f>IF(分析!H471&lt;&gt;"",分析!H471,"")</f>
        <v/>
      </c>
      <c r="H471" s="166" t="str">
        <f>IF(分析!I471&lt;&gt;"",分析!I471,"")</f>
        <v/>
      </c>
      <c r="I471" s="166" t="str">
        <f>IF(分析!J471&lt;&gt;"",分析!J471,"")</f>
        <v/>
      </c>
      <c r="J471" s="166" t="str">
        <f>IF(分析!AB471&lt;&gt;"",分析!AB471,"")</f>
        <v/>
      </c>
      <c r="K471" s="166" t="str">
        <f>IF(分析!AC471&lt;&gt;"",分析!AC471,"")</f>
        <v/>
      </c>
      <c r="L471" s="166" t="str">
        <f>IF(分析!K471&lt;&gt;"",分析!K471,"")</f>
        <v/>
      </c>
      <c r="M471" s="161" t="str">
        <f>IF(分析!P471&lt;&gt;"",分析!P471,"")</f>
        <v/>
      </c>
      <c r="N471" s="167" t="str">
        <f>IF(分析!O471&lt;&gt;"",分析!O471,"")</f>
        <v/>
      </c>
      <c r="O471" s="168" t="str">
        <f>IF(分析!X471&lt;&gt;"",分析!X471,"")</f>
        <v/>
      </c>
      <c r="P471" s="169" t="str">
        <f>IF(分析!L471&lt;&gt;"",分析!L471,"")</f>
        <v/>
      </c>
      <c r="Q471" s="166" t="str">
        <f>IF(分析!S471&lt;&gt;"",分析!S471,"")</f>
        <v/>
      </c>
      <c r="R471" s="166" t="str">
        <f>IF(分析!R471&lt;&gt;"",分析!R471,"")</f>
        <v/>
      </c>
      <c r="S471" s="161" t="str">
        <f>IF(分析!AA471&lt;&gt;"",分析!AA471,"")</f>
        <v/>
      </c>
      <c r="T471" s="170" t="str">
        <f>IF(分析!Z471&lt;&gt;"",分析!Z471,"")</f>
        <v/>
      </c>
      <c r="U471" s="161" t="str">
        <f>IF(分析!V471&lt;&gt;"",分析!V471,"")</f>
        <v/>
      </c>
      <c r="V471" s="171" t="str">
        <f>IF(分析!W471&lt;&gt;"",分析!W471,"")</f>
        <v/>
      </c>
      <c r="W471" s="172" t="str">
        <f>IF(分析!AD471&lt;&gt;"",分析!AD471,"")</f>
        <v/>
      </c>
      <c r="X471" s="173" t="str">
        <f>IF(分析!AE471&lt;&gt;"",分析!AE471,"")</f>
        <v/>
      </c>
      <c r="Y471" s="174" t="str">
        <f>IF(分析!T471&lt;&gt;"",分析!T471,"")</f>
        <v/>
      </c>
      <c r="Z471" s="160" t="str">
        <f>IF(分析!Y471&lt;&gt;"",分析!Y471,"")</f>
        <v/>
      </c>
    </row>
    <row r="472" spans="1:26" ht="21.95" customHeight="1">
      <c r="A472" s="146" t="str">
        <f>IF(分析!C472&lt;&gt;"",ROW()-2,"")</f>
        <v/>
      </c>
      <c r="B472" s="147" t="str">
        <f>IF(分析!C472&lt;&gt;"",HYPERLINK("https://kabutan.jp/stock/?code="&amp;分析!C472,"株探"),"")</f>
        <v/>
      </c>
      <c r="C472" s="148" t="str">
        <f>IF(分析!C472&lt;&gt;"",分析!C472,"")</f>
        <v/>
      </c>
      <c r="D472" s="149" t="str">
        <f>IF(分析!D472&lt;&gt;"",分析!D472,"")</f>
        <v/>
      </c>
      <c r="E472" s="150" t="str">
        <f>IF(分析!E472&lt;&gt;"",分析!E472,"")</f>
        <v/>
      </c>
      <c r="F472" s="151" t="str">
        <f>IF(分析!F472&lt;&gt;"",分析!F472,"")</f>
        <v/>
      </c>
      <c r="G472" s="151" t="str">
        <f>IF(分析!H472&lt;&gt;"",分析!H472,"")</f>
        <v/>
      </c>
      <c r="H472" s="151" t="str">
        <f>IF(分析!I472&lt;&gt;"",分析!I472,"")</f>
        <v/>
      </c>
      <c r="I472" s="151" t="str">
        <f>IF(分析!J472&lt;&gt;"",分析!J472,"")</f>
        <v/>
      </c>
      <c r="J472" s="151" t="str">
        <f>IF(分析!AB472&lt;&gt;"",分析!AB472,"")</f>
        <v/>
      </c>
      <c r="K472" s="151" t="str">
        <f>IF(分析!AC472&lt;&gt;"",分析!AC472,"")</f>
        <v/>
      </c>
      <c r="L472" s="151" t="str">
        <f>IF(分析!K472&lt;&gt;"",分析!K472,"")</f>
        <v/>
      </c>
      <c r="M472" s="146" t="str">
        <f>IF(分析!P472&lt;&gt;"",分析!P472,"")</f>
        <v/>
      </c>
      <c r="N472" s="152" t="str">
        <f>IF(分析!O472&lt;&gt;"",分析!O472,"")</f>
        <v/>
      </c>
      <c r="O472" s="153" t="str">
        <f>IF(分析!X472&lt;&gt;"",分析!X472,"")</f>
        <v/>
      </c>
      <c r="P472" s="154" t="str">
        <f>IF(分析!L472&lt;&gt;"",分析!L472,"")</f>
        <v/>
      </c>
      <c r="Q472" s="151" t="str">
        <f>IF(分析!S472&lt;&gt;"",分析!S472,"")</f>
        <v/>
      </c>
      <c r="R472" s="151" t="str">
        <f>IF(分析!R472&lt;&gt;"",分析!R472,"")</f>
        <v/>
      </c>
      <c r="S472" s="146" t="str">
        <f>IF(分析!AA472&lt;&gt;"",分析!AA472,"")</f>
        <v/>
      </c>
      <c r="T472" s="155" t="str">
        <f>IF(分析!Z472&lt;&gt;"",分析!Z472,"")</f>
        <v/>
      </c>
      <c r="U472" s="146" t="str">
        <f>IF(分析!V472&lt;&gt;"",分析!V472,"")</f>
        <v/>
      </c>
      <c r="V472" s="156" t="str">
        <f>IF(分析!W472&lt;&gt;"",分析!W472,"")</f>
        <v/>
      </c>
      <c r="W472" s="157" t="str">
        <f>IF(分析!AD472&lt;&gt;"",分析!AD472,"")</f>
        <v/>
      </c>
      <c r="X472" s="158" t="str">
        <f>IF(分析!AE472&lt;&gt;"",分析!AE472,"")</f>
        <v/>
      </c>
      <c r="Y472" s="159" t="str">
        <f>IF(分析!T472&lt;&gt;"",分析!T472,"")</f>
        <v/>
      </c>
      <c r="Z472" s="160" t="str">
        <f>IF(分析!Y472&lt;&gt;"",分析!Y472,"")</f>
        <v/>
      </c>
    </row>
    <row r="473" spans="1:26" ht="21.95" customHeight="1">
      <c r="A473" s="161" t="str">
        <f>IF(分析!C473&lt;&gt;"",ROW()-2,"")</f>
        <v/>
      </c>
      <c r="B473" s="162" t="str">
        <f>IF(分析!C473&lt;&gt;"",HYPERLINK("https://kabutan.jp/stock/?code="&amp;分析!C473,"株探"),"")</f>
        <v/>
      </c>
      <c r="C473" s="163" t="str">
        <f>IF(分析!C473&lt;&gt;"",分析!C473,"")</f>
        <v/>
      </c>
      <c r="D473" s="164" t="str">
        <f>IF(分析!D473&lt;&gt;"",分析!D473,"")</f>
        <v/>
      </c>
      <c r="E473" s="165" t="str">
        <f>IF(分析!E473&lt;&gt;"",分析!E473,"")</f>
        <v/>
      </c>
      <c r="F473" s="166" t="str">
        <f>IF(分析!F473&lt;&gt;"",分析!F473,"")</f>
        <v/>
      </c>
      <c r="G473" s="166" t="str">
        <f>IF(分析!H473&lt;&gt;"",分析!H473,"")</f>
        <v/>
      </c>
      <c r="H473" s="166" t="str">
        <f>IF(分析!I473&lt;&gt;"",分析!I473,"")</f>
        <v/>
      </c>
      <c r="I473" s="166" t="str">
        <f>IF(分析!J473&lt;&gt;"",分析!J473,"")</f>
        <v/>
      </c>
      <c r="J473" s="166" t="str">
        <f>IF(分析!AB473&lt;&gt;"",分析!AB473,"")</f>
        <v/>
      </c>
      <c r="K473" s="166" t="str">
        <f>IF(分析!AC473&lt;&gt;"",分析!AC473,"")</f>
        <v/>
      </c>
      <c r="L473" s="166" t="str">
        <f>IF(分析!K473&lt;&gt;"",分析!K473,"")</f>
        <v/>
      </c>
      <c r="M473" s="161" t="str">
        <f>IF(分析!P473&lt;&gt;"",分析!P473,"")</f>
        <v/>
      </c>
      <c r="N473" s="167" t="str">
        <f>IF(分析!O473&lt;&gt;"",分析!O473,"")</f>
        <v/>
      </c>
      <c r="O473" s="168" t="str">
        <f>IF(分析!X473&lt;&gt;"",分析!X473,"")</f>
        <v/>
      </c>
      <c r="P473" s="169" t="str">
        <f>IF(分析!L473&lt;&gt;"",分析!L473,"")</f>
        <v/>
      </c>
      <c r="Q473" s="166" t="str">
        <f>IF(分析!S473&lt;&gt;"",分析!S473,"")</f>
        <v/>
      </c>
      <c r="R473" s="166" t="str">
        <f>IF(分析!R473&lt;&gt;"",分析!R473,"")</f>
        <v/>
      </c>
      <c r="S473" s="161" t="str">
        <f>IF(分析!AA473&lt;&gt;"",分析!AA473,"")</f>
        <v/>
      </c>
      <c r="T473" s="170" t="str">
        <f>IF(分析!Z473&lt;&gt;"",分析!Z473,"")</f>
        <v/>
      </c>
      <c r="U473" s="161" t="str">
        <f>IF(分析!V473&lt;&gt;"",分析!V473,"")</f>
        <v/>
      </c>
      <c r="V473" s="171" t="str">
        <f>IF(分析!W473&lt;&gt;"",分析!W473,"")</f>
        <v/>
      </c>
      <c r="W473" s="172" t="str">
        <f>IF(分析!AD473&lt;&gt;"",分析!AD473,"")</f>
        <v/>
      </c>
      <c r="X473" s="173" t="str">
        <f>IF(分析!AE473&lt;&gt;"",分析!AE473,"")</f>
        <v/>
      </c>
      <c r="Y473" s="174" t="str">
        <f>IF(分析!T473&lt;&gt;"",分析!T473,"")</f>
        <v/>
      </c>
      <c r="Z473" s="160" t="str">
        <f>IF(分析!Y473&lt;&gt;"",分析!Y473,"")</f>
        <v/>
      </c>
    </row>
    <row r="474" spans="1:26" ht="21.95" customHeight="1">
      <c r="A474" s="146" t="str">
        <f>IF(分析!C474&lt;&gt;"",ROW()-2,"")</f>
        <v/>
      </c>
      <c r="B474" s="147" t="str">
        <f>IF(分析!C474&lt;&gt;"",HYPERLINK("https://kabutan.jp/stock/?code="&amp;分析!C474,"株探"),"")</f>
        <v/>
      </c>
      <c r="C474" s="148" t="str">
        <f>IF(分析!C474&lt;&gt;"",分析!C474,"")</f>
        <v/>
      </c>
      <c r="D474" s="149" t="str">
        <f>IF(分析!D474&lt;&gt;"",分析!D474,"")</f>
        <v/>
      </c>
      <c r="E474" s="150" t="str">
        <f>IF(分析!E474&lt;&gt;"",分析!E474,"")</f>
        <v/>
      </c>
      <c r="F474" s="151" t="str">
        <f>IF(分析!F474&lt;&gt;"",分析!F474,"")</f>
        <v/>
      </c>
      <c r="G474" s="151" t="str">
        <f>IF(分析!H474&lt;&gt;"",分析!H474,"")</f>
        <v/>
      </c>
      <c r="H474" s="151" t="str">
        <f>IF(分析!I474&lt;&gt;"",分析!I474,"")</f>
        <v/>
      </c>
      <c r="I474" s="151" t="str">
        <f>IF(分析!J474&lt;&gt;"",分析!J474,"")</f>
        <v/>
      </c>
      <c r="J474" s="151" t="str">
        <f>IF(分析!AB474&lt;&gt;"",分析!AB474,"")</f>
        <v/>
      </c>
      <c r="K474" s="151" t="str">
        <f>IF(分析!AC474&lt;&gt;"",分析!AC474,"")</f>
        <v/>
      </c>
      <c r="L474" s="151" t="str">
        <f>IF(分析!K474&lt;&gt;"",分析!K474,"")</f>
        <v/>
      </c>
      <c r="M474" s="146" t="str">
        <f>IF(分析!P474&lt;&gt;"",分析!P474,"")</f>
        <v/>
      </c>
      <c r="N474" s="152" t="str">
        <f>IF(分析!O474&lt;&gt;"",分析!O474,"")</f>
        <v/>
      </c>
      <c r="O474" s="153" t="str">
        <f>IF(分析!X474&lt;&gt;"",分析!X474,"")</f>
        <v/>
      </c>
      <c r="P474" s="154" t="str">
        <f>IF(分析!L474&lt;&gt;"",分析!L474,"")</f>
        <v/>
      </c>
      <c r="Q474" s="151" t="str">
        <f>IF(分析!S474&lt;&gt;"",分析!S474,"")</f>
        <v/>
      </c>
      <c r="R474" s="151" t="str">
        <f>IF(分析!R474&lt;&gt;"",分析!R474,"")</f>
        <v/>
      </c>
      <c r="S474" s="146" t="str">
        <f>IF(分析!AA474&lt;&gt;"",分析!AA474,"")</f>
        <v/>
      </c>
      <c r="T474" s="155" t="str">
        <f>IF(分析!Z474&lt;&gt;"",分析!Z474,"")</f>
        <v/>
      </c>
      <c r="U474" s="146" t="str">
        <f>IF(分析!V474&lt;&gt;"",分析!V474,"")</f>
        <v/>
      </c>
      <c r="V474" s="156" t="str">
        <f>IF(分析!W474&lt;&gt;"",分析!W474,"")</f>
        <v/>
      </c>
      <c r="W474" s="157" t="str">
        <f>IF(分析!AD474&lt;&gt;"",分析!AD474,"")</f>
        <v/>
      </c>
      <c r="X474" s="158" t="str">
        <f>IF(分析!AE474&lt;&gt;"",分析!AE474,"")</f>
        <v/>
      </c>
      <c r="Y474" s="159" t="str">
        <f>IF(分析!T474&lt;&gt;"",分析!T474,"")</f>
        <v/>
      </c>
      <c r="Z474" s="160" t="str">
        <f>IF(分析!Y474&lt;&gt;"",分析!Y474,"")</f>
        <v/>
      </c>
    </row>
    <row r="475" spans="1:26" ht="21.95" customHeight="1">
      <c r="A475" s="161" t="str">
        <f>IF(分析!C475&lt;&gt;"",ROW()-2,"")</f>
        <v/>
      </c>
      <c r="B475" s="162" t="str">
        <f>IF(分析!C475&lt;&gt;"",HYPERLINK("https://kabutan.jp/stock/?code="&amp;分析!C475,"株探"),"")</f>
        <v/>
      </c>
      <c r="C475" s="163" t="str">
        <f>IF(分析!C475&lt;&gt;"",分析!C475,"")</f>
        <v/>
      </c>
      <c r="D475" s="164" t="str">
        <f>IF(分析!D475&lt;&gt;"",分析!D475,"")</f>
        <v/>
      </c>
      <c r="E475" s="165" t="str">
        <f>IF(分析!E475&lt;&gt;"",分析!E475,"")</f>
        <v/>
      </c>
      <c r="F475" s="166" t="str">
        <f>IF(分析!F475&lt;&gt;"",分析!F475,"")</f>
        <v/>
      </c>
      <c r="G475" s="166" t="str">
        <f>IF(分析!H475&lt;&gt;"",分析!H475,"")</f>
        <v/>
      </c>
      <c r="H475" s="166" t="str">
        <f>IF(分析!I475&lt;&gt;"",分析!I475,"")</f>
        <v/>
      </c>
      <c r="I475" s="166" t="str">
        <f>IF(分析!J475&lt;&gt;"",分析!J475,"")</f>
        <v/>
      </c>
      <c r="J475" s="166" t="str">
        <f>IF(分析!AB475&lt;&gt;"",分析!AB475,"")</f>
        <v/>
      </c>
      <c r="K475" s="166" t="str">
        <f>IF(分析!AC475&lt;&gt;"",分析!AC475,"")</f>
        <v/>
      </c>
      <c r="L475" s="166" t="str">
        <f>IF(分析!K475&lt;&gt;"",分析!K475,"")</f>
        <v/>
      </c>
      <c r="M475" s="161" t="str">
        <f>IF(分析!P475&lt;&gt;"",分析!P475,"")</f>
        <v/>
      </c>
      <c r="N475" s="167" t="str">
        <f>IF(分析!O475&lt;&gt;"",分析!O475,"")</f>
        <v/>
      </c>
      <c r="O475" s="168" t="str">
        <f>IF(分析!X475&lt;&gt;"",分析!X475,"")</f>
        <v/>
      </c>
      <c r="P475" s="169" t="str">
        <f>IF(分析!L475&lt;&gt;"",分析!L475,"")</f>
        <v/>
      </c>
      <c r="Q475" s="166" t="str">
        <f>IF(分析!S475&lt;&gt;"",分析!S475,"")</f>
        <v/>
      </c>
      <c r="R475" s="166" t="str">
        <f>IF(分析!R475&lt;&gt;"",分析!R475,"")</f>
        <v/>
      </c>
      <c r="S475" s="161" t="str">
        <f>IF(分析!AA475&lt;&gt;"",分析!AA475,"")</f>
        <v/>
      </c>
      <c r="T475" s="170" t="str">
        <f>IF(分析!Z475&lt;&gt;"",分析!Z475,"")</f>
        <v/>
      </c>
      <c r="U475" s="161" t="str">
        <f>IF(分析!V475&lt;&gt;"",分析!V475,"")</f>
        <v/>
      </c>
      <c r="V475" s="171" t="str">
        <f>IF(分析!W475&lt;&gt;"",分析!W475,"")</f>
        <v/>
      </c>
      <c r="W475" s="172" t="str">
        <f>IF(分析!AD475&lt;&gt;"",分析!AD475,"")</f>
        <v/>
      </c>
      <c r="X475" s="173" t="str">
        <f>IF(分析!AE475&lt;&gt;"",分析!AE475,"")</f>
        <v/>
      </c>
      <c r="Y475" s="174" t="str">
        <f>IF(分析!T475&lt;&gt;"",分析!T475,"")</f>
        <v/>
      </c>
      <c r="Z475" s="160" t="str">
        <f>IF(分析!Y475&lt;&gt;"",分析!Y475,"")</f>
        <v/>
      </c>
    </row>
    <row r="476" spans="1:26" ht="21.95" customHeight="1">
      <c r="A476" s="146" t="str">
        <f>IF(分析!C476&lt;&gt;"",ROW()-2,"")</f>
        <v/>
      </c>
      <c r="B476" s="147" t="str">
        <f>IF(分析!C476&lt;&gt;"",HYPERLINK("https://kabutan.jp/stock/?code="&amp;分析!C476,"株探"),"")</f>
        <v/>
      </c>
      <c r="C476" s="148" t="str">
        <f>IF(分析!C476&lt;&gt;"",分析!C476,"")</f>
        <v/>
      </c>
      <c r="D476" s="149" t="str">
        <f>IF(分析!D476&lt;&gt;"",分析!D476,"")</f>
        <v/>
      </c>
      <c r="E476" s="150" t="str">
        <f>IF(分析!E476&lt;&gt;"",分析!E476,"")</f>
        <v/>
      </c>
      <c r="F476" s="151" t="str">
        <f>IF(分析!F476&lt;&gt;"",分析!F476,"")</f>
        <v/>
      </c>
      <c r="G476" s="151" t="str">
        <f>IF(分析!H476&lt;&gt;"",分析!H476,"")</f>
        <v/>
      </c>
      <c r="H476" s="151" t="str">
        <f>IF(分析!I476&lt;&gt;"",分析!I476,"")</f>
        <v/>
      </c>
      <c r="I476" s="151" t="str">
        <f>IF(分析!J476&lt;&gt;"",分析!J476,"")</f>
        <v/>
      </c>
      <c r="J476" s="151" t="str">
        <f>IF(分析!AB476&lt;&gt;"",分析!AB476,"")</f>
        <v/>
      </c>
      <c r="K476" s="151" t="str">
        <f>IF(分析!AC476&lt;&gt;"",分析!AC476,"")</f>
        <v/>
      </c>
      <c r="L476" s="151" t="str">
        <f>IF(分析!K476&lt;&gt;"",分析!K476,"")</f>
        <v/>
      </c>
      <c r="M476" s="146" t="str">
        <f>IF(分析!P476&lt;&gt;"",分析!P476,"")</f>
        <v/>
      </c>
      <c r="N476" s="152" t="str">
        <f>IF(分析!O476&lt;&gt;"",分析!O476,"")</f>
        <v/>
      </c>
      <c r="O476" s="153" t="str">
        <f>IF(分析!X476&lt;&gt;"",分析!X476,"")</f>
        <v/>
      </c>
      <c r="P476" s="154" t="str">
        <f>IF(分析!L476&lt;&gt;"",分析!L476,"")</f>
        <v/>
      </c>
      <c r="Q476" s="151" t="str">
        <f>IF(分析!S476&lt;&gt;"",分析!S476,"")</f>
        <v/>
      </c>
      <c r="R476" s="151" t="str">
        <f>IF(分析!R476&lt;&gt;"",分析!R476,"")</f>
        <v/>
      </c>
      <c r="S476" s="146" t="str">
        <f>IF(分析!AA476&lt;&gt;"",分析!AA476,"")</f>
        <v/>
      </c>
      <c r="T476" s="155" t="str">
        <f>IF(分析!Z476&lt;&gt;"",分析!Z476,"")</f>
        <v/>
      </c>
      <c r="U476" s="146" t="str">
        <f>IF(分析!V476&lt;&gt;"",分析!V476,"")</f>
        <v/>
      </c>
      <c r="V476" s="156" t="str">
        <f>IF(分析!W476&lt;&gt;"",分析!W476,"")</f>
        <v/>
      </c>
      <c r="W476" s="157" t="str">
        <f>IF(分析!AD476&lt;&gt;"",分析!AD476,"")</f>
        <v/>
      </c>
      <c r="X476" s="158" t="str">
        <f>IF(分析!AE476&lt;&gt;"",分析!AE476,"")</f>
        <v/>
      </c>
      <c r="Y476" s="159" t="str">
        <f>IF(分析!T476&lt;&gt;"",分析!T476,"")</f>
        <v/>
      </c>
      <c r="Z476" s="160" t="str">
        <f>IF(分析!Y476&lt;&gt;"",分析!Y476,"")</f>
        <v/>
      </c>
    </row>
    <row r="477" spans="1:26" ht="21.95" customHeight="1">
      <c r="A477" s="161" t="str">
        <f>IF(分析!C477&lt;&gt;"",ROW()-2,"")</f>
        <v/>
      </c>
      <c r="B477" s="162" t="str">
        <f>IF(分析!C477&lt;&gt;"",HYPERLINK("https://kabutan.jp/stock/?code="&amp;分析!C477,"株探"),"")</f>
        <v/>
      </c>
      <c r="C477" s="163" t="str">
        <f>IF(分析!C477&lt;&gt;"",分析!C477,"")</f>
        <v/>
      </c>
      <c r="D477" s="164" t="str">
        <f>IF(分析!D477&lt;&gt;"",分析!D477,"")</f>
        <v/>
      </c>
      <c r="E477" s="165" t="str">
        <f>IF(分析!E477&lt;&gt;"",分析!E477,"")</f>
        <v/>
      </c>
      <c r="F477" s="166" t="str">
        <f>IF(分析!F477&lt;&gt;"",分析!F477,"")</f>
        <v/>
      </c>
      <c r="G477" s="166" t="str">
        <f>IF(分析!H477&lt;&gt;"",分析!H477,"")</f>
        <v/>
      </c>
      <c r="H477" s="166" t="str">
        <f>IF(分析!I477&lt;&gt;"",分析!I477,"")</f>
        <v/>
      </c>
      <c r="I477" s="166" t="str">
        <f>IF(分析!J477&lt;&gt;"",分析!J477,"")</f>
        <v/>
      </c>
      <c r="J477" s="166" t="str">
        <f>IF(分析!AB477&lt;&gt;"",分析!AB477,"")</f>
        <v/>
      </c>
      <c r="K477" s="166" t="str">
        <f>IF(分析!AC477&lt;&gt;"",分析!AC477,"")</f>
        <v/>
      </c>
      <c r="L477" s="166" t="str">
        <f>IF(分析!K477&lt;&gt;"",分析!K477,"")</f>
        <v/>
      </c>
      <c r="M477" s="161" t="str">
        <f>IF(分析!P477&lt;&gt;"",分析!P477,"")</f>
        <v/>
      </c>
      <c r="N477" s="167" t="str">
        <f>IF(分析!O477&lt;&gt;"",分析!O477,"")</f>
        <v/>
      </c>
      <c r="O477" s="168" t="str">
        <f>IF(分析!X477&lt;&gt;"",分析!X477,"")</f>
        <v/>
      </c>
      <c r="P477" s="169" t="str">
        <f>IF(分析!L477&lt;&gt;"",分析!L477,"")</f>
        <v/>
      </c>
      <c r="Q477" s="166" t="str">
        <f>IF(分析!S477&lt;&gt;"",分析!S477,"")</f>
        <v/>
      </c>
      <c r="R477" s="166" t="str">
        <f>IF(分析!R477&lt;&gt;"",分析!R477,"")</f>
        <v/>
      </c>
      <c r="S477" s="161" t="str">
        <f>IF(分析!AA477&lt;&gt;"",分析!AA477,"")</f>
        <v/>
      </c>
      <c r="T477" s="170" t="str">
        <f>IF(分析!Z477&lt;&gt;"",分析!Z477,"")</f>
        <v/>
      </c>
      <c r="U477" s="161" t="str">
        <f>IF(分析!V477&lt;&gt;"",分析!V477,"")</f>
        <v/>
      </c>
      <c r="V477" s="171" t="str">
        <f>IF(分析!W477&lt;&gt;"",分析!W477,"")</f>
        <v/>
      </c>
      <c r="W477" s="172" t="str">
        <f>IF(分析!AD477&lt;&gt;"",分析!AD477,"")</f>
        <v/>
      </c>
      <c r="X477" s="173" t="str">
        <f>IF(分析!AE477&lt;&gt;"",分析!AE477,"")</f>
        <v/>
      </c>
      <c r="Y477" s="174" t="str">
        <f>IF(分析!T477&lt;&gt;"",分析!T477,"")</f>
        <v/>
      </c>
      <c r="Z477" s="160" t="str">
        <f>IF(分析!Y477&lt;&gt;"",分析!Y477,"")</f>
        <v/>
      </c>
    </row>
    <row r="478" spans="1:26" ht="21.95" customHeight="1">
      <c r="A478" s="146" t="str">
        <f>IF(分析!C478&lt;&gt;"",ROW()-2,"")</f>
        <v/>
      </c>
      <c r="B478" s="147" t="str">
        <f>IF(分析!C478&lt;&gt;"",HYPERLINK("https://kabutan.jp/stock/?code="&amp;分析!C478,"株探"),"")</f>
        <v/>
      </c>
      <c r="C478" s="148" t="str">
        <f>IF(分析!C478&lt;&gt;"",分析!C478,"")</f>
        <v/>
      </c>
      <c r="D478" s="149" t="str">
        <f>IF(分析!D478&lt;&gt;"",分析!D478,"")</f>
        <v/>
      </c>
      <c r="E478" s="150" t="str">
        <f>IF(分析!E478&lt;&gt;"",分析!E478,"")</f>
        <v/>
      </c>
      <c r="F478" s="151" t="str">
        <f>IF(分析!F478&lt;&gt;"",分析!F478,"")</f>
        <v/>
      </c>
      <c r="G478" s="151" t="str">
        <f>IF(分析!H478&lt;&gt;"",分析!H478,"")</f>
        <v/>
      </c>
      <c r="H478" s="151" t="str">
        <f>IF(分析!I478&lt;&gt;"",分析!I478,"")</f>
        <v/>
      </c>
      <c r="I478" s="151" t="str">
        <f>IF(分析!J478&lt;&gt;"",分析!J478,"")</f>
        <v/>
      </c>
      <c r="J478" s="151" t="str">
        <f>IF(分析!AB478&lt;&gt;"",分析!AB478,"")</f>
        <v/>
      </c>
      <c r="K478" s="151" t="str">
        <f>IF(分析!AC478&lt;&gt;"",分析!AC478,"")</f>
        <v/>
      </c>
      <c r="L478" s="151" t="str">
        <f>IF(分析!K478&lt;&gt;"",分析!K478,"")</f>
        <v/>
      </c>
      <c r="M478" s="146" t="str">
        <f>IF(分析!P478&lt;&gt;"",分析!P478,"")</f>
        <v/>
      </c>
      <c r="N478" s="152" t="str">
        <f>IF(分析!O478&lt;&gt;"",分析!O478,"")</f>
        <v/>
      </c>
      <c r="O478" s="153" t="str">
        <f>IF(分析!X478&lt;&gt;"",分析!X478,"")</f>
        <v/>
      </c>
      <c r="P478" s="154" t="str">
        <f>IF(分析!L478&lt;&gt;"",分析!L478,"")</f>
        <v/>
      </c>
      <c r="Q478" s="151" t="str">
        <f>IF(分析!S478&lt;&gt;"",分析!S478,"")</f>
        <v/>
      </c>
      <c r="R478" s="151" t="str">
        <f>IF(分析!R478&lt;&gt;"",分析!R478,"")</f>
        <v/>
      </c>
      <c r="S478" s="146" t="str">
        <f>IF(分析!AA478&lt;&gt;"",分析!AA478,"")</f>
        <v/>
      </c>
      <c r="T478" s="155" t="str">
        <f>IF(分析!Z478&lt;&gt;"",分析!Z478,"")</f>
        <v/>
      </c>
      <c r="U478" s="146" t="str">
        <f>IF(分析!V478&lt;&gt;"",分析!V478,"")</f>
        <v/>
      </c>
      <c r="V478" s="156" t="str">
        <f>IF(分析!W478&lt;&gt;"",分析!W478,"")</f>
        <v/>
      </c>
      <c r="W478" s="157" t="str">
        <f>IF(分析!AD478&lt;&gt;"",分析!AD478,"")</f>
        <v/>
      </c>
      <c r="X478" s="158" t="str">
        <f>IF(分析!AE478&lt;&gt;"",分析!AE478,"")</f>
        <v/>
      </c>
      <c r="Y478" s="159" t="str">
        <f>IF(分析!T478&lt;&gt;"",分析!T478,"")</f>
        <v/>
      </c>
      <c r="Z478" s="160" t="str">
        <f>IF(分析!Y478&lt;&gt;"",分析!Y478,"")</f>
        <v/>
      </c>
    </row>
    <row r="479" spans="1:26" ht="21.95" customHeight="1">
      <c r="A479" s="161" t="str">
        <f>IF(分析!C479&lt;&gt;"",ROW()-2,"")</f>
        <v/>
      </c>
      <c r="B479" s="162" t="str">
        <f>IF(分析!C479&lt;&gt;"",HYPERLINK("https://kabutan.jp/stock/?code="&amp;分析!C479,"株探"),"")</f>
        <v/>
      </c>
      <c r="C479" s="163" t="str">
        <f>IF(分析!C479&lt;&gt;"",分析!C479,"")</f>
        <v/>
      </c>
      <c r="D479" s="164" t="str">
        <f>IF(分析!D479&lt;&gt;"",分析!D479,"")</f>
        <v/>
      </c>
      <c r="E479" s="165" t="str">
        <f>IF(分析!E479&lt;&gt;"",分析!E479,"")</f>
        <v/>
      </c>
      <c r="F479" s="166" t="str">
        <f>IF(分析!F479&lt;&gt;"",分析!F479,"")</f>
        <v/>
      </c>
      <c r="G479" s="166" t="str">
        <f>IF(分析!H479&lt;&gt;"",分析!H479,"")</f>
        <v/>
      </c>
      <c r="H479" s="166" t="str">
        <f>IF(分析!I479&lt;&gt;"",分析!I479,"")</f>
        <v/>
      </c>
      <c r="I479" s="166" t="str">
        <f>IF(分析!J479&lt;&gt;"",分析!J479,"")</f>
        <v/>
      </c>
      <c r="J479" s="166" t="str">
        <f>IF(分析!AB479&lt;&gt;"",分析!AB479,"")</f>
        <v/>
      </c>
      <c r="K479" s="166" t="str">
        <f>IF(分析!AC479&lt;&gt;"",分析!AC479,"")</f>
        <v/>
      </c>
      <c r="L479" s="166" t="str">
        <f>IF(分析!K479&lt;&gt;"",分析!K479,"")</f>
        <v/>
      </c>
      <c r="M479" s="161" t="str">
        <f>IF(分析!P479&lt;&gt;"",分析!P479,"")</f>
        <v/>
      </c>
      <c r="N479" s="167" t="str">
        <f>IF(分析!O479&lt;&gt;"",分析!O479,"")</f>
        <v/>
      </c>
      <c r="O479" s="168" t="str">
        <f>IF(分析!X479&lt;&gt;"",分析!X479,"")</f>
        <v/>
      </c>
      <c r="P479" s="169" t="str">
        <f>IF(分析!L479&lt;&gt;"",分析!L479,"")</f>
        <v/>
      </c>
      <c r="Q479" s="166" t="str">
        <f>IF(分析!S479&lt;&gt;"",分析!S479,"")</f>
        <v/>
      </c>
      <c r="R479" s="166" t="str">
        <f>IF(分析!R479&lt;&gt;"",分析!R479,"")</f>
        <v/>
      </c>
      <c r="S479" s="161" t="str">
        <f>IF(分析!AA479&lt;&gt;"",分析!AA479,"")</f>
        <v/>
      </c>
      <c r="T479" s="170" t="str">
        <f>IF(分析!Z479&lt;&gt;"",分析!Z479,"")</f>
        <v/>
      </c>
      <c r="U479" s="161" t="str">
        <f>IF(分析!V479&lt;&gt;"",分析!V479,"")</f>
        <v/>
      </c>
      <c r="V479" s="171" t="str">
        <f>IF(分析!W479&lt;&gt;"",分析!W479,"")</f>
        <v/>
      </c>
      <c r="W479" s="172" t="str">
        <f>IF(分析!AD479&lt;&gt;"",分析!AD479,"")</f>
        <v/>
      </c>
      <c r="X479" s="173" t="str">
        <f>IF(分析!AE479&lt;&gt;"",分析!AE479,"")</f>
        <v/>
      </c>
      <c r="Y479" s="174" t="str">
        <f>IF(分析!T479&lt;&gt;"",分析!T479,"")</f>
        <v/>
      </c>
      <c r="Z479" s="160" t="str">
        <f>IF(分析!Y479&lt;&gt;"",分析!Y479,"")</f>
        <v/>
      </c>
    </row>
    <row r="480" spans="1:26" ht="21.95" customHeight="1">
      <c r="A480" s="146" t="str">
        <f>IF(分析!C480&lt;&gt;"",ROW()-2,"")</f>
        <v/>
      </c>
      <c r="B480" s="147" t="str">
        <f>IF(分析!C480&lt;&gt;"",HYPERLINK("https://kabutan.jp/stock/?code="&amp;分析!C480,"株探"),"")</f>
        <v/>
      </c>
      <c r="C480" s="148" t="str">
        <f>IF(分析!C480&lt;&gt;"",分析!C480,"")</f>
        <v/>
      </c>
      <c r="D480" s="149" t="str">
        <f>IF(分析!D480&lt;&gt;"",分析!D480,"")</f>
        <v/>
      </c>
      <c r="E480" s="150" t="str">
        <f>IF(分析!E480&lt;&gt;"",分析!E480,"")</f>
        <v/>
      </c>
      <c r="F480" s="151" t="str">
        <f>IF(分析!F480&lt;&gt;"",分析!F480,"")</f>
        <v/>
      </c>
      <c r="G480" s="151" t="str">
        <f>IF(分析!H480&lt;&gt;"",分析!H480,"")</f>
        <v/>
      </c>
      <c r="H480" s="151" t="str">
        <f>IF(分析!I480&lt;&gt;"",分析!I480,"")</f>
        <v/>
      </c>
      <c r="I480" s="151" t="str">
        <f>IF(分析!J480&lt;&gt;"",分析!J480,"")</f>
        <v/>
      </c>
      <c r="J480" s="151" t="str">
        <f>IF(分析!AB480&lt;&gt;"",分析!AB480,"")</f>
        <v/>
      </c>
      <c r="K480" s="151" t="str">
        <f>IF(分析!AC480&lt;&gt;"",分析!AC480,"")</f>
        <v/>
      </c>
      <c r="L480" s="151" t="str">
        <f>IF(分析!K480&lt;&gt;"",分析!K480,"")</f>
        <v/>
      </c>
      <c r="M480" s="146" t="str">
        <f>IF(分析!P480&lt;&gt;"",分析!P480,"")</f>
        <v/>
      </c>
      <c r="N480" s="152" t="str">
        <f>IF(分析!O480&lt;&gt;"",分析!O480,"")</f>
        <v/>
      </c>
      <c r="O480" s="153" t="str">
        <f>IF(分析!X480&lt;&gt;"",分析!X480,"")</f>
        <v/>
      </c>
      <c r="P480" s="154" t="str">
        <f>IF(分析!L480&lt;&gt;"",分析!L480,"")</f>
        <v/>
      </c>
      <c r="Q480" s="151" t="str">
        <f>IF(分析!S480&lt;&gt;"",分析!S480,"")</f>
        <v/>
      </c>
      <c r="R480" s="151" t="str">
        <f>IF(分析!R480&lt;&gt;"",分析!R480,"")</f>
        <v/>
      </c>
      <c r="S480" s="146" t="str">
        <f>IF(分析!AA480&lt;&gt;"",分析!AA480,"")</f>
        <v/>
      </c>
      <c r="T480" s="155" t="str">
        <f>IF(分析!Z480&lt;&gt;"",分析!Z480,"")</f>
        <v/>
      </c>
      <c r="U480" s="146" t="str">
        <f>IF(分析!V480&lt;&gt;"",分析!V480,"")</f>
        <v/>
      </c>
      <c r="V480" s="156" t="str">
        <f>IF(分析!W480&lt;&gt;"",分析!W480,"")</f>
        <v/>
      </c>
      <c r="W480" s="157" t="str">
        <f>IF(分析!AD480&lt;&gt;"",分析!AD480,"")</f>
        <v/>
      </c>
      <c r="X480" s="158" t="str">
        <f>IF(分析!AE480&lt;&gt;"",分析!AE480,"")</f>
        <v/>
      </c>
      <c r="Y480" s="159" t="str">
        <f>IF(分析!T480&lt;&gt;"",分析!T480,"")</f>
        <v/>
      </c>
      <c r="Z480" s="160" t="str">
        <f>IF(分析!Y480&lt;&gt;"",分析!Y480,"")</f>
        <v/>
      </c>
    </row>
    <row r="481" spans="1:26" ht="21.95" customHeight="1">
      <c r="A481" s="161" t="str">
        <f>IF(分析!C481&lt;&gt;"",ROW()-2,"")</f>
        <v/>
      </c>
      <c r="B481" s="162" t="str">
        <f>IF(分析!C481&lt;&gt;"",HYPERLINK("https://kabutan.jp/stock/?code="&amp;分析!C481,"株探"),"")</f>
        <v/>
      </c>
      <c r="C481" s="163" t="str">
        <f>IF(分析!C481&lt;&gt;"",分析!C481,"")</f>
        <v/>
      </c>
      <c r="D481" s="164" t="str">
        <f>IF(分析!D481&lt;&gt;"",分析!D481,"")</f>
        <v/>
      </c>
      <c r="E481" s="165" t="str">
        <f>IF(分析!E481&lt;&gt;"",分析!E481,"")</f>
        <v/>
      </c>
      <c r="F481" s="166" t="str">
        <f>IF(分析!F481&lt;&gt;"",分析!F481,"")</f>
        <v/>
      </c>
      <c r="G481" s="166" t="str">
        <f>IF(分析!H481&lt;&gt;"",分析!H481,"")</f>
        <v/>
      </c>
      <c r="H481" s="166" t="str">
        <f>IF(分析!I481&lt;&gt;"",分析!I481,"")</f>
        <v/>
      </c>
      <c r="I481" s="166" t="str">
        <f>IF(分析!J481&lt;&gt;"",分析!J481,"")</f>
        <v/>
      </c>
      <c r="J481" s="166" t="str">
        <f>IF(分析!AB481&lt;&gt;"",分析!AB481,"")</f>
        <v/>
      </c>
      <c r="K481" s="166" t="str">
        <f>IF(分析!AC481&lt;&gt;"",分析!AC481,"")</f>
        <v/>
      </c>
      <c r="L481" s="166" t="str">
        <f>IF(分析!K481&lt;&gt;"",分析!K481,"")</f>
        <v/>
      </c>
      <c r="M481" s="161" t="str">
        <f>IF(分析!P481&lt;&gt;"",分析!P481,"")</f>
        <v/>
      </c>
      <c r="N481" s="167" t="str">
        <f>IF(分析!O481&lt;&gt;"",分析!O481,"")</f>
        <v/>
      </c>
      <c r="O481" s="168" t="str">
        <f>IF(分析!X481&lt;&gt;"",分析!X481,"")</f>
        <v/>
      </c>
      <c r="P481" s="169" t="str">
        <f>IF(分析!L481&lt;&gt;"",分析!L481,"")</f>
        <v/>
      </c>
      <c r="Q481" s="166" t="str">
        <f>IF(分析!S481&lt;&gt;"",分析!S481,"")</f>
        <v/>
      </c>
      <c r="R481" s="166" t="str">
        <f>IF(分析!R481&lt;&gt;"",分析!R481,"")</f>
        <v/>
      </c>
      <c r="S481" s="161" t="str">
        <f>IF(分析!AA481&lt;&gt;"",分析!AA481,"")</f>
        <v/>
      </c>
      <c r="T481" s="170" t="str">
        <f>IF(分析!Z481&lt;&gt;"",分析!Z481,"")</f>
        <v/>
      </c>
      <c r="U481" s="161" t="str">
        <f>IF(分析!V481&lt;&gt;"",分析!V481,"")</f>
        <v/>
      </c>
      <c r="V481" s="171" t="str">
        <f>IF(分析!W481&lt;&gt;"",分析!W481,"")</f>
        <v/>
      </c>
      <c r="W481" s="172" t="str">
        <f>IF(分析!AD481&lt;&gt;"",分析!AD481,"")</f>
        <v/>
      </c>
      <c r="X481" s="173" t="str">
        <f>IF(分析!AE481&lt;&gt;"",分析!AE481,"")</f>
        <v/>
      </c>
      <c r="Y481" s="174" t="str">
        <f>IF(分析!T481&lt;&gt;"",分析!T481,"")</f>
        <v/>
      </c>
      <c r="Z481" s="160" t="str">
        <f>IF(分析!Y481&lt;&gt;"",分析!Y481,"")</f>
        <v/>
      </c>
    </row>
    <row r="482" spans="1:26" ht="21.95" customHeight="1">
      <c r="A482" s="146" t="str">
        <f>IF(分析!C482&lt;&gt;"",ROW()-2,"")</f>
        <v/>
      </c>
      <c r="B482" s="147" t="str">
        <f>IF(分析!C482&lt;&gt;"",HYPERLINK("https://kabutan.jp/stock/?code="&amp;分析!C482,"株探"),"")</f>
        <v/>
      </c>
      <c r="C482" s="148" t="str">
        <f>IF(分析!C482&lt;&gt;"",分析!C482,"")</f>
        <v/>
      </c>
      <c r="D482" s="149" t="str">
        <f>IF(分析!D482&lt;&gt;"",分析!D482,"")</f>
        <v/>
      </c>
      <c r="E482" s="150" t="str">
        <f>IF(分析!E482&lt;&gt;"",分析!E482,"")</f>
        <v/>
      </c>
      <c r="F482" s="151" t="str">
        <f>IF(分析!F482&lt;&gt;"",分析!F482,"")</f>
        <v/>
      </c>
      <c r="G482" s="151" t="str">
        <f>IF(分析!H482&lt;&gt;"",分析!H482,"")</f>
        <v/>
      </c>
      <c r="H482" s="151" t="str">
        <f>IF(分析!I482&lt;&gt;"",分析!I482,"")</f>
        <v/>
      </c>
      <c r="I482" s="151" t="str">
        <f>IF(分析!J482&lt;&gt;"",分析!J482,"")</f>
        <v/>
      </c>
      <c r="J482" s="151" t="str">
        <f>IF(分析!AB482&lt;&gt;"",分析!AB482,"")</f>
        <v/>
      </c>
      <c r="K482" s="151" t="str">
        <f>IF(分析!AC482&lt;&gt;"",分析!AC482,"")</f>
        <v/>
      </c>
      <c r="L482" s="151" t="str">
        <f>IF(分析!K482&lt;&gt;"",分析!K482,"")</f>
        <v/>
      </c>
      <c r="M482" s="146" t="str">
        <f>IF(分析!P482&lt;&gt;"",分析!P482,"")</f>
        <v/>
      </c>
      <c r="N482" s="152" t="str">
        <f>IF(分析!O482&lt;&gt;"",分析!O482,"")</f>
        <v/>
      </c>
      <c r="O482" s="153" t="str">
        <f>IF(分析!X482&lt;&gt;"",分析!X482,"")</f>
        <v/>
      </c>
      <c r="P482" s="154" t="str">
        <f>IF(分析!L482&lt;&gt;"",分析!L482,"")</f>
        <v/>
      </c>
      <c r="Q482" s="151" t="str">
        <f>IF(分析!S482&lt;&gt;"",分析!S482,"")</f>
        <v/>
      </c>
      <c r="R482" s="151" t="str">
        <f>IF(分析!R482&lt;&gt;"",分析!R482,"")</f>
        <v/>
      </c>
      <c r="S482" s="146" t="str">
        <f>IF(分析!AA482&lt;&gt;"",分析!AA482,"")</f>
        <v/>
      </c>
      <c r="T482" s="155" t="str">
        <f>IF(分析!Z482&lt;&gt;"",分析!Z482,"")</f>
        <v/>
      </c>
      <c r="U482" s="146" t="str">
        <f>IF(分析!V482&lt;&gt;"",分析!V482,"")</f>
        <v/>
      </c>
      <c r="V482" s="156" t="str">
        <f>IF(分析!W482&lt;&gt;"",分析!W482,"")</f>
        <v/>
      </c>
      <c r="W482" s="157" t="str">
        <f>IF(分析!AD482&lt;&gt;"",分析!AD482,"")</f>
        <v/>
      </c>
      <c r="X482" s="158" t="str">
        <f>IF(分析!AE482&lt;&gt;"",分析!AE482,"")</f>
        <v/>
      </c>
      <c r="Y482" s="159" t="str">
        <f>IF(分析!T482&lt;&gt;"",分析!T482,"")</f>
        <v/>
      </c>
      <c r="Z482" s="160" t="str">
        <f>IF(分析!Y482&lt;&gt;"",分析!Y482,"")</f>
        <v/>
      </c>
    </row>
    <row r="483" spans="1:26" ht="21.95" customHeight="1">
      <c r="A483" s="161" t="str">
        <f>IF(分析!C483&lt;&gt;"",ROW()-2,"")</f>
        <v/>
      </c>
      <c r="B483" s="162" t="str">
        <f>IF(分析!C483&lt;&gt;"",HYPERLINK("https://kabutan.jp/stock/?code="&amp;分析!C483,"株探"),"")</f>
        <v/>
      </c>
      <c r="C483" s="163" t="str">
        <f>IF(分析!C483&lt;&gt;"",分析!C483,"")</f>
        <v/>
      </c>
      <c r="D483" s="164" t="str">
        <f>IF(分析!D483&lt;&gt;"",分析!D483,"")</f>
        <v/>
      </c>
      <c r="E483" s="165" t="str">
        <f>IF(分析!E483&lt;&gt;"",分析!E483,"")</f>
        <v/>
      </c>
      <c r="F483" s="166" t="str">
        <f>IF(分析!F483&lt;&gt;"",分析!F483,"")</f>
        <v/>
      </c>
      <c r="G483" s="166" t="str">
        <f>IF(分析!H483&lt;&gt;"",分析!H483,"")</f>
        <v/>
      </c>
      <c r="H483" s="166" t="str">
        <f>IF(分析!I483&lt;&gt;"",分析!I483,"")</f>
        <v/>
      </c>
      <c r="I483" s="166" t="str">
        <f>IF(分析!J483&lt;&gt;"",分析!J483,"")</f>
        <v/>
      </c>
      <c r="J483" s="166" t="str">
        <f>IF(分析!AB483&lt;&gt;"",分析!AB483,"")</f>
        <v/>
      </c>
      <c r="K483" s="166" t="str">
        <f>IF(分析!AC483&lt;&gt;"",分析!AC483,"")</f>
        <v/>
      </c>
      <c r="L483" s="166" t="str">
        <f>IF(分析!K483&lt;&gt;"",分析!K483,"")</f>
        <v/>
      </c>
      <c r="M483" s="161" t="str">
        <f>IF(分析!P483&lt;&gt;"",分析!P483,"")</f>
        <v/>
      </c>
      <c r="N483" s="167" t="str">
        <f>IF(分析!O483&lt;&gt;"",分析!O483,"")</f>
        <v/>
      </c>
      <c r="O483" s="168" t="str">
        <f>IF(分析!X483&lt;&gt;"",分析!X483,"")</f>
        <v/>
      </c>
      <c r="P483" s="169" t="str">
        <f>IF(分析!L483&lt;&gt;"",分析!L483,"")</f>
        <v/>
      </c>
      <c r="Q483" s="166" t="str">
        <f>IF(分析!S483&lt;&gt;"",分析!S483,"")</f>
        <v/>
      </c>
      <c r="R483" s="166" t="str">
        <f>IF(分析!R483&lt;&gt;"",分析!R483,"")</f>
        <v/>
      </c>
      <c r="S483" s="161" t="str">
        <f>IF(分析!AA483&lt;&gt;"",分析!AA483,"")</f>
        <v/>
      </c>
      <c r="T483" s="170" t="str">
        <f>IF(分析!Z483&lt;&gt;"",分析!Z483,"")</f>
        <v/>
      </c>
      <c r="U483" s="161" t="str">
        <f>IF(分析!V483&lt;&gt;"",分析!V483,"")</f>
        <v/>
      </c>
      <c r="V483" s="171" t="str">
        <f>IF(分析!W483&lt;&gt;"",分析!W483,"")</f>
        <v/>
      </c>
      <c r="W483" s="172" t="str">
        <f>IF(分析!AD483&lt;&gt;"",分析!AD483,"")</f>
        <v/>
      </c>
      <c r="X483" s="173" t="str">
        <f>IF(分析!AE483&lt;&gt;"",分析!AE483,"")</f>
        <v/>
      </c>
      <c r="Y483" s="174" t="str">
        <f>IF(分析!T483&lt;&gt;"",分析!T483,"")</f>
        <v/>
      </c>
      <c r="Z483" s="160" t="str">
        <f>IF(分析!Y483&lt;&gt;"",分析!Y483,"")</f>
        <v/>
      </c>
    </row>
    <row r="484" spans="1:26" ht="21.95" customHeight="1">
      <c r="A484" s="146" t="str">
        <f>IF(分析!C484&lt;&gt;"",ROW()-2,"")</f>
        <v/>
      </c>
      <c r="B484" s="147" t="str">
        <f>IF(分析!C484&lt;&gt;"",HYPERLINK("https://kabutan.jp/stock/?code="&amp;分析!C484,"株探"),"")</f>
        <v/>
      </c>
      <c r="C484" s="148" t="str">
        <f>IF(分析!C484&lt;&gt;"",分析!C484,"")</f>
        <v/>
      </c>
      <c r="D484" s="149" t="str">
        <f>IF(分析!D484&lt;&gt;"",分析!D484,"")</f>
        <v/>
      </c>
      <c r="E484" s="150" t="str">
        <f>IF(分析!E484&lt;&gt;"",分析!E484,"")</f>
        <v/>
      </c>
      <c r="F484" s="151" t="str">
        <f>IF(分析!F484&lt;&gt;"",分析!F484,"")</f>
        <v/>
      </c>
      <c r="G484" s="151" t="str">
        <f>IF(分析!H484&lt;&gt;"",分析!H484,"")</f>
        <v/>
      </c>
      <c r="H484" s="151" t="str">
        <f>IF(分析!I484&lt;&gt;"",分析!I484,"")</f>
        <v/>
      </c>
      <c r="I484" s="151" t="str">
        <f>IF(分析!J484&lt;&gt;"",分析!J484,"")</f>
        <v/>
      </c>
      <c r="J484" s="151" t="str">
        <f>IF(分析!AB484&lt;&gt;"",分析!AB484,"")</f>
        <v/>
      </c>
      <c r="K484" s="151" t="str">
        <f>IF(分析!AC484&lt;&gt;"",分析!AC484,"")</f>
        <v/>
      </c>
      <c r="L484" s="151" t="str">
        <f>IF(分析!K484&lt;&gt;"",分析!K484,"")</f>
        <v/>
      </c>
      <c r="M484" s="146" t="str">
        <f>IF(分析!P484&lt;&gt;"",分析!P484,"")</f>
        <v/>
      </c>
      <c r="N484" s="152" t="str">
        <f>IF(分析!O484&lt;&gt;"",分析!O484,"")</f>
        <v/>
      </c>
      <c r="O484" s="153" t="str">
        <f>IF(分析!X484&lt;&gt;"",分析!X484,"")</f>
        <v/>
      </c>
      <c r="P484" s="154" t="str">
        <f>IF(分析!L484&lt;&gt;"",分析!L484,"")</f>
        <v/>
      </c>
      <c r="Q484" s="151" t="str">
        <f>IF(分析!S484&lt;&gt;"",分析!S484,"")</f>
        <v/>
      </c>
      <c r="R484" s="151" t="str">
        <f>IF(分析!R484&lt;&gt;"",分析!R484,"")</f>
        <v/>
      </c>
      <c r="S484" s="146" t="str">
        <f>IF(分析!AA484&lt;&gt;"",分析!AA484,"")</f>
        <v/>
      </c>
      <c r="T484" s="155" t="str">
        <f>IF(分析!Z484&lt;&gt;"",分析!Z484,"")</f>
        <v/>
      </c>
      <c r="U484" s="146" t="str">
        <f>IF(分析!V484&lt;&gt;"",分析!V484,"")</f>
        <v/>
      </c>
      <c r="V484" s="156" t="str">
        <f>IF(分析!W484&lt;&gt;"",分析!W484,"")</f>
        <v/>
      </c>
      <c r="W484" s="157" t="str">
        <f>IF(分析!AD484&lt;&gt;"",分析!AD484,"")</f>
        <v/>
      </c>
      <c r="X484" s="158" t="str">
        <f>IF(分析!AE484&lt;&gt;"",分析!AE484,"")</f>
        <v/>
      </c>
      <c r="Y484" s="159" t="str">
        <f>IF(分析!T484&lt;&gt;"",分析!T484,"")</f>
        <v/>
      </c>
      <c r="Z484" s="160" t="str">
        <f>IF(分析!Y484&lt;&gt;"",分析!Y484,"")</f>
        <v/>
      </c>
    </row>
    <row r="485" spans="1:26" ht="21.95" customHeight="1">
      <c r="A485" s="161" t="str">
        <f>IF(分析!C485&lt;&gt;"",ROW()-2,"")</f>
        <v/>
      </c>
      <c r="B485" s="162" t="str">
        <f>IF(分析!C485&lt;&gt;"",HYPERLINK("https://kabutan.jp/stock/?code="&amp;分析!C485,"株探"),"")</f>
        <v/>
      </c>
      <c r="C485" s="163" t="str">
        <f>IF(分析!C485&lt;&gt;"",分析!C485,"")</f>
        <v/>
      </c>
      <c r="D485" s="164" t="str">
        <f>IF(分析!D485&lt;&gt;"",分析!D485,"")</f>
        <v/>
      </c>
      <c r="E485" s="165" t="str">
        <f>IF(分析!E485&lt;&gt;"",分析!E485,"")</f>
        <v/>
      </c>
      <c r="F485" s="166" t="str">
        <f>IF(分析!F485&lt;&gt;"",分析!F485,"")</f>
        <v/>
      </c>
      <c r="G485" s="166" t="str">
        <f>IF(分析!H485&lt;&gt;"",分析!H485,"")</f>
        <v/>
      </c>
      <c r="H485" s="166" t="str">
        <f>IF(分析!I485&lt;&gt;"",分析!I485,"")</f>
        <v/>
      </c>
      <c r="I485" s="166" t="str">
        <f>IF(分析!J485&lt;&gt;"",分析!J485,"")</f>
        <v/>
      </c>
      <c r="J485" s="166" t="str">
        <f>IF(分析!AB485&lt;&gt;"",分析!AB485,"")</f>
        <v/>
      </c>
      <c r="K485" s="166" t="str">
        <f>IF(分析!AC485&lt;&gt;"",分析!AC485,"")</f>
        <v/>
      </c>
      <c r="L485" s="166" t="str">
        <f>IF(分析!K485&lt;&gt;"",分析!K485,"")</f>
        <v/>
      </c>
      <c r="M485" s="161" t="str">
        <f>IF(分析!P485&lt;&gt;"",分析!P485,"")</f>
        <v/>
      </c>
      <c r="N485" s="167" t="str">
        <f>IF(分析!O485&lt;&gt;"",分析!O485,"")</f>
        <v/>
      </c>
      <c r="O485" s="168" t="str">
        <f>IF(分析!X485&lt;&gt;"",分析!X485,"")</f>
        <v/>
      </c>
      <c r="P485" s="169" t="str">
        <f>IF(分析!L485&lt;&gt;"",分析!L485,"")</f>
        <v/>
      </c>
      <c r="Q485" s="166" t="str">
        <f>IF(分析!S485&lt;&gt;"",分析!S485,"")</f>
        <v/>
      </c>
      <c r="R485" s="166" t="str">
        <f>IF(分析!R485&lt;&gt;"",分析!R485,"")</f>
        <v/>
      </c>
      <c r="S485" s="161" t="str">
        <f>IF(分析!AA485&lt;&gt;"",分析!AA485,"")</f>
        <v/>
      </c>
      <c r="T485" s="170" t="str">
        <f>IF(分析!Z485&lt;&gt;"",分析!Z485,"")</f>
        <v/>
      </c>
      <c r="U485" s="161" t="str">
        <f>IF(分析!V485&lt;&gt;"",分析!V485,"")</f>
        <v/>
      </c>
      <c r="V485" s="171" t="str">
        <f>IF(分析!W485&lt;&gt;"",分析!W485,"")</f>
        <v/>
      </c>
      <c r="W485" s="172" t="str">
        <f>IF(分析!AD485&lt;&gt;"",分析!AD485,"")</f>
        <v/>
      </c>
      <c r="X485" s="173" t="str">
        <f>IF(分析!AE485&lt;&gt;"",分析!AE485,"")</f>
        <v/>
      </c>
      <c r="Y485" s="174" t="str">
        <f>IF(分析!T485&lt;&gt;"",分析!T485,"")</f>
        <v/>
      </c>
      <c r="Z485" s="160" t="str">
        <f>IF(分析!Y485&lt;&gt;"",分析!Y485,"")</f>
        <v/>
      </c>
    </row>
    <row r="486" spans="1:26" ht="21.95" customHeight="1">
      <c r="A486" s="146" t="str">
        <f>IF(分析!C486&lt;&gt;"",ROW()-2,"")</f>
        <v/>
      </c>
      <c r="B486" s="147" t="str">
        <f>IF(分析!C486&lt;&gt;"",HYPERLINK("https://kabutan.jp/stock/?code="&amp;分析!C486,"株探"),"")</f>
        <v/>
      </c>
      <c r="C486" s="148" t="str">
        <f>IF(分析!C486&lt;&gt;"",分析!C486,"")</f>
        <v/>
      </c>
      <c r="D486" s="149" t="str">
        <f>IF(分析!D486&lt;&gt;"",分析!D486,"")</f>
        <v/>
      </c>
      <c r="E486" s="150" t="str">
        <f>IF(分析!E486&lt;&gt;"",分析!E486,"")</f>
        <v/>
      </c>
      <c r="F486" s="151" t="str">
        <f>IF(分析!F486&lt;&gt;"",分析!F486,"")</f>
        <v/>
      </c>
      <c r="G486" s="151" t="str">
        <f>IF(分析!H486&lt;&gt;"",分析!H486,"")</f>
        <v/>
      </c>
      <c r="H486" s="151" t="str">
        <f>IF(分析!I486&lt;&gt;"",分析!I486,"")</f>
        <v/>
      </c>
      <c r="I486" s="151" t="str">
        <f>IF(分析!J486&lt;&gt;"",分析!J486,"")</f>
        <v/>
      </c>
      <c r="J486" s="151" t="str">
        <f>IF(分析!AB486&lt;&gt;"",分析!AB486,"")</f>
        <v/>
      </c>
      <c r="K486" s="151" t="str">
        <f>IF(分析!AC486&lt;&gt;"",分析!AC486,"")</f>
        <v/>
      </c>
      <c r="L486" s="151" t="str">
        <f>IF(分析!K486&lt;&gt;"",分析!K486,"")</f>
        <v/>
      </c>
      <c r="M486" s="146" t="str">
        <f>IF(分析!P486&lt;&gt;"",分析!P486,"")</f>
        <v/>
      </c>
      <c r="N486" s="152" t="str">
        <f>IF(分析!O486&lt;&gt;"",分析!O486,"")</f>
        <v/>
      </c>
      <c r="O486" s="153" t="str">
        <f>IF(分析!X486&lt;&gt;"",分析!X486,"")</f>
        <v/>
      </c>
      <c r="P486" s="154" t="str">
        <f>IF(分析!L486&lt;&gt;"",分析!L486,"")</f>
        <v/>
      </c>
      <c r="Q486" s="151" t="str">
        <f>IF(分析!S486&lt;&gt;"",分析!S486,"")</f>
        <v/>
      </c>
      <c r="R486" s="151" t="str">
        <f>IF(分析!R486&lt;&gt;"",分析!R486,"")</f>
        <v/>
      </c>
      <c r="S486" s="146" t="str">
        <f>IF(分析!AA486&lt;&gt;"",分析!AA486,"")</f>
        <v/>
      </c>
      <c r="T486" s="155" t="str">
        <f>IF(分析!Z486&lt;&gt;"",分析!Z486,"")</f>
        <v/>
      </c>
      <c r="U486" s="146" t="str">
        <f>IF(分析!V486&lt;&gt;"",分析!V486,"")</f>
        <v/>
      </c>
      <c r="V486" s="156" t="str">
        <f>IF(分析!W486&lt;&gt;"",分析!W486,"")</f>
        <v/>
      </c>
      <c r="W486" s="157" t="str">
        <f>IF(分析!AD486&lt;&gt;"",分析!AD486,"")</f>
        <v/>
      </c>
      <c r="X486" s="158" t="str">
        <f>IF(分析!AE486&lt;&gt;"",分析!AE486,"")</f>
        <v/>
      </c>
      <c r="Y486" s="159" t="str">
        <f>IF(分析!T486&lt;&gt;"",分析!T486,"")</f>
        <v/>
      </c>
      <c r="Z486" s="160" t="str">
        <f>IF(分析!Y486&lt;&gt;"",分析!Y486,"")</f>
        <v/>
      </c>
    </row>
    <row r="487" spans="1:26" ht="21.95" customHeight="1">
      <c r="A487" s="161" t="str">
        <f>IF(分析!C487&lt;&gt;"",ROW()-2,"")</f>
        <v/>
      </c>
      <c r="B487" s="162" t="str">
        <f>IF(分析!C487&lt;&gt;"",HYPERLINK("https://kabutan.jp/stock/?code="&amp;分析!C487,"株探"),"")</f>
        <v/>
      </c>
      <c r="C487" s="163" t="str">
        <f>IF(分析!C487&lt;&gt;"",分析!C487,"")</f>
        <v/>
      </c>
      <c r="D487" s="164" t="str">
        <f>IF(分析!D487&lt;&gt;"",分析!D487,"")</f>
        <v/>
      </c>
      <c r="E487" s="165" t="str">
        <f>IF(分析!E487&lt;&gt;"",分析!E487,"")</f>
        <v/>
      </c>
      <c r="F487" s="166" t="str">
        <f>IF(分析!F487&lt;&gt;"",分析!F487,"")</f>
        <v/>
      </c>
      <c r="G487" s="166" t="str">
        <f>IF(分析!H487&lt;&gt;"",分析!H487,"")</f>
        <v/>
      </c>
      <c r="H487" s="166" t="str">
        <f>IF(分析!I487&lt;&gt;"",分析!I487,"")</f>
        <v/>
      </c>
      <c r="I487" s="166" t="str">
        <f>IF(分析!J487&lt;&gt;"",分析!J487,"")</f>
        <v/>
      </c>
      <c r="J487" s="166" t="str">
        <f>IF(分析!AB487&lt;&gt;"",分析!AB487,"")</f>
        <v/>
      </c>
      <c r="K487" s="166" t="str">
        <f>IF(分析!AC487&lt;&gt;"",分析!AC487,"")</f>
        <v/>
      </c>
      <c r="L487" s="166" t="str">
        <f>IF(分析!K487&lt;&gt;"",分析!K487,"")</f>
        <v/>
      </c>
      <c r="M487" s="161" t="str">
        <f>IF(分析!P487&lt;&gt;"",分析!P487,"")</f>
        <v/>
      </c>
      <c r="N487" s="167" t="str">
        <f>IF(分析!O487&lt;&gt;"",分析!O487,"")</f>
        <v/>
      </c>
      <c r="O487" s="168" t="str">
        <f>IF(分析!X487&lt;&gt;"",分析!X487,"")</f>
        <v/>
      </c>
      <c r="P487" s="169" t="str">
        <f>IF(分析!L487&lt;&gt;"",分析!L487,"")</f>
        <v/>
      </c>
      <c r="Q487" s="166" t="str">
        <f>IF(分析!S487&lt;&gt;"",分析!S487,"")</f>
        <v/>
      </c>
      <c r="R487" s="166" t="str">
        <f>IF(分析!R487&lt;&gt;"",分析!R487,"")</f>
        <v/>
      </c>
      <c r="S487" s="161" t="str">
        <f>IF(分析!AA487&lt;&gt;"",分析!AA487,"")</f>
        <v/>
      </c>
      <c r="T487" s="170" t="str">
        <f>IF(分析!Z487&lt;&gt;"",分析!Z487,"")</f>
        <v/>
      </c>
      <c r="U487" s="161" t="str">
        <f>IF(分析!V487&lt;&gt;"",分析!V487,"")</f>
        <v/>
      </c>
      <c r="V487" s="171" t="str">
        <f>IF(分析!W487&lt;&gt;"",分析!W487,"")</f>
        <v/>
      </c>
      <c r="W487" s="172" t="str">
        <f>IF(分析!AD487&lt;&gt;"",分析!AD487,"")</f>
        <v/>
      </c>
      <c r="X487" s="173" t="str">
        <f>IF(分析!AE487&lt;&gt;"",分析!AE487,"")</f>
        <v/>
      </c>
      <c r="Y487" s="174" t="str">
        <f>IF(分析!T487&lt;&gt;"",分析!T487,"")</f>
        <v/>
      </c>
      <c r="Z487" s="160" t="str">
        <f>IF(分析!Y487&lt;&gt;"",分析!Y487,"")</f>
        <v/>
      </c>
    </row>
    <row r="488" spans="1:26" ht="21.95" customHeight="1">
      <c r="A488" s="146" t="str">
        <f>IF(分析!C488&lt;&gt;"",ROW()-2,"")</f>
        <v/>
      </c>
      <c r="B488" s="147" t="str">
        <f>IF(分析!C488&lt;&gt;"",HYPERLINK("https://kabutan.jp/stock/?code="&amp;分析!C488,"株探"),"")</f>
        <v/>
      </c>
      <c r="C488" s="148" t="str">
        <f>IF(分析!C488&lt;&gt;"",分析!C488,"")</f>
        <v/>
      </c>
      <c r="D488" s="149" t="str">
        <f>IF(分析!D488&lt;&gt;"",分析!D488,"")</f>
        <v/>
      </c>
      <c r="E488" s="150" t="str">
        <f>IF(分析!E488&lt;&gt;"",分析!E488,"")</f>
        <v/>
      </c>
      <c r="F488" s="151" t="str">
        <f>IF(分析!F488&lt;&gt;"",分析!F488,"")</f>
        <v/>
      </c>
      <c r="G488" s="151" t="str">
        <f>IF(分析!H488&lt;&gt;"",分析!H488,"")</f>
        <v/>
      </c>
      <c r="H488" s="151" t="str">
        <f>IF(分析!I488&lt;&gt;"",分析!I488,"")</f>
        <v/>
      </c>
      <c r="I488" s="151" t="str">
        <f>IF(分析!J488&lt;&gt;"",分析!J488,"")</f>
        <v/>
      </c>
      <c r="J488" s="151" t="str">
        <f>IF(分析!AB488&lt;&gt;"",分析!AB488,"")</f>
        <v/>
      </c>
      <c r="K488" s="151" t="str">
        <f>IF(分析!AC488&lt;&gt;"",分析!AC488,"")</f>
        <v/>
      </c>
      <c r="L488" s="151" t="str">
        <f>IF(分析!K488&lt;&gt;"",分析!K488,"")</f>
        <v/>
      </c>
      <c r="M488" s="146" t="str">
        <f>IF(分析!P488&lt;&gt;"",分析!P488,"")</f>
        <v/>
      </c>
      <c r="N488" s="152" t="str">
        <f>IF(分析!O488&lt;&gt;"",分析!O488,"")</f>
        <v/>
      </c>
      <c r="O488" s="153" t="str">
        <f>IF(分析!X488&lt;&gt;"",分析!X488,"")</f>
        <v/>
      </c>
      <c r="P488" s="154" t="str">
        <f>IF(分析!L488&lt;&gt;"",分析!L488,"")</f>
        <v/>
      </c>
      <c r="Q488" s="151" t="str">
        <f>IF(分析!S488&lt;&gt;"",分析!S488,"")</f>
        <v/>
      </c>
      <c r="R488" s="151" t="str">
        <f>IF(分析!R488&lt;&gt;"",分析!R488,"")</f>
        <v/>
      </c>
      <c r="S488" s="146" t="str">
        <f>IF(分析!AA488&lt;&gt;"",分析!AA488,"")</f>
        <v/>
      </c>
      <c r="T488" s="155" t="str">
        <f>IF(分析!Z488&lt;&gt;"",分析!Z488,"")</f>
        <v/>
      </c>
      <c r="U488" s="146" t="str">
        <f>IF(分析!V488&lt;&gt;"",分析!V488,"")</f>
        <v/>
      </c>
      <c r="V488" s="156" t="str">
        <f>IF(分析!W488&lt;&gt;"",分析!W488,"")</f>
        <v/>
      </c>
      <c r="W488" s="157" t="str">
        <f>IF(分析!AD488&lt;&gt;"",分析!AD488,"")</f>
        <v/>
      </c>
      <c r="X488" s="158" t="str">
        <f>IF(分析!AE488&lt;&gt;"",分析!AE488,"")</f>
        <v/>
      </c>
      <c r="Y488" s="159" t="str">
        <f>IF(分析!T488&lt;&gt;"",分析!T488,"")</f>
        <v/>
      </c>
      <c r="Z488" s="160" t="str">
        <f>IF(分析!Y488&lt;&gt;"",分析!Y488,"")</f>
        <v/>
      </c>
    </row>
    <row r="489" spans="1:26" ht="21.95" customHeight="1">
      <c r="A489" s="161" t="str">
        <f>IF(分析!C489&lt;&gt;"",ROW()-2,"")</f>
        <v/>
      </c>
      <c r="B489" s="162" t="str">
        <f>IF(分析!C489&lt;&gt;"",HYPERLINK("https://kabutan.jp/stock/?code="&amp;分析!C489,"株探"),"")</f>
        <v/>
      </c>
      <c r="C489" s="163" t="str">
        <f>IF(分析!C489&lt;&gt;"",分析!C489,"")</f>
        <v/>
      </c>
      <c r="D489" s="164" t="str">
        <f>IF(分析!D489&lt;&gt;"",分析!D489,"")</f>
        <v/>
      </c>
      <c r="E489" s="165" t="str">
        <f>IF(分析!E489&lt;&gt;"",分析!E489,"")</f>
        <v/>
      </c>
      <c r="F489" s="166" t="str">
        <f>IF(分析!F489&lt;&gt;"",分析!F489,"")</f>
        <v/>
      </c>
      <c r="G489" s="166" t="str">
        <f>IF(分析!H489&lt;&gt;"",分析!H489,"")</f>
        <v/>
      </c>
      <c r="H489" s="166" t="str">
        <f>IF(分析!I489&lt;&gt;"",分析!I489,"")</f>
        <v/>
      </c>
      <c r="I489" s="166" t="str">
        <f>IF(分析!J489&lt;&gt;"",分析!J489,"")</f>
        <v/>
      </c>
      <c r="J489" s="166" t="str">
        <f>IF(分析!AB489&lt;&gt;"",分析!AB489,"")</f>
        <v/>
      </c>
      <c r="K489" s="166" t="str">
        <f>IF(分析!AC489&lt;&gt;"",分析!AC489,"")</f>
        <v/>
      </c>
      <c r="L489" s="166" t="str">
        <f>IF(分析!K489&lt;&gt;"",分析!K489,"")</f>
        <v/>
      </c>
      <c r="M489" s="161" t="str">
        <f>IF(分析!P489&lt;&gt;"",分析!P489,"")</f>
        <v/>
      </c>
      <c r="N489" s="167" t="str">
        <f>IF(分析!O489&lt;&gt;"",分析!O489,"")</f>
        <v/>
      </c>
      <c r="O489" s="168" t="str">
        <f>IF(分析!X489&lt;&gt;"",分析!X489,"")</f>
        <v/>
      </c>
      <c r="P489" s="169" t="str">
        <f>IF(分析!L489&lt;&gt;"",分析!L489,"")</f>
        <v/>
      </c>
      <c r="Q489" s="166" t="str">
        <f>IF(分析!S489&lt;&gt;"",分析!S489,"")</f>
        <v/>
      </c>
      <c r="R489" s="166" t="str">
        <f>IF(分析!R489&lt;&gt;"",分析!R489,"")</f>
        <v/>
      </c>
      <c r="S489" s="161" t="str">
        <f>IF(分析!AA489&lt;&gt;"",分析!AA489,"")</f>
        <v/>
      </c>
      <c r="T489" s="170" t="str">
        <f>IF(分析!Z489&lt;&gt;"",分析!Z489,"")</f>
        <v/>
      </c>
      <c r="U489" s="161" t="str">
        <f>IF(分析!V489&lt;&gt;"",分析!V489,"")</f>
        <v/>
      </c>
      <c r="V489" s="171" t="str">
        <f>IF(分析!W489&lt;&gt;"",分析!W489,"")</f>
        <v/>
      </c>
      <c r="W489" s="172" t="str">
        <f>IF(分析!AD489&lt;&gt;"",分析!AD489,"")</f>
        <v/>
      </c>
      <c r="X489" s="173" t="str">
        <f>IF(分析!AE489&lt;&gt;"",分析!AE489,"")</f>
        <v/>
      </c>
      <c r="Y489" s="174" t="str">
        <f>IF(分析!T489&lt;&gt;"",分析!T489,"")</f>
        <v/>
      </c>
      <c r="Z489" s="160" t="str">
        <f>IF(分析!Y489&lt;&gt;"",分析!Y489,"")</f>
        <v/>
      </c>
    </row>
    <row r="490" spans="1:26" ht="21.95" customHeight="1">
      <c r="A490" s="146" t="str">
        <f>IF(分析!C490&lt;&gt;"",ROW()-2,"")</f>
        <v/>
      </c>
      <c r="B490" s="147" t="str">
        <f>IF(分析!C490&lt;&gt;"",HYPERLINK("https://kabutan.jp/stock/?code="&amp;分析!C490,"株探"),"")</f>
        <v/>
      </c>
      <c r="C490" s="148" t="str">
        <f>IF(分析!C490&lt;&gt;"",分析!C490,"")</f>
        <v/>
      </c>
      <c r="D490" s="149" t="str">
        <f>IF(分析!D490&lt;&gt;"",分析!D490,"")</f>
        <v/>
      </c>
      <c r="E490" s="150" t="str">
        <f>IF(分析!E490&lt;&gt;"",分析!E490,"")</f>
        <v/>
      </c>
      <c r="F490" s="151" t="str">
        <f>IF(分析!F490&lt;&gt;"",分析!F490,"")</f>
        <v/>
      </c>
      <c r="G490" s="151" t="str">
        <f>IF(分析!H490&lt;&gt;"",分析!H490,"")</f>
        <v/>
      </c>
      <c r="H490" s="151" t="str">
        <f>IF(分析!I490&lt;&gt;"",分析!I490,"")</f>
        <v/>
      </c>
      <c r="I490" s="151" t="str">
        <f>IF(分析!J490&lt;&gt;"",分析!J490,"")</f>
        <v/>
      </c>
      <c r="J490" s="151" t="str">
        <f>IF(分析!AB490&lt;&gt;"",分析!AB490,"")</f>
        <v/>
      </c>
      <c r="K490" s="151" t="str">
        <f>IF(分析!AC490&lt;&gt;"",分析!AC490,"")</f>
        <v/>
      </c>
      <c r="L490" s="151" t="str">
        <f>IF(分析!K490&lt;&gt;"",分析!K490,"")</f>
        <v/>
      </c>
      <c r="M490" s="146" t="str">
        <f>IF(分析!P490&lt;&gt;"",分析!P490,"")</f>
        <v/>
      </c>
      <c r="N490" s="152" t="str">
        <f>IF(分析!O490&lt;&gt;"",分析!O490,"")</f>
        <v/>
      </c>
      <c r="O490" s="153" t="str">
        <f>IF(分析!X490&lt;&gt;"",分析!X490,"")</f>
        <v/>
      </c>
      <c r="P490" s="154" t="str">
        <f>IF(分析!L490&lt;&gt;"",分析!L490,"")</f>
        <v/>
      </c>
      <c r="Q490" s="151" t="str">
        <f>IF(分析!S490&lt;&gt;"",分析!S490,"")</f>
        <v/>
      </c>
      <c r="R490" s="151" t="str">
        <f>IF(分析!R490&lt;&gt;"",分析!R490,"")</f>
        <v/>
      </c>
      <c r="S490" s="146" t="str">
        <f>IF(分析!AA490&lt;&gt;"",分析!AA490,"")</f>
        <v/>
      </c>
      <c r="T490" s="155" t="str">
        <f>IF(分析!Z490&lt;&gt;"",分析!Z490,"")</f>
        <v/>
      </c>
      <c r="U490" s="146" t="str">
        <f>IF(分析!V490&lt;&gt;"",分析!V490,"")</f>
        <v/>
      </c>
      <c r="V490" s="156" t="str">
        <f>IF(分析!W490&lt;&gt;"",分析!W490,"")</f>
        <v/>
      </c>
      <c r="W490" s="157" t="str">
        <f>IF(分析!AD490&lt;&gt;"",分析!AD490,"")</f>
        <v/>
      </c>
      <c r="X490" s="158" t="str">
        <f>IF(分析!AE490&lt;&gt;"",分析!AE490,"")</f>
        <v/>
      </c>
      <c r="Y490" s="159" t="str">
        <f>IF(分析!T490&lt;&gt;"",分析!T490,"")</f>
        <v/>
      </c>
      <c r="Z490" s="160" t="str">
        <f>IF(分析!Y490&lt;&gt;"",分析!Y490,"")</f>
        <v/>
      </c>
    </row>
    <row r="491" spans="1:26" ht="21.95" customHeight="1">
      <c r="A491" s="161" t="str">
        <f>IF(分析!C491&lt;&gt;"",ROW()-2,"")</f>
        <v/>
      </c>
      <c r="B491" s="162" t="str">
        <f>IF(分析!C491&lt;&gt;"",HYPERLINK("https://kabutan.jp/stock/?code="&amp;分析!C491,"株探"),"")</f>
        <v/>
      </c>
      <c r="C491" s="163" t="str">
        <f>IF(分析!C491&lt;&gt;"",分析!C491,"")</f>
        <v/>
      </c>
      <c r="D491" s="164" t="str">
        <f>IF(分析!D491&lt;&gt;"",分析!D491,"")</f>
        <v/>
      </c>
      <c r="E491" s="165" t="str">
        <f>IF(分析!E491&lt;&gt;"",分析!E491,"")</f>
        <v/>
      </c>
      <c r="F491" s="166" t="str">
        <f>IF(分析!F491&lt;&gt;"",分析!F491,"")</f>
        <v/>
      </c>
      <c r="G491" s="166" t="str">
        <f>IF(分析!H491&lt;&gt;"",分析!H491,"")</f>
        <v/>
      </c>
      <c r="H491" s="166" t="str">
        <f>IF(分析!I491&lt;&gt;"",分析!I491,"")</f>
        <v/>
      </c>
      <c r="I491" s="166" t="str">
        <f>IF(分析!J491&lt;&gt;"",分析!J491,"")</f>
        <v/>
      </c>
      <c r="J491" s="166" t="str">
        <f>IF(分析!AB491&lt;&gt;"",分析!AB491,"")</f>
        <v/>
      </c>
      <c r="K491" s="166" t="str">
        <f>IF(分析!AC491&lt;&gt;"",分析!AC491,"")</f>
        <v/>
      </c>
      <c r="L491" s="166" t="str">
        <f>IF(分析!K491&lt;&gt;"",分析!K491,"")</f>
        <v/>
      </c>
      <c r="M491" s="161" t="str">
        <f>IF(分析!P491&lt;&gt;"",分析!P491,"")</f>
        <v/>
      </c>
      <c r="N491" s="167" t="str">
        <f>IF(分析!O491&lt;&gt;"",分析!O491,"")</f>
        <v/>
      </c>
      <c r="O491" s="168" t="str">
        <f>IF(分析!X491&lt;&gt;"",分析!X491,"")</f>
        <v/>
      </c>
      <c r="P491" s="169" t="str">
        <f>IF(分析!L491&lt;&gt;"",分析!L491,"")</f>
        <v/>
      </c>
      <c r="Q491" s="166" t="str">
        <f>IF(分析!S491&lt;&gt;"",分析!S491,"")</f>
        <v/>
      </c>
      <c r="R491" s="166" t="str">
        <f>IF(分析!R491&lt;&gt;"",分析!R491,"")</f>
        <v/>
      </c>
      <c r="S491" s="161" t="str">
        <f>IF(分析!AA491&lt;&gt;"",分析!AA491,"")</f>
        <v/>
      </c>
      <c r="T491" s="170" t="str">
        <f>IF(分析!Z491&lt;&gt;"",分析!Z491,"")</f>
        <v/>
      </c>
      <c r="U491" s="161" t="str">
        <f>IF(分析!V491&lt;&gt;"",分析!V491,"")</f>
        <v/>
      </c>
      <c r="V491" s="171" t="str">
        <f>IF(分析!W491&lt;&gt;"",分析!W491,"")</f>
        <v/>
      </c>
      <c r="W491" s="172" t="str">
        <f>IF(分析!AD491&lt;&gt;"",分析!AD491,"")</f>
        <v/>
      </c>
      <c r="X491" s="173" t="str">
        <f>IF(分析!AE491&lt;&gt;"",分析!AE491,"")</f>
        <v/>
      </c>
      <c r="Y491" s="174" t="str">
        <f>IF(分析!T491&lt;&gt;"",分析!T491,"")</f>
        <v/>
      </c>
      <c r="Z491" s="160" t="str">
        <f>IF(分析!Y491&lt;&gt;"",分析!Y491,"")</f>
        <v/>
      </c>
    </row>
    <row r="492" spans="1:26" ht="21.95" customHeight="1">
      <c r="A492" s="146" t="str">
        <f>IF(分析!C492&lt;&gt;"",ROW()-2,"")</f>
        <v/>
      </c>
      <c r="B492" s="147" t="str">
        <f>IF(分析!C492&lt;&gt;"",HYPERLINK("https://kabutan.jp/stock/?code="&amp;分析!C492,"株探"),"")</f>
        <v/>
      </c>
      <c r="C492" s="148" t="str">
        <f>IF(分析!C492&lt;&gt;"",分析!C492,"")</f>
        <v/>
      </c>
      <c r="D492" s="149" t="str">
        <f>IF(分析!D492&lt;&gt;"",分析!D492,"")</f>
        <v/>
      </c>
      <c r="E492" s="150" t="str">
        <f>IF(分析!E492&lt;&gt;"",分析!E492,"")</f>
        <v/>
      </c>
      <c r="F492" s="151" t="str">
        <f>IF(分析!F492&lt;&gt;"",分析!F492,"")</f>
        <v/>
      </c>
      <c r="G492" s="151" t="str">
        <f>IF(分析!H492&lt;&gt;"",分析!H492,"")</f>
        <v/>
      </c>
      <c r="H492" s="151" t="str">
        <f>IF(分析!I492&lt;&gt;"",分析!I492,"")</f>
        <v/>
      </c>
      <c r="I492" s="151" t="str">
        <f>IF(分析!J492&lt;&gt;"",分析!J492,"")</f>
        <v/>
      </c>
      <c r="J492" s="151" t="str">
        <f>IF(分析!AB492&lt;&gt;"",分析!AB492,"")</f>
        <v/>
      </c>
      <c r="K492" s="151" t="str">
        <f>IF(分析!AC492&lt;&gt;"",分析!AC492,"")</f>
        <v/>
      </c>
      <c r="L492" s="151" t="str">
        <f>IF(分析!K492&lt;&gt;"",分析!K492,"")</f>
        <v/>
      </c>
      <c r="M492" s="146" t="str">
        <f>IF(分析!P492&lt;&gt;"",分析!P492,"")</f>
        <v/>
      </c>
      <c r="N492" s="152" t="str">
        <f>IF(分析!O492&lt;&gt;"",分析!O492,"")</f>
        <v/>
      </c>
      <c r="O492" s="153" t="str">
        <f>IF(分析!X492&lt;&gt;"",分析!X492,"")</f>
        <v/>
      </c>
      <c r="P492" s="154" t="str">
        <f>IF(分析!L492&lt;&gt;"",分析!L492,"")</f>
        <v/>
      </c>
      <c r="Q492" s="151" t="str">
        <f>IF(分析!S492&lt;&gt;"",分析!S492,"")</f>
        <v/>
      </c>
      <c r="R492" s="151" t="str">
        <f>IF(分析!R492&lt;&gt;"",分析!R492,"")</f>
        <v/>
      </c>
      <c r="S492" s="146" t="str">
        <f>IF(分析!AA492&lt;&gt;"",分析!AA492,"")</f>
        <v/>
      </c>
      <c r="T492" s="155" t="str">
        <f>IF(分析!Z492&lt;&gt;"",分析!Z492,"")</f>
        <v/>
      </c>
      <c r="U492" s="146" t="str">
        <f>IF(分析!V492&lt;&gt;"",分析!V492,"")</f>
        <v/>
      </c>
      <c r="V492" s="156" t="str">
        <f>IF(分析!W492&lt;&gt;"",分析!W492,"")</f>
        <v/>
      </c>
      <c r="W492" s="157" t="str">
        <f>IF(分析!AD492&lt;&gt;"",分析!AD492,"")</f>
        <v/>
      </c>
      <c r="X492" s="158" t="str">
        <f>IF(分析!AE492&lt;&gt;"",分析!AE492,"")</f>
        <v/>
      </c>
      <c r="Y492" s="159" t="str">
        <f>IF(分析!T492&lt;&gt;"",分析!T492,"")</f>
        <v/>
      </c>
      <c r="Z492" s="160" t="str">
        <f>IF(分析!Y492&lt;&gt;"",分析!Y492,"")</f>
        <v/>
      </c>
    </row>
    <row r="493" spans="1:26" ht="21.95" customHeight="1">
      <c r="A493" s="161" t="str">
        <f>IF(分析!C493&lt;&gt;"",ROW()-2,"")</f>
        <v/>
      </c>
      <c r="B493" s="162" t="str">
        <f>IF(分析!C493&lt;&gt;"",HYPERLINK("https://kabutan.jp/stock/?code="&amp;分析!C493,"株探"),"")</f>
        <v/>
      </c>
      <c r="C493" s="163" t="str">
        <f>IF(分析!C493&lt;&gt;"",分析!C493,"")</f>
        <v/>
      </c>
      <c r="D493" s="164" t="str">
        <f>IF(分析!D493&lt;&gt;"",分析!D493,"")</f>
        <v/>
      </c>
      <c r="E493" s="165" t="str">
        <f>IF(分析!E493&lt;&gt;"",分析!E493,"")</f>
        <v/>
      </c>
      <c r="F493" s="166" t="str">
        <f>IF(分析!F493&lt;&gt;"",分析!F493,"")</f>
        <v/>
      </c>
      <c r="G493" s="166" t="str">
        <f>IF(分析!H493&lt;&gt;"",分析!H493,"")</f>
        <v/>
      </c>
      <c r="H493" s="166" t="str">
        <f>IF(分析!I493&lt;&gt;"",分析!I493,"")</f>
        <v/>
      </c>
      <c r="I493" s="166" t="str">
        <f>IF(分析!J493&lt;&gt;"",分析!J493,"")</f>
        <v/>
      </c>
      <c r="J493" s="166" t="str">
        <f>IF(分析!AB493&lt;&gt;"",分析!AB493,"")</f>
        <v/>
      </c>
      <c r="K493" s="166" t="str">
        <f>IF(分析!AC493&lt;&gt;"",分析!AC493,"")</f>
        <v/>
      </c>
      <c r="L493" s="166" t="str">
        <f>IF(分析!K493&lt;&gt;"",分析!K493,"")</f>
        <v/>
      </c>
      <c r="M493" s="161" t="str">
        <f>IF(分析!P493&lt;&gt;"",分析!P493,"")</f>
        <v/>
      </c>
      <c r="N493" s="167" t="str">
        <f>IF(分析!O493&lt;&gt;"",分析!O493,"")</f>
        <v/>
      </c>
      <c r="O493" s="168" t="str">
        <f>IF(分析!X493&lt;&gt;"",分析!X493,"")</f>
        <v/>
      </c>
      <c r="P493" s="169" t="str">
        <f>IF(分析!L493&lt;&gt;"",分析!L493,"")</f>
        <v/>
      </c>
      <c r="Q493" s="166" t="str">
        <f>IF(分析!S493&lt;&gt;"",分析!S493,"")</f>
        <v/>
      </c>
      <c r="R493" s="166" t="str">
        <f>IF(分析!R493&lt;&gt;"",分析!R493,"")</f>
        <v/>
      </c>
      <c r="S493" s="161" t="str">
        <f>IF(分析!AA493&lt;&gt;"",分析!AA493,"")</f>
        <v/>
      </c>
      <c r="T493" s="170" t="str">
        <f>IF(分析!Z493&lt;&gt;"",分析!Z493,"")</f>
        <v/>
      </c>
      <c r="U493" s="161" t="str">
        <f>IF(分析!V493&lt;&gt;"",分析!V493,"")</f>
        <v/>
      </c>
      <c r="V493" s="171" t="str">
        <f>IF(分析!W493&lt;&gt;"",分析!W493,"")</f>
        <v/>
      </c>
      <c r="W493" s="172" t="str">
        <f>IF(分析!AD493&lt;&gt;"",分析!AD493,"")</f>
        <v/>
      </c>
      <c r="X493" s="173" t="str">
        <f>IF(分析!AE493&lt;&gt;"",分析!AE493,"")</f>
        <v/>
      </c>
      <c r="Y493" s="174" t="str">
        <f>IF(分析!T493&lt;&gt;"",分析!T493,"")</f>
        <v/>
      </c>
      <c r="Z493" s="160" t="str">
        <f>IF(分析!Y493&lt;&gt;"",分析!Y493,"")</f>
        <v/>
      </c>
    </row>
    <row r="494" spans="1:26" ht="21.95" customHeight="1">
      <c r="A494" s="146" t="str">
        <f>IF(分析!C494&lt;&gt;"",ROW()-2,"")</f>
        <v/>
      </c>
      <c r="B494" s="147" t="str">
        <f>IF(分析!C494&lt;&gt;"",HYPERLINK("https://kabutan.jp/stock/?code="&amp;分析!C494,"株探"),"")</f>
        <v/>
      </c>
      <c r="C494" s="148" t="str">
        <f>IF(分析!C494&lt;&gt;"",分析!C494,"")</f>
        <v/>
      </c>
      <c r="D494" s="149" t="str">
        <f>IF(分析!D494&lt;&gt;"",分析!D494,"")</f>
        <v/>
      </c>
      <c r="E494" s="150" t="str">
        <f>IF(分析!E494&lt;&gt;"",分析!E494,"")</f>
        <v/>
      </c>
      <c r="F494" s="151" t="str">
        <f>IF(分析!F494&lt;&gt;"",分析!F494,"")</f>
        <v/>
      </c>
      <c r="G494" s="151" t="str">
        <f>IF(分析!H494&lt;&gt;"",分析!H494,"")</f>
        <v/>
      </c>
      <c r="H494" s="151" t="str">
        <f>IF(分析!I494&lt;&gt;"",分析!I494,"")</f>
        <v/>
      </c>
      <c r="I494" s="151" t="str">
        <f>IF(分析!J494&lt;&gt;"",分析!J494,"")</f>
        <v/>
      </c>
      <c r="J494" s="151" t="str">
        <f>IF(分析!AB494&lt;&gt;"",分析!AB494,"")</f>
        <v/>
      </c>
      <c r="K494" s="151" t="str">
        <f>IF(分析!AC494&lt;&gt;"",分析!AC494,"")</f>
        <v/>
      </c>
      <c r="L494" s="151" t="str">
        <f>IF(分析!K494&lt;&gt;"",分析!K494,"")</f>
        <v/>
      </c>
      <c r="M494" s="146" t="str">
        <f>IF(分析!P494&lt;&gt;"",分析!P494,"")</f>
        <v/>
      </c>
      <c r="N494" s="152" t="str">
        <f>IF(分析!O494&lt;&gt;"",分析!O494,"")</f>
        <v/>
      </c>
      <c r="O494" s="153" t="str">
        <f>IF(分析!X494&lt;&gt;"",分析!X494,"")</f>
        <v/>
      </c>
      <c r="P494" s="154" t="str">
        <f>IF(分析!L494&lt;&gt;"",分析!L494,"")</f>
        <v/>
      </c>
      <c r="Q494" s="151" t="str">
        <f>IF(分析!S494&lt;&gt;"",分析!S494,"")</f>
        <v/>
      </c>
      <c r="R494" s="151" t="str">
        <f>IF(分析!R494&lt;&gt;"",分析!R494,"")</f>
        <v/>
      </c>
      <c r="S494" s="146" t="str">
        <f>IF(分析!AA494&lt;&gt;"",分析!AA494,"")</f>
        <v/>
      </c>
      <c r="T494" s="155" t="str">
        <f>IF(分析!Z494&lt;&gt;"",分析!Z494,"")</f>
        <v/>
      </c>
      <c r="U494" s="146" t="str">
        <f>IF(分析!V494&lt;&gt;"",分析!V494,"")</f>
        <v/>
      </c>
      <c r="V494" s="156" t="str">
        <f>IF(分析!W494&lt;&gt;"",分析!W494,"")</f>
        <v/>
      </c>
      <c r="W494" s="157" t="str">
        <f>IF(分析!AD494&lt;&gt;"",分析!AD494,"")</f>
        <v/>
      </c>
      <c r="X494" s="158" t="str">
        <f>IF(分析!AE494&lt;&gt;"",分析!AE494,"")</f>
        <v/>
      </c>
      <c r="Y494" s="159" t="str">
        <f>IF(分析!T494&lt;&gt;"",分析!T494,"")</f>
        <v/>
      </c>
      <c r="Z494" s="160" t="str">
        <f>IF(分析!Y494&lt;&gt;"",分析!Y494,"")</f>
        <v/>
      </c>
    </row>
    <row r="495" spans="1:26" ht="21.95" customHeight="1">
      <c r="A495" s="161" t="str">
        <f>IF(分析!C495&lt;&gt;"",ROW()-2,"")</f>
        <v/>
      </c>
      <c r="B495" s="162" t="str">
        <f>IF(分析!C495&lt;&gt;"",HYPERLINK("https://kabutan.jp/stock/?code="&amp;分析!C495,"株探"),"")</f>
        <v/>
      </c>
      <c r="C495" s="163" t="str">
        <f>IF(分析!C495&lt;&gt;"",分析!C495,"")</f>
        <v/>
      </c>
      <c r="D495" s="164" t="str">
        <f>IF(分析!D495&lt;&gt;"",分析!D495,"")</f>
        <v/>
      </c>
      <c r="E495" s="165" t="str">
        <f>IF(分析!E495&lt;&gt;"",分析!E495,"")</f>
        <v/>
      </c>
      <c r="F495" s="166" t="str">
        <f>IF(分析!F495&lt;&gt;"",分析!F495,"")</f>
        <v/>
      </c>
      <c r="G495" s="166" t="str">
        <f>IF(分析!H495&lt;&gt;"",分析!H495,"")</f>
        <v/>
      </c>
      <c r="H495" s="166" t="str">
        <f>IF(分析!I495&lt;&gt;"",分析!I495,"")</f>
        <v/>
      </c>
      <c r="I495" s="166" t="str">
        <f>IF(分析!J495&lt;&gt;"",分析!J495,"")</f>
        <v/>
      </c>
      <c r="J495" s="166" t="str">
        <f>IF(分析!AB495&lt;&gt;"",分析!AB495,"")</f>
        <v/>
      </c>
      <c r="K495" s="166" t="str">
        <f>IF(分析!AC495&lt;&gt;"",分析!AC495,"")</f>
        <v/>
      </c>
      <c r="L495" s="166" t="str">
        <f>IF(分析!K495&lt;&gt;"",分析!K495,"")</f>
        <v/>
      </c>
      <c r="M495" s="161" t="str">
        <f>IF(分析!P495&lt;&gt;"",分析!P495,"")</f>
        <v/>
      </c>
      <c r="N495" s="167" t="str">
        <f>IF(分析!O495&lt;&gt;"",分析!O495,"")</f>
        <v/>
      </c>
      <c r="O495" s="168" t="str">
        <f>IF(分析!X495&lt;&gt;"",分析!X495,"")</f>
        <v/>
      </c>
      <c r="P495" s="169" t="str">
        <f>IF(分析!L495&lt;&gt;"",分析!L495,"")</f>
        <v/>
      </c>
      <c r="Q495" s="166" t="str">
        <f>IF(分析!S495&lt;&gt;"",分析!S495,"")</f>
        <v/>
      </c>
      <c r="R495" s="166" t="str">
        <f>IF(分析!R495&lt;&gt;"",分析!R495,"")</f>
        <v/>
      </c>
      <c r="S495" s="161" t="str">
        <f>IF(分析!AA495&lt;&gt;"",分析!AA495,"")</f>
        <v/>
      </c>
      <c r="T495" s="170" t="str">
        <f>IF(分析!Z495&lt;&gt;"",分析!Z495,"")</f>
        <v/>
      </c>
      <c r="U495" s="161" t="str">
        <f>IF(分析!V495&lt;&gt;"",分析!V495,"")</f>
        <v/>
      </c>
      <c r="V495" s="171" t="str">
        <f>IF(分析!W495&lt;&gt;"",分析!W495,"")</f>
        <v/>
      </c>
      <c r="W495" s="172" t="str">
        <f>IF(分析!AD495&lt;&gt;"",分析!AD495,"")</f>
        <v/>
      </c>
      <c r="X495" s="173" t="str">
        <f>IF(分析!AE495&lt;&gt;"",分析!AE495,"")</f>
        <v/>
      </c>
      <c r="Y495" s="174" t="str">
        <f>IF(分析!T495&lt;&gt;"",分析!T495,"")</f>
        <v/>
      </c>
      <c r="Z495" s="160" t="str">
        <f>IF(分析!Y495&lt;&gt;"",分析!Y495,"")</f>
        <v/>
      </c>
    </row>
    <row r="496" spans="1:26" ht="21.95" customHeight="1">
      <c r="A496" s="146" t="str">
        <f>IF(分析!C496&lt;&gt;"",ROW()-2,"")</f>
        <v/>
      </c>
      <c r="B496" s="147" t="str">
        <f>IF(分析!C496&lt;&gt;"",HYPERLINK("https://kabutan.jp/stock/?code="&amp;分析!C496,"株探"),"")</f>
        <v/>
      </c>
      <c r="C496" s="148" t="str">
        <f>IF(分析!C496&lt;&gt;"",分析!C496,"")</f>
        <v/>
      </c>
      <c r="D496" s="149" t="str">
        <f>IF(分析!D496&lt;&gt;"",分析!D496,"")</f>
        <v/>
      </c>
      <c r="E496" s="150" t="str">
        <f>IF(分析!E496&lt;&gt;"",分析!E496,"")</f>
        <v/>
      </c>
      <c r="F496" s="151" t="str">
        <f>IF(分析!F496&lt;&gt;"",分析!F496,"")</f>
        <v/>
      </c>
      <c r="G496" s="151" t="str">
        <f>IF(分析!H496&lt;&gt;"",分析!H496,"")</f>
        <v/>
      </c>
      <c r="H496" s="151" t="str">
        <f>IF(分析!I496&lt;&gt;"",分析!I496,"")</f>
        <v/>
      </c>
      <c r="I496" s="151" t="str">
        <f>IF(分析!J496&lt;&gt;"",分析!J496,"")</f>
        <v/>
      </c>
      <c r="J496" s="151" t="str">
        <f>IF(分析!AB496&lt;&gt;"",分析!AB496,"")</f>
        <v/>
      </c>
      <c r="K496" s="151" t="str">
        <f>IF(分析!AC496&lt;&gt;"",分析!AC496,"")</f>
        <v/>
      </c>
      <c r="L496" s="151" t="str">
        <f>IF(分析!K496&lt;&gt;"",分析!K496,"")</f>
        <v/>
      </c>
      <c r="M496" s="146" t="str">
        <f>IF(分析!P496&lt;&gt;"",分析!P496,"")</f>
        <v/>
      </c>
      <c r="N496" s="152" t="str">
        <f>IF(分析!O496&lt;&gt;"",分析!O496,"")</f>
        <v/>
      </c>
      <c r="O496" s="153" t="str">
        <f>IF(分析!X496&lt;&gt;"",分析!X496,"")</f>
        <v/>
      </c>
      <c r="P496" s="154" t="str">
        <f>IF(分析!L496&lt;&gt;"",分析!L496,"")</f>
        <v/>
      </c>
      <c r="Q496" s="151" t="str">
        <f>IF(分析!S496&lt;&gt;"",分析!S496,"")</f>
        <v/>
      </c>
      <c r="R496" s="151" t="str">
        <f>IF(分析!R496&lt;&gt;"",分析!R496,"")</f>
        <v/>
      </c>
      <c r="S496" s="146" t="str">
        <f>IF(分析!AA496&lt;&gt;"",分析!AA496,"")</f>
        <v/>
      </c>
      <c r="T496" s="155" t="str">
        <f>IF(分析!Z496&lt;&gt;"",分析!Z496,"")</f>
        <v/>
      </c>
      <c r="U496" s="146" t="str">
        <f>IF(分析!V496&lt;&gt;"",分析!V496,"")</f>
        <v/>
      </c>
      <c r="V496" s="156" t="str">
        <f>IF(分析!W496&lt;&gt;"",分析!W496,"")</f>
        <v/>
      </c>
      <c r="W496" s="157" t="str">
        <f>IF(分析!AD496&lt;&gt;"",分析!AD496,"")</f>
        <v/>
      </c>
      <c r="X496" s="158" t="str">
        <f>IF(分析!AE496&lt;&gt;"",分析!AE496,"")</f>
        <v/>
      </c>
      <c r="Y496" s="159" t="str">
        <f>IF(分析!T496&lt;&gt;"",分析!T496,"")</f>
        <v/>
      </c>
      <c r="Z496" s="160" t="str">
        <f>IF(分析!Y496&lt;&gt;"",分析!Y496,"")</f>
        <v/>
      </c>
    </row>
    <row r="497" spans="1:26" ht="21.95" customHeight="1">
      <c r="A497" s="161" t="str">
        <f>IF(分析!C497&lt;&gt;"",ROW()-2,"")</f>
        <v/>
      </c>
      <c r="B497" s="162" t="str">
        <f>IF(分析!C497&lt;&gt;"",HYPERLINK("https://kabutan.jp/stock/?code="&amp;分析!C497,"株探"),"")</f>
        <v/>
      </c>
      <c r="C497" s="163" t="str">
        <f>IF(分析!C497&lt;&gt;"",分析!C497,"")</f>
        <v/>
      </c>
      <c r="D497" s="164" t="str">
        <f>IF(分析!D497&lt;&gt;"",分析!D497,"")</f>
        <v/>
      </c>
      <c r="E497" s="165" t="str">
        <f>IF(分析!E497&lt;&gt;"",分析!E497,"")</f>
        <v/>
      </c>
      <c r="F497" s="166" t="str">
        <f>IF(分析!F497&lt;&gt;"",分析!F497,"")</f>
        <v/>
      </c>
      <c r="G497" s="166" t="str">
        <f>IF(分析!H497&lt;&gt;"",分析!H497,"")</f>
        <v/>
      </c>
      <c r="H497" s="166" t="str">
        <f>IF(分析!I497&lt;&gt;"",分析!I497,"")</f>
        <v/>
      </c>
      <c r="I497" s="166" t="str">
        <f>IF(分析!J497&lt;&gt;"",分析!J497,"")</f>
        <v/>
      </c>
      <c r="J497" s="166" t="str">
        <f>IF(分析!AB497&lt;&gt;"",分析!AB497,"")</f>
        <v/>
      </c>
      <c r="K497" s="166" t="str">
        <f>IF(分析!AC497&lt;&gt;"",分析!AC497,"")</f>
        <v/>
      </c>
      <c r="L497" s="166" t="str">
        <f>IF(分析!K497&lt;&gt;"",分析!K497,"")</f>
        <v/>
      </c>
      <c r="M497" s="161" t="str">
        <f>IF(分析!P497&lt;&gt;"",分析!P497,"")</f>
        <v/>
      </c>
      <c r="N497" s="167" t="str">
        <f>IF(分析!O497&lt;&gt;"",分析!O497,"")</f>
        <v/>
      </c>
      <c r="O497" s="168" t="str">
        <f>IF(分析!X497&lt;&gt;"",分析!X497,"")</f>
        <v/>
      </c>
      <c r="P497" s="169" t="str">
        <f>IF(分析!L497&lt;&gt;"",分析!L497,"")</f>
        <v/>
      </c>
      <c r="Q497" s="166" t="str">
        <f>IF(分析!S497&lt;&gt;"",分析!S497,"")</f>
        <v/>
      </c>
      <c r="R497" s="166" t="str">
        <f>IF(分析!R497&lt;&gt;"",分析!R497,"")</f>
        <v/>
      </c>
      <c r="S497" s="161" t="str">
        <f>IF(分析!AA497&lt;&gt;"",分析!AA497,"")</f>
        <v/>
      </c>
      <c r="T497" s="170" t="str">
        <f>IF(分析!Z497&lt;&gt;"",分析!Z497,"")</f>
        <v/>
      </c>
      <c r="U497" s="161" t="str">
        <f>IF(分析!V497&lt;&gt;"",分析!V497,"")</f>
        <v/>
      </c>
      <c r="V497" s="171" t="str">
        <f>IF(分析!W497&lt;&gt;"",分析!W497,"")</f>
        <v/>
      </c>
      <c r="W497" s="172" t="str">
        <f>IF(分析!AD497&lt;&gt;"",分析!AD497,"")</f>
        <v/>
      </c>
      <c r="X497" s="173" t="str">
        <f>IF(分析!AE497&lt;&gt;"",分析!AE497,"")</f>
        <v/>
      </c>
      <c r="Y497" s="174" t="str">
        <f>IF(分析!T497&lt;&gt;"",分析!T497,"")</f>
        <v/>
      </c>
      <c r="Z497" s="160" t="str">
        <f>IF(分析!Y497&lt;&gt;"",分析!Y497,"")</f>
        <v/>
      </c>
    </row>
    <row r="498" spans="1:26" ht="21.95" customHeight="1">
      <c r="A498" s="146" t="str">
        <f>IF(分析!C498&lt;&gt;"",ROW()-2,"")</f>
        <v/>
      </c>
      <c r="B498" s="147" t="str">
        <f>IF(分析!C498&lt;&gt;"",HYPERLINK("https://kabutan.jp/stock/?code="&amp;分析!C498,"株探"),"")</f>
        <v/>
      </c>
      <c r="C498" s="148" t="str">
        <f>IF(分析!C498&lt;&gt;"",分析!C498,"")</f>
        <v/>
      </c>
      <c r="D498" s="149" t="str">
        <f>IF(分析!D498&lt;&gt;"",分析!D498,"")</f>
        <v/>
      </c>
      <c r="E498" s="150" t="str">
        <f>IF(分析!E498&lt;&gt;"",分析!E498,"")</f>
        <v/>
      </c>
      <c r="F498" s="151" t="str">
        <f>IF(分析!F498&lt;&gt;"",分析!F498,"")</f>
        <v/>
      </c>
      <c r="G498" s="151" t="str">
        <f>IF(分析!H498&lt;&gt;"",分析!H498,"")</f>
        <v/>
      </c>
      <c r="H498" s="151" t="str">
        <f>IF(分析!I498&lt;&gt;"",分析!I498,"")</f>
        <v/>
      </c>
      <c r="I498" s="151" t="str">
        <f>IF(分析!J498&lt;&gt;"",分析!J498,"")</f>
        <v/>
      </c>
      <c r="J498" s="151" t="str">
        <f>IF(分析!AB498&lt;&gt;"",分析!AB498,"")</f>
        <v/>
      </c>
      <c r="K498" s="151" t="str">
        <f>IF(分析!AC498&lt;&gt;"",分析!AC498,"")</f>
        <v/>
      </c>
      <c r="L498" s="151" t="str">
        <f>IF(分析!K498&lt;&gt;"",分析!K498,"")</f>
        <v/>
      </c>
      <c r="M498" s="146" t="str">
        <f>IF(分析!P498&lt;&gt;"",分析!P498,"")</f>
        <v/>
      </c>
      <c r="N498" s="152" t="str">
        <f>IF(分析!O498&lt;&gt;"",分析!O498,"")</f>
        <v/>
      </c>
      <c r="O498" s="153" t="str">
        <f>IF(分析!X498&lt;&gt;"",分析!X498,"")</f>
        <v/>
      </c>
      <c r="P498" s="154" t="str">
        <f>IF(分析!L498&lt;&gt;"",分析!L498,"")</f>
        <v/>
      </c>
      <c r="Q498" s="151" t="str">
        <f>IF(分析!S498&lt;&gt;"",分析!S498,"")</f>
        <v/>
      </c>
      <c r="R498" s="151" t="str">
        <f>IF(分析!R498&lt;&gt;"",分析!R498,"")</f>
        <v/>
      </c>
      <c r="S498" s="146" t="str">
        <f>IF(分析!AA498&lt;&gt;"",分析!AA498,"")</f>
        <v/>
      </c>
      <c r="T498" s="155" t="str">
        <f>IF(分析!Z498&lt;&gt;"",分析!Z498,"")</f>
        <v/>
      </c>
      <c r="U498" s="146" t="str">
        <f>IF(分析!V498&lt;&gt;"",分析!V498,"")</f>
        <v/>
      </c>
      <c r="V498" s="156" t="str">
        <f>IF(分析!W498&lt;&gt;"",分析!W498,"")</f>
        <v/>
      </c>
      <c r="W498" s="157" t="str">
        <f>IF(分析!AD498&lt;&gt;"",分析!AD498,"")</f>
        <v/>
      </c>
      <c r="X498" s="158" t="str">
        <f>IF(分析!AE498&lt;&gt;"",分析!AE498,"")</f>
        <v/>
      </c>
      <c r="Y498" s="159" t="str">
        <f>IF(分析!T498&lt;&gt;"",分析!T498,"")</f>
        <v/>
      </c>
      <c r="Z498" s="160" t="str">
        <f>IF(分析!Y498&lt;&gt;"",分析!Y498,"")</f>
        <v/>
      </c>
    </row>
    <row r="499" spans="1:26" ht="21.95" customHeight="1">
      <c r="A499" s="161" t="str">
        <f>IF(分析!C499&lt;&gt;"",ROW()-2,"")</f>
        <v/>
      </c>
      <c r="B499" s="162" t="str">
        <f>IF(分析!C499&lt;&gt;"",HYPERLINK("https://kabutan.jp/stock/?code="&amp;分析!C499,"株探"),"")</f>
        <v/>
      </c>
      <c r="C499" s="163" t="str">
        <f>IF(分析!C499&lt;&gt;"",分析!C499,"")</f>
        <v/>
      </c>
      <c r="D499" s="164" t="str">
        <f>IF(分析!D499&lt;&gt;"",分析!D499,"")</f>
        <v/>
      </c>
      <c r="E499" s="165" t="str">
        <f>IF(分析!E499&lt;&gt;"",分析!E499,"")</f>
        <v/>
      </c>
      <c r="F499" s="166" t="str">
        <f>IF(分析!F499&lt;&gt;"",分析!F499,"")</f>
        <v/>
      </c>
      <c r="G499" s="166" t="str">
        <f>IF(分析!H499&lt;&gt;"",分析!H499,"")</f>
        <v/>
      </c>
      <c r="H499" s="166" t="str">
        <f>IF(分析!I499&lt;&gt;"",分析!I499,"")</f>
        <v/>
      </c>
      <c r="I499" s="166" t="str">
        <f>IF(分析!J499&lt;&gt;"",分析!J499,"")</f>
        <v/>
      </c>
      <c r="J499" s="166" t="str">
        <f>IF(分析!AB499&lt;&gt;"",分析!AB499,"")</f>
        <v/>
      </c>
      <c r="K499" s="166" t="str">
        <f>IF(分析!AC499&lt;&gt;"",分析!AC499,"")</f>
        <v/>
      </c>
      <c r="L499" s="166" t="str">
        <f>IF(分析!K499&lt;&gt;"",分析!K499,"")</f>
        <v/>
      </c>
      <c r="M499" s="161" t="str">
        <f>IF(分析!P499&lt;&gt;"",分析!P499,"")</f>
        <v/>
      </c>
      <c r="N499" s="167" t="str">
        <f>IF(分析!O499&lt;&gt;"",分析!O499,"")</f>
        <v/>
      </c>
      <c r="O499" s="168" t="str">
        <f>IF(分析!X499&lt;&gt;"",分析!X499,"")</f>
        <v/>
      </c>
      <c r="P499" s="169" t="str">
        <f>IF(分析!L499&lt;&gt;"",分析!L499,"")</f>
        <v/>
      </c>
      <c r="Q499" s="166" t="str">
        <f>IF(分析!S499&lt;&gt;"",分析!S499,"")</f>
        <v/>
      </c>
      <c r="R499" s="166" t="str">
        <f>IF(分析!R499&lt;&gt;"",分析!R499,"")</f>
        <v/>
      </c>
      <c r="S499" s="161" t="str">
        <f>IF(分析!AA499&lt;&gt;"",分析!AA499,"")</f>
        <v/>
      </c>
      <c r="T499" s="170" t="str">
        <f>IF(分析!Z499&lt;&gt;"",分析!Z499,"")</f>
        <v/>
      </c>
      <c r="U499" s="161" t="str">
        <f>IF(分析!V499&lt;&gt;"",分析!V499,"")</f>
        <v/>
      </c>
      <c r="V499" s="171" t="str">
        <f>IF(分析!W499&lt;&gt;"",分析!W499,"")</f>
        <v/>
      </c>
      <c r="W499" s="172" t="str">
        <f>IF(分析!AD499&lt;&gt;"",分析!AD499,"")</f>
        <v/>
      </c>
      <c r="X499" s="173" t="str">
        <f>IF(分析!AE499&lt;&gt;"",分析!AE499,"")</f>
        <v/>
      </c>
      <c r="Y499" s="174" t="str">
        <f>IF(分析!T499&lt;&gt;"",分析!T499,"")</f>
        <v/>
      </c>
      <c r="Z499" s="160" t="str">
        <f>IF(分析!Y499&lt;&gt;"",分析!Y499,"")</f>
        <v/>
      </c>
    </row>
    <row r="500" spans="1:26" ht="21.95" customHeight="1">
      <c r="A500" s="146" t="str">
        <f>IF(分析!C500&lt;&gt;"",ROW()-2,"")</f>
        <v/>
      </c>
      <c r="B500" s="147" t="str">
        <f>IF(分析!C500&lt;&gt;"",HYPERLINK("https://kabutan.jp/stock/?code="&amp;分析!C500,"株探"),"")</f>
        <v/>
      </c>
      <c r="C500" s="148" t="str">
        <f>IF(分析!C500&lt;&gt;"",分析!C500,"")</f>
        <v/>
      </c>
      <c r="D500" s="149" t="str">
        <f>IF(分析!D500&lt;&gt;"",分析!D500,"")</f>
        <v/>
      </c>
      <c r="E500" s="150" t="str">
        <f>IF(分析!E500&lt;&gt;"",分析!E500,"")</f>
        <v/>
      </c>
      <c r="F500" s="151" t="str">
        <f>IF(分析!F500&lt;&gt;"",分析!F500,"")</f>
        <v/>
      </c>
      <c r="G500" s="151" t="str">
        <f>IF(分析!H500&lt;&gt;"",分析!H500,"")</f>
        <v/>
      </c>
      <c r="H500" s="151" t="str">
        <f>IF(分析!I500&lt;&gt;"",分析!I500,"")</f>
        <v/>
      </c>
      <c r="I500" s="151" t="str">
        <f>IF(分析!J500&lt;&gt;"",分析!J500,"")</f>
        <v/>
      </c>
      <c r="J500" s="151" t="str">
        <f>IF(分析!AB500&lt;&gt;"",分析!AB500,"")</f>
        <v/>
      </c>
      <c r="K500" s="151" t="str">
        <f>IF(分析!AC500&lt;&gt;"",分析!AC500,"")</f>
        <v/>
      </c>
      <c r="L500" s="151" t="str">
        <f>IF(分析!K500&lt;&gt;"",分析!K500,"")</f>
        <v/>
      </c>
      <c r="M500" s="146" t="str">
        <f>IF(分析!P500&lt;&gt;"",分析!P500,"")</f>
        <v/>
      </c>
      <c r="N500" s="152" t="str">
        <f>IF(分析!O500&lt;&gt;"",分析!O500,"")</f>
        <v/>
      </c>
      <c r="O500" s="153" t="str">
        <f>IF(分析!X500&lt;&gt;"",分析!X500,"")</f>
        <v/>
      </c>
      <c r="P500" s="154" t="str">
        <f>IF(分析!L500&lt;&gt;"",分析!L500,"")</f>
        <v/>
      </c>
      <c r="Q500" s="151" t="str">
        <f>IF(分析!S500&lt;&gt;"",分析!S500,"")</f>
        <v/>
      </c>
      <c r="R500" s="151" t="str">
        <f>IF(分析!R500&lt;&gt;"",分析!R500,"")</f>
        <v/>
      </c>
      <c r="S500" s="146" t="str">
        <f>IF(分析!AA500&lt;&gt;"",分析!AA500,"")</f>
        <v/>
      </c>
      <c r="T500" s="155" t="str">
        <f>IF(分析!Z500&lt;&gt;"",分析!Z500,"")</f>
        <v/>
      </c>
      <c r="U500" s="146" t="str">
        <f>IF(分析!V500&lt;&gt;"",分析!V500,"")</f>
        <v/>
      </c>
      <c r="V500" s="156" t="str">
        <f>IF(分析!W500&lt;&gt;"",分析!W500,"")</f>
        <v/>
      </c>
      <c r="W500" s="157" t="str">
        <f>IF(分析!AD500&lt;&gt;"",分析!AD500,"")</f>
        <v/>
      </c>
      <c r="X500" s="158" t="str">
        <f>IF(分析!AE500&lt;&gt;"",分析!AE500,"")</f>
        <v/>
      </c>
      <c r="Y500" s="159" t="str">
        <f>IF(分析!T500&lt;&gt;"",分析!T500,"")</f>
        <v/>
      </c>
      <c r="Z500" s="160" t="str">
        <f>IF(分析!Y500&lt;&gt;"",分析!Y500,"")</f>
        <v/>
      </c>
    </row>
    <row r="501" spans="1:26" ht="21.95" customHeight="1">
      <c r="A501" s="161" t="str">
        <f>IF(分析!C501&lt;&gt;"",ROW()-2,"")</f>
        <v/>
      </c>
      <c r="B501" s="162" t="str">
        <f>IF(分析!C501&lt;&gt;"",HYPERLINK("https://kabutan.jp/stock/?code="&amp;分析!C501,"株探"),"")</f>
        <v/>
      </c>
      <c r="C501" s="163" t="str">
        <f>IF(分析!C501&lt;&gt;"",分析!C501,"")</f>
        <v/>
      </c>
      <c r="D501" s="164" t="str">
        <f>IF(分析!D501&lt;&gt;"",分析!D501,"")</f>
        <v/>
      </c>
      <c r="E501" s="165" t="str">
        <f>IF(分析!E501&lt;&gt;"",分析!E501,"")</f>
        <v/>
      </c>
      <c r="F501" s="166" t="str">
        <f>IF(分析!F501&lt;&gt;"",分析!F501,"")</f>
        <v/>
      </c>
      <c r="G501" s="166" t="str">
        <f>IF(分析!H501&lt;&gt;"",分析!H501,"")</f>
        <v/>
      </c>
      <c r="H501" s="166" t="str">
        <f>IF(分析!I501&lt;&gt;"",分析!I501,"")</f>
        <v/>
      </c>
      <c r="I501" s="166" t="str">
        <f>IF(分析!J501&lt;&gt;"",分析!J501,"")</f>
        <v/>
      </c>
      <c r="J501" s="166" t="str">
        <f>IF(分析!AB501&lt;&gt;"",分析!AB501,"")</f>
        <v/>
      </c>
      <c r="K501" s="166" t="str">
        <f>IF(分析!AC501&lt;&gt;"",分析!AC501,"")</f>
        <v/>
      </c>
      <c r="L501" s="166" t="str">
        <f>IF(分析!K501&lt;&gt;"",分析!K501,"")</f>
        <v/>
      </c>
      <c r="M501" s="161" t="str">
        <f>IF(分析!P501&lt;&gt;"",分析!P501,"")</f>
        <v/>
      </c>
      <c r="N501" s="167" t="str">
        <f>IF(分析!O501&lt;&gt;"",分析!O501,"")</f>
        <v/>
      </c>
      <c r="O501" s="168" t="str">
        <f>IF(分析!X501&lt;&gt;"",分析!X501,"")</f>
        <v/>
      </c>
      <c r="P501" s="169" t="str">
        <f>IF(分析!L501&lt;&gt;"",分析!L501,"")</f>
        <v/>
      </c>
      <c r="Q501" s="166" t="str">
        <f>IF(分析!S501&lt;&gt;"",分析!S501,"")</f>
        <v/>
      </c>
      <c r="R501" s="166" t="str">
        <f>IF(分析!R501&lt;&gt;"",分析!R501,"")</f>
        <v/>
      </c>
      <c r="S501" s="161" t="str">
        <f>IF(分析!AA501&lt;&gt;"",分析!AA501,"")</f>
        <v/>
      </c>
      <c r="T501" s="170" t="str">
        <f>IF(分析!Z501&lt;&gt;"",分析!Z501,"")</f>
        <v/>
      </c>
      <c r="U501" s="161" t="str">
        <f>IF(分析!V501&lt;&gt;"",分析!V501,"")</f>
        <v/>
      </c>
      <c r="V501" s="171" t="str">
        <f>IF(分析!W501&lt;&gt;"",分析!W501,"")</f>
        <v/>
      </c>
      <c r="W501" s="172" t="str">
        <f>IF(分析!AD501&lt;&gt;"",分析!AD501,"")</f>
        <v/>
      </c>
      <c r="X501" s="173" t="str">
        <f>IF(分析!AE501&lt;&gt;"",分析!AE501,"")</f>
        <v/>
      </c>
      <c r="Y501" s="174" t="str">
        <f>IF(分析!T501&lt;&gt;"",分析!T501,"")</f>
        <v/>
      </c>
      <c r="Z501" s="160" t="str">
        <f>IF(分析!Y501&lt;&gt;"",分析!Y501,"")</f>
        <v/>
      </c>
    </row>
    <row r="502" spans="1:26" ht="21.95" customHeight="1">
      <c r="A502" s="146" t="str">
        <f>IF(分析!C502&lt;&gt;"",ROW()-2,"")</f>
        <v/>
      </c>
      <c r="B502" s="147" t="str">
        <f>IF(分析!C502&lt;&gt;"",HYPERLINK("https://kabutan.jp/stock/?code="&amp;分析!C502,"株探"),"")</f>
        <v/>
      </c>
      <c r="C502" s="148" t="str">
        <f>IF(分析!C502&lt;&gt;"",分析!C502,"")</f>
        <v/>
      </c>
      <c r="D502" s="149" t="str">
        <f>IF(分析!D502&lt;&gt;"",分析!D502,"")</f>
        <v/>
      </c>
      <c r="E502" s="150" t="str">
        <f>IF(分析!E502&lt;&gt;"",分析!E502,"")</f>
        <v/>
      </c>
      <c r="F502" s="151" t="str">
        <f>IF(分析!F502&lt;&gt;"",分析!F502,"")</f>
        <v/>
      </c>
      <c r="G502" s="151" t="str">
        <f>IF(分析!H502&lt;&gt;"",分析!H502,"")</f>
        <v/>
      </c>
      <c r="H502" s="151" t="str">
        <f>IF(分析!I502&lt;&gt;"",分析!I502,"")</f>
        <v/>
      </c>
      <c r="I502" s="151" t="str">
        <f>IF(分析!J502&lt;&gt;"",分析!J502,"")</f>
        <v/>
      </c>
      <c r="J502" s="151" t="str">
        <f>IF(分析!AB502&lt;&gt;"",分析!AB502,"")</f>
        <v/>
      </c>
      <c r="K502" s="151" t="str">
        <f>IF(分析!AC502&lt;&gt;"",分析!AC502,"")</f>
        <v/>
      </c>
      <c r="L502" s="151" t="str">
        <f>IF(分析!K502&lt;&gt;"",分析!K502,"")</f>
        <v/>
      </c>
      <c r="M502" s="146" t="str">
        <f>IF(分析!P502&lt;&gt;"",分析!P502,"")</f>
        <v/>
      </c>
      <c r="N502" s="152" t="str">
        <f>IF(分析!O502&lt;&gt;"",分析!O502,"")</f>
        <v/>
      </c>
      <c r="O502" s="153" t="str">
        <f>IF(分析!X502&lt;&gt;"",分析!X502,"")</f>
        <v/>
      </c>
      <c r="P502" s="154" t="str">
        <f>IF(分析!L502&lt;&gt;"",分析!L502,"")</f>
        <v/>
      </c>
      <c r="Q502" s="151" t="str">
        <f>IF(分析!S502&lt;&gt;"",分析!S502,"")</f>
        <v/>
      </c>
      <c r="R502" s="151" t="str">
        <f>IF(分析!R502&lt;&gt;"",分析!R502,"")</f>
        <v/>
      </c>
      <c r="S502" s="146" t="str">
        <f>IF(分析!AA502&lt;&gt;"",分析!AA502,"")</f>
        <v/>
      </c>
      <c r="T502" s="155" t="str">
        <f>IF(分析!Z502&lt;&gt;"",分析!Z502,"")</f>
        <v/>
      </c>
      <c r="U502" s="146" t="str">
        <f>IF(分析!V502&lt;&gt;"",分析!V502,"")</f>
        <v/>
      </c>
      <c r="V502" s="156" t="str">
        <f>IF(分析!W502&lt;&gt;"",分析!W502,"")</f>
        <v/>
      </c>
      <c r="W502" s="157" t="str">
        <f>IF(分析!AD502&lt;&gt;"",分析!AD502,"")</f>
        <v/>
      </c>
      <c r="X502" s="158" t="str">
        <f>IF(分析!AE502&lt;&gt;"",分析!AE502,"")</f>
        <v/>
      </c>
      <c r="Y502" s="159" t="str">
        <f>IF(分析!T502&lt;&gt;"",分析!T502,"")</f>
        <v/>
      </c>
      <c r="Z502" s="160" t="str">
        <f>IF(分析!Y502&lt;&gt;"",分析!Y502,"")</f>
        <v/>
      </c>
    </row>
  </sheetData>
  <sheetProtection sort="0" autoFilter="0"/>
  <autoFilter ref="A2:Z502" xr:uid="{87C0F8E5-5BFB-401C-8D4B-F813C943976D}">
    <sortState xmlns:xlrd2="http://schemas.microsoft.com/office/spreadsheetml/2017/richdata2" ref="A3:Z502">
      <sortCondition descending="1" ref="Z2:Z502"/>
    </sortState>
  </autoFilter>
  <mergeCells count="1">
    <mergeCell ref="A1:Z1"/>
  </mergeCells>
  <phoneticPr fontId="16"/>
  <conditionalFormatting sqref="Z3:Z502">
    <cfRule type="containsText" dxfId="38" priority="1" stopIfTrue="1" operator="containsText" text="★強い買い">
      <formula>NOT(ISERROR(SEARCH("★強い買い",Z3)))</formula>
    </cfRule>
    <cfRule type="containsText" dxfId="37" priority="2" stopIfTrue="1" operator="containsText" text="★逆張り候補">
      <formula>NOT(ISERROR(SEARCH("★逆張り候補",Z3)))</formula>
    </cfRule>
    <cfRule type="containsText" dxfId="36" priority="3" stopIfTrue="1" operator="containsText" text="◎押し目買い">
      <formula>NOT(ISERROR(SEARCH("◎押し目買い",Z3)))</formula>
    </cfRule>
    <cfRule type="containsText" dxfId="35" priority="4" stopIfTrue="1" operator="containsText" text="◎反発確認">
      <formula>NOT(ISERROR(SEARCH("◎反発確認",Z3)))</formula>
    </cfRule>
    <cfRule type="containsText" dxfId="34" priority="5" stopIfTrue="1" operator="containsText" text="○買い候補">
      <formula>NOT(ISERROR(SEARCH("○買い候補",Z3)))</formula>
    </cfRule>
    <cfRule type="containsText" dxfId="33" priority="6" stopIfTrue="1" operator="containsText" text="○逆張り候補">
      <formula>NOT(ISERROR(SEARCH("○逆張り候補",Z3)))</formula>
    </cfRule>
    <cfRule type="containsText" dxfId="32" priority="7" stopIfTrue="1" operator="containsText" text="△要注意">
      <formula>NOT(ISERROR(SEARCH("△要注意",Z3)))</formula>
    </cfRule>
    <cfRule type="containsText" dxfId="31" priority="8" stopIfTrue="1" operator="containsText" text="△">
      <formula>NOT(ISERROR(SEARCH("△",Z3)))</formula>
    </cfRule>
    <cfRule type="containsText" dxfId="30" priority="9" stopIfTrue="1" operator="containsText" text="様子見">
      <formula>NOT(ISERROR(SEARCH("様子見",Z3)))</formula>
    </cfRule>
    <cfRule type="containsText" dxfId="29" priority="10" stopIfTrue="1" operator="containsText" text="見送り">
      <formula>NOT(ISERROR(SEARCH("見送り",Z3)))</formula>
    </cfRule>
  </conditionalFormatting>
  <conditionalFormatting sqref="Y3:Y502">
    <cfRule type="dataBar" priority="11">
      <dataBar>
        <cfvo type="num" val="0"/>
        <cfvo type="num" val="21"/>
        <color rgb="FFFF8C00"/>
      </dataBar>
      <extLst>
        <ext xmlns:x14="http://schemas.microsoft.com/office/spreadsheetml/2009/9/main" uri="{B025F937-C7B1-47D3-B67F-A62EFF666E3E}">
          <x14:id>{D2AAF7BD-408E-48FF-B449-E5D26234D8BB}</x14:id>
        </ext>
      </extLst>
    </cfRule>
  </conditionalFormatting>
  <conditionalFormatting sqref="T3:T502">
    <cfRule type="cellIs" dxfId="28" priority="12" stopIfTrue="1" operator="greaterThan">
      <formula>0</formula>
    </cfRule>
    <cfRule type="cellIs" dxfId="27" priority="13" stopIfTrue="1" operator="lessThan">
      <formula>0</formula>
    </cfRule>
  </conditionalFormatting>
  <conditionalFormatting sqref="S3:S502">
    <cfRule type="containsText" dxfId="26" priority="14" stopIfTrue="1" operator="containsText" text="上昇▲">
      <formula>NOT(ISERROR(SEARCH("上昇▲",S3)))</formula>
    </cfRule>
    <cfRule type="containsText" dxfId="25" priority="15" stopIfTrue="1" operator="containsText" text="下落▼">
      <formula>NOT(ISERROR(SEARCH("下落▼",S3)))</formula>
    </cfRule>
  </conditionalFormatting>
  <conditionalFormatting sqref="U3:U502">
    <cfRule type="containsText" dxfId="24" priority="16" stopIfTrue="1" operator="containsText" text="年初来高値更新">
      <formula>NOT(ISERROR(SEARCH("年初来高値更新",U3)))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2AAF7BD-408E-48FF-B449-E5D26234D8BB}">
            <x14:dataBar minLength="0" maxLength="100" negativeBarColorSameAsPositive="1" axisPosition="none">
              <x14:cfvo type="num">
                <xm:f>0</xm:f>
              </x14:cfvo>
              <x14:cfvo type="num">
                <xm:f>21</xm:f>
              </x14:cfvo>
            </x14:dataBar>
          </x14:cfRule>
          <xm:sqref>Y3:Y502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B0F0"/>
  </sheetPr>
  <dimension ref="A1:AL206"/>
  <sheetViews>
    <sheetView workbookViewId="0">
      <pane xSplit="4" ySplit="2" topLeftCell="E3" activePane="bottomRight" state="frozen"/>
      <selection activeCell="C162" sqref="C162"/>
      <selection pane="topRight" activeCell="C162" sqref="C162"/>
      <selection pane="bottomLeft" activeCell="C162" sqref="C162"/>
      <selection pane="bottomRight" activeCell="AB1" sqref="AB1:AB1048576"/>
    </sheetView>
  </sheetViews>
  <sheetFormatPr defaultRowHeight="21"/>
  <cols>
    <col min="1" max="1" width="7.625" style="1" customWidth="1"/>
    <col min="2" max="2" width="10.625" style="1" customWidth="1"/>
    <col min="3" max="3" width="7.625" style="175" customWidth="1"/>
    <col min="4" max="4" width="16.625" style="176" customWidth="1"/>
    <col min="5" max="12" width="9.625" style="1" customWidth="1"/>
    <col min="13" max="14" width="11.625" style="1" customWidth="1"/>
    <col min="15" max="15" width="9.625" style="1" customWidth="1"/>
    <col min="16" max="17" width="11.625" style="1" customWidth="1"/>
    <col min="18" max="19" width="9.625" style="1" customWidth="1"/>
    <col min="20" max="20" width="7.625" style="1" customWidth="1"/>
    <col min="21" max="22" width="13.625" style="1" customWidth="1"/>
    <col min="23" max="24" width="7.625" style="1" customWidth="1"/>
    <col min="25" max="25" width="15.625" style="1" bestFit="1" customWidth="1"/>
    <col min="26" max="26" width="8.625" style="1" customWidth="1"/>
    <col min="27" max="27" width="10.625" style="1" customWidth="1"/>
    <col min="28" max="31" width="12.625" style="1" customWidth="1"/>
    <col min="32" max="16384" width="9" style="1"/>
  </cols>
  <sheetData>
    <row r="1" spans="1:38" ht="36" customHeight="1">
      <c r="A1" s="533" t="s">
        <v>850</v>
      </c>
      <c r="B1" s="531"/>
      <c r="C1" s="540"/>
      <c r="D1" s="54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177"/>
      <c r="AC1" s="177"/>
      <c r="AD1" s="177"/>
      <c r="AE1" s="177"/>
      <c r="AK1" s="405" t="s">
        <v>798</v>
      </c>
      <c r="AL1" s="405" t="s">
        <v>799</v>
      </c>
    </row>
    <row r="2" spans="1:38" ht="32.1" customHeight="1" thickBot="1">
      <c r="A2" s="178" t="s">
        <v>23</v>
      </c>
      <c r="B2" s="179" t="s">
        <v>6</v>
      </c>
      <c r="C2" s="179" t="s">
        <v>7</v>
      </c>
      <c r="D2" s="179" t="s">
        <v>8</v>
      </c>
      <c r="E2" s="179" t="s">
        <v>9</v>
      </c>
      <c r="F2" s="179" t="s">
        <v>24</v>
      </c>
      <c r="G2" s="179" t="s">
        <v>25</v>
      </c>
      <c r="H2" s="179" t="s">
        <v>10</v>
      </c>
      <c r="I2" s="179" t="s">
        <v>11</v>
      </c>
      <c r="J2" s="179" t="s">
        <v>12</v>
      </c>
      <c r="K2" s="179" t="s">
        <v>26</v>
      </c>
      <c r="L2" s="179" t="s">
        <v>27</v>
      </c>
      <c r="M2" s="179" t="s">
        <v>28</v>
      </c>
      <c r="N2" s="179" t="s">
        <v>29</v>
      </c>
      <c r="O2" s="179" t="s">
        <v>16</v>
      </c>
      <c r="P2" s="179" t="s">
        <v>30</v>
      </c>
      <c r="Q2" s="179" t="s">
        <v>31</v>
      </c>
      <c r="R2" s="179" t="s">
        <v>19</v>
      </c>
      <c r="S2" s="179" t="s">
        <v>20</v>
      </c>
      <c r="T2" s="179" t="s">
        <v>21</v>
      </c>
      <c r="U2" s="179" t="s">
        <v>32</v>
      </c>
      <c r="V2" s="179" t="s">
        <v>18</v>
      </c>
      <c r="W2" s="179" t="s">
        <v>13</v>
      </c>
      <c r="X2" s="179" t="s">
        <v>17</v>
      </c>
      <c r="Y2" s="179" t="s">
        <v>33</v>
      </c>
      <c r="Z2" s="179" t="s">
        <v>34</v>
      </c>
      <c r="AA2" s="180" t="s">
        <v>35</v>
      </c>
      <c r="AB2" s="494" t="s">
        <v>851</v>
      </c>
      <c r="AC2" s="494" t="s">
        <v>852</v>
      </c>
      <c r="AD2" s="494" t="s">
        <v>853</v>
      </c>
      <c r="AE2" s="494" t="s">
        <v>854</v>
      </c>
      <c r="AF2" s="400" t="s">
        <v>800</v>
      </c>
      <c r="AG2" s="400" t="s">
        <v>801</v>
      </c>
      <c r="AH2" s="401" t="s">
        <v>796</v>
      </c>
      <c r="AI2" s="401" t="s">
        <v>797</v>
      </c>
      <c r="AK2" s="406">
        <f>COUNT(終値!$E$5:$BL$5)</f>
        <v>22</v>
      </c>
      <c r="AL2" s="406">
        <f>MIN(25,AK2)</f>
        <v>22</v>
      </c>
    </row>
    <row r="3" spans="1:38" s="192" customFormat="1" ht="18" customHeight="1">
      <c r="A3" s="181" t="str">
        <f>IF(銘柄管理!B141&lt;&gt;"",HYPERLINK("https://kabutan.jp/stock/?code="&amp;銘柄管理!B141,"株探"),"")</f>
        <v>株探</v>
      </c>
      <c r="B3" s="182"/>
      <c r="C3" s="183">
        <f>IF(銘柄管理!B141="","",銘柄管理!B141)</f>
        <v>6613</v>
      </c>
      <c r="D3" s="111" t="str">
        <f>IF(銘柄管理!C141="","",銘柄管理!C141)</f>
        <v>ＱＤレーザ</v>
      </c>
      <c r="E3" s="184">
        <f>IF(C3&lt;&gt;"",_xll.RssMarket(C3,"現在値"),"")</f>
        <v>2377</v>
      </c>
      <c r="F3" s="184">
        <f>IF(C3&lt;&gt;"",_xll.RssMarket(C3,"始値"),"")</f>
        <v>2520</v>
      </c>
      <c r="G3" s="183">
        <f>IF(C3&lt;&gt;"",終値!F141,"")</f>
        <v>2620</v>
      </c>
      <c r="H3" s="184">
        <f>IF(C3&lt;&gt;"",_xll.RssMarket(C3,"高値"),"")</f>
        <v>2530</v>
      </c>
      <c r="I3" s="184">
        <f>IF(C3&lt;&gt;"",_xll.RssMarket(C3,"安値"),"")</f>
        <v>2335</v>
      </c>
      <c r="J3" s="184">
        <f>IF(C3&lt;&gt;"",_xll.RssMarket(C3,"出来高"),"")</f>
        <v>4464000</v>
      </c>
      <c r="K3" s="184">
        <f>IF(C3&lt;&gt;"",_xll.RssMarket(C3,"年初来高値"),"")</f>
        <v>3620</v>
      </c>
      <c r="L3" s="185">
        <f t="shared" ref="L3:L66" si="0">IF(AND(E3&lt;&gt;"",K3&lt;&gt;"",K3&lt;&gt;0),(E3-K3)/K3*100,"")</f>
        <v>-34.337016574585633</v>
      </c>
      <c r="M3" s="184">
        <f>IF(C3&lt;&gt;"",IFERROR(AVERAGE(出来高!E141:I141),""),"")</f>
        <v>5048380</v>
      </c>
      <c r="N3" s="184">
        <f>IF(C3&lt;&gt;"",IFERROR(AVERAGE(出来高!E141:AC141),""),"")</f>
        <v>10867256</v>
      </c>
      <c r="O3" s="186">
        <f t="shared" ref="O3:O66" si="1">IF(AND(J3&lt;&gt;"",M3&lt;&gt;"",M3&lt;&gt;0),J3/M3,"")</f>
        <v>0.88424405452838339</v>
      </c>
      <c r="P3" s="181" t="str">
        <f t="shared" ref="P3:P66" si="2">IF(O3="","",IF(O3&gt;=2,"急増↑↑",IF(O3&gt;=1.5,"増加↑",IF(O3&gt;=1,"普通→","減少↓"))))</f>
        <v>減少↓</v>
      </c>
      <c r="Q3" s="181" t="str">
        <f t="shared" ref="Q3:Q66" si="3">IF(E3="","",IF(AND(E3&gt;G3,O3&gt;=1.5),"買い▲",IF(E3&lt;G3,"様子見▼","中立→")))</f>
        <v>様子見▼</v>
      </c>
      <c r="R3" s="184">
        <f t="shared" ref="R3:R35" si="4">IF(E3&lt;&gt;"",ROUND(E3*1.08,0),"")</f>
        <v>2567</v>
      </c>
      <c r="S3" s="184">
        <f t="shared" ref="S3:S35" si="5">IF(E3&lt;&gt;"",ROUND(E3*0.96,0),"")</f>
        <v>2282</v>
      </c>
      <c r="T3" s="181">
        <f>IF(C3="","",IFERROR(IF(O3&gt;=2,3,IF(O3&gt;=1.5,2,IF(O3&gt;=1,1,0)))+IF(E3&gt;G3,1,0)+IF(L3&gt;=-5,1,0)+IF(Q3="買い▲",2,0)+IF(W3&lt;=30,3,IF(W3&lt;=40,2,IF(AND(W3&gt;=40,W3&lt;=60),1,0)))+IF(X3&gt;0,1,0)+IF(V3="年初来高値更新●",3,IF(V3="高値圏",2,0))+IF(AD3="パーフェクト▲",3,IF(AD3="上昇トレンド▲",2,0))+IF(AE3="25日線押し目●",2,IF(AE3="5日線押し目○",1,0))+IF(P3="急増↑↑",2,IF(P3="増加↑",1,0))+N(AI3),0))</f>
        <v>6</v>
      </c>
      <c r="U3" s="181" t="str">
        <f t="shared" ref="U3:U35" si="6">IF(T3="","",IF(AND(T3&gt;=3,O3&gt;=1.5),"有効",IF(T3&gt;=3,"要確認","除外")))</f>
        <v>要確認</v>
      </c>
      <c r="V3" s="181" t="str">
        <f t="shared" ref="V3:V66" si="7">IF(AND(H3&lt;&gt;"",K3&lt;&gt;""),IF(H3&gt;=K3,"年初来高値更新●",IF(H3&gt;=K3*0.95,"高値圏","通常")),"")</f>
        <v>通常</v>
      </c>
      <c r="W3" s="187">
        <f t="array" ref="W3">IF(C3&lt;&gt;"",IFERROR(100-100/(1+SUMPRODUCT((終値!F141:R141&gt;終値!G141:S141)*( 終値!F141:R141-終値!G141:S141))/SUMPRODUCT((終値!F141:R141&lt;終値!G141:S141)*(終値!G141:S141-終値!F141:R141))),50),"")</f>
        <v>39.352262644188102</v>
      </c>
      <c r="X3" s="188">
        <f>IF(C3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2.3930719354884786</v>
      </c>
      <c r="Y3" s="1" t="str">
        <f>IF(T3="","",IF(銘柄管理!$F$5="下落▼",IF(AND(AD3="パーフェクト▲",OR(AE3="25日線押し目●",AE3="5日線押し目○")),"★逆張り候補",IF(AND(AD3="上昇トレンド▲",OR(AE3="25日線押し目●",AE3="5日線押し目○")),"○逆張り候補",IF(W3&lt;=30,IF(Z3&gt;0,"◎反発確認",IF(Z3&lt;-5,"△要注意・様子見","△売られ過ぎ注目")),"相場下落・見送り"))),IF(AND(T3&gt;=12,AD3="パーフェクト▲"),"★強い買い",IF(AND(T3&gt;=12,AD3="上昇トレンド▲"),"★強い買い",IF(AND(T3&gt;=8,OR(AE3="25日線押し目●",AE3="5日線押し目○")),"◎押し目買い",IF(T3&gt;=10,"○買い候補",IF(T3&gt;=6,"△注目",IF(T3&gt;=3,"様子見","見送り"))))))))</f>
        <v>△注目</v>
      </c>
      <c r="Z3" s="189">
        <f t="shared" ref="Z3:Z35" si="8">IF(AND(E3&lt;&gt;"",G3&lt;&gt;"",G3&lt;&gt;0),(E3-G3)/G3*100,"")</f>
        <v>-9.2748091603053435</v>
      </c>
      <c r="AA3" s="181" t="str">
        <f t="shared" ref="AA3:AA35" si="9">IF(OR(C3="",E3="",E3=0),"",IF(E3&gt;G3,"上昇▲",IF(E3&lt;G3,"下落▼","横ばい→")))</f>
        <v>下落▼</v>
      </c>
      <c r="AB3" s="495">
        <f>IF(C3="","",IFERROR(((終値!E5*0.333)+(終値!F5*0.222)+(終値!G5*0.148)+(終値!H5*0.099)+(終値!I5*0.066)+(終値!J5*0.044)+(終値!K5*0.029)+(終値!L5*0.019)+(終値!M5*0.013)+(終値!N5*0.009))/(0.333+0.222+0.148+0.099+0.066+0.044+0.029+0.019+0.013+0.009),""))</f>
        <v>3947.5531975560075</v>
      </c>
      <c r="AC3" s="495">
        <f>IF(C3="","",IFERROR(SUMPRODUCT((終値!E5:AC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3761.5278903456492</v>
      </c>
      <c r="AD3" s="496" t="str">
        <f t="shared" ref="AD3:AD34" si="10">IF(OR(C3="",AB3="",AC3=""),"",IF(AND(E3&gt;AB3,AB3&gt;AC3),"パーフェクト▲",IF(E3&gt;AC3,"上昇トレンド▲",IF(AND(E3&lt;AB3,AB3&lt;AC3),"下降トレンド▼","もみ合い→"))))</f>
        <v>もみ合い→</v>
      </c>
      <c r="AE3" s="496" t="str">
        <f t="shared" ref="AE3:AE34" si="11">IF(OR(C3="",AB3="",AC3=""),"",IF(AND(ABS(E3-AC3)/AC3&lt;=0.02,E3&gt;AC3),"25日押し目★",IF(AND(ABS(E3-AB3)/AB3&lt;=0.01,E3&gt;AB3),"5日押し目○","なし")))</f>
        <v>なし</v>
      </c>
      <c r="AF3" s="403" cm="1">
        <f t="array" ref="AF3">IF(C3="","",IFERROR((INDEX(終値!$E:$E,MATCH(TEXT(C3,"0"),終値!$A:$A,0))-INDEX(終値!$E:$BL,MATCH(TEXT(C3,"0"),終値!$A:$A,0),$AL$2))/INDEX(終値!$E:$BL,MATCH(TEXT(C3,"0"),終値!$A:$A,0),$AL$2)*100,""))</f>
        <v>44.850700792199873</v>
      </c>
      <c r="AG3" s="403" cm="1">
        <f t="array" ref="AG3">IFERROR((終値!$E$5-INDEX(終値!$E$5:$BL$5,1,$AL$2))/INDEX(終値!$E$5:$BL$5,1,$AL$2)*100,"")</f>
        <v>3.4532270246721688</v>
      </c>
      <c r="AH3" s="404">
        <f>IF(OR(AF3="",AG3=""),"",AF3-AG3)</f>
        <v>41.397473767527707</v>
      </c>
      <c r="AI3" s="402">
        <f>IF(AH3="","",IF(AH3&gt;5,3,IF(AH3&gt;0,1,IF(AH3&gt;-3,-1,-2))))</f>
        <v>3</v>
      </c>
    </row>
    <row r="4" spans="1:38" s="192" customFormat="1" ht="18" customHeight="1">
      <c r="A4" s="181" t="str">
        <f>IF(銘柄管理!B28&lt;&gt;"",HYPERLINK("https://kabutan.jp/stock/?code="&amp;銘柄管理!B28,"株探"),"")</f>
        <v>株探</v>
      </c>
      <c r="B4" s="182"/>
      <c r="C4" s="183">
        <f>IF(銘柄管理!B28="","",銘柄管理!B28)</f>
        <v>3436</v>
      </c>
      <c r="D4" s="111" t="str">
        <f>IF(銘柄管理!C28="","",銘柄管理!C28)</f>
        <v>ＳＵＭＣＯ</v>
      </c>
      <c r="E4" s="184">
        <f>IF(C4&lt;&gt;"",_xll.RssMarket(C4,"現在値"),"")</f>
        <v>4152</v>
      </c>
      <c r="F4" s="184">
        <f>IF(C4&lt;&gt;"",_xll.RssMarket(C4,"始値"),"")</f>
        <v>4015</v>
      </c>
      <c r="G4" s="183">
        <f>IF(C4&lt;&gt;"",終値!F28,"")</f>
        <v>4155</v>
      </c>
      <c r="H4" s="184">
        <f>IF(C4&lt;&gt;"",_xll.RssMarket(C4,"高値"),"")</f>
        <v>4212</v>
      </c>
      <c r="I4" s="184">
        <f>IF(C4&lt;&gt;"",_xll.RssMarket(C4,"安値"),"")</f>
        <v>3978</v>
      </c>
      <c r="J4" s="184">
        <f>IF(C4&lt;&gt;"",_xll.RssMarket(C4,"出来高"),"")</f>
        <v>8223600</v>
      </c>
      <c r="K4" s="184">
        <f>IF(C4&lt;&gt;"",_xll.RssMarket(C4,"年初来高値"),"")</f>
        <v>4564</v>
      </c>
      <c r="L4" s="185">
        <f t="shared" si="0"/>
        <v>-9.027169149868536</v>
      </c>
      <c r="M4" s="184">
        <f>IF(C4&lt;&gt;"",IFERROR(AVERAGE(出来高!E28:I28),""),"")</f>
        <v>15097760</v>
      </c>
      <c r="N4" s="184">
        <f>IF(C4&lt;&gt;"",IFERROR(AVERAGE(出来高!E28:AC28),""),"")</f>
        <v>15242248</v>
      </c>
      <c r="O4" s="186">
        <f t="shared" si="1"/>
        <v>0.54469007322940621</v>
      </c>
      <c r="P4" s="181" t="str">
        <f t="shared" si="2"/>
        <v>減少↓</v>
      </c>
      <c r="Q4" s="181" t="str">
        <f t="shared" si="3"/>
        <v>様子見▼</v>
      </c>
      <c r="R4" s="184">
        <f t="shared" si="4"/>
        <v>4484</v>
      </c>
      <c r="S4" s="184">
        <f t="shared" si="5"/>
        <v>3986</v>
      </c>
      <c r="T4" s="181">
        <f t="shared" ref="T4:T67" si="12">IF(C4="","",IFERROR(IF(O4&gt;=2,3,IF(O4&gt;=1.5,2,IF(O4&gt;=1,1,0)))+IF(E4&gt;G4,1,0)+IF(L4&gt;=-5,1,0)+IF(Q4="買い▲",2,0)+IF(W4&lt;=30,3,IF(W4&lt;=40,2,IF(AND(W4&gt;=40,W4&lt;=60),1,0)))+IF(X4&gt;0,1,0)+IF(V4="年初来高値更新●",3,IF(V4="高値圏",2,0))+IF(AD4="パーフェクト▲",3,IF(AD4="上昇トレンド▲",2,0))+IF(AE4="25日線押し目●",2,IF(AE4="5日線押し目○",1,0))+IF(P4="急増↑↑",2,IF(P4="増加↑",1,0))+N(AI4),0))</f>
        <v>5</v>
      </c>
      <c r="U4" s="181" t="str">
        <f t="shared" si="6"/>
        <v>要確認</v>
      </c>
      <c r="V4" s="181" t="str">
        <f t="shared" si="7"/>
        <v>通常</v>
      </c>
      <c r="W4" s="187">
        <f t="array" ref="W4">IF(C4&lt;&gt;"",IFERROR(100-100/(1+SUMPRODUCT((終値!F28:R28&gt;終値!G28:S28)*( 終値!F28:R28-終値!G28:S28))/SUMPRODUCT((終値!F28:R28&lt;終値!G28:S28)*(終値!G28:S28-終値!F28:R28))),50),"")</f>
        <v>59.827213822894166</v>
      </c>
      <c r="X4" s="188">
        <f>IF(C4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102.19314079422429</v>
      </c>
      <c r="Y4" s="1" t="str">
        <f>IF(T4="","",IF(銘柄管理!$F$5="下落▼",IF(AND(AD4="パーフェクト▲",OR(AE4="25日線押し目●",AE4="5日線押し目○")),"★逆張り候補",IF(AND(AD4="上昇トレンド▲",OR(AE4="25日線押し目●",AE4="5日線押し目○")),"○逆張り候補",IF(W4&lt;=30,IF(Z4&gt;0,"◎反発確認",IF(Z4&lt;-5,"△要注意・様子見","△売られ過ぎ注目")),"相場下落・見送り"))),IF(AND(T4&gt;=12,AD4="パーフェクト▲"),"★強い買い",IF(AND(T4&gt;=12,AD4="上昇トレンド▲"),"★強い買い",IF(AND(T4&gt;=8,OR(AE4="25日線押し目●",AE4="5日線押し目○")),"◎押し目買い",IF(T4&gt;=10,"○買い候補",IF(T4&gt;=6,"△注目",IF(T4&gt;=3,"様子見","見送り"))))))))</f>
        <v>様子見</v>
      </c>
      <c r="Z4" s="189">
        <f t="shared" si="8"/>
        <v>-7.2202166064981949E-2</v>
      </c>
      <c r="AA4" s="181" t="str">
        <f t="shared" si="9"/>
        <v>下落▼</v>
      </c>
      <c r="AB4" s="497">
        <f>IF(C4="","",IFERROR(((終値!E6*0.333)+(終値!F6*0.222)+(終値!G6*0.148)+(終値!H6*0.099)+(終値!I6*0.066)+(終値!J6*0.044)+(終値!K6*0.029)+(終値!L6*0.019)+(終値!M6*0.013)+(終値!N6*0.009))/(0.333+0.222+0.148+0.099+0.066+0.044+0.029+0.019+0.013+0.009),""))</f>
        <v>50906.975560081468</v>
      </c>
      <c r="AC4" s="497">
        <f>IF(C4="","",IFERROR(SUMPRODUCT((終値!E6:AC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48810.8939213349</v>
      </c>
      <c r="AD4" s="498" t="str">
        <f t="shared" si="10"/>
        <v>もみ合い→</v>
      </c>
      <c r="AE4" s="498" t="str">
        <f t="shared" si="11"/>
        <v>なし</v>
      </c>
      <c r="AF4" s="403" cm="1">
        <f t="array" ref="AF4">IF(C4="","",IFERROR((INDEX(終値!$E:$E,MATCH(TEXT(C4,"0"),終値!$A:$A,0))-INDEX(終値!$E:$BL,MATCH(TEXT(C4,"0"),終値!$A:$A,0),$AL$2))/INDEX(終値!$E:$BL,MATCH(TEXT(C4,"0"),終値!$A:$A,0),$AL$2)*100,""))</f>
        <v>21.155529617741465</v>
      </c>
      <c r="AG4" s="403" cm="1">
        <f t="array" ref="AG4">IFERROR((終値!$E$5-INDEX(終値!$E$5:$BL$5,1,$AL$2))/INDEX(終値!$E$5:$BL$5,1,$AL$2)*100,"")</f>
        <v>3.4532270246721688</v>
      </c>
      <c r="AH4" s="404">
        <f t="shared" ref="AH4:AH67" si="13">IF(OR(AF4="",AG4=""),"",AF4-AG4)</f>
        <v>17.702302593069295</v>
      </c>
      <c r="AI4" s="402">
        <f t="shared" ref="AI4:AI67" si="14">IF(AH4="","",IF(AH4&gt;5,3,IF(AH4&gt;0,1,IF(AH4&gt;-3,-1,-2))))</f>
        <v>3</v>
      </c>
    </row>
    <row r="5" spans="1:38" s="192" customFormat="1" ht="18" customHeight="1">
      <c r="A5" s="181" t="str">
        <f>IF(銘柄管理!B30&lt;&gt;"",HYPERLINK("https://kabutan.jp/stock/?code="&amp;銘柄管理!B30,"株探"),"")</f>
        <v>株探</v>
      </c>
      <c r="B5" s="182"/>
      <c r="C5" s="183">
        <f>IF(銘柄管理!B30="","",銘柄管理!B30)</f>
        <v>6254</v>
      </c>
      <c r="D5" s="111" t="str">
        <f>IF(銘柄管理!C30="","",銘柄管理!C30)</f>
        <v>野村マイクロ・サイエンス</v>
      </c>
      <c r="E5" s="184">
        <f>IF(C5&lt;&gt;"",_xll.RssMarket(C5,"現在値"),"")</f>
        <v>4900</v>
      </c>
      <c r="F5" s="184">
        <f>IF(C5&lt;&gt;"",_xll.RssMarket(C5,"始値"),"")</f>
        <v>4500</v>
      </c>
      <c r="G5" s="183">
        <f>IF(C5&lt;&gt;"",終値!F30,"")</f>
        <v>4600</v>
      </c>
      <c r="H5" s="184">
        <f>IF(C5&lt;&gt;"",_xll.RssMarket(C5,"高値"),"")</f>
        <v>4990</v>
      </c>
      <c r="I5" s="184">
        <f>IF(C5&lt;&gt;"",_xll.RssMarket(C5,"安値"),"")</f>
        <v>4495</v>
      </c>
      <c r="J5" s="184">
        <f>IF(C5&lt;&gt;"",_xll.RssMarket(C5,"出来高"),"")</f>
        <v>1015700</v>
      </c>
      <c r="K5" s="184">
        <f>IF(C5&lt;&gt;"",_xll.RssMarket(C5,"年初来高値"),"")</f>
        <v>5290</v>
      </c>
      <c r="L5" s="185">
        <f t="shared" si="0"/>
        <v>-7.3724007561436666</v>
      </c>
      <c r="M5" s="184">
        <f>IF(C5&lt;&gt;"",IFERROR(AVERAGE(出来高!E30:I30),""),"")</f>
        <v>787780</v>
      </c>
      <c r="N5" s="184">
        <f>IF(C5&lt;&gt;"",IFERROR(AVERAGE(出来高!E30:AC30),""),"")</f>
        <v>1002436</v>
      </c>
      <c r="O5" s="186">
        <f t="shared" si="1"/>
        <v>1.2893193531188911</v>
      </c>
      <c r="P5" s="181" t="str">
        <f t="shared" si="2"/>
        <v>普通→</v>
      </c>
      <c r="Q5" s="181" t="str">
        <f t="shared" si="3"/>
        <v>中立→</v>
      </c>
      <c r="R5" s="184">
        <f t="shared" si="4"/>
        <v>5292</v>
      </c>
      <c r="S5" s="184">
        <f t="shared" si="5"/>
        <v>4704</v>
      </c>
      <c r="T5" s="181">
        <f t="shared" si="12"/>
        <v>10</v>
      </c>
      <c r="U5" s="181" t="str">
        <f t="shared" si="6"/>
        <v>要確認</v>
      </c>
      <c r="V5" s="181" t="str">
        <f t="shared" si="7"/>
        <v>通常</v>
      </c>
      <c r="W5" s="187">
        <f t="array" ref="W5">IF(C5&lt;&gt;"",IFERROR(100-100/(1+SUMPRODUCT((終値!F30:R30&gt;終値!G30:S30)*( 終値!F30:R30-終値!G30:S30))/SUMPRODUCT((終値!F30:R30&lt;終値!G30:S30)*(終値!G30:S30-終値!F30:R30))),50),"")</f>
        <v>37.674418604651166</v>
      </c>
      <c r="X5" s="188">
        <f>IF(C5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-49.948137032865816</v>
      </c>
      <c r="Y5" s="1" t="str">
        <f>IF(T5="","",IF(銘柄管理!$F$5="下落▼",IF(AND(AD5="パーフェクト▲",OR(AE5="25日線押し目●",AE5="5日線押し目○")),"★逆張り候補",IF(AND(AD5="上昇トレンド▲",OR(AE5="25日線押し目●",AE5="5日線押し目○")),"○逆張り候補",IF(W5&lt;=30,IF(Z5&gt;0,"◎反発確認",IF(Z5&lt;-5,"△要注意・様子見","△売られ過ぎ注目")),"相場下落・見送り"))),IF(AND(T5&gt;=12,AD5="パーフェクト▲"),"★強い買い",IF(AND(T5&gt;=12,AD5="上昇トレンド▲"),"★強い買い",IF(AND(T5&gt;=8,OR(AE5="25日線押し目●",AE5="5日線押し目○")),"◎押し目買い",IF(T5&gt;=10,"○買い候補",IF(T5&gt;=6,"△注目",IF(T5&gt;=3,"様子見","見送り"))))))))</f>
        <v>○買い候補</v>
      </c>
      <c r="Z5" s="189">
        <f t="shared" si="8"/>
        <v>6.5217391304347823</v>
      </c>
      <c r="AA5" s="181" t="str">
        <f t="shared" si="9"/>
        <v>上昇▲</v>
      </c>
      <c r="AB5" s="499">
        <f>IF(C5="","",IFERROR(((終値!E7*0.333)+(終値!F7*0.222)+(終値!G7*0.148)+(終値!H7*0.099)+(終値!I7*0.066)+(終値!J7*0.044)+(終値!K7*0.029)+(終値!L7*0.019)+(終値!M7*0.013)+(終値!N7*0.009))/(0.333+0.222+0.148+0.099+0.066+0.044+0.029+0.019+0.013+0.009),""))</f>
        <v>1733.1018329938897</v>
      </c>
      <c r="AC5" s="499">
        <f>IF(C5="","",IFERROR(SUMPRODUCT((終値!E7:AC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1720.5196662693677</v>
      </c>
      <c r="AD5" s="500" t="str">
        <f t="shared" si="10"/>
        <v>パーフェクト▲</v>
      </c>
      <c r="AE5" s="500" t="str">
        <f t="shared" si="11"/>
        <v>なし</v>
      </c>
      <c r="AF5" s="403" cm="1">
        <f t="array" ref="AF5">IF(C5="","",IFERROR((INDEX(終値!$E:$E,MATCH(TEXT(C5,"0"),終値!$A:$A,0))-INDEX(終値!$E:$BL,MATCH(TEXT(C5,"0"),終値!$A:$A,0),$AL$2))/INDEX(終値!$E:$BL,MATCH(TEXT(C5,"0"),終値!$A:$A,0),$AL$2)*100,""))</f>
        <v>12.51435132032147</v>
      </c>
      <c r="AG5" s="403" cm="1">
        <f t="array" ref="AG5">IFERROR((終値!$E$5-INDEX(終値!$E$5:$BL$5,1,$AL$2))/INDEX(終値!$E$5:$BL$5,1,$AL$2)*100,"")</f>
        <v>3.4532270246721688</v>
      </c>
      <c r="AH5" s="404">
        <f t="shared" si="13"/>
        <v>9.0611242956493019</v>
      </c>
      <c r="AI5" s="402">
        <f t="shared" si="14"/>
        <v>3</v>
      </c>
    </row>
    <row r="6" spans="1:38" s="192" customFormat="1" ht="18" customHeight="1">
      <c r="A6" s="181" t="str">
        <f>IF(銘柄管理!B148&lt;&gt;"",HYPERLINK("https://kabutan.jp/stock/?code="&amp;銘柄管理!B148,"株探"),"")</f>
        <v>株探</v>
      </c>
      <c r="B6" s="182"/>
      <c r="C6" s="183">
        <f>IF(銘柄管理!B148="","",銘柄管理!B148)</f>
        <v>6838</v>
      </c>
      <c r="D6" s="111" t="str">
        <f>IF(銘柄管理!C148="","",銘柄管理!C148)</f>
        <v>多摩川ホールディングス</v>
      </c>
      <c r="E6" s="184">
        <f>IF(C6&lt;&gt;"",_xll.RssMarket(C6,"現在値"),"")</f>
        <v>2153</v>
      </c>
      <c r="F6" s="184">
        <f>IF(C6&lt;&gt;"",_xll.RssMarket(C6,"始値"),"")</f>
        <v>2230</v>
      </c>
      <c r="G6" s="183">
        <f>IF(C6&lt;&gt;"",終値!F148,"")</f>
        <v>2280</v>
      </c>
      <c r="H6" s="184">
        <f>IF(C6&lt;&gt;"",_xll.RssMarket(C6,"高値"),"")</f>
        <v>2490</v>
      </c>
      <c r="I6" s="184">
        <f>IF(C6&lt;&gt;"",_xll.RssMarket(C6,"安値"),"")</f>
        <v>2122</v>
      </c>
      <c r="J6" s="184">
        <f>IF(C6&lt;&gt;"",_xll.RssMarket(C6,"出来高"),"")</f>
        <v>1705200</v>
      </c>
      <c r="K6" s="184">
        <f>IF(C6&lt;&gt;"",_xll.RssMarket(C6,"年初来高値"),"")</f>
        <v>2496</v>
      </c>
      <c r="L6" s="185">
        <f t="shared" si="0"/>
        <v>-13.741987179487181</v>
      </c>
      <c r="M6" s="184">
        <f>IF(C6&lt;&gt;"",IFERROR(AVERAGE(出来高!E148:I148),""),"")</f>
        <v>611260</v>
      </c>
      <c r="N6" s="184">
        <f>IF(C6&lt;&gt;"",IFERROR(AVERAGE(出来高!E148:AC148),""),"")</f>
        <v>593616</v>
      </c>
      <c r="O6" s="186">
        <f t="shared" si="1"/>
        <v>2.7896476131269834</v>
      </c>
      <c r="P6" s="181" t="str">
        <f t="shared" si="2"/>
        <v>急増↑↑</v>
      </c>
      <c r="Q6" s="181" t="str">
        <f t="shared" si="3"/>
        <v>様子見▼</v>
      </c>
      <c r="R6" s="184">
        <f t="shared" si="4"/>
        <v>2325</v>
      </c>
      <c r="S6" s="184">
        <f t="shared" si="5"/>
        <v>2067</v>
      </c>
      <c r="T6" s="181">
        <f t="shared" si="12"/>
        <v>12</v>
      </c>
      <c r="U6" s="181" t="str">
        <f t="shared" si="6"/>
        <v>有効</v>
      </c>
      <c r="V6" s="181" t="str">
        <f t="shared" si="7"/>
        <v>高値圏</v>
      </c>
      <c r="W6" s="187">
        <f t="array" ref="W6">IF(C6&lt;&gt;"",IFERROR(100-100/(1+SUMPRODUCT((終値!F148:R148&gt;終値!G148:S148)*( 終値!F148:R148-終値!G148:S148))/SUMPRODUCT((終値!F148:R148&lt;終値!G148:S148)*(終値!G148:S148-終値!F148:R148))),50),"")</f>
        <v>52.445961319681459</v>
      </c>
      <c r="X6" s="188">
        <f>IF(C6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0.58639980257885327</v>
      </c>
      <c r="Y6" s="1" t="str">
        <f>IF(T6="","",IF(銘柄管理!$F$5="下落▼",IF(AND(AD6="パーフェクト▲",OR(AE6="25日線押し目●",AE6="5日線押し目○")),"★逆張り候補",IF(AND(AD6="上昇トレンド▲",OR(AE6="25日線押し目●",AE6="5日線押し目○")),"○逆張り候補",IF(W6&lt;=30,IF(Z6&gt;0,"◎反発確認",IF(Z6&lt;-5,"△要注意・様子見","△売られ過ぎ注目")),"相場下落・見送り"))),IF(AND(T6&gt;=12,AD6="パーフェクト▲"),"★強い買い",IF(AND(T6&gt;=12,AD6="上昇トレンド▲"),"★強い買い",IF(AND(T6&gt;=8,OR(AE6="25日線押し目●",AE6="5日線押し目○")),"◎押し目買い",IF(T6&gt;=10,"○買い候補",IF(T6&gt;=6,"△注目",IF(T6&gt;=3,"様子見","見送り"))))))))</f>
        <v>○買い候補</v>
      </c>
      <c r="Z6" s="189">
        <f t="shared" si="8"/>
        <v>-5.5701754385964914</v>
      </c>
      <c r="AA6" s="181" t="str">
        <f t="shared" si="9"/>
        <v>下落▼</v>
      </c>
      <c r="AB6" s="497">
        <f>IF(C6="","",IFERROR(((終値!E8*0.333)+(終値!F8*0.222)+(終値!G8*0.148)+(終値!H8*0.099)+(終値!I8*0.066)+(終値!J8*0.044)+(終値!K8*0.029)+(終値!L8*0.019)+(終値!M8*0.013)+(終値!N8*0.009))/(0.333+0.222+0.148+0.099+0.066+0.044+0.029+0.019+0.013+0.009),""))</f>
        <v>8696.9490835030538</v>
      </c>
      <c r="AC6" s="497">
        <f>IF(C6="","",IFERROR(SUMPRODUCT((終値!E8:AC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8884.4612634088189</v>
      </c>
      <c r="AD6" s="498" t="str">
        <f t="shared" si="10"/>
        <v>下降トレンド▼</v>
      </c>
      <c r="AE6" s="498" t="str">
        <f t="shared" si="11"/>
        <v>なし</v>
      </c>
      <c r="AF6" s="403" cm="1">
        <f t="array" ref="AF6">IF(C6="","",IFERROR((INDEX(終値!$E:$E,MATCH(TEXT(C6,"0"),終値!$A:$A,0))-INDEX(終値!$E:$BL,MATCH(TEXT(C6,"0"),終値!$A:$A,0),$AL$2))/INDEX(終値!$E:$BL,MATCH(TEXT(C6,"0"),終値!$A:$A,0),$AL$2)*100,""))</f>
        <v>12.722513089005236</v>
      </c>
      <c r="AG6" s="403" cm="1">
        <f t="array" ref="AG6">IFERROR((終値!$E$5-INDEX(終値!$E$5:$BL$5,1,$AL$2))/INDEX(終値!$E$5:$BL$5,1,$AL$2)*100,"")</f>
        <v>3.4532270246721688</v>
      </c>
      <c r="AH6" s="404">
        <f t="shared" si="13"/>
        <v>9.2692860643330679</v>
      </c>
      <c r="AI6" s="402">
        <f t="shared" si="14"/>
        <v>3</v>
      </c>
    </row>
    <row r="7" spans="1:38" s="192" customFormat="1" ht="18" customHeight="1">
      <c r="A7" s="181" t="str">
        <f>IF(銘柄管理!B84&lt;&gt;"",HYPERLINK("https://kabutan.jp/stock/?code="&amp;銘柄管理!B84,"株探"),"")</f>
        <v>株探</v>
      </c>
      <c r="B7" s="182"/>
      <c r="C7" s="183">
        <f>IF(銘柄管理!B84="","",銘柄管理!B84)</f>
        <v>5411</v>
      </c>
      <c r="D7" s="111" t="str">
        <f>IF(銘柄管理!C84="","",銘柄管理!C84)</f>
        <v>ＪＦＥホールディングス</v>
      </c>
      <c r="E7" s="184">
        <f>IF(C7&lt;&gt;"",_xll.RssMarket(C7,"現在値"),"")</f>
        <v>1637</v>
      </c>
      <c r="F7" s="184">
        <f>IF(C7&lt;&gt;"",_xll.RssMarket(C7,"始値"),"")</f>
        <v>1652</v>
      </c>
      <c r="G7" s="183">
        <f>IF(C7&lt;&gt;"",終値!F84,"")</f>
        <v>1647</v>
      </c>
      <c r="H7" s="184">
        <f>IF(C7&lt;&gt;"",_xll.RssMarket(C7,"高値"),"")</f>
        <v>1653</v>
      </c>
      <c r="I7" s="184">
        <f>IF(C7&lt;&gt;"",_xll.RssMarket(C7,"安値"),"")</f>
        <v>1630.5</v>
      </c>
      <c r="J7" s="184">
        <f>IF(C7&lt;&gt;"",_xll.RssMarket(C7,"出来高"),"")</f>
        <v>2749000</v>
      </c>
      <c r="K7" s="184">
        <f>IF(C7&lt;&gt;"",_xll.RssMarket(C7,"年初来高値"),"")</f>
        <v>2359</v>
      </c>
      <c r="L7" s="185">
        <f t="shared" si="0"/>
        <v>-30.606189063162358</v>
      </c>
      <c r="M7" s="184">
        <f>IF(C7&lt;&gt;"",IFERROR(AVERAGE(出来高!E84:I84),""),"")</f>
        <v>4892100</v>
      </c>
      <c r="N7" s="184">
        <f>IF(C7&lt;&gt;"",IFERROR(AVERAGE(出来高!E84:AC84),""),"")</f>
        <v>5792740</v>
      </c>
      <c r="O7" s="186">
        <f t="shared" si="1"/>
        <v>0.56192637108808074</v>
      </c>
      <c r="P7" s="181" t="str">
        <f t="shared" si="2"/>
        <v>減少↓</v>
      </c>
      <c r="Q7" s="181" t="str">
        <f t="shared" si="3"/>
        <v>様子見▼</v>
      </c>
      <c r="R7" s="184">
        <f t="shared" si="4"/>
        <v>1768</v>
      </c>
      <c r="S7" s="184">
        <f t="shared" si="5"/>
        <v>1572</v>
      </c>
      <c r="T7" s="181">
        <f t="shared" si="12"/>
        <v>-1</v>
      </c>
      <c r="U7" s="181" t="str">
        <f t="shared" si="6"/>
        <v>除外</v>
      </c>
      <c r="V7" s="181" t="str">
        <f t="shared" si="7"/>
        <v>通常</v>
      </c>
      <c r="W7" s="187">
        <f t="array" ref="W7">IF(C7&lt;&gt;"",IFERROR(100-100/(1+SUMPRODUCT((終値!F84:R84&gt;終値!G84:S84)*( 終値!F84:R84-終値!G84:S84))/SUMPRODUCT((終値!F84:R84&lt;終値!G84:S84)*(終値!G84:S84-終値!F84:R84))),50),"")</f>
        <v>52.689873417721515</v>
      </c>
      <c r="X7" s="188">
        <f>IF(C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-8.0933414000210178</v>
      </c>
      <c r="Y7" s="1" t="str">
        <f>IF(T7="","",IF(銘柄管理!$F$5="下落▼",IF(AND(AD7="パーフェクト▲",OR(AE7="25日線押し目●",AE7="5日線押し目○")),"★逆張り候補",IF(AND(AD7="上昇トレンド▲",OR(AE7="25日線押し目●",AE7="5日線押し目○")),"○逆張り候補",IF(W7&lt;=30,IF(Z7&gt;0,"◎反発確認",IF(Z7&lt;-5,"△要注意・様子見","△売られ過ぎ注目")),"相場下落・見送り"))),IF(AND(T7&gt;=12,AD7="パーフェクト▲"),"★強い買い",IF(AND(T7&gt;=12,AD7="上昇トレンド▲"),"★強い買い",IF(AND(T7&gt;=8,OR(AE7="25日線押し目●",AE7="5日線押し目○")),"◎押し目買い",IF(T7&gt;=10,"○買い候補",IF(T7&gt;=6,"△注目",IF(T7&gt;=3,"様子見","見送り"))))))))</f>
        <v>見送り</v>
      </c>
      <c r="Z7" s="189">
        <f t="shared" si="8"/>
        <v>-0.60716454159077105</v>
      </c>
      <c r="AA7" s="181" t="str">
        <f t="shared" si="9"/>
        <v>下落▼</v>
      </c>
      <c r="AB7" s="499">
        <f>IF(C7="","",IFERROR(((終値!E9*0.333)+(終値!F9*0.222)+(終値!G9*0.148)+(終値!H9*0.099)+(終値!I9*0.066)+(終値!J9*0.044)+(終値!K9*0.029)+(終値!L9*0.019)+(終値!M9*0.013)+(終値!N9*0.009))/(0.333+0.222+0.148+0.099+0.066+0.044+0.029+0.019+0.013+0.009),""))</f>
        <v>4772.3920570264754</v>
      </c>
      <c r="AC7" s="499">
        <f>IF(C7="","",IFERROR(SUMPRODUCT((終値!E9:AC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4926.9082240762791</v>
      </c>
      <c r="AD7" s="500" t="str">
        <f t="shared" si="10"/>
        <v>下降トレンド▼</v>
      </c>
      <c r="AE7" s="500" t="str">
        <f t="shared" si="11"/>
        <v>なし</v>
      </c>
      <c r="AF7" s="403" cm="1">
        <f t="array" ref="AF7">IF(C7="","",IFERROR((INDEX(終値!$E:$E,MATCH(TEXT(C7,"0"),終値!$A:$A,0))-INDEX(終値!$E:$BL,MATCH(TEXT(C7,"0"),終値!$A:$A,0),$AL$2))/INDEX(終値!$E:$BL,MATCH(TEXT(C7,"0"),終値!$A:$A,0),$AL$2)*100,""))</f>
        <v>-3.1647441585329785</v>
      </c>
      <c r="AG7" s="403" cm="1">
        <f t="array" ref="AG7">IFERROR((終値!$E$5-INDEX(終値!$E$5:$BL$5,1,$AL$2))/INDEX(終値!$E$5:$BL$5,1,$AL$2)*100,"")</f>
        <v>3.4532270246721688</v>
      </c>
      <c r="AH7" s="404">
        <f t="shared" si="13"/>
        <v>-6.6179711832051478</v>
      </c>
      <c r="AI7" s="402">
        <f t="shared" si="14"/>
        <v>-2</v>
      </c>
    </row>
    <row r="8" spans="1:38" s="192" customFormat="1" ht="18" customHeight="1">
      <c r="A8" s="181" t="str">
        <f>IF(銘柄管理!B112&lt;&gt;"",HYPERLINK("https://kabutan.jp/stock/?code="&amp;銘柄管理!B112,"株探"),"")</f>
        <v>株探</v>
      </c>
      <c r="B8" s="182"/>
      <c r="C8" s="183">
        <f>IF(銘柄管理!B112="","",銘柄管理!B112)</f>
        <v>9348</v>
      </c>
      <c r="D8" s="111" t="str">
        <f>IF(銘柄管理!C112="","",銘柄管理!C112)</f>
        <v>ｉｓｐａｃｅ</v>
      </c>
      <c r="E8" s="184">
        <f>IF(C8&lt;&gt;"",_xll.RssMarket(C8,"現在値"),"")</f>
        <v>473</v>
      </c>
      <c r="F8" s="184">
        <f>IF(C8&lt;&gt;"",_xll.RssMarket(C8,"始値"),"")</f>
        <v>471</v>
      </c>
      <c r="G8" s="183">
        <f>IF(C8&lt;&gt;"",終値!F112,"")</f>
        <v>468</v>
      </c>
      <c r="H8" s="184">
        <f>IF(C8&lt;&gt;"",_xll.RssMarket(C8,"高値"),"")</f>
        <v>494</v>
      </c>
      <c r="I8" s="184">
        <f>IF(C8&lt;&gt;"",_xll.RssMarket(C8,"安値"),"")</f>
        <v>468</v>
      </c>
      <c r="J8" s="184">
        <f>IF(C8&lt;&gt;"",_xll.RssMarket(C8,"出来高"),"")</f>
        <v>2625000</v>
      </c>
      <c r="K8" s="184">
        <f>IF(C8&lt;&gt;"",_xll.RssMarket(C8,"年初来高値"),"")</f>
        <v>710</v>
      </c>
      <c r="L8" s="185">
        <f t="shared" si="0"/>
        <v>-33.380281690140848</v>
      </c>
      <c r="M8" s="184">
        <f>IF(C8&lt;&gt;"",IFERROR(AVERAGE(出来高!E112:I112),""),"")</f>
        <v>2939240</v>
      </c>
      <c r="N8" s="184">
        <f>IF(C8&lt;&gt;"",IFERROR(AVERAGE(出来高!E112:AC112),""),"")</f>
        <v>3455836</v>
      </c>
      <c r="O8" s="186">
        <f t="shared" si="1"/>
        <v>0.89308800914522124</v>
      </c>
      <c r="P8" s="181" t="str">
        <f t="shared" si="2"/>
        <v>減少↓</v>
      </c>
      <c r="Q8" s="181" t="str">
        <f t="shared" si="3"/>
        <v>中立→</v>
      </c>
      <c r="R8" s="184">
        <f t="shared" si="4"/>
        <v>511</v>
      </c>
      <c r="S8" s="184">
        <f t="shared" si="5"/>
        <v>454</v>
      </c>
      <c r="T8" s="181">
        <f t="shared" si="12"/>
        <v>1</v>
      </c>
      <c r="U8" s="181" t="str">
        <f t="shared" si="6"/>
        <v>除外</v>
      </c>
      <c r="V8" s="181" t="str">
        <f t="shared" si="7"/>
        <v>通常</v>
      </c>
      <c r="W8" s="187">
        <f t="array" ref="W8">IF(C8&lt;&gt;"",IFERROR(100-100/(1+SUMPRODUCT((終値!F112:R112&gt;終値!G112:S112)*( 終値!F112:R112-終値!G112:S112))/SUMPRODUCT((終値!F112:R112&lt;終値!G112:S112)*(終値!G112:S112-終値!F112:R112))),50),"")</f>
        <v>38.28451882845188</v>
      </c>
      <c r="X8" s="188">
        <f>IF(C8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-4.2534698036529335</v>
      </c>
      <c r="Y8" s="1" t="str">
        <f>IF(T8="","",IF(銘柄管理!$F$5="下落▼",IF(AND(AD8="パーフェクト▲",OR(AE8="25日線押し目●",AE8="5日線押し目○")),"★逆張り候補",IF(AND(AD8="上昇トレンド▲",OR(AE8="25日線押し目●",AE8="5日線押し目○")),"○逆張り候補",IF(W8&lt;=30,IF(Z8&gt;0,"◎反発確認",IF(Z8&lt;-5,"△要注意・様子見","△売られ過ぎ注目")),"相場下落・見送り"))),IF(AND(T8&gt;=12,AD8="パーフェクト▲"),"★強い買い",IF(AND(T8&gt;=12,AD8="上昇トレンド▲"),"★強い買い",IF(AND(T8&gt;=8,OR(AE8="25日線押し目●",AE8="5日線押し目○")),"◎押し目買い",IF(T8&gt;=10,"○買い候補",IF(T8&gt;=6,"△注目",IF(T8&gt;=3,"様子見","見送り"))))))))</f>
        <v>見送り</v>
      </c>
      <c r="Z8" s="189">
        <f t="shared" si="8"/>
        <v>1.0683760683760684</v>
      </c>
      <c r="AA8" s="181" t="str">
        <f t="shared" si="9"/>
        <v>上昇▲</v>
      </c>
      <c r="AB8" s="497">
        <f>IF(C8="","",IFERROR(((終値!E10*0.333)+(終値!F10*0.222)+(終値!G10*0.148)+(終値!H10*0.099)+(終値!I10*0.066)+(終値!J10*0.044)+(終値!K10*0.029)+(終値!L10*0.019)+(終値!M10*0.013)+(終値!N10*0.009))/(0.333+0.222+0.148+0.099+0.066+0.044+0.029+0.019+0.013+0.009),""))</f>
        <v>9572.4124236252555</v>
      </c>
      <c r="AC8" s="497">
        <f>IF(C8="","",IFERROR(SUMPRODUCT((終値!E10:AC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9926.897497020258</v>
      </c>
      <c r="AD8" s="498" t="str">
        <f t="shared" si="10"/>
        <v>下降トレンド▼</v>
      </c>
      <c r="AE8" s="498" t="str">
        <f t="shared" si="11"/>
        <v>なし</v>
      </c>
      <c r="AF8" s="403" cm="1">
        <f t="array" ref="AF8">IF(C8="","",IFERROR((INDEX(終値!$E:$E,MATCH(TEXT(C8,"0"),終値!$A:$A,0))-INDEX(終値!$E:$BL,MATCH(TEXT(C8,"0"),終値!$A:$A,0),$AL$2))/INDEX(終値!$E:$BL,MATCH(TEXT(C8,"0"),終値!$A:$A,0),$AL$2)*100,""))</f>
        <v>-5.2104208416833666</v>
      </c>
      <c r="AG8" s="403" cm="1">
        <f t="array" ref="AG8">IFERROR((終値!$E$5-INDEX(終値!$E$5:$BL$5,1,$AL$2))/INDEX(終値!$E$5:$BL$5,1,$AL$2)*100,"")</f>
        <v>3.4532270246721688</v>
      </c>
      <c r="AH8" s="404">
        <f t="shared" si="13"/>
        <v>-8.6636478663555359</v>
      </c>
      <c r="AI8" s="402">
        <f t="shared" si="14"/>
        <v>-2</v>
      </c>
    </row>
    <row r="9" spans="1:38" s="192" customFormat="1" ht="18" customHeight="1">
      <c r="A9" s="181" t="str">
        <f>IF(銘柄管理!B129&lt;&gt;"",HYPERLINK("https://kabutan.jp/stock/?code="&amp;銘柄管理!B129,"株探"),"")</f>
        <v>株探</v>
      </c>
      <c r="B9" s="182"/>
      <c r="C9" s="183">
        <f>IF(銘柄管理!B129="","",銘柄管理!B129)</f>
        <v>4082</v>
      </c>
      <c r="D9" s="111" t="str">
        <f>IF(銘柄管理!C129="","",銘柄管理!C129)</f>
        <v>第一稀元素化学工</v>
      </c>
      <c r="E9" s="184">
        <f>IF(C9&lt;&gt;"",_xll.RssMarket(C9,"現在値"),"")</f>
        <v>2065</v>
      </c>
      <c r="F9" s="184">
        <f>IF(C9&lt;&gt;"",_xll.RssMarket(C9,"始値"),"")</f>
        <v>1990</v>
      </c>
      <c r="G9" s="183">
        <f>IF(C9&lt;&gt;"",終値!F129,"")</f>
        <v>2015</v>
      </c>
      <c r="H9" s="184">
        <f>IF(C9&lt;&gt;"",_xll.RssMarket(C9,"高値"),"")</f>
        <v>2130</v>
      </c>
      <c r="I9" s="184">
        <f>IF(C9&lt;&gt;"",_xll.RssMarket(C9,"安値"),"")</f>
        <v>1941</v>
      </c>
      <c r="J9" s="184">
        <f>IF(C9&lt;&gt;"",_xll.RssMarket(C9,"出来高"),"")</f>
        <v>270500</v>
      </c>
      <c r="K9" s="184">
        <f>IF(C9&lt;&gt;"",_xll.RssMarket(C9,"年初来高値"),"")</f>
        <v>4400</v>
      </c>
      <c r="L9" s="185">
        <f t="shared" si="0"/>
        <v>-53.068181818181813</v>
      </c>
      <c r="M9" s="184">
        <f>IF(C9&lt;&gt;"",IFERROR(AVERAGE(出来高!E129:I129),""),"")</f>
        <v>289460</v>
      </c>
      <c r="N9" s="184">
        <f>IF(C9&lt;&gt;"",IFERROR(AVERAGE(出来高!E129:AC129),""),"")</f>
        <v>466188</v>
      </c>
      <c r="O9" s="186">
        <f t="shared" si="1"/>
        <v>0.93449872175775583</v>
      </c>
      <c r="P9" s="181" t="str">
        <f t="shared" si="2"/>
        <v>減少↓</v>
      </c>
      <c r="Q9" s="181" t="str">
        <f t="shared" si="3"/>
        <v>中立→</v>
      </c>
      <c r="R9" s="184">
        <f t="shared" si="4"/>
        <v>2230</v>
      </c>
      <c r="S9" s="184">
        <f t="shared" si="5"/>
        <v>1982</v>
      </c>
      <c r="T9" s="181">
        <f t="shared" si="12"/>
        <v>0</v>
      </c>
      <c r="U9" s="181" t="str">
        <f t="shared" si="6"/>
        <v>除外</v>
      </c>
      <c r="V9" s="181" t="str">
        <f t="shared" si="7"/>
        <v>通常</v>
      </c>
      <c r="W9" s="187">
        <f t="array" ref="W9">IF(C9&lt;&gt;"",IFERROR(100-100/(1+SUMPRODUCT((終値!F129:R129&gt;終値!G129:S129)*( 終値!F129:R129-終値!G129:S129))/SUMPRODUCT((終値!F129:R129&lt;終値!G129:S129)*(終値!G129:S129-終値!F129:R129))),50),"")</f>
        <v>49.489795918367342</v>
      </c>
      <c r="X9" s="188">
        <f>IF(C9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-28.58063039575768</v>
      </c>
      <c r="Y9" s="1" t="str">
        <f>IF(T9="","",IF(銘柄管理!$F$5="下落▼",IF(AND(AD9="パーフェクト▲",OR(AE9="25日線押し目●",AE9="5日線押し目○")),"★逆張り候補",IF(AND(AD9="上昇トレンド▲",OR(AE9="25日線押し目●",AE9="5日線押し目○")),"○逆張り候補",IF(W9&lt;=30,IF(Z9&gt;0,"◎反発確認",IF(Z9&lt;-5,"△要注意・様子見","△売られ過ぎ注目")),"相場下落・見送り"))),IF(AND(T9&gt;=12,AD9="パーフェクト▲"),"★強い買い",IF(AND(T9&gt;=12,AD9="上昇トレンド▲"),"★強い買い",IF(AND(T9&gt;=8,OR(AE9="25日線押し目●",AE9="5日線押し目○")),"◎押し目買い",IF(T9&gt;=10,"○買い候補",IF(T9&gt;=6,"△注目",IF(T9&gt;=3,"様子見","見送り"))))))))</f>
        <v>見送り</v>
      </c>
      <c r="Z9" s="189">
        <f t="shared" si="8"/>
        <v>2.481389578163772</v>
      </c>
      <c r="AA9" s="181" t="str">
        <f t="shared" si="9"/>
        <v>上昇▲</v>
      </c>
      <c r="AB9" s="499">
        <f>IF(C9="","",IFERROR(((終値!E11*0.333)+(終値!F11*0.222)+(終値!G11*0.148)+(終値!H11*0.099)+(終値!I11*0.066)+(終値!J11*0.044)+(終値!K11*0.029)+(終値!L11*0.019)+(終値!M11*0.013)+(終値!N11*0.009))/(0.333+0.222+0.148+0.099+0.066+0.044+0.029+0.019+0.013+0.009),""))</f>
        <v>3921.810590631364</v>
      </c>
      <c r="AC9" s="499">
        <f>IF(C9="","",IFERROR(SUMPRODUCT((終値!E11:AC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4080.7628128724659</v>
      </c>
      <c r="AD9" s="500" t="str">
        <f t="shared" si="10"/>
        <v>下降トレンド▼</v>
      </c>
      <c r="AE9" s="500" t="str">
        <f t="shared" si="11"/>
        <v>なし</v>
      </c>
      <c r="AF9" s="403" cm="1">
        <f t="array" ref="AF9">IF(C9="","",IFERROR((INDEX(終値!$E:$E,MATCH(TEXT(C9,"0"),終値!$A:$A,0))-INDEX(終値!$E:$BL,MATCH(TEXT(C9,"0"),終値!$A:$A,0),$AL$2))/INDEX(終値!$E:$BL,MATCH(TEXT(C9,"0"),終値!$A:$A,0),$AL$2)*100,""))</f>
        <v>-18.379446640316203</v>
      </c>
      <c r="AG9" s="403" cm="1">
        <f t="array" ref="AG9">IFERROR((終値!$E$5-INDEX(終値!$E$5:$BL$5,1,$AL$2))/INDEX(終値!$E$5:$BL$5,1,$AL$2)*100,"")</f>
        <v>3.4532270246721688</v>
      </c>
      <c r="AH9" s="404">
        <f t="shared" si="13"/>
        <v>-21.832673664988373</v>
      </c>
      <c r="AI9" s="402">
        <f t="shared" si="14"/>
        <v>-2</v>
      </c>
    </row>
    <row r="10" spans="1:38" s="192" customFormat="1" ht="18" customHeight="1">
      <c r="A10" s="181" t="str">
        <f>IF(銘柄管理!B145&lt;&gt;"",HYPERLINK("https://kabutan.jp/stock/?code="&amp;銘柄管理!B145,"株探"),"")</f>
        <v>株探</v>
      </c>
      <c r="B10" s="182"/>
      <c r="C10" s="183">
        <f>IF(銘柄管理!B145="","",銘柄管理!B145)</f>
        <v>6787</v>
      </c>
      <c r="D10" s="111" t="str">
        <f>IF(銘柄管理!C145="","",銘柄管理!C145)</f>
        <v>メイコー</v>
      </c>
      <c r="E10" s="184">
        <f>IF(C10&lt;&gt;"",_xll.RssMarket(C10,"現在値"),"")</f>
        <v>35750</v>
      </c>
      <c r="F10" s="184">
        <f>IF(C10&lt;&gt;"",_xll.RssMarket(C10,"始値"),"")</f>
        <v>33850</v>
      </c>
      <c r="G10" s="183">
        <f>IF(C10&lt;&gt;"",終値!F145,"")</f>
        <v>34850</v>
      </c>
      <c r="H10" s="184">
        <f>IF(C10&lt;&gt;"",_xll.RssMarket(C10,"高値"),"")</f>
        <v>36600</v>
      </c>
      <c r="I10" s="184">
        <f>IF(C10&lt;&gt;"",_xll.RssMarket(C10,"安値"),"")</f>
        <v>33600</v>
      </c>
      <c r="J10" s="184">
        <f>IF(C10&lt;&gt;"",_xll.RssMarket(C10,"出来高"),"")</f>
        <v>512700</v>
      </c>
      <c r="K10" s="184">
        <f>IF(C10&lt;&gt;"",_xll.RssMarket(C10,"年初来高値"),"")</f>
        <v>45300</v>
      </c>
      <c r="L10" s="185">
        <f t="shared" si="0"/>
        <v>-21.081677704194259</v>
      </c>
      <c r="M10" s="184">
        <f>IF(C10&lt;&gt;"",IFERROR(AVERAGE(出来高!E145:I145),""),"")</f>
        <v>610040</v>
      </c>
      <c r="N10" s="184">
        <f>IF(C10&lt;&gt;"",IFERROR(AVERAGE(出来高!E145:AC145),""),"")</f>
        <v>543748</v>
      </c>
      <c r="O10" s="186">
        <f t="shared" si="1"/>
        <v>0.84043669267589005</v>
      </c>
      <c r="P10" s="181" t="str">
        <f t="shared" si="2"/>
        <v>減少↓</v>
      </c>
      <c r="Q10" s="181" t="str">
        <f t="shared" si="3"/>
        <v>中立→</v>
      </c>
      <c r="R10" s="184">
        <f t="shared" si="4"/>
        <v>38610</v>
      </c>
      <c r="S10" s="184">
        <f t="shared" si="5"/>
        <v>34320</v>
      </c>
      <c r="T10" s="181">
        <f t="shared" si="12"/>
        <v>3</v>
      </c>
      <c r="U10" s="181" t="str">
        <f t="shared" si="6"/>
        <v>要確認</v>
      </c>
      <c r="V10" s="181" t="str">
        <f t="shared" si="7"/>
        <v>通常</v>
      </c>
      <c r="W10" s="187">
        <f t="array" ref="W10">IF(C10&lt;&gt;"",IFERROR(100-100/(1+SUMPRODUCT((終値!F145:R145&gt;終値!G145:S145)*( 終値!F145:R145-終値!G145:S145))/SUMPRODUCT((終値!F145:R145&lt;終値!G145:S145)*(終値!G145:S145-終値!F145:R145))),50),"")</f>
        <v>32.781168265039241</v>
      </c>
      <c r="X10" s="188">
        <f>IF(C10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-696.2983454001951</v>
      </c>
      <c r="Y10" s="1" t="str">
        <f>IF(T10="","",IF(銘柄管理!$F$5="下落▼",IF(AND(AD10="パーフェクト▲",OR(AE10="25日線押し目●",AE10="5日線押し目○")),"★逆張り候補",IF(AND(AD10="上昇トレンド▲",OR(AE10="25日線押し目●",AE10="5日線押し目○")),"○逆張り候補",IF(W10&lt;=30,IF(Z10&gt;0,"◎反発確認",IF(Z10&lt;-5,"△要注意・様子見","△売られ過ぎ注目")),"相場下落・見送り"))),IF(AND(T10&gt;=12,AD10="パーフェクト▲"),"★強い買い",IF(AND(T10&gt;=12,AD10="上昇トレンド▲"),"★強い買い",IF(AND(T10&gt;=8,OR(AE10="25日線押し目●",AE10="5日線押し目○")),"◎押し目買い",IF(T10&gt;=10,"○買い候補",IF(T10&gt;=6,"△注目",IF(T10&gt;=3,"様子見","見送り"))))))))</f>
        <v>様子見</v>
      </c>
      <c r="Z10" s="189">
        <f t="shared" si="8"/>
        <v>2.5824964131994261</v>
      </c>
      <c r="AA10" s="181" t="str">
        <f t="shared" si="9"/>
        <v>上昇▲</v>
      </c>
      <c r="AB10" s="497">
        <f>IF(C10="","",IFERROR(((終値!E12*0.333)+(終値!F12*0.222)+(終値!G12*0.148)+(終値!H12*0.099)+(終値!I12*0.066)+(終値!J12*0.044)+(終値!K12*0.029)+(終値!L12*0.019)+(終値!M12*0.013)+(終値!N12*0.009))/(0.333+0.222+0.148+0.099+0.066+0.044+0.029+0.019+0.013+0.009),""))</f>
        <v>3477.0794297352336</v>
      </c>
      <c r="AC10" s="497">
        <f>IF(C10="","",IFERROR(SUMPRODUCT((終値!E12:AC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3625.0274135876025</v>
      </c>
      <c r="AD10" s="498" t="str">
        <f t="shared" si="10"/>
        <v>上昇トレンド▲</v>
      </c>
      <c r="AE10" s="498" t="str">
        <f t="shared" si="11"/>
        <v>なし</v>
      </c>
      <c r="AF10" s="403" cm="1">
        <f t="array" ref="AF10">IF(C10="","",IFERROR((INDEX(終値!$E:$E,MATCH(TEXT(C10,"0"),終値!$A:$A,0))-INDEX(終値!$E:$BL,MATCH(TEXT(C10,"0"),終値!$A:$A,0),$AL$2))/INDEX(終値!$E:$BL,MATCH(TEXT(C10,"0"),終値!$A:$A,0),$AL$2)*100,""))</f>
        <v>-7.5032341526520057</v>
      </c>
      <c r="AG10" s="403" cm="1">
        <f t="array" ref="AG10">IFERROR((終値!$E$5-INDEX(終値!$E$5:$BL$5,1,$AL$2))/INDEX(終値!$E$5:$BL$5,1,$AL$2)*100,"")</f>
        <v>3.4532270246721688</v>
      </c>
      <c r="AH10" s="404">
        <f t="shared" si="13"/>
        <v>-10.956461177324174</v>
      </c>
      <c r="AI10" s="402">
        <f t="shared" si="14"/>
        <v>-2</v>
      </c>
    </row>
    <row r="11" spans="1:38" s="192" customFormat="1" ht="18" customHeight="1">
      <c r="A11" s="181" t="str">
        <f>IF(銘柄管理!B6&lt;&gt;"",HYPERLINK("https://kabutan.jp/stock/?code="&amp;銘柄管理!B6,"株探"),"")</f>
        <v>株探</v>
      </c>
      <c r="B11" s="182"/>
      <c r="C11" s="183">
        <f>IF(銘柄管理!B6="","",銘柄管理!B6)</f>
        <v>5706</v>
      </c>
      <c r="D11" s="111" t="str">
        <f>IF(銘柄管理!C6="","",銘柄管理!C6)</f>
        <v>三井金属</v>
      </c>
      <c r="E11" s="184">
        <f>IF(C11&lt;&gt;"",_xll.RssMarket(C11,"現在値"),"")</f>
        <v>47600</v>
      </c>
      <c r="F11" s="184">
        <f>IF(C11&lt;&gt;"",_xll.RssMarket(C11,"始値"),"")</f>
        <v>47100</v>
      </c>
      <c r="G11" s="183">
        <f>IF(C11&lt;&gt;"",終値!F6,"")</f>
        <v>53840</v>
      </c>
      <c r="H11" s="184">
        <f>IF(C11&lt;&gt;"",_xll.RssMarket(C11,"高値"),"")</f>
        <v>48750</v>
      </c>
      <c r="I11" s="184">
        <f>IF(C11&lt;&gt;"",_xll.RssMarket(C11,"安値"),"")</f>
        <v>46090</v>
      </c>
      <c r="J11" s="184">
        <f>IF(C11&lt;&gt;"",_xll.RssMarket(C11,"出来高"),"")</f>
        <v>1716800</v>
      </c>
      <c r="K11" s="184">
        <f>IF(C11&lt;&gt;"",_xll.RssMarket(C11,"年初来高値"),"")</f>
        <v>57700</v>
      </c>
      <c r="L11" s="185">
        <f t="shared" si="0"/>
        <v>-17.504332755632582</v>
      </c>
      <c r="M11" s="184">
        <f>IF(C11&lt;&gt;"",IFERROR(AVERAGE(出来高!F6:J6),""),"")</f>
        <v>2543120</v>
      </c>
      <c r="N11" s="184">
        <f>IF(C11&lt;&gt;"",IFERROR(AVERAGE(出来高!F6:AD6),""),"")</f>
        <v>2553104</v>
      </c>
      <c r="O11" s="186">
        <f t="shared" si="1"/>
        <v>0.67507628424926858</v>
      </c>
      <c r="P11" s="181" t="str">
        <f t="shared" si="2"/>
        <v>減少↓</v>
      </c>
      <c r="Q11" s="181" t="str">
        <f t="shared" si="3"/>
        <v>様子見▼</v>
      </c>
      <c r="R11" s="184">
        <f t="shared" si="4"/>
        <v>51408</v>
      </c>
      <c r="S11" s="184">
        <f t="shared" si="5"/>
        <v>45696</v>
      </c>
      <c r="T11" s="181">
        <f t="shared" si="12"/>
        <v>7</v>
      </c>
      <c r="U11" s="181" t="str">
        <f t="shared" si="6"/>
        <v>要確認</v>
      </c>
      <c r="V11" s="181" t="str">
        <f t="shared" si="7"/>
        <v>通常</v>
      </c>
      <c r="W11" s="187">
        <f t="array" ref="W11">IF(C11&lt;&gt;"",IFERROR(100-100/(1+SUMPRODUCT((終値!F6:R6&gt;終値!G6:S6)*( 終値!F6:R6-終値!G6:S6))/SUMPRODUCT((終値!F6:R6&lt;終値!G6:S6)*(終値!G6:S6-終値!F6:R6))),50),"")</f>
        <v>54.322058398381031</v>
      </c>
      <c r="X11" s="188">
        <f>IF(C11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460.74972436604003</v>
      </c>
      <c r="Y11" s="1" t="str">
        <f>IF(T11="","",IF(銘柄管理!$F$5="下落▼",IF(AND(AD11="パーフェクト▲",OR(AE11="25日線押し目●",AE11="5日線押し目○")),"★逆張り候補",IF(AND(AD11="上昇トレンド▲",OR(AE11="25日線押し目●",AE11="5日線押し目○")),"○逆張り候補",IF(W11&lt;=30,IF(Z11&gt;0,"◎反発確認",IF(Z11&lt;-5,"△要注意・様子見","△売られ過ぎ注目")),"相場下落・見送り"))),IF(AND(T11&gt;=12,AD11="パーフェクト▲"),"★強い買い",IF(AND(T11&gt;=12,AD11="上昇トレンド▲"),"★強い買い",IF(AND(T11&gt;=8,OR(AE11="25日線押し目●",AE11="5日線押し目○")),"◎押し目買い",IF(T11&gt;=10,"○買い候補",IF(T11&gt;=6,"△注目",IF(T11&gt;=3,"様子見","見送り"))))))))</f>
        <v>△注目</v>
      </c>
      <c r="Z11" s="189">
        <f t="shared" si="8"/>
        <v>-11.589895988112927</v>
      </c>
      <c r="AA11" s="181" t="str">
        <f t="shared" si="9"/>
        <v>下落▼</v>
      </c>
      <c r="AB11" s="499">
        <f>IF(C11="","",IFERROR(((終値!E13*0.333)+(終値!F13*0.222)+(終値!G13*0.148)+(終値!H13*0.099)+(終値!I13*0.066)+(終値!J13*0.044)+(終値!K13*0.029)+(終値!L13*0.019)+(終値!M13*0.013)+(終値!N13*0.009))/(0.333+0.222+0.148+0.099+0.066+0.044+0.029+0.019+0.013+0.009),""))</f>
        <v>3019.0560081466392</v>
      </c>
      <c r="AC11" s="499">
        <f>IF(C11="","",IFERROR(SUMPRODUCT((終値!E13:AC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3093.9427890345642</v>
      </c>
      <c r="AD11" s="500" t="str">
        <f t="shared" si="10"/>
        <v>上昇トレンド▲</v>
      </c>
      <c r="AE11" s="500" t="str">
        <f t="shared" si="11"/>
        <v>なし</v>
      </c>
      <c r="AF11" s="403" cm="1">
        <f t="array" ref="AF11">IF(C11="","",IFERROR((INDEX(終値!$E:$E,MATCH(TEXT(C11,"0"),終値!$A:$A,0))-INDEX(終値!$E:$BL,MATCH(TEXT(C11,"0"),終値!$A:$A,0),$AL$2))/INDEX(終値!$E:$BL,MATCH(TEXT(C11,"0"),終値!$A:$A,0),$AL$2)*100,""))</f>
        <v>26.081424936386771</v>
      </c>
      <c r="AG11" s="403" cm="1">
        <f t="array" ref="AG11">IFERROR((終値!$E$5-INDEX(終値!$E$5:$BL$5,1,$AL$2))/INDEX(終値!$E$5:$BL$5,1,$AL$2)*100,"")</f>
        <v>3.4532270246721688</v>
      </c>
      <c r="AH11" s="404">
        <f t="shared" si="13"/>
        <v>22.628197911714601</v>
      </c>
      <c r="AI11" s="402">
        <f t="shared" si="14"/>
        <v>3</v>
      </c>
    </row>
    <row r="12" spans="1:38" s="192" customFormat="1" ht="18" customHeight="1">
      <c r="A12" s="181" t="str">
        <f>IF(銘柄管理!B21&lt;&gt;"",HYPERLINK("https://kabutan.jp/stock/?code="&amp;銘柄管理!B21,"株探"),"")</f>
        <v>株探</v>
      </c>
      <c r="B12" s="182"/>
      <c r="C12" s="183">
        <f>IF(銘柄管理!B21="","",銘柄管理!B21)</f>
        <v>5332</v>
      </c>
      <c r="D12" s="111" t="str">
        <f>IF(銘柄管理!C21="","",銘柄管理!C21)</f>
        <v>ＴＯＴＯ</v>
      </c>
      <c r="E12" s="184">
        <f>IF(C12&lt;&gt;"",_xll.RssMarket(C12,"現在値"),"")</f>
        <v>8297</v>
      </c>
      <c r="F12" s="184">
        <f>IF(C12&lt;&gt;"",_xll.RssMarket(C12,"始値"),"")</f>
        <v>8102</v>
      </c>
      <c r="G12" s="183">
        <f>IF(C12&lt;&gt;"",終値!F21,"")</f>
        <v>8144</v>
      </c>
      <c r="H12" s="184">
        <f>IF(C12&lt;&gt;"",_xll.RssMarket(C12,"高値"),"")</f>
        <v>8297</v>
      </c>
      <c r="I12" s="184">
        <f>IF(C12&lt;&gt;"",_xll.RssMarket(C12,"安値"),"")</f>
        <v>7938</v>
      </c>
      <c r="J12" s="184">
        <f>IF(C12&lt;&gt;"",_xll.RssMarket(C12,"出来高"),"")</f>
        <v>1293200</v>
      </c>
      <c r="K12" s="184">
        <f>IF(C12&lt;&gt;"",_xll.RssMarket(C12,"年初来高値"),"")</f>
        <v>8362</v>
      </c>
      <c r="L12" s="185">
        <f t="shared" si="0"/>
        <v>-0.77732599856493667</v>
      </c>
      <c r="M12" s="184">
        <f>IF(C12&lt;&gt;"",IFERROR(AVERAGE(出来高!E21:I21),""),"")</f>
        <v>1410580</v>
      </c>
      <c r="N12" s="184">
        <f>IF(C12&lt;&gt;"",IFERROR(AVERAGE(出来高!E21:AC21),""),"")</f>
        <v>1572840</v>
      </c>
      <c r="O12" s="186">
        <f t="shared" si="1"/>
        <v>0.91678600292078438</v>
      </c>
      <c r="P12" s="181" t="str">
        <f t="shared" si="2"/>
        <v>減少↓</v>
      </c>
      <c r="Q12" s="181" t="str">
        <f t="shared" si="3"/>
        <v>中立→</v>
      </c>
      <c r="R12" s="184">
        <f t="shared" si="4"/>
        <v>8961</v>
      </c>
      <c r="S12" s="184">
        <f t="shared" si="5"/>
        <v>7965</v>
      </c>
      <c r="T12" s="181">
        <f t="shared" si="12"/>
        <v>10</v>
      </c>
      <c r="U12" s="181" t="str">
        <f t="shared" si="6"/>
        <v>要確認</v>
      </c>
      <c r="V12" s="181" t="str">
        <f t="shared" si="7"/>
        <v>高値圏</v>
      </c>
      <c r="W12" s="187">
        <f t="array" ref="W12">IF(C12&lt;&gt;"",IFERROR(100-100/(1+SUMPRODUCT((終値!F21:R21&gt;終値!G21:S21)*( 終値!F21:R21-終値!G21:S21))/SUMPRODUCT((終値!F21:R21&lt;終値!G21:S21)*(終値!G21:S21-終値!F21:R21))),50),"")</f>
        <v>67.955071027419891</v>
      </c>
      <c r="X12" s="188">
        <f>IF(C12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142.94742456386393</v>
      </c>
      <c r="Y12" s="1" t="str">
        <f>IF(T12="","",IF(銘柄管理!$F$5="下落▼",IF(AND(AD12="パーフェクト▲",OR(AE12="25日線押し目●",AE12="5日線押し目○")),"★逆張り候補",IF(AND(AD12="上昇トレンド▲",OR(AE12="25日線押し目●",AE12="5日線押し目○")),"○逆張り候補",IF(W12&lt;=30,IF(Z12&gt;0,"◎反発確認",IF(Z12&lt;-5,"△要注意・様子見","△売られ過ぎ注目")),"相場下落・見送り"))),IF(AND(T12&gt;=12,AD12="パーフェクト▲"),"★強い買い",IF(AND(T12&gt;=12,AD12="上昇トレンド▲"),"★強い買い",IF(AND(T12&gt;=8,OR(AE12="25日線押し目●",AE12="5日線押し目○")),"◎押し目買い",IF(T12&gt;=10,"○買い候補",IF(T12&gt;=6,"△注目",IF(T12&gt;=3,"様子見","見送り"))))))))</f>
        <v>○買い候補</v>
      </c>
      <c r="Z12" s="189">
        <f t="shared" si="8"/>
        <v>1.8786836935166993</v>
      </c>
      <c r="AA12" s="181" t="str">
        <f t="shared" si="9"/>
        <v>上昇▲</v>
      </c>
      <c r="AB12" s="497">
        <f>IF(C12="","",IFERROR(((終値!E14*0.333)+(終値!F14*0.222)+(終値!G14*0.148)+(終値!H14*0.099)+(終値!I14*0.066)+(終値!J14*0.044)+(終値!K14*0.029)+(終値!L14*0.019)+(終値!M14*0.013)+(終値!N14*0.009))/(0.333+0.222+0.148+0.099+0.066+0.044+0.029+0.019+0.013+0.009),""))</f>
        <v>4910.8309572301405</v>
      </c>
      <c r="AC12" s="497">
        <f>IF(C12="","",IFERROR(SUMPRODUCT((終値!E14:AC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5066.7270560190682</v>
      </c>
      <c r="AD12" s="498" t="str">
        <f t="shared" si="10"/>
        <v>上昇トレンド▲</v>
      </c>
      <c r="AE12" s="498" t="str">
        <f t="shared" si="11"/>
        <v>なし</v>
      </c>
      <c r="AF12" s="403" cm="1">
        <f t="array" ref="AF12">IF(C12="","",IFERROR((INDEX(終値!$E:$E,MATCH(TEXT(C12,"0"),終値!$A:$A,0))-INDEX(終値!$E:$BL,MATCH(TEXT(C12,"0"),終値!$A:$A,0),$AL$2))/INDEX(終値!$E:$BL,MATCH(TEXT(C12,"0"),終値!$A:$A,0),$AL$2)*100,""))</f>
        <v>14.678645473393228</v>
      </c>
      <c r="AG12" s="403" cm="1">
        <f t="array" ref="AG12">IFERROR((終値!$E$5-INDEX(終値!$E$5:$BL$5,1,$AL$2))/INDEX(終値!$E$5:$BL$5,1,$AL$2)*100,"")</f>
        <v>3.4532270246721688</v>
      </c>
      <c r="AH12" s="404">
        <f t="shared" si="13"/>
        <v>11.22541844872106</v>
      </c>
      <c r="AI12" s="402">
        <f t="shared" si="14"/>
        <v>3</v>
      </c>
    </row>
    <row r="13" spans="1:38" s="192" customFormat="1" ht="18" customHeight="1">
      <c r="A13" s="181" t="str">
        <f>IF(銘柄管理!B60&lt;&gt;"",HYPERLINK("https://kabutan.jp/stock/?code="&amp;銘柄管理!B60,"株探"),"")</f>
        <v>株探</v>
      </c>
      <c r="B13" s="182"/>
      <c r="C13" s="183">
        <f>IF(銘柄管理!B60="","",銘柄管理!B60)</f>
        <v>3107</v>
      </c>
      <c r="D13" s="111" t="str">
        <f>IF(銘柄管理!C60="","",銘柄管理!C60)</f>
        <v>ダイワボウＨＤ</v>
      </c>
      <c r="E13" s="184">
        <f>IF(C13&lt;&gt;"",_xll.RssMarket(C13,"現在値"),"")</f>
        <v>3330</v>
      </c>
      <c r="F13" s="184">
        <f>IF(C13&lt;&gt;"",_xll.RssMarket(C13,"始値"),"")</f>
        <v>3419</v>
      </c>
      <c r="G13" s="183">
        <f>IF(C13&lt;&gt;"",終値!F60,"")</f>
        <v>3409</v>
      </c>
      <c r="H13" s="184">
        <f>IF(C13&lt;&gt;"",_xll.RssMarket(C13,"高値"),"")</f>
        <v>3441</v>
      </c>
      <c r="I13" s="184">
        <f>IF(C13&lt;&gt;"",_xll.RssMarket(C13,"安値"),"")</f>
        <v>3325</v>
      </c>
      <c r="J13" s="184">
        <f>IF(C13&lt;&gt;"",_xll.RssMarket(C13,"出来高"),"")</f>
        <v>294100</v>
      </c>
      <c r="K13" s="184">
        <f>IF(C13&lt;&gt;"",_xll.RssMarket(C13,"年初来高値"),"")</f>
        <v>3622</v>
      </c>
      <c r="L13" s="185">
        <f t="shared" si="0"/>
        <v>-8.0618442849254546</v>
      </c>
      <c r="M13" s="184">
        <f>IF(C13&lt;&gt;"",IFERROR(AVERAGE(出来高!E60:I60),""),"")</f>
        <v>326520</v>
      </c>
      <c r="N13" s="184">
        <f>IF(C13&lt;&gt;"",IFERROR(AVERAGE(出来高!E60:AC60),""),"")</f>
        <v>312512</v>
      </c>
      <c r="O13" s="186">
        <f t="shared" si="1"/>
        <v>0.9007105230920005</v>
      </c>
      <c r="P13" s="181" t="str">
        <f t="shared" si="2"/>
        <v>減少↓</v>
      </c>
      <c r="Q13" s="181" t="str">
        <f t="shared" si="3"/>
        <v>様子見▼</v>
      </c>
      <c r="R13" s="184">
        <f t="shared" si="4"/>
        <v>3596</v>
      </c>
      <c r="S13" s="184">
        <f t="shared" si="5"/>
        <v>3197</v>
      </c>
      <c r="T13" s="181">
        <f t="shared" si="12"/>
        <v>1</v>
      </c>
      <c r="U13" s="181" t="str">
        <f t="shared" si="6"/>
        <v>除外</v>
      </c>
      <c r="V13" s="181" t="str">
        <f t="shared" si="7"/>
        <v>高値圏</v>
      </c>
      <c r="W13" s="187">
        <f t="array" ref="W13">IF(C13&lt;&gt;"",IFERROR(100-100/(1+SUMPRODUCT((終値!F60:R60&gt;終値!G60:S60)*( 終値!F60:R60-終値!G60:S60))/SUMPRODUCT((終値!F60:R60&lt;終値!G60:S60)*(終値!G60:S60-終値!F60:R60))),50),"")</f>
        <v>55.341880341880334</v>
      </c>
      <c r="X13" s="188">
        <f>IF(C13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-1.5960121637153861</v>
      </c>
      <c r="Y13" s="1" t="str">
        <f>IF(T13="","",IF(銘柄管理!$F$5="下落▼",IF(AND(AD13="パーフェクト▲",OR(AE13="25日線押し目●",AE13="5日線押し目○")),"★逆張り候補",IF(AND(AD13="上昇トレンド▲",OR(AE13="25日線押し目●",AE13="5日線押し目○")),"○逆張り候補",IF(W13&lt;=30,IF(Z13&gt;0,"◎反発確認",IF(Z13&lt;-5,"△要注意・様子見","△売られ過ぎ注目")),"相場下落・見送り"))),IF(AND(T13&gt;=12,AD13="パーフェクト▲"),"★強い買い",IF(AND(T13&gt;=12,AD13="上昇トレンド▲"),"★強い買い",IF(AND(T13&gt;=8,OR(AE13="25日線押し目●",AE13="5日線押し目○")),"◎押し目買い",IF(T13&gt;=10,"○買い候補",IF(T13&gt;=6,"△注目",IF(T13&gt;=3,"様子見","見送り"))))))))</f>
        <v>見送り</v>
      </c>
      <c r="Z13" s="189">
        <f t="shared" si="8"/>
        <v>-2.3173951305368141</v>
      </c>
      <c r="AA13" s="181" t="str">
        <f t="shared" si="9"/>
        <v>下落▼</v>
      </c>
      <c r="AB13" s="499">
        <f>IF(C13="","",IFERROR(((終値!E15*0.333)+(終値!F15*0.222)+(終値!G15*0.148)+(終値!H15*0.099)+(終値!I15*0.066)+(終値!J15*0.044)+(終値!K15*0.029)+(終値!L15*0.019)+(終値!M15*0.013)+(終値!N15*0.009))/(0.333+0.222+0.148+0.099+0.066+0.044+0.029+0.019+0.013+0.009),""))</f>
        <v>3622.2281059063134</v>
      </c>
      <c r="AC13" s="499">
        <f>IF(C13="","",IFERROR(SUMPRODUCT((終値!E15:AC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3663.045292014302</v>
      </c>
      <c r="AD13" s="500" t="str">
        <f t="shared" si="10"/>
        <v>下降トレンド▼</v>
      </c>
      <c r="AE13" s="500" t="str">
        <f t="shared" si="11"/>
        <v>なし</v>
      </c>
      <c r="AF13" s="403" cm="1">
        <f t="array" ref="AF13">IF(C13="","",IFERROR((INDEX(終値!$E:$E,MATCH(TEXT(C13,"0"),終値!$A:$A,0))-INDEX(終値!$E:$BL,MATCH(TEXT(C13,"0"),終値!$A:$A,0),$AL$2))/INDEX(終値!$E:$BL,MATCH(TEXT(C13,"0"),終値!$A:$A,0),$AL$2)*100,""))</f>
        <v>-2.8021015761821366</v>
      </c>
      <c r="AG13" s="403" cm="1">
        <f t="array" ref="AG13">IFERROR((終値!$E$5-INDEX(終値!$E$5:$BL$5,1,$AL$2))/INDEX(終値!$E$5:$BL$5,1,$AL$2)*100,"")</f>
        <v>3.4532270246721688</v>
      </c>
      <c r="AH13" s="404">
        <f t="shared" si="13"/>
        <v>-6.2553286008543054</v>
      </c>
      <c r="AI13" s="402">
        <f t="shared" si="14"/>
        <v>-2</v>
      </c>
    </row>
    <row r="14" spans="1:38" s="192" customFormat="1" ht="18" customHeight="1">
      <c r="A14" s="181" t="str">
        <f>IF(銘柄管理!B66&lt;&gt;"",HYPERLINK("https://kabutan.jp/stock/?code="&amp;銘柄管理!B66,"株探"),"")</f>
        <v>株探</v>
      </c>
      <c r="B14" s="182"/>
      <c r="C14" s="183">
        <f>IF(銘柄管理!B66="","",銘柄管理!B66)</f>
        <v>4063</v>
      </c>
      <c r="D14" s="111" t="str">
        <f>IF(銘柄管理!C66="","",銘柄管理!C66)</f>
        <v>信越化学</v>
      </c>
      <c r="E14" s="184">
        <f>IF(C14&lt;&gt;"",_xll.RssMarket(C14,"現在値"),"")</f>
        <v>7549</v>
      </c>
      <c r="F14" s="184">
        <f>IF(C14&lt;&gt;"",_xll.RssMarket(C14,"始値"),"")</f>
        <v>7447</v>
      </c>
      <c r="G14" s="183">
        <f>IF(C14&lt;&gt;"",終値!F66,"")</f>
        <v>7454</v>
      </c>
      <c r="H14" s="184">
        <f>IF(C14&lt;&gt;"",_xll.RssMarket(C14,"高値"),"")</f>
        <v>7595</v>
      </c>
      <c r="I14" s="184">
        <f>IF(C14&lt;&gt;"",_xll.RssMarket(C14,"安値"),"")</f>
        <v>7372</v>
      </c>
      <c r="J14" s="184">
        <f>IF(C14&lt;&gt;"",_xll.RssMarket(C14,"出来高"),"")</f>
        <v>4866300</v>
      </c>
      <c r="K14" s="184">
        <f>IF(C14&lt;&gt;"",_xll.RssMarket(C14,"年初来高値"),"")</f>
        <v>7930</v>
      </c>
      <c r="L14" s="185">
        <f t="shared" si="0"/>
        <v>-4.8045397225725095</v>
      </c>
      <c r="M14" s="184" t="str">
        <f>IF(C14&lt;&gt;"",IFERROR(AVERAGE(出来高!#REF!),""),"")</f>
        <v/>
      </c>
      <c r="N14" s="184" t="str">
        <f>IF(C14&lt;&gt;"",IFERROR(AVERAGE(出来高!#REF!),""),"")</f>
        <v/>
      </c>
      <c r="O14" s="186" t="str">
        <f t="shared" si="1"/>
        <v/>
      </c>
      <c r="P14" s="181" t="str">
        <f t="shared" si="2"/>
        <v/>
      </c>
      <c r="Q14" s="181" t="str">
        <f t="shared" si="3"/>
        <v>買い▲</v>
      </c>
      <c r="R14" s="184">
        <f t="shared" si="4"/>
        <v>8153</v>
      </c>
      <c r="S14" s="184">
        <f t="shared" si="5"/>
        <v>7247</v>
      </c>
      <c r="T14" s="181">
        <f t="shared" si="12"/>
        <v>12</v>
      </c>
      <c r="U14" s="181" t="str">
        <f t="shared" si="6"/>
        <v>有効</v>
      </c>
      <c r="V14" s="181" t="str">
        <f t="shared" si="7"/>
        <v>高値圏</v>
      </c>
      <c r="W14" s="187">
        <f t="array" ref="W14">IF(C14&lt;&gt;"",IFERROR(100-100/(1+SUMPRODUCT((終値!F66:R66&gt;終値!G66:S66)*( 終値!F66:R66-終値!G66:S66))/SUMPRODUCT((終値!F66:R66&lt;終値!G66:S66)*(終値!G66:S66-終値!F66:R66))),50),"")</f>
        <v>56.075316269491026</v>
      </c>
      <c r="X14" s="188">
        <f>IF(C14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18.273848805324633</v>
      </c>
      <c r="Y14" s="1" t="str">
        <f>IF(T14="","",IF(銘柄管理!$F$5="下落▼",IF(AND(AD14="パーフェクト▲",OR(AE14="25日線押し目●",AE14="5日線押し目○")),"★逆張り候補",IF(AND(AD14="上昇トレンド▲",OR(AE14="25日線押し目●",AE14="5日線押し目○")),"○逆張り候補",IF(W14&lt;=30,IF(Z14&gt;0,"◎反発確認",IF(Z14&lt;-5,"△要注意・様子見","△売られ過ぎ注目")),"相場下落・見送り"))),IF(AND(T14&gt;=12,AD14="パーフェクト▲"),"★強い買い",IF(AND(T14&gt;=12,AD14="上昇トレンド▲"),"★強い買い",IF(AND(T14&gt;=8,OR(AE14="25日線押し目●",AE14="5日線押し目○")),"◎押し目買い",IF(T14&gt;=10,"○買い候補",IF(T14&gt;=6,"△注目",IF(T14&gt;=3,"様子見","見送り"))))))))</f>
        <v>★強い買い</v>
      </c>
      <c r="Z14" s="189">
        <f t="shared" si="8"/>
        <v>1.2744834987925946</v>
      </c>
      <c r="AA14" s="181" t="str">
        <f t="shared" si="9"/>
        <v>上昇▲</v>
      </c>
      <c r="AB14" s="497">
        <f>IF(C14="","",IFERROR(((終値!E16*0.333)+(終値!F16*0.222)+(終値!G16*0.148)+(終値!H16*0.099)+(終値!I16*0.066)+(終値!J16*0.044)+(終値!K16*0.029)+(終値!L16*0.019)+(終値!M16*0.013)+(終値!N16*0.009))/(0.333+0.222+0.148+0.099+0.066+0.044+0.029+0.019+0.013+0.009),""))</f>
        <v>4648.0845213849279</v>
      </c>
      <c r="AC14" s="497">
        <f>IF(C14="","",IFERROR(SUMPRODUCT((終値!E16:AC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4938.1108462455277</v>
      </c>
      <c r="AD14" s="498" t="str">
        <f t="shared" si="10"/>
        <v>上昇トレンド▲</v>
      </c>
      <c r="AE14" s="498" t="str">
        <f t="shared" si="11"/>
        <v>なし</v>
      </c>
      <c r="AF14" s="403" cm="1">
        <f t="array" ref="AF14">IF(C14="","",IFERROR((INDEX(終値!$E:$E,MATCH(TEXT(C14,"0"),終値!$A:$A,0))-INDEX(終値!$E:$BL,MATCH(TEXT(C14,"0"),終値!$A:$A,0),$AL$2))/INDEX(終値!$E:$BL,MATCH(TEXT(C14,"0"),終値!$A:$A,0),$AL$2)*100,""))</f>
        <v>0.97645799892990914</v>
      </c>
      <c r="AG14" s="403" cm="1">
        <f t="array" ref="AG14">IFERROR((終値!$E$5-INDEX(終値!$E$5:$BL$5,1,$AL$2))/INDEX(終値!$E$5:$BL$5,1,$AL$2)*100,"")</f>
        <v>3.4532270246721688</v>
      </c>
      <c r="AH14" s="404">
        <f t="shared" si="13"/>
        <v>-2.4767690257422599</v>
      </c>
      <c r="AI14" s="402">
        <f t="shared" si="14"/>
        <v>-1</v>
      </c>
    </row>
    <row r="15" spans="1:38" s="192" customFormat="1" ht="18" customHeight="1">
      <c r="A15" s="181" t="str">
        <f>IF(銘柄管理!B70&lt;&gt;"",HYPERLINK("https://kabutan.jp/stock/?code="&amp;銘柄管理!B70,"株探"),"")</f>
        <v>株探</v>
      </c>
      <c r="B15" s="182"/>
      <c r="C15" s="183">
        <f>IF(銘柄管理!B70="","",銘柄管理!B70)</f>
        <v>9424</v>
      </c>
      <c r="D15" s="111" t="str">
        <f>IF(銘柄管理!C70="","",銘柄管理!C70)</f>
        <v>日本通信</v>
      </c>
      <c r="E15" s="184">
        <f>IF(C15&lt;&gt;"",_xll.RssMarket(C15,"現在値"),"")</f>
        <v>115</v>
      </c>
      <c r="F15" s="184">
        <f>IF(C15&lt;&gt;"",_xll.RssMarket(C15,"始値"),"")</f>
        <v>113</v>
      </c>
      <c r="G15" s="183">
        <f>IF(C15&lt;&gt;"",終値!F70,"")</f>
        <v>112</v>
      </c>
      <c r="H15" s="184">
        <f>IF(C15&lt;&gt;"",_xll.RssMarket(C15,"高値"),"")</f>
        <v>117</v>
      </c>
      <c r="I15" s="184">
        <f>IF(C15&lt;&gt;"",_xll.RssMarket(C15,"安値"),"")</f>
        <v>113</v>
      </c>
      <c r="J15" s="184">
        <f>IF(C15&lt;&gt;"",_xll.RssMarket(C15,"出来高"),"")</f>
        <v>1549700</v>
      </c>
      <c r="K15" s="184">
        <f>IF(C15&lt;&gt;"",_xll.RssMarket(C15,"年初来高値"),"")</f>
        <v>155</v>
      </c>
      <c r="L15" s="185">
        <f t="shared" si="0"/>
        <v>-25.806451612903224</v>
      </c>
      <c r="M15" s="184">
        <f>IF(C15&lt;&gt;"",IFERROR(AVERAGE(出来高!E70:I70),""),"")</f>
        <v>1708740</v>
      </c>
      <c r="N15" s="184">
        <f>IF(C15&lt;&gt;"",IFERROR(AVERAGE(出来高!E70:AC70),""),"")</f>
        <v>2171348</v>
      </c>
      <c r="O15" s="186">
        <f t="shared" si="1"/>
        <v>0.90692557088849091</v>
      </c>
      <c r="P15" s="181" t="str">
        <f t="shared" si="2"/>
        <v>減少↓</v>
      </c>
      <c r="Q15" s="181" t="str">
        <f t="shared" si="3"/>
        <v>中立→</v>
      </c>
      <c r="R15" s="184">
        <f t="shared" si="4"/>
        <v>124</v>
      </c>
      <c r="S15" s="184">
        <f t="shared" si="5"/>
        <v>110</v>
      </c>
      <c r="T15" s="181">
        <f t="shared" si="12"/>
        <v>1</v>
      </c>
      <c r="U15" s="181" t="str">
        <f t="shared" si="6"/>
        <v>除外</v>
      </c>
      <c r="V15" s="181" t="str">
        <f t="shared" si="7"/>
        <v>通常</v>
      </c>
      <c r="W15" s="187">
        <f t="array" ref="W15">IF(C15&lt;&gt;"",IFERROR(100-100/(1+SUMPRODUCT((終値!F70:R70&gt;終値!G70:S70)*( 終値!F70:R70-終値!G70:S70))/SUMPRODUCT((終値!F70:R70&lt;終値!G70:S70)*(終値!G70:S70-終値!F70:R70))),50),"")</f>
        <v>32.142857142857139</v>
      </c>
      <c r="X15" s="188">
        <f>IF(C15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-1.5282082001599946</v>
      </c>
      <c r="Y15" s="1" t="str">
        <f>IF(T15="","",IF(銘柄管理!$F$5="下落▼",IF(AND(AD15="パーフェクト▲",OR(AE15="25日線押し目●",AE15="5日線押し目○")),"★逆張り候補",IF(AND(AD15="上昇トレンド▲",OR(AE15="25日線押し目●",AE15="5日線押し目○")),"○逆張り候補",IF(W15&lt;=30,IF(Z15&gt;0,"◎反発確認",IF(Z15&lt;-5,"△要注意・様子見","△売られ過ぎ注目")),"相場下落・見送り"))),IF(AND(T15&gt;=12,AD15="パーフェクト▲"),"★強い買い",IF(AND(T15&gt;=12,AD15="上昇トレンド▲"),"★強い買い",IF(AND(T15&gt;=8,OR(AE15="25日線押し目●",AE15="5日線押し目○")),"◎押し目買い",IF(T15&gt;=10,"○買い候補",IF(T15&gt;=6,"△注目",IF(T15&gt;=3,"様子見","見送り"))))))))</f>
        <v>見送り</v>
      </c>
      <c r="Z15" s="189">
        <f t="shared" si="8"/>
        <v>2.6785714285714284</v>
      </c>
      <c r="AA15" s="181" t="str">
        <f t="shared" si="9"/>
        <v>上昇▲</v>
      </c>
      <c r="AB15" s="499">
        <f>IF(C15="","",IFERROR(((終値!E17*0.333)+(終値!F17*0.222)+(終値!G17*0.148)+(終値!H17*0.099)+(終値!I17*0.066)+(終値!J17*0.044)+(終値!K17*0.029)+(終値!L17*0.019)+(終値!M17*0.013)+(終値!N17*0.009))/(0.333+0.222+0.148+0.099+0.066+0.044+0.029+0.019+0.013+0.009),""))</f>
        <v>6543.2209775967403</v>
      </c>
      <c r="AC15" s="499">
        <f>IF(C15="","",IFERROR(SUMPRODUCT((終値!E17:AC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6214.7604290822374</v>
      </c>
      <c r="AD15" s="500" t="str">
        <f t="shared" si="10"/>
        <v>もみ合い→</v>
      </c>
      <c r="AE15" s="500" t="str">
        <f t="shared" si="11"/>
        <v>なし</v>
      </c>
      <c r="AF15" s="403" cm="1">
        <f t="array" ref="AF15">IF(C15="","",IFERROR((INDEX(終値!$E:$E,MATCH(TEXT(C15,"0"),終値!$A:$A,0))-INDEX(終値!$E:$BL,MATCH(TEXT(C15,"0"),終値!$A:$A,0),$AL$2))/INDEX(終値!$E:$BL,MATCH(TEXT(C15,"0"),終値!$A:$A,0),$AL$2)*100,""))</f>
        <v>-9.4488188976377945</v>
      </c>
      <c r="AG15" s="403" cm="1">
        <f t="array" ref="AG15">IFERROR((終値!$E$5-INDEX(終値!$E$5:$BL$5,1,$AL$2))/INDEX(終値!$E$5:$BL$5,1,$AL$2)*100,"")</f>
        <v>3.4532270246721688</v>
      </c>
      <c r="AH15" s="404">
        <f t="shared" si="13"/>
        <v>-12.902045922309963</v>
      </c>
      <c r="AI15" s="402">
        <f t="shared" si="14"/>
        <v>-2</v>
      </c>
    </row>
    <row r="16" spans="1:38" s="192" customFormat="1" ht="18" customHeight="1">
      <c r="A16" s="181" t="str">
        <f>IF(銘柄管理!B78&lt;&gt;"",HYPERLINK("https://kabutan.jp/stock/?code="&amp;銘柄管理!B78,"株探"),"")</f>
        <v>株探</v>
      </c>
      <c r="B16" s="182"/>
      <c r="C16" s="183">
        <f>IF(銘柄管理!B78="","",銘柄管理!B78)</f>
        <v>6954</v>
      </c>
      <c r="D16" s="111" t="str">
        <f>IF(銘柄管理!C78="","",銘柄管理!C78)</f>
        <v>ファナック</v>
      </c>
      <c r="E16" s="184">
        <f>IF(C16&lt;&gt;"",_xll.RssMarket(C16,"現在値"),"")</f>
        <v>7515</v>
      </c>
      <c r="F16" s="184">
        <f>IF(C16&lt;&gt;"",_xll.RssMarket(C16,"始値"),"")</f>
        <v>7270</v>
      </c>
      <c r="G16" s="183">
        <f>IF(C16&lt;&gt;"",終値!F78,"")</f>
        <v>7400</v>
      </c>
      <c r="H16" s="184">
        <f>IF(C16&lt;&gt;"",_xll.RssMarket(C16,"高値"),"")</f>
        <v>7515</v>
      </c>
      <c r="I16" s="184">
        <f>IF(C16&lt;&gt;"",_xll.RssMarket(C16,"安値"),"")</f>
        <v>7223</v>
      </c>
      <c r="J16" s="184">
        <f>IF(C16&lt;&gt;"",_xll.RssMarket(C16,"出来高"),"")</f>
        <v>5209500</v>
      </c>
      <c r="K16" s="184">
        <f>IF(C16&lt;&gt;"",_xll.RssMarket(C16,"年初来高値"),"")</f>
        <v>8880</v>
      </c>
      <c r="L16" s="185">
        <f t="shared" si="0"/>
        <v>-15.371621621621623</v>
      </c>
      <c r="M16" s="184">
        <f>IF(C16&lt;&gt;"",IFERROR(AVERAGE(出来高!E78:I78),""),"")</f>
        <v>6438080</v>
      </c>
      <c r="N16" s="184">
        <f>IF(C16&lt;&gt;"",IFERROR(AVERAGE(出来高!E78:AC78),""),"")</f>
        <v>7672644</v>
      </c>
      <c r="O16" s="186">
        <f t="shared" si="1"/>
        <v>0.80916981460311144</v>
      </c>
      <c r="P16" s="181" t="str">
        <f t="shared" si="2"/>
        <v>減少↓</v>
      </c>
      <c r="Q16" s="181" t="str">
        <f t="shared" si="3"/>
        <v>中立→</v>
      </c>
      <c r="R16" s="184">
        <f t="shared" si="4"/>
        <v>8116</v>
      </c>
      <c r="S16" s="184">
        <f t="shared" si="5"/>
        <v>7214</v>
      </c>
      <c r="T16" s="181">
        <f t="shared" si="12"/>
        <v>3</v>
      </c>
      <c r="U16" s="181" t="str">
        <f t="shared" si="6"/>
        <v>要確認</v>
      </c>
      <c r="V16" s="181" t="str">
        <f t="shared" si="7"/>
        <v>通常</v>
      </c>
      <c r="W16" s="187">
        <f t="array" ref="W16">IF(C16&lt;&gt;"",IFERROR(100-100/(1+SUMPRODUCT((終値!F78:R78&gt;終値!G78:S78)*( 終値!F78:R78-終値!G78:S78))/SUMPRODUCT((終値!F78:R78&lt;終値!G78:S78)*(終値!G78:S78-終値!F78:R78))),50),"")</f>
        <v>35.075493612078972</v>
      </c>
      <c r="X16" s="188">
        <f>IF(C16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-104.22530538650153</v>
      </c>
      <c r="Y16" s="1" t="str">
        <f>IF(T16="","",IF(銘柄管理!$F$5="下落▼",IF(AND(AD16="パーフェクト▲",OR(AE16="25日線押し目●",AE16="5日線押し目○")),"★逆張り候補",IF(AND(AD16="上昇トレンド▲",OR(AE16="25日線押し目●",AE16="5日線押し目○")),"○逆張り候補",IF(W16&lt;=30,IF(Z16&gt;0,"◎反発確認",IF(Z16&lt;-5,"△要注意・様子見","△売られ過ぎ注目")),"相場下落・見送り"))),IF(AND(T16&gt;=12,AD16="パーフェクト▲"),"★強い買い",IF(AND(T16&gt;=12,AD16="上昇トレンド▲"),"★強い買い",IF(AND(T16&gt;=8,OR(AE16="25日線押し目●",AE16="5日線押し目○")),"◎押し目買い",IF(T16&gt;=10,"○買い候補",IF(T16&gt;=6,"△注目",IF(T16&gt;=3,"様子見","見送り"))))))))</f>
        <v>様子見</v>
      </c>
      <c r="Z16" s="189">
        <f t="shared" si="8"/>
        <v>1.5540540540540542</v>
      </c>
      <c r="AA16" s="181" t="str">
        <f t="shared" si="9"/>
        <v>上昇▲</v>
      </c>
      <c r="AB16" s="497">
        <f>IF(C16="","",IFERROR(((終値!E18*0.333)+(終値!F18*0.222)+(終値!G18*0.148)+(終値!H18*0.099)+(終値!I18*0.066)+(終値!J18*0.044)+(終値!K18*0.029)+(終値!L18*0.019)+(終値!M18*0.013)+(終値!N18*0.009))/(0.333+0.222+0.148+0.099+0.066+0.044+0.029+0.019+0.013+0.009),""))</f>
        <v>1660.1069246435845</v>
      </c>
      <c r="AC16" s="497">
        <f>IF(C16="","",IFERROR(SUMPRODUCT((終値!E18:AC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1763.237187127532</v>
      </c>
      <c r="AD16" s="498" t="str">
        <f t="shared" si="10"/>
        <v>上昇トレンド▲</v>
      </c>
      <c r="AE16" s="498" t="str">
        <f t="shared" si="11"/>
        <v>なし</v>
      </c>
      <c r="AF16" s="403" cm="1">
        <f t="array" ref="AF16">IF(C16="","",IFERROR((INDEX(終値!$E:$E,MATCH(TEXT(C16,"0"),終値!$A:$A,0))-INDEX(終値!$E:$BL,MATCH(TEXT(C16,"0"),終値!$A:$A,0),$AL$2))/INDEX(終値!$E:$BL,MATCH(TEXT(C16,"0"),終値!$A:$A,0),$AL$2)*100,""))</f>
        <v>-6.4833250373320066</v>
      </c>
      <c r="AG16" s="403" cm="1">
        <f t="array" ref="AG16">IFERROR((終値!$E$5-INDEX(終値!$E$5:$BL$5,1,$AL$2))/INDEX(終値!$E$5:$BL$5,1,$AL$2)*100,"")</f>
        <v>3.4532270246721688</v>
      </c>
      <c r="AH16" s="404">
        <f t="shared" si="13"/>
        <v>-9.936552062004175</v>
      </c>
      <c r="AI16" s="402">
        <f t="shared" si="14"/>
        <v>-2</v>
      </c>
    </row>
    <row r="17" spans="1:35" s="192" customFormat="1" ht="18" customHeight="1">
      <c r="A17" s="181" t="str">
        <f>IF(銘柄管理!B100&lt;&gt;"",HYPERLINK("https://kabutan.jp/stock/?code="&amp;銘柄管理!B100,"株探"),"")</f>
        <v>株探</v>
      </c>
      <c r="B17" s="182"/>
      <c r="C17" s="183">
        <f>IF(銘柄管理!B100="","",銘柄管理!B100)</f>
        <v>4528</v>
      </c>
      <c r="D17" s="111" t="str">
        <f>IF(銘柄管理!C100="","",銘柄管理!C100)</f>
        <v>小野薬品</v>
      </c>
      <c r="E17" s="184">
        <f>IF(C17&lt;&gt;"",_xll.RssMarket(C17,"現在値"),"")</f>
        <v>2249.5</v>
      </c>
      <c r="F17" s="184">
        <f>IF(C17&lt;&gt;"",_xll.RssMarket(C17,"始値"),"")</f>
        <v>2259</v>
      </c>
      <c r="G17" s="183">
        <f>IF(C17&lt;&gt;"",終値!F100,"")</f>
        <v>2259</v>
      </c>
      <c r="H17" s="184">
        <f>IF(C17&lt;&gt;"",_xll.RssMarket(C17,"高値"),"")</f>
        <v>2277</v>
      </c>
      <c r="I17" s="184">
        <f>IF(C17&lt;&gt;"",_xll.RssMarket(C17,"安値"),"")</f>
        <v>2240</v>
      </c>
      <c r="J17" s="184">
        <f>IF(C17&lt;&gt;"",_xll.RssMarket(C17,"出来高"),"")</f>
        <v>1121900</v>
      </c>
      <c r="K17" s="184">
        <f>IF(C17&lt;&gt;"",_xll.RssMarket(C17,"年初来高値"),"")</f>
        <v>2674.5</v>
      </c>
      <c r="L17" s="185">
        <f t="shared" si="0"/>
        <v>-15.890820714152179</v>
      </c>
      <c r="M17" s="184">
        <f>IF(C17&lt;&gt;"",IFERROR(AVERAGE(出来高!E100:I100),""),"")</f>
        <v>1609180</v>
      </c>
      <c r="N17" s="184">
        <f>IF(C17&lt;&gt;"",IFERROR(AVERAGE(出来高!E100:AC100),""),"")</f>
        <v>1963368</v>
      </c>
      <c r="O17" s="186">
        <f t="shared" si="1"/>
        <v>0.69718738736499331</v>
      </c>
      <c r="P17" s="181" t="str">
        <f t="shared" si="2"/>
        <v>減少↓</v>
      </c>
      <c r="Q17" s="181" t="str">
        <f t="shared" si="3"/>
        <v>様子見▼</v>
      </c>
      <c r="R17" s="184">
        <f t="shared" si="4"/>
        <v>2429</v>
      </c>
      <c r="S17" s="184">
        <f t="shared" si="5"/>
        <v>2160</v>
      </c>
      <c r="T17" s="181">
        <f t="shared" si="12"/>
        <v>0</v>
      </c>
      <c r="U17" s="181" t="str">
        <f t="shared" si="6"/>
        <v>除外</v>
      </c>
      <c r="V17" s="181" t="str">
        <f t="shared" si="7"/>
        <v>通常</v>
      </c>
      <c r="W17" s="187">
        <f t="array" ref="W17">IF(C17&lt;&gt;"",IFERROR(100-100/(1+SUMPRODUCT((終値!F100:R100&gt;終値!G100:S100)*( 終値!F100:R100-終値!G100:S100))/SUMPRODUCT((終値!F100:R100&lt;終値!G100:S100)*(終値!G100:S100-終値!F100:R100))),50),"")</f>
        <v>33.547794117647058</v>
      </c>
      <c r="X17" s="188">
        <f>IF(C17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-32.97659698534062</v>
      </c>
      <c r="Y17" s="1" t="str">
        <f>IF(T17="","",IF(銘柄管理!$F$5="下落▼",IF(AND(AD17="パーフェクト▲",OR(AE17="25日線押し目●",AE17="5日線押し目○")),"★逆張り候補",IF(AND(AD17="上昇トレンド▲",OR(AE17="25日線押し目●",AE17="5日線押し目○")),"○逆張り候補",IF(W17&lt;=30,IF(Z17&gt;0,"◎反発確認",IF(Z17&lt;-5,"△要注意・様子見","△売られ過ぎ注目")),"相場下落・見送り"))),IF(AND(T17&gt;=12,AD17="パーフェクト▲"),"★強い買い",IF(AND(T17&gt;=12,AD17="上昇トレンド▲"),"★強い買い",IF(AND(T17&gt;=8,OR(AE17="25日線押し目●",AE17="5日線押し目○")),"◎押し目買い",IF(T17&gt;=10,"○買い候補",IF(T17&gt;=6,"△注目",IF(T17&gt;=3,"様子見","見送り"))))))))</f>
        <v>見送り</v>
      </c>
      <c r="Z17" s="189">
        <f t="shared" si="8"/>
        <v>-0.42054006197432497</v>
      </c>
      <c r="AA17" s="181" t="str">
        <f t="shared" si="9"/>
        <v>下落▼</v>
      </c>
      <c r="AB17" s="499">
        <f>IF(C17="","",IFERROR(((終値!E19*0.333)+(終値!F19*0.222)+(終値!G19*0.148)+(終値!H19*0.099)+(終値!I19*0.066)+(終値!J19*0.044)+(終値!K19*0.029)+(終値!L19*0.019)+(終値!M19*0.013)+(終値!N19*0.009))/(0.333+0.222+0.148+0.099+0.066+0.044+0.029+0.019+0.013+0.009),""))</f>
        <v>7748.4684317718929</v>
      </c>
      <c r="AC17" s="499">
        <f>IF(C17="","",IFERROR(SUMPRODUCT((終値!E19:AC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7456.8009535160891</v>
      </c>
      <c r="AD17" s="500" t="str">
        <f t="shared" si="10"/>
        <v>もみ合い→</v>
      </c>
      <c r="AE17" s="500" t="str">
        <f t="shared" si="11"/>
        <v>なし</v>
      </c>
      <c r="AF17" s="403" cm="1">
        <f t="array" ref="AF17">IF(C17="","",IFERROR((INDEX(終値!$E:$E,MATCH(TEXT(C17,"0"),終値!$A:$A,0))-INDEX(終値!$E:$BL,MATCH(TEXT(C17,"0"),終値!$A:$A,0),$AL$2))/INDEX(終値!$E:$BL,MATCH(TEXT(C17,"0"),終値!$A:$A,0),$AL$2)*100,""))</f>
        <v>-12.589858169807655</v>
      </c>
      <c r="AG17" s="403" cm="1">
        <f t="array" ref="AG17">IFERROR((終値!$E$5-INDEX(終値!$E$5:$BL$5,1,$AL$2))/INDEX(終値!$E$5:$BL$5,1,$AL$2)*100,"")</f>
        <v>3.4532270246721688</v>
      </c>
      <c r="AH17" s="404">
        <f t="shared" si="13"/>
        <v>-16.043085194479826</v>
      </c>
      <c r="AI17" s="402">
        <f t="shared" si="14"/>
        <v>-2</v>
      </c>
    </row>
    <row r="18" spans="1:35" s="192" customFormat="1" ht="18" customHeight="1">
      <c r="A18" s="181" t="str">
        <f>IF(銘柄管理!B107&lt;&gt;"",HYPERLINK("https://kabutan.jp/stock/?code="&amp;銘柄管理!B107,"株探"),"")</f>
        <v>株探</v>
      </c>
      <c r="B18" s="182"/>
      <c r="C18" s="183">
        <f>IF(銘柄管理!B107="","",銘柄管理!B107)</f>
        <v>7729</v>
      </c>
      <c r="D18" s="111" t="str">
        <f>IF(銘柄管理!C107="","",銘柄管理!C107)</f>
        <v>東京精密</v>
      </c>
      <c r="E18" s="184">
        <f>IF(C18&lt;&gt;"",_xll.RssMarket(C18,"現在値"),"")</f>
        <v>19255</v>
      </c>
      <c r="F18" s="184">
        <f>IF(C18&lt;&gt;"",_xll.RssMarket(C18,"始値"),"")</f>
        <v>18490</v>
      </c>
      <c r="G18" s="183">
        <f>IF(C18&lt;&gt;"",終値!F107,"")</f>
        <v>19190</v>
      </c>
      <c r="H18" s="184">
        <f>IF(C18&lt;&gt;"",_xll.RssMarket(C18,"高値"),"")</f>
        <v>19530</v>
      </c>
      <c r="I18" s="184">
        <f>IF(C18&lt;&gt;"",_xll.RssMarket(C18,"安値"),"")</f>
        <v>18485</v>
      </c>
      <c r="J18" s="184">
        <f>IF(C18&lt;&gt;"",_xll.RssMarket(C18,"出来高"),"")</f>
        <v>346200</v>
      </c>
      <c r="K18" s="184">
        <f>IF(C18&lt;&gt;"",_xll.RssMarket(C18,"年初来高値"),"")</f>
        <v>19880</v>
      </c>
      <c r="L18" s="185">
        <f t="shared" si="0"/>
        <v>-3.1438631790744465</v>
      </c>
      <c r="M18" s="184">
        <f>IF(C18&lt;&gt;"",IFERROR(AVERAGE(出来高!E107:I107),""),"")</f>
        <v>471860</v>
      </c>
      <c r="N18" s="184">
        <f>IF(C18&lt;&gt;"",IFERROR(AVERAGE(出来高!E107:AC107),""),"")</f>
        <v>455092</v>
      </c>
      <c r="O18" s="186">
        <f t="shared" si="1"/>
        <v>0.73369219683804521</v>
      </c>
      <c r="P18" s="181" t="str">
        <f t="shared" si="2"/>
        <v>減少↓</v>
      </c>
      <c r="Q18" s="181" t="str">
        <f t="shared" si="3"/>
        <v>中立→</v>
      </c>
      <c r="R18" s="184">
        <f t="shared" si="4"/>
        <v>20795</v>
      </c>
      <c r="S18" s="184">
        <f t="shared" si="5"/>
        <v>18485</v>
      </c>
      <c r="T18" s="181">
        <f t="shared" si="12"/>
        <v>9</v>
      </c>
      <c r="U18" s="181" t="str">
        <f t="shared" si="6"/>
        <v>要確認</v>
      </c>
      <c r="V18" s="181" t="str">
        <f t="shared" si="7"/>
        <v>高値圏</v>
      </c>
      <c r="W18" s="187">
        <f t="array" ref="W18">IF(C18&lt;&gt;"",IFERROR(100-100/(1+SUMPRODUCT((終値!F107:R107&gt;終値!G107:S107)*( 終値!F107:R107-終値!G107:S107))/SUMPRODUCT((終値!F107:R107&lt;終値!G107:S107)*(終値!G107:S107-終値!F107:R107))),50),"")</f>
        <v>55.777166437414024</v>
      </c>
      <c r="X18" s="188">
        <f>IF(C18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156.40830046291376</v>
      </c>
      <c r="Y18" s="1" t="str">
        <f>IF(T18="","",IF(銘柄管理!$F$5="下落▼",IF(AND(AD18="パーフェクト▲",OR(AE18="25日線押し目●",AE18="5日線押し目○")),"★逆張り候補",IF(AND(AD18="上昇トレンド▲",OR(AE18="25日線押し目●",AE18="5日線押し目○")),"○逆張り候補",IF(W18&lt;=30,IF(Z18&gt;0,"◎反発確認",IF(Z18&lt;-5,"△要注意・様子見","△売られ過ぎ注目")),"相場下落・見送り"))),IF(AND(T18&gt;=12,AD18="パーフェクト▲"),"★強い買い",IF(AND(T18&gt;=12,AD18="上昇トレンド▲"),"★強い買い",IF(AND(T18&gt;=8,OR(AE18="25日線押し目●",AE18="5日線押し目○")),"◎押し目買い",IF(T18&gt;=10,"○買い候補",IF(T18&gt;=6,"△注目",IF(T18&gt;=3,"様子見","見送り"))))))))</f>
        <v>△注目</v>
      </c>
      <c r="Z18" s="189">
        <f t="shared" si="8"/>
        <v>0.33871808233454925</v>
      </c>
      <c r="AA18" s="181" t="str">
        <f t="shared" si="9"/>
        <v>上昇▲</v>
      </c>
      <c r="AB18" s="497">
        <f>IF(C18="","",IFERROR(((終値!E20*0.333)+(終値!F20*0.222)+(終値!G20*0.148)+(終値!H20*0.099)+(終値!I20*0.066)+(終値!J20*0.044)+(終値!K20*0.029)+(終値!L20*0.019)+(終値!M20*0.013)+(終値!N20*0.009))/(0.333+0.222+0.148+0.099+0.066+0.044+0.029+0.019+0.013+0.009),""))</f>
        <v>2232.7219959266795</v>
      </c>
      <c r="AC18" s="497">
        <f>IF(C18="","",IFERROR(SUMPRODUCT((終値!E20:AC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2241.8176400476755</v>
      </c>
      <c r="AD18" s="498" t="str">
        <f t="shared" si="10"/>
        <v>上昇トレンド▲</v>
      </c>
      <c r="AE18" s="498" t="str">
        <f t="shared" si="11"/>
        <v>なし</v>
      </c>
      <c r="AF18" s="403" cm="1">
        <f t="array" ref="AF18">IF(C18="","",IFERROR((INDEX(終値!$E:$E,MATCH(TEXT(C18,"0"),終値!$A:$A,0))-INDEX(終値!$E:$BL,MATCH(TEXT(C18,"0"),終値!$A:$A,0),$AL$2))/INDEX(終値!$E:$BL,MATCH(TEXT(C18,"0"),終値!$A:$A,0),$AL$2)*100,""))</f>
        <v>8.3872783563186051</v>
      </c>
      <c r="AG18" s="403" cm="1">
        <f t="array" ref="AG18">IFERROR((終値!$E$5-INDEX(終値!$E$5:$BL$5,1,$AL$2))/INDEX(終値!$E$5:$BL$5,1,$AL$2)*100,"")</f>
        <v>3.4532270246721688</v>
      </c>
      <c r="AH18" s="404">
        <f t="shared" si="13"/>
        <v>4.9340513316464367</v>
      </c>
      <c r="AI18" s="402">
        <f t="shared" si="14"/>
        <v>1</v>
      </c>
    </row>
    <row r="19" spans="1:35" s="192" customFormat="1" ht="18" customHeight="1">
      <c r="A19" s="181" t="str">
        <f>IF(銘柄管理!B164&lt;&gt;"",HYPERLINK("https://kabutan.jp/stock/?code="&amp;銘柄管理!B164,"株探"),"")</f>
        <v>株探</v>
      </c>
      <c r="B19" s="182"/>
      <c r="C19" s="183">
        <f>IF(銘柄管理!B164="","",銘柄管理!B164)</f>
        <v>8704</v>
      </c>
      <c r="D19" s="111" t="str">
        <f>IF(銘柄管理!C164="","",銘柄管理!C164)</f>
        <v>トレイダーズＨＬＤＧＳ</v>
      </c>
      <c r="E19" s="184">
        <f>IF(C19&lt;&gt;"",_xll.RssMarket(C19,"現在値"),"")</f>
        <v>1157</v>
      </c>
      <c r="F19" s="184">
        <f>IF(C19&lt;&gt;"",_xll.RssMarket(C19,"始値"),"")</f>
        <v>1146</v>
      </c>
      <c r="G19" s="183">
        <f>IF(C19&lt;&gt;"",終値!F164,"")</f>
        <v>1153</v>
      </c>
      <c r="H19" s="184">
        <f>IF(C19&lt;&gt;"",_xll.RssMarket(C19,"高値"),"")</f>
        <v>1175</v>
      </c>
      <c r="I19" s="184">
        <f>IF(C19&lt;&gt;"",_xll.RssMarket(C19,"安値"),"")</f>
        <v>1145</v>
      </c>
      <c r="J19" s="184">
        <f>IF(C19&lt;&gt;"",_xll.RssMarket(C19,"出来高"),"")</f>
        <v>87800</v>
      </c>
      <c r="K19" s="184">
        <f>IF(C19&lt;&gt;"",_xll.RssMarket(C19,"年初来高値"),"")</f>
        <v>1243</v>
      </c>
      <c r="L19" s="185">
        <f t="shared" si="0"/>
        <v>-6.9187449718423171</v>
      </c>
      <c r="M19" s="184">
        <f>IF(C19&lt;&gt;"",IFERROR(AVERAGE(出来高!E164:I164),""),"")</f>
        <v>106740</v>
      </c>
      <c r="N19" s="184">
        <f>IF(C19&lt;&gt;"",IFERROR(AVERAGE(出来高!E164:AC164),""),"")</f>
        <v>108716</v>
      </c>
      <c r="O19" s="186">
        <f t="shared" si="1"/>
        <v>0.82255949035038411</v>
      </c>
      <c r="P19" s="181" t="str">
        <f t="shared" si="2"/>
        <v>減少↓</v>
      </c>
      <c r="Q19" s="181" t="str">
        <f t="shared" si="3"/>
        <v>中立→</v>
      </c>
      <c r="R19" s="184">
        <f t="shared" si="4"/>
        <v>1250</v>
      </c>
      <c r="S19" s="184">
        <f t="shared" si="5"/>
        <v>1111</v>
      </c>
      <c r="T19" s="181">
        <f t="shared" si="12"/>
        <v>0</v>
      </c>
      <c r="U19" s="181" t="str">
        <f t="shared" si="6"/>
        <v>除外</v>
      </c>
      <c r="V19" s="181" t="str">
        <f t="shared" si="7"/>
        <v>通常</v>
      </c>
      <c r="W19" s="187">
        <f t="array" ref="W19">IF(C19&lt;&gt;"",IFERROR(100-100/(1+SUMPRODUCT((終値!F164:R164&gt;終値!G164:S164)*( 終値!F164:R164-終値!G164:S164))/SUMPRODUCT((終値!F164:R164&lt;終値!G164:S164)*(終値!G164:S164-終値!F164:R164))),50),"")</f>
        <v>53.135313531353134</v>
      </c>
      <c r="X19" s="188">
        <f>IF(C19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-1.690127726984656</v>
      </c>
      <c r="Y19" s="1" t="str">
        <f>IF(T19="","",IF(銘柄管理!$F$5="下落▼",IF(AND(AD19="パーフェクト▲",OR(AE19="25日線押し目●",AE19="5日線押し目○")),"★逆張り候補",IF(AND(AD19="上昇トレンド▲",OR(AE19="25日線押し目●",AE19="5日線押し目○")),"○逆張り候補",IF(W19&lt;=30,IF(Z19&gt;0,"◎反発確認",IF(Z19&lt;-5,"△要注意・様子見","△売られ過ぎ注目")),"相場下落・見送り"))),IF(AND(T19&gt;=12,AD19="パーフェクト▲"),"★強い買い",IF(AND(T19&gt;=12,AD19="上昇トレンド▲"),"★強い買い",IF(AND(T19&gt;=8,OR(AE19="25日線押し目●",AE19="5日線押し目○")),"◎押し目買い",IF(T19&gt;=10,"○買い候補",IF(T19&gt;=6,"△注目",IF(T19&gt;=3,"様子見","見送り"))))))))</f>
        <v>見送り</v>
      </c>
      <c r="Z19" s="189">
        <f t="shared" si="8"/>
        <v>0.3469210754553339</v>
      </c>
      <c r="AA19" s="181" t="str">
        <f t="shared" si="9"/>
        <v>上昇▲</v>
      </c>
      <c r="AB19" s="499">
        <f>IF(C19="","",IFERROR(((終値!E21*0.333)+(終値!F21*0.222)+(終値!G21*0.148)+(終値!H21*0.099)+(終値!I21*0.066)+(終値!J21*0.044)+(終値!K21*0.029)+(終値!L21*0.019)+(終値!M21*0.013)+(終値!N21*0.009))/(0.333+0.222+0.148+0.099+0.066+0.044+0.029+0.019+0.013+0.009),""))</f>
        <v>7974.1323828920558</v>
      </c>
      <c r="AC19" s="499">
        <f>IF(C19="","",IFERROR(SUMPRODUCT((終値!E21:AC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7578.6221692491035</v>
      </c>
      <c r="AD19" s="500" t="str">
        <f t="shared" si="10"/>
        <v>もみ合い→</v>
      </c>
      <c r="AE19" s="500" t="str">
        <f t="shared" si="11"/>
        <v>なし</v>
      </c>
      <c r="AF19" s="403" cm="1">
        <f t="array" ref="AF19">IF(C19="","",IFERROR((INDEX(終値!$E:$E,MATCH(TEXT(C19,"0"),終値!$A:$A,0))-INDEX(終値!$E:$BL,MATCH(TEXT(C19,"0"),終値!$A:$A,0),$AL$2))/INDEX(終値!$E:$BL,MATCH(TEXT(C19,"0"),終値!$A:$A,0),$AL$2)*100,""))</f>
        <v>-4.9301561216105174</v>
      </c>
      <c r="AG19" s="403" cm="1">
        <f t="array" ref="AG19">IFERROR((終値!$E$5-INDEX(終値!$E$5:$BL$5,1,$AL$2))/INDEX(終値!$E$5:$BL$5,1,$AL$2)*100,"")</f>
        <v>3.4532270246721688</v>
      </c>
      <c r="AH19" s="404">
        <f t="shared" si="13"/>
        <v>-8.3833831462826858</v>
      </c>
      <c r="AI19" s="402">
        <f t="shared" si="14"/>
        <v>-2</v>
      </c>
    </row>
    <row r="20" spans="1:35" s="192" customFormat="1" ht="18" customHeight="1">
      <c r="A20" s="181" t="str">
        <f>IF(銘柄管理!B201&lt;&gt;"",HYPERLINK("https://kabutan.jp/stock/?code="&amp;銘柄管理!B201,"株探"),"")</f>
        <v>株探</v>
      </c>
      <c r="B20" s="182"/>
      <c r="C20" s="183">
        <f>IF(銘柄管理!B201="","",銘柄管理!B201)</f>
        <v>6506</v>
      </c>
      <c r="D20" s="111" t="str">
        <f>IF(銘柄管理!C201="","",銘柄管理!C201)</f>
        <v>安川電機</v>
      </c>
      <c r="E20" s="184">
        <f>IF(C20&lt;&gt;"",_xll.RssMarket(C20,"現在値"),"")</f>
        <v>7046</v>
      </c>
      <c r="F20" s="184">
        <f>IF(C20&lt;&gt;"",_xll.RssMarket(C20,"始値"),"")</f>
        <v>6745</v>
      </c>
      <c r="G20" s="183">
        <f>IF(C20&lt;&gt;"",終値!F201,"")</f>
        <v>6845</v>
      </c>
      <c r="H20" s="184">
        <f>IF(C20&lt;&gt;"",_xll.RssMarket(C20,"高値"),"")</f>
        <v>7060</v>
      </c>
      <c r="I20" s="184">
        <f>IF(C20&lt;&gt;"",_xll.RssMarket(C20,"安値"),"")</f>
        <v>6718</v>
      </c>
      <c r="J20" s="184">
        <f>IF(C20&lt;&gt;"",_xll.RssMarket(C20,"出来高"),"")</f>
        <v>3737200</v>
      </c>
      <c r="K20" s="184">
        <f>IF(C20&lt;&gt;"",_xll.RssMarket(C20,"年初来高値"),"")</f>
        <v>7700</v>
      </c>
      <c r="L20" s="185">
        <f t="shared" si="0"/>
        <v>-8.4935064935064926</v>
      </c>
      <c r="M20" s="184">
        <f>IF(C20&lt;&gt;"",IFERROR(AVERAGE(出来高!E201:I201),""),"")</f>
        <v>4771340</v>
      </c>
      <c r="N20" s="184">
        <f>IF(C20&lt;&gt;"",IFERROR(AVERAGE(出来高!E201:AC201),""),"")</f>
        <v>5469532</v>
      </c>
      <c r="O20" s="186">
        <f t="shared" si="1"/>
        <v>0.78326004853982323</v>
      </c>
      <c r="P20" s="181" t="str">
        <f t="shared" si="2"/>
        <v>減少↓</v>
      </c>
      <c r="Q20" s="181" t="str">
        <f t="shared" si="3"/>
        <v>中立→</v>
      </c>
      <c r="R20" s="184">
        <f t="shared" si="4"/>
        <v>7610</v>
      </c>
      <c r="S20" s="184">
        <f t="shared" si="5"/>
        <v>6764</v>
      </c>
      <c r="T20" s="181">
        <f t="shared" si="12"/>
        <v>4</v>
      </c>
      <c r="U20" s="181" t="str">
        <f t="shared" si="6"/>
        <v>要確認</v>
      </c>
      <c r="V20" s="181" t="str">
        <f t="shared" si="7"/>
        <v>通常</v>
      </c>
      <c r="W20" s="187">
        <f t="array" ref="W20">IF(C20&lt;&gt;"",IFERROR(100-100/(1+SUMPRODUCT((終値!F201:R201&gt;終値!G201:S201)*( 終値!F201:R201-終値!G201:S201))/SUMPRODUCT((終値!F201:R201&lt;終値!G201:S201)*(終値!G201:S201-終値!F201:R201))),50),"")</f>
        <v>41.196013289036543</v>
      </c>
      <c r="X20" s="188">
        <f>IF(C20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-42.447333017560595</v>
      </c>
      <c r="Y20" s="1" t="str">
        <f>IF(T20="","",IF(銘柄管理!$F$5="下落▼",IF(AND(AD20="パーフェクト▲",OR(AE20="25日線押し目●",AE20="5日線押し目○")),"★逆張り候補",IF(AND(AD20="上昇トレンド▲",OR(AE20="25日線押し目●",AE20="5日線押し目○")),"○逆張り候補",IF(W20&lt;=30,IF(Z20&gt;0,"◎反発確認",IF(Z20&lt;-5,"△要注意・様子見","△売られ過ぎ注目")),"相場下落・見送り"))),IF(AND(T20&gt;=12,AD20="パーフェクト▲"),"★強い買い",IF(AND(T20&gt;=12,AD20="上昇トレンド▲"),"★強い買い",IF(AND(T20&gt;=8,OR(AE20="25日線押し目●",AE20="5日線押し目○")),"◎押し目買い",IF(T20&gt;=10,"○買い候補",IF(T20&gt;=6,"△注目",IF(T20&gt;=3,"様子見","見送り"))))))))</f>
        <v>様子見</v>
      </c>
      <c r="Z20" s="189">
        <f t="shared" si="8"/>
        <v>2.9364499634769907</v>
      </c>
      <c r="AA20" s="181" t="str">
        <f t="shared" si="9"/>
        <v>上昇▲</v>
      </c>
      <c r="AB20" s="497">
        <f>IF(C20="","",IFERROR(((終値!E22*0.333)+(終値!F22*0.222)+(終値!G22*0.148)+(終値!H22*0.099)+(終値!I22*0.066)+(終値!J22*0.044)+(終値!K22*0.029)+(終値!L22*0.019)+(終値!M22*0.013)+(終値!N22*0.009))/(0.333+0.222+0.148+0.099+0.066+0.044+0.029+0.019+0.013+0.009),""))</f>
        <v>4552.6079429735237</v>
      </c>
      <c r="AC20" s="497">
        <f>IF(C20="","",IFERROR(SUMPRODUCT((終値!E22:AC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4418.7902264600698</v>
      </c>
      <c r="AD20" s="498" t="str">
        <f t="shared" si="10"/>
        <v>パーフェクト▲</v>
      </c>
      <c r="AE20" s="498" t="str">
        <f t="shared" si="11"/>
        <v>なし</v>
      </c>
      <c r="AF20" s="403" cm="1">
        <f t="array" ref="AF20">IF(C20="","",IFERROR((INDEX(終値!$E:$E,MATCH(TEXT(C20,"0"),終値!$A:$A,0))-INDEX(終値!$E:$BL,MATCH(TEXT(C20,"0"),終値!$A:$A,0),$AL$2))/INDEX(終値!$E:$BL,MATCH(TEXT(C20,"0"),終値!$A:$A,0),$AL$2)*100,""))</f>
        <v>0.57093919497573509</v>
      </c>
      <c r="AG20" s="403" cm="1">
        <f t="array" ref="AG20">IFERROR((終値!$E$5-INDEX(終値!$E$5:$BL$5,1,$AL$2))/INDEX(終値!$E$5:$BL$5,1,$AL$2)*100,"")</f>
        <v>3.4532270246721688</v>
      </c>
      <c r="AH20" s="404">
        <f t="shared" si="13"/>
        <v>-2.8822878296964336</v>
      </c>
      <c r="AI20" s="402">
        <f t="shared" si="14"/>
        <v>-1</v>
      </c>
    </row>
    <row r="21" spans="1:35" s="192" customFormat="1" ht="18" customHeight="1">
      <c r="A21" s="181" t="str">
        <f>IF(銘柄管理!B32&lt;&gt;"",HYPERLINK("https://kabutan.jp/stock/?code="&amp;銘柄管理!B32,"株探"),"")</f>
        <v>株探</v>
      </c>
      <c r="B21" s="182"/>
      <c r="C21" s="183">
        <f>IF(銘柄管理!B32="","",銘柄管理!B32)</f>
        <v>3863</v>
      </c>
      <c r="D21" s="111" t="str">
        <f>IF(銘柄管理!C32="","",銘柄管理!C32)</f>
        <v>日本製紙</v>
      </c>
      <c r="E21" s="184">
        <f>IF(C21&lt;&gt;"",_xll.RssMarket(C21,"現在値"),"")</f>
        <v>1242</v>
      </c>
      <c r="F21" s="184">
        <f>IF(C21&lt;&gt;"",_xll.RssMarket(C21,"始値"),"")</f>
        <v>1245</v>
      </c>
      <c r="G21" s="183">
        <f>IF(C21&lt;&gt;"",終値!F32,"")</f>
        <v>1231</v>
      </c>
      <c r="H21" s="184">
        <f>IF(C21&lt;&gt;"",_xll.RssMarket(C21,"高値"),"")</f>
        <v>1259</v>
      </c>
      <c r="I21" s="184">
        <f>IF(C21&lt;&gt;"",_xll.RssMarket(C21,"安値"),"")</f>
        <v>1241</v>
      </c>
      <c r="J21" s="184">
        <f>IF(C21&lt;&gt;"",_xll.RssMarket(C21,"出来高"),"")</f>
        <v>606200</v>
      </c>
      <c r="K21" s="184">
        <f>IF(C21&lt;&gt;"",_xll.RssMarket(C21,"年初来高値"),"")</f>
        <v>1612</v>
      </c>
      <c r="L21" s="185">
        <f t="shared" si="0"/>
        <v>-22.95285359801489</v>
      </c>
      <c r="M21" s="184">
        <f>IF(C21&lt;&gt;"",IFERROR(AVERAGE(出来高!E32:I32),""),"")</f>
        <v>768880</v>
      </c>
      <c r="N21" s="184">
        <f>IF(C21&lt;&gt;"",IFERROR(AVERAGE(出来高!E32:AC32),""),"")</f>
        <v>1345600</v>
      </c>
      <c r="O21" s="186">
        <f t="shared" si="1"/>
        <v>0.78841951930080112</v>
      </c>
      <c r="P21" s="181" t="str">
        <f t="shared" si="2"/>
        <v>減少↓</v>
      </c>
      <c r="Q21" s="181" t="str">
        <f t="shared" si="3"/>
        <v>中立→</v>
      </c>
      <c r="R21" s="184">
        <f t="shared" si="4"/>
        <v>1341</v>
      </c>
      <c r="S21" s="184">
        <f t="shared" si="5"/>
        <v>1192</v>
      </c>
      <c r="T21" s="181">
        <f t="shared" si="12"/>
        <v>1</v>
      </c>
      <c r="U21" s="181" t="str">
        <f t="shared" si="6"/>
        <v>除外</v>
      </c>
      <c r="V21" s="181" t="str">
        <f t="shared" si="7"/>
        <v>通常</v>
      </c>
      <c r="W21" s="187">
        <f t="array" ref="W21">IF(C21&lt;&gt;"",IFERROR(100-100/(1+SUMPRODUCT((終値!F32:R32&gt;終値!G32:S32)*( 終値!F32:R32-終値!G32:S32))/SUMPRODUCT((終値!F32:R32&lt;終値!G32:S32)*(終値!G32:S32-終値!F32:R32))),50),"")</f>
        <v>30.630630630630634</v>
      </c>
      <c r="X21" s="188">
        <f>IF(C21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-27.691916860041374</v>
      </c>
      <c r="Y21" s="1" t="str">
        <f>IF(T21="","",IF(銘柄管理!$F$5="下落▼",IF(AND(AD21="パーフェクト▲",OR(AE21="25日線押し目●",AE21="5日線押し目○")),"★逆張り候補",IF(AND(AD21="上昇トレンド▲",OR(AE21="25日線押し目●",AE21="5日線押し目○")),"○逆張り候補",IF(W21&lt;=30,IF(Z21&gt;0,"◎反発確認",IF(Z21&lt;-5,"△要注意・様子見","△売られ過ぎ注目")),"相場下落・見送り"))),IF(AND(T21&gt;=12,AD21="パーフェクト▲"),"★強い買い",IF(AND(T21&gt;=12,AD21="上昇トレンド▲"),"★強い買い",IF(AND(T21&gt;=8,OR(AE21="25日線押し目●",AE21="5日線押し目○")),"◎押し目買い",IF(T21&gt;=10,"○買い候補",IF(T21&gt;=6,"△注目",IF(T21&gt;=3,"様子見","見送り"))))))))</f>
        <v>見送り</v>
      </c>
      <c r="Z21" s="189">
        <f t="shared" si="8"/>
        <v>0.89358245329000818</v>
      </c>
      <c r="AA21" s="181" t="str">
        <f t="shared" si="9"/>
        <v>上昇▲</v>
      </c>
      <c r="AB21" s="499">
        <f>IF(C21="","",IFERROR(((終値!E23*0.333)+(終値!F23*0.222)+(終値!G23*0.148)+(終値!H23*0.099)+(終値!I23*0.066)+(終値!J23*0.044)+(終値!K23*0.029)+(終値!L23*0.019)+(終値!M23*0.013)+(終値!N23*0.009))/(0.333+0.222+0.148+0.099+0.066+0.044+0.029+0.019+0.013+0.009),""))</f>
        <v>4713.4175152749494</v>
      </c>
      <c r="AC21" s="499">
        <f>IF(C21="","",IFERROR(SUMPRODUCT((終値!E23:AC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4400.3635280095341</v>
      </c>
      <c r="AD21" s="500" t="str">
        <f t="shared" si="10"/>
        <v>もみ合い→</v>
      </c>
      <c r="AE21" s="500" t="str">
        <f t="shared" si="11"/>
        <v>なし</v>
      </c>
      <c r="AF21" s="403" cm="1">
        <f t="array" ref="AF21">IF(C21="","",IFERROR((INDEX(終値!$E:$E,MATCH(TEXT(C21,"0"),終値!$A:$A,0))-INDEX(終値!$E:$BL,MATCH(TEXT(C21,"0"),終値!$A:$A,0),$AL$2))/INDEX(終値!$E:$BL,MATCH(TEXT(C21,"0"),終値!$A:$A,0),$AL$2)*100,""))</f>
        <v>-15.853658536585366</v>
      </c>
      <c r="AG21" s="403" cm="1">
        <f t="array" ref="AG21">IFERROR((終値!$E$5-INDEX(終値!$E$5:$BL$5,1,$AL$2))/INDEX(終値!$E$5:$BL$5,1,$AL$2)*100,"")</f>
        <v>3.4532270246721688</v>
      </c>
      <c r="AH21" s="404">
        <f t="shared" si="13"/>
        <v>-19.306885561257534</v>
      </c>
      <c r="AI21" s="402">
        <f t="shared" si="14"/>
        <v>-2</v>
      </c>
    </row>
    <row r="22" spans="1:35" s="192" customFormat="1" ht="18" customHeight="1">
      <c r="A22" s="181" t="str">
        <f>IF(銘柄管理!B56&lt;&gt;"",HYPERLINK("https://kabutan.jp/stock/?code="&amp;銘柄管理!B56,"株探"),"")</f>
        <v>株探</v>
      </c>
      <c r="B22" s="182"/>
      <c r="C22" s="183">
        <f>IF(銘柄管理!B56="","",銘柄管理!B56)</f>
        <v>9412</v>
      </c>
      <c r="D22" s="111" t="str">
        <f>IF(銘柄管理!C56="","",銘柄管理!C56)</f>
        <v>スカパーＪＳＡＴ</v>
      </c>
      <c r="E22" s="184">
        <f>IF(C22&lt;&gt;"",_xll.RssMarket(C22,"現在値"),"")</f>
        <v>3355</v>
      </c>
      <c r="F22" s="184">
        <f>IF(C22&lt;&gt;"",_xll.RssMarket(C22,"始値"),"")</f>
        <v>3300</v>
      </c>
      <c r="G22" s="183">
        <f>IF(C22&lt;&gt;"",終値!F56,"")</f>
        <v>3270</v>
      </c>
      <c r="H22" s="184">
        <f>IF(C22&lt;&gt;"",_xll.RssMarket(C22,"高値"),"")</f>
        <v>3420</v>
      </c>
      <c r="I22" s="184">
        <f>IF(C22&lt;&gt;"",_xll.RssMarket(C22,"安値"),"")</f>
        <v>3295</v>
      </c>
      <c r="J22" s="184">
        <f>IF(C22&lt;&gt;"",_xll.RssMarket(C22,"出来高"),"")</f>
        <v>1970700</v>
      </c>
      <c r="K22" s="184">
        <f>IF(C22&lt;&gt;"",_xll.RssMarket(C22,"年初来高値"),"")</f>
        <v>4720</v>
      </c>
      <c r="L22" s="185">
        <f t="shared" si="0"/>
        <v>-28.91949152542373</v>
      </c>
      <c r="M22" s="184">
        <f>IF(C22&lt;&gt;"",IFERROR(AVERAGE(出来高!E56:I56),""),"")</f>
        <v>3124820</v>
      </c>
      <c r="N22" s="184">
        <f>IF(C22&lt;&gt;"",IFERROR(AVERAGE(出来高!E56:AC56),""),"")</f>
        <v>3332700</v>
      </c>
      <c r="O22" s="186">
        <f t="shared" si="1"/>
        <v>0.63066032603477962</v>
      </c>
      <c r="P22" s="181" t="str">
        <f t="shared" si="2"/>
        <v>減少↓</v>
      </c>
      <c r="Q22" s="181" t="str">
        <f t="shared" si="3"/>
        <v>中立→</v>
      </c>
      <c r="R22" s="184">
        <f t="shared" si="4"/>
        <v>3623</v>
      </c>
      <c r="S22" s="184">
        <f t="shared" si="5"/>
        <v>3221</v>
      </c>
      <c r="T22" s="181">
        <f t="shared" si="12"/>
        <v>3</v>
      </c>
      <c r="U22" s="181" t="str">
        <f t="shared" si="6"/>
        <v>要確認</v>
      </c>
      <c r="V22" s="181" t="str">
        <f t="shared" si="7"/>
        <v>通常</v>
      </c>
      <c r="W22" s="187">
        <f t="array" ref="W22">IF(C22&lt;&gt;"",IFERROR(100-100/(1+SUMPRODUCT((終値!F56:R56&gt;終値!G56:S56)*( 終値!F56:R56-終値!G56:S56))/SUMPRODUCT((終値!F56:R56&lt;終値!G56:S56)*(終値!G56:S56-終値!F56:R56))),50),"")</f>
        <v>31.25</v>
      </c>
      <c r="X22" s="188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-128.42959293740205</v>
      </c>
      <c r="Y22" s="1" t="str">
        <f>IF(T22="","",IF(銘柄管理!$F$5="下落▼",IF(AND(AD22="パーフェクト▲",OR(AE22="25日線押し目●",AE22="5日線押し目○")),"★逆張り候補",IF(AND(AD22="上昇トレンド▲",OR(AE22="25日線押し目●",AE22="5日線押し目○")),"○逆張り候補",IF(W22&lt;=30,IF(Z22&gt;0,"◎反発確認",IF(Z22&lt;-5,"△要注意・様子見","△売られ過ぎ注目")),"相場下落・見送り"))),IF(AND(T22&gt;=12,AD22="パーフェクト▲"),"★強い買い",IF(AND(T22&gt;=12,AD22="上昇トレンド▲"),"★強い買い",IF(AND(T22&gt;=8,OR(AE22="25日線押し目●",AE22="5日線押し目○")),"◎押し目買い",IF(T22&gt;=10,"○買い候補",IF(T22&gt;=6,"△注目",IF(T22&gt;=3,"様子見","見送り"))))))))</f>
        <v>様子見</v>
      </c>
      <c r="Z22" s="189">
        <f t="shared" si="8"/>
        <v>2.5993883792048931</v>
      </c>
      <c r="AA22" s="181" t="str">
        <f t="shared" si="9"/>
        <v>上昇▲</v>
      </c>
      <c r="AB22" s="497">
        <f>IF(C22="","",IFERROR(((終値!E24*0.333)+(終値!F24*0.222)+(終値!G24*0.148)+(終値!H24*0.099)+(終値!I24*0.066)+(終値!J24*0.044)+(終値!K24*0.029)+(終値!L24*0.019)+(終値!M24*0.013)+(終値!N24*0.009))/(0.333+0.222+0.148+0.099+0.066+0.044+0.029+0.019+0.013+0.009),""))</f>
        <v>1309.0544806517307</v>
      </c>
      <c r="AC22" s="497">
        <f>IF(C22="","",IFERROR(SUMPRODUCT((終値!E24:AC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1344.7485101311077</v>
      </c>
      <c r="AD22" s="498" t="str">
        <f t="shared" si="10"/>
        <v>上昇トレンド▲</v>
      </c>
      <c r="AE22" s="498" t="str">
        <f t="shared" si="11"/>
        <v>なし</v>
      </c>
      <c r="AF22" s="403" cm="1">
        <f t="array" ref="AF22">IF(C22="","",IFERROR((INDEX(終値!$E:$E,MATCH(TEXT(C22,"0"),終値!$A:$A,0))-INDEX(終値!$E:$BL,MATCH(TEXT(C22,"0"),終値!$A:$A,0),$AL$2))/INDEX(終値!$E:$BL,MATCH(TEXT(C22,"0"),終値!$A:$A,0),$AL$2)*100,""))</f>
        <v>-20.214030915576693</v>
      </c>
      <c r="AG22" s="403" cm="1">
        <f t="array" ref="AG22">IFERROR((終値!$E$5-INDEX(終値!$E$5:$BL$5,1,$AL$2))/INDEX(終値!$E$5:$BL$5,1,$AL$2)*100,"")</f>
        <v>3.4532270246721688</v>
      </c>
      <c r="AH22" s="404">
        <f t="shared" si="13"/>
        <v>-23.667257940248863</v>
      </c>
      <c r="AI22" s="402">
        <f t="shared" si="14"/>
        <v>-2</v>
      </c>
    </row>
    <row r="23" spans="1:35" s="192" customFormat="1" ht="18" customHeight="1">
      <c r="A23" s="181" t="str">
        <f>IF(銘柄管理!B76&lt;&gt;"",HYPERLINK("https://kabutan.jp/stock/?code="&amp;銘柄管理!B76,"株探"),"")</f>
        <v>株探</v>
      </c>
      <c r="B23" s="182"/>
      <c r="C23" s="183">
        <f>IF(銘柄管理!B76="","",銘柄管理!B76)</f>
        <v>2802</v>
      </c>
      <c r="D23" s="111" t="str">
        <f>IF(銘柄管理!C76="","",銘柄管理!C76)</f>
        <v>味の素</v>
      </c>
      <c r="E23" s="184">
        <f>IF(C23&lt;&gt;"",_xll.RssMarket(C23,"現在値"),"")</f>
        <v>5340</v>
      </c>
      <c r="F23" s="184">
        <f>IF(C23&lt;&gt;"",_xll.RssMarket(C23,"始値"),"")</f>
        <v>5187</v>
      </c>
      <c r="G23" s="183">
        <f>IF(C23&lt;&gt;"",終値!F76,"")</f>
        <v>5146</v>
      </c>
      <c r="H23" s="184">
        <f>IF(C23&lt;&gt;"",_xll.RssMarket(C23,"高値"),"")</f>
        <v>5350</v>
      </c>
      <c r="I23" s="184">
        <f>IF(C23&lt;&gt;"",_xll.RssMarket(C23,"安値"),"")</f>
        <v>5084</v>
      </c>
      <c r="J23" s="184">
        <f>IF(C23&lt;&gt;"",_xll.RssMarket(C23,"出来高"),"")</f>
        <v>7021300</v>
      </c>
      <c r="K23" s="184">
        <f>IF(C23&lt;&gt;"",_xll.RssMarket(C23,"年初来高値"),"")</f>
        <v>5739</v>
      </c>
      <c r="L23" s="185">
        <f t="shared" si="0"/>
        <v>-6.9524307370622056</v>
      </c>
      <c r="M23" s="184">
        <f>IF(C23&lt;&gt;"",IFERROR(AVERAGE(出来高!E76:I76),""),"")</f>
        <v>6057200</v>
      </c>
      <c r="N23" s="184">
        <f>IF(C23&lt;&gt;"",IFERROR(AVERAGE(出来高!E76:AC76),""),"")</f>
        <v>5795364</v>
      </c>
      <c r="O23" s="186">
        <f t="shared" si="1"/>
        <v>1.1591659512646106</v>
      </c>
      <c r="P23" s="181" t="str">
        <f t="shared" si="2"/>
        <v>普通→</v>
      </c>
      <c r="Q23" s="181" t="str">
        <f t="shared" si="3"/>
        <v>中立→</v>
      </c>
      <c r="R23" s="184">
        <f t="shared" si="4"/>
        <v>5767</v>
      </c>
      <c r="S23" s="184">
        <f t="shared" si="5"/>
        <v>5126</v>
      </c>
      <c r="T23" s="181">
        <f t="shared" si="12"/>
        <v>1</v>
      </c>
      <c r="U23" s="181" t="str">
        <f t="shared" si="6"/>
        <v>除外</v>
      </c>
      <c r="V23" s="181" t="str">
        <f t="shared" si="7"/>
        <v>通常</v>
      </c>
      <c r="W23" s="187">
        <f t="array" ref="W23">IF(C23&lt;&gt;"",IFERROR(100-100/(1+SUMPRODUCT((終値!F76:R76&gt;終値!G76:S76)*( 終値!F76:R76-終値!G76:S76))/SUMPRODUCT((終値!F76:R76&lt;終値!G76:S76)*(終値!G76:S76-終値!F76:R76))),50),"")</f>
        <v>40.108238123872518</v>
      </c>
      <c r="X23" s="188">
        <f>IF(C23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-23.812716178616938</v>
      </c>
      <c r="Y23" s="1" t="str">
        <f>IF(T23="","",IF(銘柄管理!$F$5="下落▼",IF(AND(AD23="パーフェクト▲",OR(AE23="25日線押し目●",AE23="5日線押し目○")),"★逆張り候補",IF(AND(AD23="上昇トレンド▲",OR(AE23="25日線押し目●",AE23="5日線押し目○")),"○逆張り候補",IF(W23&lt;=30,IF(Z23&gt;0,"◎反発確認",IF(Z23&lt;-5,"△要注意・様子見","△売られ過ぎ注目")),"相場下落・見送り"))),IF(AND(T23&gt;=12,AD23="パーフェクト▲"),"★強い買い",IF(AND(T23&gt;=12,AD23="上昇トレンド▲"),"★強い買い",IF(AND(T23&gt;=8,OR(AE23="25日線押し目●",AE23="5日線押し目○")),"◎押し目買い",IF(T23&gt;=10,"○買い候補",IF(T23&gt;=6,"△注目",IF(T23&gt;=3,"様子見","見送り"))))))))</f>
        <v>見送り</v>
      </c>
      <c r="Z23" s="189">
        <f t="shared" si="8"/>
        <v>3.7699183832102605</v>
      </c>
      <c r="AA23" s="181" t="str">
        <f t="shared" si="9"/>
        <v>上昇▲</v>
      </c>
      <c r="AB23" s="499">
        <f>IF(C23="","",IFERROR(((終値!E25*0.333)+(終値!F25*0.222)+(終値!G25*0.148)+(終値!H25*0.099)+(終値!I25*0.066)+(終値!J25*0.044)+(終値!K25*0.029)+(終値!L25*0.019)+(終値!M25*0.013)+(終値!N25*0.009))/(0.333+0.222+0.148+0.099+0.066+0.044+0.029+0.019+0.013+0.009),""))</f>
        <v>6471.7515274949074</v>
      </c>
      <c r="AC23" s="499">
        <f>IF(C23="","",IFERROR(SUMPRODUCT((終値!E25:AC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6774.2586412395685</v>
      </c>
      <c r="AD23" s="500" t="str">
        <f t="shared" si="10"/>
        <v>下降トレンド▼</v>
      </c>
      <c r="AE23" s="500" t="str">
        <f t="shared" si="11"/>
        <v>なし</v>
      </c>
      <c r="AF23" s="403" cm="1">
        <f t="array" ref="AF23">IF(C23="","",IFERROR((INDEX(終値!$E:$E,MATCH(TEXT(C23,"0"),終値!$A:$A,0))-INDEX(終値!$E:$BL,MATCH(TEXT(C23,"0"),終値!$A:$A,0),$AL$2))/INDEX(終値!$E:$BL,MATCH(TEXT(C23,"0"),終値!$A:$A,0),$AL$2)*100,""))</f>
        <v>-3.644893540238181</v>
      </c>
      <c r="AG23" s="403" cm="1">
        <f t="array" ref="AG23">IFERROR((終値!$E$5-INDEX(終値!$E$5:$BL$5,1,$AL$2))/INDEX(終値!$E$5:$BL$5,1,$AL$2)*100,"")</f>
        <v>3.4532270246721688</v>
      </c>
      <c r="AH23" s="404">
        <f t="shared" si="13"/>
        <v>-7.0981205649103494</v>
      </c>
      <c r="AI23" s="402">
        <f t="shared" si="14"/>
        <v>-2</v>
      </c>
    </row>
    <row r="24" spans="1:35" s="192" customFormat="1" ht="18" customHeight="1">
      <c r="A24" s="181" t="str">
        <f>IF(銘柄管理!B79&lt;&gt;"",HYPERLINK("https://kabutan.jp/stock/?code="&amp;銘柄管理!B79,"株探"),"")</f>
        <v>株探</v>
      </c>
      <c r="B24" s="182"/>
      <c r="C24" s="183">
        <f>IF(銘柄管理!B79="","",銘柄管理!B79)</f>
        <v>6479</v>
      </c>
      <c r="D24" s="111" t="str">
        <f>IF(銘柄管理!C79="","",銘柄管理!C79)</f>
        <v>ミネベアミツミ</v>
      </c>
      <c r="E24" s="184">
        <f>IF(C24&lt;&gt;"",_xll.RssMarket(C24,"現在値"),"")</f>
        <v>4718</v>
      </c>
      <c r="F24" s="184">
        <f>IF(C24&lt;&gt;"",_xll.RssMarket(C24,"始値"),"")</f>
        <v>4618</v>
      </c>
      <c r="G24" s="183">
        <f>IF(C24&lt;&gt;"",終値!F79,"")</f>
        <v>4618</v>
      </c>
      <c r="H24" s="184">
        <f>IF(C24&lt;&gt;"",_xll.RssMarket(C24,"高値"),"")</f>
        <v>4720</v>
      </c>
      <c r="I24" s="184">
        <f>IF(C24&lt;&gt;"",_xll.RssMarket(C24,"安値"),"")</f>
        <v>4553</v>
      </c>
      <c r="J24" s="184">
        <f>IF(C24&lt;&gt;"",_xll.RssMarket(C24,"出来高"),"")</f>
        <v>3190800</v>
      </c>
      <c r="K24" s="184">
        <f>IF(C24&lt;&gt;"",_xll.RssMarket(C24,"年初来高値"),"")</f>
        <v>5088</v>
      </c>
      <c r="L24" s="185">
        <f t="shared" si="0"/>
        <v>-7.2720125786163523</v>
      </c>
      <c r="M24" s="184">
        <f>IF(C24&lt;&gt;"",IFERROR(AVERAGE(出来高!E79:I79),""),"")</f>
        <v>3715140</v>
      </c>
      <c r="N24" s="184">
        <f>IF(C24&lt;&gt;"",IFERROR(AVERAGE(出来高!E79:AC79),""),"")</f>
        <v>3380556</v>
      </c>
      <c r="O24" s="186">
        <f t="shared" si="1"/>
        <v>0.85886399974159788</v>
      </c>
      <c r="P24" s="181" t="str">
        <f t="shared" si="2"/>
        <v>減少↓</v>
      </c>
      <c r="Q24" s="181" t="str">
        <f t="shared" si="3"/>
        <v>中立→</v>
      </c>
      <c r="R24" s="184">
        <f t="shared" si="4"/>
        <v>5095</v>
      </c>
      <c r="S24" s="184">
        <f t="shared" si="5"/>
        <v>4529</v>
      </c>
      <c r="T24" s="181">
        <f t="shared" si="12"/>
        <v>6</v>
      </c>
      <c r="U24" s="181" t="str">
        <f t="shared" si="6"/>
        <v>要確認</v>
      </c>
      <c r="V24" s="181" t="str">
        <f t="shared" si="7"/>
        <v>通常</v>
      </c>
      <c r="W24" s="187">
        <f t="array" ref="W24">IF(C24&lt;&gt;"",IFERROR(100-100/(1+SUMPRODUCT((終値!F79:R79&gt;終値!G79:S79)*( 終値!F79:R79-終値!G79:S79))/SUMPRODUCT((終値!F79:R79&lt;終値!G79:S79)*(終値!G79:S79-終値!F79:R79))),50),"")</f>
        <v>59.870711089010442</v>
      </c>
      <c r="X24" s="188">
        <f>IF(C24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92.931185046909377</v>
      </c>
      <c r="Y24" s="1" t="str">
        <f>IF(T24="","",IF(銘柄管理!$F$5="下落▼",IF(AND(AD24="パーフェクト▲",OR(AE24="25日線押し目●",AE24="5日線押し目○")),"★逆張り候補",IF(AND(AD24="上昇トレンド▲",OR(AE24="25日線押し目●",AE24="5日線押し目○")),"○逆張り候補",IF(W24&lt;=30,IF(Z24&gt;0,"◎反発確認",IF(Z24&lt;-5,"△要注意・様子見","△売られ過ぎ注目")),"相場下落・見送り"))),IF(AND(T24&gt;=12,AD24="パーフェクト▲"),"★強い買い",IF(AND(T24&gt;=12,AD24="上昇トレンド▲"),"★強い買い",IF(AND(T24&gt;=8,OR(AE24="25日線押し目●",AE24="5日線押し目○")),"◎押し目買い",IF(T24&gt;=10,"○買い候補",IF(T24&gt;=6,"△注目",IF(T24&gt;=3,"様子見","見送り"))))))))</f>
        <v>△注目</v>
      </c>
      <c r="Z24" s="189">
        <f t="shared" si="8"/>
        <v>2.1654395842355996</v>
      </c>
      <c r="AA24" s="181" t="str">
        <f t="shared" si="9"/>
        <v>上昇▲</v>
      </c>
      <c r="AB24" s="497">
        <f>IF(C24="","",IFERROR(((終値!E26*0.333)+(終値!F26*0.222)+(終値!G26*0.148)+(終値!H26*0.099)+(終値!I26*0.066)+(終値!J26*0.044)+(終値!K26*0.029)+(終値!L26*0.019)+(終値!M26*0.013)+(終値!N26*0.009))/(0.333+0.222+0.148+0.099+0.066+0.044+0.029+0.019+0.013+0.009),""))</f>
        <v>6231.7077393075324</v>
      </c>
      <c r="AC24" s="497">
        <f>IF(C24="","",IFERROR(SUMPRODUCT((終値!E26:AC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6155.030989272942</v>
      </c>
      <c r="AD24" s="498" t="str">
        <f t="shared" si="10"/>
        <v>もみ合い→</v>
      </c>
      <c r="AE24" s="498" t="str">
        <f t="shared" si="11"/>
        <v>なし</v>
      </c>
      <c r="AF24" s="403" cm="1">
        <f t="array" ref="AF24">IF(C24="","",IFERROR((INDEX(終値!$E:$E,MATCH(TEXT(C24,"0"),終値!$A:$A,0))-INDEX(終値!$E:$BL,MATCH(TEXT(C24,"0"),終値!$A:$A,0),$AL$2))/INDEX(終値!$E:$BL,MATCH(TEXT(C24,"0"),終値!$A:$A,0),$AL$2)*100,""))</f>
        <v>18.60231271995978</v>
      </c>
      <c r="AG24" s="403" cm="1">
        <f t="array" ref="AG24">IFERROR((終値!$E$5-INDEX(終値!$E$5:$BL$5,1,$AL$2))/INDEX(終値!$E$5:$BL$5,1,$AL$2)*100,"")</f>
        <v>3.4532270246721688</v>
      </c>
      <c r="AH24" s="404">
        <f t="shared" si="13"/>
        <v>15.149085695287612</v>
      </c>
      <c r="AI24" s="402">
        <f t="shared" si="14"/>
        <v>3</v>
      </c>
    </row>
    <row r="25" spans="1:35" s="192" customFormat="1" ht="18" customHeight="1">
      <c r="A25" s="181" t="str">
        <f>IF(銘柄管理!B92&lt;&gt;"",HYPERLINK("https://kabutan.jp/stock/?code="&amp;銘柄管理!B92,"株探"),"")</f>
        <v>株探</v>
      </c>
      <c r="B25" s="182"/>
      <c r="C25" s="183">
        <f>IF(銘柄管理!B92="","",銘柄管理!B92)</f>
        <v>6134</v>
      </c>
      <c r="D25" s="111" t="str">
        <f>IF(銘柄管理!C92="","",銘柄管理!C92)</f>
        <v>ＦＵＪＩ</v>
      </c>
      <c r="E25" s="184">
        <f>IF(C25&lt;&gt;"",_xll.RssMarket(C25,"現在値"),"")</f>
        <v>8323</v>
      </c>
      <c r="F25" s="184">
        <f>IF(C25&lt;&gt;"",_xll.RssMarket(C25,"始値"),"")</f>
        <v>8217</v>
      </c>
      <c r="G25" s="183">
        <f>IF(C25&lt;&gt;"",終値!F92,"")</f>
        <v>8239</v>
      </c>
      <c r="H25" s="184">
        <f>IF(C25&lt;&gt;"",_xll.RssMarket(C25,"高値"),"")</f>
        <v>8377</v>
      </c>
      <c r="I25" s="184">
        <f>IF(C25&lt;&gt;"",_xll.RssMarket(C25,"安値"),"")</f>
        <v>8162</v>
      </c>
      <c r="J25" s="184">
        <f>IF(C25&lt;&gt;"",_xll.RssMarket(C25,"出来高"),"")</f>
        <v>460000</v>
      </c>
      <c r="K25" s="184">
        <f>IF(C25&lt;&gt;"",_xll.RssMarket(C25,"年初来高値"),"")</f>
        <v>8701</v>
      </c>
      <c r="L25" s="185">
        <f t="shared" si="0"/>
        <v>-4.3443282381335475</v>
      </c>
      <c r="M25" s="184">
        <f>IF(C25&lt;&gt;"",IFERROR(AVERAGE(出来高!E92:I92),""),"")</f>
        <v>635060</v>
      </c>
      <c r="N25" s="184">
        <f>IF(C25&lt;&gt;"",IFERROR(AVERAGE(出来高!E92:AC92),""),"")</f>
        <v>975964</v>
      </c>
      <c r="O25" s="186">
        <f t="shared" si="1"/>
        <v>0.72434100714893079</v>
      </c>
      <c r="P25" s="181" t="str">
        <f t="shared" si="2"/>
        <v>減少↓</v>
      </c>
      <c r="Q25" s="181" t="str">
        <f t="shared" si="3"/>
        <v>中立→</v>
      </c>
      <c r="R25" s="184">
        <f t="shared" si="4"/>
        <v>8989</v>
      </c>
      <c r="S25" s="184">
        <f t="shared" si="5"/>
        <v>7990</v>
      </c>
      <c r="T25" s="181">
        <f t="shared" si="12"/>
        <v>12</v>
      </c>
      <c r="U25" s="181" t="str">
        <f t="shared" si="6"/>
        <v>要確認</v>
      </c>
      <c r="V25" s="181" t="str">
        <f t="shared" si="7"/>
        <v>高値圏</v>
      </c>
      <c r="W25" s="187">
        <f t="array" ref="W25">IF(C25&lt;&gt;"",IFERROR(100-100/(1+SUMPRODUCT((終値!F92:R92&gt;終値!G92:S92)*( 終値!F92:R92-終値!G92:S92))/SUMPRODUCT((終値!F92:R92&lt;終値!G92:S92)*(終値!G92:S92-終値!F92:R92))),50),"")</f>
        <v>48.549723756906083</v>
      </c>
      <c r="X25" s="188">
        <f>IF(C25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27.916617244935878</v>
      </c>
      <c r="Y25" s="1" t="str">
        <f>IF(T25="","",IF(銘柄管理!$F$5="下落▼",IF(AND(AD25="パーフェクト▲",OR(AE25="25日線押し目●",AE25="5日線押し目○")),"★逆張り候補",IF(AND(AD25="上昇トレンド▲",OR(AE25="25日線押し目●",AE25="5日線押し目○")),"○逆張り候補",IF(W25&lt;=30,IF(Z25&gt;0,"◎反発確認",IF(Z25&lt;-5,"△要注意・様子見","△売られ過ぎ注目")),"相場下落・見送り"))),IF(AND(T25&gt;=12,AD25="パーフェクト▲"),"★強い買い",IF(AND(T25&gt;=12,AD25="上昇トレンド▲"),"★強い買い",IF(AND(T25&gt;=8,OR(AE25="25日線押し目●",AE25="5日線押し目○")),"◎押し目買い",IF(T25&gt;=10,"○買い候補",IF(T25&gt;=6,"△注目",IF(T25&gt;=3,"様子見","見送り"))))))))</f>
        <v>★強い買い</v>
      </c>
      <c r="Z25" s="189">
        <f t="shared" si="8"/>
        <v>1.0195412064570943</v>
      </c>
      <c r="AA25" s="181" t="str">
        <f t="shared" si="9"/>
        <v>上昇▲</v>
      </c>
      <c r="AB25" s="499">
        <f>IF(C25="","",IFERROR(((終値!E27*0.333)+(終値!F27*0.222)+(終値!G27*0.148)+(終値!H27*0.099)+(終値!I27*0.066)+(終値!J27*0.044)+(終値!K27*0.029)+(終値!L27*0.019)+(終値!M27*0.013)+(終値!N27*0.009))/(0.333+0.222+0.148+0.099+0.066+0.044+0.029+0.019+0.013+0.009),""))</f>
        <v>1635.2856415478611</v>
      </c>
      <c r="AC25" s="499">
        <f>IF(C25="","",IFERROR(SUMPRODUCT((終値!E27:AC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1628.466030989272</v>
      </c>
      <c r="AD25" s="500" t="str">
        <f t="shared" si="10"/>
        <v>パーフェクト▲</v>
      </c>
      <c r="AE25" s="500" t="str">
        <f t="shared" si="11"/>
        <v>なし</v>
      </c>
      <c r="AF25" s="403" cm="1">
        <f t="array" ref="AF25">IF(C25="","",IFERROR((INDEX(終値!$E:$E,MATCH(TEXT(C25,"0"),終値!$A:$A,0))-INDEX(終値!$E:$BL,MATCH(TEXT(C25,"0"),終値!$A:$A,0),$AL$2))/INDEX(終値!$E:$BL,MATCH(TEXT(C25,"0"),終値!$A:$A,0),$AL$2)*100,""))</f>
        <v>15.581169282044161</v>
      </c>
      <c r="AG25" s="403" cm="1">
        <f t="array" ref="AG25">IFERROR((終値!$E$5-INDEX(終値!$E$5:$BL$5,1,$AL$2))/INDEX(終値!$E$5:$BL$5,1,$AL$2)*100,"")</f>
        <v>3.4532270246721688</v>
      </c>
      <c r="AH25" s="404">
        <f t="shared" si="13"/>
        <v>12.127942257371993</v>
      </c>
      <c r="AI25" s="402">
        <f t="shared" si="14"/>
        <v>3</v>
      </c>
    </row>
    <row r="26" spans="1:35" s="192" customFormat="1" ht="18" customHeight="1">
      <c r="A26" s="181" t="str">
        <f>IF(銘柄管理!B123&lt;&gt;"",HYPERLINK("https://kabutan.jp/stock/?code="&amp;銘柄管理!B123,"株探"),"")</f>
        <v>株探</v>
      </c>
      <c r="B26" s="182"/>
      <c r="C26" s="183">
        <f>IF(銘柄管理!B123="","",銘柄管理!B123)</f>
        <v>8359</v>
      </c>
      <c r="D26" s="111" t="str">
        <f>IF(銘柄管理!C123="","",銘柄管理!C123)</f>
        <v>八十二長野銀行</v>
      </c>
      <c r="E26" s="184">
        <f>IF(C26&lt;&gt;"",_xll.RssMarket(C26,"現在値"),"")</f>
        <v>2287</v>
      </c>
      <c r="F26" s="184">
        <f>IF(C26&lt;&gt;"",_xll.RssMarket(C26,"始値"),"")</f>
        <v>2372</v>
      </c>
      <c r="G26" s="183">
        <f>IF(C26&lt;&gt;"",終値!F123,"")</f>
        <v>2346</v>
      </c>
      <c r="H26" s="184">
        <f>IF(C26&lt;&gt;"",_xll.RssMarket(C26,"高値"),"")</f>
        <v>2397</v>
      </c>
      <c r="I26" s="184">
        <f>IF(C26&lt;&gt;"",_xll.RssMarket(C26,"安値"),"")</f>
        <v>2287</v>
      </c>
      <c r="J26" s="184">
        <f>IF(C26&lt;&gt;"",_xll.RssMarket(C26,"出来高"),"")</f>
        <v>1905900</v>
      </c>
      <c r="K26" s="184">
        <f>IF(C26&lt;&gt;"",_xll.RssMarket(C26,"年初来高値"),"")</f>
        <v>2470.5</v>
      </c>
      <c r="L26" s="185">
        <f t="shared" si="0"/>
        <v>-7.4276462254604327</v>
      </c>
      <c r="M26" s="184">
        <f>IF(C26&lt;&gt;"",IFERROR(AVERAGE(出来高!E123:I123),""),"")</f>
        <v>1710340</v>
      </c>
      <c r="N26" s="184">
        <f>IF(C26&lt;&gt;"",IFERROR(AVERAGE(出来高!E123:AC123),""),"")</f>
        <v>1565552</v>
      </c>
      <c r="O26" s="186">
        <f t="shared" si="1"/>
        <v>1.1143398388624484</v>
      </c>
      <c r="P26" s="181" t="str">
        <f t="shared" si="2"/>
        <v>普通→</v>
      </c>
      <c r="Q26" s="181" t="str">
        <f t="shared" si="3"/>
        <v>様子見▼</v>
      </c>
      <c r="R26" s="184">
        <f t="shared" si="4"/>
        <v>2470</v>
      </c>
      <c r="S26" s="184">
        <f t="shared" si="5"/>
        <v>2196</v>
      </c>
      <c r="T26" s="181">
        <f t="shared" si="12"/>
        <v>3</v>
      </c>
      <c r="U26" s="181" t="str">
        <f t="shared" si="6"/>
        <v>要確認</v>
      </c>
      <c r="V26" s="181" t="str">
        <f t="shared" si="7"/>
        <v>高値圏</v>
      </c>
      <c r="W26" s="187">
        <f t="array" ref="W26">IF(C26&lt;&gt;"",IFERROR(100-100/(1+SUMPRODUCT((終値!F123:R123&gt;終値!G123:S123)*( 終値!F123:R123-終値!G123:S123))/SUMPRODUCT((終値!F123:R123&lt;終値!G123:S123)*(終値!G123:S123-終値!F123:R123))),50),"")</f>
        <v>50</v>
      </c>
      <c r="X26" s="188">
        <f>IF(C26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2.5687741552874286</v>
      </c>
      <c r="Y26" s="1" t="str">
        <f>IF(T26="","",IF(銘柄管理!$F$5="下落▼",IF(AND(AD26="パーフェクト▲",OR(AE26="25日線押し目●",AE26="5日線押し目○")),"★逆張り候補",IF(AND(AD26="上昇トレンド▲",OR(AE26="25日線押し目●",AE26="5日線押し目○")),"○逆張り候補",IF(W26&lt;=30,IF(Z26&gt;0,"◎反発確認",IF(Z26&lt;-5,"△要注意・様子見","△売られ過ぎ注目")),"相場下落・見送り"))),IF(AND(T26&gt;=12,AD26="パーフェクト▲"),"★強い買い",IF(AND(T26&gt;=12,AD26="上昇トレンド▲"),"★強い買い",IF(AND(T26&gt;=8,OR(AE26="25日線押し目●",AE26="5日線押し目○")),"◎押し目買い",IF(T26&gt;=10,"○買い候補",IF(T26&gt;=6,"△注目",IF(T26&gt;=3,"様子見","見送り"))))))))</f>
        <v>様子見</v>
      </c>
      <c r="Z26" s="189">
        <f t="shared" si="8"/>
        <v>-2.5149190110826938</v>
      </c>
      <c r="AA26" s="181" t="str">
        <f t="shared" si="9"/>
        <v>下落▼</v>
      </c>
      <c r="AB26" s="497">
        <f>IF(C26="","",IFERROR(((終値!E28*0.333)+(終値!F28*0.222)+(終値!G28*0.148)+(終値!H28*0.099)+(終値!I28*0.066)+(終値!J28*0.044)+(終値!K28*0.029)+(終値!L28*0.019)+(終値!M28*0.013)+(終値!N28*0.009))/(0.333+0.222+0.148+0.099+0.066+0.044+0.029+0.019+0.013+0.009),""))</f>
        <v>3916.4002036659867</v>
      </c>
      <c r="AC26" s="497">
        <f>IF(C26="","",IFERROR(SUMPRODUCT((終値!E28:AC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3741.2884386174005</v>
      </c>
      <c r="AD26" s="498" t="str">
        <f t="shared" si="10"/>
        <v>もみ合い→</v>
      </c>
      <c r="AE26" s="498" t="str">
        <f t="shared" si="11"/>
        <v>なし</v>
      </c>
      <c r="AF26" s="403" cm="1">
        <f t="array" ref="AF26">IF(C26="","",IFERROR((INDEX(終値!$E:$E,MATCH(TEXT(C26,"0"),終値!$A:$A,0))-INDEX(終値!$E:$BL,MATCH(TEXT(C26,"0"),終値!$A:$A,0),$AL$2))/INDEX(終値!$E:$BL,MATCH(TEXT(C26,"0"),終値!$A:$A,0),$AL$2)*100,""))</f>
        <v>-1.6344086021505377</v>
      </c>
      <c r="AG26" s="403" cm="1">
        <f t="array" ref="AG26">IFERROR((終値!$E$5-INDEX(終値!$E$5:$BL$5,1,$AL$2))/INDEX(終値!$E$5:$BL$5,1,$AL$2)*100,"")</f>
        <v>3.4532270246721688</v>
      </c>
      <c r="AH26" s="404">
        <f t="shared" si="13"/>
        <v>-5.0876356268227063</v>
      </c>
      <c r="AI26" s="402">
        <f t="shared" si="14"/>
        <v>-2</v>
      </c>
    </row>
    <row r="27" spans="1:35" s="192" customFormat="1" ht="18" customHeight="1">
      <c r="A27" s="181" t="str">
        <f>IF(銘柄管理!B133&lt;&gt;"",HYPERLINK("https://kabutan.jp/stock/?code="&amp;銘柄管理!B133,"株探"),"")</f>
        <v>株探</v>
      </c>
      <c r="B27" s="182"/>
      <c r="C27" s="183">
        <f>IF(銘柄管理!B133="","",銘柄管理!B133)</f>
        <v>6327</v>
      </c>
      <c r="D27" s="111" t="str">
        <f>IF(銘柄管理!C133="","",銘柄管理!C133)</f>
        <v>北川精機</v>
      </c>
      <c r="E27" s="184">
        <f>IF(C27&lt;&gt;"",_xll.RssMarket(C27,"現在値"),"")</f>
        <v>5150</v>
      </c>
      <c r="F27" s="184">
        <f>IF(C27&lt;&gt;"",_xll.RssMarket(C27,"始値"),"")</f>
        <v>4720</v>
      </c>
      <c r="G27" s="183">
        <f>IF(C27&lt;&gt;"",終値!F133,"")</f>
        <v>4445</v>
      </c>
      <c r="H27" s="184">
        <f>IF(C27&lt;&gt;"",_xll.RssMarket(C27,"高値"),"")</f>
        <v>5150</v>
      </c>
      <c r="I27" s="184">
        <f>IF(C27&lt;&gt;"",_xll.RssMarket(C27,"安値"),"")</f>
        <v>4450</v>
      </c>
      <c r="J27" s="184">
        <f>IF(C27&lt;&gt;"",_xll.RssMarket(C27,"出来高"),"")</f>
        <v>918200</v>
      </c>
      <c r="K27" s="184">
        <f>IF(C27&lt;&gt;"",_xll.RssMarket(C27,"年初来高値"),"")</f>
        <v>6910</v>
      </c>
      <c r="L27" s="185">
        <f t="shared" si="0"/>
        <v>-25.470332850940665</v>
      </c>
      <c r="M27" s="184">
        <f>IF(C27&lt;&gt;"",IFERROR(AVERAGE(出来高!E133:I133),""),"")</f>
        <v>723380</v>
      </c>
      <c r="N27" s="184">
        <f>IF(C27&lt;&gt;"",IFERROR(AVERAGE(出来高!E133:AC133),""),"")</f>
        <v>781848</v>
      </c>
      <c r="O27" s="186">
        <f t="shared" si="1"/>
        <v>1.2693190301086565</v>
      </c>
      <c r="P27" s="181" t="str">
        <f t="shared" si="2"/>
        <v>普通→</v>
      </c>
      <c r="Q27" s="181" t="str">
        <f t="shared" si="3"/>
        <v>中立→</v>
      </c>
      <c r="R27" s="184">
        <f t="shared" si="4"/>
        <v>5562</v>
      </c>
      <c r="S27" s="184">
        <f t="shared" si="5"/>
        <v>4944</v>
      </c>
      <c r="T27" s="181">
        <f t="shared" si="12"/>
        <v>9</v>
      </c>
      <c r="U27" s="181" t="str">
        <f t="shared" si="6"/>
        <v>要確認</v>
      </c>
      <c r="V27" s="181" t="str">
        <f t="shared" si="7"/>
        <v>通常</v>
      </c>
      <c r="W27" s="187">
        <f t="array" ref="W27">IF(C27&lt;&gt;"",IFERROR(100-100/(1+SUMPRODUCT((終値!F133:R133&gt;終値!G133:S133)*( 終値!F133:R133-終値!G133:S133))/SUMPRODUCT((終値!F133:R133&lt;終値!G133:S133)*(終値!G133:S133-終値!F133:R133))),50),"")</f>
        <v>57.315340909090907</v>
      </c>
      <c r="X27" s="188">
        <f>IF(C27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116.13106444461528</v>
      </c>
      <c r="Y27" s="1" t="str">
        <f>IF(T27="","",IF(銘柄管理!$F$5="下落▼",IF(AND(AD27="パーフェクト▲",OR(AE27="25日線押し目●",AE27="5日線押し目○")),"★逆張り候補",IF(AND(AD27="上昇トレンド▲",OR(AE27="25日線押し目●",AE27="5日線押し目○")),"○逆張り候補",IF(W27&lt;=30,IF(Z27&gt;0,"◎反発確認",IF(Z27&lt;-5,"△要注意・様子見","△売られ過ぎ注目")),"相場下落・見送り"))),IF(AND(T27&gt;=12,AD27="パーフェクト▲"),"★強い買い",IF(AND(T27&gt;=12,AD27="上昇トレンド▲"),"★強い買い",IF(AND(T27&gt;=8,OR(AE27="25日線押し目●",AE27="5日線押し目○")),"◎押し目買い",IF(T27&gt;=10,"○買い候補",IF(T27&gt;=6,"△注目",IF(T27&gt;=3,"様子見","見送り"))))))))</f>
        <v>△注目</v>
      </c>
      <c r="Z27" s="189">
        <f t="shared" si="8"/>
        <v>15.860517435320585</v>
      </c>
      <c r="AA27" s="181" t="str">
        <f t="shared" si="9"/>
        <v>上昇▲</v>
      </c>
      <c r="AB27" s="499">
        <f>IF(C27="","",IFERROR(((終値!E29*0.333)+(終値!F29*0.222)+(終値!G29*0.148)+(終値!H29*0.099)+(終値!I29*0.066)+(終値!J29*0.044)+(終値!K29*0.029)+(終値!L29*0.019)+(終値!M29*0.013)+(終値!N29*0.009))/(0.333+0.222+0.148+0.099+0.066+0.044+0.029+0.019+0.013+0.009),""))</f>
        <v>1241.9052953156822</v>
      </c>
      <c r="AC27" s="499">
        <f>IF(C27="","",IFERROR(SUMPRODUCT((終値!E29:AC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1273.5756853396897</v>
      </c>
      <c r="AD27" s="500" t="str">
        <f t="shared" si="10"/>
        <v>上昇トレンド▲</v>
      </c>
      <c r="AE27" s="500" t="str">
        <f t="shared" si="11"/>
        <v>なし</v>
      </c>
      <c r="AF27" s="403" cm="1">
        <f t="array" ref="AF27">IF(C27="","",IFERROR((INDEX(終値!$E:$E,MATCH(TEXT(C27,"0"),終値!$A:$A,0))-INDEX(終値!$E:$BL,MATCH(TEXT(C27,"0"),終値!$A:$A,0),$AL$2))/INDEX(終値!$E:$BL,MATCH(TEXT(C27,"0"),終値!$A:$A,0),$AL$2)*100,""))</f>
        <v>92.73952095808383</v>
      </c>
      <c r="AG27" s="403" cm="1">
        <f t="array" ref="AG27">IFERROR((終値!$E$5-INDEX(終値!$E$5:$BL$5,1,$AL$2))/INDEX(終値!$E$5:$BL$5,1,$AL$2)*100,"")</f>
        <v>3.4532270246721688</v>
      </c>
      <c r="AH27" s="404">
        <f t="shared" si="13"/>
        <v>89.286293933411656</v>
      </c>
      <c r="AI27" s="402">
        <f t="shared" si="14"/>
        <v>3</v>
      </c>
    </row>
    <row r="28" spans="1:35" s="192" customFormat="1" ht="18" customHeight="1">
      <c r="A28" s="181" t="str">
        <f>IF(銘柄管理!B135&lt;&gt;"",HYPERLINK("https://kabutan.jp/stock/?code="&amp;銘柄管理!B135,"株探"),"")</f>
        <v>株探</v>
      </c>
      <c r="B28" s="182"/>
      <c r="C28" s="183">
        <f>IF(銘柄管理!B135="","",銘柄管理!B135)</f>
        <v>6232</v>
      </c>
      <c r="D28" s="111" t="str">
        <f>IF(銘柄管理!C135="","",銘柄管理!C135)</f>
        <v>ＡＣＳＬ</v>
      </c>
      <c r="E28" s="184">
        <f>IF(C28&lt;&gt;"",_xll.RssMarket(C28,"現在値"),"")</f>
        <v>1764</v>
      </c>
      <c r="F28" s="184">
        <f>IF(C28&lt;&gt;"",_xll.RssMarket(C28,"始値"),"")</f>
        <v>1865</v>
      </c>
      <c r="G28" s="183">
        <f>IF(C28&lt;&gt;"",終値!F135,"")</f>
        <v>1834</v>
      </c>
      <c r="H28" s="184">
        <f>IF(C28&lt;&gt;"",_xll.RssMarket(C28,"高値"),"")</f>
        <v>1895</v>
      </c>
      <c r="I28" s="184">
        <f>IF(C28&lt;&gt;"",_xll.RssMarket(C28,"安値"),"")</f>
        <v>1761</v>
      </c>
      <c r="J28" s="184">
        <f>IF(C28&lt;&gt;"",_xll.RssMarket(C28,"出来高"),"")</f>
        <v>921600</v>
      </c>
      <c r="K28" s="184">
        <f>IF(C28&lt;&gt;"",_xll.RssMarket(C28,"年初来高値"),"")</f>
        <v>4130</v>
      </c>
      <c r="L28" s="185">
        <f t="shared" si="0"/>
        <v>-57.288135593220332</v>
      </c>
      <c r="M28" s="184">
        <f>IF(C28&lt;&gt;"",IFERROR(AVERAGE(出来高!E135:I135),""),"")</f>
        <v>841720</v>
      </c>
      <c r="N28" s="184">
        <f>IF(C28&lt;&gt;"",IFERROR(AVERAGE(出来高!E135:AC135),""),"")</f>
        <v>1988984</v>
      </c>
      <c r="O28" s="186">
        <f t="shared" si="1"/>
        <v>1.0949009171696051</v>
      </c>
      <c r="P28" s="181" t="str">
        <f t="shared" si="2"/>
        <v>普通→</v>
      </c>
      <c r="Q28" s="181" t="str">
        <f t="shared" si="3"/>
        <v>様子見▼</v>
      </c>
      <c r="R28" s="184">
        <f t="shared" si="4"/>
        <v>1905</v>
      </c>
      <c r="S28" s="184">
        <f t="shared" si="5"/>
        <v>1693</v>
      </c>
      <c r="T28" s="181">
        <f t="shared" si="12"/>
        <v>2</v>
      </c>
      <c r="U28" s="181" t="str">
        <f t="shared" si="6"/>
        <v>除外</v>
      </c>
      <c r="V28" s="181" t="str">
        <f t="shared" si="7"/>
        <v>通常</v>
      </c>
      <c r="W28" s="187">
        <f t="array" ref="W28">IF(C28&lt;&gt;"",IFERROR(100-100/(1+SUMPRODUCT((終値!F135:R135&gt;終値!G135:S135)*( 終値!F135:R135-終値!G135:S135))/SUMPRODUCT((終値!F135:R135&lt;終値!G135:S135)*(終値!G135:S135-終値!F135:R135))),50),"")</f>
        <v>22.810218978102199</v>
      </c>
      <c r="X28" s="188">
        <f>IF(C28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-146.38499795015787</v>
      </c>
      <c r="Y28" s="1" t="str">
        <f>IF(T28="","",IF(銘柄管理!$F$5="下落▼",IF(AND(AD28="パーフェクト▲",OR(AE28="25日線押し目●",AE28="5日線押し目○")),"★逆張り候補",IF(AND(AD28="上昇トレンド▲",OR(AE28="25日線押し目●",AE28="5日線押し目○")),"○逆張り候補",IF(W28&lt;=30,IF(Z28&gt;0,"◎反発確認",IF(Z28&lt;-5,"△要注意・様子見","△売られ過ぎ注目")),"相場下落・見送り"))),IF(AND(T28&gt;=12,AD28="パーフェクト▲"),"★強い買い",IF(AND(T28&gt;=12,AD28="上昇トレンド▲"),"★強い買い",IF(AND(T28&gt;=8,OR(AE28="25日線押し目●",AE28="5日線押し目○")),"◎押し目買い",IF(T28&gt;=10,"○買い候補",IF(T28&gt;=6,"△注目",IF(T28&gt;=3,"様子見","見送り"))))))))</f>
        <v>見送り</v>
      </c>
      <c r="Z28" s="189">
        <f t="shared" si="8"/>
        <v>-3.8167938931297711</v>
      </c>
      <c r="AA28" s="181" t="str">
        <f t="shared" si="9"/>
        <v>下落▼</v>
      </c>
      <c r="AB28" s="497">
        <f>IF(C28="","",IFERROR(((終値!E30*0.333)+(終値!F30*0.222)+(終値!G30*0.148)+(終値!H30*0.099)+(終値!I30*0.066)+(終値!J30*0.044)+(終値!K30*0.029)+(終値!L30*0.019)+(終値!M30*0.013)+(終値!N30*0.009))/(0.333+0.222+0.148+0.099+0.066+0.044+0.029+0.019+0.013+0.009),""))</f>
        <v>4506.0641547861505</v>
      </c>
      <c r="AC28" s="497">
        <f>IF(C28="","",IFERROR(SUMPRODUCT((終値!E30:AC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4466.0429082240753</v>
      </c>
      <c r="AD28" s="498" t="str">
        <f t="shared" si="10"/>
        <v>もみ合い→</v>
      </c>
      <c r="AE28" s="498" t="str">
        <f t="shared" si="11"/>
        <v>なし</v>
      </c>
      <c r="AF28" s="403" cm="1">
        <f t="array" ref="AF28">IF(C28="","",IFERROR((INDEX(終値!$E:$E,MATCH(TEXT(C28,"0"),終値!$A:$A,0))-INDEX(終値!$E:$BL,MATCH(TEXT(C28,"0"),終値!$A:$A,0),$AL$2))/INDEX(終値!$E:$BL,MATCH(TEXT(C28,"0"),終値!$A:$A,0),$AL$2)*100,""))</f>
        <v>-39.815762538382806</v>
      </c>
      <c r="AG28" s="403" cm="1">
        <f t="array" ref="AG28">IFERROR((終値!$E$5-INDEX(終値!$E$5:$BL$5,1,$AL$2))/INDEX(終値!$E$5:$BL$5,1,$AL$2)*100,"")</f>
        <v>3.4532270246721688</v>
      </c>
      <c r="AH28" s="404">
        <f t="shared" si="13"/>
        <v>-43.268989563054973</v>
      </c>
      <c r="AI28" s="402">
        <f t="shared" si="14"/>
        <v>-2</v>
      </c>
    </row>
    <row r="29" spans="1:35" s="192" customFormat="1" ht="18" customHeight="1">
      <c r="A29" s="181" t="str">
        <f>IF(銘柄管理!B151&lt;&gt;"",HYPERLINK("https://kabutan.jp/stock/?code="&amp;銘柄管理!B151,"株探"),"")</f>
        <v>株探</v>
      </c>
      <c r="B29" s="182"/>
      <c r="C29" s="183">
        <f>IF(銘柄管理!B151="","",銘柄管理!B151)</f>
        <v>6516</v>
      </c>
      <c r="D29" s="111" t="str">
        <f>IF(銘柄管理!C151="","",銘柄管理!C151)</f>
        <v>山洋電気</v>
      </c>
      <c r="E29" s="184">
        <f>IF(C29&lt;&gt;"",_xll.RssMarket(C29,"現在値"),"")</f>
        <v>6780</v>
      </c>
      <c r="F29" s="184">
        <f>IF(C29&lt;&gt;"",_xll.RssMarket(C29,"始値"),"")</f>
        <v>6450</v>
      </c>
      <c r="G29" s="183">
        <f>IF(C29&lt;&gt;"",終値!F151,"")</f>
        <v>6580</v>
      </c>
      <c r="H29" s="184">
        <f>IF(C29&lt;&gt;"",_xll.RssMarket(C29,"高値"),"")</f>
        <v>6810</v>
      </c>
      <c r="I29" s="184">
        <f>IF(C29&lt;&gt;"",_xll.RssMarket(C29,"安値"),"")</f>
        <v>6430</v>
      </c>
      <c r="J29" s="184">
        <f>IF(C29&lt;&gt;"",_xll.RssMarket(C29,"出来高"),"")</f>
        <v>107700</v>
      </c>
      <c r="K29" s="184">
        <f>IF(C29&lt;&gt;"",_xll.RssMarket(C29,"年初来高値"),"")</f>
        <v>7880</v>
      </c>
      <c r="L29" s="185">
        <f t="shared" si="0"/>
        <v>-13.959390862944163</v>
      </c>
      <c r="M29" s="184">
        <f>IF(C29&lt;&gt;"",IFERROR(AVERAGE(出来高!E151:I151),""),"")</f>
        <v>114380</v>
      </c>
      <c r="N29" s="184">
        <f>IF(C29&lt;&gt;"",IFERROR(AVERAGE(出来高!E151:AC151),""),"")</f>
        <v>166768</v>
      </c>
      <c r="O29" s="186">
        <f t="shared" si="1"/>
        <v>0.94159818150026231</v>
      </c>
      <c r="P29" s="181" t="str">
        <f t="shared" si="2"/>
        <v>減少↓</v>
      </c>
      <c r="Q29" s="181" t="str">
        <f t="shared" si="3"/>
        <v>中立→</v>
      </c>
      <c r="R29" s="184">
        <f t="shared" si="4"/>
        <v>7322</v>
      </c>
      <c r="S29" s="184">
        <f t="shared" si="5"/>
        <v>6509</v>
      </c>
      <c r="T29" s="181">
        <f t="shared" si="12"/>
        <v>4</v>
      </c>
      <c r="U29" s="181" t="str">
        <f t="shared" si="6"/>
        <v>要確認</v>
      </c>
      <c r="V29" s="181" t="str">
        <f t="shared" si="7"/>
        <v>通常</v>
      </c>
      <c r="W29" s="187">
        <f t="array" ref="W29">IF(C29&lt;&gt;"",IFERROR(100-100/(1+SUMPRODUCT((終値!F151:R151&gt;終値!G151:S151)*( 終値!F151:R151-終値!G151:S151))/SUMPRODUCT((終値!F151:R151&lt;終値!G151:S151)*(終値!G151:S151-終値!F151:R151))),50),"")</f>
        <v>38.048780487804876</v>
      </c>
      <c r="X29" s="188">
        <f>IF(C29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-86.109202790966265</v>
      </c>
      <c r="Y29" s="1" t="str">
        <f>IF(T29="","",IF(銘柄管理!$F$5="下落▼",IF(AND(AD29="パーフェクト▲",OR(AE29="25日線押し目●",AE29="5日線押し目○")),"★逆張り候補",IF(AND(AD29="上昇トレンド▲",OR(AE29="25日線押し目●",AE29="5日線押し目○")),"○逆張り候補",IF(W29&lt;=30,IF(Z29&gt;0,"◎反発確認",IF(Z29&lt;-5,"△要注意・様子見","△売られ過ぎ注目")),"相場下落・見送り"))),IF(AND(T29&gt;=12,AD29="パーフェクト▲"),"★強い買い",IF(AND(T29&gt;=12,AD29="上昇トレンド▲"),"★強い買い",IF(AND(T29&gt;=8,OR(AE29="25日線押し目●",AE29="5日線押し目○")),"◎押し目買い",IF(T29&gt;=10,"○買い候補",IF(T29&gt;=6,"△注目",IF(T29&gt;=3,"様子見","見送り"))))))))</f>
        <v>様子見</v>
      </c>
      <c r="Z29" s="189">
        <f t="shared" si="8"/>
        <v>3.0395136778115504</v>
      </c>
      <c r="AA29" s="181" t="str">
        <f t="shared" si="9"/>
        <v>上昇▲</v>
      </c>
      <c r="AB29" s="499">
        <f>IF(C29="","",IFERROR(((終値!E31*0.333)+(終値!F31*0.222)+(終値!G31*0.148)+(終値!H31*0.099)+(終値!I31*0.066)+(終値!J31*0.044)+(終値!K31*0.029)+(終値!L31*0.019)+(終値!M31*0.013)+(終値!N31*0.009))/(0.333+0.222+0.148+0.099+0.066+0.044+0.029+0.019+0.013+0.009),""))</f>
        <v>5954.7942973523404</v>
      </c>
      <c r="AC29" s="499">
        <f>IF(C29="","",IFERROR(SUMPRODUCT((終値!E31:AC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5770.1287246722268</v>
      </c>
      <c r="AD29" s="500" t="str">
        <f t="shared" si="10"/>
        <v>パーフェクト▲</v>
      </c>
      <c r="AE29" s="500" t="str">
        <f t="shared" si="11"/>
        <v>なし</v>
      </c>
      <c r="AF29" s="403" cm="1">
        <f t="array" ref="AF29">IF(C29="","",IFERROR((INDEX(終値!$E:$E,MATCH(TEXT(C29,"0"),終値!$A:$A,0))-INDEX(終値!$E:$BL,MATCH(TEXT(C29,"0"),終値!$A:$A,0),$AL$2))/INDEX(終値!$E:$BL,MATCH(TEXT(C29,"0"),終値!$A:$A,0),$AL$2)*100,""))</f>
        <v>-9.479305740987984</v>
      </c>
      <c r="AG29" s="403" cm="1">
        <f t="array" ref="AG29">IFERROR((終値!$E$5-INDEX(終値!$E$5:$BL$5,1,$AL$2))/INDEX(終値!$E$5:$BL$5,1,$AL$2)*100,"")</f>
        <v>3.4532270246721688</v>
      </c>
      <c r="AH29" s="404">
        <f t="shared" si="13"/>
        <v>-12.932532765660152</v>
      </c>
      <c r="AI29" s="402">
        <f t="shared" si="14"/>
        <v>-2</v>
      </c>
    </row>
    <row r="30" spans="1:35" s="192" customFormat="1" ht="18" customHeight="1">
      <c r="A30" s="181" t="str">
        <f>IF(銘柄管理!B154&lt;&gt;"",HYPERLINK("https://kabutan.jp/stock/?code="&amp;銘柄管理!B154,"株探"),"")</f>
        <v>株探</v>
      </c>
      <c r="B30" s="182"/>
      <c r="C30" s="183">
        <f>IF(銘柄管理!B154="","",銘柄管理!B154)</f>
        <v>6981</v>
      </c>
      <c r="D30" s="111" t="str">
        <f>IF(銘柄管理!C154="","",銘柄管理!C154)</f>
        <v>村田製作所</v>
      </c>
      <c r="E30" s="184">
        <f>IF(C30&lt;&gt;"",_xll.RssMarket(C30,"現在値"),"")</f>
        <v>10865</v>
      </c>
      <c r="F30" s="184">
        <f>IF(C30&lt;&gt;"",_xll.RssMarket(C30,"始値"),"")</f>
        <v>10230</v>
      </c>
      <c r="G30" s="183">
        <f>IF(C30&lt;&gt;"",終値!F154,"")</f>
        <v>10530</v>
      </c>
      <c r="H30" s="184">
        <f>IF(C30&lt;&gt;"",_xll.RssMarket(C30,"高値"),"")</f>
        <v>11095</v>
      </c>
      <c r="I30" s="184">
        <f>IF(C30&lt;&gt;"",_xll.RssMarket(C30,"安値"),"")</f>
        <v>10200</v>
      </c>
      <c r="J30" s="184">
        <f>IF(C30&lt;&gt;"",_xll.RssMarket(C30,"出来高"),"")</f>
        <v>31784100</v>
      </c>
      <c r="K30" s="184">
        <f>IF(C30&lt;&gt;"",_xll.RssMarket(C30,"年初来高値"),"")</f>
        <v>11125</v>
      </c>
      <c r="L30" s="185">
        <f t="shared" si="0"/>
        <v>-2.3370786516853932</v>
      </c>
      <c r="M30" s="184">
        <f>IF(C30&lt;&gt;"",IFERROR(AVERAGE(出来高!E154:I154),""),"")</f>
        <v>44834700</v>
      </c>
      <c r="N30" s="184">
        <f>IF(C30&lt;&gt;"",IFERROR(AVERAGE(出来高!E154:AC154),""),"")</f>
        <v>30116508</v>
      </c>
      <c r="O30" s="186">
        <f t="shared" si="1"/>
        <v>0.7089174233350507</v>
      </c>
      <c r="P30" s="181" t="str">
        <f t="shared" si="2"/>
        <v>減少↓</v>
      </c>
      <c r="Q30" s="181" t="str">
        <f t="shared" si="3"/>
        <v>中立→</v>
      </c>
      <c r="R30" s="184">
        <f t="shared" si="4"/>
        <v>11734</v>
      </c>
      <c r="S30" s="184">
        <f t="shared" si="5"/>
        <v>10430</v>
      </c>
      <c r="T30" s="181">
        <f t="shared" si="12"/>
        <v>10</v>
      </c>
      <c r="U30" s="181" t="str">
        <f t="shared" si="6"/>
        <v>要確認</v>
      </c>
      <c r="V30" s="181" t="str">
        <f t="shared" si="7"/>
        <v>高値圏</v>
      </c>
      <c r="W30" s="187">
        <f t="array" ref="W30">IF(C30&lt;&gt;"",IFERROR(100-100/(1+SUMPRODUCT((終値!F154:R154&gt;終値!G154:S154)*( 終値!F154:R154-終値!G154:S154))/SUMPRODUCT((終値!F154:R154&lt;終値!G154:S154)*(終値!G154:S154-終値!F154:R154))),50),"")</f>
        <v>66.896103896103895</v>
      </c>
      <c r="X30" s="188">
        <f>IF(C30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427.93958541468783</v>
      </c>
      <c r="Y30" s="1" t="str">
        <f>IF(T30="","",IF(銘柄管理!$F$5="下落▼",IF(AND(AD30="パーフェクト▲",OR(AE30="25日線押し目●",AE30="5日線押し目○")),"★逆張り候補",IF(AND(AD30="上昇トレンド▲",OR(AE30="25日線押し目●",AE30="5日線押し目○")),"○逆張り候補",IF(W30&lt;=30,IF(Z30&gt;0,"◎反発確認",IF(Z30&lt;-5,"△要注意・様子見","△売られ過ぎ注目")),"相場下落・見送り"))),IF(AND(T30&gt;=12,AD30="パーフェクト▲"),"★強い買い",IF(AND(T30&gt;=12,AD30="上昇トレンド▲"),"★強い買い",IF(AND(T30&gt;=8,OR(AE30="25日線押し目●",AE30="5日線押し目○")),"◎押し目買い",IF(T30&gt;=10,"○買い候補",IF(T30&gt;=6,"△注目",IF(T30&gt;=3,"様子見","見送り"))))))))</f>
        <v>○買い候補</v>
      </c>
      <c r="Z30" s="189">
        <f t="shared" si="8"/>
        <v>3.1813865147198479</v>
      </c>
      <c r="AA30" s="181" t="str">
        <f t="shared" si="9"/>
        <v>上昇▲</v>
      </c>
      <c r="AB30" s="497">
        <f>IF(C30="","",IFERROR(((終値!E32*0.333)+(終値!F32*0.222)+(終値!G32*0.148)+(終値!H32*0.099)+(終値!I32*0.066)+(終値!J32*0.044)+(終値!K32*0.029)+(終値!L32*0.019)+(終値!M32*0.013)+(終値!N32*0.009))/(0.333+0.222+0.148+0.099+0.066+0.044+0.029+0.019+0.013+0.009),""))</f>
        <v>1228.8207739307534</v>
      </c>
      <c r="AC30" s="497">
        <f>IF(C30="","",IFERROR(SUMPRODUCT((終値!E32:AC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1273.9952324195463</v>
      </c>
      <c r="AD30" s="498" t="str">
        <f t="shared" si="10"/>
        <v>上昇トレンド▲</v>
      </c>
      <c r="AE30" s="498" t="str">
        <f t="shared" si="11"/>
        <v>なし</v>
      </c>
      <c r="AF30" s="403" cm="1">
        <f t="array" ref="AF30">IF(C30="","",IFERROR((INDEX(終値!$E:$E,MATCH(TEXT(C30,"0"),終値!$A:$A,0))-INDEX(終値!$E:$BL,MATCH(TEXT(C30,"0"),終値!$A:$A,0),$AL$2))/INDEX(終値!$E:$BL,MATCH(TEXT(C30,"0"),終値!$A:$A,0),$AL$2)*100,""))</f>
        <v>71.399274333491093</v>
      </c>
      <c r="AG30" s="403" cm="1">
        <f t="array" ref="AG30">IFERROR((終値!$E$5-INDEX(終値!$E$5:$BL$5,1,$AL$2))/INDEX(終値!$E$5:$BL$5,1,$AL$2)*100,"")</f>
        <v>3.4532270246721688</v>
      </c>
      <c r="AH30" s="404">
        <f t="shared" si="13"/>
        <v>67.946047308818919</v>
      </c>
      <c r="AI30" s="402">
        <f t="shared" si="14"/>
        <v>3</v>
      </c>
    </row>
    <row r="31" spans="1:35" s="192" customFormat="1" ht="18" customHeight="1">
      <c r="A31" s="181" t="str">
        <f>IF(銘柄管理!B155&lt;&gt;"",HYPERLINK("https://kabutan.jp/stock/?code="&amp;銘柄管理!B155,"株探"),"")</f>
        <v>株探</v>
      </c>
      <c r="B31" s="182"/>
      <c r="C31" s="183">
        <f>IF(銘柄管理!B155="","",銘柄管理!B155)</f>
        <v>6754</v>
      </c>
      <c r="D31" s="111" t="str">
        <f>IF(銘柄管理!C155="","",銘柄管理!C155)</f>
        <v>アンリツ</v>
      </c>
      <c r="E31" s="184">
        <f>IF(C31&lt;&gt;"",_xll.RssMarket(C31,"現在値"),"")</f>
        <v>4122</v>
      </c>
      <c r="F31" s="184">
        <f>IF(C31&lt;&gt;"",_xll.RssMarket(C31,"始値"),"")</f>
        <v>4001</v>
      </c>
      <c r="G31" s="183">
        <f>IF(C31&lt;&gt;"",終値!F155,"")</f>
        <v>4096</v>
      </c>
      <c r="H31" s="184">
        <f>IF(C31&lt;&gt;"",_xll.RssMarket(C31,"高値"),"")</f>
        <v>4123</v>
      </c>
      <c r="I31" s="184">
        <f>IF(C31&lt;&gt;"",_xll.RssMarket(C31,"安値"),"")</f>
        <v>3968</v>
      </c>
      <c r="J31" s="184">
        <f>IF(C31&lt;&gt;"",_xll.RssMarket(C31,"出来高"),"")</f>
        <v>1091000</v>
      </c>
      <c r="K31" s="184">
        <f>IF(C31&lt;&gt;"",_xll.RssMarket(C31,"年初来高値"),"")</f>
        <v>4855</v>
      </c>
      <c r="L31" s="185">
        <f t="shared" si="0"/>
        <v>-15.097837281153451</v>
      </c>
      <c r="M31" s="184">
        <f>IF(C31&lt;&gt;"",IFERROR(AVERAGE(出来高!E155:I155),""),"")</f>
        <v>1952260</v>
      </c>
      <c r="N31" s="184">
        <f>IF(C31&lt;&gt;"",IFERROR(AVERAGE(出来高!E155:AC155),""),"")</f>
        <v>1911028</v>
      </c>
      <c r="O31" s="186">
        <f t="shared" si="1"/>
        <v>0.55883949883724504</v>
      </c>
      <c r="P31" s="181" t="str">
        <f t="shared" si="2"/>
        <v>減少↓</v>
      </c>
      <c r="Q31" s="181" t="str">
        <f t="shared" si="3"/>
        <v>中立→</v>
      </c>
      <c r="R31" s="184">
        <f t="shared" si="4"/>
        <v>4452</v>
      </c>
      <c r="S31" s="184">
        <f t="shared" si="5"/>
        <v>3957</v>
      </c>
      <c r="T31" s="181">
        <f t="shared" si="12"/>
        <v>4</v>
      </c>
      <c r="U31" s="181" t="str">
        <f t="shared" si="6"/>
        <v>要確認</v>
      </c>
      <c r="V31" s="181" t="str">
        <f t="shared" si="7"/>
        <v>通常</v>
      </c>
      <c r="W31" s="187">
        <f t="array" ref="W31">IF(C31&lt;&gt;"",IFERROR(100-100/(1+SUMPRODUCT((終値!F155:R155&gt;終値!G155:S155)*( 終値!F155:R155-終値!G155:S155))/SUMPRODUCT((終値!F155:R155&lt;終値!G155:S155)*(終値!G155:S155-終値!F155:R155))),50),"")</f>
        <v>34.857142857142861</v>
      </c>
      <c r="X31" s="188">
        <f>IF(C31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-46.1278981368323</v>
      </c>
      <c r="Y31" s="1" t="str">
        <f>IF(T31="","",IF(銘柄管理!$F$5="下落▼",IF(AND(AD31="パーフェクト▲",OR(AE31="25日線押し目●",AE31="5日線押し目○")),"★逆張り候補",IF(AND(AD31="上昇トレンド▲",OR(AE31="25日線押し目●",AE31="5日線押し目○")),"○逆張り候補",IF(W31&lt;=30,IF(Z31&gt;0,"◎反発確認",IF(Z31&lt;-5,"△要注意・様子見","△売られ過ぎ注目")),"相場下落・見送り"))),IF(AND(T31&gt;=12,AD31="パーフェクト▲"),"★強い買い",IF(AND(T31&gt;=12,AD31="上昇トレンド▲"),"★強い買い",IF(AND(T31&gt;=8,OR(AE31="25日線押し目●",AE31="5日線押し目○")),"◎押し目買い",IF(T31&gt;=10,"○買い候補",IF(T31&gt;=6,"△注目",IF(T31&gt;=3,"様子見","見送り"))))))))</f>
        <v>様子見</v>
      </c>
      <c r="Z31" s="189">
        <f t="shared" si="8"/>
        <v>0.634765625</v>
      </c>
      <c r="AA31" s="181" t="str">
        <f t="shared" si="9"/>
        <v>上昇▲</v>
      </c>
      <c r="AB31" s="499">
        <f>IF(C31="","",IFERROR(((終値!E33*0.333)+(終値!F33*0.222)+(終値!G33*0.148)+(終値!H33*0.099)+(終値!I33*0.066)+(終値!J33*0.044)+(終値!K33*0.029)+(終値!L33*0.019)+(終値!M33*0.013)+(終値!N33*0.009))/(0.333+0.222+0.148+0.099+0.066+0.044+0.029+0.019+0.013+0.009),""))</f>
        <v>1582.1227087576369</v>
      </c>
      <c r="AC31" s="499">
        <f>IF(C31="","",IFERROR(SUMPRODUCT((終値!E33:AC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1531.5125148986888</v>
      </c>
      <c r="AD31" s="500" t="str">
        <f t="shared" si="10"/>
        <v>パーフェクト▲</v>
      </c>
      <c r="AE31" s="500" t="str">
        <f t="shared" si="11"/>
        <v>なし</v>
      </c>
      <c r="AF31" s="403" cm="1">
        <f t="array" ref="AF31">IF(C31="","",IFERROR((INDEX(終値!$E:$E,MATCH(TEXT(C31,"0"),終値!$A:$A,0))-INDEX(終値!$E:$BL,MATCH(TEXT(C31,"0"),終値!$A:$A,0),$AL$2))/INDEX(終値!$E:$BL,MATCH(TEXT(C31,"0"),終値!$A:$A,0),$AL$2)*100,""))</f>
        <v>-0.53088803088803083</v>
      </c>
      <c r="AG31" s="403" cm="1">
        <f t="array" ref="AG31">IFERROR((終値!$E$5-INDEX(終値!$E$5:$BL$5,1,$AL$2))/INDEX(終値!$E$5:$BL$5,1,$AL$2)*100,"")</f>
        <v>3.4532270246721688</v>
      </c>
      <c r="AH31" s="404">
        <f t="shared" si="13"/>
        <v>-3.9841150555601996</v>
      </c>
      <c r="AI31" s="402">
        <f t="shared" si="14"/>
        <v>-2</v>
      </c>
    </row>
    <row r="32" spans="1:35" s="192" customFormat="1" ht="18" customHeight="1">
      <c r="A32" s="181" t="str">
        <f>IF(銘柄管理!B175&lt;&gt;"",HYPERLINK("https://kabutan.jp/stock/?code="&amp;銘柄管理!B175,"株探"),"")</f>
        <v>株探</v>
      </c>
      <c r="B32" s="182"/>
      <c r="C32" s="183">
        <f>IF(銘柄管理!B175="","",銘柄管理!B175)</f>
        <v>1942</v>
      </c>
      <c r="D32" s="111" t="str">
        <f>IF(銘柄管理!C175="","",銘柄管理!C175)</f>
        <v>関電工</v>
      </c>
      <c r="E32" s="184">
        <f>IF(C32&lt;&gt;"",_xll.RssMarket(C32,"現在値"),"")</f>
        <v>6467</v>
      </c>
      <c r="F32" s="184">
        <f>IF(C32&lt;&gt;"",_xll.RssMarket(C32,"始値"),"")</f>
        <v>6400</v>
      </c>
      <c r="G32" s="183">
        <f>IF(C32&lt;&gt;"",終値!F175,"")</f>
        <v>6237</v>
      </c>
      <c r="H32" s="184">
        <f>IF(C32&lt;&gt;"",_xll.RssMarket(C32,"高値"),"")</f>
        <v>6500</v>
      </c>
      <c r="I32" s="184">
        <f>IF(C32&lt;&gt;"",_xll.RssMarket(C32,"安値"),"")</f>
        <v>6388</v>
      </c>
      <c r="J32" s="184">
        <f>IF(C32&lt;&gt;"",_xll.RssMarket(C32,"出来高"),"")</f>
        <v>836500</v>
      </c>
      <c r="K32" s="184">
        <f>IF(C32&lt;&gt;"",_xll.RssMarket(C32,"年初来高値"),"")</f>
        <v>7460</v>
      </c>
      <c r="L32" s="185">
        <f t="shared" si="0"/>
        <v>-13.310991957104557</v>
      </c>
      <c r="M32" s="184">
        <f>IF(C32&lt;&gt;"",IFERROR(AVERAGE(出来高!E175:I175),""),"")</f>
        <v>976260</v>
      </c>
      <c r="N32" s="184">
        <f>IF(C32&lt;&gt;"",IFERROR(AVERAGE(出来高!E175:AC175),""),"")</f>
        <v>1128220</v>
      </c>
      <c r="O32" s="186">
        <f t="shared" si="1"/>
        <v>0.85684141519677137</v>
      </c>
      <c r="P32" s="181" t="str">
        <f t="shared" si="2"/>
        <v>減少↓</v>
      </c>
      <c r="Q32" s="181" t="str">
        <f t="shared" si="3"/>
        <v>中立→</v>
      </c>
      <c r="R32" s="184">
        <f t="shared" si="4"/>
        <v>6984</v>
      </c>
      <c r="S32" s="184">
        <f t="shared" si="5"/>
        <v>6208</v>
      </c>
      <c r="T32" s="181">
        <f t="shared" si="12"/>
        <v>3</v>
      </c>
      <c r="U32" s="181" t="str">
        <f t="shared" si="6"/>
        <v>要確認</v>
      </c>
      <c r="V32" s="181" t="str">
        <f t="shared" si="7"/>
        <v>通常</v>
      </c>
      <c r="W32" s="187">
        <f t="array" ref="W32">IF(C32&lt;&gt;"",IFERROR(100-100/(1+SUMPRODUCT((終値!F175:R175&gt;終値!G175:S175)*( 終値!F175:R175-終値!G175:S175))/SUMPRODUCT((終値!F175:R175&lt;終値!G175:S175)*(終値!G175:S175-終値!F175:R175))),50),"")</f>
        <v>44.608100999473955</v>
      </c>
      <c r="X32" s="188">
        <f>IF(C32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-70.312264417544611</v>
      </c>
      <c r="Y32" s="1" t="str">
        <f>IF(T32="","",IF(銘柄管理!$F$5="下落▼",IF(AND(AD32="パーフェクト▲",OR(AE32="25日線押し目●",AE32="5日線押し目○")),"★逆張り候補",IF(AND(AD32="上昇トレンド▲",OR(AE32="25日線押し目●",AE32="5日線押し目○")),"○逆張り候補",IF(W32&lt;=30,IF(Z32&gt;0,"◎反発確認",IF(Z32&lt;-5,"△要注意・様子見","△売られ過ぎ注目")),"相場下落・見送り"))),IF(AND(T32&gt;=12,AD32="パーフェクト▲"),"★強い買い",IF(AND(T32&gt;=12,AD32="上昇トレンド▲"),"★強い買い",IF(AND(T32&gt;=8,OR(AE32="25日線押し目●",AE32="5日線押し目○")),"◎押し目買い",IF(T32&gt;=10,"○買い候補",IF(T32&gt;=6,"△注目",IF(T32&gt;=3,"様子見","見送り"))))))))</f>
        <v>様子見</v>
      </c>
      <c r="Z32" s="189">
        <f t="shared" si="8"/>
        <v>3.6876703543370208</v>
      </c>
      <c r="AA32" s="181" t="str">
        <f t="shared" si="9"/>
        <v>上昇▲</v>
      </c>
      <c r="AB32" s="497">
        <f>IF(C32="","",IFERROR(((終値!E34*0.333)+(終値!F34*0.222)+(終値!G34*0.148)+(終値!H34*0.099)+(終値!I34*0.066)+(終値!J34*0.044)+(終値!K34*0.029)+(終値!L34*0.019)+(終値!M34*0.013)+(終値!N34*0.009))/(0.333+0.222+0.148+0.099+0.066+0.044+0.029+0.019+0.013+0.009),""))</f>
        <v>4314.1099796333992</v>
      </c>
      <c r="AC32" s="497">
        <f>IF(C32="","",IFERROR(SUMPRODUCT((終値!E34:AC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4247.9558998808088</v>
      </c>
      <c r="AD32" s="498" t="str">
        <f t="shared" si="10"/>
        <v>パーフェクト▲</v>
      </c>
      <c r="AE32" s="498" t="str">
        <f t="shared" si="11"/>
        <v>なし</v>
      </c>
      <c r="AF32" s="403" cm="1">
        <f t="array" ref="AF32">IF(C32="","",IFERROR((INDEX(終値!$E:$E,MATCH(TEXT(C32,"0"),終値!$A:$A,0))-INDEX(終値!$E:$BL,MATCH(TEXT(C32,"0"),終値!$A:$A,0),$AL$2))/INDEX(終値!$E:$BL,MATCH(TEXT(C32,"0"),終値!$A:$A,0),$AL$2)*100,""))</f>
        <v>-6.6676288064655793</v>
      </c>
      <c r="AG32" s="403" cm="1">
        <f t="array" ref="AG32">IFERROR((終値!$E$5-INDEX(終値!$E$5:$BL$5,1,$AL$2))/INDEX(終値!$E$5:$BL$5,1,$AL$2)*100,"")</f>
        <v>3.4532270246721688</v>
      </c>
      <c r="AH32" s="404">
        <f t="shared" si="13"/>
        <v>-10.120855831137748</v>
      </c>
      <c r="AI32" s="402">
        <f t="shared" si="14"/>
        <v>-2</v>
      </c>
    </row>
    <row r="33" spans="1:35" s="192" customFormat="1" ht="18" customHeight="1">
      <c r="A33" s="181" t="str">
        <f>IF(銘柄管理!B195&lt;&gt;"",HYPERLINK("https://kabutan.jp/stock/?code="&amp;銘柄管理!B195,"株探"),"")</f>
        <v>株探</v>
      </c>
      <c r="B33" s="182"/>
      <c r="C33" s="183">
        <f>IF(銘柄管理!B195="","",銘柄管理!B195)</f>
        <v>6890</v>
      </c>
      <c r="D33" s="111" t="str">
        <f>IF(銘柄管理!C195="","",銘柄管理!C195)</f>
        <v>フェローテック</v>
      </c>
      <c r="E33" s="184">
        <f>IF(C33&lt;&gt;"",_xll.RssMarket(C33,"現在値"),"")</f>
        <v>9440</v>
      </c>
      <c r="F33" s="184">
        <f>IF(C33&lt;&gt;"",_xll.RssMarket(C33,"始値"),"")</f>
        <v>9020</v>
      </c>
      <c r="G33" s="183">
        <f>IF(C33&lt;&gt;"",終値!F195,"")</f>
        <v>9300</v>
      </c>
      <c r="H33" s="184">
        <f>IF(C33&lt;&gt;"",_xll.RssMarket(C33,"高値"),"")</f>
        <v>9500</v>
      </c>
      <c r="I33" s="184">
        <f>IF(C33&lt;&gt;"",_xll.RssMarket(C33,"安値"),"")</f>
        <v>8990</v>
      </c>
      <c r="J33" s="184">
        <f>IF(C33&lt;&gt;"",_xll.RssMarket(C33,"出来高"),"")</f>
        <v>602200</v>
      </c>
      <c r="K33" s="184">
        <f>IF(C33&lt;&gt;"",_xll.RssMarket(C33,"年初来高値"),"")</f>
        <v>10430</v>
      </c>
      <c r="L33" s="185">
        <f t="shared" si="0"/>
        <v>-9.4918504314477481</v>
      </c>
      <c r="M33" s="184">
        <f>IF(C33&lt;&gt;"",IFERROR(AVERAGE(出来高!E195:I195),""),"")</f>
        <v>835560</v>
      </c>
      <c r="N33" s="184">
        <f>IF(C33&lt;&gt;"",IFERROR(AVERAGE(出来高!E195:AC195),""),"")</f>
        <v>1167128</v>
      </c>
      <c r="O33" s="186">
        <f t="shared" si="1"/>
        <v>0.72071425151993873</v>
      </c>
      <c r="P33" s="181" t="str">
        <f t="shared" si="2"/>
        <v>減少↓</v>
      </c>
      <c r="Q33" s="181" t="str">
        <f t="shared" si="3"/>
        <v>中立→</v>
      </c>
      <c r="R33" s="184">
        <f t="shared" si="4"/>
        <v>10195</v>
      </c>
      <c r="S33" s="184">
        <f t="shared" si="5"/>
        <v>9062</v>
      </c>
      <c r="T33" s="181">
        <f t="shared" si="12"/>
        <v>3</v>
      </c>
      <c r="U33" s="181" t="str">
        <f t="shared" si="6"/>
        <v>要確認</v>
      </c>
      <c r="V33" s="181" t="str">
        <f t="shared" si="7"/>
        <v>通常</v>
      </c>
      <c r="W33" s="187">
        <f t="array" ref="W33">IF(C33&lt;&gt;"",IFERROR(100-100/(1+SUMPRODUCT((終値!F195:R195&gt;終値!G195:S195)*( 終値!F195:R195-終値!G195:S195))/SUMPRODUCT((終値!F195:R195&lt;終値!G195:S195)*(終値!G195:S195-終値!F195:R195))),50),"")</f>
        <v>50.743494423791823</v>
      </c>
      <c r="X33" s="188">
        <f>IF(C33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-21.724533213391624</v>
      </c>
      <c r="Y33" s="1" t="str">
        <f>IF(T33="","",IF(銘柄管理!$F$5="下落▼",IF(AND(AD33="パーフェクト▲",OR(AE33="25日線押し目●",AE33="5日線押し目○")),"★逆張り候補",IF(AND(AD33="上昇トレンド▲",OR(AE33="25日線押し目●",AE33="5日線押し目○")),"○逆張り候補",IF(W33&lt;=30,IF(Z33&gt;0,"◎反発確認",IF(Z33&lt;-5,"△要注意・様子見","△売られ過ぎ注目")),"相場下落・見送り"))),IF(AND(T33&gt;=12,AD33="パーフェクト▲"),"★強い買い",IF(AND(T33&gt;=12,AD33="上昇トレンド▲"),"★強い買い",IF(AND(T33&gt;=8,OR(AE33="25日線押し目●",AE33="5日線押し目○")),"◎押し目買い",IF(T33&gt;=10,"○買い候補",IF(T33&gt;=6,"△注目",IF(T33&gt;=3,"様子見","見送り"))))))))</f>
        <v>様子見</v>
      </c>
      <c r="Z33" s="189">
        <f t="shared" si="8"/>
        <v>1.5053763440860215</v>
      </c>
      <c r="AA33" s="181" t="str">
        <f t="shared" si="9"/>
        <v>上昇▲</v>
      </c>
      <c r="AB33" s="499">
        <f>IF(C33="","",IFERROR(((終値!E35*0.333)+(終値!F35*0.222)+(終値!G35*0.148)+(終値!H35*0.099)+(終値!I35*0.066)+(終値!J35*0.044)+(終値!K35*0.029)+(終値!L35*0.019)+(終値!M35*0.013)+(終値!N35*0.009))/(0.333+0.222+0.148+0.099+0.066+0.044+0.029+0.019+0.013+0.009),""))</f>
        <v>2140.7219959266795</v>
      </c>
      <c r="AC33" s="499">
        <f>IF(C33="","",IFERROR(SUMPRODUCT((終値!E35:AC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2096.325387365911</v>
      </c>
      <c r="AD33" s="500" t="str">
        <f t="shared" si="10"/>
        <v>パーフェクト▲</v>
      </c>
      <c r="AE33" s="500" t="str">
        <f t="shared" si="11"/>
        <v>なし</v>
      </c>
      <c r="AF33" s="403" cm="1">
        <f t="array" ref="AF33">IF(C33="","",IFERROR((INDEX(終値!$E:$E,MATCH(TEXT(C33,"0"),終値!$A:$A,0))-INDEX(終値!$E:$BL,MATCH(TEXT(C33,"0"),終値!$A:$A,0),$AL$2))/INDEX(終値!$E:$BL,MATCH(TEXT(C33,"0"),終値!$A:$A,0),$AL$2)*100,""))</f>
        <v>-3.6734693877551026</v>
      </c>
      <c r="AG33" s="403" cm="1">
        <f t="array" ref="AG33">IFERROR((終値!$E$5-INDEX(終値!$E$5:$BL$5,1,$AL$2))/INDEX(終値!$E$5:$BL$5,1,$AL$2)*100,"")</f>
        <v>3.4532270246721688</v>
      </c>
      <c r="AH33" s="404">
        <f t="shared" si="13"/>
        <v>-7.1266964124272718</v>
      </c>
      <c r="AI33" s="402">
        <f t="shared" si="14"/>
        <v>-2</v>
      </c>
    </row>
    <row r="34" spans="1:35" s="192" customFormat="1" ht="18" customHeight="1">
      <c r="A34" s="181" t="str">
        <f>IF(銘柄管理!B196&lt;&gt;"",HYPERLINK("https://kabutan.jp/stock/?code="&amp;銘柄管理!B196,"株探"),"")</f>
        <v>株探</v>
      </c>
      <c r="B34" s="182"/>
      <c r="C34" s="183">
        <f>IF(銘柄管理!B196="","",銘柄管理!B196)</f>
        <v>4966</v>
      </c>
      <c r="D34" s="111" t="str">
        <f>IF(銘柄管理!C196="","",銘柄管理!C196)</f>
        <v>上村工業</v>
      </c>
      <c r="E34" s="184">
        <f>IF(C34&lt;&gt;"",_xll.RssMarket(C34,"現在値"),"")</f>
        <v>26340</v>
      </c>
      <c r="F34" s="184">
        <f>IF(C34&lt;&gt;"",_xll.RssMarket(C34,"始値"),"")</f>
        <v>26000</v>
      </c>
      <c r="G34" s="183">
        <f>IF(C34&lt;&gt;"",終値!F196,"")</f>
        <v>26410</v>
      </c>
      <c r="H34" s="184">
        <f>IF(C34&lt;&gt;"",_xll.RssMarket(C34,"高値"),"")</f>
        <v>26440</v>
      </c>
      <c r="I34" s="184">
        <f>IF(C34&lt;&gt;"",_xll.RssMarket(C34,"安値"),"")</f>
        <v>25750</v>
      </c>
      <c r="J34" s="184">
        <f>IF(C34&lt;&gt;"",_xll.RssMarket(C34,"出来高"),"")</f>
        <v>32600</v>
      </c>
      <c r="K34" s="184">
        <f>IF(C34&lt;&gt;"",_xll.RssMarket(C34,"年初来高値"),"")</f>
        <v>26960</v>
      </c>
      <c r="L34" s="185">
        <f t="shared" si="0"/>
        <v>-2.2997032640949553</v>
      </c>
      <c r="M34" s="184">
        <f>IF(C34&lt;&gt;"",IFERROR(AVERAGE(出来高!E196:I196),""),"")</f>
        <v>42660</v>
      </c>
      <c r="N34" s="184">
        <f>IF(C34&lt;&gt;"",IFERROR(AVERAGE(出来高!E196:AC196),""),"")</f>
        <v>54956</v>
      </c>
      <c r="O34" s="186">
        <f t="shared" si="1"/>
        <v>0.76418190342240977</v>
      </c>
      <c r="P34" s="181" t="str">
        <f t="shared" si="2"/>
        <v>減少↓</v>
      </c>
      <c r="Q34" s="181" t="str">
        <f t="shared" si="3"/>
        <v>様子見▼</v>
      </c>
      <c r="R34" s="184">
        <f t="shared" si="4"/>
        <v>28447</v>
      </c>
      <c r="S34" s="184">
        <f t="shared" si="5"/>
        <v>25286</v>
      </c>
      <c r="T34" s="181">
        <f t="shared" si="12"/>
        <v>6</v>
      </c>
      <c r="U34" s="181" t="str">
        <f t="shared" si="6"/>
        <v>要確認</v>
      </c>
      <c r="V34" s="181" t="str">
        <f t="shared" si="7"/>
        <v>高値圏</v>
      </c>
      <c r="W34" s="187">
        <f t="array" ref="W34">IF(C34&lt;&gt;"",IFERROR(100-100/(1+SUMPRODUCT((終値!F196:R196&gt;終値!G196:S196)*( 終値!F196:R196-終値!G196:S196))/SUMPRODUCT((終値!F196:R196&lt;終値!G196:S196)*(終値!G196:S196-終値!F196:R196))),50),"")</f>
        <v>66.710875331564978</v>
      </c>
      <c r="X34" s="188">
        <f>IF(C34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96.776256870954967</v>
      </c>
      <c r="Y34" s="1" t="str">
        <f>IF(T34="","",IF(銘柄管理!$F$5="下落▼",IF(AND(AD34="パーフェクト▲",OR(AE34="25日線押し目●",AE34="5日線押し目○")),"★逆張り候補",IF(AND(AD34="上昇トレンド▲",OR(AE34="25日線押し目●",AE34="5日線押し目○")),"○逆張り候補",IF(W34&lt;=30,IF(Z34&gt;0,"◎反発確認",IF(Z34&lt;-5,"△要注意・様子見","△売られ過ぎ注目")),"相場下落・見送り"))),IF(AND(T34&gt;=12,AD34="パーフェクト▲"),"★強い買い",IF(AND(T34&gt;=12,AD34="上昇トレンド▲"),"★強い買い",IF(AND(T34&gt;=8,OR(AE34="25日線押し目●",AE34="5日線押し目○")),"◎押し目買い",IF(T34&gt;=10,"○買い候補",IF(T34&gt;=6,"△注目",IF(T34&gt;=3,"様子見","見送り"))))))))</f>
        <v>△注目</v>
      </c>
      <c r="Z34" s="189">
        <f t="shared" si="8"/>
        <v>-0.26505111700113593</v>
      </c>
      <c r="AA34" s="181" t="str">
        <f t="shared" si="9"/>
        <v>下落▼</v>
      </c>
      <c r="AB34" s="497">
        <f>IF(C34="","",IFERROR(((終値!E36*0.333)+(終値!F36*0.222)+(終値!G36*0.148)+(終値!H36*0.099)+(終値!I36*0.066)+(終値!J36*0.044)+(終値!K36*0.029)+(終値!L36*0.019)+(終値!M36*0.013)+(終値!N36*0.009))/(0.333+0.222+0.148+0.099+0.066+0.044+0.029+0.019+0.013+0.009),""))</f>
        <v>1725.2118126272908</v>
      </c>
      <c r="AC34" s="497">
        <f>IF(C34="","",IFERROR(SUMPRODUCT((終値!E36:AC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1700.2193087008338</v>
      </c>
      <c r="AD34" s="498" t="str">
        <f t="shared" si="10"/>
        <v>パーフェクト▲</v>
      </c>
      <c r="AE34" s="498" t="str">
        <f t="shared" si="11"/>
        <v>なし</v>
      </c>
      <c r="AF34" s="403" cm="1">
        <f t="array" ref="AF34">IF(C34="","",IFERROR((INDEX(終値!$E:$E,MATCH(TEXT(C34,"0"),終値!$A:$A,0))-INDEX(終値!$E:$BL,MATCH(TEXT(C34,"0"),終値!$A:$A,0),$AL$2))/INDEX(終値!$E:$BL,MATCH(TEXT(C34,"0"),終値!$A:$A,0),$AL$2)*100,""))</f>
        <v>2.570093457943925</v>
      </c>
      <c r="AG34" s="403" cm="1">
        <f t="array" ref="AG34">IFERROR((終値!$E$5-INDEX(終値!$E$5:$BL$5,1,$AL$2))/INDEX(終値!$E$5:$BL$5,1,$AL$2)*100,"")</f>
        <v>3.4532270246721688</v>
      </c>
      <c r="AH34" s="404">
        <f t="shared" si="13"/>
        <v>-0.88313356672824384</v>
      </c>
      <c r="AI34" s="402">
        <f t="shared" si="14"/>
        <v>-1</v>
      </c>
    </row>
    <row r="35" spans="1:35" s="192" customFormat="1" ht="18" customHeight="1">
      <c r="A35" s="181" t="str">
        <f>IF(銘柄管理!B198&lt;&gt;"",HYPERLINK("https://kabutan.jp/stock/?code="&amp;銘柄管理!B198,"株探"),"")</f>
        <v>株探</v>
      </c>
      <c r="B35" s="182"/>
      <c r="C35" s="183">
        <f>IF(銘柄管理!B198="","",銘柄管理!B198)</f>
        <v>8035</v>
      </c>
      <c r="D35" s="111" t="str">
        <f>IF(銘柄管理!C198="","",銘柄管理!C198)</f>
        <v>東京エレクトロン</v>
      </c>
      <c r="E35" s="184">
        <f>IF(C35&lt;&gt;"",_xll.RssMarket(C35,"現在値"),"")</f>
        <v>72640</v>
      </c>
      <c r="F35" s="184">
        <f>IF(C35&lt;&gt;"",_xll.RssMarket(C35,"始値"),"")</f>
        <v>69970</v>
      </c>
      <c r="G35" s="183">
        <f>IF(C35&lt;&gt;"",終値!F198,"")</f>
        <v>70860</v>
      </c>
      <c r="H35" s="184">
        <f>IF(C35&lt;&gt;"",_xll.RssMarket(C35,"高値"),"")</f>
        <v>73220</v>
      </c>
      <c r="I35" s="184">
        <f>IF(C35&lt;&gt;"",_xll.RssMarket(C35,"安値"),"")</f>
        <v>69850</v>
      </c>
      <c r="J35" s="184">
        <f>IF(C35&lt;&gt;"",_xll.RssMarket(C35,"出来高"),"")</f>
        <v>4608500</v>
      </c>
      <c r="K35" s="184">
        <f>IF(C35&lt;&gt;"",_xll.RssMarket(C35,"年初来高値"),"")</f>
        <v>74800</v>
      </c>
      <c r="L35" s="185">
        <f t="shared" si="0"/>
        <v>-2.8877005347593583</v>
      </c>
      <c r="M35" s="184">
        <f>IF(C35&lt;&gt;"",IFERROR(AVERAGE(出来高!E198:I198),""),"")</f>
        <v>6009980</v>
      </c>
      <c r="N35" s="184">
        <f>IF(C35&lt;&gt;"",IFERROR(AVERAGE(出来高!E198:AC198),""),"")</f>
        <v>3741400</v>
      </c>
      <c r="O35" s="186">
        <f t="shared" si="1"/>
        <v>0.76680787623253321</v>
      </c>
      <c r="P35" s="181" t="str">
        <f t="shared" si="2"/>
        <v>減少↓</v>
      </c>
      <c r="Q35" s="181" t="str">
        <f t="shared" si="3"/>
        <v>中立→</v>
      </c>
      <c r="R35" s="184">
        <f t="shared" si="4"/>
        <v>78451</v>
      </c>
      <c r="S35" s="184">
        <f t="shared" si="5"/>
        <v>69734</v>
      </c>
      <c r="T35" s="181">
        <f t="shared" si="12"/>
        <v>10</v>
      </c>
      <c r="U35" s="181" t="str">
        <f t="shared" si="6"/>
        <v>要確認</v>
      </c>
      <c r="V35" s="181" t="str">
        <f t="shared" si="7"/>
        <v>高値圏</v>
      </c>
      <c r="W35" s="187">
        <f t="array" ref="W35">IF(C35&lt;&gt;"",IFERROR(100-100/(1+SUMPRODUCT((終値!F198:R198&gt;終値!G198:S198)*( 終値!F198:R198-終値!G198:S198))/SUMPRODUCT((終値!F198:R198&lt;終値!G198:S198)*(終値!G198:S198-終値!F198:R198))),50),"")</f>
        <v>75.715859030837009</v>
      </c>
      <c r="X35" s="188">
        <f>IF(C35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2419.1556048224957</v>
      </c>
      <c r="Y35" s="1" t="str">
        <f>IF(T35="","",IF(銘柄管理!$F$5="下落▼",IF(AND(AD35="パーフェクト▲",OR(AE35="25日線押し目●",AE35="5日線押し目○")),"★逆張り候補",IF(AND(AD35="上昇トレンド▲",OR(AE35="25日線押し目●",AE35="5日線押し目○")),"○逆張り候補",IF(W35&lt;=30,IF(Z35&gt;0,"◎反発確認",IF(Z35&lt;-5,"△要注意・様子見","△売られ過ぎ注目")),"相場下落・見送り"))),IF(AND(T35&gt;=12,AD35="パーフェクト▲"),"★強い買い",IF(AND(T35&gt;=12,AD35="上昇トレンド▲"),"★強い買い",IF(AND(T35&gt;=8,OR(AE35="25日線押し目●",AE35="5日線押し目○")),"◎押し目買い",IF(T35&gt;=10,"○買い候補",IF(T35&gt;=6,"△注目",IF(T35&gt;=3,"様子見","見送り"))))))))</f>
        <v>○買い候補</v>
      </c>
      <c r="Z35" s="189">
        <f t="shared" si="8"/>
        <v>2.5119954840530623</v>
      </c>
      <c r="AA35" s="181" t="str">
        <f t="shared" si="9"/>
        <v>上昇▲</v>
      </c>
      <c r="AB35" s="499">
        <f>IF(C35="","",IFERROR(((終値!E37*0.333)+(終値!F37*0.222)+(終値!G37*0.148)+(終値!H37*0.099)+(終値!I37*0.066)+(終値!J37*0.044)+(終値!K37*0.029)+(終値!L37*0.019)+(終値!M37*0.013)+(終値!N37*0.009))/(0.333+0.222+0.148+0.099+0.066+0.044+0.029+0.019+0.013+0.009),""))</f>
        <v>1490.8014256619142</v>
      </c>
      <c r="AC35" s="499">
        <f>IF(C35="","",IFERROR(SUMPRODUCT((終値!E37:AC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1502.7926102502972</v>
      </c>
      <c r="AD35" s="500" t="str">
        <f t="shared" ref="AD35:AD66" si="15">IF(OR(C35="",AB35="",AC35=""),"",IF(AND(E35&gt;AB35,AB35&gt;AC35),"パーフェクト▲",IF(E35&gt;AC35,"上昇トレンド▲",IF(AND(E35&lt;AB35,AB35&lt;AC35),"下降トレンド▼","もみ合い→"))))</f>
        <v>上昇トレンド▲</v>
      </c>
      <c r="AE35" s="500" t="str">
        <f t="shared" ref="AE35:AE66" si="16">IF(OR(C35="",AB35="",AC35=""),"",IF(AND(ABS(E35-AC35)/AC35&lt;=0.02,E35&gt;AC35),"25日押し目★",IF(AND(ABS(E35-AB35)/AB35&lt;=0.01,E35&gt;AB35),"5日押し目○","なし")))</f>
        <v>なし</v>
      </c>
      <c r="AF35" s="403" cm="1">
        <f t="array" ref="AF35">IF(C35="","",IFERROR((INDEX(終値!$E:$E,MATCH(TEXT(C35,"0"),終値!$A:$A,0))-INDEX(終値!$E:$BL,MATCH(TEXT(C35,"0"),終値!$A:$A,0),$AL$2))/INDEX(終値!$E:$BL,MATCH(TEXT(C35,"0"),終値!$A:$A,0),$AL$2)*100,""))</f>
        <v>41.875</v>
      </c>
      <c r="AG35" s="403" cm="1">
        <f t="array" ref="AG35">IFERROR((終値!$E$5-INDEX(終値!$E$5:$BL$5,1,$AL$2))/INDEX(終値!$E$5:$BL$5,1,$AL$2)*100,"")</f>
        <v>3.4532270246721688</v>
      </c>
      <c r="AH35" s="404">
        <f t="shared" si="13"/>
        <v>38.421772975327833</v>
      </c>
      <c r="AI35" s="402">
        <f t="shared" si="14"/>
        <v>3</v>
      </c>
    </row>
    <row r="36" spans="1:35" s="192" customFormat="1" ht="18" customHeight="1">
      <c r="A36" s="181" t="str">
        <f>IF(銘柄管理!B5&lt;&gt;"",HYPERLINK("https://kabutan.jp/stock/?code="&amp;銘柄管理!B5,"株探"),"")</f>
        <v>株探</v>
      </c>
      <c r="B36" s="182"/>
      <c r="C36" s="183" t="str">
        <f>IF(銘柄管理!B5="","",銘柄管理!B5)</f>
        <v>TOPX</v>
      </c>
      <c r="D36" s="111">
        <f>IF(銘柄管理!C5="","",銘柄管理!C5)</f>
        <v>4013.23</v>
      </c>
      <c r="E36" s="184" t="str">
        <f>IF(C36&lt;&gt;"",_xll.RssMarket(C36,"現在値"),"")</f>
        <v/>
      </c>
      <c r="F36" s="184" t="str">
        <f>IF(C36&lt;&gt;"",_xll.RssMarket(C36,"始値"),"")</f>
        <v/>
      </c>
      <c r="G36" s="184">
        <f>IF(C36&lt;&gt;"",終値!C5,"")</f>
        <v>4013.23</v>
      </c>
      <c r="H36" s="184" t="str">
        <f>IF(C36&lt;&gt;"",_xll.RssMarket(C36,"高値"),"")</f>
        <v/>
      </c>
      <c r="I36" s="184" t="str">
        <f>IF(C36&lt;&gt;"",_xll.RssMarket(C36,"安値"),"")</f>
        <v/>
      </c>
      <c r="J36" s="184" t="str">
        <f>IF(C36&lt;&gt;"",_xll.RssMarket(C36,"出来高"),"")</f>
        <v/>
      </c>
      <c r="K36" s="184" t="str">
        <f>IF(C36&lt;&gt;"",_xll.RssMarket(C36,"年初来高値"),"")</f>
        <v/>
      </c>
      <c r="L36" s="185" t="str">
        <f t="shared" si="0"/>
        <v/>
      </c>
      <c r="M36" s="184">
        <f>IF(C36&lt;&gt;"",IFERROR(AVERAGE(出来高!E5:H5),""),"")</f>
        <v>261432.5</v>
      </c>
      <c r="N36" s="184">
        <f>IF(C36&lt;&gt;"",IFERROR(AVERAGE(出来高!E5:AB5),""),"")</f>
        <v>289152.04761904763</v>
      </c>
      <c r="O36" s="186" t="str">
        <f t="shared" si="1"/>
        <v/>
      </c>
      <c r="P36" s="181" t="str">
        <f t="shared" si="2"/>
        <v/>
      </c>
      <c r="Q36" s="181" t="str">
        <f t="shared" si="3"/>
        <v/>
      </c>
      <c r="R36" s="184" t="str">
        <f>IF(E36&lt;&gt;"",ROUND(E36*1.05,0),"")</f>
        <v/>
      </c>
      <c r="S36" s="184" t="str">
        <f>IF(E36&lt;&gt;"",ROUND(E36*0.95,0),"")</f>
        <v/>
      </c>
      <c r="T36" s="181">
        <f t="shared" si="12"/>
        <v>0</v>
      </c>
      <c r="U36" s="181"/>
      <c r="V36" s="181" t="str">
        <f t="shared" si="7"/>
        <v/>
      </c>
      <c r="W36" s="187"/>
      <c r="X36" s="188"/>
      <c r="Y36" s="1" t="e">
        <f>IF(T36="","",IF(銘柄管理!$F$5="下落▼",IF(AND(AD36="パーフェクト▲",OR(AE36="25日線押し目●",AE36="5日線押し目○")),"★逆張り候補",IF(AND(AD36="上昇トレンド▲",OR(AE36="25日線押し目●",AE36="5日線押し目○")),"○逆張り候補",IF(W36&lt;=30,IF(Z36&gt;0,"◎反発確認",IF(Z36&lt;-5,"△要注意・様子見","△売られ過ぎ注目")),"相場下落・見送り"))),IF(AND(T36&gt;=12,AD36="パーフェクト▲"),"★強い買い",IF(AND(T36&gt;=12,AD36="上昇トレンド▲"),"★強い買い",IF(AND(T36&gt;=8,OR(AE36="25日線押し目●",AE36="5日線押し目○")),"◎押し目買い",IF(T36&gt;=10,"○買い候補",IF(T36&gt;=6,"△注目",IF(T36&gt;=3,"様子見","見送り"))))))))</f>
        <v>#VALUE!</v>
      </c>
      <c r="Z36" s="189"/>
      <c r="AA36" s="181"/>
      <c r="AB36" s="497">
        <f>IF(C36="","",IFERROR(((終値!E38*0.333)+(終値!F38*0.222)+(終値!G38*0.148)+(終値!H38*0.099)+(終値!I38*0.066)+(終値!J38*0.044)+(終値!K38*0.029)+(終値!L38*0.019)+(終値!M38*0.013)+(終値!N38*0.009))/(0.333+0.222+0.148+0.099+0.066+0.044+0.029+0.019+0.013+0.009),""))</f>
        <v>1956.0697556008142</v>
      </c>
      <c r="AC36" s="497">
        <f>IF(C36="","",IFERROR(SUMPRODUCT((終値!E38:AC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1945.8837902264593</v>
      </c>
      <c r="AD36" s="498" t="str">
        <f t="shared" si="15"/>
        <v>パーフェクト▲</v>
      </c>
      <c r="AE36" s="498" t="e">
        <f t="shared" si="16"/>
        <v>#VALUE!</v>
      </c>
      <c r="AF36" s="403" cm="1">
        <f t="array" ref="AF36">IF(C36="","",IFERROR((INDEX(終値!$E:$E,MATCH(TEXT(C36,"0"),終値!$A:$A,0))-INDEX(終値!$E:$BL,MATCH(TEXT(C36,"0"),終値!$A:$A,0),$AL$2))/INDEX(終値!$E:$BL,MATCH(TEXT(C36,"0"),終値!$A:$A,0),$AL$2)*100,""))</f>
        <v>3.4532270246721688</v>
      </c>
      <c r="AG36" s="403" cm="1">
        <f t="array" ref="AG36">IFERROR((終値!$E$5-INDEX(終値!$E$5:$BL$5,1,$AL$2))/INDEX(終値!$E$5:$BL$5,1,$AL$2)*100,"")</f>
        <v>3.4532270246721688</v>
      </c>
      <c r="AH36" s="404">
        <f t="shared" si="13"/>
        <v>0</v>
      </c>
      <c r="AI36" s="402">
        <f t="shared" si="14"/>
        <v>-1</v>
      </c>
    </row>
    <row r="37" spans="1:35" s="192" customFormat="1" ht="18" customHeight="1">
      <c r="A37" s="181" t="str">
        <f>IF(銘柄管理!B17&lt;&gt;"",HYPERLINK("https://kabutan.jp/stock/?code="&amp;銘柄管理!B17,"株探"),"")</f>
        <v>株探</v>
      </c>
      <c r="B37" s="182"/>
      <c r="C37" s="183">
        <f>IF(銘柄管理!B17="","",銘柄管理!B17)</f>
        <v>5333</v>
      </c>
      <c r="D37" s="111" t="str">
        <f>IF(銘柄管理!C17="","",銘柄管理!C17)</f>
        <v>ＮＧＫ</v>
      </c>
      <c r="E37" s="184">
        <f>IF(C37&lt;&gt;"",_xll.RssMarket(C37,"現在値"),"")</f>
        <v>6972</v>
      </c>
      <c r="F37" s="184">
        <f>IF(C37&lt;&gt;"",_xll.RssMarket(C37,"始値"),"")</f>
        <v>6735</v>
      </c>
      <c r="G37" s="183">
        <f>IF(C37&lt;&gt;"",終値!F17,"")</f>
        <v>6747</v>
      </c>
      <c r="H37" s="184">
        <f>IF(C37&lt;&gt;"",_xll.RssMarket(C37,"高値"),"")</f>
        <v>6974</v>
      </c>
      <c r="I37" s="184">
        <f>IF(C37&lt;&gt;"",_xll.RssMarket(C37,"安値"),"")</f>
        <v>6706</v>
      </c>
      <c r="J37" s="184">
        <f>IF(C37&lt;&gt;"",_xll.RssMarket(C37,"出来高"),"")</f>
        <v>1474400</v>
      </c>
      <c r="K37" s="184">
        <f>IF(C37&lt;&gt;"",_xll.RssMarket(C37,"年初来高値"),"")</f>
        <v>6807</v>
      </c>
      <c r="L37" s="185">
        <f t="shared" si="0"/>
        <v>2.4239753195240197</v>
      </c>
      <c r="M37" s="184">
        <f>IF(C37&lt;&gt;"",IFERROR(AVERAGE(出来高!E17:I17),""),"")</f>
        <v>1715360</v>
      </c>
      <c r="N37" s="184">
        <f>IF(C37&lt;&gt;"",IFERROR(AVERAGE(出来高!E17:AC17),""),"")</f>
        <v>1811768</v>
      </c>
      <c r="O37" s="186">
        <f t="shared" si="1"/>
        <v>0.85952802910176285</v>
      </c>
      <c r="P37" s="181" t="str">
        <f t="shared" si="2"/>
        <v>減少↓</v>
      </c>
      <c r="Q37" s="181" t="str">
        <f t="shared" si="3"/>
        <v>中立→</v>
      </c>
      <c r="R37" s="184">
        <f t="shared" ref="R37:R68" si="17">IF(E37&lt;&gt;"",ROUND(E37*1.08,0),"")</f>
        <v>7530</v>
      </c>
      <c r="S37" s="184">
        <f t="shared" ref="S37:S68" si="18">IF(E37&lt;&gt;"",ROUND(E37*0.96,0),"")</f>
        <v>6693</v>
      </c>
      <c r="T37" s="181">
        <f t="shared" si="12"/>
        <v>12</v>
      </c>
      <c r="U37" s="181" t="str">
        <f t="shared" ref="U37:U68" si="19">IF(T37="","",IF(AND(T37&gt;=3,O37&gt;=1.5),"有効",IF(T37&gt;=3,"要確認","除外")))</f>
        <v>要確認</v>
      </c>
      <c r="V37" s="181" t="str">
        <f t="shared" si="7"/>
        <v>年初来高値更新●</v>
      </c>
      <c r="W37" s="187">
        <f t="array" ref="W37">IF(C37&lt;&gt;"",IFERROR(100-100/(1+SUMPRODUCT((終値!F17:R17&gt;終値!G17:S17)*( 終値!F17:R17-終値!G17:S17))/SUMPRODUCT((終値!F17:R17&lt;終値!G17:S17)*(終値!G17:S17-終値!F17:R17))),50),"")</f>
        <v>59.84598459845985</v>
      </c>
      <c r="X37" s="188">
        <f>IF(C37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95.322483770433792</v>
      </c>
      <c r="Y37" s="1" t="str">
        <f>IF(T37="","",IF(銘柄管理!$F$5="下落▼",IF(AND(AD37="パーフェクト▲",OR(AE37="25日線押し目●",AE37="5日線押し目○")),"★逆張り候補",IF(AND(AD37="上昇トレンド▲",OR(AE37="25日線押し目●",AE37="5日線押し目○")),"○逆張り候補",IF(W37&lt;=30,IF(Z37&gt;0,"◎反発確認",IF(Z37&lt;-5,"△要注意・様子見","△売られ過ぎ注目")),"相場下落・見送り"))),IF(AND(T37&gt;=12,AD37="パーフェクト▲"),"★強い買い",IF(AND(T37&gt;=12,AD37="上昇トレンド▲"),"★強い買い",IF(AND(T37&gt;=8,OR(AE37="25日線押し目●",AE37="5日線押し目○")),"◎押し目買い",IF(T37&gt;=10,"○買い候補",IF(T37&gt;=6,"△注目",IF(T37&gt;=3,"様子見","見送り"))))))))</f>
        <v>★強い買い</v>
      </c>
      <c r="Z37" s="189">
        <f t="shared" ref="Z37:Z68" si="20">IF(AND(E37&lt;&gt;"",G37&lt;&gt;"",G37&lt;&gt;0),(E37-G37)/G37*100,"")</f>
        <v>3.3348154735437974</v>
      </c>
      <c r="AA37" s="181" t="str">
        <f t="shared" ref="AA37:AA68" si="21">IF(OR(C37="",E37="",E37=0),"",IF(E37&gt;G37,"上昇▲",IF(E37&lt;G37,"下落▼","横ばい→")))</f>
        <v>上昇▲</v>
      </c>
      <c r="AB37" s="499">
        <f>IF(C37="","",IFERROR(((終値!E39*0.333)+(終値!F39*0.222)+(終値!G39*0.148)+(終値!H39*0.099)+(終値!I39*0.066)+(終値!J39*0.044)+(終値!K39*0.029)+(終値!L39*0.019)+(終値!M39*0.013)+(終値!N39*0.009))/(0.333+0.222+0.148+0.099+0.066+0.044+0.029+0.019+0.013+0.009),""))</f>
        <v>1315.4750509164967</v>
      </c>
      <c r="AC37" s="499">
        <f>IF(C37="","",IFERROR(SUMPRODUCT((終値!E39:AC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1317.7079856972582</v>
      </c>
      <c r="AD37" s="500" t="str">
        <f t="shared" si="15"/>
        <v>上昇トレンド▲</v>
      </c>
      <c r="AE37" s="500" t="str">
        <f t="shared" si="16"/>
        <v>なし</v>
      </c>
      <c r="AF37" s="403" cm="1">
        <f t="array" ref="AF37">IF(C37="","",IFERROR((INDEX(終値!$E:$E,MATCH(TEXT(C37,"0"),終値!$A:$A,0))-INDEX(終値!$E:$BL,MATCH(TEXT(C37,"0"),終値!$A:$A,0),$AL$2))/INDEX(終値!$E:$BL,MATCH(TEXT(C37,"0"),終値!$A:$A,0),$AL$2)*100,""))</f>
        <v>20.476931052358736</v>
      </c>
      <c r="AG37" s="403" cm="1">
        <f t="array" ref="AG37">IFERROR((終値!$E$5-INDEX(終値!$E$5:$BL$5,1,$AL$2))/INDEX(終値!$E$5:$BL$5,1,$AL$2)*100,"")</f>
        <v>3.4532270246721688</v>
      </c>
      <c r="AH37" s="404">
        <f t="shared" si="13"/>
        <v>17.023704027686566</v>
      </c>
      <c r="AI37" s="402">
        <f t="shared" si="14"/>
        <v>3</v>
      </c>
    </row>
    <row r="38" spans="1:35" s="192" customFormat="1" ht="18" customHeight="1">
      <c r="A38" s="181" t="str">
        <f>IF(銘柄管理!B47&lt;&gt;"",HYPERLINK("https://kabutan.jp/stock/?code="&amp;銘柄管理!B47,"株探"),"")</f>
        <v>株探</v>
      </c>
      <c r="B38" s="182"/>
      <c r="C38" s="183">
        <f>IF(銘柄管理!B47="","",銘柄管理!B47)</f>
        <v>8572</v>
      </c>
      <c r="D38" s="111" t="str">
        <f>IF(銘柄管理!C47="","",銘柄管理!C47)</f>
        <v>アコム</v>
      </c>
      <c r="E38" s="184">
        <f>IF(C38&lt;&gt;"",_xll.RssMarket(C38,"現在値"),"")</f>
        <v>450.6</v>
      </c>
      <c r="F38" s="184">
        <f>IF(C38&lt;&gt;"",_xll.RssMarket(C38,"始値"),"")</f>
        <v>453.3</v>
      </c>
      <c r="G38" s="183">
        <f>IF(C38&lt;&gt;"",終値!F47,"")</f>
        <v>449.3</v>
      </c>
      <c r="H38" s="184">
        <f>IF(C38&lt;&gt;"",_xll.RssMarket(C38,"高値"),"")</f>
        <v>453.7</v>
      </c>
      <c r="I38" s="184">
        <f>IF(C38&lt;&gt;"",_xll.RssMarket(C38,"安値"),"")</f>
        <v>449</v>
      </c>
      <c r="J38" s="184">
        <f>IF(C38&lt;&gt;"",_xll.RssMarket(C38,"出来高"),"")</f>
        <v>1330300</v>
      </c>
      <c r="K38" s="184">
        <f>IF(C38&lt;&gt;"",_xll.RssMarket(C38,"年初来高値"),"")</f>
        <v>539.9</v>
      </c>
      <c r="L38" s="185">
        <f t="shared" si="0"/>
        <v>-16.54010001852194</v>
      </c>
      <c r="M38" s="184">
        <f>IF(C38&lt;&gt;"",IFERROR(AVERAGE(出来高!E47:I47),""),"")</f>
        <v>1189700</v>
      </c>
      <c r="N38" s="184">
        <f>IF(C38&lt;&gt;"",IFERROR(AVERAGE(出来高!E47:AC47),""),"")</f>
        <v>1801148</v>
      </c>
      <c r="O38" s="186">
        <f t="shared" si="1"/>
        <v>1.1181810540472388</v>
      </c>
      <c r="P38" s="181" t="str">
        <f t="shared" si="2"/>
        <v>普通→</v>
      </c>
      <c r="Q38" s="181" t="str">
        <f t="shared" si="3"/>
        <v>中立→</v>
      </c>
      <c r="R38" s="184">
        <f t="shared" si="17"/>
        <v>487</v>
      </c>
      <c r="S38" s="184">
        <f t="shared" si="18"/>
        <v>433</v>
      </c>
      <c r="T38" s="181">
        <f t="shared" si="12"/>
        <v>2</v>
      </c>
      <c r="U38" s="181" t="str">
        <f t="shared" si="19"/>
        <v>除外</v>
      </c>
      <c r="V38" s="181" t="str">
        <f t="shared" si="7"/>
        <v>通常</v>
      </c>
      <c r="W38" s="187">
        <f t="array" ref="W38">IF(C38&lt;&gt;"",IFERROR(100-100/(1+SUMPRODUCT((終値!F47:R47&gt;終値!G47:S47)*( 終値!F47:R47-終値!G47:S47))/SUMPRODUCT((終値!F47:R47&lt;終値!G47:S47)*(終値!G47:S47-終値!F47:R47))),50),"")</f>
        <v>37.12121212121216</v>
      </c>
      <c r="X38" s="188">
        <f>IF(C38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-2.5449609734157548</v>
      </c>
      <c r="Y38" s="1" t="str">
        <f>IF(T38="","",IF(銘柄管理!$F$5="下落▼",IF(AND(AD38="パーフェクト▲",OR(AE38="25日線押し目●",AE38="5日線押し目○")),"★逆張り候補",IF(AND(AD38="上昇トレンド▲",OR(AE38="25日線押し目●",AE38="5日線押し目○")),"○逆張り候補",IF(W38&lt;=30,IF(Z38&gt;0,"◎反発確認",IF(Z38&lt;-5,"△要注意・様子見","△売られ過ぎ注目")),"相場下落・見送り"))),IF(AND(T38&gt;=12,AD38="パーフェクト▲"),"★強い買い",IF(AND(T38&gt;=12,AD38="上昇トレンド▲"),"★強い買い",IF(AND(T38&gt;=8,OR(AE38="25日線押し目●",AE38="5日線押し目○")),"◎押し目買い",IF(T38&gt;=10,"○買い候補",IF(T38&gt;=6,"△注目",IF(T38&gt;=3,"様子見","見送り"))))))))</f>
        <v>見送り</v>
      </c>
      <c r="Z38" s="189">
        <f t="shared" si="20"/>
        <v>0.28933897173381068</v>
      </c>
      <c r="AA38" s="181" t="str">
        <f t="shared" si="21"/>
        <v>上昇▲</v>
      </c>
      <c r="AB38" s="497">
        <f>IF(C38="","",IFERROR(((終値!E40*0.333)+(終値!F40*0.222)+(終値!G40*0.148)+(終値!H40*0.099)+(終値!I40*0.066)+(終値!J40*0.044)+(終値!K40*0.029)+(終値!L40*0.019)+(終値!M40*0.013)+(終値!N40*0.009))/(0.333+0.222+0.148+0.099+0.066+0.044+0.029+0.019+0.013+0.009),""))</f>
        <v>1404.3772912423622</v>
      </c>
      <c r="AC38" s="497">
        <f>IF(C38="","",IFERROR(SUMPRODUCT((終値!E40:AC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1340.5321811680567</v>
      </c>
      <c r="AD38" s="498" t="str">
        <f t="shared" si="15"/>
        <v>もみ合い→</v>
      </c>
      <c r="AE38" s="498" t="str">
        <f t="shared" si="16"/>
        <v>なし</v>
      </c>
      <c r="AF38" s="403" cm="1">
        <f t="array" ref="AF38">IF(C38="","",IFERROR((INDEX(終値!$E:$E,MATCH(TEXT(C38,"0"),終値!$A:$A,0))-INDEX(終値!$E:$BL,MATCH(TEXT(C38,"0"),終値!$A:$A,0),$AL$2))/INDEX(終値!$E:$BL,MATCH(TEXT(C38,"0"),終値!$A:$A,0),$AL$2)*100,""))</f>
        <v>-1.8086729134887676</v>
      </c>
      <c r="AG38" s="403" cm="1">
        <f t="array" ref="AG38">IFERROR((終値!$E$5-INDEX(終値!$E$5:$BL$5,1,$AL$2))/INDEX(終値!$E$5:$BL$5,1,$AL$2)*100,"")</f>
        <v>3.4532270246721688</v>
      </c>
      <c r="AH38" s="404">
        <f t="shared" si="13"/>
        <v>-5.2618999381609362</v>
      </c>
      <c r="AI38" s="402">
        <f t="shared" si="14"/>
        <v>-2</v>
      </c>
    </row>
    <row r="39" spans="1:35" s="192" customFormat="1" ht="18" customHeight="1">
      <c r="A39" s="181" t="str">
        <f>IF(銘柄管理!B68&lt;&gt;"",HYPERLINK("https://kabutan.jp/stock/?code="&amp;銘柄管理!B68,"株探"),"")</f>
        <v>株探</v>
      </c>
      <c r="B39" s="182"/>
      <c r="C39" s="183">
        <f>IF(銘柄管理!B68="","",銘柄管理!B68)</f>
        <v>6503</v>
      </c>
      <c r="D39" s="111" t="str">
        <f>IF(銘柄管理!C68="","",銘柄管理!C68)</f>
        <v>三菱電機</v>
      </c>
      <c r="E39" s="184">
        <f>IF(C39&lt;&gt;"",_xll.RssMarket(C39,"現在値"),"")</f>
        <v>5863</v>
      </c>
      <c r="F39" s="184">
        <f>IF(C39&lt;&gt;"",_xll.RssMarket(C39,"始値"),"")</f>
        <v>5853</v>
      </c>
      <c r="G39" s="183">
        <f>IF(C39&lt;&gt;"",終値!F68,"")</f>
        <v>5872</v>
      </c>
      <c r="H39" s="184">
        <f>IF(C39&lt;&gt;"",_xll.RssMarket(C39,"高値"),"")</f>
        <v>5925</v>
      </c>
      <c r="I39" s="184">
        <f>IF(C39&lt;&gt;"",_xll.RssMarket(C39,"安値"),"")</f>
        <v>5790</v>
      </c>
      <c r="J39" s="184">
        <f>IF(C39&lt;&gt;"",_xll.RssMarket(C39,"出来高"),"")</f>
        <v>4255000</v>
      </c>
      <c r="K39" s="184">
        <f>IF(C39&lt;&gt;"",_xll.RssMarket(C39,"年初来高値"),"")</f>
        <v>6686</v>
      </c>
      <c r="L39" s="185">
        <f t="shared" si="0"/>
        <v>-12.309303021238408</v>
      </c>
      <c r="M39" s="184">
        <f>IF(C39&lt;&gt;"",IFERROR(AVERAGE(出来高!E68:I68),""),"")</f>
        <v>7132800</v>
      </c>
      <c r="N39" s="184">
        <f>IF(C39&lt;&gt;"",IFERROR(AVERAGE(出来高!E68:AC68),""),"")</f>
        <v>7496384</v>
      </c>
      <c r="O39" s="186">
        <f t="shared" si="1"/>
        <v>0.5965399282189322</v>
      </c>
      <c r="P39" s="181" t="str">
        <f t="shared" si="2"/>
        <v>減少↓</v>
      </c>
      <c r="Q39" s="181" t="str">
        <f t="shared" si="3"/>
        <v>様子見▼</v>
      </c>
      <c r="R39" s="184">
        <f t="shared" si="17"/>
        <v>6332</v>
      </c>
      <c r="S39" s="184">
        <f t="shared" si="18"/>
        <v>5628</v>
      </c>
      <c r="T39" s="181">
        <f t="shared" si="12"/>
        <v>3</v>
      </c>
      <c r="U39" s="181" t="str">
        <f t="shared" si="19"/>
        <v>要確認</v>
      </c>
      <c r="V39" s="181" t="str">
        <f t="shared" si="7"/>
        <v>通常</v>
      </c>
      <c r="W39" s="187">
        <f t="array" ref="W39">IF(C39&lt;&gt;"",IFERROR(100-100/(1+SUMPRODUCT((終値!F68:R68&gt;終値!G68:S68)*( 終値!F68:R68-終値!G68:S68))/SUMPRODUCT((終値!F68:R68&lt;終値!G68:S68)*(終値!G68:S68-終値!F68:R68))),50),"")</f>
        <v>32.340862422997958</v>
      </c>
      <c r="X39" s="188">
        <f>IF(C39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-91.468259306873733</v>
      </c>
      <c r="Y39" s="1" t="str">
        <f>IF(T39="","",IF(銘柄管理!$F$5="下落▼",IF(AND(AD39="パーフェクト▲",OR(AE39="25日線押し目●",AE39="5日線押し目○")),"★逆張り候補",IF(AND(AD39="上昇トレンド▲",OR(AE39="25日線押し目●",AE39="5日線押し目○")),"○逆張り候補",IF(W39&lt;=30,IF(Z39&gt;0,"◎反発確認",IF(Z39&lt;-5,"△要注意・様子見","△売られ過ぎ注目")),"相場下落・見送り"))),IF(AND(T39&gt;=12,AD39="パーフェクト▲"),"★強い買い",IF(AND(T39&gt;=12,AD39="上昇トレンド▲"),"★強い買い",IF(AND(T39&gt;=8,OR(AE39="25日線押し目●",AE39="5日線押し目○")),"◎押し目買い",IF(T39&gt;=10,"○買い候補",IF(T39&gt;=6,"△注目",IF(T39&gt;=3,"様子見","見送り"))))))))</f>
        <v>様子見</v>
      </c>
      <c r="Z39" s="189">
        <f t="shared" si="20"/>
        <v>-0.15326975476839239</v>
      </c>
      <c r="AA39" s="181" t="str">
        <f t="shared" si="21"/>
        <v>下落▼</v>
      </c>
      <c r="AB39" s="499">
        <f>IF(C39="","",IFERROR(((終値!E41*0.333)+(終値!F41*0.222)+(終値!G41*0.148)+(終値!H41*0.099)+(終値!I41*0.066)+(終値!J41*0.044)+(終値!K41*0.029)+(終値!L41*0.019)+(終値!M41*0.013)+(終値!N41*0.009))/(0.333+0.222+0.148+0.099+0.066+0.044+0.029+0.019+0.013+0.009),""))</f>
        <v>791.90040733197566</v>
      </c>
      <c r="AC39" s="499">
        <f>IF(C39="","",IFERROR(SUMPRODUCT((終値!E41:AC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789.87640047675768</v>
      </c>
      <c r="AD39" s="500" t="str">
        <f t="shared" si="15"/>
        <v>パーフェクト▲</v>
      </c>
      <c r="AE39" s="500" t="str">
        <f t="shared" si="16"/>
        <v>なし</v>
      </c>
      <c r="AF39" s="403" cm="1">
        <f t="array" ref="AF39">IF(C39="","",IFERROR((INDEX(終値!$E:$E,MATCH(TEXT(C39,"0"),終値!$A:$A,0))-INDEX(終値!$E:$BL,MATCH(TEXT(C39,"0"),終値!$A:$A,0),$AL$2))/INDEX(終値!$E:$BL,MATCH(TEXT(C39,"0"),終値!$A:$A,0),$AL$2)*100,""))</f>
        <v>-8.9030453697949046</v>
      </c>
      <c r="AG39" s="403" cm="1">
        <f t="array" ref="AG39">IFERROR((終値!$E$5-INDEX(終値!$E$5:$BL$5,1,$AL$2))/INDEX(終値!$E$5:$BL$5,1,$AL$2)*100,"")</f>
        <v>3.4532270246721688</v>
      </c>
      <c r="AH39" s="404">
        <f t="shared" si="13"/>
        <v>-12.356272394467073</v>
      </c>
      <c r="AI39" s="402">
        <f t="shared" si="14"/>
        <v>-2</v>
      </c>
    </row>
    <row r="40" spans="1:35" s="192" customFormat="1" ht="18" customHeight="1">
      <c r="A40" s="181" t="str">
        <f>IF(銘柄管理!B86&lt;&gt;"",HYPERLINK("https://kabutan.jp/stock/?code="&amp;銘柄管理!B86,"株探"),"")</f>
        <v>株探</v>
      </c>
      <c r="B40" s="182"/>
      <c r="C40" s="183">
        <f>IF(銘柄管理!B86="","",銘柄管理!B86)</f>
        <v>1963</v>
      </c>
      <c r="D40" s="111" t="str">
        <f>IF(銘柄管理!C86="","",銘柄管理!C86)</f>
        <v>日揮ホールディングス</v>
      </c>
      <c r="E40" s="184">
        <f>IF(C40&lt;&gt;"",_xll.RssMarket(C40,"現在値"),"")</f>
        <v>2760</v>
      </c>
      <c r="F40" s="184">
        <f>IF(C40&lt;&gt;"",_xll.RssMarket(C40,"始値"),"")</f>
        <v>2680</v>
      </c>
      <c r="G40" s="183">
        <f>IF(C40&lt;&gt;"",終値!F86,"")</f>
        <v>2664</v>
      </c>
      <c r="H40" s="184">
        <f>IF(C40&lt;&gt;"",_xll.RssMarket(C40,"高値"),"")</f>
        <v>2806.5</v>
      </c>
      <c r="I40" s="184">
        <f>IF(C40&lt;&gt;"",_xll.RssMarket(C40,"安値"),"")</f>
        <v>2673.5</v>
      </c>
      <c r="J40" s="184">
        <f>IF(C40&lt;&gt;"",_xll.RssMarket(C40,"出来高"),"")</f>
        <v>1864000</v>
      </c>
      <c r="K40" s="184">
        <f>IF(C40&lt;&gt;"",_xll.RssMarket(C40,"年初来高値"),"")</f>
        <v>2927.5</v>
      </c>
      <c r="L40" s="185">
        <f t="shared" si="0"/>
        <v>-5.7216054654141759</v>
      </c>
      <c r="M40" s="184">
        <f>IF(C40&lt;&gt;"",IFERROR(AVERAGE(出来高!E86:I86),""),"")</f>
        <v>1511860</v>
      </c>
      <c r="N40" s="184">
        <f>IF(C40&lt;&gt;"",IFERROR(AVERAGE(出来高!E86:AC86),""),"")</f>
        <v>2360364</v>
      </c>
      <c r="O40" s="186">
        <f t="shared" si="1"/>
        <v>1.2329183919145952</v>
      </c>
      <c r="P40" s="181" t="str">
        <f t="shared" si="2"/>
        <v>普通→</v>
      </c>
      <c r="Q40" s="181" t="str">
        <f t="shared" si="3"/>
        <v>中立→</v>
      </c>
      <c r="R40" s="184">
        <f t="shared" si="17"/>
        <v>2981</v>
      </c>
      <c r="S40" s="184">
        <f t="shared" si="18"/>
        <v>2650</v>
      </c>
      <c r="T40" s="181">
        <f t="shared" si="12"/>
        <v>9</v>
      </c>
      <c r="U40" s="181" t="str">
        <f t="shared" si="19"/>
        <v>要確認</v>
      </c>
      <c r="V40" s="181" t="str">
        <f t="shared" si="7"/>
        <v>高値圏</v>
      </c>
      <c r="W40" s="187">
        <f t="array" ref="W40">IF(C40&lt;&gt;"",IFERROR(100-100/(1+SUMPRODUCT((終値!F86:R86&gt;終値!G86:S86)*( 終値!F86:R86-終値!G86:S86))/SUMPRODUCT((終値!F86:R86&lt;終値!G86:S86)*(終値!G86:S86-終値!F86:R86))),50),"")</f>
        <v>38.416763678696157</v>
      </c>
      <c r="X40" s="188">
        <f>IF(C40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-6.2286707079701955</v>
      </c>
      <c r="Y40" s="1" t="str">
        <f>IF(T40="","",IF(銘柄管理!$F$5="下落▼",IF(AND(AD40="パーフェクト▲",OR(AE40="25日線押し目●",AE40="5日線押し目○")),"★逆張り候補",IF(AND(AD40="上昇トレンド▲",OR(AE40="25日線押し目●",AE40="5日線押し目○")),"○逆張り候補",IF(W40&lt;=30,IF(Z40&gt;0,"◎反発確認",IF(Z40&lt;-5,"△要注意・様子見","△売られ過ぎ注目")),"相場下落・見送り"))),IF(AND(T40&gt;=12,AD40="パーフェクト▲"),"★強い買い",IF(AND(T40&gt;=12,AD40="上昇トレンド▲"),"★強い買い",IF(AND(T40&gt;=8,OR(AE40="25日線押し目●",AE40="5日線押し目○")),"◎押し目買い",IF(T40&gt;=10,"○買い候補",IF(T40&gt;=6,"△注目",IF(T40&gt;=3,"様子見","見送り"))))))))</f>
        <v>△注目</v>
      </c>
      <c r="Z40" s="189">
        <f t="shared" si="20"/>
        <v>3.6036036036036037</v>
      </c>
      <c r="AA40" s="181" t="str">
        <f t="shared" si="21"/>
        <v>上昇▲</v>
      </c>
      <c r="AB40" s="497">
        <f>IF(C40="","",IFERROR(((終値!E42*0.333)+(終値!F42*0.222)+(終値!G42*0.148)+(終値!H42*0.099)+(終値!I42*0.066)+(終値!J42*0.044)+(終値!K42*0.029)+(終値!L42*0.019)+(終値!M42*0.013)+(終値!N42*0.009))/(0.333+0.222+0.148+0.099+0.066+0.044+0.029+0.019+0.013+0.009),""))</f>
        <v>3463.6894093686346</v>
      </c>
      <c r="AC40" s="497">
        <f>IF(C40="","",IFERROR(SUMPRODUCT((終値!E42:AC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3456.2145411203796</v>
      </c>
      <c r="AD40" s="498" t="str">
        <f t="shared" si="15"/>
        <v>もみ合い→</v>
      </c>
      <c r="AE40" s="498" t="str">
        <f t="shared" si="16"/>
        <v>なし</v>
      </c>
      <c r="AF40" s="403" cm="1">
        <f t="array" ref="AF40">IF(C40="","",IFERROR((INDEX(終値!$E:$E,MATCH(TEXT(C40,"0"),終値!$A:$A,0))-INDEX(終値!$E:$BL,MATCH(TEXT(C40,"0"),終値!$A:$A,0),$AL$2))/INDEX(終値!$E:$BL,MATCH(TEXT(C40,"0"),終値!$A:$A,0),$AL$2)*100,""))</f>
        <v>15.360501567398119</v>
      </c>
      <c r="AG40" s="403" cm="1">
        <f t="array" ref="AG40">IFERROR((終値!$E$5-INDEX(終値!$E$5:$BL$5,1,$AL$2))/INDEX(終値!$E$5:$BL$5,1,$AL$2)*100,"")</f>
        <v>3.4532270246721688</v>
      </c>
      <c r="AH40" s="404">
        <f t="shared" si="13"/>
        <v>11.907274542725951</v>
      </c>
      <c r="AI40" s="402">
        <f t="shared" si="14"/>
        <v>3</v>
      </c>
    </row>
    <row r="41" spans="1:35" s="192" customFormat="1" ht="18" customHeight="1">
      <c r="A41" s="181" t="str">
        <f>IF(銘柄管理!B90&lt;&gt;"",HYPERLINK("https://kabutan.jp/stock/?code="&amp;銘柄管理!B90,"株探"),"")</f>
        <v>株探</v>
      </c>
      <c r="B41" s="182"/>
      <c r="C41" s="183">
        <f>IF(銘柄管理!B90="","",銘柄管理!B90)</f>
        <v>6323</v>
      </c>
      <c r="D41" s="111" t="str">
        <f>IF(銘柄管理!C90="","",銘柄管理!C90)</f>
        <v>ローツェ</v>
      </c>
      <c r="E41" s="184">
        <f>IF(C41&lt;&gt;"",_xll.RssMarket(C41,"現在値"),"")</f>
        <v>4554</v>
      </c>
      <c r="F41" s="184">
        <f>IF(C41&lt;&gt;"",_xll.RssMarket(C41,"始値"),"")</f>
        <v>4309</v>
      </c>
      <c r="G41" s="183">
        <f>IF(C41&lt;&gt;"",終値!F90,"")</f>
        <v>4410</v>
      </c>
      <c r="H41" s="184">
        <f>IF(C41&lt;&gt;"",_xll.RssMarket(C41,"高値"),"")</f>
        <v>4580</v>
      </c>
      <c r="I41" s="184">
        <f>IF(C41&lt;&gt;"",_xll.RssMarket(C41,"安値"),"")</f>
        <v>4305</v>
      </c>
      <c r="J41" s="184">
        <f>IF(C41&lt;&gt;"",_xll.RssMarket(C41,"出来高"),"")</f>
        <v>1602600</v>
      </c>
      <c r="K41" s="184">
        <f>IF(C41&lt;&gt;"",_xll.RssMarket(C41,"年初来高値"),"")</f>
        <v>4590</v>
      </c>
      <c r="L41" s="185">
        <f t="shared" si="0"/>
        <v>-0.78431372549019607</v>
      </c>
      <c r="M41" s="184">
        <f>IF(C41&lt;&gt;"",IFERROR(AVERAGE(出来高!E90:I90),""),"")</f>
        <v>1561320</v>
      </c>
      <c r="N41" s="184">
        <f>IF(C41&lt;&gt;"",IFERROR(AVERAGE(出来高!E90:AC90),""),"")</f>
        <v>1775408</v>
      </c>
      <c r="O41" s="186">
        <f t="shared" si="1"/>
        <v>1.0264391668588118</v>
      </c>
      <c r="P41" s="181" t="str">
        <f t="shared" si="2"/>
        <v>普通→</v>
      </c>
      <c r="Q41" s="181" t="str">
        <f t="shared" si="3"/>
        <v>中立→</v>
      </c>
      <c r="R41" s="184">
        <f t="shared" si="17"/>
        <v>4918</v>
      </c>
      <c r="S41" s="184">
        <f t="shared" si="18"/>
        <v>4372</v>
      </c>
      <c r="T41" s="181">
        <f t="shared" si="12"/>
        <v>12</v>
      </c>
      <c r="U41" s="181" t="str">
        <f t="shared" si="19"/>
        <v>要確認</v>
      </c>
      <c r="V41" s="181" t="str">
        <f t="shared" si="7"/>
        <v>高値圏</v>
      </c>
      <c r="W41" s="187">
        <f t="array" ref="W41">IF(C41&lt;&gt;"",IFERROR(100-100/(1+SUMPRODUCT((終値!F90:R90&gt;終値!G90:S90)*( 終値!F90:R90-終値!G90:S90))/SUMPRODUCT((終値!F90:R90&lt;終値!G90:S90)*(終値!G90:S90-終値!F90:R90))),50),"")</f>
        <v>60.058881256133468</v>
      </c>
      <c r="X41" s="188">
        <f>IF(C41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61.079892054975971</v>
      </c>
      <c r="Y41" s="1" t="str">
        <f>IF(T41="","",IF(銘柄管理!$F$5="下落▼",IF(AND(AD41="パーフェクト▲",OR(AE41="25日線押し目●",AE41="5日線押し目○")),"★逆張り候補",IF(AND(AD41="上昇トレンド▲",OR(AE41="25日線押し目●",AE41="5日線押し目○")),"○逆張り候補",IF(W41&lt;=30,IF(Z41&gt;0,"◎反発確認",IF(Z41&lt;-5,"△要注意・様子見","△売られ過ぎ注目")),"相場下落・見送り"))),IF(AND(T41&gt;=12,AD41="パーフェクト▲"),"★強い買い",IF(AND(T41&gt;=12,AD41="上昇トレンド▲"),"★強い買い",IF(AND(T41&gt;=8,OR(AE41="25日線押し目●",AE41="5日線押し目○")),"◎押し目買い",IF(T41&gt;=10,"○買い候補",IF(T41&gt;=6,"△注目",IF(T41&gt;=3,"様子見","見送り"))))))))</f>
        <v>★強い買い</v>
      </c>
      <c r="Z41" s="189">
        <f t="shared" si="20"/>
        <v>3.2653061224489797</v>
      </c>
      <c r="AA41" s="181" t="str">
        <f t="shared" si="21"/>
        <v>上昇▲</v>
      </c>
      <c r="AB41" s="499">
        <f>IF(C41="","",IFERROR(((終値!E43*0.333)+(終値!F43*0.222)+(終値!G43*0.148)+(終値!H43*0.099)+(終値!I43*0.066)+(終値!J43*0.044)+(終値!K43*0.029)+(終値!L43*0.019)+(終値!M43*0.013)+(終値!N43*0.009))/(0.333+0.222+0.148+0.099+0.066+0.044+0.029+0.019+0.013+0.009),""))</f>
        <v>1760.1023421588593</v>
      </c>
      <c r="AC41" s="499">
        <f>IF(C41="","",IFERROR(SUMPRODUCT((終値!E43:AC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1684.1323003575671</v>
      </c>
      <c r="AD41" s="500" t="str">
        <f t="shared" si="15"/>
        <v>パーフェクト▲</v>
      </c>
      <c r="AE41" s="500" t="str">
        <f t="shared" si="16"/>
        <v>なし</v>
      </c>
      <c r="AF41" s="403" cm="1">
        <f t="array" ref="AF41">IF(C41="","",IFERROR((INDEX(終値!$E:$E,MATCH(TEXT(C41,"0"),終値!$A:$A,0))-INDEX(終値!$E:$BL,MATCH(TEXT(C41,"0"),終値!$A:$A,0),$AL$2))/INDEX(終値!$E:$BL,MATCH(TEXT(C41,"0"),終値!$A:$A,0),$AL$2)*100,""))</f>
        <v>13.935451588691519</v>
      </c>
      <c r="AG41" s="403" cm="1">
        <f t="array" ref="AG41">IFERROR((終値!$E$5-INDEX(終値!$E$5:$BL$5,1,$AL$2))/INDEX(終値!$E$5:$BL$5,1,$AL$2)*100,"")</f>
        <v>3.4532270246721688</v>
      </c>
      <c r="AH41" s="404">
        <f t="shared" si="13"/>
        <v>10.482224564019351</v>
      </c>
      <c r="AI41" s="402">
        <f t="shared" si="14"/>
        <v>3</v>
      </c>
    </row>
    <row r="42" spans="1:35" s="192" customFormat="1" ht="18" customHeight="1">
      <c r="A42" s="181" t="str">
        <f>IF(銘柄管理!B105&lt;&gt;"",HYPERLINK("https://kabutan.jp/stock/?code="&amp;銘柄管理!B105,"株探"),"")</f>
        <v>株探</v>
      </c>
      <c r="B42" s="182"/>
      <c r="C42" s="183">
        <f>IF(銘柄管理!B105="","",銘柄管理!B105)</f>
        <v>6925</v>
      </c>
      <c r="D42" s="111" t="str">
        <f>IF(銘柄管理!C105="","",銘柄管理!C105)</f>
        <v>ウシオ電機</v>
      </c>
      <c r="E42" s="184">
        <f>IF(C42&lt;&gt;"",_xll.RssMarket(C42,"現在値"),"")</f>
        <v>4596</v>
      </c>
      <c r="F42" s="184">
        <f>IF(C42&lt;&gt;"",_xll.RssMarket(C42,"始値"),"")</f>
        <v>4478</v>
      </c>
      <c r="G42" s="183">
        <f>IF(C42&lt;&gt;"",終値!F105,"")</f>
        <v>4302</v>
      </c>
      <c r="H42" s="184">
        <f>IF(C42&lt;&gt;"",_xll.RssMarket(C42,"高値"),"")</f>
        <v>4620</v>
      </c>
      <c r="I42" s="184">
        <f>IF(C42&lt;&gt;"",_xll.RssMarket(C42,"安値"),"")</f>
        <v>4405</v>
      </c>
      <c r="J42" s="184">
        <f>IF(C42&lt;&gt;"",_xll.RssMarket(C42,"出来高"),"")</f>
        <v>591100</v>
      </c>
      <c r="K42" s="184">
        <f>IF(C42&lt;&gt;"",_xll.RssMarket(C42,"年初来高値"),"")</f>
        <v>4416</v>
      </c>
      <c r="L42" s="185">
        <f t="shared" si="0"/>
        <v>4.0760869565217392</v>
      </c>
      <c r="M42" s="184">
        <f>IF(C42&lt;&gt;"",IFERROR(AVERAGE(出来高!E105:I105),""),"")</f>
        <v>451140</v>
      </c>
      <c r="N42" s="184">
        <f>IF(C42&lt;&gt;"",IFERROR(AVERAGE(出来高!E105:AC105),""),"")</f>
        <v>555696</v>
      </c>
      <c r="O42" s="186">
        <f t="shared" si="1"/>
        <v>1.310236290286829</v>
      </c>
      <c r="P42" s="181" t="str">
        <f t="shared" si="2"/>
        <v>普通→</v>
      </c>
      <c r="Q42" s="181" t="str">
        <f t="shared" si="3"/>
        <v>中立→</v>
      </c>
      <c r="R42" s="184">
        <f t="shared" si="17"/>
        <v>4964</v>
      </c>
      <c r="S42" s="184">
        <f t="shared" si="18"/>
        <v>4412</v>
      </c>
      <c r="T42" s="181">
        <f t="shared" si="12"/>
        <v>14</v>
      </c>
      <c r="U42" s="181" t="str">
        <f t="shared" si="19"/>
        <v>要確認</v>
      </c>
      <c r="V42" s="181" t="str">
        <f t="shared" si="7"/>
        <v>年初来高値更新●</v>
      </c>
      <c r="W42" s="187">
        <f t="array" ref="W42">IF(C42&lt;&gt;"",IFERROR(100-100/(1+SUMPRODUCT((終値!F105:R105&gt;終値!G105:S105)*( 終値!F105:R105-終値!G105:S105))/SUMPRODUCT((終値!F105:R105&lt;終値!G105:S105)*(終値!G105:S105-終値!F105:R105))),50),"")</f>
        <v>53.470031545741328</v>
      </c>
      <c r="X42" s="188">
        <f>IF(C42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35.771108386834385</v>
      </c>
      <c r="Y42" s="1" t="str">
        <f>IF(T42="","",IF(銘柄管理!$F$5="下落▼",IF(AND(AD42="パーフェクト▲",OR(AE42="25日線押し目●",AE42="5日線押し目○")),"★逆張り候補",IF(AND(AD42="上昇トレンド▲",OR(AE42="25日線押し目●",AE42="5日線押し目○")),"○逆張り候補",IF(W42&lt;=30,IF(Z42&gt;0,"◎反発確認",IF(Z42&lt;-5,"△要注意・様子見","△売られ過ぎ注目")),"相場下落・見送り"))),IF(AND(T42&gt;=12,AD42="パーフェクト▲"),"★強い買い",IF(AND(T42&gt;=12,AD42="上昇トレンド▲"),"★強い買い",IF(AND(T42&gt;=8,OR(AE42="25日線押し目●",AE42="5日線押し目○")),"◎押し目買い",IF(T42&gt;=10,"○買い候補",IF(T42&gt;=6,"△注目",IF(T42&gt;=3,"様子見","見送り"))))))))</f>
        <v>★強い買い</v>
      </c>
      <c r="Z42" s="189">
        <f t="shared" si="20"/>
        <v>6.8340306834030677</v>
      </c>
      <c r="AA42" s="181" t="str">
        <f t="shared" si="21"/>
        <v>上昇▲</v>
      </c>
      <c r="AB42" s="497">
        <f>IF(C42="","",IFERROR(((終値!E44*0.333)+(終値!F44*0.222)+(終値!G44*0.148)+(終値!H44*0.099)+(終値!I44*0.066)+(終値!J44*0.044)+(終値!K44*0.029)+(終値!L44*0.019)+(終値!M44*0.013)+(終値!N44*0.009))/(0.333+0.222+0.148+0.099+0.066+0.044+0.029+0.019+0.013+0.009),""))</f>
        <v>1158.8279022403258</v>
      </c>
      <c r="AC42" s="497">
        <f>IF(C42="","",IFERROR(SUMPRODUCT((終値!E44:AC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1136.0125148986883</v>
      </c>
      <c r="AD42" s="498" t="str">
        <f t="shared" si="15"/>
        <v>パーフェクト▲</v>
      </c>
      <c r="AE42" s="498" t="str">
        <f t="shared" si="16"/>
        <v>なし</v>
      </c>
      <c r="AF42" s="403" cm="1">
        <f t="array" ref="AF42">IF(C42="","",IFERROR((INDEX(終値!$E:$E,MATCH(TEXT(C42,"0"),終値!$A:$A,0))-INDEX(終値!$E:$BL,MATCH(TEXT(C42,"0"),終値!$A:$A,0),$AL$2))/INDEX(終値!$E:$BL,MATCH(TEXT(C42,"0"),終値!$A:$A,0),$AL$2)*100,""))</f>
        <v>29.86719412263351</v>
      </c>
      <c r="AG42" s="403" cm="1">
        <f t="array" ref="AG42">IFERROR((終値!$E$5-INDEX(終値!$E$5:$BL$5,1,$AL$2))/INDEX(終値!$E$5:$BL$5,1,$AL$2)*100,"")</f>
        <v>3.4532270246721688</v>
      </c>
      <c r="AH42" s="404">
        <f t="shared" si="13"/>
        <v>26.41396709796134</v>
      </c>
      <c r="AI42" s="402">
        <f t="shared" si="14"/>
        <v>3</v>
      </c>
    </row>
    <row r="43" spans="1:35" s="192" customFormat="1" ht="18" customHeight="1">
      <c r="A43" s="181" t="str">
        <f>IF(銘柄管理!B159&lt;&gt;"",HYPERLINK("https://kabutan.jp/stock/?code="&amp;銘柄管理!B159,"株探"),"")</f>
        <v>株探</v>
      </c>
      <c r="B43" s="182"/>
      <c r="C43" s="183">
        <f>IF(銘柄管理!B159="","",銘柄管理!B159)</f>
        <v>3891</v>
      </c>
      <c r="D43" s="111" t="str">
        <f>IF(銘柄管理!C159="","",銘柄管理!C159)</f>
        <v>ニッポン高度紙工業</v>
      </c>
      <c r="E43" s="184">
        <f>IF(C43&lt;&gt;"",_xll.RssMarket(C43,"現在値"),"")</f>
        <v>9980</v>
      </c>
      <c r="F43" s="184">
        <f>IF(C43&lt;&gt;"",_xll.RssMarket(C43,"始値"),"")</f>
        <v>8830</v>
      </c>
      <c r="G43" s="183">
        <f>IF(C43&lt;&gt;"",終値!F159,"")</f>
        <v>8920</v>
      </c>
      <c r="H43" s="184">
        <f>IF(C43&lt;&gt;"",_xll.RssMarket(C43,"高値"),"")</f>
        <v>10110</v>
      </c>
      <c r="I43" s="184">
        <f>IF(C43&lt;&gt;"",_xll.RssMarket(C43,"安値"),"")</f>
        <v>8780</v>
      </c>
      <c r="J43" s="184">
        <f>IF(C43&lt;&gt;"",_xll.RssMarket(C43,"出来高"),"")</f>
        <v>456000</v>
      </c>
      <c r="K43" s="184">
        <f>IF(C43&lt;&gt;"",_xll.RssMarket(C43,"年初来高値"),"")</f>
        <v>10470</v>
      </c>
      <c r="L43" s="185">
        <f t="shared" si="0"/>
        <v>-4.6800382043935054</v>
      </c>
      <c r="M43" s="184">
        <f>IF(C43&lt;&gt;"",IFERROR(AVERAGE(出来高!E159:I159),""),"")</f>
        <v>440020</v>
      </c>
      <c r="N43" s="184">
        <f>IF(C43&lt;&gt;"",IFERROR(AVERAGE(出来高!E159:AC159),""),"")</f>
        <v>254656</v>
      </c>
      <c r="O43" s="186">
        <f t="shared" si="1"/>
        <v>1.0363165310667697</v>
      </c>
      <c r="P43" s="181" t="str">
        <f t="shared" si="2"/>
        <v>普通→</v>
      </c>
      <c r="Q43" s="181" t="str">
        <f t="shared" si="3"/>
        <v>中立→</v>
      </c>
      <c r="R43" s="184">
        <f t="shared" si="17"/>
        <v>10778</v>
      </c>
      <c r="S43" s="184">
        <f t="shared" si="18"/>
        <v>9581</v>
      </c>
      <c r="T43" s="181">
        <f t="shared" si="12"/>
        <v>12</v>
      </c>
      <c r="U43" s="181" t="str">
        <f t="shared" si="19"/>
        <v>要確認</v>
      </c>
      <c r="V43" s="181" t="str">
        <f t="shared" si="7"/>
        <v>高値圏</v>
      </c>
      <c r="W43" s="187">
        <f t="array" ref="W43">IF(C43&lt;&gt;"",IFERROR(100-100/(1+SUMPRODUCT((終値!F159:R159&gt;終値!G159:S159)*( 終値!F159:R159-終値!G159:S159))/SUMPRODUCT((終値!F159:R159&lt;終値!G159:S159)*(終値!G159:S159-終値!F159:R159))),50),"")</f>
        <v>61.368209255533202</v>
      </c>
      <c r="X43" s="188">
        <f>IF(C43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341.33414796269972</v>
      </c>
      <c r="Y43" s="1" t="str">
        <f>IF(T43="","",IF(銘柄管理!$F$5="下落▼",IF(AND(AD43="パーフェクト▲",OR(AE43="25日線押し目●",AE43="5日線押し目○")),"★逆張り候補",IF(AND(AD43="上昇トレンド▲",OR(AE43="25日線押し目●",AE43="5日線押し目○")),"○逆張り候補",IF(W43&lt;=30,IF(Z43&gt;0,"◎反発確認",IF(Z43&lt;-5,"△要注意・様子見","△売られ過ぎ注目")),"相場下落・見送り"))),IF(AND(T43&gt;=12,AD43="パーフェクト▲"),"★強い買い",IF(AND(T43&gt;=12,AD43="上昇トレンド▲"),"★強い買い",IF(AND(T43&gt;=8,OR(AE43="25日線押し目●",AE43="5日線押し目○")),"◎押し目買い",IF(T43&gt;=10,"○買い候補",IF(T43&gt;=6,"△注目",IF(T43&gt;=3,"様子見","見送り"))))))))</f>
        <v>★強い買い</v>
      </c>
      <c r="Z43" s="189">
        <f t="shared" si="20"/>
        <v>11.883408071748878</v>
      </c>
      <c r="AA43" s="181" t="str">
        <f t="shared" si="21"/>
        <v>上昇▲</v>
      </c>
      <c r="AB43" s="499">
        <f>IF(C43="","",IFERROR(((終値!E45*0.333)+(終値!F45*0.222)+(終値!G45*0.148)+(終値!H45*0.099)+(終値!I45*0.066)+(終値!J45*0.044)+(終値!K45*0.029)+(終値!L45*0.019)+(終値!M45*0.013)+(終値!N45*0.009))/(0.333+0.222+0.148+0.099+0.066+0.044+0.029+0.019+0.013+0.009),""))</f>
        <v>3214.2097759674125</v>
      </c>
      <c r="AC43" s="499">
        <f>IF(C43="","",IFERROR(SUMPRODUCT((終値!E45:AC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3120.8605482717503</v>
      </c>
      <c r="AD43" s="500" t="str">
        <f t="shared" si="15"/>
        <v>パーフェクト▲</v>
      </c>
      <c r="AE43" s="500" t="str">
        <f t="shared" si="16"/>
        <v>なし</v>
      </c>
      <c r="AF43" s="403" cm="1">
        <f t="array" ref="AF43">IF(C43="","",IFERROR((INDEX(終値!$E:$E,MATCH(TEXT(C43,"0"),終値!$A:$A,0))-INDEX(終値!$E:$BL,MATCH(TEXT(C43,"0"),終値!$A:$A,0),$AL$2))/INDEX(終値!$E:$BL,MATCH(TEXT(C43,"0"),終値!$A:$A,0),$AL$2)*100,""))</f>
        <v>60.708534621578103</v>
      </c>
      <c r="AG43" s="403" cm="1">
        <f t="array" ref="AG43">IFERROR((終値!$E$5-INDEX(終値!$E$5:$BL$5,1,$AL$2))/INDEX(終値!$E$5:$BL$5,1,$AL$2)*100,"")</f>
        <v>3.4532270246721688</v>
      </c>
      <c r="AH43" s="404">
        <f t="shared" si="13"/>
        <v>57.255307596905936</v>
      </c>
      <c r="AI43" s="402">
        <f t="shared" si="14"/>
        <v>3</v>
      </c>
    </row>
    <row r="44" spans="1:35" s="192" customFormat="1" ht="18" customHeight="1">
      <c r="A44" s="181" t="str">
        <f>IF(銘柄管理!B162&lt;&gt;"",HYPERLINK("https://kabutan.jp/stock/?code="&amp;銘柄管理!B162,"株探"),"")</f>
        <v>株探</v>
      </c>
      <c r="B44" s="182"/>
      <c r="C44" s="183">
        <f>IF(銘柄管理!B162="","",銘柄管理!B162)</f>
        <v>9687</v>
      </c>
      <c r="D44" s="111" t="str">
        <f>IF(銘柄管理!C162="","",銘柄管理!C162)</f>
        <v>ＫＳＫ</v>
      </c>
      <c r="E44" s="184">
        <f>IF(C44&lt;&gt;"",_xll.RssMarket(C44,"現在値"),"")</f>
        <v>4345</v>
      </c>
      <c r="F44" s="184">
        <f>IF(C44&lt;&gt;"",_xll.RssMarket(C44,"始値"),"")</f>
        <v>4325</v>
      </c>
      <c r="G44" s="183">
        <f>IF(C44&lt;&gt;"",終値!F162,"")</f>
        <v>4300</v>
      </c>
      <c r="H44" s="184">
        <f>IF(C44&lt;&gt;"",_xll.RssMarket(C44,"高値"),"")</f>
        <v>4350</v>
      </c>
      <c r="I44" s="184">
        <f>IF(C44&lt;&gt;"",_xll.RssMarket(C44,"安値"),"")</f>
        <v>4325</v>
      </c>
      <c r="J44" s="184">
        <f>IF(C44&lt;&gt;"",_xll.RssMarket(C44,"出来高"),"")</f>
        <v>1700</v>
      </c>
      <c r="K44" s="184">
        <f>IF(C44&lt;&gt;"",_xll.RssMarket(C44,"年初来高値"),"")</f>
        <v>5320</v>
      </c>
      <c r="L44" s="185">
        <f t="shared" si="0"/>
        <v>-18.327067669172934</v>
      </c>
      <c r="M44" s="184">
        <f>IF(C44&lt;&gt;"",IFERROR(AVERAGE(出来高!E162:I162),""),"")</f>
        <v>1500</v>
      </c>
      <c r="N44" s="184">
        <f>IF(C44&lt;&gt;"",IFERROR(AVERAGE(出来高!E162:AC162),""),"")</f>
        <v>1668</v>
      </c>
      <c r="O44" s="186">
        <f t="shared" si="1"/>
        <v>1.1333333333333333</v>
      </c>
      <c r="P44" s="181" t="str">
        <f t="shared" si="2"/>
        <v>普通→</v>
      </c>
      <c r="Q44" s="181" t="str">
        <f t="shared" si="3"/>
        <v>中立→</v>
      </c>
      <c r="R44" s="184">
        <f t="shared" si="17"/>
        <v>4693</v>
      </c>
      <c r="S44" s="184">
        <f t="shared" si="18"/>
        <v>4171</v>
      </c>
      <c r="T44" s="181">
        <f t="shared" si="12"/>
        <v>4</v>
      </c>
      <c r="U44" s="181" t="str">
        <f t="shared" si="19"/>
        <v>要確認</v>
      </c>
      <c r="V44" s="181" t="str">
        <f t="shared" si="7"/>
        <v>通常</v>
      </c>
      <c r="W44" s="187">
        <f t="array" ref="W44">IF(C44&lt;&gt;"",IFERROR(100-100/(1+SUMPRODUCT((終値!F162:R162&gt;終値!G162:S162)*( 終値!F162:R162-終値!G162:S162))/SUMPRODUCT((終値!F162:R162&lt;終値!G162:S162)*(終値!G162:S162-終値!F162:R162))),50),"")</f>
        <v>49.152542372881356</v>
      </c>
      <c r="X44" s="188">
        <f>IF(C44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-4.3045267653478732</v>
      </c>
      <c r="Y44" s="1" t="str">
        <f>IF(T44="","",IF(銘柄管理!$F$5="下落▼",IF(AND(AD44="パーフェクト▲",OR(AE44="25日線押し目●",AE44="5日線押し目○")),"★逆張り候補",IF(AND(AD44="上昇トレンド▲",OR(AE44="25日線押し目●",AE44="5日線押し目○")),"○逆張り候補",IF(W44&lt;=30,IF(Z44&gt;0,"◎反発確認",IF(Z44&lt;-5,"△要注意・様子見","△売られ過ぎ注目")),"相場下落・見送り"))),IF(AND(T44&gt;=12,AD44="パーフェクト▲"),"★強い買い",IF(AND(T44&gt;=12,AD44="上昇トレンド▲"),"★強い買い",IF(AND(T44&gt;=8,OR(AE44="25日線押し目●",AE44="5日線押し目○")),"◎押し目買い",IF(T44&gt;=10,"○買い候補",IF(T44&gt;=6,"△注目",IF(T44&gt;=3,"様子見","見送り"))))))))</f>
        <v>様子見</v>
      </c>
      <c r="Z44" s="189">
        <f t="shared" si="20"/>
        <v>1.0465116279069768</v>
      </c>
      <c r="AA44" s="181" t="str">
        <f t="shared" si="21"/>
        <v>上昇▲</v>
      </c>
      <c r="AB44" s="497">
        <f>IF(C44="","",IFERROR(((終値!E46*0.333)+(終値!F46*0.222)+(終値!G46*0.148)+(終値!H46*0.099)+(終値!I46*0.066)+(終値!J46*0.044)+(終値!K46*0.029)+(終値!L46*0.019)+(終値!M46*0.013)+(終値!N46*0.009))/(0.333+0.222+0.148+0.099+0.066+0.044+0.029+0.019+0.013+0.009),""))</f>
        <v>553.43105906313633</v>
      </c>
      <c r="AC44" s="497">
        <f>IF(C44="","",IFERROR(SUMPRODUCT((終値!E46:AC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550.73075089392114</v>
      </c>
      <c r="AD44" s="498" t="str">
        <f t="shared" si="15"/>
        <v>パーフェクト▲</v>
      </c>
      <c r="AE44" s="498" t="str">
        <f t="shared" si="16"/>
        <v>なし</v>
      </c>
      <c r="AF44" s="403" cm="1">
        <f t="array" ref="AF44">IF(C44="","",IFERROR((INDEX(終値!$E:$E,MATCH(TEXT(C44,"0"),終値!$A:$A,0))-INDEX(終値!$E:$BL,MATCH(TEXT(C44,"0"),終値!$A:$A,0),$AL$2))/INDEX(終値!$E:$BL,MATCH(TEXT(C44,"0"),終値!$A:$A,0),$AL$2)*100,""))</f>
        <v>-0.68571428571428572</v>
      </c>
      <c r="AG44" s="403" cm="1">
        <f t="array" ref="AG44">IFERROR((終値!$E$5-INDEX(終値!$E$5:$BL$5,1,$AL$2))/INDEX(終値!$E$5:$BL$5,1,$AL$2)*100,"")</f>
        <v>3.4532270246721688</v>
      </c>
      <c r="AH44" s="404">
        <f t="shared" si="13"/>
        <v>-4.1389413103864543</v>
      </c>
      <c r="AI44" s="402">
        <f t="shared" si="14"/>
        <v>-2</v>
      </c>
    </row>
    <row r="45" spans="1:35" s="192" customFormat="1" ht="18" customHeight="1">
      <c r="A45" s="181" t="str">
        <f>IF(銘柄管理!B200&lt;&gt;"",HYPERLINK("https://kabutan.jp/stock/?code="&amp;銘柄管理!B200,"株探"),"")</f>
        <v>株探</v>
      </c>
      <c r="B45" s="182"/>
      <c r="C45" s="183">
        <f>IF(銘柄管理!B200="","",銘柄管理!B200)</f>
        <v>5801</v>
      </c>
      <c r="D45" s="111" t="str">
        <f>IF(銘柄管理!C200="","",銘柄管理!C200)</f>
        <v>古河電工</v>
      </c>
      <c r="E45" s="184">
        <f>IF(C45&lt;&gt;"",_xll.RssMarket(C45,"現在値"),"")</f>
        <v>47440</v>
      </c>
      <c r="F45" s="184">
        <f>IF(C45&lt;&gt;"",_xll.RssMarket(C45,"始値"),"")</f>
        <v>44900</v>
      </c>
      <c r="G45" s="183">
        <f>IF(C45&lt;&gt;"",終値!F200,"")</f>
        <v>46130</v>
      </c>
      <c r="H45" s="184">
        <f>IF(C45&lt;&gt;"",_xll.RssMarket(C45,"高値"),"")</f>
        <v>47660</v>
      </c>
      <c r="I45" s="184">
        <f>IF(C45&lt;&gt;"",_xll.RssMarket(C45,"安値"),"")</f>
        <v>44900</v>
      </c>
      <c r="J45" s="184">
        <f>IF(C45&lt;&gt;"",_xll.RssMarket(C45,"出来高"),"")</f>
        <v>2674600</v>
      </c>
      <c r="K45" s="184">
        <f>IF(C45&lt;&gt;"",_xll.RssMarket(C45,"年初来高値"),"")</f>
        <v>62410</v>
      </c>
      <c r="L45" s="185">
        <f t="shared" si="0"/>
        <v>-23.986540618490626</v>
      </c>
      <c r="M45" s="184">
        <f>IF(C45&lt;&gt;"",IFERROR(AVERAGE(出来高!E200:I200),""),"")</f>
        <v>3589300</v>
      </c>
      <c r="N45" s="184">
        <f>IF(C45&lt;&gt;"",IFERROR(AVERAGE(出来高!E200:AC200),""),"")</f>
        <v>5211876</v>
      </c>
      <c r="O45" s="186">
        <f t="shared" si="1"/>
        <v>0.74515922324687267</v>
      </c>
      <c r="P45" s="181" t="str">
        <f t="shared" si="2"/>
        <v>減少↓</v>
      </c>
      <c r="Q45" s="181" t="str">
        <f t="shared" si="3"/>
        <v>中立→</v>
      </c>
      <c r="R45" s="184">
        <f t="shared" si="17"/>
        <v>51235</v>
      </c>
      <c r="S45" s="184">
        <f t="shared" si="18"/>
        <v>45542</v>
      </c>
      <c r="T45" s="181">
        <f t="shared" si="12"/>
        <v>4</v>
      </c>
      <c r="U45" s="181" t="str">
        <f t="shared" si="19"/>
        <v>要確認</v>
      </c>
      <c r="V45" s="181" t="str">
        <f t="shared" si="7"/>
        <v>通常</v>
      </c>
      <c r="W45" s="187">
        <f t="array" ref="W45">IF(C45&lt;&gt;"",IFERROR(100-100/(1+SUMPRODUCT((終値!F200:R200&gt;終値!G200:S200)*( 終値!F200:R200-終値!G200:S200))/SUMPRODUCT((終値!F200:R200&lt;終値!G200:S200)*(終値!G200:S200-終値!F200:R200))),50),"")</f>
        <v>28.105533162330531</v>
      </c>
      <c r="X45" s="188">
        <f>IF(C45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-1207.9030325705753</v>
      </c>
      <c r="Y45" s="1" t="str">
        <f>IF(T45="","",IF(銘柄管理!$F$5="下落▼",IF(AND(AD45="パーフェクト▲",OR(AE45="25日線押し目●",AE45="5日線押し目○")),"★逆張り候補",IF(AND(AD45="上昇トレンド▲",OR(AE45="25日線押し目●",AE45="5日線押し目○")),"○逆張り候補",IF(W45&lt;=30,IF(Z45&gt;0,"◎反発確認",IF(Z45&lt;-5,"△要注意・様子見","△売られ過ぎ注目")),"相場下落・見送り"))),IF(AND(T45&gt;=12,AD45="パーフェクト▲"),"★強い買い",IF(AND(T45&gt;=12,AD45="上昇トレンド▲"),"★強い買い",IF(AND(T45&gt;=8,OR(AE45="25日線押し目●",AE45="5日線押し目○")),"◎押し目買い",IF(T45&gt;=10,"○買い候補",IF(T45&gt;=6,"△注目",IF(T45&gt;=3,"様子見","見送り"))))))))</f>
        <v>様子見</v>
      </c>
      <c r="Z45" s="189">
        <f t="shared" si="20"/>
        <v>2.8398005636245394</v>
      </c>
      <c r="AA45" s="181" t="str">
        <f t="shared" si="21"/>
        <v>上昇▲</v>
      </c>
      <c r="AB45" s="499">
        <f>IF(C45="","",IFERROR(((終値!E47*0.333)+(終値!F47*0.222)+(終値!G47*0.148)+(終値!H47*0.099)+(終値!I47*0.066)+(終値!J47*0.044)+(終値!K47*0.029)+(終値!L47*0.019)+(終値!M47*0.013)+(終値!N47*0.009))/(0.333+0.222+0.148+0.099+0.066+0.044+0.029+0.019+0.013+0.009),""))</f>
        <v>449.79266802443976</v>
      </c>
      <c r="AC45" s="499">
        <f>IF(C45="","",IFERROR(SUMPRODUCT((終値!E47:AC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454.4082240762811</v>
      </c>
      <c r="AD45" s="500" t="str">
        <f t="shared" si="15"/>
        <v>上昇トレンド▲</v>
      </c>
      <c r="AE45" s="500" t="str">
        <f t="shared" si="16"/>
        <v>なし</v>
      </c>
      <c r="AF45" s="403" cm="1">
        <f t="array" ref="AF45">IF(C45="","",IFERROR((INDEX(終値!$E:$E,MATCH(TEXT(C45,"0"),終値!$A:$A,0))-INDEX(終値!$E:$BL,MATCH(TEXT(C45,"0"),終値!$A:$A,0),$AL$2))/INDEX(終値!$E:$BL,MATCH(TEXT(C45,"0"),終値!$A:$A,0),$AL$2)*100,""))</f>
        <v>-17.091925900034951</v>
      </c>
      <c r="AG45" s="403" cm="1">
        <f t="array" ref="AG45">IFERROR((終値!$E$5-INDEX(終値!$E$5:$BL$5,1,$AL$2))/INDEX(終値!$E$5:$BL$5,1,$AL$2)*100,"")</f>
        <v>3.4532270246721688</v>
      </c>
      <c r="AH45" s="404">
        <f t="shared" si="13"/>
        <v>-20.545152924707121</v>
      </c>
      <c r="AI45" s="402">
        <f t="shared" si="14"/>
        <v>-2</v>
      </c>
    </row>
    <row r="46" spans="1:35" s="192" customFormat="1" ht="18" customHeight="1">
      <c r="A46" s="181" t="str">
        <f>IF(銘柄管理!B8&lt;&gt;"",HYPERLINK("https://kabutan.jp/stock/?code="&amp;銘柄管理!B8,"株探"),"")</f>
        <v>株探</v>
      </c>
      <c r="B46" s="182"/>
      <c r="C46" s="183">
        <f>IF(銘柄管理!B8="","",銘柄管理!B8)</f>
        <v>5713</v>
      </c>
      <c r="D46" s="111" t="str">
        <f>IF(銘柄管理!C8="","",銘柄管理!C8)</f>
        <v>住友鉱山</v>
      </c>
      <c r="E46" s="184">
        <f>IF(C46&lt;&gt;"",_xll.RssMarket(C46,"現在値"),"")</f>
        <v>9155</v>
      </c>
      <c r="F46" s="184">
        <f>IF(C46&lt;&gt;"",_xll.RssMarket(C46,"始値"),"")</f>
        <v>8899</v>
      </c>
      <c r="G46" s="183">
        <f>IF(C46&lt;&gt;"",終値!F8,"")</f>
        <v>8863</v>
      </c>
      <c r="H46" s="184">
        <f>IF(C46&lt;&gt;"",_xll.RssMarket(C46,"高値"),"")</f>
        <v>9255</v>
      </c>
      <c r="I46" s="184">
        <f>IF(C46&lt;&gt;"",_xll.RssMarket(C46,"安値"),"")</f>
        <v>8779</v>
      </c>
      <c r="J46" s="184">
        <f>IF(C46&lt;&gt;"",_xll.RssMarket(C46,"出来高"),"")</f>
        <v>2551700</v>
      </c>
      <c r="K46" s="184">
        <f>IF(C46&lt;&gt;"",_xll.RssMarket(C46,"年初来高値"),"")</f>
        <v>13300</v>
      </c>
      <c r="L46" s="185">
        <f t="shared" si="0"/>
        <v>-31.165413533834585</v>
      </c>
      <c r="M46" s="184">
        <f>IF(C46&lt;&gt;"",IFERROR(AVERAGE(出来高!F8:J8),""),"")</f>
        <v>3548940</v>
      </c>
      <c r="N46" s="184">
        <f>IF(C46&lt;&gt;"",IFERROR(AVERAGE(出来高!F8:AD8),""),"")</f>
        <v>3642592</v>
      </c>
      <c r="O46" s="186">
        <f t="shared" si="1"/>
        <v>0.71900342073971379</v>
      </c>
      <c r="P46" s="181" t="str">
        <f t="shared" si="2"/>
        <v>減少↓</v>
      </c>
      <c r="Q46" s="181" t="str">
        <f t="shared" si="3"/>
        <v>中立→</v>
      </c>
      <c r="R46" s="184">
        <f t="shared" si="17"/>
        <v>9887</v>
      </c>
      <c r="S46" s="184">
        <f t="shared" si="18"/>
        <v>8789</v>
      </c>
      <c r="T46" s="181">
        <f t="shared" si="12"/>
        <v>4</v>
      </c>
      <c r="U46" s="181" t="str">
        <f t="shared" si="19"/>
        <v>要確認</v>
      </c>
      <c r="V46" s="181" t="str">
        <f t="shared" si="7"/>
        <v>通常</v>
      </c>
      <c r="W46" s="187">
        <f t="array" ref="W46">IF(C46&lt;&gt;"",IFERROR(100-100/(1+SUMPRODUCT((終値!F8:R8&gt;終値!G8:S8)*( 終値!F8:R8-終値!G8:S8))/SUMPRODUCT((終値!F8:R8&lt;終値!G8:S8)*(終値!G8:S8-終値!F8:R8))),50),"")</f>
        <v>38.842581567039772</v>
      </c>
      <c r="X46" s="188">
        <f>IF(C46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-157.70382981941657</v>
      </c>
      <c r="Y46" s="1" t="str">
        <f>IF(T46="","",IF(銘柄管理!$F$5="下落▼",IF(AND(AD46="パーフェクト▲",OR(AE46="25日線押し目●",AE46="5日線押し目○")),"★逆張り候補",IF(AND(AD46="上昇トレンド▲",OR(AE46="25日線押し目●",AE46="5日線押し目○")),"○逆張り候補",IF(W46&lt;=30,IF(Z46&gt;0,"◎反発確認",IF(Z46&lt;-5,"△要注意・様子見","△売られ過ぎ注目")),"相場下落・見送り"))),IF(AND(T46&gt;=12,AD46="パーフェクト▲"),"★強い買い",IF(AND(T46&gt;=12,AD46="上昇トレンド▲"),"★強い買い",IF(AND(T46&gt;=8,OR(AE46="25日線押し目●",AE46="5日線押し目○")),"◎押し目買い",IF(T46&gt;=10,"○買い候補",IF(T46&gt;=6,"△注目",IF(T46&gt;=3,"様子見","見送り"))))))))</f>
        <v>様子見</v>
      </c>
      <c r="Z46" s="189">
        <f t="shared" si="20"/>
        <v>3.2945955094211894</v>
      </c>
      <c r="AA46" s="181" t="str">
        <f t="shared" si="21"/>
        <v>上昇▲</v>
      </c>
      <c r="AB46" s="497">
        <f>IF(C46="","",IFERROR(((終値!E48*0.333)+(終値!F48*0.222)+(終値!G48*0.148)+(終値!H48*0.099)+(終値!I48*0.066)+(終値!J48*0.044)+(終値!K48*0.029)+(終値!L48*0.019)+(終値!M48*0.013)+(終値!N48*0.009))/(0.333+0.222+0.148+0.099+0.066+0.044+0.029+0.019+0.013+0.009),""))</f>
        <v>1397.8828920570261</v>
      </c>
      <c r="AC46" s="497">
        <f>IF(C46="","",IFERROR(SUMPRODUCT((終値!E48:AC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1391.4791418355182</v>
      </c>
      <c r="AD46" s="498" t="str">
        <f t="shared" si="15"/>
        <v>パーフェクト▲</v>
      </c>
      <c r="AE46" s="498" t="str">
        <f t="shared" si="16"/>
        <v>なし</v>
      </c>
      <c r="AF46" s="403" cm="1">
        <f t="array" ref="AF46">IF(C46="","",IFERROR((INDEX(終値!$E:$E,MATCH(TEXT(C46,"0"),終値!$A:$A,0))-INDEX(終値!$E:$BL,MATCH(TEXT(C46,"0"),終値!$A:$A,0),$AL$2))/INDEX(終値!$E:$BL,MATCH(TEXT(C46,"0"),終値!$A:$A,0),$AL$2)*100,""))</f>
        <v>-13.345953620444865</v>
      </c>
      <c r="AG46" s="403" cm="1">
        <f t="array" ref="AG46">IFERROR((終値!$E$5-INDEX(終値!$E$5:$BL$5,1,$AL$2))/INDEX(終値!$E$5:$BL$5,1,$AL$2)*100,"")</f>
        <v>3.4532270246721688</v>
      </c>
      <c r="AH46" s="404">
        <f t="shared" si="13"/>
        <v>-16.799180645117033</v>
      </c>
      <c r="AI46" s="402">
        <f t="shared" si="14"/>
        <v>-2</v>
      </c>
    </row>
    <row r="47" spans="1:35" s="192" customFormat="1" ht="18" customHeight="1">
      <c r="A47" s="181" t="str">
        <f>IF(銘柄管理!B10&lt;&gt;"",HYPERLINK("https://kabutan.jp/stock/?code="&amp;銘柄管理!B10,"株探"),"")</f>
        <v>株探</v>
      </c>
      <c r="B47" s="182"/>
      <c r="C47" s="183">
        <f>IF(銘柄管理!B10="","",銘柄管理!B10)</f>
        <v>5714</v>
      </c>
      <c r="D47" s="111" t="str">
        <f>IF(銘柄管理!C10="","",銘柄管理!C10)</f>
        <v>ＤＯＷＡホールディングス</v>
      </c>
      <c r="E47" s="184">
        <f>IF(C47&lt;&gt;"",_xll.RssMarket(C47,"現在値"),"")</f>
        <v>9839</v>
      </c>
      <c r="F47" s="184">
        <f>IF(C47&lt;&gt;"",_xll.RssMarket(C47,"始値"),"")</f>
        <v>9770</v>
      </c>
      <c r="G47" s="183">
        <f>IF(C47&lt;&gt;"",終値!F10,"")</f>
        <v>9685</v>
      </c>
      <c r="H47" s="184">
        <f>IF(C47&lt;&gt;"",_xll.RssMarket(C47,"高値"),"")</f>
        <v>9927</v>
      </c>
      <c r="I47" s="184">
        <f>IF(C47&lt;&gt;"",_xll.RssMarket(C47,"安値"),"")</f>
        <v>9615</v>
      </c>
      <c r="J47" s="184">
        <f>IF(C47&lt;&gt;"",_xll.RssMarket(C47,"出来高"),"")</f>
        <v>365500</v>
      </c>
      <c r="K47" s="184">
        <f>IF(C47&lt;&gt;"",_xll.RssMarket(C47,"年初来高値"),"")</f>
        <v>12380</v>
      </c>
      <c r="L47" s="185">
        <f t="shared" si="0"/>
        <v>-20.525040387722132</v>
      </c>
      <c r="M47" s="184">
        <f>IF(C47&lt;&gt;"",IFERROR(AVERAGE(出来高!E10:I10),""),"")</f>
        <v>445140</v>
      </c>
      <c r="N47" s="184">
        <f>IF(C47&lt;&gt;"",IFERROR(AVERAGE(出来高!E10:AC10),""),"")</f>
        <v>546228</v>
      </c>
      <c r="O47" s="186">
        <f t="shared" si="1"/>
        <v>0.82108999415914097</v>
      </c>
      <c r="P47" s="181" t="str">
        <f t="shared" si="2"/>
        <v>減少↓</v>
      </c>
      <c r="Q47" s="181" t="str">
        <f t="shared" si="3"/>
        <v>中立→</v>
      </c>
      <c r="R47" s="184">
        <f t="shared" si="17"/>
        <v>10626</v>
      </c>
      <c r="S47" s="184">
        <f t="shared" si="18"/>
        <v>9445</v>
      </c>
      <c r="T47" s="181">
        <f t="shared" si="12"/>
        <v>4</v>
      </c>
      <c r="U47" s="181" t="str">
        <f t="shared" si="19"/>
        <v>要確認</v>
      </c>
      <c r="V47" s="181" t="str">
        <f t="shared" si="7"/>
        <v>通常</v>
      </c>
      <c r="W47" s="187">
        <f t="array" ref="W47">IF(C47&lt;&gt;"",IFERROR(100-100/(1+SUMPRODUCT((終値!F10:R10&gt;終値!G10:S10)*( 終値!F10:R10-終値!G10:S10))/SUMPRODUCT((終値!F10:R10&lt;終値!G10:S10)*(終値!G10:S10-終値!F10:R10))),50),"")</f>
        <v>33.774662512980271</v>
      </c>
      <c r="X47" s="188">
        <f>IF(C47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-159.00096123611183</v>
      </c>
      <c r="Y47" s="1" t="str">
        <f>IF(T47="","",IF(銘柄管理!$F$5="下落▼",IF(AND(AD47="パーフェクト▲",OR(AE47="25日線押し目●",AE47="5日線押し目○")),"★逆張り候補",IF(AND(AD47="上昇トレンド▲",OR(AE47="25日線押し目●",AE47="5日線押し目○")),"○逆張り候補",IF(W47&lt;=30,IF(Z47&gt;0,"◎反発確認",IF(Z47&lt;-5,"△要注意・様子見","△売られ過ぎ注目")),"相場下落・見送り"))),IF(AND(T47&gt;=12,AD47="パーフェクト▲"),"★強い買い",IF(AND(T47&gt;=12,AD47="上昇トレンド▲"),"★強い買い",IF(AND(T47&gt;=8,OR(AE47="25日線押し目●",AE47="5日線押し目○")),"◎押し目買い",IF(T47&gt;=10,"○買い候補",IF(T47&gt;=6,"△注目",IF(T47&gt;=3,"様子見","見送り"))))))))</f>
        <v>様子見</v>
      </c>
      <c r="Z47" s="189">
        <f t="shared" si="20"/>
        <v>1.5900877645844087</v>
      </c>
      <c r="AA47" s="181" t="str">
        <f t="shared" si="21"/>
        <v>上昇▲</v>
      </c>
      <c r="AB47" s="499">
        <f>IF(C47="","",IFERROR(((終値!E49*0.333)+(終値!F49*0.222)+(終値!G49*0.148)+(終値!H49*0.099)+(終値!I49*0.066)+(終値!J49*0.044)+(終値!K49*0.029)+(終値!L49*0.019)+(終値!M49*0.013)+(終値!N49*0.009))/(0.333+0.222+0.148+0.099+0.066+0.044+0.029+0.019+0.013+0.009),""))</f>
        <v>3653.4704684317712</v>
      </c>
      <c r="AC47" s="499">
        <f>IF(C47="","",IFERROR(SUMPRODUCT((終値!E49:AC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3535.916567342073</v>
      </c>
      <c r="AD47" s="500" t="str">
        <f t="shared" si="15"/>
        <v>パーフェクト▲</v>
      </c>
      <c r="AE47" s="500" t="str">
        <f t="shared" si="16"/>
        <v>なし</v>
      </c>
      <c r="AF47" s="403" cm="1">
        <f t="array" ref="AF47">IF(C47="","",IFERROR((INDEX(終値!$E:$E,MATCH(TEXT(C47,"0"),終値!$A:$A,0))-INDEX(終値!$E:$BL,MATCH(TEXT(C47,"0"),終値!$A:$A,0),$AL$2))/INDEX(終値!$E:$BL,MATCH(TEXT(C47,"0"),終値!$A:$A,0),$AL$2)*100,""))</f>
        <v>-1.8553615960099752</v>
      </c>
      <c r="AG47" s="403" cm="1">
        <f t="array" ref="AG47">IFERROR((終値!$E$5-INDEX(終値!$E$5:$BL$5,1,$AL$2))/INDEX(終値!$E$5:$BL$5,1,$AL$2)*100,"")</f>
        <v>3.4532270246721688</v>
      </c>
      <c r="AH47" s="404">
        <f t="shared" si="13"/>
        <v>-5.3085886206821442</v>
      </c>
      <c r="AI47" s="402">
        <f t="shared" si="14"/>
        <v>-2</v>
      </c>
    </row>
    <row r="48" spans="1:35" s="192" customFormat="1" ht="18" customHeight="1">
      <c r="A48" s="181" t="str">
        <f>IF(銘柄管理!B13&lt;&gt;"",HYPERLINK("https://kabutan.jp/stock/?code="&amp;銘柄管理!B13,"株探"),"")</f>
        <v>株探</v>
      </c>
      <c r="B48" s="182"/>
      <c r="C48" s="183">
        <f>IF(銘柄管理!B13="","",銘柄管理!B13)</f>
        <v>5703</v>
      </c>
      <c r="D48" s="111" t="str">
        <f>IF(銘柄管理!C13="","",銘柄管理!C13)</f>
        <v>日本軽金属ＨＤ</v>
      </c>
      <c r="E48" s="184">
        <f>IF(C48&lt;&gt;"",_xll.RssMarket(C48,"現在値"),"")</f>
        <v>2958</v>
      </c>
      <c r="F48" s="184">
        <f>IF(C48&lt;&gt;"",_xll.RssMarket(C48,"始値"),"")</f>
        <v>3035</v>
      </c>
      <c r="G48" s="183">
        <f>IF(C48&lt;&gt;"",終値!F13,"")</f>
        <v>3010</v>
      </c>
      <c r="H48" s="184">
        <f>IF(C48&lt;&gt;"",_xll.RssMarket(C48,"高値"),"")</f>
        <v>3065</v>
      </c>
      <c r="I48" s="184">
        <f>IF(C48&lt;&gt;"",_xll.RssMarket(C48,"安値"),"")</f>
        <v>2945</v>
      </c>
      <c r="J48" s="184">
        <f>IF(C48&lt;&gt;"",_xll.RssMarket(C48,"出来高"),"")</f>
        <v>315700</v>
      </c>
      <c r="K48" s="184">
        <f>IF(C48&lt;&gt;"",_xll.RssMarket(C48,"年初来高値"),"")</f>
        <v>3330</v>
      </c>
      <c r="L48" s="185">
        <f t="shared" si="0"/>
        <v>-11.171171171171171</v>
      </c>
      <c r="M48" s="184">
        <f>IF(C48&lt;&gt;"",IFERROR(AVERAGE(出来高!E13:I13),""),"")</f>
        <v>308920</v>
      </c>
      <c r="N48" s="184">
        <f>IF(C48&lt;&gt;"",IFERROR(AVERAGE(出来高!E13:AC13),""),"")</f>
        <v>341184</v>
      </c>
      <c r="O48" s="186">
        <f t="shared" si="1"/>
        <v>1.0219474297552764</v>
      </c>
      <c r="P48" s="181" t="str">
        <f t="shared" si="2"/>
        <v>普通→</v>
      </c>
      <c r="Q48" s="181" t="str">
        <f t="shared" si="3"/>
        <v>様子見▼</v>
      </c>
      <c r="R48" s="184">
        <f t="shared" si="17"/>
        <v>3195</v>
      </c>
      <c r="S48" s="184">
        <f t="shared" si="18"/>
        <v>2840</v>
      </c>
      <c r="T48" s="181">
        <f t="shared" si="12"/>
        <v>1</v>
      </c>
      <c r="U48" s="181" t="str">
        <f t="shared" si="19"/>
        <v>除外</v>
      </c>
      <c r="V48" s="181" t="str">
        <f t="shared" si="7"/>
        <v>通常</v>
      </c>
      <c r="W48" s="187">
        <f t="array" ref="W48">IF(C48&lt;&gt;"",IFERROR(100-100/(1+SUMPRODUCT((終値!F13:R13&gt;終値!G13:S13)*( 終値!F13:R13-終値!G13:S13))/SUMPRODUCT((終値!F13:R13&lt;終値!G13:S13)*(終値!G13:S13-終値!F13:R13))),50),"")</f>
        <v>34.993614303959134</v>
      </c>
      <c r="X48" s="188">
        <f>IF(C48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-9.5713205354263664</v>
      </c>
      <c r="Y48" s="1" t="str">
        <f>IF(T48="","",IF(銘柄管理!$F$5="下落▼",IF(AND(AD48="パーフェクト▲",OR(AE48="25日線押し目●",AE48="5日線押し目○")),"★逆張り候補",IF(AND(AD48="上昇トレンド▲",OR(AE48="25日線押し目●",AE48="5日線押し目○")),"○逆張り候補",IF(W48&lt;=30,IF(Z48&gt;0,"◎反発確認",IF(Z48&lt;-5,"△要注意・様子見","△売られ過ぎ注目")),"相場下落・見送り"))),IF(AND(T48&gt;=12,AD48="パーフェクト▲"),"★強い買い",IF(AND(T48&gt;=12,AD48="上昇トレンド▲"),"★強い買い",IF(AND(T48&gt;=8,OR(AE48="25日線押し目●",AE48="5日線押し目○")),"◎押し目買い",IF(T48&gt;=10,"○買い候補",IF(T48&gt;=6,"△注目",IF(T48&gt;=3,"様子見","見送り"))))))))</f>
        <v>見送り</v>
      </c>
      <c r="Z48" s="189">
        <f t="shared" si="20"/>
        <v>-1.7275747508305648</v>
      </c>
      <c r="AA48" s="181" t="str">
        <f t="shared" si="21"/>
        <v>下落▼</v>
      </c>
      <c r="AB48" s="497">
        <f>IF(C48="","",IFERROR(((終値!E50*0.333)+(終値!F50*0.222)+(終値!G50*0.148)+(終値!H50*0.099)+(終値!I50*0.066)+(終値!J50*0.044)+(終値!K50*0.029)+(終値!L50*0.019)+(終値!M50*0.013)+(終値!N50*0.009))/(0.333+0.222+0.148+0.099+0.066+0.044+0.029+0.019+0.013+0.009),""))</f>
        <v>6398.6395112016289</v>
      </c>
      <c r="AC48" s="497">
        <f>IF(C48="","",IFERROR(SUMPRODUCT((終値!E50:AC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6163.6495828367079</v>
      </c>
      <c r="AD48" s="498" t="str">
        <f t="shared" si="15"/>
        <v>もみ合い→</v>
      </c>
      <c r="AE48" s="498" t="str">
        <f t="shared" si="16"/>
        <v>なし</v>
      </c>
      <c r="AF48" s="403" cm="1">
        <f t="array" ref="AF48">IF(C48="","",IFERROR((INDEX(終値!$E:$E,MATCH(TEXT(C48,"0"),終値!$A:$A,0))-INDEX(終値!$E:$BL,MATCH(TEXT(C48,"0"),終値!$A:$A,0),$AL$2))/INDEX(終値!$E:$BL,MATCH(TEXT(C48,"0"),終値!$A:$A,0),$AL$2)*100,""))</f>
        <v>-2.6973684210526319</v>
      </c>
      <c r="AG48" s="403" cm="1">
        <f t="array" ref="AG48">IFERROR((終値!$E$5-INDEX(終値!$E$5:$BL$5,1,$AL$2))/INDEX(終値!$E$5:$BL$5,1,$AL$2)*100,"")</f>
        <v>3.4532270246721688</v>
      </c>
      <c r="AH48" s="404">
        <f t="shared" si="13"/>
        <v>-6.1505954457248002</v>
      </c>
      <c r="AI48" s="402">
        <f t="shared" si="14"/>
        <v>-2</v>
      </c>
    </row>
    <row r="49" spans="1:35" s="192" customFormat="1" ht="18" customHeight="1">
      <c r="A49" s="181" t="str">
        <f>IF(銘柄管理!B25&lt;&gt;"",HYPERLINK("https://kabutan.jp/stock/?code="&amp;銘柄管理!B25,"株探"),"")</f>
        <v>株探</v>
      </c>
      <c r="B49" s="182"/>
      <c r="C49" s="183">
        <f>IF(銘柄管理!B25="","",銘柄管理!B25)</f>
        <v>8053</v>
      </c>
      <c r="D49" s="111" t="str">
        <f>IF(銘柄管理!C25="","",銘柄管理!C25)</f>
        <v>住友商事</v>
      </c>
      <c r="E49" s="184">
        <f>IF(C49&lt;&gt;"",_xll.RssMarket(C49,"現在値"),"")</f>
        <v>6547</v>
      </c>
      <c r="F49" s="184">
        <f>IF(C49&lt;&gt;"",_xll.RssMarket(C49,"始値"),"")</f>
        <v>6601</v>
      </c>
      <c r="G49" s="183">
        <f>IF(C49&lt;&gt;"",終値!F25,"")</f>
        <v>6529</v>
      </c>
      <c r="H49" s="184">
        <f>IF(C49&lt;&gt;"",_xll.RssMarket(C49,"高値"),"")</f>
        <v>6645</v>
      </c>
      <c r="I49" s="184">
        <f>IF(C49&lt;&gt;"",_xll.RssMarket(C49,"安値"),"")</f>
        <v>6478</v>
      </c>
      <c r="J49" s="184">
        <f>IF(C49&lt;&gt;"",_xll.RssMarket(C49,"出来高"),"")</f>
        <v>2278500</v>
      </c>
      <c r="K49" s="184">
        <f>IF(C49&lt;&gt;"",_xll.RssMarket(C49,"年初来高値"),"")</f>
        <v>7775</v>
      </c>
      <c r="L49" s="185">
        <f t="shared" si="0"/>
        <v>-15.794212218649516</v>
      </c>
      <c r="M49" s="184">
        <f>IF(C49&lt;&gt;"",IFERROR(AVERAGE(出来高!E25:I25),""),"")</f>
        <v>3667040</v>
      </c>
      <c r="N49" s="184">
        <f>IF(C49&lt;&gt;"",IFERROR(AVERAGE(出来高!E25:AC25),""),"")</f>
        <v>3553280</v>
      </c>
      <c r="O49" s="186">
        <f t="shared" si="1"/>
        <v>0.62134582660674553</v>
      </c>
      <c r="P49" s="181" t="str">
        <f t="shared" si="2"/>
        <v>減少↓</v>
      </c>
      <c r="Q49" s="181" t="str">
        <f t="shared" si="3"/>
        <v>中立→</v>
      </c>
      <c r="R49" s="184">
        <f t="shared" si="17"/>
        <v>7071</v>
      </c>
      <c r="S49" s="184">
        <f t="shared" si="18"/>
        <v>6285</v>
      </c>
      <c r="T49" s="181">
        <f t="shared" si="12"/>
        <v>4</v>
      </c>
      <c r="U49" s="181" t="str">
        <f t="shared" si="19"/>
        <v>要確認</v>
      </c>
      <c r="V49" s="181" t="str">
        <f t="shared" si="7"/>
        <v>通常</v>
      </c>
      <c r="W49" s="187">
        <f t="array" ref="W49">IF(C49&lt;&gt;"",IFERROR(100-100/(1+SUMPRODUCT((終値!F25:R25&gt;終値!G25:S25)*( 終値!F25:R25-終値!G25:S25))/SUMPRODUCT((終値!F25:R25&lt;終値!G25:S25)*(終値!G25:S25-終値!F25:R25))),50),"")</f>
        <v>25.471698113207552</v>
      </c>
      <c r="X49" s="188">
        <f>IF(C49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-115.25456238879906</v>
      </c>
      <c r="Y49" s="1" t="str">
        <f>IF(T49="","",IF(銘柄管理!$F$5="下落▼",IF(AND(AD49="パーフェクト▲",OR(AE49="25日線押し目●",AE49="5日線押し目○")),"★逆張り候補",IF(AND(AD49="上昇トレンド▲",OR(AE49="25日線押し目●",AE49="5日線押し目○")),"○逆張り候補",IF(W49&lt;=30,IF(Z49&gt;0,"◎反発確認",IF(Z49&lt;-5,"△要注意・様子見","△売られ過ぎ注目")),"相場下落・見送り"))),IF(AND(T49&gt;=12,AD49="パーフェクト▲"),"★強い買い",IF(AND(T49&gt;=12,AD49="上昇トレンド▲"),"★強い買い",IF(AND(T49&gt;=8,OR(AE49="25日線押し目●",AE49="5日線押し目○")),"◎押し目買い",IF(T49&gt;=10,"○買い候補",IF(T49&gt;=6,"△注目",IF(T49&gt;=3,"様子見","見送り"))))))))</f>
        <v>様子見</v>
      </c>
      <c r="Z49" s="189">
        <f t="shared" si="20"/>
        <v>0.27569306172461328</v>
      </c>
      <c r="AA49" s="181" t="str">
        <f t="shared" si="21"/>
        <v>上昇▲</v>
      </c>
      <c r="AB49" s="499">
        <f>IF(C49="","",IFERROR(((終値!E51*0.333)+(終値!F51*0.222)+(終値!G51*0.148)+(終値!H51*0.099)+(終値!I51*0.066)+(終値!J51*0.044)+(終値!K51*0.029)+(終値!L51*0.019)+(終値!M51*0.013)+(終値!N51*0.009))/(0.333+0.222+0.148+0.099+0.066+0.044+0.029+0.019+0.013+0.009),""))</f>
        <v>2314.6384928716898</v>
      </c>
      <c r="AC49" s="499">
        <f>IF(C49="","",IFERROR(SUMPRODUCT((終値!E51:AC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2367.7628128724668</v>
      </c>
      <c r="AD49" s="500" t="str">
        <f t="shared" si="15"/>
        <v>上昇トレンド▲</v>
      </c>
      <c r="AE49" s="500" t="str">
        <f t="shared" si="16"/>
        <v>なし</v>
      </c>
      <c r="AF49" s="403" cm="1">
        <f t="array" ref="AF49">IF(C49="","",IFERROR((INDEX(終値!$E:$E,MATCH(TEXT(C49,"0"),終値!$A:$A,0))-INDEX(終値!$E:$BL,MATCH(TEXT(C49,"0"),終値!$A:$A,0),$AL$2))/INDEX(終値!$E:$BL,MATCH(TEXT(C49,"0"),終値!$A:$A,0),$AL$2)*100,""))</f>
        <v>-13.169761273209549</v>
      </c>
      <c r="AG49" s="403" cm="1">
        <f t="array" ref="AG49">IFERROR((終値!$E$5-INDEX(終値!$E$5:$BL$5,1,$AL$2))/INDEX(終値!$E$5:$BL$5,1,$AL$2)*100,"")</f>
        <v>3.4532270246721688</v>
      </c>
      <c r="AH49" s="404">
        <f t="shared" si="13"/>
        <v>-16.622988297881719</v>
      </c>
      <c r="AI49" s="402">
        <f t="shared" si="14"/>
        <v>-2</v>
      </c>
    </row>
    <row r="50" spans="1:35" s="192" customFormat="1" ht="18" customHeight="1">
      <c r="A50" s="181" t="str">
        <f>IF(銘柄管理!B57&lt;&gt;"",HYPERLINK("https://kabutan.jp/stock/?code="&amp;銘柄管理!B57,"株探"),"")</f>
        <v>株探</v>
      </c>
      <c r="B50" s="182"/>
      <c r="C50" s="183">
        <f>IF(銘柄管理!B57="","",銘柄管理!B57)</f>
        <v>6203</v>
      </c>
      <c r="D50" s="111" t="str">
        <f>IF(銘柄管理!C57="","",銘柄管理!C57)</f>
        <v>豊和工業</v>
      </c>
      <c r="E50" s="184">
        <f>IF(C50&lt;&gt;"",_xll.RssMarket(C50,"現在値"),"")</f>
        <v>1630</v>
      </c>
      <c r="F50" s="184">
        <f>IF(C50&lt;&gt;"",_xll.RssMarket(C50,"始値"),"")</f>
        <v>1573</v>
      </c>
      <c r="G50" s="183">
        <f>IF(C50&lt;&gt;"",終値!F57,"")</f>
        <v>1556</v>
      </c>
      <c r="H50" s="184">
        <f>IF(C50&lt;&gt;"",_xll.RssMarket(C50,"高値"),"")</f>
        <v>1679</v>
      </c>
      <c r="I50" s="184">
        <f>IF(C50&lt;&gt;"",_xll.RssMarket(C50,"安値"),"")</f>
        <v>1570</v>
      </c>
      <c r="J50" s="184">
        <f>IF(C50&lt;&gt;"",_xll.RssMarket(C50,"出来高"),"")</f>
        <v>533500</v>
      </c>
      <c r="K50" s="184">
        <f>IF(C50&lt;&gt;"",_xll.RssMarket(C50,"年初来高値"),"")</f>
        <v>2030</v>
      </c>
      <c r="L50" s="185">
        <f t="shared" si="0"/>
        <v>-19.704433497536947</v>
      </c>
      <c r="M50" s="184">
        <f>IF(C50&lt;&gt;"",IFERROR(AVERAGE(出来高!E57:I57),""),"")</f>
        <v>635520</v>
      </c>
      <c r="N50" s="184">
        <f>IF(C50&lt;&gt;"",IFERROR(AVERAGE(出来高!E57:AC57),""),"")</f>
        <v>1148020</v>
      </c>
      <c r="O50" s="186">
        <f t="shared" si="1"/>
        <v>0.83947004028197381</v>
      </c>
      <c r="P50" s="181" t="str">
        <f t="shared" si="2"/>
        <v>減少↓</v>
      </c>
      <c r="Q50" s="181" t="str">
        <f t="shared" si="3"/>
        <v>中立→</v>
      </c>
      <c r="R50" s="184">
        <f t="shared" si="17"/>
        <v>1760</v>
      </c>
      <c r="S50" s="184">
        <f t="shared" si="18"/>
        <v>1565</v>
      </c>
      <c r="T50" s="181">
        <f t="shared" si="12"/>
        <v>6</v>
      </c>
      <c r="U50" s="181" t="str">
        <f t="shared" si="19"/>
        <v>要確認</v>
      </c>
      <c r="V50" s="181" t="str">
        <f t="shared" si="7"/>
        <v>通常</v>
      </c>
      <c r="W50" s="187">
        <f t="array" ref="W50">IF(C50&lt;&gt;"",IFERROR(100-100/(1+SUMPRODUCT((終値!F57:R57&gt;終値!G57:S57)*( 終値!F57:R57-終値!G57:S57))/SUMPRODUCT((終値!F57:R57&lt;終値!G57:S57)*(終値!G57:S57-終値!F57:R57))),50),"")</f>
        <v>57.620211898940504</v>
      </c>
      <c r="X50" s="188">
        <f>IF(C50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38.972989862243139</v>
      </c>
      <c r="Y50" s="1" t="str">
        <f>IF(T50="","",IF(銘柄管理!$F$5="下落▼",IF(AND(AD50="パーフェクト▲",OR(AE50="25日線押し目●",AE50="5日線押し目○")),"★逆張り候補",IF(AND(AD50="上昇トレンド▲",OR(AE50="25日線押し目●",AE50="5日線押し目○")),"○逆張り候補",IF(W50&lt;=30,IF(Z50&gt;0,"◎反発確認",IF(Z50&lt;-5,"△要注意・様子見","△売られ過ぎ注目")),"相場下落・見送り"))),IF(AND(T50&gt;=12,AD50="パーフェクト▲"),"★強い買い",IF(AND(T50&gt;=12,AD50="上昇トレンド▲"),"★強い買い",IF(AND(T50&gt;=8,OR(AE50="25日線押し目●",AE50="5日線押し目○")),"◎押し目買い",IF(T50&gt;=10,"○買い候補",IF(T50&gt;=6,"△注目",IF(T50&gt;=3,"様子見","見送り"))))))))</f>
        <v>△注目</v>
      </c>
      <c r="Z50" s="189">
        <f t="shared" si="20"/>
        <v>4.7557840616966578</v>
      </c>
      <c r="AA50" s="181" t="str">
        <f t="shared" si="21"/>
        <v>上昇▲</v>
      </c>
      <c r="AB50" s="497">
        <f>IF(C50="","",IFERROR(((終値!E52*0.333)+(終値!F52*0.222)+(終値!G52*0.148)+(終値!H52*0.099)+(終値!I52*0.066)+(終値!J52*0.044)+(終値!K52*0.029)+(終値!L52*0.019)+(終値!M52*0.013)+(終値!N52*0.009))/(0.333+0.222+0.148+0.099+0.066+0.044+0.029+0.019+0.013+0.009),""))</f>
        <v>7278.395112016291</v>
      </c>
      <c r="AC50" s="497">
        <f>IF(C50="","",IFERROR(SUMPRODUCT((終値!E52:AC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7281.9249106078641</v>
      </c>
      <c r="AD50" s="498" t="str">
        <f t="shared" si="15"/>
        <v>下降トレンド▼</v>
      </c>
      <c r="AE50" s="498" t="str">
        <f t="shared" si="16"/>
        <v>なし</v>
      </c>
      <c r="AF50" s="403" cm="1">
        <f t="array" ref="AF50">IF(C50="","",IFERROR((INDEX(終値!$E:$E,MATCH(TEXT(C50,"0"),終値!$A:$A,0))-INDEX(終値!$E:$BL,MATCH(TEXT(C50,"0"),終値!$A:$A,0),$AL$2))/INDEX(終値!$E:$BL,MATCH(TEXT(C50,"0"),終値!$A:$A,0),$AL$2)*100,""))</f>
        <v>17.266187050359711</v>
      </c>
      <c r="AG50" s="403" cm="1">
        <f t="array" ref="AG50">IFERROR((終値!$E$5-INDEX(終値!$E$5:$BL$5,1,$AL$2))/INDEX(終値!$E$5:$BL$5,1,$AL$2)*100,"")</f>
        <v>3.4532270246721688</v>
      </c>
      <c r="AH50" s="404">
        <f t="shared" si="13"/>
        <v>13.812960025687543</v>
      </c>
      <c r="AI50" s="402">
        <f t="shared" si="14"/>
        <v>3</v>
      </c>
    </row>
    <row r="51" spans="1:35" s="192" customFormat="1" ht="18" customHeight="1">
      <c r="A51" s="181" t="str">
        <f>IF(銘柄管理!B59&lt;&gt;"",HYPERLINK("https://kabutan.jp/stock/?code="&amp;銘柄管理!B59,"株探"),"")</f>
        <v>株探</v>
      </c>
      <c r="B51" s="182"/>
      <c r="C51" s="183">
        <f>IF(銘柄管理!B59="","",銘柄管理!B59)</f>
        <v>1961</v>
      </c>
      <c r="D51" s="111" t="str">
        <f>IF(銘柄管理!C59="","",銘柄管理!C59)</f>
        <v>三機工業</v>
      </c>
      <c r="E51" s="184">
        <f>IF(C51&lt;&gt;"",_xll.RssMarket(C51,"現在値"),"")</f>
        <v>2700</v>
      </c>
      <c r="F51" s="184">
        <f>IF(C51&lt;&gt;"",_xll.RssMarket(C51,"始値"),"")</f>
        <v>2650</v>
      </c>
      <c r="G51" s="183">
        <f>IF(C51&lt;&gt;"",終値!F59,"")</f>
        <v>2590</v>
      </c>
      <c r="H51" s="184">
        <f>IF(C51&lt;&gt;"",_xll.RssMarket(C51,"高値"),"")</f>
        <v>2700</v>
      </c>
      <c r="I51" s="184">
        <f>IF(C51&lt;&gt;"",_xll.RssMarket(C51,"安値"),"")</f>
        <v>2639</v>
      </c>
      <c r="J51" s="184">
        <f>IF(C51&lt;&gt;"",_xll.RssMarket(C51,"出来高"),"")</f>
        <v>376500</v>
      </c>
      <c r="K51" s="184">
        <f>IF(C51&lt;&gt;"",_xll.RssMarket(C51,"年初来高値"),"")</f>
        <v>2730</v>
      </c>
      <c r="L51" s="185">
        <f t="shared" si="0"/>
        <v>-1.098901098901099</v>
      </c>
      <c r="M51" s="184">
        <f>IF(C51&lt;&gt;"",IFERROR(AVERAGE(出来高!E59:I59),""),"")</f>
        <v>614400</v>
      </c>
      <c r="N51" s="184">
        <f>IF(C51&lt;&gt;"",IFERROR(AVERAGE(出来高!E59:AC59),""),"")</f>
        <v>629376</v>
      </c>
      <c r="O51" s="186">
        <f t="shared" si="1"/>
        <v>0.61279296875</v>
      </c>
      <c r="P51" s="181" t="str">
        <f t="shared" si="2"/>
        <v>減少↓</v>
      </c>
      <c r="Q51" s="181" t="str">
        <f t="shared" si="3"/>
        <v>中立→</v>
      </c>
      <c r="R51" s="184">
        <f t="shared" si="17"/>
        <v>2916</v>
      </c>
      <c r="S51" s="184">
        <f t="shared" si="18"/>
        <v>2592</v>
      </c>
      <c r="T51" s="181">
        <f t="shared" si="12"/>
        <v>6</v>
      </c>
      <c r="U51" s="181" t="str">
        <f t="shared" si="19"/>
        <v>要確認</v>
      </c>
      <c r="V51" s="181" t="str">
        <f t="shared" si="7"/>
        <v>高値圏</v>
      </c>
      <c r="W51" s="187">
        <f t="array" ref="W51">IF(C51&lt;&gt;"",IFERROR(100-100/(1+SUMPRODUCT((終値!F59:R59&gt;終値!G59:S59)*( 終値!F59:R59-終値!G59:S59))/SUMPRODUCT((終値!F59:R59&lt;終値!G59:S59)*(終値!G59:S59-終値!F59:R59))),50),"")</f>
        <v>76.556291390728475</v>
      </c>
      <c r="X51" s="188">
        <f>IF(C51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22.375142792320275</v>
      </c>
      <c r="Y51" s="1" t="str">
        <f>IF(T51="","",IF(銘柄管理!$F$5="下落▼",IF(AND(AD51="パーフェクト▲",OR(AE51="25日線押し目●",AE51="5日線押し目○")),"★逆張り候補",IF(AND(AD51="上昇トレンド▲",OR(AE51="25日線押し目●",AE51="5日線押し目○")),"○逆張り候補",IF(W51&lt;=30,IF(Z51&gt;0,"◎反発確認",IF(Z51&lt;-5,"△要注意・様子見","△売られ過ぎ注目")),"相場下落・見送り"))),IF(AND(T51&gt;=12,AD51="パーフェクト▲"),"★強い買い",IF(AND(T51&gt;=12,AD51="上昇トレンド▲"),"★強い買い",IF(AND(T51&gt;=8,OR(AE51="25日線押し目●",AE51="5日線押し目○")),"◎押し目買い",IF(T51&gt;=10,"○買い候補",IF(T51&gt;=6,"△注目",IF(T51&gt;=3,"様子見","見送り"))))))))</f>
        <v>△注目</v>
      </c>
      <c r="Z51" s="189">
        <f t="shared" si="20"/>
        <v>4.2471042471042466</v>
      </c>
      <c r="AA51" s="181" t="str">
        <f t="shared" si="21"/>
        <v>上昇▲</v>
      </c>
      <c r="AB51" s="499">
        <f>IF(C51="","",IFERROR(((終値!E53*0.333)+(終値!F53*0.222)+(終値!G53*0.148)+(終値!H53*0.099)+(終値!I53*0.066)+(終値!J53*0.044)+(終値!K53*0.029)+(終値!L53*0.019)+(終値!M53*0.013)+(終値!N53*0.009))/(0.333+0.222+0.148+0.099+0.066+0.044+0.029+0.019+0.013+0.009),""))</f>
        <v>7274.6364562118106</v>
      </c>
      <c r="AC51" s="499">
        <f>IF(C51="","",IFERROR(SUMPRODUCT((終値!E53:AC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7075.3003575685298</v>
      </c>
      <c r="AD51" s="500" t="str">
        <f t="shared" si="15"/>
        <v>もみ合い→</v>
      </c>
      <c r="AE51" s="500" t="str">
        <f t="shared" si="16"/>
        <v>なし</v>
      </c>
      <c r="AF51" s="403" cm="1">
        <f t="array" ref="AF51">IF(C51="","",IFERROR((INDEX(終値!$E:$E,MATCH(TEXT(C51,"0"),終値!$A:$A,0))-INDEX(終値!$E:$BL,MATCH(TEXT(C51,"0"),終値!$A:$A,0),$AL$2))/INDEX(終値!$E:$BL,MATCH(TEXT(C51,"0"),終値!$A:$A,0),$AL$2)*100,""))</f>
        <v>4.0061633281972266</v>
      </c>
      <c r="AG51" s="403" cm="1">
        <f t="array" ref="AG51">IFERROR((終値!$E$5-INDEX(終値!$E$5:$BL$5,1,$AL$2))/INDEX(終値!$E$5:$BL$5,1,$AL$2)*100,"")</f>
        <v>3.4532270246721688</v>
      </c>
      <c r="AH51" s="404">
        <f t="shared" si="13"/>
        <v>0.55293630352505785</v>
      </c>
      <c r="AI51" s="402">
        <f t="shared" si="14"/>
        <v>1</v>
      </c>
    </row>
    <row r="52" spans="1:35" s="192" customFormat="1" ht="18" customHeight="1">
      <c r="A52" s="181" t="str">
        <f>IF(銘柄管理!B62&lt;&gt;"",HYPERLINK("https://kabutan.jp/stock/?code="&amp;銘柄管理!B62,"株探"),"")</f>
        <v>株探</v>
      </c>
      <c r="B52" s="182"/>
      <c r="C52" s="183">
        <f>IF(銘柄管理!B62="","",銘柄管理!B62)</f>
        <v>5857</v>
      </c>
      <c r="D52" s="111" t="str">
        <f>IF(銘柄管理!C62="","",銘柄管理!C62)</f>
        <v>ＡＲＥホールディングス</v>
      </c>
      <c r="E52" s="184">
        <f>IF(C52&lt;&gt;"",_xll.RssMarket(C52,"現在値"),"")</f>
        <v>3305</v>
      </c>
      <c r="F52" s="184">
        <f>IF(C52&lt;&gt;"",_xll.RssMarket(C52,"始値"),"")</f>
        <v>3205</v>
      </c>
      <c r="G52" s="183">
        <f>IF(C52&lt;&gt;"",終値!F62,"")</f>
        <v>3180</v>
      </c>
      <c r="H52" s="184">
        <f>IF(C52&lt;&gt;"",_xll.RssMarket(C52,"高値"),"")</f>
        <v>3320</v>
      </c>
      <c r="I52" s="184">
        <f>IF(C52&lt;&gt;"",_xll.RssMarket(C52,"安値"),"")</f>
        <v>3190</v>
      </c>
      <c r="J52" s="184">
        <f>IF(C52&lt;&gt;"",_xll.RssMarket(C52,"出来高"),"")</f>
        <v>574600</v>
      </c>
      <c r="K52" s="184">
        <f>IF(C52&lt;&gt;"",_xll.RssMarket(C52,"年初来高値"),"")</f>
        <v>4720</v>
      </c>
      <c r="L52" s="185">
        <f t="shared" si="0"/>
        <v>-29.978813559322031</v>
      </c>
      <c r="M52" s="184">
        <f>IF(C52&lt;&gt;"",IFERROR(AVERAGE(出来高!E62:I62),""),"")</f>
        <v>622340</v>
      </c>
      <c r="N52" s="184">
        <f>IF(C52&lt;&gt;"",IFERROR(AVERAGE(出来高!E62:AC62),""),"")</f>
        <v>708440</v>
      </c>
      <c r="O52" s="186">
        <f t="shared" si="1"/>
        <v>0.92328952019796251</v>
      </c>
      <c r="P52" s="181" t="str">
        <f t="shared" si="2"/>
        <v>減少↓</v>
      </c>
      <c r="Q52" s="181" t="str">
        <f t="shared" si="3"/>
        <v>中立→</v>
      </c>
      <c r="R52" s="184">
        <f t="shared" si="17"/>
        <v>3569</v>
      </c>
      <c r="S52" s="184">
        <f t="shared" si="18"/>
        <v>3173</v>
      </c>
      <c r="T52" s="181">
        <f t="shared" si="12"/>
        <v>1</v>
      </c>
      <c r="U52" s="181" t="str">
        <f t="shared" si="19"/>
        <v>除外</v>
      </c>
      <c r="V52" s="181" t="str">
        <f t="shared" si="7"/>
        <v>通常</v>
      </c>
      <c r="W52" s="187">
        <f t="array" ref="W52">IF(C52&lt;&gt;"",IFERROR(100-100/(1+SUMPRODUCT((終値!F62:R62&gt;終値!G62:S62)*( 終値!F62:R62-終値!G62:S62))/SUMPRODUCT((終値!F62:R62&lt;終値!G62:S62)*(終値!G62:S62-終値!F62:R62))),50),"")</f>
        <v>37.043330501274426</v>
      </c>
      <c r="X52" s="188">
        <f>IF(C52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-62.935431999013417</v>
      </c>
      <c r="Y52" s="1" t="str">
        <f>IF(T52="","",IF(銘柄管理!$F$5="下落▼",IF(AND(AD52="パーフェクト▲",OR(AE52="25日線押し目●",AE52="5日線押し目○")),"★逆張り候補",IF(AND(AD52="上昇トレンド▲",OR(AE52="25日線押し目●",AE52="5日線押し目○")),"○逆張り候補",IF(W52&lt;=30,IF(Z52&gt;0,"◎反発確認",IF(Z52&lt;-5,"△要注意・様子見","△売られ過ぎ注目")),"相場下落・見送り"))),IF(AND(T52&gt;=12,AD52="パーフェクト▲"),"★強い買い",IF(AND(T52&gt;=12,AD52="上昇トレンド▲"),"★強い買い",IF(AND(T52&gt;=8,OR(AE52="25日線押し目●",AE52="5日線押し目○")),"◎押し目買い",IF(T52&gt;=10,"○買い候補",IF(T52&gt;=6,"△注目",IF(T52&gt;=3,"様子見","見送り"))))))))</f>
        <v>見送り</v>
      </c>
      <c r="Z52" s="189">
        <f t="shared" si="20"/>
        <v>3.9308176100628929</v>
      </c>
      <c r="AA52" s="181" t="str">
        <f t="shared" si="21"/>
        <v>上昇▲</v>
      </c>
      <c r="AB52" s="497">
        <f>IF(C52="","",IFERROR(((終値!E54*0.333)+(終値!F54*0.222)+(終値!G54*0.148)+(終値!H54*0.099)+(終値!I54*0.066)+(終値!J54*0.044)+(終値!K54*0.029)+(終値!L54*0.019)+(終値!M54*0.013)+(終値!N54*0.009))/(0.333+0.222+0.148+0.099+0.066+0.044+0.029+0.019+0.013+0.009),""))</f>
        <v>6161.7331975560073</v>
      </c>
      <c r="AC52" s="497">
        <f>IF(C52="","",IFERROR(SUMPRODUCT((終値!E54:AC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6018.7914183551829</v>
      </c>
      <c r="AD52" s="498" t="str">
        <f t="shared" si="15"/>
        <v>もみ合い→</v>
      </c>
      <c r="AE52" s="498" t="str">
        <f t="shared" si="16"/>
        <v>なし</v>
      </c>
      <c r="AF52" s="403" cm="1">
        <f t="array" ref="AF52">IF(C52="","",IFERROR((INDEX(終値!$E:$E,MATCH(TEXT(C52,"0"),終値!$A:$A,0))-INDEX(終値!$E:$BL,MATCH(TEXT(C52,"0"),終値!$A:$A,0),$AL$2))/INDEX(終値!$E:$BL,MATCH(TEXT(C52,"0"),終値!$A:$A,0),$AL$2)*100,""))</f>
        <v>-14.378238341968913</v>
      </c>
      <c r="AG52" s="403" cm="1">
        <f t="array" ref="AG52">IFERROR((終値!$E$5-INDEX(終値!$E$5:$BL$5,1,$AL$2))/INDEX(終値!$E$5:$BL$5,1,$AL$2)*100,"")</f>
        <v>3.4532270246721688</v>
      </c>
      <c r="AH52" s="404">
        <f t="shared" si="13"/>
        <v>-17.831465366641083</v>
      </c>
      <c r="AI52" s="402">
        <f t="shared" si="14"/>
        <v>-2</v>
      </c>
    </row>
    <row r="53" spans="1:35" s="192" customFormat="1" ht="18" customHeight="1">
      <c r="A53" s="181" t="str">
        <f>IF(銘柄管理!B65&lt;&gt;"",HYPERLINK("https://kabutan.jp/stock/?code="&amp;銘柄管理!B65,"株探"),"")</f>
        <v>株探</v>
      </c>
      <c r="B53" s="182"/>
      <c r="C53" s="183">
        <f>IF(銘柄管理!B65="","",銘柄管理!B65)</f>
        <v>9984</v>
      </c>
      <c r="D53" s="111" t="str">
        <f>IF(銘柄管理!C65="","",銘柄管理!C65)</f>
        <v>ソフトバンクグループ</v>
      </c>
      <c r="E53" s="184">
        <f>IF(C53&lt;&gt;"",_xll.RssMarket(C53,"現在値"),"")</f>
        <v>6880</v>
      </c>
      <c r="F53" s="184">
        <f>IF(C53&lt;&gt;"",_xll.RssMarket(C53,"始値"),"")</f>
        <v>6920</v>
      </c>
      <c r="G53" s="183">
        <f>IF(C53&lt;&gt;"",終値!F65,"")</f>
        <v>7102</v>
      </c>
      <c r="H53" s="184">
        <f>IF(C53&lt;&gt;"",_xll.RssMarket(C53,"高値"),"")</f>
        <v>6948</v>
      </c>
      <c r="I53" s="184">
        <f>IF(C53&lt;&gt;"",_xll.RssMarket(C53,"安値"),"")</f>
        <v>6730</v>
      </c>
      <c r="J53" s="184">
        <f>IF(C53&lt;&gt;"",_xll.RssMarket(C53,"出来高"),"")</f>
        <v>48833800</v>
      </c>
      <c r="K53" s="184">
        <f>IF(C53&lt;&gt;"",_xll.RssMarket(C53,"年初来高値"),"")</f>
        <v>9074</v>
      </c>
      <c r="L53" s="185">
        <f t="shared" si="0"/>
        <v>-24.178972889574609</v>
      </c>
      <c r="M53" s="184">
        <f>IF(C53&lt;&gt;"",IFERROR(AVERAGE(出来高!E65:I65),""),"")</f>
        <v>63323060</v>
      </c>
      <c r="N53" s="184">
        <f>IF(C53&lt;&gt;"",IFERROR(AVERAGE(出来高!E65:AC65),""),"")</f>
        <v>73618932</v>
      </c>
      <c r="O53" s="186">
        <f t="shared" si="1"/>
        <v>0.77118509434003979</v>
      </c>
      <c r="P53" s="181" t="str">
        <f t="shared" si="2"/>
        <v>減少↓</v>
      </c>
      <c r="Q53" s="181" t="str">
        <f t="shared" si="3"/>
        <v>様子見▼</v>
      </c>
      <c r="R53" s="184">
        <f t="shared" si="17"/>
        <v>7430</v>
      </c>
      <c r="S53" s="184">
        <f t="shared" si="18"/>
        <v>6605</v>
      </c>
      <c r="T53" s="181">
        <f t="shared" si="12"/>
        <v>8</v>
      </c>
      <c r="U53" s="181" t="str">
        <f t="shared" si="19"/>
        <v>要確認</v>
      </c>
      <c r="V53" s="181" t="str">
        <f t="shared" si="7"/>
        <v>通常</v>
      </c>
      <c r="W53" s="187">
        <f t="array" ref="W53">IF(C53&lt;&gt;"",IFERROR(100-100/(1+SUMPRODUCT((終値!F65:R65&gt;終値!G65:S65)*( 終値!F65:R65-終値!G65:S65))/SUMPRODUCT((終値!F65:R65&lt;終値!G65:S65)*(終値!G65:S65-終値!F65:R65))),50),"")</f>
        <v>50.323886639676118</v>
      </c>
      <c r="X53" s="188">
        <f>IF(C53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95.504891756456345</v>
      </c>
      <c r="Y53" s="1" t="str">
        <f>IF(T53="","",IF(銘柄管理!$F$5="下落▼",IF(AND(AD53="パーフェクト▲",OR(AE53="25日線押し目●",AE53="5日線押し目○")),"★逆張り候補",IF(AND(AD53="上昇トレンド▲",OR(AE53="25日線押し目●",AE53="5日線押し目○")),"○逆張り候補",IF(W53&lt;=30,IF(Z53&gt;0,"◎反発確認",IF(Z53&lt;-5,"△要注意・様子見","△売られ過ぎ注目")),"相場下落・見送り"))),IF(AND(T53&gt;=12,AD53="パーフェクト▲"),"★強い買い",IF(AND(T53&gt;=12,AD53="上昇トレンド▲"),"★強い買い",IF(AND(T53&gt;=8,OR(AE53="25日線押し目●",AE53="5日線押し目○")),"◎押し目買い",IF(T53&gt;=10,"○買い候補",IF(T53&gt;=6,"△注目",IF(T53&gt;=3,"様子見","見送り"))))))))</f>
        <v>△注目</v>
      </c>
      <c r="Z53" s="189">
        <f t="shared" si="20"/>
        <v>-3.1258800337932975</v>
      </c>
      <c r="AA53" s="181" t="str">
        <f t="shared" si="21"/>
        <v>下落▼</v>
      </c>
      <c r="AB53" s="499">
        <f>IF(C53="","",IFERROR(((終値!E55*0.333)+(終値!F55*0.222)+(終値!G55*0.148)+(終値!H55*0.099)+(終値!I55*0.066)+(終値!J55*0.044)+(終値!K55*0.029)+(終値!L55*0.019)+(終値!M55*0.013)+(終値!N55*0.009))/(0.333+0.222+0.148+0.099+0.066+0.044+0.029+0.019+0.013+0.009),""))</f>
        <v>3965.3482688391023</v>
      </c>
      <c r="AC53" s="499">
        <f>IF(C53="","",IFERROR(SUMPRODUCT((終値!E55:AC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3885.3504171632881</v>
      </c>
      <c r="AD53" s="500" t="str">
        <f t="shared" si="15"/>
        <v>パーフェクト▲</v>
      </c>
      <c r="AE53" s="500" t="str">
        <f t="shared" si="16"/>
        <v>なし</v>
      </c>
      <c r="AF53" s="403" cm="1">
        <f t="array" ref="AF53">IF(C53="","",IFERROR((INDEX(終値!$E:$E,MATCH(TEXT(C53,"0"),終値!$A:$A,0))-INDEX(終値!$E:$BL,MATCH(TEXT(C53,"0"),終値!$A:$A,0),$AL$2))/INDEX(終値!$E:$BL,MATCH(TEXT(C53,"0"),終値!$A:$A,0),$AL$2)*100,""))</f>
        <v>19.237435008665511</v>
      </c>
      <c r="AG53" s="403" cm="1">
        <f t="array" ref="AG53">IFERROR((終値!$E$5-INDEX(終値!$E$5:$BL$5,1,$AL$2))/INDEX(終値!$E$5:$BL$5,1,$AL$2)*100,"")</f>
        <v>3.4532270246721688</v>
      </c>
      <c r="AH53" s="404">
        <f t="shared" si="13"/>
        <v>15.784207983993342</v>
      </c>
      <c r="AI53" s="402">
        <f t="shared" si="14"/>
        <v>3</v>
      </c>
    </row>
    <row r="54" spans="1:35" s="192" customFormat="1" ht="18" customHeight="1">
      <c r="A54" s="181" t="str">
        <f>IF(銘柄管理!B71&lt;&gt;"",HYPERLINK("https://kabutan.jp/stock/?code="&amp;銘柄管理!B71,"株探"),"")</f>
        <v>株探</v>
      </c>
      <c r="B54" s="182"/>
      <c r="C54" s="183">
        <f>IF(銘柄管理!B71="","",銘柄管理!B71)</f>
        <v>3854</v>
      </c>
      <c r="D54" s="111" t="str">
        <f>IF(銘柄管理!C71="","",銘柄管理!C71)</f>
        <v>アイル</v>
      </c>
      <c r="E54" s="184">
        <f>IF(C54&lt;&gt;"",_xll.RssMarket(C54,"現在値"),"")</f>
        <v>2190</v>
      </c>
      <c r="F54" s="184">
        <f>IF(C54&lt;&gt;"",_xll.RssMarket(C54,"始値"),"")</f>
        <v>2170</v>
      </c>
      <c r="G54" s="183">
        <f>IF(C54&lt;&gt;"",終値!F71,"")</f>
        <v>2182</v>
      </c>
      <c r="H54" s="184">
        <f>IF(C54&lt;&gt;"",_xll.RssMarket(C54,"高値"),"")</f>
        <v>2206</v>
      </c>
      <c r="I54" s="184">
        <f>IF(C54&lt;&gt;"",_xll.RssMarket(C54,"安値"),"")</f>
        <v>2159</v>
      </c>
      <c r="J54" s="184">
        <f>IF(C54&lt;&gt;"",_xll.RssMarket(C54,"出来高"),"")</f>
        <v>125700</v>
      </c>
      <c r="K54" s="184">
        <f>IF(C54&lt;&gt;"",_xll.RssMarket(C54,"年初来高値"),"")</f>
        <v>2653</v>
      </c>
      <c r="L54" s="185">
        <f t="shared" si="0"/>
        <v>-17.451941198643045</v>
      </c>
      <c r="M54" s="184">
        <f>IF(C54&lt;&gt;"",IFERROR(AVERAGE(出来高!E71:I71),""),"")</f>
        <v>110080</v>
      </c>
      <c r="N54" s="184">
        <f>IF(C54&lt;&gt;"",IFERROR(AVERAGE(出来高!E71:AC71),""),"")</f>
        <v>84104</v>
      </c>
      <c r="O54" s="186">
        <f t="shared" si="1"/>
        <v>1.1418968023255813</v>
      </c>
      <c r="P54" s="181" t="str">
        <f t="shared" si="2"/>
        <v>普通→</v>
      </c>
      <c r="Q54" s="181" t="str">
        <f t="shared" si="3"/>
        <v>中立→</v>
      </c>
      <c r="R54" s="184">
        <f t="shared" si="17"/>
        <v>2365</v>
      </c>
      <c r="S54" s="184">
        <f t="shared" si="18"/>
        <v>2102</v>
      </c>
      <c r="T54" s="181">
        <f t="shared" si="12"/>
        <v>3</v>
      </c>
      <c r="U54" s="181" t="str">
        <f t="shared" si="19"/>
        <v>要確認</v>
      </c>
      <c r="V54" s="181" t="str">
        <f t="shared" si="7"/>
        <v>通常</v>
      </c>
      <c r="W54" s="187">
        <f t="array" ref="W54">IF(C54&lt;&gt;"",IFERROR(100-100/(1+SUMPRODUCT((終値!F71:R71&gt;終値!G71:S71)*( 終値!F71:R71-終値!G71:S71))/SUMPRODUCT((終値!F71:R71&lt;終値!G71:S71)*(終値!G71:S71-終値!F71:R71))),50),"")</f>
        <v>22.72</v>
      </c>
      <c r="X54" s="188">
        <f>IF(C54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-26.050290758997562</v>
      </c>
      <c r="Y54" s="1" t="str">
        <f>IF(T54="","",IF(銘柄管理!$F$5="下落▼",IF(AND(AD54="パーフェクト▲",OR(AE54="25日線押し目●",AE54="5日線押し目○")),"★逆張り候補",IF(AND(AD54="上昇トレンド▲",OR(AE54="25日線押し目●",AE54="5日線押し目○")),"○逆張り候補",IF(W54&lt;=30,IF(Z54&gt;0,"◎反発確認",IF(Z54&lt;-5,"△要注意・様子見","△売られ過ぎ注目")),"相場下落・見送り"))),IF(AND(T54&gt;=12,AD54="パーフェクト▲"),"★強い買い",IF(AND(T54&gt;=12,AD54="上昇トレンド▲"),"★強い買い",IF(AND(T54&gt;=8,OR(AE54="25日線押し目●",AE54="5日線押し目○")),"◎押し目買い",IF(T54&gt;=10,"○買い候補",IF(T54&gt;=6,"△注目",IF(T54&gt;=3,"様子見","見送り"))))))))</f>
        <v>様子見</v>
      </c>
      <c r="Z54" s="189">
        <f t="shared" si="20"/>
        <v>0.36663611365719523</v>
      </c>
      <c r="AA54" s="181" t="str">
        <f t="shared" si="21"/>
        <v>上昇▲</v>
      </c>
      <c r="AB54" s="497">
        <f>IF(C54="","",IFERROR(((終値!E56*0.333)+(終値!F56*0.222)+(終値!G56*0.148)+(終値!H56*0.099)+(終値!I56*0.066)+(終値!J56*0.044)+(終値!K56*0.029)+(終値!L56*0.019)+(終値!M56*0.013)+(終値!N56*0.009))/(0.333+0.222+0.148+0.099+0.066+0.044+0.029+0.019+0.013+0.009),""))</f>
        <v>3355.5091649694505</v>
      </c>
      <c r="AC54" s="497">
        <f>IF(C54="","",IFERROR(SUMPRODUCT((終値!E56:AC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3692.544696066745</v>
      </c>
      <c r="AD54" s="498" t="str">
        <f t="shared" si="15"/>
        <v>下降トレンド▼</v>
      </c>
      <c r="AE54" s="498" t="str">
        <f t="shared" si="16"/>
        <v>なし</v>
      </c>
      <c r="AF54" s="403" cm="1">
        <f t="array" ref="AF54">IF(C54="","",IFERROR((INDEX(終値!$E:$E,MATCH(TEXT(C54,"0"),終値!$A:$A,0))-INDEX(終値!$E:$BL,MATCH(TEXT(C54,"0"),終値!$A:$A,0),$AL$2))/INDEX(終値!$E:$BL,MATCH(TEXT(C54,"0"),終値!$A:$A,0),$AL$2)*100,""))</f>
        <v>-5.2768166089965396</v>
      </c>
      <c r="AG54" s="403" cm="1">
        <f t="array" ref="AG54">IFERROR((終値!$E$5-INDEX(終値!$E$5:$BL$5,1,$AL$2))/INDEX(終値!$E$5:$BL$5,1,$AL$2)*100,"")</f>
        <v>3.4532270246721688</v>
      </c>
      <c r="AH54" s="404">
        <f t="shared" si="13"/>
        <v>-8.7300436336687088</v>
      </c>
      <c r="AI54" s="402">
        <f t="shared" si="14"/>
        <v>-2</v>
      </c>
    </row>
    <row r="55" spans="1:35" s="192" customFormat="1" ht="18" customHeight="1">
      <c r="A55" s="181" t="str">
        <f>IF(銘柄管理!B73&lt;&gt;"",HYPERLINK("https://kabutan.jp/stock/?code="&amp;銘柄管理!B73,"株探"),"")</f>
        <v>株探</v>
      </c>
      <c r="B55" s="182"/>
      <c r="C55" s="183">
        <f>IF(銘柄管理!B73="","",銘柄管理!B73)</f>
        <v>7806</v>
      </c>
      <c r="D55" s="111" t="str">
        <f>IF(銘柄管理!C73="","",銘柄管理!C73)</f>
        <v>ＭＴＧ</v>
      </c>
      <c r="E55" s="184">
        <f>IF(C55&lt;&gt;"",_xll.RssMarket(C55,"現在値"),"")</f>
        <v>7310</v>
      </c>
      <c r="F55" s="184">
        <f>IF(C55&lt;&gt;"",_xll.RssMarket(C55,"始値"),"")</f>
        <v>7260</v>
      </c>
      <c r="G55" s="183">
        <f>IF(C55&lt;&gt;"",終値!F73,"")</f>
        <v>7260</v>
      </c>
      <c r="H55" s="184">
        <f>IF(C55&lt;&gt;"",_xll.RssMarket(C55,"高値"),"")</f>
        <v>7410</v>
      </c>
      <c r="I55" s="184">
        <f>IF(C55&lt;&gt;"",_xll.RssMarket(C55,"安値"),"")</f>
        <v>7150</v>
      </c>
      <c r="J55" s="184">
        <f>IF(C55&lt;&gt;"",_xll.RssMarket(C55,"出来高"),"")</f>
        <v>101100</v>
      </c>
      <c r="K55" s="184">
        <f>IF(C55&lt;&gt;"",_xll.RssMarket(C55,"年初来高値"),"")</f>
        <v>7600</v>
      </c>
      <c r="L55" s="185">
        <f t="shared" si="0"/>
        <v>-3.8157894736842106</v>
      </c>
      <c r="M55" s="184">
        <f>IF(C55&lt;&gt;"",IFERROR(AVERAGE(出来高!E73:I73),""),"")</f>
        <v>90600</v>
      </c>
      <c r="N55" s="184">
        <f>IF(C55&lt;&gt;"",IFERROR(AVERAGE(出来高!E73:AC73),""),"")</f>
        <v>178712</v>
      </c>
      <c r="O55" s="186">
        <f t="shared" si="1"/>
        <v>1.1158940397350994</v>
      </c>
      <c r="P55" s="181" t="str">
        <f t="shared" si="2"/>
        <v>普通→</v>
      </c>
      <c r="Q55" s="181" t="str">
        <f t="shared" si="3"/>
        <v>中立→</v>
      </c>
      <c r="R55" s="184">
        <f t="shared" si="17"/>
        <v>7895</v>
      </c>
      <c r="S55" s="184">
        <f t="shared" si="18"/>
        <v>7018</v>
      </c>
      <c r="T55" s="181">
        <f t="shared" si="12"/>
        <v>8</v>
      </c>
      <c r="U55" s="181" t="str">
        <f t="shared" si="19"/>
        <v>要確認</v>
      </c>
      <c r="V55" s="181" t="str">
        <f t="shared" si="7"/>
        <v>高値圏</v>
      </c>
      <c r="W55" s="187">
        <f t="array" ref="W55">IF(C55&lt;&gt;"",IFERROR(100-100/(1+SUMPRODUCT((終値!F73:R73&gt;終値!G73:S73)*( 終値!F73:R73-終値!G73:S73))/SUMPRODUCT((終値!F73:R73&lt;終値!G73:S73)*(終値!G73:S73-終値!F73:R73))),50),"")</f>
        <v>63.141993957703924</v>
      </c>
      <c r="X55" s="188">
        <f>IF(C55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66.941736752655743</v>
      </c>
      <c r="Y55" s="1" t="str">
        <f>IF(T55="","",IF(銘柄管理!$F$5="下落▼",IF(AND(AD55="パーフェクト▲",OR(AE55="25日線押し目●",AE55="5日線押し目○")),"★逆張り候補",IF(AND(AD55="上昇トレンド▲",OR(AE55="25日線押し目●",AE55="5日線押し目○")),"○逆張り候補",IF(W55&lt;=30,IF(Z55&gt;0,"◎反発確認",IF(Z55&lt;-5,"△要注意・様子見","△売られ過ぎ注目")),"相場下落・見送り"))),IF(AND(T55&gt;=12,AD55="パーフェクト▲"),"★強い買い",IF(AND(T55&gt;=12,AD55="上昇トレンド▲"),"★強い買い",IF(AND(T55&gt;=8,OR(AE55="25日線押し目●",AE55="5日線押し目○")),"◎押し目買い",IF(T55&gt;=10,"○買い候補",IF(T55&gt;=6,"△注目",IF(T55&gt;=3,"様子見","見送り"))))))))</f>
        <v>△注目</v>
      </c>
      <c r="Z55" s="189">
        <f t="shared" si="20"/>
        <v>0.68870523415977969</v>
      </c>
      <c r="AA55" s="181" t="str">
        <f t="shared" si="21"/>
        <v>上昇▲</v>
      </c>
      <c r="AB55" s="499">
        <f>IF(C55="","",IFERROR(((終値!E57*0.333)+(終値!F57*0.222)+(終値!G57*0.148)+(終値!H57*0.099)+(終値!I57*0.066)+(終値!J57*0.044)+(終値!K57*0.029)+(終値!L57*0.019)+(終値!M57*0.013)+(終値!N57*0.009))/(0.333+0.222+0.148+0.099+0.066+0.044+0.029+0.019+0.013+0.009),""))</f>
        <v>1621.0356415478611</v>
      </c>
      <c r="AC55" s="499">
        <f>IF(C55="","",IFERROR(SUMPRODUCT((終値!E57:AC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1613.2133492252676</v>
      </c>
      <c r="AD55" s="500" t="str">
        <f t="shared" si="15"/>
        <v>パーフェクト▲</v>
      </c>
      <c r="AE55" s="500" t="str">
        <f t="shared" si="16"/>
        <v>なし</v>
      </c>
      <c r="AF55" s="403" cm="1">
        <f t="array" ref="AF55">IF(C55="","",IFERROR((INDEX(終値!$E:$E,MATCH(TEXT(C55,"0"),終値!$A:$A,0))-INDEX(終値!$E:$BL,MATCH(TEXT(C55,"0"),終値!$A:$A,0),$AL$2))/INDEX(終値!$E:$BL,MATCH(TEXT(C55,"0"),終値!$A:$A,0),$AL$2)*100,""))</f>
        <v>1.8105849582172702</v>
      </c>
      <c r="AG55" s="403" cm="1">
        <f t="array" ref="AG55">IFERROR((終値!$E$5-INDEX(終値!$E$5:$BL$5,1,$AL$2))/INDEX(終値!$E$5:$BL$5,1,$AL$2)*100,"")</f>
        <v>3.4532270246721688</v>
      </c>
      <c r="AH55" s="404">
        <f t="shared" si="13"/>
        <v>-1.6426420664548986</v>
      </c>
      <c r="AI55" s="402">
        <f t="shared" si="14"/>
        <v>-1</v>
      </c>
    </row>
    <row r="56" spans="1:35" s="192" customFormat="1" ht="18" customHeight="1">
      <c r="A56" s="181" t="str">
        <f>IF(銘柄管理!B96&lt;&gt;"",HYPERLINK("https://kabutan.jp/stock/?code="&amp;銘柄管理!B96,"株探"),"")</f>
        <v>株探</v>
      </c>
      <c r="B56" s="182"/>
      <c r="C56" s="183">
        <f>IF(銘柄管理!B96="","",銘柄管理!B96)</f>
        <v>4062</v>
      </c>
      <c r="D56" s="111" t="str">
        <f>IF(銘柄管理!C96="","",銘柄管理!C96)</f>
        <v>イビデン</v>
      </c>
      <c r="E56" s="184">
        <f>IF(C56&lt;&gt;"",_xll.RssMarket(C56,"現在値"),"")</f>
        <v>24000</v>
      </c>
      <c r="F56" s="184">
        <f>IF(C56&lt;&gt;"",_xll.RssMarket(C56,"始値"),"")</f>
        <v>21945</v>
      </c>
      <c r="G56" s="183">
        <f>IF(C56&lt;&gt;"",終値!F96,"")</f>
        <v>22445</v>
      </c>
      <c r="H56" s="184">
        <f>IF(C56&lt;&gt;"",_xll.RssMarket(C56,"高値"),"")</f>
        <v>24080</v>
      </c>
      <c r="I56" s="184">
        <f>IF(C56&lt;&gt;"",_xll.RssMarket(C56,"安値"),"")</f>
        <v>21860</v>
      </c>
      <c r="J56" s="184">
        <f>IF(C56&lt;&gt;"",_xll.RssMarket(C56,"出来高"),"")</f>
        <v>9058100</v>
      </c>
      <c r="K56" s="184">
        <f>IF(C56&lt;&gt;"",_xll.RssMarket(C56,"年初来高値"),"")</f>
        <v>23640</v>
      </c>
      <c r="L56" s="185">
        <f t="shared" si="0"/>
        <v>1.5228426395939088</v>
      </c>
      <c r="M56" s="184">
        <f>IF(C56&lt;&gt;"",IFERROR(AVERAGE(出来高!E96:I96),""),"")</f>
        <v>8901460</v>
      </c>
      <c r="N56" s="184">
        <f>IF(C56&lt;&gt;"",IFERROR(AVERAGE(出来高!E96:AC96),""),"")</f>
        <v>8752228</v>
      </c>
      <c r="O56" s="186">
        <f t="shared" si="1"/>
        <v>1.0175971132825401</v>
      </c>
      <c r="P56" s="181" t="str">
        <f t="shared" si="2"/>
        <v>普通→</v>
      </c>
      <c r="Q56" s="181" t="str">
        <f t="shared" si="3"/>
        <v>中立→</v>
      </c>
      <c r="R56" s="184">
        <f t="shared" si="17"/>
        <v>25920</v>
      </c>
      <c r="S56" s="184">
        <f t="shared" si="18"/>
        <v>23040</v>
      </c>
      <c r="T56" s="181">
        <f t="shared" si="12"/>
        <v>14</v>
      </c>
      <c r="U56" s="181" t="str">
        <f t="shared" si="19"/>
        <v>要確認</v>
      </c>
      <c r="V56" s="181" t="str">
        <f t="shared" si="7"/>
        <v>年初来高値更新●</v>
      </c>
      <c r="W56" s="187">
        <f t="array" ref="W56">IF(C56&lt;&gt;"",IFERROR(100-100/(1+SUMPRODUCT((終値!F96:R96&gt;終値!G96:S96)*( 終値!F96:R96-終値!G96:S96))/SUMPRODUCT((終値!F96:R96&lt;終値!G96:S96)*(終値!G96:S96-終値!F96:R96))),50),"")</f>
        <v>54.357204486626408</v>
      </c>
      <c r="X56" s="188">
        <f>IF(C56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391.52667380463754</v>
      </c>
      <c r="Y56" s="1" t="str">
        <f>IF(T56="","",IF(銘柄管理!$F$5="下落▼",IF(AND(AD56="パーフェクト▲",OR(AE56="25日線押し目●",AE56="5日線押し目○")),"★逆張り候補",IF(AND(AD56="上昇トレンド▲",OR(AE56="25日線押し目●",AE56="5日線押し目○")),"○逆張り候補",IF(W56&lt;=30,IF(Z56&gt;0,"◎反発確認",IF(Z56&lt;-5,"△要注意・様子見","△売られ過ぎ注目")),"相場下落・見送り"))),IF(AND(T56&gt;=12,AD56="パーフェクト▲"),"★強い買い",IF(AND(T56&gt;=12,AD56="上昇トレンド▲"),"★強い買い",IF(AND(T56&gt;=8,OR(AE56="25日線押し目●",AE56="5日線押し目○")),"◎押し目買い",IF(T56&gt;=10,"○買い候補",IF(T56&gt;=6,"△注目",IF(T56&gt;=3,"様子見","見送り"))))))))</f>
        <v>★強い買い</v>
      </c>
      <c r="Z56" s="189">
        <f t="shared" si="20"/>
        <v>6.9280463354867452</v>
      </c>
      <c r="AA56" s="181" t="str">
        <f t="shared" si="21"/>
        <v>上昇▲</v>
      </c>
      <c r="AB56" s="497">
        <f>IF(C56="","",IFERROR(((終値!E58*0.333)+(終値!F58*0.222)+(終値!G58*0.148)+(終値!H58*0.099)+(終値!I58*0.066)+(終値!J58*0.044)+(終値!K58*0.029)+(終値!L58*0.019)+(終値!M58*0.013)+(終値!N58*0.009))/(0.333+0.222+0.148+0.099+0.066+0.044+0.029+0.019+0.013+0.009),""))</f>
        <v>4036.1160896130336</v>
      </c>
      <c r="AC56" s="497">
        <f>IF(C56="","",IFERROR(SUMPRODUCT((終値!E58:AC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3943.2157330154919</v>
      </c>
      <c r="AD56" s="498" t="str">
        <f t="shared" si="15"/>
        <v>パーフェクト▲</v>
      </c>
      <c r="AE56" s="498" t="str">
        <f t="shared" si="16"/>
        <v>なし</v>
      </c>
      <c r="AF56" s="403" cm="1">
        <f t="array" ref="AF56">IF(C56="","",IFERROR((INDEX(終値!$E:$E,MATCH(TEXT(C56,"0"),終値!$A:$A,0))-INDEX(終値!$E:$BL,MATCH(TEXT(C56,"0"),終値!$A:$A,0),$AL$2))/INDEX(終値!$E:$BL,MATCH(TEXT(C56,"0"),終値!$A:$A,0),$AL$2)*100,""))</f>
        <v>41.509433962264154</v>
      </c>
      <c r="AG56" s="403" cm="1">
        <f t="array" ref="AG56">IFERROR((終値!$E$5-INDEX(終値!$E$5:$BL$5,1,$AL$2))/INDEX(終値!$E$5:$BL$5,1,$AL$2)*100,"")</f>
        <v>3.4532270246721688</v>
      </c>
      <c r="AH56" s="404">
        <f t="shared" si="13"/>
        <v>38.056206937591988</v>
      </c>
      <c r="AI56" s="402">
        <f t="shared" si="14"/>
        <v>3</v>
      </c>
    </row>
    <row r="57" spans="1:35" s="192" customFormat="1" ht="18" customHeight="1">
      <c r="A57" s="181" t="str">
        <f>IF(銘柄管理!B102&lt;&gt;"",HYPERLINK("https://kabutan.jp/stock/?code="&amp;銘柄管理!B102,"株探"),"")</f>
        <v>株探</v>
      </c>
      <c r="B57" s="182"/>
      <c r="C57" s="183">
        <f>IF(銘柄管理!B102="","",銘柄管理!B102)</f>
        <v>5802</v>
      </c>
      <c r="D57" s="111" t="str">
        <f>IF(銘柄管理!C102="","",銘柄管理!C102)</f>
        <v>住友電工</v>
      </c>
      <c r="E57" s="184">
        <f>IF(C57&lt;&gt;"",_xll.RssMarket(C57,"現在値"),"")</f>
        <v>12300</v>
      </c>
      <c r="F57" s="184">
        <f>IF(C57&lt;&gt;"",_xll.RssMarket(C57,"始値"),"")</f>
        <v>12000</v>
      </c>
      <c r="G57" s="183">
        <f>IF(C57&lt;&gt;"",終値!F102,"")</f>
        <v>12320</v>
      </c>
      <c r="H57" s="184">
        <f>IF(C57&lt;&gt;"",_xll.RssMarket(C57,"高値"),"")</f>
        <v>12415</v>
      </c>
      <c r="I57" s="184">
        <f>IF(C57&lt;&gt;"",_xll.RssMarket(C57,"安値"),"")</f>
        <v>11935</v>
      </c>
      <c r="J57" s="184">
        <f>IF(C57&lt;&gt;"",_xll.RssMarket(C57,"出来高"),"")</f>
        <v>4673200</v>
      </c>
      <c r="K57" s="184">
        <f>IF(C57&lt;&gt;"",_xll.RssMarket(C57,"年初来高値"),"")</f>
        <v>14850</v>
      </c>
      <c r="L57" s="185">
        <f t="shared" si="0"/>
        <v>-17.171717171717169</v>
      </c>
      <c r="M57" s="184">
        <f>IF(C57&lt;&gt;"",IFERROR(AVERAGE(出来高!E102:I102),""),"")</f>
        <v>7543100</v>
      </c>
      <c r="N57" s="184">
        <f>IF(C57&lt;&gt;"",IFERROR(AVERAGE(出来高!E102:AC102),""),"")</f>
        <v>7650076</v>
      </c>
      <c r="O57" s="186">
        <f t="shared" si="1"/>
        <v>0.61953308321512379</v>
      </c>
      <c r="P57" s="181" t="str">
        <f t="shared" si="2"/>
        <v>減少↓</v>
      </c>
      <c r="Q57" s="181" t="str">
        <f t="shared" si="3"/>
        <v>様子見▼</v>
      </c>
      <c r="R57" s="184">
        <f t="shared" si="17"/>
        <v>13284</v>
      </c>
      <c r="S57" s="184">
        <f t="shared" si="18"/>
        <v>11808</v>
      </c>
      <c r="T57" s="181">
        <f t="shared" si="12"/>
        <v>4</v>
      </c>
      <c r="U57" s="181" t="str">
        <f t="shared" si="19"/>
        <v>要確認</v>
      </c>
      <c r="V57" s="181" t="str">
        <f t="shared" si="7"/>
        <v>通常</v>
      </c>
      <c r="W57" s="187">
        <f t="array" ref="W57">IF(C57&lt;&gt;"",IFERROR(100-100/(1+SUMPRODUCT((終値!F102:R102&gt;終値!G102:S102)*( 終値!F102:R102-終値!G102:S102))/SUMPRODUCT((終値!F102:R102&lt;終値!G102:S102)*(終値!G102:S102-終値!F102:R102))),50),"")</f>
        <v>50.326022525192656</v>
      </c>
      <c r="X57" s="188">
        <f>IF(C57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52.66669386520698</v>
      </c>
      <c r="Y57" s="1" t="str">
        <f>IF(T57="","",IF(銘柄管理!$F$5="下落▼",IF(AND(AD57="パーフェクト▲",OR(AE57="25日線押し目●",AE57="5日線押し目○")),"★逆張り候補",IF(AND(AD57="上昇トレンド▲",OR(AE57="25日線押し目●",AE57="5日線押し目○")),"○逆張り候補",IF(W57&lt;=30,IF(Z57&gt;0,"◎反発確認",IF(Z57&lt;-5,"△要注意・様子見","△売られ過ぎ注目")),"相場下落・見送り"))),IF(AND(T57&gt;=12,AD57="パーフェクト▲"),"★強い買い",IF(AND(T57&gt;=12,AD57="上昇トレンド▲"),"★強い買い",IF(AND(T57&gt;=8,OR(AE57="25日線押し目●",AE57="5日線押し目○")),"◎押し目買い",IF(T57&gt;=10,"○買い候補",IF(T57&gt;=6,"△注目",IF(T57&gt;=3,"様子見","見送り"))))))))</f>
        <v>様子見</v>
      </c>
      <c r="Z57" s="189">
        <f t="shared" si="20"/>
        <v>-0.16233766233766234</v>
      </c>
      <c r="AA57" s="181" t="str">
        <f t="shared" si="21"/>
        <v>下落▼</v>
      </c>
      <c r="AB57" s="499">
        <f>IF(C57="","",IFERROR(((終値!E59*0.333)+(終値!F59*0.222)+(終値!G59*0.148)+(終値!H59*0.099)+(終値!I59*0.066)+(終値!J59*0.044)+(終値!K59*0.029)+(終値!L59*0.019)+(終値!M59*0.013)+(終値!N59*0.009))/(0.333+0.222+0.148+0.099+0.066+0.044+0.029+0.019+0.013+0.009),""))</f>
        <v>2550.6934826883903</v>
      </c>
      <c r="AC57" s="499">
        <f>IF(C57="","",IFERROR(SUMPRODUCT((終値!E59:AC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2404.0560190703213</v>
      </c>
      <c r="AD57" s="500" t="str">
        <f t="shared" si="15"/>
        <v>パーフェクト▲</v>
      </c>
      <c r="AE57" s="500" t="str">
        <f t="shared" si="16"/>
        <v>なし</v>
      </c>
      <c r="AF57" s="403" cm="1">
        <f t="array" ref="AF57">IF(C57="","",IFERROR((INDEX(終値!$E:$E,MATCH(TEXT(C57,"0"),終値!$A:$A,0))-INDEX(終値!$E:$BL,MATCH(TEXT(C57,"0"),終値!$A:$A,0),$AL$2))/INDEX(終値!$E:$BL,MATCH(TEXT(C57,"0"),終値!$A:$A,0),$AL$2)*100,""))</f>
        <v>1.6109045848822798</v>
      </c>
      <c r="AG57" s="403" cm="1">
        <f t="array" ref="AG57">IFERROR((終値!$E$5-INDEX(終値!$E$5:$BL$5,1,$AL$2))/INDEX(終値!$E$5:$BL$5,1,$AL$2)*100,"")</f>
        <v>3.4532270246721688</v>
      </c>
      <c r="AH57" s="404">
        <f t="shared" si="13"/>
        <v>-1.842322439789889</v>
      </c>
      <c r="AI57" s="402">
        <f t="shared" si="14"/>
        <v>-1</v>
      </c>
    </row>
    <row r="58" spans="1:35" s="192" customFormat="1" ht="18" customHeight="1">
      <c r="A58" s="181" t="str">
        <f>IF(銘柄管理!B103&lt;&gt;"",HYPERLINK("https://kabutan.jp/stock/?code="&amp;銘柄管理!B103,"株探"),"")</f>
        <v>株探</v>
      </c>
      <c r="B58" s="182"/>
      <c r="C58" s="183">
        <f>IF(銘柄管理!B103="","",銘柄管理!B103)</f>
        <v>5803</v>
      </c>
      <c r="D58" s="111" t="str">
        <f>IF(銘柄管理!C103="","",銘柄管理!C103)</f>
        <v>フジクラ</v>
      </c>
      <c r="E58" s="184">
        <f>IF(C58&lt;&gt;"",_xll.RssMarket(C58,"現在値"),"")</f>
        <v>4729</v>
      </c>
      <c r="F58" s="184">
        <f>IF(C58&lt;&gt;"",_xll.RssMarket(C58,"始値"),"")</f>
        <v>4600</v>
      </c>
      <c r="G58" s="183">
        <f>IF(C58&lt;&gt;"",終値!F103,"")</f>
        <v>4738</v>
      </c>
      <c r="H58" s="184">
        <f>IF(C58&lt;&gt;"",_xll.RssMarket(C58,"高値"),"")</f>
        <v>4763</v>
      </c>
      <c r="I58" s="184">
        <f>IF(C58&lt;&gt;"",_xll.RssMarket(C58,"安値"),"")</f>
        <v>4562</v>
      </c>
      <c r="J58" s="184">
        <f>IF(C58&lt;&gt;"",_xll.RssMarket(C58,"出来高"),"")</f>
        <v>35504300</v>
      </c>
      <c r="K58" s="184">
        <f>IF(C58&lt;&gt;"",_xll.RssMarket(C58,"年初来高値"),"")</f>
        <v>7933</v>
      </c>
      <c r="L58" s="185">
        <f t="shared" si="0"/>
        <v>-40.388251607210385</v>
      </c>
      <c r="M58" s="184">
        <f>IF(C58&lt;&gt;"",IFERROR(AVERAGE(出来高!E103:I103),""),"")</f>
        <v>50983020</v>
      </c>
      <c r="N58" s="184">
        <f>IF(C58&lt;&gt;"",IFERROR(AVERAGE(出来高!E103:AC103),""),"")</f>
        <v>69803864</v>
      </c>
      <c r="O58" s="186">
        <f t="shared" si="1"/>
        <v>0.69639460353662852</v>
      </c>
      <c r="P58" s="181" t="str">
        <f t="shared" si="2"/>
        <v>減少↓</v>
      </c>
      <c r="Q58" s="181" t="str">
        <f t="shared" si="3"/>
        <v>様子見▼</v>
      </c>
      <c r="R58" s="184">
        <f t="shared" si="17"/>
        <v>5107</v>
      </c>
      <c r="S58" s="184">
        <f t="shared" si="18"/>
        <v>4540</v>
      </c>
      <c r="T58" s="181">
        <f t="shared" si="12"/>
        <v>2</v>
      </c>
      <c r="U58" s="181" t="str">
        <f t="shared" si="19"/>
        <v>除外</v>
      </c>
      <c r="V58" s="181" t="str">
        <f t="shared" si="7"/>
        <v>通常</v>
      </c>
      <c r="W58" s="187">
        <f t="array" ref="W58">IF(C58&lt;&gt;"",IFERROR(100-100/(1+SUMPRODUCT((終値!F103:R103&gt;終値!G103:S103)*( 終値!F103:R103-終値!G103:S103))/SUMPRODUCT((終値!F103:R103&lt;終値!G103:S103)*(終値!G103:S103-終値!F103:R103))),50),"")</f>
        <v>35.794261721483565</v>
      </c>
      <c r="X58" s="188">
        <f>IF(C58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-129.06635713404194</v>
      </c>
      <c r="Y58" s="1" t="str">
        <f>IF(T58="","",IF(銘柄管理!$F$5="下落▼",IF(AND(AD58="パーフェクト▲",OR(AE58="25日線押し目●",AE58="5日線押し目○")),"★逆張り候補",IF(AND(AD58="上昇トレンド▲",OR(AE58="25日線押し目●",AE58="5日線押し目○")),"○逆張り候補",IF(W58&lt;=30,IF(Z58&gt;0,"◎反発確認",IF(Z58&lt;-5,"△要注意・様子見","△売られ過ぎ注目")),"相場下落・見送り"))),IF(AND(T58&gt;=12,AD58="パーフェクト▲"),"★強い買い",IF(AND(T58&gt;=12,AD58="上昇トレンド▲"),"★強い買い",IF(AND(T58&gt;=8,OR(AE58="25日線押し目●",AE58="5日線押し目○")),"◎押し目買い",IF(T58&gt;=10,"○買い候補",IF(T58&gt;=6,"△注目",IF(T58&gt;=3,"様子見","見送り"))))))))</f>
        <v>見送り</v>
      </c>
      <c r="Z58" s="189">
        <f t="shared" si="20"/>
        <v>-0.18995356690586745</v>
      </c>
      <c r="AA58" s="181" t="str">
        <f t="shared" si="21"/>
        <v>下落▼</v>
      </c>
      <c r="AB58" s="497">
        <f>IF(C58="","",IFERROR(((終値!E60*0.333)+(終値!F60*0.222)+(終値!G60*0.148)+(終値!H60*0.099)+(終値!I60*0.066)+(終値!J60*0.044)+(終値!K60*0.029)+(終値!L60*0.019)+(終値!M60*0.013)+(終値!N60*0.009))/(0.333+0.222+0.148+0.099+0.066+0.044+0.029+0.019+0.013+0.009),""))</f>
        <v>3402.0519348268831</v>
      </c>
      <c r="AC58" s="497">
        <f>IF(C58="","",IFERROR(SUMPRODUCT((終値!E60:AC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3449.6829558998797</v>
      </c>
      <c r="AD58" s="498" t="str">
        <f t="shared" si="15"/>
        <v>上昇トレンド▲</v>
      </c>
      <c r="AE58" s="498" t="str">
        <f t="shared" si="16"/>
        <v>なし</v>
      </c>
      <c r="AF58" s="403" cm="1">
        <f t="array" ref="AF58">IF(C58="","",IFERROR((INDEX(終値!$E:$E,MATCH(TEXT(C58,"0"),終値!$A:$A,0))-INDEX(終値!$E:$BL,MATCH(TEXT(C58,"0"),終値!$A:$A,0),$AL$2))/INDEX(終値!$E:$BL,MATCH(TEXT(C58,"0"),終値!$A:$A,0),$AL$2)*100,""))</f>
        <v>-25.586152635719905</v>
      </c>
      <c r="AG58" s="403" cm="1">
        <f t="array" ref="AG58">IFERROR((終値!$E$5-INDEX(終値!$E$5:$BL$5,1,$AL$2))/INDEX(終値!$E$5:$BL$5,1,$AL$2)*100,"")</f>
        <v>3.4532270246721688</v>
      </c>
      <c r="AH58" s="404">
        <f t="shared" si="13"/>
        <v>-29.039379660392076</v>
      </c>
      <c r="AI58" s="402">
        <f t="shared" si="14"/>
        <v>-2</v>
      </c>
    </row>
    <row r="59" spans="1:35" s="192" customFormat="1" ht="18" customHeight="1">
      <c r="A59" s="181" t="str">
        <f>IF(銘柄管理!B104&lt;&gt;"",HYPERLINK("https://kabutan.jp/stock/?code="&amp;銘柄管理!B104,"株探"),"")</f>
        <v>株探</v>
      </c>
      <c r="B59" s="182"/>
      <c r="C59" s="183">
        <f>IF(銘柄管理!B104="","",銘柄管理!B104)</f>
        <v>6178</v>
      </c>
      <c r="D59" s="111" t="str">
        <f>IF(銘柄管理!C104="","",銘柄管理!C104)</f>
        <v>日本郵政</v>
      </c>
      <c r="E59" s="184">
        <f>IF(C59&lt;&gt;"",_xll.RssMarket(C59,"現在値"),"")</f>
        <v>2196.5</v>
      </c>
      <c r="F59" s="184">
        <f>IF(C59&lt;&gt;"",_xll.RssMarket(C59,"始値"),"")</f>
        <v>2272</v>
      </c>
      <c r="G59" s="183">
        <f>IF(C59&lt;&gt;"",終値!F104,"")</f>
        <v>2264.5</v>
      </c>
      <c r="H59" s="184">
        <f>IF(C59&lt;&gt;"",_xll.RssMarket(C59,"高値"),"")</f>
        <v>2279.5</v>
      </c>
      <c r="I59" s="184">
        <f>IF(C59&lt;&gt;"",_xll.RssMarket(C59,"安値"),"")</f>
        <v>2196.5</v>
      </c>
      <c r="J59" s="184">
        <f>IF(C59&lt;&gt;"",_xll.RssMarket(C59,"出来高"),"")</f>
        <v>5707300</v>
      </c>
      <c r="K59" s="184">
        <f>IF(C59&lt;&gt;"",_xll.RssMarket(C59,"年初来高値"),"")</f>
        <v>2361</v>
      </c>
      <c r="L59" s="185">
        <f t="shared" si="0"/>
        <v>-6.9673867005506134</v>
      </c>
      <c r="M59" s="184">
        <f>IF(C59&lt;&gt;"",IFERROR(AVERAGE(出来高!E104:I104),""),"")</f>
        <v>6963260</v>
      </c>
      <c r="N59" s="184">
        <f>IF(C59&lt;&gt;"",IFERROR(AVERAGE(出来高!E104:AC104),""),"")</f>
        <v>7380716</v>
      </c>
      <c r="O59" s="186">
        <f t="shared" si="1"/>
        <v>0.81963046044525123</v>
      </c>
      <c r="P59" s="181" t="str">
        <f t="shared" si="2"/>
        <v>減少↓</v>
      </c>
      <c r="Q59" s="181" t="str">
        <f t="shared" si="3"/>
        <v>様子見▼</v>
      </c>
      <c r="R59" s="184">
        <f t="shared" si="17"/>
        <v>2372</v>
      </c>
      <c r="S59" s="184">
        <f t="shared" si="18"/>
        <v>2109</v>
      </c>
      <c r="T59" s="181">
        <f t="shared" si="12"/>
        <v>9</v>
      </c>
      <c r="U59" s="181" t="str">
        <f t="shared" si="19"/>
        <v>要確認</v>
      </c>
      <c r="V59" s="181" t="str">
        <f t="shared" si="7"/>
        <v>高値圏</v>
      </c>
      <c r="W59" s="187">
        <f t="array" ref="W59">IF(C59&lt;&gt;"",IFERROR(100-100/(1+SUMPRODUCT((終値!F104:R104&gt;終値!G104:S104)*( 終値!F104:R104-終値!G104:S104))/SUMPRODUCT((終値!F104:R104&lt;終値!G104:S104)*(終値!G104:S104-終値!F104:R104))),50),"")</f>
        <v>71.17768595041322</v>
      </c>
      <c r="X59" s="188">
        <f>IF(C59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26.38005644028226</v>
      </c>
      <c r="Y59" s="1" t="str">
        <f>IF(T59="","",IF(銘柄管理!$F$5="下落▼",IF(AND(AD59="パーフェクト▲",OR(AE59="25日線押し目●",AE59="5日線押し目○")),"★逆張り候補",IF(AND(AD59="上昇トレンド▲",OR(AE59="25日線押し目●",AE59="5日線押し目○")),"○逆張り候補",IF(W59&lt;=30,IF(Z59&gt;0,"◎反発確認",IF(Z59&lt;-5,"△要注意・様子見","△売られ過ぎ注目")),"相場下落・見送り"))),IF(AND(T59&gt;=12,AD59="パーフェクト▲"),"★強い買い",IF(AND(T59&gt;=12,AD59="上昇トレンド▲"),"★強い買い",IF(AND(T59&gt;=8,OR(AE59="25日線押し目●",AE59="5日線押し目○")),"◎押し目買い",IF(T59&gt;=10,"○買い候補",IF(T59&gt;=6,"△注目",IF(T59&gt;=3,"様子見","見送り"))))))))</f>
        <v>△注目</v>
      </c>
      <c r="Z59" s="189">
        <f t="shared" si="20"/>
        <v>-3.0028703908147496</v>
      </c>
      <c r="AA59" s="181" t="str">
        <f t="shared" si="21"/>
        <v>下落▼</v>
      </c>
      <c r="AB59" s="499">
        <f>IF(C59="","",IFERROR(((終値!E61*0.333)+(終値!F61*0.222)+(終値!G61*0.148)+(終値!H61*0.099)+(終値!I61*0.066)+(終値!J61*0.044)+(終値!K61*0.029)+(終値!L61*0.019)+(終値!M61*0.013)+(終値!N61*0.009))/(0.333+0.222+0.148+0.099+0.066+0.044+0.029+0.019+0.013+0.009),""))</f>
        <v>1741.4460285132384</v>
      </c>
      <c r="AC59" s="499">
        <f>IF(C59="","",IFERROR(SUMPRODUCT((終値!E61:AC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1734.0458879618584</v>
      </c>
      <c r="AD59" s="500" t="str">
        <f t="shared" si="15"/>
        <v>パーフェクト▲</v>
      </c>
      <c r="AE59" s="500" t="str">
        <f t="shared" si="16"/>
        <v>なし</v>
      </c>
      <c r="AF59" s="403" cm="1">
        <f t="array" ref="AF59">IF(C59="","",IFERROR((INDEX(終値!$E:$E,MATCH(TEXT(C59,"0"),終値!$A:$A,0))-INDEX(終値!$E:$BL,MATCH(TEXT(C59,"0"),終値!$A:$A,0),$AL$2))/INDEX(終値!$E:$BL,MATCH(TEXT(C59,"0"),終値!$A:$A,0),$AL$2)*100,""))</f>
        <v>12.238119570771589</v>
      </c>
      <c r="AG59" s="403" cm="1">
        <f t="array" ref="AG59">IFERROR((終値!$E$5-INDEX(終値!$E$5:$BL$5,1,$AL$2))/INDEX(終値!$E$5:$BL$5,1,$AL$2)*100,"")</f>
        <v>3.4532270246721688</v>
      </c>
      <c r="AH59" s="404">
        <f t="shared" si="13"/>
        <v>8.7848925460994209</v>
      </c>
      <c r="AI59" s="402">
        <f t="shared" si="14"/>
        <v>3</v>
      </c>
    </row>
    <row r="60" spans="1:35" s="192" customFormat="1" ht="18" customHeight="1">
      <c r="A60" s="181" t="str">
        <f>IF(銘柄管理!B110&lt;&gt;"",HYPERLINK("https://kabutan.jp/stock/?code="&amp;銘柄管理!B110,"株探"),"")</f>
        <v>株探</v>
      </c>
      <c r="B60" s="182"/>
      <c r="C60" s="183">
        <f>IF(銘柄管理!B110="","",銘柄管理!B110)</f>
        <v>9069</v>
      </c>
      <c r="D60" s="111" t="str">
        <f>IF(銘柄管理!C110="","",銘柄管理!C110)</f>
        <v>センコーグループＨＬＤＧＳ</v>
      </c>
      <c r="E60" s="184">
        <f>IF(C60&lt;&gt;"",_xll.RssMarket(C60,"現在値"),"")</f>
        <v>1907.5</v>
      </c>
      <c r="F60" s="184">
        <f>IF(C60&lt;&gt;"",_xll.RssMarket(C60,"始値"),"")</f>
        <v>1940</v>
      </c>
      <c r="G60" s="183">
        <f>IF(C60&lt;&gt;"",終値!F110,"")</f>
        <v>1932.5</v>
      </c>
      <c r="H60" s="184">
        <f>IF(C60&lt;&gt;"",_xll.RssMarket(C60,"高値"),"")</f>
        <v>1952.5</v>
      </c>
      <c r="I60" s="184">
        <f>IF(C60&lt;&gt;"",_xll.RssMarket(C60,"安値"),"")</f>
        <v>1898</v>
      </c>
      <c r="J60" s="184">
        <f>IF(C60&lt;&gt;"",_xll.RssMarket(C60,"出来高"),"")</f>
        <v>267400</v>
      </c>
      <c r="K60" s="184">
        <f>IF(C60&lt;&gt;"",_xll.RssMarket(C60,"年初来高値"),"")</f>
        <v>2145</v>
      </c>
      <c r="L60" s="185">
        <f t="shared" si="0"/>
        <v>-11.072261072261073</v>
      </c>
      <c r="M60" s="184">
        <f>IF(C60&lt;&gt;"",IFERROR(AVERAGE(出来高!E110:I110),""),"")</f>
        <v>327180</v>
      </c>
      <c r="N60" s="184">
        <f>IF(C60&lt;&gt;"",IFERROR(AVERAGE(出来高!E110:AC110),""),"")</f>
        <v>412600</v>
      </c>
      <c r="O60" s="186">
        <f t="shared" si="1"/>
        <v>0.81728712023962347</v>
      </c>
      <c r="P60" s="181" t="str">
        <f t="shared" si="2"/>
        <v>減少↓</v>
      </c>
      <c r="Q60" s="181" t="str">
        <f t="shared" si="3"/>
        <v>様子見▼</v>
      </c>
      <c r="R60" s="184">
        <f t="shared" si="17"/>
        <v>2060</v>
      </c>
      <c r="S60" s="184">
        <f t="shared" si="18"/>
        <v>1831</v>
      </c>
      <c r="T60" s="181">
        <f t="shared" si="12"/>
        <v>-1</v>
      </c>
      <c r="U60" s="181" t="str">
        <f t="shared" si="19"/>
        <v>除外</v>
      </c>
      <c r="V60" s="181" t="str">
        <f t="shared" si="7"/>
        <v>通常</v>
      </c>
      <c r="W60" s="187">
        <f t="array" ref="W60">IF(C60&lt;&gt;"",IFERROR(100-100/(1+SUMPRODUCT((終値!F110:R110&gt;終値!G110:S110)*( 終値!F110:R110-終値!G110:S110))/SUMPRODUCT((終値!F110:R110&lt;終値!G110:S110)*(終値!G110:S110-終値!F110:R110))),50),"")</f>
        <v>49.299719887955185</v>
      </c>
      <c r="X60" s="188">
        <f>IF(C60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-5.0297326450108812</v>
      </c>
      <c r="Y60" s="1" t="str">
        <f>IF(T60="","",IF(銘柄管理!$F$5="下落▼",IF(AND(AD60="パーフェクト▲",OR(AE60="25日線押し目●",AE60="5日線押し目○")),"★逆張り候補",IF(AND(AD60="上昇トレンド▲",OR(AE60="25日線押し目●",AE60="5日線押し目○")),"○逆張り候補",IF(W60&lt;=30,IF(Z60&gt;0,"◎反発確認",IF(Z60&lt;-5,"△要注意・様子見","△売られ過ぎ注目")),"相場下落・見送り"))),IF(AND(T60&gt;=12,AD60="パーフェクト▲"),"★強い買い",IF(AND(T60&gt;=12,AD60="上昇トレンド▲"),"★強い買い",IF(AND(T60&gt;=8,OR(AE60="25日線押し目●",AE60="5日線押し目○")),"◎押し目買い",IF(T60&gt;=10,"○買い候補",IF(T60&gt;=6,"△注目",IF(T60&gt;=3,"様子見","見送り"))))))))</f>
        <v>見送り</v>
      </c>
      <c r="Z60" s="189">
        <f t="shared" si="20"/>
        <v>-1.29366106080207</v>
      </c>
      <c r="AA60" s="181" t="str">
        <f t="shared" si="21"/>
        <v>下落▼</v>
      </c>
      <c r="AB60" s="497">
        <f>IF(C60="","",IFERROR(((終値!E62*0.333)+(終値!F62*0.222)+(終値!G62*0.148)+(終値!H62*0.099)+(終値!I62*0.066)+(終値!J62*0.044)+(終値!K62*0.029)+(終値!L62*0.019)+(終値!M62*0.013)+(終値!N62*0.009))/(0.333+0.222+0.148+0.099+0.066+0.044+0.029+0.019+0.013+0.009),""))</f>
        <v>3167.8421588594697</v>
      </c>
      <c r="AC60" s="497">
        <f>IF(C60="","",IFERROR(SUMPRODUCT((終値!E62:AC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3278.20023837902</v>
      </c>
      <c r="AD60" s="498" t="str">
        <f t="shared" si="15"/>
        <v>下降トレンド▼</v>
      </c>
      <c r="AE60" s="498" t="str">
        <f t="shared" si="16"/>
        <v>なし</v>
      </c>
      <c r="AF60" s="403" cm="1">
        <f t="array" ref="AF60">IF(C60="","",IFERROR((INDEX(終値!$E:$E,MATCH(TEXT(C60,"0"),終値!$A:$A,0))-INDEX(終値!$E:$BL,MATCH(TEXT(C60,"0"),終値!$A:$A,0),$AL$2))/INDEX(終値!$E:$BL,MATCH(TEXT(C60,"0"),終値!$A:$A,0),$AL$2)*100,""))</f>
        <v>-4.9102691924227315</v>
      </c>
      <c r="AG60" s="403" cm="1">
        <f t="array" ref="AG60">IFERROR((終値!$E$5-INDEX(終値!$E$5:$BL$5,1,$AL$2))/INDEX(終値!$E$5:$BL$5,1,$AL$2)*100,"")</f>
        <v>3.4532270246721688</v>
      </c>
      <c r="AH60" s="404">
        <f t="shared" si="13"/>
        <v>-8.3634962170948999</v>
      </c>
      <c r="AI60" s="402">
        <f t="shared" si="14"/>
        <v>-2</v>
      </c>
    </row>
    <row r="61" spans="1:35" s="192" customFormat="1" ht="18" customHeight="1">
      <c r="A61" s="181" t="str">
        <f>IF(銘柄管理!B118&lt;&gt;"",HYPERLINK("https://kabutan.jp/stock/?code="&amp;銘柄管理!B118,"株探"),"")</f>
        <v>株探</v>
      </c>
      <c r="B61" s="182"/>
      <c r="C61" s="183">
        <f>IF(銘柄管理!B118="","",銘柄管理!B118)</f>
        <v>5844</v>
      </c>
      <c r="D61" s="111" t="str">
        <f>IF(銘柄管理!C118="","",銘柄管理!C118)</f>
        <v>京都フィナンシャルＧ</v>
      </c>
      <c r="E61" s="184">
        <f>IF(C61&lt;&gt;"",_xll.RssMarket(C61,"現在値"),"")</f>
        <v>4535</v>
      </c>
      <c r="F61" s="184">
        <f>IF(C61&lt;&gt;"",_xll.RssMarket(C61,"始値"),"")</f>
        <v>4726</v>
      </c>
      <c r="G61" s="183">
        <f>IF(C61&lt;&gt;"",終値!F118,"")</f>
        <v>4656</v>
      </c>
      <c r="H61" s="184">
        <f>IF(C61&lt;&gt;"",_xll.RssMarket(C61,"高値"),"")</f>
        <v>4733</v>
      </c>
      <c r="I61" s="184">
        <f>IF(C61&lt;&gt;"",_xll.RssMarket(C61,"安値"),"")</f>
        <v>4519</v>
      </c>
      <c r="J61" s="184">
        <f>IF(C61&lt;&gt;"",_xll.RssMarket(C61,"出来高"),"")</f>
        <v>1291700</v>
      </c>
      <c r="K61" s="184">
        <f>IF(C61&lt;&gt;"",_xll.RssMarket(C61,"年初来高値"),"")</f>
        <v>4755</v>
      </c>
      <c r="L61" s="185">
        <f t="shared" si="0"/>
        <v>-4.6267087276550996</v>
      </c>
      <c r="M61" s="184">
        <f>IF(C61&lt;&gt;"",IFERROR(AVERAGE(出来高!E118:I118),""),"")</f>
        <v>1236740</v>
      </c>
      <c r="N61" s="184">
        <f>IF(C61&lt;&gt;"",IFERROR(AVERAGE(出来高!E118:AC118),""),"")</f>
        <v>1165524</v>
      </c>
      <c r="O61" s="186">
        <f t="shared" si="1"/>
        <v>1.0444394132962467</v>
      </c>
      <c r="P61" s="181" t="str">
        <f t="shared" si="2"/>
        <v>普通→</v>
      </c>
      <c r="Q61" s="181" t="str">
        <f t="shared" si="3"/>
        <v>様子見▼</v>
      </c>
      <c r="R61" s="184">
        <f t="shared" si="17"/>
        <v>4898</v>
      </c>
      <c r="S61" s="184">
        <f t="shared" si="18"/>
        <v>4354</v>
      </c>
      <c r="T61" s="181">
        <f t="shared" si="12"/>
        <v>8</v>
      </c>
      <c r="U61" s="181" t="str">
        <f t="shared" si="19"/>
        <v>要確認</v>
      </c>
      <c r="V61" s="181" t="str">
        <f t="shared" si="7"/>
        <v>高値圏</v>
      </c>
      <c r="W61" s="187">
        <f t="array" ref="W61">IF(C61&lt;&gt;"",IFERROR(100-100/(1+SUMPRODUCT((終値!F118:R118&gt;終値!G118:S118)*( 終値!F118:R118-終値!G118:S118))/SUMPRODUCT((終値!F118:R118&lt;終値!G118:S118)*(終値!G118:S118-終値!F118:R118))),50),"")</f>
        <v>54.214360041623308</v>
      </c>
      <c r="X61" s="188">
        <f>IF(C61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10.519250594054938</v>
      </c>
      <c r="Y61" s="1" t="str">
        <f>IF(T61="","",IF(銘柄管理!$F$5="下落▼",IF(AND(AD61="パーフェクト▲",OR(AE61="25日線押し目●",AE61="5日線押し目○")),"★逆張り候補",IF(AND(AD61="上昇トレンド▲",OR(AE61="25日線押し目●",AE61="5日線押し目○")),"○逆張り候補",IF(W61&lt;=30,IF(Z61&gt;0,"◎反発確認",IF(Z61&lt;-5,"△要注意・様子見","△売られ過ぎ注目")),"相場下落・見送り"))),IF(AND(T61&gt;=12,AD61="パーフェクト▲"),"★強い買い",IF(AND(T61&gt;=12,AD61="上昇トレンド▲"),"★強い買い",IF(AND(T61&gt;=8,OR(AE61="25日線押し目●",AE61="5日線押し目○")),"◎押し目買い",IF(T61&gt;=10,"○買い候補",IF(T61&gt;=6,"△注目",IF(T61&gt;=3,"様子見","見送り"))))))))</f>
        <v>△注目</v>
      </c>
      <c r="Z61" s="189">
        <f t="shared" si="20"/>
        <v>-2.5987972508591066</v>
      </c>
      <c r="AA61" s="181" t="str">
        <f t="shared" si="21"/>
        <v>下落▼</v>
      </c>
      <c r="AB61" s="499">
        <f>IF(C61="","",IFERROR(((終値!E63*0.333)+(終値!F63*0.222)+(終値!G63*0.148)+(終値!H63*0.099)+(終値!I63*0.066)+(終値!J63*0.044)+(終値!K63*0.029)+(終値!L63*0.019)+(終値!M63*0.013)+(終値!N63*0.009))/(0.333+0.222+0.148+0.099+0.066+0.044+0.029+0.019+0.013+0.009),""))</f>
        <v>1055.3747454175152</v>
      </c>
      <c r="AC61" s="499">
        <f>IF(C61="","",IFERROR(SUMPRODUCT((終値!E63:AC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1041.8057210965428</v>
      </c>
      <c r="AD61" s="500" t="str">
        <f t="shared" si="15"/>
        <v>パーフェクト▲</v>
      </c>
      <c r="AE61" s="500" t="str">
        <f t="shared" si="16"/>
        <v>なし</v>
      </c>
      <c r="AF61" s="403" cm="1">
        <f t="array" ref="AF61">IF(C61="","",IFERROR((INDEX(終値!$E:$E,MATCH(TEXT(C61,"0"),終値!$A:$A,0))-INDEX(終値!$E:$BL,MATCH(TEXT(C61,"0"),終値!$A:$A,0),$AL$2))/INDEX(終値!$E:$BL,MATCH(TEXT(C61,"0"),終値!$A:$A,0),$AL$2)*100,""))</f>
        <v>3.0681818181818183</v>
      </c>
      <c r="AG61" s="403" cm="1">
        <f t="array" ref="AG61">IFERROR((終値!$E$5-INDEX(終値!$E$5:$BL$5,1,$AL$2))/INDEX(終値!$E$5:$BL$5,1,$AL$2)*100,"")</f>
        <v>3.4532270246721688</v>
      </c>
      <c r="AH61" s="404">
        <f t="shared" si="13"/>
        <v>-0.38504520649035046</v>
      </c>
      <c r="AI61" s="402">
        <f t="shared" si="14"/>
        <v>-1</v>
      </c>
    </row>
    <row r="62" spans="1:35" s="192" customFormat="1" ht="18" customHeight="1">
      <c r="A62" s="181" t="str">
        <f>IF(銘柄管理!B147&lt;&gt;"",HYPERLINK("https://kabutan.jp/stock/?code="&amp;銘柄管理!B147,"株探"),"")</f>
        <v>株探</v>
      </c>
      <c r="B62" s="182"/>
      <c r="C62" s="183">
        <f>IF(銘柄管理!B147="","",銘柄管理!B147)</f>
        <v>6387</v>
      </c>
      <c r="D62" s="111" t="str">
        <f>IF(銘柄管理!C147="","",銘柄管理!C147)</f>
        <v>サムコ</v>
      </c>
      <c r="E62" s="184">
        <f>IF(C62&lt;&gt;"",_xll.RssMarket(C62,"現在値"),"")</f>
        <v>16190</v>
      </c>
      <c r="F62" s="184">
        <f>IF(C62&lt;&gt;"",_xll.RssMarket(C62,"始値"),"")</f>
        <v>15420</v>
      </c>
      <c r="G62" s="183">
        <f>IF(C62&lt;&gt;"",終値!F147,"")</f>
        <v>16220</v>
      </c>
      <c r="H62" s="184">
        <f>IF(C62&lt;&gt;"",_xll.RssMarket(C62,"高値"),"")</f>
        <v>16300</v>
      </c>
      <c r="I62" s="184">
        <f>IF(C62&lt;&gt;"",_xll.RssMarket(C62,"安値"),"")</f>
        <v>14700</v>
      </c>
      <c r="J62" s="184">
        <f>IF(C62&lt;&gt;"",_xll.RssMarket(C62,"出来高"),"")</f>
        <v>321300</v>
      </c>
      <c r="K62" s="184">
        <f>IF(C62&lt;&gt;"",_xll.RssMarket(C62,"年初来高値"),"")</f>
        <v>16930</v>
      </c>
      <c r="L62" s="185">
        <f t="shared" si="0"/>
        <v>-4.370939161252215</v>
      </c>
      <c r="M62" s="184">
        <f>IF(C62&lt;&gt;"",IFERROR(AVERAGE(出来高!E147:I147),""),"")</f>
        <v>219600</v>
      </c>
      <c r="N62" s="184">
        <f>IF(C62&lt;&gt;"",IFERROR(AVERAGE(出来高!E147:AC147),""),"")</f>
        <v>153224</v>
      </c>
      <c r="O62" s="186">
        <f t="shared" si="1"/>
        <v>1.4631147540983607</v>
      </c>
      <c r="P62" s="181" t="str">
        <f t="shared" si="2"/>
        <v>普通→</v>
      </c>
      <c r="Q62" s="181" t="str">
        <f t="shared" si="3"/>
        <v>様子見▼</v>
      </c>
      <c r="R62" s="184">
        <f t="shared" si="17"/>
        <v>17485</v>
      </c>
      <c r="S62" s="184">
        <f t="shared" si="18"/>
        <v>15542</v>
      </c>
      <c r="T62" s="181">
        <f t="shared" si="12"/>
        <v>10</v>
      </c>
      <c r="U62" s="181" t="str">
        <f t="shared" si="19"/>
        <v>要確認</v>
      </c>
      <c r="V62" s="181" t="str">
        <f t="shared" si="7"/>
        <v>高値圏</v>
      </c>
      <c r="W62" s="187">
        <f t="array" ref="W62">IF(C62&lt;&gt;"",IFERROR(100-100/(1+SUMPRODUCT((終値!F147:R147&gt;終値!G147:S147)*( 終値!F147:R147-終値!G147:S147))/SUMPRODUCT((終値!F147:R147&lt;終値!G147:S147)*(終値!G147:S147-終値!F147:R147))),50),"")</f>
        <v>69.108561341571047</v>
      </c>
      <c r="X62" s="188">
        <f>IF(C62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310.15212606323621</v>
      </c>
      <c r="Y62" s="1" t="str">
        <f>IF(T62="","",IF(銘柄管理!$F$5="下落▼",IF(AND(AD62="パーフェクト▲",OR(AE62="25日線押し目●",AE62="5日線押し目○")),"★逆張り候補",IF(AND(AD62="上昇トレンド▲",OR(AE62="25日線押し目●",AE62="5日線押し目○")),"○逆張り候補",IF(W62&lt;=30,IF(Z62&gt;0,"◎反発確認",IF(Z62&lt;-5,"△要注意・様子見","△売られ過ぎ注目")),"相場下落・見送り"))),IF(AND(T62&gt;=12,AD62="パーフェクト▲"),"★強い買い",IF(AND(T62&gt;=12,AD62="上昇トレンド▲"),"★強い買い",IF(AND(T62&gt;=8,OR(AE62="25日線押し目●",AE62="5日線押し目○")),"◎押し目買い",IF(T62&gt;=10,"○買い候補",IF(T62&gt;=6,"△注目",IF(T62&gt;=3,"様子見","見送り"))))))))</f>
        <v>○買い候補</v>
      </c>
      <c r="Z62" s="189">
        <f t="shared" si="20"/>
        <v>-0.18495684340320592</v>
      </c>
      <c r="AA62" s="181" t="str">
        <f t="shared" si="21"/>
        <v>下落▼</v>
      </c>
      <c r="AB62" s="497">
        <f>IF(C62="","",IFERROR(((終値!E64*0.333)+(終値!F64*0.222)+(終値!G64*0.148)+(終値!H64*0.099)+(終値!I64*0.066)+(終値!J64*0.044)+(終値!K64*0.029)+(終値!L64*0.019)+(終値!M64*0.013)+(終値!N64*0.009))/(0.333+0.222+0.148+0.099+0.066+0.044+0.029+0.019+0.013+0.009),""))</f>
        <v>3727.3268839103853</v>
      </c>
      <c r="AC62" s="497">
        <f>IF(C62="","",IFERROR(SUMPRODUCT((終値!E64:AC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3746.6483909415965</v>
      </c>
      <c r="AD62" s="498" t="str">
        <f t="shared" si="15"/>
        <v>上昇トレンド▲</v>
      </c>
      <c r="AE62" s="498" t="str">
        <f t="shared" si="16"/>
        <v>なし</v>
      </c>
      <c r="AF62" s="403" cm="1">
        <f t="array" ref="AF62">IF(C62="","",IFERROR((INDEX(終値!$E:$E,MATCH(TEXT(C62,"0"),終値!$A:$A,0))-INDEX(終値!$E:$BL,MATCH(TEXT(C62,"0"),終値!$A:$A,0),$AL$2))/INDEX(終値!$E:$BL,MATCH(TEXT(C62,"0"),終値!$A:$A,0),$AL$2)*100,""))</f>
        <v>22.930903568716783</v>
      </c>
      <c r="AG62" s="403" cm="1">
        <f t="array" ref="AG62">IFERROR((終値!$E$5-INDEX(終値!$E$5:$BL$5,1,$AL$2))/INDEX(終値!$E$5:$BL$5,1,$AL$2)*100,"")</f>
        <v>3.4532270246721688</v>
      </c>
      <c r="AH62" s="404">
        <f t="shared" si="13"/>
        <v>19.477676544044613</v>
      </c>
      <c r="AI62" s="402">
        <f t="shared" si="14"/>
        <v>3</v>
      </c>
    </row>
    <row r="63" spans="1:35" s="192" customFormat="1" ht="18" customHeight="1">
      <c r="A63" s="181" t="str">
        <f>IF(銘柄管理!B152&lt;&gt;"",HYPERLINK("https://kabutan.jp/stock/?code="&amp;銘柄管理!B152,"株探"),"")</f>
        <v>株探</v>
      </c>
      <c r="B63" s="182"/>
      <c r="C63" s="183">
        <f>IF(銘柄管理!B152="","",銘柄管理!B152)</f>
        <v>7381</v>
      </c>
      <c r="D63" s="111" t="str">
        <f>IF(銘柄管理!C152="","",銘柄管理!C152)</f>
        <v>ＣＣＩグループ</v>
      </c>
      <c r="E63" s="184">
        <f>IF(C63&lt;&gt;"",_xll.RssMarket(C63,"現在値"),"")</f>
        <v>975</v>
      </c>
      <c r="F63" s="184">
        <f>IF(C63&lt;&gt;"",_xll.RssMarket(C63,"始値"),"")</f>
        <v>1004</v>
      </c>
      <c r="G63" s="183">
        <f>IF(C63&lt;&gt;"",終値!F152,"")</f>
        <v>1001</v>
      </c>
      <c r="H63" s="184">
        <f>IF(C63&lt;&gt;"",_xll.RssMarket(C63,"高値"),"")</f>
        <v>1019</v>
      </c>
      <c r="I63" s="184">
        <f>IF(C63&lt;&gt;"",_xll.RssMarket(C63,"安値"),"")</f>
        <v>975</v>
      </c>
      <c r="J63" s="184">
        <f>IF(C63&lt;&gt;"",_xll.RssMarket(C63,"出来高"),"")</f>
        <v>444200</v>
      </c>
      <c r="K63" s="184">
        <f>IF(C63&lt;&gt;"",_xll.RssMarket(C63,"年初来高値"),"")</f>
        <v>1094</v>
      </c>
      <c r="L63" s="185">
        <f t="shared" si="0"/>
        <v>-10.877513711151737</v>
      </c>
      <c r="M63" s="184">
        <f>IF(C63&lt;&gt;"",IFERROR(AVERAGE(出来高!E152:I152),""),"")</f>
        <v>573520</v>
      </c>
      <c r="N63" s="184">
        <f>IF(C63&lt;&gt;"",IFERROR(AVERAGE(出来高!E152:AC152),""),"")</f>
        <v>607640</v>
      </c>
      <c r="O63" s="186">
        <f t="shared" si="1"/>
        <v>0.77451527409680565</v>
      </c>
      <c r="P63" s="181" t="str">
        <f t="shared" si="2"/>
        <v>減少↓</v>
      </c>
      <c r="Q63" s="181" t="str">
        <f t="shared" si="3"/>
        <v>様子見▼</v>
      </c>
      <c r="R63" s="184">
        <f t="shared" si="17"/>
        <v>1053</v>
      </c>
      <c r="S63" s="184">
        <f t="shared" si="18"/>
        <v>936</v>
      </c>
      <c r="T63" s="181">
        <f t="shared" si="12"/>
        <v>0</v>
      </c>
      <c r="U63" s="181" t="str">
        <f t="shared" si="19"/>
        <v>除外</v>
      </c>
      <c r="V63" s="181" t="str">
        <f t="shared" si="7"/>
        <v>通常</v>
      </c>
      <c r="W63" s="187">
        <f t="array" ref="W63">IF(C63&lt;&gt;"",IFERROR(100-100/(1+SUMPRODUCT((終値!F152:R152&gt;終値!G152:S152)*( 終値!F152:R152-終値!G152:S152))/SUMPRODUCT((終値!F152:R152&lt;終値!G152:S152)*(終値!G152:S152-終値!F152:R152))),50),"")</f>
        <v>35.714285714285722</v>
      </c>
      <c r="X63" s="188">
        <f>IF(C63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-7.7115754321580425</v>
      </c>
      <c r="Y63" s="1" t="str">
        <f>IF(T63="","",IF(銘柄管理!$F$5="下落▼",IF(AND(AD63="パーフェクト▲",OR(AE63="25日線押し目●",AE63="5日線押し目○")),"★逆張り候補",IF(AND(AD63="上昇トレンド▲",OR(AE63="25日線押し目●",AE63="5日線押し目○")),"○逆張り候補",IF(W63&lt;=30,IF(Z63&gt;0,"◎反発確認",IF(Z63&lt;-5,"△要注意・様子見","△売られ過ぎ注目")),"相場下落・見送り"))),IF(AND(T63&gt;=12,AD63="パーフェクト▲"),"★強い買い",IF(AND(T63&gt;=12,AD63="上昇トレンド▲"),"★強い買い",IF(AND(T63&gt;=8,OR(AE63="25日線押し目●",AE63="5日線押し目○")),"◎押し目買い",IF(T63&gt;=10,"○買い候補",IF(T63&gt;=6,"△注目",IF(T63&gt;=3,"様子見","見送り"))))))))</f>
        <v>見送り</v>
      </c>
      <c r="Z63" s="189">
        <f t="shared" si="20"/>
        <v>-2.5974025974025974</v>
      </c>
      <c r="AA63" s="181" t="str">
        <f t="shared" si="21"/>
        <v>下落▼</v>
      </c>
      <c r="AB63" s="499">
        <f>IF(C63="","",IFERROR(((終値!E65*0.333)+(終値!F65*0.222)+(終値!G65*0.148)+(終値!H65*0.099)+(終値!I65*0.066)+(終値!J65*0.044)+(終値!K65*0.029)+(終値!L65*0.019)+(終値!M65*0.013)+(終値!N65*0.009))/(0.333+0.222+0.148+0.099+0.066+0.044+0.029+0.019+0.013+0.009),""))</f>
        <v>6854.6191446028497</v>
      </c>
      <c r="AC63" s="499">
        <f>IF(C63="","",IFERROR(SUMPRODUCT((終値!E65:AC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6929.0595947556612</v>
      </c>
      <c r="AD63" s="500" t="str">
        <f t="shared" si="15"/>
        <v>下降トレンド▼</v>
      </c>
      <c r="AE63" s="500" t="str">
        <f t="shared" si="16"/>
        <v>なし</v>
      </c>
      <c r="AF63" s="403" cm="1">
        <f t="array" ref="AF63">IF(C63="","",IFERROR((INDEX(終値!$E:$E,MATCH(TEXT(C63,"0"),終値!$A:$A,0))-INDEX(終値!$E:$BL,MATCH(TEXT(C63,"0"),終値!$A:$A,0),$AL$2))/INDEX(終値!$E:$BL,MATCH(TEXT(C63,"0"),終値!$A:$A,0),$AL$2)*100,""))</f>
        <v>-6.6985645933014357</v>
      </c>
      <c r="AG63" s="403" cm="1">
        <f t="array" ref="AG63">IFERROR((終値!$E$5-INDEX(終値!$E$5:$BL$5,1,$AL$2))/INDEX(終値!$E$5:$BL$5,1,$AL$2)*100,"")</f>
        <v>3.4532270246721688</v>
      </c>
      <c r="AH63" s="404">
        <f t="shared" si="13"/>
        <v>-10.151791617973604</v>
      </c>
      <c r="AI63" s="402">
        <f t="shared" si="14"/>
        <v>-2</v>
      </c>
    </row>
    <row r="64" spans="1:35" s="192" customFormat="1" ht="18" customHeight="1">
      <c r="A64" s="181" t="str">
        <f>IF(銘柄管理!B183&lt;&gt;"",HYPERLINK("https://kabutan.jp/stock/?code="&amp;銘柄管理!B183,"株探"),"")</f>
        <v>株探</v>
      </c>
      <c r="B64" s="182"/>
      <c r="C64" s="183">
        <f>IF(銘柄管理!B183="","",銘柄管理!B183)</f>
        <v>6507</v>
      </c>
      <c r="D64" s="111" t="str">
        <f>IF(銘柄管理!C183="","",銘柄管理!C183)</f>
        <v>シンフォニアテクノロジー</v>
      </c>
      <c r="E64" s="184">
        <f>IF(C64&lt;&gt;"",_xll.RssMarket(C64,"現在値"),"")</f>
        <v>15680</v>
      </c>
      <c r="F64" s="184">
        <f>IF(C64&lt;&gt;"",_xll.RssMarket(C64,"始値"),"")</f>
        <v>14720</v>
      </c>
      <c r="G64" s="183">
        <f>IF(C64&lt;&gt;"",終値!F183,"")</f>
        <v>14720</v>
      </c>
      <c r="H64" s="184">
        <f>IF(C64&lt;&gt;"",_xll.RssMarket(C64,"高値"),"")</f>
        <v>15880</v>
      </c>
      <c r="I64" s="184">
        <f>IF(C64&lt;&gt;"",_xll.RssMarket(C64,"安値"),"")</f>
        <v>14590</v>
      </c>
      <c r="J64" s="184">
        <f>IF(C64&lt;&gt;"",_xll.RssMarket(C64,"出来高"),"")</f>
        <v>248900</v>
      </c>
      <c r="K64" s="184">
        <f>IF(C64&lt;&gt;"",_xll.RssMarket(C64,"年初来高値"),"")</f>
        <v>16900</v>
      </c>
      <c r="L64" s="185">
        <f t="shared" si="0"/>
        <v>-7.218934911242604</v>
      </c>
      <c r="M64" s="184">
        <f>IF(C64&lt;&gt;"",IFERROR(AVERAGE(出来高!E183:I183),""),"")</f>
        <v>196840</v>
      </c>
      <c r="N64" s="184">
        <f>IF(C64&lt;&gt;"",IFERROR(AVERAGE(出来高!E183:AC183),""),"")</f>
        <v>237892</v>
      </c>
      <c r="O64" s="186">
        <f t="shared" si="1"/>
        <v>1.2644787644787645</v>
      </c>
      <c r="P64" s="181" t="str">
        <f t="shared" si="2"/>
        <v>普通→</v>
      </c>
      <c r="Q64" s="181" t="str">
        <f t="shared" si="3"/>
        <v>中立→</v>
      </c>
      <c r="R64" s="184">
        <f t="shared" si="17"/>
        <v>16934</v>
      </c>
      <c r="S64" s="184">
        <f t="shared" si="18"/>
        <v>15053</v>
      </c>
      <c r="T64" s="181">
        <f t="shared" si="12"/>
        <v>5</v>
      </c>
      <c r="U64" s="181" t="str">
        <f t="shared" si="19"/>
        <v>要確認</v>
      </c>
      <c r="V64" s="181" t="str">
        <f t="shared" si="7"/>
        <v>通常</v>
      </c>
      <c r="W64" s="187">
        <f t="array" ref="W64">IF(C64&lt;&gt;"",IFERROR(100-100/(1+SUMPRODUCT((終値!F183:R183&gt;終値!G183:S183)*( 終値!F183:R183-終値!G183:S183))/SUMPRODUCT((終値!F183:R183&lt;終値!G183:S183)*(終値!G183:S183-終値!F183:R183))),50),"")</f>
        <v>51.856946354883085</v>
      </c>
      <c r="X64" s="188">
        <f>IF(C64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14.029111722307789</v>
      </c>
      <c r="Y64" s="1" t="str">
        <f>IF(T64="","",IF(銘柄管理!$F$5="下落▼",IF(AND(AD64="パーフェクト▲",OR(AE64="25日線押し目●",AE64="5日線押し目○")),"★逆張り候補",IF(AND(AD64="上昇トレンド▲",OR(AE64="25日線押し目●",AE64="5日線押し目○")),"○逆張り候補",IF(W64&lt;=30,IF(Z64&gt;0,"◎反発確認",IF(Z64&lt;-5,"△要注意・様子見","△売られ過ぎ注目")),"相場下落・見送り"))),IF(AND(T64&gt;=12,AD64="パーフェクト▲"),"★強い買い",IF(AND(T64&gt;=12,AD64="上昇トレンド▲"),"★強い買い",IF(AND(T64&gt;=8,OR(AE64="25日線押し目●",AE64="5日線押し目○")),"◎押し目買い",IF(T64&gt;=10,"○買い候補",IF(T64&gt;=6,"△注目",IF(T64&gt;=3,"様子見","見送り"))))))))</f>
        <v>様子見</v>
      </c>
      <c r="Z64" s="189">
        <f t="shared" si="20"/>
        <v>6.5217391304347823</v>
      </c>
      <c r="AA64" s="181" t="str">
        <f t="shared" si="21"/>
        <v>上昇▲</v>
      </c>
      <c r="AB64" s="497">
        <f>IF(C64="","",IFERROR(((終値!E66*0.333)+(終値!F66*0.222)+(終値!G66*0.148)+(終値!H66*0.099)+(終値!I66*0.066)+(終値!J66*0.044)+(終値!K66*0.029)+(終値!L66*0.019)+(終値!M66*0.013)+(終値!N66*0.009))/(0.333+0.222+0.148+0.099+0.066+0.044+0.029+0.019+0.013+0.009),""))</f>
        <v>7313.9276985743345</v>
      </c>
      <c r="AC64" s="497">
        <f>IF(C64="","",IFERROR(SUMPRODUCT((終値!E66:AC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7283.3504171632858</v>
      </c>
      <c r="AD64" s="498" t="str">
        <f t="shared" si="15"/>
        <v>パーフェクト▲</v>
      </c>
      <c r="AE64" s="498" t="str">
        <f t="shared" si="16"/>
        <v>なし</v>
      </c>
      <c r="AF64" s="403" cm="1">
        <f t="array" ref="AF64">IF(C64="","",IFERROR((INDEX(終値!$E:$E,MATCH(TEXT(C64,"0"),終値!$A:$A,0))-INDEX(終値!$E:$BL,MATCH(TEXT(C64,"0"),終値!$A:$A,0),$AL$2))/INDEX(終値!$E:$BL,MATCH(TEXT(C64,"0"),終値!$A:$A,0),$AL$2)*100,""))</f>
        <v>0</v>
      </c>
      <c r="AG64" s="403" cm="1">
        <f t="array" ref="AG64">IFERROR((終値!$E$5-INDEX(終値!$E$5:$BL$5,1,$AL$2))/INDEX(終値!$E$5:$BL$5,1,$AL$2)*100,"")</f>
        <v>3.4532270246721688</v>
      </c>
      <c r="AH64" s="404">
        <f t="shared" si="13"/>
        <v>-3.4532270246721688</v>
      </c>
      <c r="AI64" s="402">
        <f t="shared" si="14"/>
        <v>-2</v>
      </c>
    </row>
    <row r="65" spans="1:35" s="192" customFormat="1" ht="18" customHeight="1">
      <c r="A65" s="181" t="str">
        <f>IF(銘柄管理!B204&lt;&gt;"",HYPERLINK("https://kabutan.jp/stock/?code="&amp;銘柄管理!B204,"株探"),"")</f>
        <v>株探</v>
      </c>
      <c r="B65" s="182"/>
      <c r="C65" s="183">
        <f>IF(銘柄管理!B204="","",銘柄管理!B204)</f>
        <v>8015</v>
      </c>
      <c r="D65" s="111" t="str">
        <f>IF(銘柄管理!C204="","",銘柄管理!C204)</f>
        <v>豊田通商</v>
      </c>
      <c r="E65" s="184">
        <f>IF(C65&lt;&gt;"",_xll.RssMarket(C65,"現在値"),"")</f>
        <v>6344</v>
      </c>
      <c r="F65" s="184">
        <f>IF(C65&lt;&gt;"",_xll.RssMarket(C65,"始値"),"")</f>
        <v>6426</v>
      </c>
      <c r="G65" s="183">
        <f>IF(C65&lt;&gt;"",終値!F204,"")</f>
        <v>6416</v>
      </c>
      <c r="H65" s="184">
        <f>IF(C65&lt;&gt;"",_xll.RssMarket(C65,"高値"),"")</f>
        <v>6456</v>
      </c>
      <c r="I65" s="184">
        <f>IF(C65&lt;&gt;"",_xll.RssMarket(C65,"安値"),"")</f>
        <v>6295</v>
      </c>
      <c r="J65" s="184">
        <f>IF(C65&lt;&gt;"",_xll.RssMarket(C65,"出来高"),"")</f>
        <v>1409400</v>
      </c>
      <c r="K65" s="184">
        <f>IF(C65&lt;&gt;"",_xll.RssMarket(C65,"年初来高値"),"")</f>
        <v>7559</v>
      </c>
      <c r="L65" s="185">
        <f t="shared" si="0"/>
        <v>-16.073554703003044</v>
      </c>
      <c r="M65" s="184">
        <f>IF(C65&lt;&gt;"",IFERROR(AVERAGE(出来高!E204:I204),""),"")</f>
        <v>2153020</v>
      </c>
      <c r="N65" s="184">
        <f>IF(C65&lt;&gt;"",IFERROR(AVERAGE(出来高!E204:AC204),""),"")</f>
        <v>2599272</v>
      </c>
      <c r="O65" s="186">
        <f t="shared" si="1"/>
        <v>0.6546153774697866</v>
      </c>
      <c r="P65" s="181" t="str">
        <f t="shared" si="2"/>
        <v>減少↓</v>
      </c>
      <c r="Q65" s="181" t="str">
        <f t="shared" si="3"/>
        <v>様子見▼</v>
      </c>
      <c r="R65" s="184">
        <f t="shared" si="17"/>
        <v>6852</v>
      </c>
      <c r="S65" s="184">
        <f t="shared" si="18"/>
        <v>6090</v>
      </c>
      <c r="T65" s="181">
        <f t="shared" si="12"/>
        <v>3</v>
      </c>
      <c r="U65" s="181" t="str">
        <f t="shared" si="19"/>
        <v>要確認</v>
      </c>
      <c r="V65" s="181" t="str">
        <f t="shared" si="7"/>
        <v>通常</v>
      </c>
      <c r="W65" s="187">
        <f t="array" ref="W65">IF(C65&lt;&gt;"",IFERROR(100-100/(1+SUMPRODUCT((終値!F204:R204&gt;終値!G204:S204)*( 終値!F204:R204-終値!G204:S204))/SUMPRODUCT((終値!F204:R204&lt;終値!G204:S204)*(終値!G204:S204-終値!F204:R204))),50),"")</f>
        <v>33.669548511047068</v>
      </c>
      <c r="X65" s="188">
        <f>IF(C65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-107.98369480852671</v>
      </c>
      <c r="Y65" s="1" t="str">
        <f>IF(T65="","",IF(銘柄管理!$F$5="下落▼",IF(AND(AD65="パーフェクト▲",OR(AE65="25日線押し目●",AE65="5日線押し目○")),"★逆張り候補",IF(AND(AD65="上昇トレンド▲",OR(AE65="25日線押し目●",AE65="5日線押し目○")),"○逆張り候補",IF(W65&lt;=30,IF(Z65&gt;0,"◎反発確認",IF(Z65&lt;-5,"△要注意・様子見","△売られ過ぎ注目")),"相場下落・見送り"))),IF(AND(T65&gt;=12,AD65="パーフェクト▲"),"★強い買い",IF(AND(T65&gt;=12,AD65="上昇トレンド▲"),"★強い買い",IF(AND(T65&gt;=8,OR(AE65="25日線押し目●",AE65="5日線押し目○")),"◎押し目買い",IF(T65&gt;=10,"○買い候補",IF(T65&gt;=6,"△注目",IF(T65&gt;=3,"様子見","見送り"))))))))</f>
        <v>様子見</v>
      </c>
      <c r="Z65" s="189">
        <f t="shared" si="20"/>
        <v>-1.1221945137157108</v>
      </c>
      <c r="AA65" s="181" t="str">
        <f t="shared" si="21"/>
        <v>下落▼</v>
      </c>
      <c r="AB65" s="499">
        <f>IF(C65="","",IFERROR(((終値!E67*0.333)+(終値!F67*0.222)+(終値!G67*0.148)+(終値!H67*0.099)+(終値!I67*0.066)+(終値!J67*0.044)+(終値!K67*0.029)+(終値!L67*0.019)+(終値!M67*0.013)+(終値!N67*0.009))/(0.333+0.222+0.148+0.099+0.066+0.044+0.029+0.019+0.013+0.009),""))</f>
        <v>1909.9928716904276</v>
      </c>
      <c r="AC65" s="499">
        <f>IF(C65="","",IFERROR(SUMPRODUCT((終値!E67:AC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1895.7622169249096</v>
      </c>
      <c r="AD65" s="500" t="str">
        <f t="shared" si="15"/>
        <v>パーフェクト▲</v>
      </c>
      <c r="AE65" s="500" t="str">
        <f t="shared" si="16"/>
        <v>なし</v>
      </c>
      <c r="AF65" s="403" cm="1">
        <f t="array" ref="AF65">IF(C65="","",IFERROR((INDEX(終値!$E:$E,MATCH(TEXT(C65,"0"),終値!$A:$A,0))-INDEX(終値!$E:$BL,MATCH(TEXT(C65,"0"),終値!$A:$A,0),$AL$2))/INDEX(終値!$E:$BL,MATCH(TEXT(C65,"0"),終値!$A:$A,0),$AL$2)*100,""))</f>
        <v>-13.921302578018995</v>
      </c>
      <c r="AG65" s="403" cm="1">
        <f t="array" ref="AG65">IFERROR((終値!$E$5-INDEX(終値!$E$5:$BL$5,1,$AL$2))/INDEX(終値!$E$5:$BL$5,1,$AL$2)*100,"")</f>
        <v>3.4532270246721688</v>
      </c>
      <c r="AH65" s="404">
        <f t="shared" si="13"/>
        <v>-17.374529602691165</v>
      </c>
      <c r="AI65" s="402">
        <f t="shared" si="14"/>
        <v>-2</v>
      </c>
    </row>
    <row r="66" spans="1:35" s="192" customFormat="1" ht="18" customHeight="1">
      <c r="A66" s="181" t="str">
        <f>IF(銘柄管理!B19&lt;&gt;"",HYPERLINK("https://kabutan.jp/stock/?code="&amp;銘柄管理!B19,"株探"),"")</f>
        <v>株探</v>
      </c>
      <c r="B66" s="182"/>
      <c r="C66" s="183">
        <f>IF(銘柄管理!B19="","",銘柄管理!B19)</f>
        <v>8411</v>
      </c>
      <c r="D66" s="111" t="str">
        <f>IF(銘柄管理!C19="","",銘柄管理!C19)</f>
        <v>みずほフィナンシャルＧ</v>
      </c>
      <c r="E66" s="184">
        <f>IF(C66&lt;&gt;"",_xll.RssMarket(C66,"現在値"),"")</f>
        <v>8006</v>
      </c>
      <c r="F66" s="184">
        <f>IF(C66&lt;&gt;"",_xll.RssMarket(C66,"始値"),"")</f>
        <v>7907</v>
      </c>
      <c r="G66" s="183">
        <f>IF(C66&lt;&gt;"",終値!F19,"")</f>
        <v>7757</v>
      </c>
      <c r="H66" s="184">
        <f>IF(C66&lt;&gt;"",_xll.RssMarket(C66,"高値"),"")</f>
        <v>8120</v>
      </c>
      <c r="I66" s="184">
        <f>IF(C66&lt;&gt;"",_xll.RssMarket(C66,"安値"),"")</f>
        <v>7902</v>
      </c>
      <c r="J66" s="184">
        <f>IF(C66&lt;&gt;"",_xll.RssMarket(C66,"出来高"),"")</f>
        <v>12922600</v>
      </c>
      <c r="K66" s="184">
        <f>IF(C66&lt;&gt;"",_xll.RssMarket(C66,"年初来高値"),"")</f>
        <v>7966</v>
      </c>
      <c r="L66" s="185">
        <f t="shared" si="0"/>
        <v>0.50213406979663566</v>
      </c>
      <c r="M66" s="184">
        <f>IF(C66&lt;&gt;"",IFERROR(AVERAGE(出来高!E19:I19),""),"")</f>
        <v>11892080</v>
      </c>
      <c r="N66" s="184">
        <f>IF(C66&lt;&gt;"",IFERROR(AVERAGE(出来高!E19:AC19),""),"")</f>
        <v>11972884</v>
      </c>
      <c r="O66" s="186">
        <f t="shared" si="1"/>
        <v>1.0866559928961124</v>
      </c>
      <c r="P66" s="181" t="str">
        <f t="shared" si="2"/>
        <v>普通→</v>
      </c>
      <c r="Q66" s="181" t="str">
        <f t="shared" si="3"/>
        <v>中立→</v>
      </c>
      <c r="R66" s="184">
        <f t="shared" si="17"/>
        <v>8646</v>
      </c>
      <c r="S66" s="184">
        <f t="shared" si="18"/>
        <v>7686</v>
      </c>
      <c r="T66" s="181">
        <f t="shared" si="12"/>
        <v>12</v>
      </c>
      <c r="U66" s="181" t="str">
        <f t="shared" si="19"/>
        <v>要確認</v>
      </c>
      <c r="V66" s="181" t="str">
        <f t="shared" si="7"/>
        <v>年初来高値更新●</v>
      </c>
      <c r="W66" s="187">
        <f t="array" ref="W66">IF(C66&lt;&gt;"",IFERROR(100-100/(1+SUMPRODUCT((終値!F19:R19&gt;終値!G19:S19)*( 終値!F19:R19-終値!G19:S19))/SUMPRODUCT((終値!F19:R19&lt;終値!G19:S19)*(終値!G19:S19-終値!F19:R19))),50),"")</f>
        <v>63.331371394938202</v>
      </c>
      <c r="X66" s="188">
        <f>IF(C66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92.127444385630952</v>
      </c>
      <c r="Y66" s="1" t="str">
        <f>IF(T66="","",IF(銘柄管理!$F$5="下落▼",IF(AND(AD66="パーフェクト▲",OR(AE66="25日線押し目●",AE66="5日線押し目○")),"★逆張り候補",IF(AND(AD66="上昇トレンド▲",OR(AE66="25日線押し目●",AE66="5日線押し目○")),"○逆張り候補",IF(W66&lt;=30,IF(Z66&gt;0,"◎反発確認",IF(Z66&lt;-5,"△要注意・様子見","△売られ過ぎ注目")),"相場下落・見送り"))),IF(AND(T66&gt;=12,AD66="パーフェクト▲"),"★強い買い",IF(AND(T66&gt;=12,AD66="上昇トレンド▲"),"★強い買い",IF(AND(T66&gt;=8,OR(AE66="25日線押し目●",AE66="5日線押し目○")),"◎押し目買い",IF(T66&gt;=10,"○買い候補",IF(T66&gt;=6,"△注目",IF(T66&gt;=3,"様子見","見送り"))))))))</f>
        <v>★強い買い</v>
      </c>
      <c r="Z66" s="189">
        <f t="shared" si="20"/>
        <v>3.2100038674745388</v>
      </c>
      <c r="AA66" s="181" t="str">
        <f t="shared" si="21"/>
        <v>上昇▲</v>
      </c>
      <c r="AB66" s="497">
        <f>IF(C66="","",IFERROR(((終値!E68*0.333)+(終値!F68*0.222)+(終値!G68*0.148)+(終値!H68*0.099)+(終値!I68*0.066)+(終値!J68*0.044)+(終値!K68*0.029)+(終値!L68*0.019)+(終値!M68*0.013)+(終値!N68*0.009))/(0.333+0.222+0.148+0.099+0.066+0.044+0.029+0.019+0.013+0.009),""))</f>
        <v>5757.157841140528</v>
      </c>
      <c r="AC66" s="497">
        <f>IF(C66="","",IFERROR(SUMPRODUCT((終値!E68:AC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5971.7854588796172</v>
      </c>
      <c r="AD66" s="498" t="str">
        <f t="shared" si="15"/>
        <v>上昇トレンド▲</v>
      </c>
      <c r="AE66" s="498" t="str">
        <f t="shared" si="16"/>
        <v>なし</v>
      </c>
      <c r="AF66" s="403" cm="1">
        <f t="array" ref="AF66">IF(C66="","",IFERROR((INDEX(終値!$E:$E,MATCH(TEXT(C66,"0"),終値!$A:$A,0))-INDEX(終値!$E:$BL,MATCH(TEXT(C66,"0"),終値!$A:$A,0),$AL$2))/INDEX(終値!$E:$BL,MATCH(TEXT(C66,"0"),終値!$A:$A,0),$AL$2)*100,""))</f>
        <v>14.633447880870563</v>
      </c>
      <c r="AG66" s="403" cm="1">
        <f t="array" ref="AG66">IFERROR((終値!$E$5-INDEX(終値!$E$5:$BL$5,1,$AL$2))/INDEX(終値!$E$5:$BL$5,1,$AL$2)*100,"")</f>
        <v>3.4532270246721688</v>
      </c>
      <c r="AH66" s="404">
        <f t="shared" si="13"/>
        <v>11.180220856198394</v>
      </c>
      <c r="AI66" s="402">
        <f t="shared" si="14"/>
        <v>3</v>
      </c>
    </row>
    <row r="67" spans="1:35" s="192" customFormat="1" ht="18" customHeight="1">
      <c r="A67" s="181" t="str">
        <f>IF(銘柄管理!B26&lt;&gt;"",HYPERLINK("https://kabutan.jp/stock/?code="&amp;銘柄管理!B26,"株探"),"")</f>
        <v>株探</v>
      </c>
      <c r="B67" s="182"/>
      <c r="C67" s="183">
        <f>IF(銘柄管理!B26="","",銘柄管理!B26)</f>
        <v>8591</v>
      </c>
      <c r="D67" s="111" t="str">
        <f>IF(銘柄管理!C26="","",銘柄管理!C26)</f>
        <v>オリックス</v>
      </c>
      <c r="E67" s="184">
        <f>IF(C67&lt;&gt;"",_xll.RssMarket(C67,"現在値"),"")</f>
        <v>6336</v>
      </c>
      <c r="F67" s="184">
        <f>IF(C67&lt;&gt;"",_xll.RssMarket(C67,"始値"),"")</f>
        <v>6403</v>
      </c>
      <c r="G67" s="183">
        <f>IF(C67&lt;&gt;"",終値!F26,"")</f>
        <v>6305</v>
      </c>
      <c r="H67" s="184">
        <f>IF(C67&lt;&gt;"",_xll.RssMarket(C67,"高値"),"")</f>
        <v>6417</v>
      </c>
      <c r="I67" s="184">
        <f>IF(C67&lt;&gt;"",_xll.RssMarket(C67,"安値"),"")</f>
        <v>6280</v>
      </c>
      <c r="J67" s="184">
        <f>IF(C67&lt;&gt;"",_xll.RssMarket(C67,"出来高"),"")</f>
        <v>3297700</v>
      </c>
      <c r="K67" s="184">
        <f>IF(C67&lt;&gt;"",_xll.RssMarket(C67,"年初来高値"),"")</f>
        <v>6438</v>
      </c>
      <c r="L67" s="185">
        <f t="shared" ref="L67:L130" si="22">IF(AND(E67&lt;&gt;"",K67&lt;&gt;"",K67&lt;&gt;0),(E67-K67)/K67*100,"")</f>
        <v>-1.5843429636533086</v>
      </c>
      <c r="M67" s="184">
        <f>IF(C67&lt;&gt;"",IFERROR(AVERAGE(出来高!E26:I26),""),"")</f>
        <v>3576360</v>
      </c>
      <c r="N67" s="184">
        <f>IF(C67&lt;&gt;"",IFERROR(AVERAGE(出来高!E26:AC26),""),"")</f>
        <v>4504200</v>
      </c>
      <c r="O67" s="186">
        <f t="shared" ref="O67:O130" si="23">IF(AND(J67&lt;&gt;"",M67&lt;&gt;"",M67&lt;&gt;0),J67/M67,"")</f>
        <v>0.92208278808621058</v>
      </c>
      <c r="P67" s="181" t="str">
        <f t="shared" ref="P67:P130" si="24">IF(O67="","",IF(O67&gt;=2,"急増↑↑",IF(O67&gt;=1.5,"増加↑",IF(O67&gt;=1,"普通→","減少↓"))))</f>
        <v>減少↓</v>
      </c>
      <c r="Q67" s="181" t="str">
        <f t="shared" ref="Q67:Q130" si="25">IF(E67="","",IF(AND(E67&gt;G67,O67&gt;=1.5),"買い▲",IF(E67&lt;G67,"様子見▼","中立→")))</f>
        <v>中立→</v>
      </c>
      <c r="R67" s="184">
        <f t="shared" si="17"/>
        <v>6843</v>
      </c>
      <c r="S67" s="184">
        <f t="shared" si="18"/>
        <v>6083</v>
      </c>
      <c r="T67" s="181">
        <f t="shared" si="12"/>
        <v>12</v>
      </c>
      <c r="U67" s="181" t="str">
        <f t="shared" si="19"/>
        <v>要確認</v>
      </c>
      <c r="V67" s="181" t="str">
        <f t="shared" ref="V67:V130" si="26">IF(AND(H67&lt;&gt;"",K67&lt;&gt;""),IF(H67&gt;=K67,"年初来高値更新●",IF(H67&gt;=K67*0.95,"高値圏","通常")),"")</f>
        <v>高値圏</v>
      </c>
      <c r="W67" s="187">
        <f t="array" ref="W67">IF(C67&lt;&gt;"",IFERROR(100-100/(1+SUMPRODUCT((終値!F26:R26&gt;終値!G26:S26)*( 終値!F26:R26-終値!G26:S26))/SUMPRODUCT((終値!F26:R26&lt;終値!G26:S26)*(終値!G26:S26-終値!F26:R26))),50),"")</f>
        <v>50.914340712223286</v>
      </c>
      <c r="X67" s="188">
        <f>IF(C67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24.286279200284298</v>
      </c>
      <c r="Y67" s="1" t="str">
        <f>IF(T67="","",IF(銘柄管理!$F$5="下落▼",IF(AND(AD67="パーフェクト▲",OR(AE67="25日線押し目●",AE67="5日線押し目○")),"★逆張り候補",IF(AND(AD67="上昇トレンド▲",OR(AE67="25日線押し目●",AE67="5日線押し目○")),"○逆張り候補",IF(W67&lt;=30,IF(Z67&gt;0,"◎反発確認",IF(Z67&lt;-5,"△要注意・様子見","△売られ過ぎ注目")),"相場下落・見送り"))),IF(AND(T67&gt;=12,AD67="パーフェクト▲"),"★強い買い",IF(AND(T67&gt;=12,AD67="上昇トレンド▲"),"★強い買い",IF(AND(T67&gt;=8,OR(AE67="25日線押し目●",AE67="5日線押し目○")),"◎押し目買い",IF(T67&gt;=10,"○買い候補",IF(T67&gt;=6,"△注目",IF(T67&gt;=3,"様子見","見送り"))))))))</f>
        <v>★強い買い</v>
      </c>
      <c r="Z67" s="189">
        <f t="shared" si="20"/>
        <v>0.49167327517842979</v>
      </c>
      <c r="AA67" s="181" t="str">
        <f t="shared" si="21"/>
        <v>上昇▲</v>
      </c>
      <c r="AB67" s="499">
        <f>IF(C67="","",IFERROR(((終値!E69*0.333)+(終値!F69*0.222)+(終値!G69*0.148)+(終値!H69*0.099)+(終値!I69*0.066)+(終値!J69*0.044)+(終値!K69*0.029)+(終値!L69*0.019)+(終値!M69*0.013)+(終値!N69*0.009))/(0.333+0.222+0.148+0.099+0.066+0.044+0.029+0.019+0.013+0.009),""))</f>
        <v>4319.1120162932775</v>
      </c>
      <c r="AC67" s="499">
        <f>IF(C67="","",IFERROR(SUMPRODUCT((終値!E69:AC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4113.7771156138242</v>
      </c>
      <c r="AD67" s="500" t="str">
        <f t="shared" ref="AD67:AD98" si="27">IF(OR(C67="",AB67="",AC67=""),"",IF(AND(E67&gt;AB67,AB67&gt;AC67),"パーフェクト▲",IF(E67&gt;AC67,"上昇トレンド▲",IF(AND(E67&lt;AB67,AB67&lt;AC67),"下降トレンド▼","もみ合い→"))))</f>
        <v>パーフェクト▲</v>
      </c>
      <c r="AE67" s="500" t="str">
        <f t="shared" ref="AE67:AE98" si="28">IF(OR(C67="",AB67="",AC67=""),"",IF(AND(ABS(E67-AC67)/AC67&lt;=0.02,E67&gt;AC67),"25日押し目★",IF(AND(ABS(E67-AB67)/AB67&lt;=0.01,E67&gt;AB67),"5日押し目○","なし")))</f>
        <v>なし</v>
      </c>
      <c r="AF67" s="403" cm="1">
        <f t="array" ref="AF67">IF(C67="","",IFERROR((INDEX(終値!$E:$E,MATCH(TEXT(C67,"0"),終値!$A:$A,0))-INDEX(終値!$E:$BL,MATCH(TEXT(C67,"0"),終値!$A:$A,0),$AL$2))/INDEX(終値!$E:$BL,MATCH(TEXT(C67,"0"),終値!$A:$A,0),$AL$2)*100,""))</f>
        <v>9.4867807153965789</v>
      </c>
      <c r="AG67" s="403" cm="1">
        <f t="array" ref="AG67">IFERROR((終値!$E$5-INDEX(終値!$E$5:$BL$5,1,$AL$2))/INDEX(終値!$E$5:$BL$5,1,$AL$2)*100,"")</f>
        <v>3.4532270246721688</v>
      </c>
      <c r="AH67" s="404">
        <f t="shared" si="13"/>
        <v>6.0335536907244105</v>
      </c>
      <c r="AI67" s="402">
        <f t="shared" si="14"/>
        <v>3</v>
      </c>
    </row>
    <row r="68" spans="1:35" s="192" customFormat="1" ht="18" customHeight="1">
      <c r="A68" s="181" t="str">
        <f>IF(銘柄管理!B31&lt;&gt;"",HYPERLINK("https://kabutan.jp/stock/?code="&amp;銘柄管理!B31,"株探"),"")</f>
        <v>株探</v>
      </c>
      <c r="B68" s="182"/>
      <c r="C68" s="183">
        <f>IF(銘柄管理!B31="","",銘柄管理!B31)</f>
        <v>8309</v>
      </c>
      <c r="D68" s="111" t="str">
        <f>IF(銘柄管理!C31="","",銘柄管理!C31)</f>
        <v>三井住友トラストグルー</v>
      </c>
      <c r="E68" s="184">
        <f>IF(C68&lt;&gt;"",_xll.RssMarket(C68,"現在値"),"")</f>
        <v>6033</v>
      </c>
      <c r="F68" s="184">
        <f>IF(C68&lt;&gt;"",_xll.RssMarket(C68,"始値"),"")</f>
        <v>6039</v>
      </c>
      <c r="G68" s="183">
        <f>IF(C68&lt;&gt;"",終値!F31,"")</f>
        <v>5979</v>
      </c>
      <c r="H68" s="184">
        <f>IF(C68&lt;&gt;"",_xll.RssMarket(C68,"高値"),"")</f>
        <v>6081</v>
      </c>
      <c r="I68" s="184">
        <f>IF(C68&lt;&gt;"",_xll.RssMarket(C68,"安値"),"")</f>
        <v>6002</v>
      </c>
      <c r="J68" s="184">
        <f>IF(C68&lt;&gt;"",_xll.RssMarket(C68,"出来高"),"")</f>
        <v>2691100</v>
      </c>
      <c r="K68" s="184">
        <f>IF(C68&lt;&gt;"",_xll.RssMarket(C68,"年初来高値"),"")</f>
        <v>6169</v>
      </c>
      <c r="L68" s="185">
        <f t="shared" si="22"/>
        <v>-2.2045712433133411</v>
      </c>
      <c r="M68" s="184">
        <f>IF(C68&lt;&gt;"",IFERROR(AVERAGE(出来高!E31:I31),""),"")</f>
        <v>3823680</v>
      </c>
      <c r="N68" s="184">
        <f>IF(C68&lt;&gt;"",IFERROR(AVERAGE(出来高!E31:AC31),""),"")</f>
        <v>3084812</v>
      </c>
      <c r="O68" s="186">
        <f t="shared" si="23"/>
        <v>0.70379843501548245</v>
      </c>
      <c r="P68" s="181" t="str">
        <f t="shared" si="24"/>
        <v>減少↓</v>
      </c>
      <c r="Q68" s="181" t="str">
        <f t="shared" si="25"/>
        <v>中立→</v>
      </c>
      <c r="R68" s="184">
        <f t="shared" si="17"/>
        <v>6516</v>
      </c>
      <c r="S68" s="184">
        <f t="shared" si="18"/>
        <v>5792</v>
      </c>
      <c r="T68" s="181">
        <f t="shared" ref="T68:T131" si="29">IF(C68="","",IFERROR(IF(O68&gt;=2,3,IF(O68&gt;=1.5,2,IF(O68&gt;=1,1,0)))+IF(E68&gt;G68,1,0)+IF(L68&gt;=-5,1,0)+IF(Q68="買い▲",2,0)+IF(W68&lt;=30,3,IF(W68&lt;=40,2,IF(AND(W68&gt;=40,W68&lt;=60),1,0)))+IF(X68&gt;0,1,0)+IF(V68="年初来高値更新●",3,IF(V68="高値圏",2,0))+IF(AD68="パーフェクト▲",3,IF(AD68="上昇トレンド▲",2,0))+IF(AE68="25日線押し目●",2,IF(AE68="5日線押し目○",1,0))+IF(P68="急増↑↑",2,IF(P68="増加↑",1,0))+N(AI68),0))</f>
        <v>8</v>
      </c>
      <c r="U68" s="181" t="str">
        <f t="shared" si="19"/>
        <v>要確認</v>
      </c>
      <c r="V68" s="181" t="str">
        <f t="shared" si="26"/>
        <v>高値圏</v>
      </c>
      <c r="W68" s="187">
        <f t="array" ref="W68">IF(C68&lt;&gt;"",IFERROR(100-100/(1+SUMPRODUCT((終値!F31:R31&gt;終値!G31:S31)*( 終値!F31:R31-終値!G31:S31))/SUMPRODUCT((終値!F31:R31&lt;終値!G31:S31)*(終値!G31:S31-終値!F31:R31))),50),"")</f>
        <v>68.233944954128447</v>
      </c>
      <c r="X68" s="188">
        <f>IF(C68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45.30327098898033</v>
      </c>
      <c r="Y68" s="1" t="str">
        <f>IF(T68="","",IF(銘柄管理!$F$5="下落▼",IF(AND(AD68="パーフェクト▲",OR(AE68="25日線押し目●",AE68="5日線押し目○")),"★逆張り候補",IF(AND(AD68="上昇トレンド▲",OR(AE68="25日線押し目●",AE68="5日線押し目○")),"○逆張り候補",IF(W68&lt;=30,IF(Z68&gt;0,"◎反発確認",IF(Z68&lt;-5,"△要注意・様子見","△売られ過ぎ注目")),"相場下落・見送り"))),IF(AND(T68&gt;=12,AD68="パーフェクト▲"),"★強い買い",IF(AND(T68&gt;=12,AD68="上昇トレンド▲"),"★強い買い",IF(AND(T68&gt;=8,OR(AE68="25日線押し目●",AE68="5日線押し目○")),"◎押し目買い",IF(T68&gt;=10,"○買い候補",IF(T68&gt;=6,"△注目",IF(T68&gt;=3,"様子見","見送り"))))))))</f>
        <v>△注目</v>
      </c>
      <c r="Z68" s="189">
        <f t="shared" si="20"/>
        <v>0.90316106372303051</v>
      </c>
      <c r="AA68" s="181" t="str">
        <f t="shared" si="21"/>
        <v>上昇▲</v>
      </c>
      <c r="AB68" s="497">
        <f>IF(C68="","",IFERROR(((終値!E70*0.333)+(終値!F70*0.222)+(終値!G70*0.148)+(終値!H70*0.099)+(終値!I70*0.066)+(終値!J70*0.044)+(終値!K70*0.029)+(終値!L70*0.019)+(終値!M70*0.013)+(終値!N70*0.009))/(0.333+0.222+0.148+0.099+0.066+0.044+0.029+0.019+0.013+0.009),""))</f>
        <v>113.77291242362524</v>
      </c>
      <c r="AC68" s="497">
        <f>IF(C68="","",IFERROR(SUMPRODUCT((終値!E70:AC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116.86293206197851</v>
      </c>
      <c r="AD68" s="498" t="str">
        <f t="shared" si="27"/>
        <v>上昇トレンド▲</v>
      </c>
      <c r="AE68" s="498" t="str">
        <f t="shared" si="28"/>
        <v>なし</v>
      </c>
      <c r="AF68" s="403" cm="1">
        <f t="array" ref="AF68">IF(C68="","",IFERROR((INDEX(終値!$E:$E,MATCH(TEXT(C68,"0"),終値!$A:$A,0))-INDEX(終値!$E:$BL,MATCH(TEXT(C68,"0"),終値!$A:$A,0),$AL$2))/INDEX(終値!$E:$BL,MATCH(TEXT(C68,"0"),終値!$A:$A,0),$AL$2)*100,""))</f>
        <v>7.0440028388928324</v>
      </c>
      <c r="AG68" s="403" cm="1">
        <f t="array" ref="AG68">IFERROR((終値!$E$5-INDEX(終値!$E$5:$BL$5,1,$AL$2))/INDEX(終値!$E$5:$BL$5,1,$AL$2)*100,"")</f>
        <v>3.4532270246721688</v>
      </c>
      <c r="AH68" s="404">
        <f t="shared" ref="AH68:AH131" si="30">IF(OR(AF68="",AG68=""),"",AF68-AG68)</f>
        <v>3.5907758142206636</v>
      </c>
      <c r="AI68" s="402">
        <f t="shared" ref="AI68:AI131" si="31">IF(AH68="","",IF(AH68&gt;5,3,IF(AH68&gt;0,1,IF(AH68&gt;-3,-1,-2))))</f>
        <v>1</v>
      </c>
    </row>
    <row r="69" spans="1:35" s="192" customFormat="1" ht="18" customHeight="1">
      <c r="A69" s="181" t="str">
        <f>IF(銘柄管理!B49&lt;&gt;"",HYPERLINK("https://kabutan.jp/stock/?code="&amp;銘柄管理!B49,"株探"),"")</f>
        <v>株探</v>
      </c>
      <c r="B69" s="182"/>
      <c r="C69" s="183">
        <f>IF(銘柄管理!B49="","",銘柄管理!B49)</f>
        <v>5929</v>
      </c>
      <c r="D69" s="111" t="str">
        <f>IF(銘柄管理!C49="","",銘柄管理!C49)</f>
        <v>三和ホールディングス</v>
      </c>
      <c r="E69" s="184">
        <f>IF(C69&lt;&gt;"",_xll.RssMarket(C69,"現在値"),"")</f>
        <v>3713</v>
      </c>
      <c r="F69" s="184">
        <f>IF(C69&lt;&gt;"",_xll.RssMarket(C69,"始値"),"")</f>
        <v>3750</v>
      </c>
      <c r="G69" s="183">
        <f>IF(C69&lt;&gt;"",終値!F49,"")</f>
        <v>3702</v>
      </c>
      <c r="H69" s="184">
        <f>IF(C69&lt;&gt;"",_xll.RssMarket(C69,"高値"),"")</f>
        <v>3779</v>
      </c>
      <c r="I69" s="184">
        <f>IF(C69&lt;&gt;"",_xll.RssMarket(C69,"安値"),"")</f>
        <v>3698</v>
      </c>
      <c r="J69" s="184">
        <f>IF(C69&lt;&gt;"",_xll.RssMarket(C69,"出来高"),"")</f>
        <v>424400</v>
      </c>
      <c r="K69" s="184">
        <f>IF(C69&lt;&gt;"",_xll.RssMarket(C69,"年初来高値"),"")</f>
        <v>4284</v>
      </c>
      <c r="L69" s="185">
        <f t="shared" si="22"/>
        <v>-13.328664799253035</v>
      </c>
      <c r="M69" s="184">
        <f>IF(C69&lt;&gt;"",IFERROR(AVERAGE(出来高!E49:I49),""),"")</f>
        <v>646080</v>
      </c>
      <c r="N69" s="184">
        <f>IF(C69&lt;&gt;"",IFERROR(AVERAGE(出来高!E49:AC49),""),"")</f>
        <v>913480</v>
      </c>
      <c r="O69" s="186">
        <f t="shared" si="23"/>
        <v>0.65688459633481922</v>
      </c>
      <c r="P69" s="181" t="str">
        <f t="shared" si="24"/>
        <v>減少↓</v>
      </c>
      <c r="Q69" s="181" t="str">
        <f t="shared" si="25"/>
        <v>中立→</v>
      </c>
      <c r="R69" s="184">
        <f t="shared" ref="R69:R100" si="32">IF(E69&lt;&gt;"",ROUND(E69*1.08,0),"")</f>
        <v>4010</v>
      </c>
      <c r="S69" s="184">
        <f t="shared" ref="S69:S100" si="33">IF(E69&lt;&gt;"",ROUND(E69*0.96,0),"")</f>
        <v>3564</v>
      </c>
      <c r="T69" s="181">
        <f t="shared" si="29"/>
        <v>3</v>
      </c>
      <c r="U69" s="181" t="str">
        <f t="shared" ref="U69:U100" si="34">IF(T69="","",IF(AND(T69&gt;=3,O69&gt;=1.5),"有効",IF(T69&gt;=3,"要確認","除外")))</f>
        <v>要確認</v>
      </c>
      <c r="V69" s="181" t="str">
        <f t="shared" si="26"/>
        <v>通常</v>
      </c>
      <c r="W69" s="187">
        <f t="array" ref="W69">IF(C69&lt;&gt;"",IFERROR(100-100/(1+SUMPRODUCT((終値!F49:R49&gt;終値!G49:S49)*( 終値!F49:R49-終値!G49:S49))/SUMPRODUCT((終値!F49:R49&lt;終値!G49:S49)*(終値!G49:S49-終値!F49:R49))),50),"")</f>
        <v>67.032967032967036</v>
      </c>
      <c r="X69" s="188">
        <f>IF(C69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34.800249961194368</v>
      </c>
      <c r="Y69" s="1" t="str">
        <f>IF(T69="","",IF(銘柄管理!$F$5="下落▼",IF(AND(AD69="パーフェクト▲",OR(AE69="25日線押し目●",AE69="5日線押し目○")),"★逆張り候補",IF(AND(AD69="上昇トレンド▲",OR(AE69="25日線押し目●",AE69="5日線押し目○")),"○逆張り候補",IF(W69&lt;=30,IF(Z69&gt;0,"◎反発確認",IF(Z69&lt;-5,"△要注意・様子見","△売られ過ぎ注目")),"相場下落・見送り"))),IF(AND(T69&gt;=12,AD69="パーフェクト▲"),"★強い買い",IF(AND(T69&gt;=12,AD69="上昇トレンド▲"),"★強い買い",IF(AND(T69&gt;=8,OR(AE69="25日線押し目●",AE69="5日線押し目○")),"◎押し目買い",IF(T69&gt;=10,"○買い候補",IF(T69&gt;=6,"△注目",IF(T69&gt;=3,"様子見","見送り"))))))))</f>
        <v>様子見</v>
      </c>
      <c r="Z69" s="189">
        <f t="shared" ref="Z69:Z100" si="35">IF(AND(E69&lt;&gt;"",G69&lt;&gt;"",G69&lt;&gt;0),(E69-G69)/G69*100,"")</f>
        <v>0.29713668287412209</v>
      </c>
      <c r="AA69" s="181" t="str">
        <f t="shared" ref="AA69:AA100" si="36">IF(OR(C69="",E69="",E69=0),"",IF(E69&gt;G69,"上昇▲",IF(E69&lt;G69,"下落▼","横ばい→")))</f>
        <v>上昇▲</v>
      </c>
      <c r="AB69" s="499">
        <f>IF(C69="","",IFERROR(((終値!E71*0.333)+(終値!F71*0.222)+(終値!G71*0.148)+(終値!H71*0.099)+(終値!I71*0.066)+(終値!J71*0.044)+(終値!K71*0.029)+(終値!L71*0.019)+(終値!M71*0.013)+(終値!N71*0.009))/(0.333+0.222+0.148+0.099+0.066+0.044+0.029+0.019+0.013+0.009),""))</f>
        <v>2258.4246435845207</v>
      </c>
      <c r="AC69" s="499">
        <f>IF(C69="","",IFERROR(SUMPRODUCT((終値!E71:AC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2407.5220500595942</v>
      </c>
      <c r="AD69" s="500" t="str">
        <f t="shared" si="27"/>
        <v>上昇トレンド▲</v>
      </c>
      <c r="AE69" s="500" t="str">
        <f t="shared" si="28"/>
        <v>なし</v>
      </c>
      <c r="AF69" s="403" cm="1">
        <f t="array" ref="AF69">IF(C69="","",IFERROR((INDEX(終値!$E:$E,MATCH(TEXT(C69,"0"),終値!$A:$A,0))-INDEX(終値!$E:$BL,MATCH(TEXT(C69,"0"),終値!$A:$A,0),$AL$2))/INDEX(終値!$E:$BL,MATCH(TEXT(C69,"0"),終値!$A:$A,0),$AL$2)*100,""))</f>
        <v>1.8376302797586397</v>
      </c>
      <c r="AG69" s="403" cm="1">
        <f t="array" ref="AG69">IFERROR((終値!$E$5-INDEX(終値!$E$5:$BL$5,1,$AL$2))/INDEX(終値!$E$5:$BL$5,1,$AL$2)*100,"")</f>
        <v>3.4532270246721688</v>
      </c>
      <c r="AH69" s="404">
        <f t="shared" si="30"/>
        <v>-1.6155967449135291</v>
      </c>
      <c r="AI69" s="402">
        <f t="shared" si="31"/>
        <v>-1</v>
      </c>
    </row>
    <row r="70" spans="1:35" s="192" customFormat="1" ht="18" customHeight="1">
      <c r="A70" s="181" t="str">
        <f>IF(銘柄管理!B50&lt;&gt;"",HYPERLINK("https://kabutan.jp/stock/?code="&amp;銘柄管理!B50,"株探"),"")</f>
        <v>株探</v>
      </c>
      <c r="B70" s="182"/>
      <c r="C70" s="183">
        <f>IF(銘柄管理!B50="","",銘柄管理!B50)</f>
        <v>8316</v>
      </c>
      <c r="D70" s="111" t="str">
        <f>IF(銘柄管理!C50="","",銘柄管理!C50)</f>
        <v>三井住友フィナンシャルＧ</v>
      </c>
      <c r="E70" s="184">
        <f>IF(C70&lt;&gt;"",_xll.RssMarket(C70,"現在値"),"")</f>
        <v>6450</v>
      </c>
      <c r="F70" s="184">
        <f>IF(C70&lt;&gt;"",_xll.RssMarket(C70,"始値"),"")</f>
        <v>6544</v>
      </c>
      <c r="G70" s="183">
        <f>IF(C70&lt;&gt;"",終値!F50,"")</f>
        <v>6409</v>
      </c>
      <c r="H70" s="184">
        <f>IF(C70&lt;&gt;"",_xll.RssMarket(C70,"高値"),"")</f>
        <v>6578</v>
      </c>
      <c r="I70" s="184">
        <f>IF(C70&lt;&gt;"",_xll.RssMarket(C70,"安値"),"")</f>
        <v>6450</v>
      </c>
      <c r="J70" s="184">
        <f>IF(C70&lt;&gt;"",_xll.RssMarket(C70,"出来高"),"")</f>
        <v>12405700</v>
      </c>
      <c r="K70" s="184">
        <f>IF(C70&lt;&gt;"",_xll.RssMarket(C70,"年初来高値"),"")</f>
        <v>6725</v>
      </c>
      <c r="L70" s="185">
        <f t="shared" si="22"/>
        <v>-4.0892193308550189</v>
      </c>
      <c r="M70" s="184">
        <f>IF(C70&lt;&gt;"",IFERROR(AVERAGE(出来高!E50:I50),""),"")</f>
        <v>16933020</v>
      </c>
      <c r="N70" s="184">
        <f>IF(C70&lt;&gt;"",IFERROR(AVERAGE(出来高!E50:AC50),""),"")</f>
        <v>15706428</v>
      </c>
      <c r="O70" s="186">
        <f t="shared" si="23"/>
        <v>0.73263363534679582</v>
      </c>
      <c r="P70" s="181" t="str">
        <f t="shared" si="24"/>
        <v>減少↓</v>
      </c>
      <c r="Q70" s="181" t="str">
        <f t="shared" si="25"/>
        <v>中立→</v>
      </c>
      <c r="R70" s="184">
        <f t="shared" si="32"/>
        <v>6966</v>
      </c>
      <c r="S70" s="184">
        <f t="shared" si="33"/>
        <v>6192</v>
      </c>
      <c r="T70" s="181">
        <f t="shared" si="29"/>
        <v>10</v>
      </c>
      <c r="U70" s="181" t="str">
        <f t="shared" si="34"/>
        <v>要確認</v>
      </c>
      <c r="V70" s="181" t="str">
        <f t="shared" si="26"/>
        <v>高値圏</v>
      </c>
      <c r="W70" s="187">
        <f t="array" ref="W70">IF(C70&lt;&gt;"",IFERROR(100-100/(1+SUMPRODUCT((終値!F50:R50&gt;終値!G50:S50)*( 終値!F50:R50-終値!G50:S50))/SUMPRODUCT((終値!F50:R50&lt;終値!G50:S50)*(終値!G50:S50-終値!F50:R50))),50),"")</f>
        <v>67.971808927173058</v>
      </c>
      <c r="X70" s="188">
        <f>IF(C70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72.510263135900459</v>
      </c>
      <c r="Y70" s="1" t="str">
        <f>IF(T70="","",IF(銘柄管理!$F$5="下落▼",IF(AND(AD70="パーフェクト▲",OR(AE70="25日線押し目●",AE70="5日線押し目○")),"★逆張り候補",IF(AND(AD70="上昇トレンド▲",OR(AE70="25日線押し目●",AE70="5日線押し目○")),"○逆張り候補",IF(W70&lt;=30,IF(Z70&gt;0,"◎反発確認",IF(Z70&lt;-5,"△要注意・様子見","△売られ過ぎ注目")),"相場下落・見送り"))),IF(AND(T70&gt;=12,AD70="パーフェクト▲"),"★強い買い",IF(AND(T70&gt;=12,AD70="上昇トレンド▲"),"★強い買い",IF(AND(T70&gt;=8,OR(AE70="25日線押し目●",AE70="5日線押し目○")),"◎押し目買い",IF(T70&gt;=10,"○買い候補",IF(T70&gt;=6,"△注目",IF(T70&gt;=3,"様子見","見送り"))))))))</f>
        <v>○買い候補</v>
      </c>
      <c r="Z70" s="189">
        <f t="shared" si="35"/>
        <v>0.63972538617569041</v>
      </c>
      <c r="AA70" s="181" t="str">
        <f t="shared" si="36"/>
        <v>上昇▲</v>
      </c>
      <c r="AB70" s="497">
        <f>IF(C70="","",IFERROR(((終値!E72*0.333)+(終値!F72*0.222)+(終値!G72*0.148)+(終値!H72*0.099)+(終値!I72*0.066)+(終値!J72*0.044)+(終値!K72*0.029)+(終値!L72*0.019)+(終値!M72*0.013)+(終値!N72*0.009))/(0.333+0.222+0.148+0.099+0.066+0.044+0.029+0.019+0.013+0.009),""))</f>
        <v>2136.423625254582</v>
      </c>
      <c r="AC70" s="497">
        <f>IF(C70="","",IFERROR(SUMPRODUCT((終値!E72:AC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2312.1239570917751</v>
      </c>
      <c r="AD70" s="498" t="str">
        <f t="shared" si="27"/>
        <v>上昇トレンド▲</v>
      </c>
      <c r="AE70" s="498" t="str">
        <f t="shared" si="28"/>
        <v>なし</v>
      </c>
      <c r="AF70" s="403" cm="1">
        <f t="array" ref="AF70">IF(C70="","",IFERROR((INDEX(終値!$E:$E,MATCH(TEXT(C70,"0"),終値!$A:$A,0))-INDEX(終値!$E:$BL,MATCH(TEXT(C70,"0"),終値!$A:$A,0),$AL$2))/INDEX(終値!$E:$BL,MATCH(TEXT(C70,"0"),終値!$A:$A,0),$AL$2)*100,""))</f>
        <v>13.118204138898632</v>
      </c>
      <c r="AG70" s="403" cm="1">
        <f t="array" ref="AG70">IFERROR((終値!$E$5-INDEX(終値!$E$5:$BL$5,1,$AL$2))/INDEX(終値!$E$5:$BL$5,1,$AL$2)*100,"")</f>
        <v>3.4532270246721688</v>
      </c>
      <c r="AH70" s="404">
        <f t="shared" si="30"/>
        <v>9.6649771142264633</v>
      </c>
      <c r="AI70" s="402">
        <f t="shared" si="31"/>
        <v>3</v>
      </c>
    </row>
    <row r="71" spans="1:35" s="192" customFormat="1" ht="18" customHeight="1">
      <c r="A71" s="181" t="str">
        <f>IF(銘柄管理!B55&lt;&gt;"",HYPERLINK("https://kabutan.jp/stock/?code="&amp;銘柄管理!B55,"株探"),"")</f>
        <v>株探</v>
      </c>
      <c r="B71" s="182"/>
      <c r="C71" s="183">
        <f>IF(銘柄管理!B55="","",銘柄管理!B55)</f>
        <v>5901</v>
      </c>
      <c r="D71" s="111" t="str">
        <f>IF(銘柄管理!C55="","",銘柄管理!C55)</f>
        <v>東洋製罐グループＨＤ</v>
      </c>
      <c r="E71" s="184">
        <f>IF(C71&lt;&gt;"",_xll.RssMarket(C71,"現在値"),"")</f>
        <v>4076</v>
      </c>
      <c r="F71" s="184">
        <f>IF(C71&lt;&gt;"",_xll.RssMarket(C71,"始値"),"")</f>
        <v>4004</v>
      </c>
      <c r="G71" s="183">
        <f>IF(C71&lt;&gt;"",終値!F55,"")</f>
        <v>3991</v>
      </c>
      <c r="H71" s="184">
        <f>IF(C71&lt;&gt;"",_xll.RssMarket(C71,"高値"),"")</f>
        <v>4088</v>
      </c>
      <c r="I71" s="184">
        <f>IF(C71&lt;&gt;"",_xll.RssMarket(C71,"安値"),"")</f>
        <v>3964</v>
      </c>
      <c r="J71" s="184">
        <f>IF(C71&lt;&gt;"",_xll.RssMarket(C71,"出来高"),"")</f>
        <v>249600</v>
      </c>
      <c r="K71" s="184">
        <f>IF(C71&lt;&gt;"",_xll.RssMarket(C71,"年初来高値"),"")</f>
        <v>4404</v>
      </c>
      <c r="L71" s="185">
        <f t="shared" si="22"/>
        <v>-7.447774750227067</v>
      </c>
      <c r="M71" s="184">
        <f>IF(C71&lt;&gt;"",IFERROR(AVERAGE(出来高!E55:I55),""),"")</f>
        <v>266200</v>
      </c>
      <c r="N71" s="184">
        <f>IF(C71&lt;&gt;"",IFERROR(AVERAGE(出来高!E55:AC55),""),"")</f>
        <v>487368</v>
      </c>
      <c r="O71" s="186">
        <f t="shared" si="23"/>
        <v>0.93764087152516906</v>
      </c>
      <c r="P71" s="181" t="str">
        <f t="shared" si="24"/>
        <v>減少↓</v>
      </c>
      <c r="Q71" s="181" t="str">
        <f t="shared" si="25"/>
        <v>中立→</v>
      </c>
      <c r="R71" s="184">
        <f t="shared" si="32"/>
        <v>4402</v>
      </c>
      <c r="S71" s="184">
        <f t="shared" si="33"/>
        <v>3913</v>
      </c>
      <c r="T71" s="181">
        <f t="shared" si="29"/>
        <v>6</v>
      </c>
      <c r="U71" s="181" t="str">
        <f t="shared" si="34"/>
        <v>要確認</v>
      </c>
      <c r="V71" s="181" t="str">
        <f t="shared" si="26"/>
        <v>通常</v>
      </c>
      <c r="W71" s="187">
        <f t="array" ref="W71">IF(C71&lt;&gt;"",IFERROR(100-100/(1+SUMPRODUCT((終値!F55:R55&gt;終値!G55:S55)*( 終値!F55:R55-終値!G55:S55))/SUMPRODUCT((終値!F55:R55&lt;終値!G55:S55)*(終値!G55:S55-終値!F55:R55))),50),"")</f>
        <v>51.165803108808298</v>
      </c>
      <c r="X71" s="188">
        <f>IF(C71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6.2719979780217727</v>
      </c>
      <c r="Y71" s="1" t="str">
        <f>IF(T71="","",IF(銘柄管理!$F$5="下落▼",IF(AND(AD71="パーフェクト▲",OR(AE71="25日線押し目●",AE71="5日線押し目○")),"★逆張り候補",IF(AND(AD71="上昇トレンド▲",OR(AE71="25日線押し目●",AE71="5日線押し目○")),"○逆張り候補",IF(W71&lt;=30,IF(Z71&gt;0,"◎反発確認",IF(Z71&lt;-5,"△要注意・様子見","△売られ過ぎ注目")),"相場下落・見送り"))),IF(AND(T71&gt;=12,AD71="パーフェクト▲"),"★強い買い",IF(AND(T71&gt;=12,AD71="上昇トレンド▲"),"★強い買い",IF(AND(T71&gt;=8,OR(AE71="25日線押し目●",AE71="5日線押し目○")),"◎押し目買い",IF(T71&gt;=10,"○買い候補",IF(T71&gt;=6,"△注目",IF(T71&gt;=3,"様子見","見送り"))))))))</f>
        <v>△注目</v>
      </c>
      <c r="Z71" s="189">
        <f t="shared" si="35"/>
        <v>2.1297920320721624</v>
      </c>
      <c r="AA71" s="181" t="str">
        <f t="shared" si="36"/>
        <v>上昇▲</v>
      </c>
      <c r="AB71" s="499">
        <f>IF(C71="","",IFERROR(((終値!E73*0.333)+(終値!F73*0.222)+(終値!G73*0.148)+(終値!H73*0.099)+(終値!I73*0.066)+(終値!J73*0.044)+(終値!K73*0.029)+(終値!L73*0.019)+(終値!M73*0.013)+(終値!N73*0.009))/(0.333+0.222+0.148+0.099+0.066+0.044+0.029+0.019+0.013+0.009),""))</f>
        <v>7166.5987780040714</v>
      </c>
      <c r="AC71" s="499">
        <f>IF(C71="","",IFERROR(SUMPRODUCT((終値!E73:AC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6976.9129916567308</v>
      </c>
      <c r="AD71" s="500" t="str">
        <f t="shared" si="27"/>
        <v>もみ合い→</v>
      </c>
      <c r="AE71" s="500" t="str">
        <f t="shared" si="28"/>
        <v>なし</v>
      </c>
      <c r="AF71" s="403" cm="1">
        <f t="array" ref="AF71">IF(C71="","",IFERROR((INDEX(終値!$E:$E,MATCH(TEXT(C71,"0"),終値!$A:$A,0))-INDEX(終値!$E:$BL,MATCH(TEXT(C71,"0"),終値!$A:$A,0),$AL$2))/INDEX(終値!$E:$BL,MATCH(TEXT(C71,"0"),終値!$A:$A,0),$AL$2)*100,""))</f>
        <v>18.729973783862512</v>
      </c>
      <c r="AG71" s="403" cm="1">
        <f t="array" ref="AG71">IFERROR((終値!$E$5-INDEX(終値!$E$5:$BL$5,1,$AL$2))/INDEX(終値!$E$5:$BL$5,1,$AL$2)*100,"")</f>
        <v>3.4532270246721688</v>
      </c>
      <c r="AH71" s="404">
        <f t="shared" si="30"/>
        <v>15.276746759190344</v>
      </c>
      <c r="AI71" s="402">
        <f t="shared" si="31"/>
        <v>3</v>
      </c>
    </row>
    <row r="72" spans="1:35" s="192" customFormat="1" ht="18" customHeight="1">
      <c r="A72" s="181" t="str">
        <f>IF(銘柄管理!B69&lt;&gt;"",HYPERLINK("https://kabutan.jp/stock/?code="&amp;銘柄管理!B69,"株探"),"")</f>
        <v>株探</v>
      </c>
      <c r="B72" s="182"/>
      <c r="C72" s="183">
        <f>IF(銘柄管理!B69="","",銘柄管理!B69)</f>
        <v>4980</v>
      </c>
      <c r="D72" s="111" t="str">
        <f>IF(銘柄管理!C69="","",銘柄管理!C69)</f>
        <v>デクセリアルズ</v>
      </c>
      <c r="E72" s="184">
        <f>IF(C72&lt;&gt;"",_xll.RssMarket(C72,"現在値"),"")</f>
        <v>4608</v>
      </c>
      <c r="F72" s="184">
        <f>IF(C72&lt;&gt;"",_xll.RssMarket(C72,"始値"),"")</f>
        <v>4428</v>
      </c>
      <c r="G72" s="183">
        <f>IF(C72&lt;&gt;"",終値!F69,"")</f>
        <v>4568</v>
      </c>
      <c r="H72" s="184">
        <f>IF(C72&lt;&gt;"",_xll.RssMarket(C72,"高値"),"")</f>
        <v>4694</v>
      </c>
      <c r="I72" s="184">
        <f>IF(C72&lt;&gt;"",_xll.RssMarket(C72,"安値"),"")</f>
        <v>4361</v>
      </c>
      <c r="J72" s="184">
        <f>IF(C72&lt;&gt;"",_xll.RssMarket(C72,"出来高"),"")</f>
        <v>2442300</v>
      </c>
      <c r="K72" s="184">
        <f>IF(C72&lt;&gt;"",_xll.RssMarket(C72,"年初来高値"),"")</f>
        <v>4859</v>
      </c>
      <c r="L72" s="185">
        <f t="shared" si="22"/>
        <v>-5.165671948960691</v>
      </c>
      <c r="M72" s="184">
        <f>IF(C72&lt;&gt;"",IFERROR(AVERAGE(出来高!E69:I69),""),"")</f>
        <v>2689140</v>
      </c>
      <c r="N72" s="184">
        <f>IF(C72&lt;&gt;"",IFERROR(AVERAGE(出来高!E69:AC69),""),"")</f>
        <v>3377852</v>
      </c>
      <c r="O72" s="186">
        <f t="shared" si="23"/>
        <v>0.90820857225730156</v>
      </c>
      <c r="P72" s="181" t="str">
        <f t="shared" si="24"/>
        <v>減少↓</v>
      </c>
      <c r="Q72" s="181" t="str">
        <f t="shared" si="25"/>
        <v>中立→</v>
      </c>
      <c r="R72" s="184">
        <f t="shared" si="32"/>
        <v>4977</v>
      </c>
      <c r="S72" s="184">
        <f t="shared" si="33"/>
        <v>4424</v>
      </c>
      <c r="T72" s="181">
        <f t="shared" si="29"/>
        <v>11</v>
      </c>
      <c r="U72" s="181" t="str">
        <f t="shared" si="34"/>
        <v>要確認</v>
      </c>
      <c r="V72" s="181" t="str">
        <f t="shared" si="26"/>
        <v>高値圏</v>
      </c>
      <c r="W72" s="187">
        <f t="array" ref="W72">IF(C72&lt;&gt;"",IFERROR(100-100/(1+SUMPRODUCT((終値!F69:R69&gt;終値!G69:S69)*( 終値!F69:R69-終値!G69:S69))/SUMPRODUCT((終値!F69:R69&lt;終値!G69:S69)*(終値!G69:S69-終値!F69:R69))),50),"")</f>
        <v>53.703028091937249</v>
      </c>
      <c r="X72" s="188">
        <f>IF(C72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63.526836000781259</v>
      </c>
      <c r="Y72" s="1" t="str">
        <f>IF(T72="","",IF(銘柄管理!$F$5="下落▼",IF(AND(AD72="パーフェクト▲",OR(AE72="25日線押し目●",AE72="5日線押し目○")),"★逆張り候補",IF(AND(AD72="上昇トレンド▲",OR(AE72="25日線押し目●",AE72="5日線押し目○")),"○逆張り候補",IF(W72&lt;=30,IF(Z72&gt;0,"◎反発確認",IF(Z72&lt;-5,"△要注意・様子見","△売られ過ぎ注目")),"相場下落・見送り"))),IF(AND(T72&gt;=12,AD72="パーフェクト▲"),"★強い買い",IF(AND(T72&gt;=12,AD72="上昇トレンド▲"),"★強い買い",IF(AND(T72&gt;=8,OR(AE72="25日線押し目●",AE72="5日線押し目○")),"◎押し目買い",IF(T72&gt;=10,"○買い候補",IF(T72&gt;=6,"△注目",IF(T72&gt;=3,"様子見","見送り"))))))))</f>
        <v>○買い候補</v>
      </c>
      <c r="Z72" s="189">
        <f t="shared" si="35"/>
        <v>0.87565674255691772</v>
      </c>
      <c r="AA72" s="181" t="str">
        <f t="shared" si="36"/>
        <v>上昇▲</v>
      </c>
      <c r="AB72" s="497">
        <f>IF(C72="","",IFERROR(((終値!E74*0.333)+(終値!F74*0.222)+(終値!G74*0.148)+(終値!H74*0.099)+(終値!I74*0.066)+(終値!J74*0.044)+(終値!K74*0.029)+(終値!L74*0.019)+(終値!M74*0.013)+(終値!N74*0.009))/(0.333+0.222+0.148+0.099+0.066+0.044+0.029+0.019+0.013+0.009),""))</f>
        <v>2944.0784114052949</v>
      </c>
      <c r="AC72" s="497">
        <f>IF(C72="","",IFERROR(SUMPRODUCT((終値!E74:AC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2865.2979737783057</v>
      </c>
      <c r="AD72" s="498" t="str">
        <f t="shared" si="27"/>
        <v>パーフェクト▲</v>
      </c>
      <c r="AE72" s="498" t="str">
        <f t="shared" si="28"/>
        <v>なし</v>
      </c>
      <c r="AF72" s="403" cm="1">
        <f t="array" ref="AF72">IF(C72="","",IFERROR((INDEX(終値!$E:$E,MATCH(TEXT(C72,"0"),終値!$A:$A,0))-INDEX(終値!$E:$BL,MATCH(TEXT(C72,"0"),終値!$A:$A,0),$AL$2))/INDEX(終値!$E:$BL,MATCH(TEXT(C72,"0"),終値!$A:$A,0),$AL$2)*100,""))</f>
        <v>46.332168942521434</v>
      </c>
      <c r="AG72" s="403" cm="1">
        <f t="array" ref="AG72">IFERROR((終値!$E$5-INDEX(終値!$E$5:$BL$5,1,$AL$2))/INDEX(終値!$E$5:$BL$5,1,$AL$2)*100,"")</f>
        <v>3.4532270246721688</v>
      </c>
      <c r="AH72" s="404">
        <f t="shared" si="30"/>
        <v>42.878941917849268</v>
      </c>
      <c r="AI72" s="402">
        <f t="shared" si="31"/>
        <v>3</v>
      </c>
    </row>
    <row r="73" spans="1:35" s="192" customFormat="1" ht="18" customHeight="1">
      <c r="A73" s="181" t="str">
        <f>IF(銘柄管理!B77&lt;&gt;"",HYPERLINK("https://kabutan.jp/stock/?code="&amp;銘柄管理!B77,"株探"),"")</f>
        <v>株探</v>
      </c>
      <c r="B73" s="182"/>
      <c r="C73" s="183">
        <f>IF(銘柄管理!B77="","",銘柄管理!B77)</f>
        <v>7203</v>
      </c>
      <c r="D73" s="111" t="str">
        <f>IF(銘柄管理!C77="","",銘柄管理!C77)</f>
        <v>トヨタ自動車</v>
      </c>
      <c r="E73" s="184">
        <f>IF(C73&lt;&gt;"",_xll.RssMarket(C73,"現在値"),"")</f>
        <v>2810</v>
      </c>
      <c r="F73" s="184">
        <f>IF(C73&lt;&gt;"",_xll.RssMarket(C73,"始値"),"")</f>
        <v>2862.5</v>
      </c>
      <c r="G73" s="183">
        <f>IF(C73&lt;&gt;"",終値!F77,"")</f>
        <v>2847.5</v>
      </c>
      <c r="H73" s="184">
        <f>IF(C73&lt;&gt;"",_xll.RssMarket(C73,"高値"),"")</f>
        <v>2863.5</v>
      </c>
      <c r="I73" s="184">
        <f>IF(C73&lt;&gt;"",_xll.RssMarket(C73,"安値"),"")</f>
        <v>2803.5</v>
      </c>
      <c r="J73" s="184">
        <f>IF(C73&lt;&gt;"",_xll.RssMarket(C73,"出来高"),"")</f>
        <v>26726100</v>
      </c>
      <c r="K73" s="184">
        <f>IF(C73&lt;&gt;"",_xll.RssMarket(C73,"年初来高値"),"")</f>
        <v>4000</v>
      </c>
      <c r="L73" s="185">
        <f t="shared" si="22"/>
        <v>-29.75</v>
      </c>
      <c r="M73" s="184">
        <f>IF(C73&lt;&gt;"",IFERROR(AVERAGE(出来高!E77:I77),""),"")</f>
        <v>26032920</v>
      </c>
      <c r="N73" s="184">
        <f>IF(C73&lt;&gt;"",IFERROR(AVERAGE(出来高!E77:AC77),""),"")</f>
        <v>28338488</v>
      </c>
      <c r="O73" s="186">
        <f t="shared" si="23"/>
        <v>1.0266270552823118</v>
      </c>
      <c r="P73" s="181" t="str">
        <f t="shared" si="24"/>
        <v>普通→</v>
      </c>
      <c r="Q73" s="181" t="str">
        <f t="shared" si="25"/>
        <v>様子見▼</v>
      </c>
      <c r="R73" s="184">
        <f t="shared" si="32"/>
        <v>3035</v>
      </c>
      <c r="S73" s="184">
        <f t="shared" si="33"/>
        <v>2698</v>
      </c>
      <c r="T73" s="181">
        <f t="shared" si="29"/>
        <v>1</v>
      </c>
      <c r="U73" s="181" t="str">
        <f t="shared" si="34"/>
        <v>除外</v>
      </c>
      <c r="V73" s="181" t="str">
        <f t="shared" si="26"/>
        <v>通常</v>
      </c>
      <c r="W73" s="187">
        <f t="array" ref="W73">IF(C73&lt;&gt;"",IFERROR(100-100/(1+SUMPRODUCT((終値!F77:R77&gt;終値!G77:S77)*( 終値!F77:R77-終値!G77:S77))/SUMPRODUCT((終値!F77:R77&lt;終値!G77:S77)*(終値!G77:S77-終値!F77:R77))),50),"")</f>
        <v>33.578656853725846</v>
      </c>
      <c r="X73" s="188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-27.15499783075029</v>
      </c>
      <c r="Y73" s="1" t="str">
        <f>IF(T73="","",IF(銘柄管理!$F$5="下落▼",IF(AND(AD73="パーフェクト▲",OR(AE73="25日線押し目●",AE73="5日線押し目○")),"★逆張り候補",IF(AND(AD73="上昇トレンド▲",OR(AE73="25日線押し目●",AE73="5日線押し目○")),"○逆張り候補",IF(W73&lt;=30,IF(Z73&gt;0,"◎反発確認",IF(Z73&lt;-5,"△要注意・様子見","△売られ過ぎ注目")),"相場下落・見送り"))),IF(AND(T73&gt;=12,AD73="パーフェクト▲"),"★強い買い",IF(AND(T73&gt;=12,AD73="上昇トレンド▲"),"★強い買い",IF(AND(T73&gt;=8,OR(AE73="25日線押し目●",AE73="5日線押し目○")),"◎押し目買い",IF(T73&gt;=10,"○買い候補",IF(T73&gt;=6,"△注目",IF(T73&gt;=3,"様子見","見送り"))))))))</f>
        <v>見送り</v>
      </c>
      <c r="Z73" s="189">
        <f t="shared" si="35"/>
        <v>-1.3169446883230904</v>
      </c>
      <c r="AA73" s="181" t="str">
        <f t="shared" si="36"/>
        <v>下落▼</v>
      </c>
      <c r="AB73" s="499">
        <f>IF(C73="","",IFERROR(((終値!E75*0.333)+(終値!F75*0.222)+(終値!G75*0.148)+(終値!H75*0.099)+(終値!I75*0.066)+(終値!J75*0.044)+(終値!K75*0.029)+(終値!L75*0.019)+(終値!M75*0.013)+(終値!N75*0.009))/(0.333+0.222+0.148+0.099+0.066+0.044+0.029+0.019+0.013+0.009),""))</f>
        <v>4948.0560081466392</v>
      </c>
      <c r="AC73" s="499">
        <f>IF(C73="","",IFERROR(SUMPRODUCT((終値!E75:AC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4881.4827175208547</v>
      </c>
      <c r="AD73" s="500" t="str">
        <f t="shared" si="27"/>
        <v>もみ合い→</v>
      </c>
      <c r="AE73" s="500" t="str">
        <f t="shared" si="28"/>
        <v>なし</v>
      </c>
      <c r="AF73" s="403" cm="1">
        <f t="array" ref="AF73">IF(C73="","",IFERROR((INDEX(終値!$E:$E,MATCH(TEXT(C73,"0"),終値!$A:$A,0))-INDEX(終値!$E:$BL,MATCH(TEXT(C73,"0"),終値!$A:$A,0),$AL$2))/INDEX(終値!$E:$BL,MATCH(TEXT(C73,"0"),終値!$A:$A,0),$AL$2)*100,""))</f>
        <v>-6.582446808510638</v>
      </c>
      <c r="AG73" s="403" cm="1">
        <f t="array" ref="AG73">IFERROR((終値!$E$5-INDEX(終値!$E$5:$BL$5,1,$AL$2))/INDEX(終値!$E$5:$BL$5,1,$AL$2)*100,"")</f>
        <v>3.4532270246721688</v>
      </c>
      <c r="AH73" s="404">
        <f t="shared" si="30"/>
        <v>-10.035673833182807</v>
      </c>
      <c r="AI73" s="402">
        <f t="shared" si="31"/>
        <v>-2</v>
      </c>
    </row>
    <row r="74" spans="1:35" s="192" customFormat="1" ht="18" customHeight="1">
      <c r="A74" s="181" t="str">
        <f>IF(銘柄管理!B89&lt;&gt;"",HYPERLINK("https://kabutan.jp/stock/?code="&amp;銘柄管理!B89,"株探"),"")</f>
        <v>株探</v>
      </c>
      <c r="B74" s="182"/>
      <c r="C74" s="183">
        <f>IF(銘柄管理!B89="","",銘柄管理!B89)</f>
        <v>5892</v>
      </c>
      <c r="D74" s="111" t="str">
        <f>IF(銘柄管理!C89="","",銘柄管理!C89)</f>
        <v>ＹＵＴＯＲＩ</v>
      </c>
      <c r="E74" s="184">
        <f>IF(C74&lt;&gt;"",_xll.RssMarket(C74,"現在値"),"")</f>
        <v>2192</v>
      </c>
      <c r="F74" s="184">
        <f>IF(C74&lt;&gt;"",_xll.RssMarket(C74,"始値"),"")</f>
        <v>2046</v>
      </c>
      <c r="G74" s="183">
        <f>IF(C74&lt;&gt;"",終値!F89,"")</f>
        <v>2040</v>
      </c>
      <c r="H74" s="184">
        <f>IF(C74&lt;&gt;"",_xll.RssMarket(C74,"高値"),"")</f>
        <v>2214</v>
      </c>
      <c r="I74" s="184">
        <f>IF(C74&lt;&gt;"",_xll.RssMarket(C74,"安値"),"")</f>
        <v>2046</v>
      </c>
      <c r="J74" s="184">
        <f>IF(C74&lt;&gt;"",_xll.RssMarket(C74,"出来高"),"")</f>
        <v>109600</v>
      </c>
      <c r="K74" s="184">
        <f>IF(C74&lt;&gt;"",_xll.RssMarket(C74,"年初来高値"),"")</f>
        <v>2993</v>
      </c>
      <c r="L74" s="185">
        <f t="shared" si="22"/>
        <v>-26.762445706648847</v>
      </c>
      <c r="M74" s="184">
        <f>IF(C74&lt;&gt;"",IFERROR(AVERAGE(出来高!E89:I89),""),"")</f>
        <v>89480</v>
      </c>
      <c r="N74" s="184">
        <f>IF(C74&lt;&gt;"",IFERROR(AVERAGE(出来高!E89:AC89),""),"")</f>
        <v>93556</v>
      </c>
      <c r="O74" s="186">
        <f t="shared" si="23"/>
        <v>1.2248547161376844</v>
      </c>
      <c r="P74" s="181" t="str">
        <f t="shared" si="24"/>
        <v>普通→</v>
      </c>
      <c r="Q74" s="181" t="str">
        <f t="shared" si="25"/>
        <v>中立→</v>
      </c>
      <c r="R74" s="184">
        <f t="shared" si="32"/>
        <v>2367</v>
      </c>
      <c r="S74" s="184">
        <f t="shared" si="33"/>
        <v>2104</v>
      </c>
      <c r="T74" s="181">
        <f t="shared" si="29"/>
        <v>7</v>
      </c>
      <c r="U74" s="181" t="str">
        <f t="shared" si="34"/>
        <v>要確認</v>
      </c>
      <c r="V74" s="181" t="str">
        <f t="shared" si="26"/>
        <v>通常</v>
      </c>
      <c r="W74" s="187">
        <f t="array" ref="W74">IF(C74&lt;&gt;"",IFERROR(100-100/(1+SUMPRODUCT((終値!F89:R89&gt;終値!G89:S89)*( 終値!F89:R89-終値!G89:S89))/SUMPRODUCT((終値!F89:R89&lt;終値!G89:S89)*(終値!G89:S89-終値!F89:R89))),50),"")</f>
        <v>30.854605993340726</v>
      </c>
      <c r="X74" s="188">
        <f>IF(C74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-35.319950326183061</v>
      </c>
      <c r="Y74" s="1" t="str">
        <f>IF(T74="","",IF(銘柄管理!$F$5="下落▼",IF(AND(AD74="パーフェクト▲",OR(AE74="25日線押し目●",AE74="5日線押し目○")),"★逆張り候補",IF(AND(AD74="上昇トレンド▲",OR(AE74="25日線押し目●",AE74="5日線押し目○")),"○逆張り候補",IF(W74&lt;=30,IF(Z74&gt;0,"◎反発確認",IF(Z74&lt;-5,"△要注意・様子見","△売られ過ぎ注目")),"相場下落・見送り"))),IF(AND(T74&gt;=12,AD74="パーフェクト▲"),"★強い買い",IF(AND(T74&gt;=12,AD74="上昇トレンド▲"),"★強い買い",IF(AND(T74&gt;=8,OR(AE74="25日線押し目●",AE74="5日線押し目○")),"◎押し目買い",IF(T74&gt;=10,"○買い候補",IF(T74&gt;=6,"△注目",IF(T74&gt;=3,"様子見","見送り"))))))))</f>
        <v>△注目</v>
      </c>
      <c r="Z74" s="189">
        <f t="shared" si="35"/>
        <v>7.4509803921568629</v>
      </c>
      <c r="AA74" s="181" t="str">
        <f t="shared" si="36"/>
        <v>上昇▲</v>
      </c>
      <c r="AB74" s="497">
        <f>IF(C74="","",IFERROR(((終値!E76*0.333)+(終値!F76*0.222)+(終値!G76*0.148)+(終値!H76*0.099)+(終値!I76*0.066)+(終値!J76*0.044)+(終値!K76*0.029)+(終値!L76*0.019)+(終値!M76*0.013)+(終値!N76*0.009))/(0.333+0.222+0.148+0.099+0.066+0.044+0.029+0.019+0.013+0.009),""))</f>
        <v>5159.6527494908341</v>
      </c>
      <c r="AC74" s="497">
        <f>IF(C74="","",IFERROR(SUMPRODUCT((終値!E76:AC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5156.9928486293193</v>
      </c>
      <c r="AD74" s="498" t="str">
        <f t="shared" si="27"/>
        <v>もみ合い→</v>
      </c>
      <c r="AE74" s="498" t="str">
        <f t="shared" si="28"/>
        <v>なし</v>
      </c>
      <c r="AF74" s="403" cm="1">
        <f t="array" ref="AF74">IF(C74="","",IFERROR((INDEX(終値!$E:$E,MATCH(TEXT(C74,"0"),終値!$A:$A,0))-INDEX(終値!$E:$BL,MATCH(TEXT(C74,"0"),終値!$A:$A,0),$AL$2))/INDEX(終値!$E:$BL,MATCH(TEXT(C74,"0"),終値!$A:$A,0),$AL$2)*100,""))</f>
        <v>10.483870967741936</v>
      </c>
      <c r="AG74" s="403" cm="1">
        <f t="array" ref="AG74">IFERROR((終値!$E$5-INDEX(終値!$E$5:$BL$5,1,$AL$2))/INDEX(終値!$E$5:$BL$5,1,$AL$2)*100,"")</f>
        <v>3.4532270246721688</v>
      </c>
      <c r="AH74" s="404">
        <f t="shared" si="30"/>
        <v>7.0306439430697676</v>
      </c>
      <c r="AI74" s="402">
        <f t="shared" si="31"/>
        <v>3</v>
      </c>
    </row>
    <row r="75" spans="1:35" s="192" customFormat="1" ht="18" customHeight="1">
      <c r="A75" s="181" t="str">
        <f>IF(銘柄管理!B97&lt;&gt;"",HYPERLINK("https://kabutan.jp/stock/?code="&amp;銘柄管理!B97,"株探"),"")</f>
        <v>株探</v>
      </c>
      <c r="B75" s="182"/>
      <c r="C75" s="183">
        <f>IF(銘柄管理!B97="","",銘柄管理!B97)</f>
        <v>4182</v>
      </c>
      <c r="D75" s="111" t="str">
        <f>IF(銘柄管理!C97="","",銘柄管理!C97)</f>
        <v>三菱瓦斯化学</v>
      </c>
      <c r="E75" s="184">
        <f>IF(C75&lt;&gt;"",_xll.RssMarket(C75,"現在値"),"")</f>
        <v>5116</v>
      </c>
      <c r="F75" s="184">
        <f>IF(C75&lt;&gt;"",_xll.RssMarket(C75,"始値"),"")</f>
        <v>5000</v>
      </c>
      <c r="G75" s="183">
        <f>IF(C75&lt;&gt;"",終値!F97,"")</f>
        <v>5090</v>
      </c>
      <c r="H75" s="184">
        <f>IF(C75&lt;&gt;"",_xll.RssMarket(C75,"高値"),"")</f>
        <v>5174</v>
      </c>
      <c r="I75" s="184">
        <f>IF(C75&lt;&gt;"",_xll.RssMarket(C75,"安値"),"")</f>
        <v>4945</v>
      </c>
      <c r="J75" s="184">
        <f>IF(C75&lt;&gt;"",_xll.RssMarket(C75,"出来高"),"")</f>
        <v>1114200</v>
      </c>
      <c r="K75" s="184">
        <f>IF(C75&lt;&gt;"",_xll.RssMarket(C75,"年初来高値"),"")</f>
        <v>5626</v>
      </c>
      <c r="L75" s="185">
        <f t="shared" si="22"/>
        <v>-9.0650551013153216</v>
      </c>
      <c r="M75" s="184">
        <f>IF(C75&lt;&gt;"",IFERROR(AVERAGE(出来高!E97:I97),""),"")</f>
        <v>1480360</v>
      </c>
      <c r="N75" s="184">
        <f>IF(C75&lt;&gt;"",IFERROR(AVERAGE(出来高!E97:AC97),""),"")</f>
        <v>1680064</v>
      </c>
      <c r="O75" s="186">
        <f t="shared" si="23"/>
        <v>0.75265475965305739</v>
      </c>
      <c r="P75" s="181" t="str">
        <f t="shared" si="24"/>
        <v>減少↓</v>
      </c>
      <c r="Q75" s="181" t="str">
        <f t="shared" si="25"/>
        <v>中立→</v>
      </c>
      <c r="R75" s="184">
        <f t="shared" si="32"/>
        <v>5525</v>
      </c>
      <c r="S75" s="184">
        <f t="shared" si="33"/>
        <v>4911</v>
      </c>
      <c r="T75" s="181">
        <f t="shared" si="29"/>
        <v>3</v>
      </c>
      <c r="U75" s="181" t="str">
        <f t="shared" si="34"/>
        <v>要確認</v>
      </c>
      <c r="V75" s="181" t="str">
        <f t="shared" si="26"/>
        <v>通常</v>
      </c>
      <c r="W75" s="187">
        <f t="array" ref="W75">IF(C75&lt;&gt;"",IFERROR(100-100/(1+SUMPRODUCT((終値!F97:R97&gt;終値!G97:S97)*( 終値!F97:R97-終値!G97:S97))/SUMPRODUCT((終値!F97:R97&lt;終値!G97:S97)*(終値!G97:S97-終値!F97:R97))),50),"")</f>
        <v>46.770789362600254</v>
      </c>
      <c r="X75" s="188">
        <f>IF(C75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-11.330868217112766</v>
      </c>
      <c r="Y75" s="1" t="str">
        <f>IF(T75="","",IF(銘柄管理!$F$5="下落▼",IF(AND(AD75="パーフェクト▲",OR(AE75="25日線押し目●",AE75="5日線押し目○")),"★逆張り候補",IF(AND(AD75="上昇トレンド▲",OR(AE75="25日線押し目●",AE75="5日線押し目○")),"○逆張り候補",IF(W75&lt;=30,IF(Z75&gt;0,"◎反発確認",IF(Z75&lt;-5,"△要注意・様子見","△売られ過ぎ注目")),"相場下落・見送り"))),IF(AND(T75&gt;=12,AD75="パーフェクト▲"),"★強い買い",IF(AND(T75&gt;=12,AD75="上昇トレンド▲"),"★強い買い",IF(AND(T75&gt;=8,OR(AE75="25日線押し目●",AE75="5日線押し目○")),"◎押し目買い",IF(T75&gt;=10,"○買い候補",IF(T75&gt;=6,"△注目",IF(T75&gt;=3,"様子見","見送り"))))))))</f>
        <v>様子見</v>
      </c>
      <c r="Z75" s="189">
        <f t="shared" si="35"/>
        <v>0.51080550098231825</v>
      </c>
      <c r="AA75" s="181" t="str">
        <f t="shared" si="36"/>
        <v>上昇▲</v>
      </c>
      <c r="AB75" s="499">
        <f>IF(C75="","",IFERROR(((終値!E77*0.333)+(終値!F77*0.222)+(終値!G77*0.148)+(終値!H77*0.099)+(終値!I77*0.066)+(終値!J77*0.044)+(終値!K77*0.029)+(終値!L77*0.019)+(終値!M77*0.013)+(終値!N77*0.009))/(0.333+0.222+0.148+0.099+0.066+0.044+0.029+0.019+0.013+0.009),""))</f>
        <v>2810.7902240325861</v>
      </c>
      <c r="AC75" s="499">
        <f>IF(C75="","",IFERROR(SUMPRODUCT((終値!E77:AC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2875.3676996424301</v>
      </c>
      <c r="AD75" s="500" t="str">
        <f t="shared" si="27"/>
        <v>上昇トレンド▲</v>
      </c>
      <c r="AE75" s="500" t="str">
        <f t="shared" si="28"/>
        <v>なし</v>
      </c>
      <c r="AF75" s="403" cm="1">
        <f t="array" ref="AF75">IF(C75="","",IFERROR((INDEX(終値!$E:$E,MATCH(TEXT(C75,"0"),終値!$A:$A,0))-INDEX(終値!$E:$BL,MATCH(TEXT(C75,"0"),終値!$A:$A,0),$AL$2))/INDEX(終値!$E:$BL,MATCH(TEXT(C75,"0"),終値!$A:$A,0),$AL$2)*100,""))</f>
        <v>2.2790883646541382</v>
      </c>
      <c r="AG75" s="403" cm="1">
        <f t="array" ref="AG75">IFERROR((終値!$E$5-INDEX(終値!$E$5:$BL$5,1,$AL$2))/INDEX(終値!$E$5:$BL$5,1,$AL$2)*100,"")</f>
        <v>3.4532270246721688</v>
      </c>
      <c r="AH75" s="404">
        <f t="shared" si="30"/>
        <v>-1.1741386600180306</v>
      </c>
      <c r="AI75" s="402">
        <f t="shared" si="31"/>
        <v>-1</v>
      </c>
    </row>
    <row r="76" spans="1:35" s="192" customFormat="1" ht="18" customHeight="1">
      <c r="A76" s="181" t="str">
        <f>IF(銘柄管理!B106&lt;&gt;"",HYPERLINK("https://kabutan.jp/stock/?code="&amp;銘柄管理!B106,"株探"),"")</f>
        <v>株探</v>
      </c>
      <c r="B76" s="182"/>
      <c r="C76" s="183">
        <f>IF(銘柄管理!B106="","",銘柄管理!B106)</f>
        <v>7021</v>
      </c>
      <c r="D76" s="111" t="str">
        <f>IF(銘柄管理!C106="","",銘柄管理!C106)</f>
        <v>ニッチツ</v>
      </c>
      <c r="E76" s="184">
        <f>IF(C76&lt;&gt;"",_xll.RssMarket(C76,"現在値"),"")</f>
        <v>1800</v>
      </c>
      <c r="F76" s="184">
        <f>IF(C76&lt;&gt;"",_xll.RssMarket(C76,"始値"),"")</f>
        <v>1809</v>
      </c>
      <c r="G76" s="183">
        <f>IF(C76&lt;&gt;"",終値!F106,"")</f>
        <v>1809</v>
      </c>
      <c r="H76" s="184">
        <f>IF(C76&lt;&gt;"",_xll.RssMarket(C76,"高値"),"")</f>
        <v>1810</v>
      </c>
      <c r="I76" s="184">
        <f>IF(C76&lt;&gt;"",_xll.RssMarket(C76,"安値"),"")</f>
        <v>1800</v>
      </c>
      <c r="J76" s="184">
        <f>IF(C76&lt;&gt;"",_xll.RssMarket(C76,"出来高"),"")</f>
        <v>800</v>
      </c>
      <c r="K76" s="184">
        <f>IF(C76&lt;&gt;"",_xll.RssMarket(C76,"年初来高値"),"")</f>
        <v>2539</v>
      </c>
      <c r="L76" s="185">
        <f t="shared" si="22"/>
        <v>-29.105947223316264</v>
      </c>
      <c r="M76" s="184">
        <f>IF(C76&lt;&gt;"",IFERROR(AVERAGE(出来高!E106:I106),""),"")</f>
        <v>760</v>
      </c>
      <c r="N76" s="184">
        <f>IF(C76&lt;&gt;"",IFERROR(AVERAGE(出来高!E106:AC106),""),"")</f>
        <v>2768</v>
      </c>
      <c r="O76" s="186">
        <f t="shared" si="23"/>
        <v>1.0526315789473684</v>
      </c>
      <c r="P76" s="181" t="str">
        <f t="shared" si="24"/>
        <v>普通→</v>
      </c>
      <c r="Q76" s="181" t="str">
        <f t="shared" si="25"/>
        <v>様子見▼</v>
      </c>
      <c r="R76" s="184">
        <f t="shared" si="32"/>
        <v>1944</v>
      </c>
      <c r="S76" s="184">
        <f t="shared" si="33"/>
        <v>1728</v>
      </c>
      <c r="T76" s="181">
        <f t="shared" si="29"/>
        <v>0</v>
      </c>
      <c r="U76" s="181" t="str">
        <f t="shared" si="34"/>
        <v>除外</v>
      </c>
      <c r="V76" s="181" t="str">
        <f t="shared" si="26"/>
        <v>通常</v>
      </c>
      <c r="W76" s="187">
        <f t="array" ref="W76">IF(C76&lt;&gt;"",IFERROR(100-100/(1+SUMPRODUCT((終値!F106:R106&gt;終値!G106:S106)*( 終値!F106:R106-終値!G106:S106))/SUMPRODUCT((終値!F106:R106&lt;終値!G106:S106)*(終値!G106:S106-終値!F106:R106))),50),"")</f>
        <v>50.666666666666671</v>
      </c>
      <c r="X76" s="188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-20.419210393289177</v>
      </c>
      <c r="Y76" s="1" t="str">
        <f>IF(T76="","",IF(銘柄管理!$F$5="下落▼",IF(AND(AD76="パーフェクト▲",OR(AE76="25日線押し目●",AE76="5日線押し目○")),"★逆張り候補",IF(AND(AD76="上昇トレンド▲",OR(AE76="25日線押し目●",AE76="5日線押し目○")),"○逆張り候補",IF(W76&lt;=30,IF(Z76&gt;0,"◎反発確認",IF(Z76&lt;-5,"△要注意・様子見","△売られ過ぎ注目")),"相場下落・見送り"))),IF(AND(T76&gt;=12,AD76="パーフェクト▲"),"★強い買い",IF(AND(T76&gt;=12,AD76="上昇トレンド▲"),"★強い買い",IF(AND(T76&gt;=8,OR(AE76="25日線押し目●",AE76="5日線押し目○")),"◎押し目買い",IF(T76&gt;=10,"○買い候補",IF(T76&gt;=6,"△注目",IF(T76&gt;=3,"様子見","見送り"))))))))</f>
        <v>見送り</v>
      </c>
      <c r="Z76" s="189">
        <f t="shared" si="35"/>
        <v>-0.49751243781094528</v>
      </c>
      <c r="AA76" s="181" t="str">
        <f t="shared" si="36"/>
        <v>下落▼</v>
      </c>
      <c r="AB76" s="497">
        <f>IF(C76="","",IFERROR(((終値!E78*0.333)+(終値!F78*0.222)+(終値!G78*0.148)+(終値!H78*0.099)+(終値!I78*0.066)+(終値!J78*0.044)+(終値!K78*0.029)+(終値!L78*0.019)+(終値!M78*0.013)+(終値!N78*0.009))/(0.333+0.222+0.148+0.099+0.066+0.044+0.029+0.019+0.013+0.009),""))</f>
        <v>7277.913441955192</v>
      </c>
      <c r="AC76" s="497">
        <f>IF(C76="","",IFERROR(SUMPRODUCT((終値!E78:AC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7534.8557806912968</v>
      </c>
      <c r="AD76" s="498" t="str">
        <f t="shared" si="27"/>
        <v>下降トレンド▼</v>
      </c>
      <c r="AE76" s="498" t="str">
        <f t="shared" si="28"/>
        <v>なし</v>
      </c>
      <c r="AF76" s="403" cm="1">
        <f t="array" ref="AF76">IF(C76="","",IFERROR((INDEX(終値!$E:$E,MATCH(TEXT(C76,"0"),終値!$A:$A,0))-INDEX(終値!$E:$BL,MATCH(TEXT(C76,"0"),終値!$A:$A,0),$AL$2))/INDEX(終値!$E:$BL,MATCH(TEXT(C76,"0"),終値!$A:$A,0),$AL$2)*100,""))</f>
        <v>-17.80821917808219</v>
      </c>
      <c r="AG76" s="403" cm="1">
        <f t="array" ref="AG76">IFERROR((終値!$E$5-INDEX(終値!$E$5:$BL$5,1,$AL$2))/INDEX(終値!$E$5:$BL$5,1,$AL$2)*100,"")</f>
        <v>3.4532270246721688</v>
      </c>
      <c r="AH76" s="404">
        <f t="shared" si="30"/>
        <v>-21.26144620275436</v>
      </c>
      <c r="AI76" s="402">
        <f t="shared" si="31"/>
        <v>-2</v>
      </c>
    </row>
    <row r="77" spans="1:35" s="192" customFormat="1" ht="18" customHeight="1">
      <c r="A77" s="181" t="str">
        <f>IF(銘柄管理!B113&lt;&gt;"",HYPERLINK("https://kabutan.jp/stock/?code="&amp;銘柄管理!B113,"株探"),"")</f>
        <v>株探</v>
      </c>
      <c r="B77" s="182"/>
      <c r="C77" s="183">
        <f>IF(銘柄管理!B113="","",銘柄管理!B113)</f>
        <v>9449</v>
      </c>
      <c r="D77" s="111" t="str">
        <f>IF(銘柄管理!C113="","",銘柄管理!C113)</f>
        <v>ＧＭＯインターネットグループ</v>
      </c>
      <c r="E77" s="184">
        <f>IF(C77&lt;&gt;"",_xll.RssMarket(C77,"現在値"),"")</f>
        <v>3098</v>
      </c>
      <c r="F77" s="184">
        <f>IF(C77&lt;&gt;"",_xll.RssMarket(C77,"始値"),"")</f>
        <v>3100</v>
      </c>
      <c r="G77" s="183">
        <f>IF(C77&lt;&gt;"",終値!F113,"")</f>
        <v>3083</v>
      </c>
      <c r="H77" s="184">
        <f>IF(C77&lt;&gt;"",_xll.RssMarket(C77,"高値"),"")</f>
        <v>3128</v>
      </c>
      <c r="I77" s="184">
        <f>IF(C77&lt;&gt;"",_xll.RssMarket(C77,"安値"),"")</f>
        <v>3063</v>
      </c>
      <c r="J77" s="184">
        <f>IF(C77&lt;&gt;"",_xll.RssMarket(C77,"出来高"),"")</f>
        <v>248200</v>
      </c>
      <c r="K77" s="184">
        <f>IF(C77&lt;&gt;"",_xll.RssMarket(C77,"年初来高値"),"")</f>
        <v>4118</v>
      </c>
      <c r="L77" s="185">
        <f t="shared" si="22"/>
        <v>-24.769305488101022</v>
      </c>
      <c r="M77" s="184">
        <f>IF(C77&lt;&gt;"",IFERROR(AVERAGE(出来高!E113:I113),""),"")</f>
        <v>283840</v>
      </c>
      <c r="N77" s="184">
        <f>IF(C77&lt;&gt;"",IFERROR(AVERAGE(出来高!E113:AC113),""),"")</f>
        <v>409716</v>
      </c>
      <c r="O77" s="186">
        <f t="shared" si="23"/>
        <v>0.87443630214205181</v>
      </c>
      <c r="P77" s="181" t="str">
        <f t="shared" si="24"/>
        <v>減少↓</v>
      </c>
      <c r="Q77" s="181" t="str">
        <f t="shared" si="25"/>
        <v>中立→</v>
      </c>
      <c r="R77" s="184">
        <f t="shared" si="32"/>
        <v>3346</v>
      </c>
      <c r="S77" s="184">
        <f t="shared" si="33"/>
        <v>2974</v>
      </c>
      <c r="T77" s="181">
        <f t="shared" si="29"/>
        <v>2</v>
      </c>
      <c r="U77" s="181" t="str">
        <f t="shared" si="34"/>
        <v>除外</v>
      </c>
      <c r="V77" s="181" t="str">
        <f t="shared" si="26"/>
        <v>通常</v>
      </c>
      <c r="W77" s="187">
        <f t="array" ref="W77">IF(C77&lt;&gt;"",IFERROR(100-100/(1+SUMPRODUCT((終値!F113:R113&gt;終値!G113:S113)*( 終値!F113:R113-終値!G113:S113))/SUMPRODUCT((終値!F113:R113&lt;終値!G113:S113)*(終値!G113:S113-終値!F113:R113))),50),"")</f>
        <v>22.003577817531294</v>
      </c>
      <c r="X77" s="188">
        <f>IF(C77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-20.772917421258171</v>
      </c>
      <c r="Y77" s="1" t="str">
        <f>IF(T77="","",IF(銘柄管理!$F$5="下落▼",IF(AND(AD77="パーフェクト▲",OR(AE77="25日線押し目●",AE77="5日線押し目○")),"★逆張り候補",IF(AND(AD77="上昇トレンド▲",OR(AE77="25日線押し目●",AE77="5日線押し目○")),"○逆張り候補",IF(W77&lt;=30,IF(Z77&gt;0,"◎反発確認",IF(Z77&lt;-5,"△要注意・様子見","△売られ過ぎ注目")),"相場下落・見送り"))),IF(AND(T77&gt;=12,AD77="パーフェクト▲"),"★強い買い",IF(AND(T77&gt;=12,AD77="上昇トレンド▲"),"★強い買い",IF(AND(T77&gt;=8,OR(AE77="25日線押し目●",AE77="5日線押し目○")),"◎押し目買い",IF(T77&gt;=10,"○買い候補",IF(T77&gt;=6,"△注目",IF(T77&gt;=3,"様子見","見送り"))))))))</f>
        <v>見送り</v>
      </c>
      <c r="Z77" s="189">
        <f t="shared" si="35"/>
        <v>0.48653908530651963</v>
      </c>
      <c r="AA77" s="181" t="str">
        <f t="shared" si="36"/>
        <v>上昇▲</v>
      </c>
      <c r="AB77" s="499">
        <f>IF(C77="","",IFERROR(((終値!E79*0.333)+(終値!F79*0.222)+(終値!G79*0.148)+(終値!H79*0.099)+(終値!I79*0.066)+(終値!J79*0.044)+(終値!K79*0.029)+(終値!L79*0.019)+(終値!M79*0.013)+(終値!N79*0.009))/(0.333+0.222+0.148+0.099+0.066+0.044+0.029+0.019+0.013+0.009),""))</f>
        <v>4567.462321792259</v>
      </c>
      <c r="AC77" s="499">
        <f>IF(C77="","",IFERROR(SUMPRODUCT((終値!E79:AC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4435.6257449344448</v>
      </c>
      <c r="AD77" s="500" t="str">
        <f t="shared" si="27"/>
        <v>もみ合い→</v>
      </c>
      <c r="AE77" s="500" t="str">
        <f t="shared" si="28"/>
        <v>なし</v>
      </c>
      <c r="AF77" s="403" cm="1">
        <f t="array" ref="AF77">IF(C77="","",IFERROR((INDEX(終値!$E:$E,MATCH(TEXT(C77,"0"),終値!$A:$A,0))-INDEX(終値!$E:$BL,MATCH(TEXT(C77,"0"),終値!$A:$A,0),$AL$2))/INDEX(終値!$E:$BL,MATCH(TEXT(C77,"0"),終値!$A:$A,0),$AL$2)*100,""))</f>
        <v>-2.3329129886506936</v>
      </c>
      <c r="AG77" s="403" cm="1">
        <f t="array" ref="AG77">IFERROR((終値!$E$5-INDEX(終値!$E$5:$BL$5,1,$AL$2))/INDEX(終値!$E$5:$BL$5,1,$AL$2)*100,"")</f>
        <v>3.4532270246721688</v>
      </c>
      <c r="AH77" s="404">
        <f t="shared" si="30"/>
        <v>-5.7861400133228624</v>
      </c>
      <c r="AI77" s="402">
        <f t="shared" si="31"/>
        <v>-2</v>
      </c>
    </row>
    <row r="78" spans="1:35" s="192" customFormat="1" ht="18" customHeight="1">
      <c r="A78" s="181" t="str">
        <f>IF(銘柄管理!B119&lt;&gt;"",HYPERLINK("https://kabutan.jp/stock/?code="&amp;銘柄管理!B119,"株探"),"")</f>
        <v>株探</v>
      </c>
      <c r="B78" s="182"/>
      <c r="C78" s="183">
        <f>IF(銘柄管理!B119="","",銘柄管理!B119)</f>
        <v>9404</v>
      </c>
      <c r="D78" s="111" t="str">
        <f>IF(銘柄管理!C119="","",銘柄管理!C119)</f>
        <v>日本テレビＨＬＤＳ</v>
      </c>
      <c r="E78" s="184">
        <f>IF(C78&lt;&gt;"",_xll.RssMarket(C78,"現在値"),"")</f>
        <v>2834</v>
      </c>
      <c r="F78" s="184">
        <f>IF(C78&lt;&gt;"",_xll.RssMarket(C78,"始値"),"")</f>
        <v>2897.5</v>
      </c>
      <c r="G78" s="183">
        <f>IF(C78&lt;&gt;"",終値!F119,"")</f>
        <v>2884</v>
      </c>
      <c r="H78" s="184">
        <f>IF(C78&lt;&gt;"",_xll.RssMarket(C78,"高値"),"")</f>
        <v>2900</v>
      </c>
      <c r="I78" s="184">
        <f>IF(C78&lt;&gt;"",_xll.RssMarket(C78,"安値"),"")</f>
        <v>2834</v>
      </c>
      <c r="J78" s="184">
        <f>IF(C78&lt;&gt;"",_xll.RssMarket(C78,"出来高"),"")</f>
        <v>431500</v>
      </c>
      <c r="K78" s="184">
        <f>IF(C78&lt;&gt;"",_xll.RssMarket(C78,"年初来高値"),"")</f>
        <v>3953</v>
      </c>
      <c r="L78" s="185">
        <f t="shared" si="22"/>
        <v>-28.30761447002277</v>
      </c>
      <c r="M78" s="184">
        <f>IF(C78&lt;&gt;"",IFERROR(AVERAGE(出来高!E119:I119),""),"")</f>
        <v>581340</v>
      </c>
      <c r="N78" s="184">
        <f>IF(C78&lt;&gt;"",IFERROR(AVERAGE(出来高!E119:AC119),""),"")</f>
        <v>646876</v>
      </c>
      <c r="O78" s="186">
        <f t="shared" si="23"/>
        <v>0.74225066226304748</v>
      </c>
      <c r="P78" s="181" t="str">
        <f t="shared" si="24"/>
        <v>減少↓</v>
      </c>
      <c r="Q78" s="181" t="str">
        <f t="shared" si="25"/>
        <v>様子見▼</v>
      </c>
      <c r="R78" s="184">
        <f t="shared" si="32"/>
        <v>3061</v>
      </c>
      <c r="S78" s="184">
        <f t="shared" si="33"/>
        <v>2721</v>
      </c>
      <c r="T78" s="181">
        <f t="shared" si="29"/>
        <v>-1</v>
      </c>
      <c r="U78" s="181" t="str">
        <f t="shared" si="34"/>
        <v>除外</v>
      </c>
      <c r="V78" s="181" t="str">
        <f t="shared" si="26"/>
        <v>通常</v>
      </c>
      <c r="W78" s="187">
        <f t="array" ref="W78">IF(C78&lt;&gt;"",IFERROR(100-100/(1+SUMPRODUCT((終値!F119:R119&gt;終値!G119:S119)*( 終値!F119:R119-終値!G119:S119))/SUMPRODUCT((終値!F119:R119&lt;終値!G119:S119)*(終値!G119:S119-終値!F119:R119))),50),"")</f>
        <v>56.145675265553869</v>
      </c>
      <c r="X78" s="188">
        <f>IF(C78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-7.9414193258194246</v>
      </c>
      <c r="Y78" s="1" t="str">
        <f>IF(T78="","",IF(銘柄管理!$F$5="下落▼",IF(AND(AD78="パーフェクト▲",OR(AE78="25日線押し目●",AE78="5日線押し目○")),"★逆張り候補",IF(AND(AD78="上昇トレンド▲",OR(AE78="25日線押し目●",AE78="5日線押し目○")),"○逆張り候補",IF(W78&lt;=30,IF(Z78&gt;0,"◎反発確認",IF(Z78&lt;-5,"△要注意・様子見","△売られ過ぎ注目")),"相場下落・見送り"))),IF(AND(T78&gt;=12,AD78="パーフェクト▲"),"★強い買い",IF(AND(T78&gt;=12,AD78="上昇トレンド▲"),"★強い買い",IF(AND(T78&gt;=8,OR(AE78="25日線押し目●",AE78="5日線押し目○")),"◎押し目買い",IF(T78&gt;=10,"○買い候補",IF(T78&gt;=6,"△注目",IF(T78&gt;=3,"様子見","見送り"))))))))</f>
        <v>見送り</v>
      </c>
      <c r="Z78" s="189">
        <f t="shared" si="35"/>
        <v>-1.7337031900138695</v>
      </c>
      <c r="AA78" s="181" t="str">
        <f t="shared" si="36"/>
        <v>下落▼</v>
      </c>
      <c r="AB78" s="497">
        <f>IF(C78="","",IFERROR(((終値!E80*0.333)+(終値!F80*0.222)+(終値!G80*0.148)+(終値!H80*0.099)+(終値!I80*0.066)+(終値!J80*0.044)+(終値!K80*0.029)+(終値!L80*0.019)+(終値!M80*0.013)+(終値!N80*0.009))/(0.333+0.222+0.148+0.099+0.066+0.044+0.029+0.019+0.013+0.009),""))</f>
        <v>5651.6496945010176</v>
      </c>
      <c r="AC78" s="497">
        <f>IF(C78="","",IFERROR(SUMPRODUCT((終値!E80:AC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5642.3480333730604</v>
      </c>
      <c r="AD78" s="498" t="str">
        <f t="shared" si="27"/>
        <v>もみ合い→</v>
      </c>
      <c r="AE78" s="498" t="str">
        <f t="shared" si="28"/>
        <v>なし</v>
      </c>
      <c r="AF78" s="403" cm="1">
        <f t="array" ref="AF78">IF(C78="","",IFERROR((INDEX(終値!$E:$E,MATCH(TEXT(C78,"0"),終値!$A:$A,0))-INDEX(終値!$E:$BL,MATCH(TEXT(C78,"0"),終値!$A:$A,0),$AL$2))/INDEX(終値!$E:$BL,MATCH(TEXT(C78,"0"),終値!$A:$A,0),$AL$2)*100,""))</f>
        <v>-2.9784320438206091</v>
      </c>
      <c r="AG78" s="403" cm="1">
        <f t="array" ref="AG78">IFERROR((終値!$E$5-INDEX(終値!$E$5:$BL$5,1,$AL$2))/INDEX(終値!$E$5:$BL$5,1,$AL$2)*100,"")</f>
        <v>3.4532270246721688</v>
      </c>
      <c r="AH78" s="404">
        <f t="shared" si="30"/>
        <v>-6.4316590684927775</v>
      </c>
      <c r="AI78" s="402">
        <f t="shared" si="31"/>
        <v>-2</v>
      </c>
    </row>
    <row r="79" spans="1:35" s="192" customFormat="1" ht="18" customHeight="1">
      <c r="A79" s="181" t="str">
        <f>IF(銘柄管理!B127&lt;&gt;"",HYPERLINK("https://kabutan.jp/stock/?code="&amp;銘柄管理!B127,"株探"),"")</f>
        <v>株探</v>
      </c>
      <c r="B79" s="182"/>
      <c r="C79" s="183">
        <f>IF(銘柄管理!B127="","",銘柄管理!B127)</f>
        <v>9532</v>
      </c>
      <c r="D79" s="111" t="str">
        <f>IF(銘柄管理!C127="","",銘柄管理!C127)</f>
        <v>大阪瓦斯</v>
      </c>
      <c r="E79" s="184">
        <f>IF(C79&lt;&gt;"",_xll.RssMarket(C79,"現在値"),"")</f>
        <v>5446</v>
      </c>
      <c r="F79" s="184">
        <f>IF(C79&lt;&gt;"",_xll.RssMarket(C79,"始値"),"")</f>
        <v>5527</v>
      </c>
      <c r="G79" s="183">
        <f>IF(C79&lt;&gt;"",終値!F127,"")</f>
        <v>5481</v>
      </c>
      <c r="H79" s="184">
        <f>IF(C79&lt;&gt;"",_xll.RssMarket(C79,"高値"),"")</f>
        <v>5543</v>
      </c>
      <c r="I79" s="184">
        <f>IF(C79&lt;&gt;"",_xll.RssMarket(C79,"安値"),"")</f>
        <v>5420</v>
      </c>
      <c r="J79" s="184">
        <f>IF(C79&lt;&gt;"",_xll.RssMarket(C79,"出来高"),"")</f>
        <v>723500</v>
      </c>
      <c r="K79" s="184">
        <f>IF(C79&lt;&gt;"",_xll.RssMarket(C79,"年初来高値"),"")</f>
        <v>6828</v>
      </c>
      <c r="L79" s="185">
        <f t="shared" si="22"/>
        <v>-20.240187463386057</v>
      </c>
      <c r="M79" s="184">
        <f>IF(C79&lt;&gt;"",IFERROR(AVERAGE(出来高!E127:I127),""),"")</f>
        <v>1050080</v>
      </c>
      <c r="N79" s="184">
        <f>IF(C79&lt;&gt;"",IFERROR(AVERAGE(出来高!E127:AC127),""),"")</f>
        <v>1214172</v>
      </c>
      <c r="O79" s="186">
        <f t="shared" si="23"/>
        <v>0.68899512418101483</v>
      </c>
      <c r="P79" s="181" t="str">
        <f t="shared" si="24"/>
        <v>減少↓</v>
      </c>
      <c r="Q79" s="181" t="str">
        <f t="shared" si="25"/>
        <v>様子見▼</v>
      </c>
      <c r="R79" s="184">
        <f t="shared" si="32"/>
        <v>5882</v>
      </c>
      <c r="S79" s="184">
        <f t="shared" si="33"/>
        <v>5228</v>
      </c>
      <c r="T79" s="181">
        <f t="shared" si="29"/>
        <v>2</v>
      </c>
      <c r="U79" s="181" t="str">
        <f t="shared" si="34"/>
        <v>除外</v>
      </c>
      <c r="V79" s="181" t="str">
        <f t="shared" si="26"/>
        <v>通常</v>
      </c>
      <c r="W79" s="187">
        <f t="array" ref="W79">IF(C79&lt;&gt;"",IFERROR(100-100/(1+SUMPRODUCT((終値!F127:R127&gt;終値!G127:S127)*( 終値!F127:R127-終値!G127:S127))/SUMPRODUCT((終値!F127:R127&lt;終値!G127:S127)*(終値!G127:S127-終値!F127:R127))),50),"")</f>
        <v>45.742574257425744</v>
      </c>
      <c r="X79" s="188">
        <f>IF(C79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-16.048555359635429</v>
      </c>
      <c r="Y79" s="1" t="str">
        <f>IF(T79="","",IF(銘柄管理!$F$5="下落▼",IF(AND(AD79="パーフェクト▲",OR(AE79="25日線押し目●",AE79="5日線押し目○")),"★逆張り候補",IF(AND(AD79="上昇トレンド▲",OR(AE79="25日線押し目●",AE79="5日線押し目○")),"○逆張り候補",IF(W79&lt;=30,IF(Z79&gt;0,"◎反発確認",IF(Z79&lt;-5,"△要注意・様子見","△売られ過ぎ注目")),"相場下落・見送り"))),IF(AND(T79&gt;=12,AD79="パーフェクト▲"),"★強い買い",IF(AND(T79&gt;=12,AD79="上昇トレンド▲"),"★強い買い",IF(AND(T79&gt;=8,OR(AE79="25日線押し目●",AE79="5日線押し目○")),"◎押し目買い",IF(T79&gt;=10,"○買い候補",IF(T79&gt;=6,"△注目",IF(T79&gt;=3,"様子見","見送り"))))))))</f>
        <v>見送り</v>
      </c>
      <c r="Z79" s="189">
        <f t="shared" si="35"/>
        <v>-0.63856960408684549</v>
      </c>
      <c r="AA79" s="181" t="str">
        <f t="shared" si="36"/>
        <v>下落▼</v>
      </c>
      <c r="AB79" s="499">
        <f>IF(C79="","",IFERROR(((終値!E81*0.333)+(終値!F81*0.222)+(終値!G81*0.148)+(終値!H81*0.099)+(終値!I81*0.066)+(終値!J81*0.044)+(終値!K81*0.029)+(終値!L81*0.019)+(終値!M81*0.013)+(終値!N81*0.009))/(0.333+0.222+0.148+0.099+0.066+0.044+0.029+0.019+0.013+0.009),""))</f>
        <v>5133.890020366598</v>
      </c>
      <c r="AC79" s="499">
        <f>IF(C79="","",IFERROR(SUMPRODUCT((終値!E81:AC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5046.5065554231214</v>
      </c>
      <c r="AD79" s="500" t="str">
        <f t="shared" si="27"/>
        <v>パーフェクト▲</v>
      </c>
      <c r="AE79" s="500" t="str">
        <f t="shared" si="28"/>
        <v>なし</v>
      </c>
      <c r="AF79" s="403" cm="1">
        <f t="array" ref="AF79">IF(C79="","",IFERROR((INDEX(終値!$E:$E,MATCH(TEXT(C79,"0"),終値!$A:$A,0))-INDEX(終値!$E:$BL,MATCH(TEXT(C79,"0"),終値!$A:$A,0),$AL$2))/INDEX(終値!$E:$BL,MATCH(TEXT(C79,"0"),終値!$A:$A,0),$AL$2)*100,""))</f>
        <v>-5.1549982584465344</v>
      </c>
      <c r="AG79" s="403" cm="1">
        <f t="array" ref="AG79">IFERROR((終値!$E$5-INDEX(終値!$E$5:$BL$5,1,$AL$2))/INDEX(終値!$E$5:$BL$5,1,$AL$2)*100,"")</f>
        <v>3.4532270246721688</v>
      </c>
      <c r="AH79" s="404">
        <f t="shared" si="30"/>
        <v>-8.6082252831187027</v>
      </c>
      <c r="AI79" s="402">
        <f t="shared" si="31"/>
        <v>-2</v>
      </c>
    </row>
    <row r="80" spans="1:35" s="192" customFormat="1" ht="18" customHeight="1">
      <c r="A80" s="181" t="str">
        <f>IF(銘柄管理!B136&lt;&gt;"",HYPERLINK("https://kabutan.jp/stock/?code="&amp;銘柄管理!B136,"株探"),"")</f>
        <v>株探</v>
      </c>
      <c r="B80" s="182"/>
      <c r="C80" s="183">
        <f>IF(銘柄管理!B136="","",銘柄管理!B136)</f>
        <v>7794</v>
      </c>
      <c r="D80" s="111" t="str">
        <f>IF(銘柄管理!C136="","",銘柄管理!C136)</f>
        <v>イーディーピー</v>
      </c>
      <c r="E80" s="184">
        <f>IF(C80&lt;&gt;"",_xll.RssMarket(C80,"現在値"),"")</f>
        <v>1097</v>
      </c>
      <c r="F80" s="184">
        <f>IF(C80&lt;&gt;"",_xll.RssMarket(C80,"始値"),"")</f>
        <v>1074</v>
      </c>
      <c r="G80" s="183">
        <f>IF(C80&lt;&gt;"",終値!F136,"")</f>
        <v>1068</v>
      </c>
      <c r="H80" s="184">
        <f>IF(C80&lt;&gt;"",_xll.RssMarket(C80,"高値"),"")</f>
        <v>1098</v>
      </c>
      <c r="I80" s="184">
        <f>IF(C80&lt;&gt;"",_xll.RssMarket(C80,"安値"),"")</f>
        <v>1062</v>
      </c>
      <c r="J80" s="184">
        <f>IF(C80&lt;&gt;"",_xll.RssMarket(C80,"出来高"),"")</f>
        <v>237400</v>
      </c>
      <c r="K80" s="184">
        <f>IF(C80&lt;&gt;"",_xll.RssMarket(C80,"年初来高値"),"")</f>
        <v>3100</v>
      </c>
      <c r="L80" s="185">
        <f t="shared" si="22"/>
        <v>-64.612903225806448</v>
      </c>
      <c r="M80" s="184">
        <f>IF(C80&lt;&gt;"",IFERROR(AVERAGE(出来高!E136:I136),""),"")</f>
        <v>210520</v>
      </c>
      <c r="N80" s="184">
        <f>IF(C80&lt;&gt;"",IFERROR(AVERAGE(出来高!E136:AC136),""),"")</f>
        <v>632364</v>
      </c>
      <c r="O80" s="186">
        <f t="shared" si="23"/>
        <v>1.1276838305149155</v>
      </c>
      <c r="P80" s="181" t="str">
        <f t="shared" si="24"/>
        <v>普通→</v>
      </c>
      <c r="Q80" s="181" t="str">
        <f t="shared" si="25"/>
        <v>中立→</v>
      </c>
      <c r="R80" s="184">
        <f t="shared" si="32"/>
        <v>1185</v>
      </c>
      <c r="S80" s="184">
        <f t="shared" si="33"/>
        <v>1053</v>
      </c>
      <c r="T80" s="181">
        <f t="shared" si="29"/>
        <v>1</v>
      </c>
      <c r="U80" s="181" t="str">
        <f t="shared" si="34"/>
        <v>除外</v>
      </c>
      <c r="V80" s="181" t="str">
        <f t="shared" si="26"/>
        <v>通常</v>
      </c>
      <c r="W80" s="187">
        <f t="array" ref="W80">IF(C80&lt;&gt;"",IFERROR(100-100/(1+SUMPRODUCT((終値!F136:R136&gt;終値!G136:S136)*( 終値!F136:R136-終値!G136:S136))/SUMPRODUCT((終値!F136:R136&lt;終値!G136:S136)*(終値!G136:S136-終値!F136:R136))),50),"")</f>
        <v>43.386243386243379</v>
      </c>
      <c r="X80" s="188">
        <f>IF(C80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-14.158643761517624</v>
      </c>
      <c r="Y80" s="1" t="str">
        <f>IF(T80="","",IF(銘柄管理!$F$5="下落▼",IF(AND(AD80="パーフェクト▲",OR(AE80="25日線押し目●",AE80="5日線押し目○")),"★逆張り候補",IF(AND(AD80="上昇トレンド▲",OR(AE80="25日線押し目●",AE80="5日線押し目○")),"○逆張り候補",IF(W80&lt;=30,IF(Z80&gt;0,"◎反発確認",IF(Z80&lt;-5,"△要注意・様子見","△売られ過ぎ注目")),"相場下落・見送り"))),IF(AND(T80&gt;=12,AD80="パーフェクト▲"),"★強い買い",IF(AND(T80&gt;=12,AD80="上昇トレンド▲"),"★強い買い",IF(AND(T80&gt;=8,OR(AE80="25日線押し目●",AE80="5日線押し目○")),"◎押し目買い",IF(T80&gt;=10,"○買い候補",IF(T80&gt;=6,"△注目",IF(T80&gt;=3,"様子見","見送り"))))))))</f>
        <v>見送り</v>
      </c>
      <c r="Z80" s="189">
        <f t="shared" si="35"/>
        <v>2.7153558052434459</v>
      </c>
      <c r="AA80" s="181" t="str">
        <f t="shared" si="36"/>
        <v>上昇▲</v>
      </c>
      <c r="AB80" s="497">
        <f>IF(C80="","",IFERROR(((終値!E82*0.333)+(終値!F82*0.222)+(終値!G82*0.148)+(終値!H82*0.099)+(終値!I82*0.066)+(終値!J82*0.044)+(終値!K82*0.029)+(終値!L82*0.019)+(終値!M82*0.013)+(終値!N82*0.009))/(0.333+0.222+0.148+0.099+0.066+0.044+0.029+0.019+0.013+0.009),""))</f>
        <v>1388.6130346232178</v>
      </c>
      <c r="AC80" s="497">
        <f>IF(C80="","",IFERROR(SUMPRODUCT((終値!E82:AC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1368.1710369487482</v>
      </c>
      <c r="AD80" s="498" t="str">
        <f t="shared" si="27"/>
        <v>もみ合い→</v>
      </c>
      <c r="AE80" s="498" t="str">
        <f t="shared" si="28"/>
        <v>なし</v>
      </c>
      <c r="AF80" s="403" cm="1">
        <f t="array" ref="AF80">IF(C80="","",IFERROR((INDEX(終値!$E:$E,MATCH(TEXT(C80,"0"),終値!$A:$A,0))-INDEX(終値!$E:$BL,MATCH(TEXT(C80,"0"),終値!$A:$A,0),$AL$2))/INDEX(終値!$E:$BL,MATCH(TEXT(C80,"0"),終値!$A:$A,0),$AL$2)*100,""))</f>
        <v>-2.8343666961913199</v>
      </c>
      <c r="AG80" s="403" cm="1">
        <f t="array" ref="AG80">IFERROR((終値!$E$5-INDEX(終値!$E$5:$BL$5,1,$AL$2))/INDEX(終値!$E$5:$BL$5,1,$AL$2)*100,"")</f>
        <v>3.4532270246721688</v>
      </c>
      <c r="AH80" s="404">
        <f t="shared" si="30"/>
        <v>-6.2875937208634891</v>
      </c>
      <c r="AI80" s="402">
        <f t="shared" si="31"/>
        <v>-2</v>
      </c>
    </row>
    <row r="81" spans="1:35" s="192" customFormat="1" ht="18" customHeight="1">
      <c r="A81" s="181" t="str">
        <f>IF(銘柄管理!B138&lt;&gt;"",HYPERLINK("https://kabutan.jp/stock/?code="&amp;銘柄管理!B138,"株探"),"")</f>
        <v>株探</v>
      </c>
      <c r="B81" s="182"/>
      <c r="C81" s="183">
        <f>IF(銘柄管理!B138="","",銘柄管理!B138)</f>
        <v>3103</v>
      </c>
      <c r="D81" s="111" t="str">
        <f>IF(銘柄管理!C138="","",銘柄管理!C138)</f>
        <v>ユニチカ</v>
      </c>
      <c r="E81" s="184">
        <f>IF(C81&lt;&gt;"",_xll.RssMarket(C81,"現在値"),"")</f>
        <v>1236</v>
      </c>
      <c r="F81" s="184">
        <f>IF(C81&lt;&gt;"",_xll.RssMarket(C81,"始値"),"")</f>
        <v>1125</v>
      </c>
      <c r="G81" s="183">
        <f>IF(C81&lt;&gt;"",終値!F138,"")</f>
        <v>1129</v>
      </c>
      <c r="H81" s="184">
        <f>IF(C81&lt;&gt;"",_xll.RssMarket(C81,"高値"),"")</f>
        <v>1260</v>
      </c>
      <c r="I81" s="184">
        <f>IF(C81&lt;&gt;"",_xll.RssMarket(C81,"安値"),"")</f>
        <v>1125</v>
      </c>
      <c r="J81" s="184">
        <f>IF(C81&lt;&gt;"",_xll.RssMarket(C81,"出来高"),"")</f>
        <v>6382500</v>
      </c>
      <c r="K81" s="184">
        <f>IF(C81&lt;&gt;"",_xll.RssMarket(C81,"年初来高値"),"")</f>
        <v>4380</v>
      </c>
      <c r="L81" s="185">
        <f t="shared" si="22"/>
        <v>-71.780821917808225</v>
      </c>
      <c r="M81" s="184">
        <f>IF(C81&lt;&gt;"",IFERROR(AVERAGE(出来高!E138:I138),""),"")</f>
        <v>4586420</v>
      </c>
      <c r="N81" s="184">
        <f>IF(C81&lt;&gt;"",IFERROR(AVERAGE(出来高!E138:AC138),""),"")</f>
        <v>6661068</v>
      </c>
      <c r="O81" s="186">
        <f t="shared" si="23"/>
        <v>1.3916082696307797</v>
      </c>
      <c r="P81" s="181" t="str">
        <f t="shared" si="24"/>
        <v>普通→</v>
      </c>
      <c r="Q81" s="181" t="str">
        <f t="shared" si="25"/>
        <v>中立→</v>
      </c>
      <c r="R81" s="184">
        <f t="shared" si="32"/>
        <v>1335</v>
      </c>
      <c r="S81" s="184">
        <f t="shared" si="33"/>
        <v>1187</v>
      </c>
      <c r="T81" s="181">
        <f t="shared" si="29"/>
        <v>3</v>
      </c>
      <c r="U81" s="181" t="str">
        <f t="shared" si="34"/>
        <v>要確認</v>
      </c>
      <c r="V81" s="181" t="str">
        <f t="shared" si="26"/>
        <v>通常</v>
      </c>
      <c r="W81" s="187">
        <f t="array" ref="W81">IF(C81&lt;&gt;"",IFERROR(100-100/(1+SUMPRODUCT((終値!F138:R138&gt;終値!G138:S138)*( 終値!F138:R138-終値!G138:S138))/SUMPRODUCT((終値!F138:R138&lt;終値!G138:S138)*(終値!G138:S138-終値!F138:R138))),50),"")</f>
        <v>19.701086956521735</v>
      </c>
      <c r="X81" s="188">
        <f>IF(C81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-56.287797674723834</v>
      </c>
      <c r="Y81" s="1" t="str">
        <f>IF(T81="","",IF(銘柄管理!$F$5="下落▼",IF(AND(AD81="パーフェクト▲",OR(AE81="25日線押し目●",AE81="5日線押し目○")),"★逆張り候補",IF(AND(AD81="上昇トレンド▲",OR(AE81="25日線押し目●",AE81="5日線押し目○")),"○逆張り候補",IF(W81&lt;=30,IF(Z81&gt;0,"◎反発確認",IF(Z81&lt;-5,"△要注意・様子見","△売られ過ぎ注目")),"相場下落・見送り"))),IF(AND(T81&gt;=12,AD81="パーフェクト▲"),"★強い買い",IF(AND(T81&gt;=12,AD81="上昇トレンド▲"),"★強い買い",IF(AND(T81&gt;=8,OR(AE81="25日線押し目●",AE81="5日線押し目○")),"◎押し目買い",IF(T81&gt;=10,"○買い候補",IF(T81&gt;=6,"△注目",IF(T81&gt;=3,"様子見","見送り"))))))))</f>
        <v>様子見</v>
      </c>
      <c r="Z81" s="189">
        <f t="shared" si="35"/>
        <v>9.4774136403897256</v>
      </c>
      <c r="AA81" s="181" t="str">
        <f t="shared" si="36"/>
        <v>上昇▲</v>
      </c>
      <c r="AB81" s="499">
        <f>IF(C81="","",IFERROR(((終値!E83*0.333)+(終値!F83*0.222)+(終値!G83*0.148)+(終値!H83*0.099)+(終値!I83*0.066)+(終値!J83*0.044)+(終値!K83*0.029)+(終値!L83*0.019)+(終値!M83*0.013)+(終値!N83*0.009))/(0.333+0.222+0.148+0.099+0.066+0.044+0.029+0.019+0.013+0.009),""))</f>
        <v>4325.3818737270876</v>
      </c>
      <c r="AC81" s="499">
        <f>IF(C81="","",IFERROR(SUMPRODUCT((終値!E83:AC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4350.3396901072692</v>
      </c>
      <c r="AD81" s="500" t="str">
        <f t="shared" si="27"/>
        <v>下降トレンド▼</v>
      </c>
      <c r="AE81" s="500" t="str">
        <f t="shared" si="28"/>
        <v>なし</v>
      </c>
      <c r="AF81" s="403" cm="1">
        <f t="array" ref="AF81">IF(C81="","",IFERROR((INDEX(終値!$E:$E,MATCH(TEXT(C81,"0"),終値!$A:$A,0))-INDEX(終値!$E:$BL,MATCH(TEXT(C81,"0"),終値!$A:$A,0),$AL$2))/INDEX(終値!$E:$BL,MATCH(TEXT(C81,"0"),終値!$A:$A,0),$AL$2)*100,""))</f>
        <v>-31.900826446280995</v>
      </c>
      <c r="AG81" s="403" cm="1">
        <f t="array" ref="AG81">IFERROR((終値!$E$5-INDEX(終値!$E$5:$BL$5,1,$AL$2))/INDEX(終値!$E$5:$BL$5,1,$AL$2)*100,"")</f>
        <v>3.4532270246721688</v>
      </c>
      <c r="AH81" s="404">
        <f t="shared" si="30"/>
        <v>-35.354053470953161</v>
      </c>
      <c r="AI81" s="402">
        <f t="shared" si="31"/>
        <v>-2</v>
      </c>
    </row>
    <row r="82" spans="1:35" s="192" customFormat="1" ht="18" customHeight="1">
      <c r="A82" s="181" t="str">
        <f>IF(銘柄管理!B160&lt;&gt;"",HYPERLINK("https://kabutan.jp/stock/?code="&amp;銘柄管理!B160,"株探"),"")</f>
        <v>株探</v>
      </c>
      <c r="B82" s="182"/>
      <c r="C82" s="183">
        <f>IF(銘柄管理!B160="","",銘柄管理!B160)</f>
        <v>4373</v>
      </c>
      <c r="D82" s="111" t="str">
        <f>IF(銘柄管理!C160="","",銘柄管理!C160)</f>
        <v>シンプレクスＨＤ</v>
      </c>
      <c r="E82" s="184">
        <f>IF(C82&lt;&gt;"",_xll.RssMarket(C82,"現在値"),"")</f>
        <v>958</v>
      </c>
      <c r="F82" s="184">
        <f>IF(C82&lt;&gt;"",_xll.RssMarket(C82,"始値"),"")</f>
        <v>966</v>
      </c>
      <c r="G82" s="183">
        <f>IF(C82&lt;&gt;"",終値!F160,"")</f>
        <v>957</v>
      </c>
      <c r="H82" s="184">
        <f>IF(C82&lt;&gt;"",_xll.RssMarket(C82,"高値"),"")</f>
        <v>974</v>
      </c>
      <c r="I82" s="184">
        <f>IF(C82&lt;&gt;"",_xll.RssMarket(C82,"安値"),"")</f>
        <v>950</v>
      </c>
      <c r="J82" s="184">
        <f>IF(C82&lt;&gt;"",_xll.RssMarket(C82,"出来高"),"")</f>
        <v>621300</v>
      </c>
      <c r="K82" s="184">
        <f>IF(C82&lt;&gt;"",_xll.RssMarket(C82,"年初来高値"),"")</f>
        <v>1158</v>
      </c>
      <c r="L82" s="185">
        <f t="shared" si="22"/>
        <v>-17.271157167530223</v>
      </c>
      <c r="M82" s="184">
        <f>IF(C82&lt;&gt;"",IFERROR(AVERAGE(出来高!E160:I160),""),"")</f>
        <v>920660</v>
      </c>
      <c r="N82" s="184">
        <f>IF(C82&lt;&gt;"",IFERROR(AVERAGE(出来高!E160:AC160),""),"")</f>
        <v>999044</v>
      </c>
      <c r="O82" s="186">
        <f t="shared" si="23"/>
        <v>0.67484196120174655</v>
      </c>
      <c r="P82" s="181" t="str">
        <f t="shared" si="24"/>
        <v>減少↓</v>
      </c>
      <c r="Q82" s="181" t="str">
        <f t="shared" si="25"/>
        <v>中立→</v>
      </c>
      <c r="R82" s="184">
        <f t="shared" si="32"/>
        <v>1035</v>
      </c>
      <c r="S82" s="184">
        <f t="shared" si="33"/>
        <v>920</v>
      </c>
      <c r="T82" s="181">
        <f t="shared" si="29"/>
        <v>2</v>
      </c>
      <c r="U82" s="181" t="str">
        <f t="shared" si="34"/>
        <v>除外</v>
      </c>
      <c r="V82" s="181" t="str">
        <f t="shared" si="26"/>
        <v>通常</v>
      </c>
      <c r="W82" s="187">
        <f t="array" ref="W82">IF(C82&lt;&gt;"",IFERROR(100-100/(1+SUMPRODUCT((終値!F160:R160&gt;終値!G160:S160)*( 終値!F160:R160-終値!G160:S160))/SUMPRODUCT((終値!F160:R160&lt;終値!G160:S160)*(終値!G160:S160-終値!F160:R160))),50),"")</f>
        <v>40.133779264214049</v>
      </c>
      <c r="X82" s="188">
        <f>IF(C82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1.5665999307436778</v>
      </c>
      <c r="Y82" s="1" t="str">
        <f>IF(T82="","",IF(銘柄管理!$F$5="下落▼",IF(AND(AD82="パーフェクト▲",OR(AE82="25日線押し目●",AE82="5日線押し目○")),"★逆張り候補",IF(AND(AD82="上昇トレンド▲",OR(AE82="25日線押し目●",AE82="5日線押し目○")),"○逆張り候補",IF(W82&lt;=30,IF(Z82&gt;0,"◎反発確認",IF(Z82&lt;-5,"△要注意・様子見","△売られ過ぎ注目")),"相場下落・見送り"))),IF(AND(T82&gt;=12,AD82="パーフェクト▲"),"★強い買い",IF(AND(T82&gt;=12,AD82="上昇トレンド▲"),"★強い買い",IF(AND(T82&gt;=8,OR(AE82="25日線押し目●",AE82="5日線押し目○")),"◎押し目買い",IF(T82&gt;=10,"○買い候補",IF(T82&gt;=6,"△注目",IF(T82&gt;=3,"様子見","見送り"))))))))</f>
        <v>見送り</v>
      </c>
      <c r="Z82" s="189">
        <f t="shared" si="35"/>
        <v>0.10449320794148381</v>
      </c>
      <c r="AA82" s="181" t="str">
        <f t="shared" si="36"/>
        <v>上昇▲</v>
      </c>
      <c r="AB82" s="497">
        <f>IF(C82="","",IFERROR(((終値!E84*0.333)+(終値!F84*0.222)+(終値!G84*0.148)+(終値!H84*0.099)+(終値!I84*0.066)+(終値!J84*0.044)+(終値!K84*0.029)+(終値!L84*0.019)+(終値!M84*0.013)+(終値!N84*0.009))/(0.333+0.222+0.148+0.099+0.066+0.044+0.029+0.019+0.013+0.009),""))</f>
        <v>1620.6787169042768</v>
      </c>
      <c r="AC82" s="497">
        <f>IF(C82="","",IFERROR(SUMPRODUCT((終値!E84:AC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1627.2640047675795</v>
      </c>
      <c r="AD82" s="498" t="str">
        <f t="shared" si="27"/>
        <v>下降トレンド▼</v>
      </c>
      <c r="AE82" s="498" t="str">
        <f t="shared" si="28"/>
        <v>なし</v>
      </c>
      <c r="AF82" s="403" cm="1">
        <f t="array" ref="AF82">IF(C82="","",IFERROR((INDEX(終値!$E:$E,MATCH(TEXT(C82,"0"),終値!$A:$A,0))-INDEX(終値!$E:$BL,MATCH(TEXT(C82,"0"),終値!$A:$A,0),$AL$2))/INDEX(終値!$E:$BL,MATCH(TEXT(C82,"0"),終値!$A:$A,0),$AL$2)*100,""))</f>
        <v>2.9001074113856067</v>
      </c>
      <c r="AG82" s="403" cm="1">
        <f t="array" ref="AG82">IFERROR((終値!$E$5-INDEX(終値!$E$5:$BL$5,1,$AL$2))/INDEX(終値!$E$5:$BL$5,1,$AL$2)*100,"")</f>
        <v>3.4532270246721688</v>
      </c>
      <c r="AH82" s="404">
        <f t="shared" si="30"/>
        <v>-0.55311961328656212</v>
      </c>
      <c r="AI82" s="402">
        <f t="shared" si="31"/>
        <v>-1</v>
      </c>
    </row>
    <row r="83" spans="1:35" s="192" customFormat="1" ht="18" customHeight="1">
      <c r="A83" s="181" t="str">
        <f>IF(銘柄管理!B163&lt;&gt;"",HYPERLINK("https://kabutan.jp/stock/?code="&amp;銘柄管理!B163,"株探"),"")</f>
        <v>株探</v>
      </c>
      <c r="B83" s="182"/>
      <c r="C83" s="183">
        <f>IF(銘柄管理!B163="","",銘柄管理!B163)</f>
        <v>1930</v>
      </c>
      <c r="D83" s="111" t="str">
        <f>IF(銘柄管理!C163="","",銘柄管理!C163)</f>
        <v>北陸電気工事</v>
      </c>
      <c r="E83" s="184">
        <f>IF(C83&lt;&gt;"",_xll.RssMarket(C83,"現在値"),"")</f>
        <v>1699</v>
      </c>
      <c r="F83" s="184">
        <f>IF(C83&lt;&gt;"",_xll.RssMarket(C83,"始値"),"")</f>
        <v>1664</v>
      </c>
      <c r="G83" s="183">
        <f>IF(C83&lt;&gt;"",終値!F163,"")</f>
        <v>1651</v>
      </c>
      <c r="H83" s="184">
        <f>IF(C83&lt;&gt;"",_xll.RssMarket(C83,"高値"),"")</f>
        <v>1701</v>
      </c>
      <c r="I83" s="184">
        <f>IF(C83&lt;&gt;"",_xll.RssMarket(C83,"安値"),"")</f>
        <v>1664</v>
      </c>
      <c r="J83" s="184">
        <f>IF(C83&lt;&gt;"",_xll.RssMarket(C83,"出来高"),"")</f>
        <v>65400</v>
      </c>
      <c r="K83" s="184">
        <f>IF(C83&lt;&gt;"",_xll.RssMarket(C83,"年初来高値"),"")</f>
        <v>1821</v>
      </c>
      <c r="L83" s="185">
        <f t="shared" si="22"/>
        <v>-6.6996155958264687</v>
      </c>
      <c r="M83" s="184">
        <f>IF(C83&lt;&gt;"",IFERROR(AVERAGE(出来高!E163:I163),""),"")</f>
        <v>63940</v>
      </c>
      <c r="N83" s="184">
        <f>IF(C83&lt;&gt;"",IFERROR(AVERAGE(出来高!E163:AC163),""),"")</f>
        <v>70220</v>
      </c>
      <c r="O83" s="186">
        <f t="shared" si="23"/>
        <v>1.0228339067876133</v>
      </c>
      <c r="P83" s="181" t="str">
        <f t="shared" si="24"/>
        <v>普通→</v>
      </c>
      <c r="Q83" s="181" t="str">
        <f t="shared" si="25"/>
        <v>中立→</v>
      </c>
      <c r="R83" s="184">
        <f t="shared" si="32"/>
        <v>1835</v>
      </c>
      <c r="S83" s="184">
        <f t="shared" si="33"/>
        <v>1631</v>
      </c>
      <c r="T83" s="181">
        <f t="shared" si="29"/>
        <v>1</v>
      </c>
      <c r="U83" s="181" t="str">
        <f t="shared" si="34"/>
        <v>除外</v>
      </c>
      <c r="V83" s="181" t="str">
        <f t="shared" si="26"/>
        <v>通常</v>
      </c>
      <c r="W83" s="187">
        <f t="array" ref="W83">IF(C83&lt;&gt;"",IFERROR(100-100/(1+SUMPRODUCT((終値!F163:R163&gt;終値!G163:S163)*( 終値!F163:R163-終値!G163:S163))/SUMPRODUCT((終値!F163:R163&lt;終値!G163:S163)*(終値!G163:S163-終値!F163:R163))),50),"")</f>
        <v>54.852320675105481</v>
      </c>
      <c r="X83" s="188">
        <f>IF(C83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-4.8957486695926491</v>
      </c>
      <c r="Y83" s="1" t="str">
        <f>IF(T83="","",IF(銘柄管理!$F$5="下落▼",IF(AND(AD83="パーフェクト▲",OR(AE83="25日線押し目●",AE83="5日線押し目○")),"★逆張り候補",IF(AND(AD83="上昇トレンド▲",OR(AE83="25日線押し目●",AE83="5日線押し目○")),"○逆張り候補",IF(W83&lt;=30,IF(Z83&gt;0,"◎反発確認",IF(Z83&lt;-5,"△要注意・様子見","△売られ過ぎ注目")),"相場下落・見送り"))),IF(AND(T83&gt;=12,AD83="パーフェクト▲"),"★強い買い",IF(AND(T83&gt;=12,AD83="上昇トレンド▲"),"★強い買い",IF(AND(T83&gt;=8,OR(AE83="25日線押し目●",AE83="5日線押し目○")),"◎押し目買い",IF(T83&gt;=10,"○買い候補",IF(T83&gt;=6,"△注目",IF(T83&gt;=3,"様子見","見送り"))))))))</f>
        <v>見送り</v>
      </c>
      <c r="Z83" s="189">
        <f t="shared" si="35"/>
        <v>2.9073288915808604</v>
      </c>
      <c r="AA83" s="181" t="str">
        <f t="shared" si="36"/>
        <v>上昇▲</v>
      </c>
      <c r="AB83" s="499">
        <f>IF(C83="","",IFERROR(((終値!E85*0.333)+(終値!F85*0.222)+(終値!G85*0.148)+(終値!H85*0.099)+(終値!I85*0.066)+(終値!J85*0.044)+(終値!K85*0.029)+(終値!L85*0.019)+(終値!M85*0.013)+(終値!N85*0.009))/(0.333+0.222+0.148+0.099+0.066+0.044+0.029+0.019+0.013+0.009),""))</f>
        <v>3151.7107942973512</v>
      </c>
      <c r="AC83" s="499">
        <f>IF(C83="","",IFERROR(SUMPRODUCT((終値!E85:AC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3100.4362336114414</v>
      </c>
      <c r="AD83" s="500" t="str">
        <f t="shared" si="27"/>
        <v>もみ合い→</v>
      </c>
      <c r="AE83" s="500" t="str">
        <f t="shared" si="28"/>
        <v>なし</v>
      </c>
      <c r="AF83" s="403" cm="1">
        <f t="array" ref="AF83">IF(C83="","",IFERROR((INDEX(終値!$E:$E,MATCH(TEXT(C83,"0"),終値!$A:$A,0))-INDEX(終値!$E:$BL,MATCH(TEXT(C83,"0"),終値!$A:$A,0),$AL$2))/INDEX(終値!$E:$BL,MATCH(TEXT(C83,"0"),終値!$A:$A,0),$AL$2)*100,""))</f>
        <v>-3.7938844847112114</v>
      </c>
      <c r="AG83" s="403" cm="1">
        <f t="array" ref="AG83">IFERROR((終値!$E$5-INDEX(終値!$E$5:$BL$5,1,$AL$2))/INDEX(終値!$E$5:$BL$5,1,$AL$2)*100,"")</f>
        <v>3.4532270246721688</v>
      </c>
      <c r="AH83" s="404">
        <f t="shared" si="30"/>
        <v>-7.2471115093833802</v>
      </c>
      <c r="AI83" s="402">
        <f t="shared" si="31"/>
        <v>-2</v>
      </c>
    </row>
    <row r="84" spans="1:35" s="192" customFormat="1" ht="18" customHeight="1">
      <c r="A84" s="181" t="str">
        <f>IF(銘柄管理!B199&lt;&gt;"",HYPERLINK("https://kabutan.jp/stock/?code="&amp;銘柄管理!B199,"株探"),"")</f>
        <v>株探</v>
      </c>
      <c r="B84" s="182"/>
      <c r="C84" s="183">
        <f>IF(銘柄管理!B199="","",銘柄管理!B199)</f>
        <v>6920</v>
      </c>
      <c r="D84" s="111" t="str">
        <f>IF(銘柄管理!C199="","",銘柄管理!C199)</f>
        <v>レーザーテック</v>
      </c>
      <c r="E84" s="184">
        <f>IF(C84&lt;&gt;"",_xll.RssMarket(C84,"現在値"),"")</f>
        <v>52700</v>
      </c>
      <c r="F84" s="184">
        <f>IF(C84&lt;&gt;"",_xll.RssMarket(C84,"始値"),"")</f>
        <v>45870</v>
      </c>
      <c r="G84" s="183">
        <f>IF(C84&lt;&gt;"",終値!F199,"")</f>
        <v>46570</v>
      </c>
      <c r="H84" s="184">
        <f>IF(C84&lt;&gt;"",_xll.RssMarket(C84,"高値"),"")</f>
        <v>52980</v>
      </c>
      <c r="I84" s="184">
        <f>IF(C84&lt;&gt;"",_xll.RssMarket(C84,"安値"),"")</f>
        <v>45770</v>
      </c>
      <c r="J84" s="184">
        <f>IF(C84&lt;&gt;"",_xll.RssMarket(C84,"出来高"),"")</f>
        <v>7716500</v>
      </c>
      <c r="K84" s="184">
        <f>IF(C84&lt;&gt;"",_xll.RssMarket(C84,"年初来高値"),"")</f>
        <v>48640</v>
      </c>
      <c r="L84" s="185">
        <f t="shared" si="22"/>
        <v>8.3470394736842106</v>
      </c>
      <c r="M84" s="184">
        <f>IF(C84&lt;&gt;"",IFERROR(AVERAGE(出来高!E199:I199),""),"")</f>
        <v>4343820</v>
      </c>
      <c r="N84" s="184">
        <f>IF(C84&lt;&gt;"",IFERROR(AVERAGE(出来高!E199:AC199),""),"")</f>
        <v>3298996</v>
      </c>
      <c r="O84" s="186">
        <f t="shared" si="23"/>
        <v>1.7764318042644494</v>
      </c>
      <c r="P84" s="181" t="str">
        <f t="shared" si="24"/>
        <v>増加↑</v>
      </c>
      <c r="Q84" s="181" t="str">
        <f t="shared" si="25"/>
        <v>買い▲</v>
      </c>
      <c r="R84" s="184">
        <f t="shared" si="32"/>
        <v>56916</v>
      </c>
      <c r="S84" s="184">
        <f t="shared" si="33"/>
        <v>50592</v>
      </c>
      <c r="T84" s="181">
        <f t="shared" si="29"/>
        <v>17</v>
      </c>
      <c r="U84" s="181" t="str">
        <f t="shared" si="34"/>
        <v>有効</v>
      </c>
      <c r="V84" s="181" t="str">
        <f t="shared" si="26"/>
        <v>年初来高値更新●</v>
      </c>
      <c r="W84" s="187">
        <f t="array" ref="W84">IF(C84&lt;&gt;"",IFERROR(100-100/(1+SUMPRODUCT((終値!F199:R199&gt;終値!G199:S199)*( 終値!F199:R199-終値!G199:S199))/SUMPRODUCT((終値!F199:R199&lt;終値!G199:S199)*(終値!G199:S199-終値!F199:R199))),50),"")</f>
        <v>60.9375</v>
      </c>
      <c r="X84" s="188">
        <f>IF(C84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943.60043623801903</v>
      </c>
      <c r="Y84" s="1" t="str">
        <f>IF(T84="","",IF(銘柄管理!$F$5="下落▼",IF(AND(AD84="パーフェクト▲",OR(AE84="25日線押し目●",AE84="5日線押し目○")),"★逆張り候補",IF(AND(AD84="上昇トレンド▲",OR(AE84="25日線押し目●",AE84="5日線押し目○")),"○逆張り候補",IF(W84&lt;=30,IF(Z84&gt;0,"◎反発確認",IF(Z84&lt;-5,"△要注意・様子見","△売られ過ぎ注目")),"相場下落・見送り"))),IF(AND(T84&gt;=12,AD84="パーフェクト▲"),"★強い買い",IF(AND(T84&gt;=12,AD84="上昇トレンド▲"),"★強い買い",IF(AND(T84&gt;=8,OR(AE84="25日線押し目●",AE84="5日線押し目○")),"◎押し目買い",IF(T84&gt;=10,"○買い候補",IF(T84&gt;=6,"△注目",IF(T84&gt;=3,"様子見","見送り"))))))))</f>
        <v>★強い買い</v>
      </c>
      <c r="Z84" s="189">
        <f t="shared" si="35"/>
        <v>13.162980459523299</v>
      </c>
      <c r="AA84" s="181" t="str">
        <f t="shared" si="36"/>
        <v>上昇▲</v>
      </c>
      <c r="AB84" s="497">
        <f>IF(C84="","",IFERROR(((終値!E86*0.333)+(終値!F86*0.222)+(終値!G86*0.148)+(終値!H86*0.099)+(終値!I86*0.066)+(終値!J86*0.044)+(終値!K86*0.029)+(終値!L86*0.019)+(終値!M86*0.013)+(終値!N86*0.009))/(0.333+0.222+0.148+0.099+0.066+0.044+0.029+0.019+0.013+0.009),""))</f>
        <v>2642.7647657841139</v>
      </c>
      <c r="AC84" s="497">
        <f>IF(C84="","",IFERROR(SUMPRODUCT((終値!E86:AC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2624.731227651966</v>
      </c>
      <c r="AD84" s="498" t="str">
        <f t="shared" si="27"/>
        <v>パーフェクト▲</v>
      </c>
      <c r="AE84" s="498" t="str">
        <f t="shared" si="28"/>
        <v>なし</v>
      </c>
      <c r="AF84" s="403" cm="1">
        <f t="array" ref="AF84">IF(C84="","",IFERROR((INDEX(終値!$E:$E,MATCH(TEXT(C84,"0"),終値!$A:$A,0))-INDEX(終値!$E:$BL,MATCH(TEXT(C84,"0"),終値!$A:$A,0),$AL$2))/INDEX(終値!$E:$BL,MATCH(TEXT(C84,"0"),終値!$A:$A,0),$AL$2)*100,""))</f>
        <v>37.20385316323874</v>
      </c>
      <c r="AG84" s="403" cm="1">
        <f t="array" ref="AG84">IFERROR((終値!$E$5-INDEX(終値!$E$5:$BL$5,1,$AL$2))/INDEX(終値!$E$5:$BL$5,1,$AL$2)*100,"")</f>
        <v>3.4532270246721688</v>
      </c>
      <c r="AH84" s="404">
        <f t="shared" si="30"/>
        <v>33.750626138566574</v>
      </c>
      <c r="AI84" s="402">
        <f t="shared" si="31"/>
        <v>3</v>
      </c>
    </row>
    <row r="85" spans="1:35" s="192" customFormat="1" ht="18" customHeight="1">
      <c r="A85" s="181" t="str">
        <f>IF(銘柄管理!B203&lt;&gt;"",HYPERLINK("https://kabutan.jp/stock/?code="&amp;銘柄管理!B203,"株探"),"")</f>
        <v>株探</v>
      </c>
      <c r="B85" s="182"/>
      <c r="C85" s="183">
        <f>IF(銘柄管理!B203="","",銘柄管理!B203)</f>
        <v>6305</v>
      </c>
      <c r="D85" s="111" t="str">
        <f>IF(銘柄管理!C203="","",銘柄管理!C203)</f>
        <v>日立建機</v>
      </c>
      <c r="E85" s="184">
        <f>IF(C85&lt;&gt;"",_xll.RssMarket(C85,"現在値"),"")</f>
        <v>5417</v>
      </c>
      <c r="F85" s="184">
        <f>IF(C85&lt;&gt;"",_xll.RssMarket(C85,"始値"),"")</f>
        <v>5350</v>
      </c>
      <c r="G85" s="183">
        <f>IF(C85&lt;&gt;"",終値!F203,"")</f>
        <v>5419</v>
      </c>
      <c r="H85" s="184">
        <f>IF(C85&lt;&gt;"",_xll.RssMarket(C85,"高値"),"")</f>
        <v>5436</v>
      </c>
      <c r="I85" s="184">
        <f>IF(C85&lt;&gt;"",_xll.RssMarket(C85,"安値"),"")</f>
        <v>5306</v>
      </c>
      <c r="J85" s="184">
        <f>IF(C85&lt;&gt;"",_xll.RssMarket(C85,"出来高"),"")</f>
        <v>1061100</v>
      </c>
      <c r="K85" s="184">
        <f>IF(C85&lt;&gt;"",_xll.RssMarket(C85,"年初来高値"),"")</f>
        <v>7225</v>
      </c>
      <c r="L85" s="185">
        <f t="shared" si="22"/>
        <v>-25.024221453287197</v>
      </c>
      <c r="M85" s="184">
        <f>IF(C85&lt;&gt;"",IFERROR(AVERAGE(出来高!E203:I203),""),"")</f>
        <v>963540</v>
      </c>
      <c r="N85" s="184">
        <f>IF(C85&lt;&gt;"",IFERROR(AVERAGE(出来高!E203:AC203),""),"")</f>
        <v>1426376</v>
      </c>
      <c r="O85" s="186">
        <f t="shared" si="23"/>
        <v>1.1012516345974219</v>
      </c>
      <c r="P85" s="181" t="str">
        <f t="shared" si="24"/>
        <v>普通→</v>
      </c>
      <c r="Q85" s="181" t="str">
        <f t="shared" si="25"/>
        <v>様子見▼</v>
      </c>
      <c r="R85" s="184">
        <f t="shared" si="32"/>
        <v>5850</v>
      </c>
      <c r="S85" s="184">
        <f t="shared" si="33"/>
        <v>5200</v>
      </c>
      <c r="T85" s="181">
        <f t="shared" si="29"/>
        <v>1</v>
      </c>
      <c r="U85" s="181" t="str">
        <f t="shared" si="34"/>
        <v>除外</v>
      </c>
      <c r="V85" s="181" t="str">
        <f t="shared" si="26"/>
        <v>通常</v>
      </c>
      <c r="W85" s="187">
        <f t="array" ref="W85">IF(C85&lt;&gt;"",IFERROR(100-100/(1+SUMPRODUCT((終値!F203:R203&gt;終値!G203:S203)*( 終値!F203:R203-終値!G203:S203))/SUMPRODUCT((終値!F203:R203&lt;終値!G203:S203)*(終値!G203:S203-終値!F203:R203))),50),"")</f>
        <v>64.230769230769226</v>
      </c>
      <c r="X85" s="188">
        <f>IF(C85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28.292765056379721</v>
      </c>
      <c r="Y85" s="1" t="str">
        <f>IF(T85="","",IF(銘柄管理!$F$5="下落▼",IF(AND(AD85="パーフェクト▲",OR(AE85="25日線押し目●",AE85="5日線押し目○")),"★逆張り候補",IF(AND(AD85="上昇トレンド▲",OR(AE85="25日線押し目●",AE85="5日線押し目○")),"○逆張り候補",IF(W85&lt;=30,IF(Z85&gt;0,"◎反発確認",IF(Z85&lt;-5,"△要注意・様子見","△売られ過ぎ注目")),"相場下落・見送り"))),IF(AND(T85&gt;=12,AD85="パーフェクト▲"),"★強い買い",IF(AND(T85&gt;=12,AD85="上昇トレンド▲"),"★強い買い",IF(AND(T85&gt;=8,OR(AE85="25日線押し目●",AE85="5日線押し目○")),"◎押し目買い",IF(T85&gt;=10,"○買い候補",IF(T85&gt;=6,"△注目",IF(T85&gt;=3,"様子見","見送り"))))))))</f>
        <v>見送り</v>
      </c>
      <c r="Z85" s="189">
        <f t="shared" si="35"/>
        <v>-3.6907178446207785E-2</v>
      </c>
      <c r="AA85" s="181" t="str">
        <f t="shared" si="36"/>
        <v>下落▼</v>
      </c>
      <c r="AB85" s="499">
        <f>IF(C85="","",IFERROR(((終値!E87*0.333)+(終値!F87*0.222)+(終値!G87*0.148)+(終値!H87*0.099)+(終値!I87*0.066)+(終値!J87*0.044)+(終値!K87*0.029)+(終値!L87*0.019)+(終値!M87*0.013)+(終値!N87*0.009))/(0.333+0.222+0.148+0.099+0.066+0.044+0.029+0.019+0.013+0.009),""))</f>
        <v>6123.3319755600796</v>
      </c>
      <c r="AC85" s="499">
        <f>IF(C85="","",IFERROR(SUMPRODUCT((終値!E87:AC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6144.9272943980905</v>
      </c>
      <c r="AD85" s="500" t="str">
        <f t="shared" si="27"/>
        <v>下降トレンド▼</v>
      </c>
      <c r="AE85" s="500" t="str">
        <f t="shared" si="28"/>
        <v>なし</v>
      </c>
      <c r="AF85" s="403" cm="1">
        <f t="array" ref="AF85">IF(C85="","",IFERROR((INDEX(終値!$E:$E,MATCH(TEXT(C85,"0"),終値!$A:$A,0))-INDEX(終値!$E:$BL,MATCH(TEXT(C85,"0"),終値!$A:$A,0),$AL$2))/INDEX(終値!$E:$BL,MATCH(TEXT(C85,"0"),終値!$A:$A,0),$AL$2)*100,""))</f>
        <v>2.188266364836823</v>
      </c>
      <c r="AG85" s="403" cm="1">
        <f t="array" ref="AG85">IFERROR((終値!$E$5-INDEX(終値!$E$5:$BL$5,1,$AL$2))/INDEX(終値!$E$5:$BL$5,1,$AL$2)*100,"")</f>
        <v>3.4532270246721688</v>
      </c>
      <c r="AH85" s="404">
        <f t="shared" si="30"/>
        <v>-1.2649606598353458</v>
      </c>
      <c r="AI85" s="402">
        <f t="shared" si="31"/>
        <v>-1</v>
      </c>
    </row>
    <row r="86" spans="1:35" s="192" customFormat="1" ht="18" customHeight="1">
      <c r="A86" s="181" t="str">
        <f>IF(銘柄管理!B205&lt;&gt;"",HYPERLINK("https://kabutan.jp/stock/?code="&amp;銘柄管理!B205,"株探"),"")</f>
        <v>株探</v>
      </c>
      <c r="B86" s="182"/>
      <c r="C86" s="183">
        <f>IF(銘柄管理!B205="","",銘柄管理!B205)</f>
        <v>6758</v>
      </c>
      <c r="D86" s="111" t="str">
        <f>IF(銘柄管理!C205="","",銘柄管理!C205)</f>
        <v>ソニーグループ</v>
      </c>
      <c r="E86" s="184">
        <f>IF(C86&lt;&gt;"",_xll.RssMarket(C86,"現在値"),"")</f>
        <v>3286</v>
      </c>
      <c r="F86" s="184">
        <f>IF(C86&lt;&gt;"",_xll.RssMarket(C86,"始値"),"")</f>
        <v>3297</v>
      </c>
      <c r="G86" s="183">
        <f>IF(C86&lt;&gt;"",終値!F205,"")</f>
        <v>3275</v>
      </c>
      <c r="H86" s="184">
        <f>IF(C86&lt;&gt;"",_xll.RssMarket(C86,"高値"),"")</f>
        <v>3314</v>
      </c>
      <c r="I86" s="184">
        <f>IF(C86&lt;&gt;"",_xll.RssMarket(C86,"安値"),"")</f>
        <v>3258</v>
      </c>
      <c r="J86" s="184">
        <f>IF(C86&lt;&gt;"",_xll.RssMarket(C86,"出来高"),"")</f>
        <v>13386100</v>
      </c>
      <c r="K86" s="184">
        <f>IF(C86&lt;&gt;"",_xll.RssMarket(C86,"年初来高値"),"")</f>
        <v>4124</v>
      </c>
      <c r="L86" s="185">
        <f t="shared" si="22"/>
        <v>-20.320077594568382</v>
      </c>
      <c r="M86" s="184">
        <f>IF(C86&lt;&gt;"",IFERROR(AVERAGE(出来高!E205:I205),""),"")</f>
        <v>17994420</v>
      </c>
      <c r="N86" s="184">
        <f>IF(C86&lt;&gt;"",IFERROR(AVERAGE(出来高!E205:AC205),""),"")</f>
        <v>26795960</v>
      </c>
      <c r="O86" s="186">
        <f t="shared" si="23"/>
        <v>0.74390283210017327</v>
      </c>
      <c r="P86" s="181" t="str">
        <f t="shared" si="24"/>
        <v>減少↓</v>
      </c>
      <c r="Q86" s="181" t="str">
        <f t="shared" si="25"/>
        <v>中立→</v>
      </c>
      <c r="R86" s="184">
        <f t="shared" si="32"/>
        <v>3549</v>
      </c>
      <c r="S86" s="184">
        <f t="shared" si="33"/>
        <v>3155</v>
      </c>
      <c r="T86" s="181">
        <f t="shared" si="29"/>
        <v>4</v>
      </c>
      <c r="U86" s="181" t="str">
        <f t="shared" si="34"/>
        <v>要確認</v>
      </c>
      <c r="V86" s="181" t="str">
        <f t="shared" si="26"/>
        <v>通常</v>
      </c>
      <c r="W86" s="187">
        <f t="array" ref="W86">IF(C86&lt;&gt;"",IFERROR(100-100/(1+SUMPRODUCT((終値!F205:R205&gt;終値!G205:S205)*( 終値!F205:R205-終値!G205:S205))/SUMPRODUCT((終値!F205:R205&lt;終値!G205:S205)*(終値!G205:S205-終値!F205:R205))),50),"")</f>
        <v>30.086313193588168</v>
      </c>
      <c r="X86" s="188">
        <f>IF(C86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-38.862085504240895</v>
      </c>
      <c r="Y86" s="1" t="str">
        <f>IF(T86="","",IF(銘柄管理!$F$5="下落▼",IF(AND(AD86="パーフェクト▲",OR(AE86="25日線押し目●",AE86="5日線押し目○")),"★逆張り候補",IF(AND(AD86="上昇トレンド▲",OR(AE86="25日線押し目●",AE86="5日線押し目○")),"○逆張り候補",IF(W86&lt;=30,IF(Z86&gt;0,"◎反発確認",IF(Z86&lt;-5,"△要注意・様子見","△売られ過ぎ注目")),"相場下落・見送り"))),IF(AND(T86&gt;=12,AD86="パーフェクト▲"),"★強い買い",IF(AND(T86&gt;=12,AD86="上昇トレンド▲"),"★強い買い",IF(AND(T86&gt;=8,OR(AE86="25日線押し目●",AE86="5日線押し目○")),"◎押し目買い",IF(T86&gt;=10,"○買い候補",IF(T86&gt;=6,"△注目",IF(T86&gt;=3,"様子見","見送り"))))))))</f>
        <v>様子見</v>
      </c>
      <c r="Z86" s="189">
        <f t="shared" si="35"/>
        <v>0.33587786259541985</v>
      </c>
      <c r="AA86" s="181" t="str">
        <f t="shared" si="36"/>
        <v>上昇▲</v>
      </c>
      <c r="AB86" s="497">
        <f>IF(C86="","",IFERROR(((終値!E88*0.333)+(終値!F88*0.222)+(終値!G88*0.148)+(終値!H88*0.099)+(終値!I88*0.066)+(終値!J88*0.044)+(終値!K88*0.029)+(終値!L88*0.019)+(終値!M88*0.013)+(終値!N88*0.009))/(0.333+0.222+0.148+0.099+0.066+0.044+0.029+0.019+0.013+0.009),""))</f>
        <v>1709.5493890020364</v>
      </c>
      <c r="AC86" s="497">
        <f>IF(C86="","",IFERROR(SUMPRODUCT((終値!E88:AC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1697.7294398092961</v>
      </c>
      <c r="AD86" s="498" t="str">
        <f t="shared" si="27"/>
        <v>パーフェクト▲</v>
      </c>
      <c r="AE86" s="498" t="str">
        <f t="shared" si="28"/>
        <v>なし</v>
      </c>
      <c r="AF86" s="403" cm="1">
        <f t="array" ref="AF86">IF(C86="","",IFERROR((INDEX(終値!$E:$E,MATCH(TEXT(C86,"0"),終値!$A:$A,0))-INDEX(終値!$E:$BL,MATCH(TEXT(C86,"0"),終値!$A:$A,0),$AL$2))/INDEX(終値!$E:$BL,MATCH(TEXT(C86,"0"),終値!$A:$A,0),$AL$2)*100,""))</f>
        <v>-4.5876887340301975</v>
      </c>
      <c r="AG86" s="403" cm="1">
        <f t="array" ref="AG86">IFERROR((終値!$E$5-INDEX(終値!$E$5:$BL$5,1,$AL$2))/INDEX(終値!$E$5:$BL$5,1,$AL$2)*100,"")</f>
        <v>3.4532270246721688</v>
      </c>
      <c r="AH86" s="404">
        <f t="shared" si="30"/>
        <v>-8.0409157587023667</v>
      </c>
      <c r="AI86" s="402">
        <f t="shared" si="31"/>
        <v>-2</v>
      </c>
    </row>
    <row r="87" spans="1:35" s="192" customFormat="1" ht="18" customHeight="1">
      <c r="A87" s="181" t="str">
        <f>IF(銘柄管理!B9&lt;&gt;"",HYPERLINK("https://kabutan.jp/stock/?code="&amp;銘柄管理!B9,"株探"),"")</f>
        <v>株探</v>
      </c>
      <c r="B87" s="182"/>
      <c r="C87" s="183">
        <f>IF(銘柄管理!B9="","",銘柄管理!B9)</f>
        <v>5711</v>
      </c>
      <c r="D87" s="111" t="str">
        <f>IF(銘柄管理!C9="","",銘柄管理!C9)</f>
        <v>三菱マテリアル</v>
      </c>
      <c r="E87" s="184">
        <f>IF(C87&lt;&gt;"",_xll.RssMarket(C87,"現在値"),"")</f>
        <v>4882</v>
      </c>
      <c r="F87" s="184">
        <f>IF(C87&lt;&gt;"",_xll.RssMarket(C87,"始値"),"")</f>
        <v>4870</v>
      </c>
      <c r="G87" s="183">
        <f>IF(C87&lt;&gt;"",終値!F9,"")</f>
        <v>4898</v>
      </c>
      <c r="H87" s="184">
        <f>IF(C87&lt;&gt;"",_xll.RssMarket(C87,"高値"),"")</f>
        <v>4965</v>
      </c>
      <c r="I87" s="184">
        <f>IF(C87&lt;&gt;"",_xll.RssMarket(C87,"安値"),"")</f>
        <v>4842</v>
      </c>
      <c r="J87" s="184">
        <f>IF(C87&lt;&gt;"",_xll.RssMarket(C87,"出来高"),"")</f>
        <v>659400</v>
      </c>
      <c r="K87" s="184">
        <f>IF(C87&lt;&gt;"",_xll.RssMarket(C87,"年初来高値"),"")</f>
        <v>6126</v>
      </c>
      <c r="L87" s="185">
        <f t="shared" si="22"/>
        <v>-20.306888671237349</v>
      </c>
      <c r="M87" s="184">
        <f>IF(C87&lt;&gt;"",IFERROR(AVERAGE(出来高!E9:I9),""),"")</f>
        <v>921020</v>
      </c>
      <c r="N87" s="184">
        <f>IF(C87&lt;&gt;"",IFERROR(AVERAGE(出来高!E9:AC9),""),"")</f>
        <v>1391484</v>
      </c>
      <c r="O87" s="186">
        <f t="shared" si="23"/>
        <v>0.71594536492150007</v>
      </c>
      <c r="P87" s="181" t="str">
        <f t="shared" si="24"/>
        <v>減少↓</v>
      </c>
      <c r="Q87" s="181" t="str">
        <f t="shared" si="25"/>
        <v>様子見▼</v>
      </c>
      <c r="R87" s="184">
        <f t="shared" si="32"/>
        <v>5273</v>
      </c>
      <c r="S87" s="184">
        <f t="shared" si="33"/>
        <v>4687</v>
      </c>
      <c r="T87" s="181">
        <f t="shared" si="29"/>
        <v>2</v>
      </c>
      <c r="U87" s="181" t="str">
        <f t="shared" si="34"/>
        <v>除外</v>
      </c>
      <c r="V87" s="181" t="str">
        <f t="shared" si="26"/>
        <v>通常</v>
      </c>
      <c r="W87" s="187">
        <f t="array" ref="W87">IF(C87&lt;&gt;"",IFERROR(100-100/(1+SUMPRODUCT((終値!F9:R9&gt;終値!G9:S9)*( 終値!F9:R9-終値!G9:S9))/SUMPRODUCT((終値!F9:R9&lt;終値!G9:S9)*(終値!G9:S9-終値!F9:R9))),50),"")</f>
        <v>39.001848428835487</v>
      </c>
      <c r="X87" s="188">
        <f>IF(C87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-66.449116180208875</v>
      </c>
      <c r="Y87" s="1" t="str">
        <f>IF(T87="","",IF(銘柄管理!$F$5="下落▼",IF(AND(AD87="パーフェクト▲",OR(AE87="25日線押し目●",AE87="5日線押し目○")),"★逆張り候補",IF(AND(AD87="上昇トレンド▲",OR(AE87="25日線押し目●",AE87="5日線押し目○")),"○逆張り候補",IF(W87&lt;=30,IF(Z87&gt;0,"◎反発確認",IF(Z87&lt;-5,"△要注意・様子見","△売られ過ぎ注目")),"相場下落・見送り"))),IF(AND(T87&gt;=12,AD87="パーフェクト▲"),"★強い買い",IF(AND(T87&gt;=12,AD87="上昇トレンド▲"),"★強い買い",IF(AND(T87&gt;=8,OR(AE87="25日線押し目●",AE87="5日線押し目○")),"◎押し目買い",IF(T87&gt;=10,"○買い候補",IF(T87&gt;=6,"△注目",IF(T87&gt;=3,"様子見","見送り"))))))))</f>
        <v>見送り</v>
      </c>
      <c r="Z87" s="189">
        <f t="shared" si="35"/>
        <v>-0.32666394446712943</v>
      </c>
      <c r="AA87" s="181" t="str">
        <f t="shared" si="36"/>
        <v>下落▼</v>
      </c>
      <c r="AB87" s="499">
        <f>IF(C87="","",IFERROR(((終値!E89*0.333)+(終値!F89*0.222)+(終値!G89*0.148)+(終値!H89*0.099)+(終値!I89*0.066)+(終値!J89*0.044)+(終値!K89*0.029)+(終値!L89*0.019)+(終値!M89*0.013)+(終値!N89*0.009))/(0.333+0.222+0.148+0.099+0.066+0.044+0.029+0.019+0.013+0.009),""))</f>
        <v>2127.6272912423619</v>
      </c>
      <c r="AC87" s="499">
        <f>IF(C87="","",IFERROR(SUMPRODUCT((終値!E89:AC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2213.3575685339674</v>
      </c>
      <c r="AD87" s="500" t="str">
        <f t="shared" si="27"/>
        <v>上昇トレンド▲</v>
      </c>
      <c r="AE87" s="500" t="str">
        <f t="shared" si="28"/>
        <v>なし</v>
      </c>
      <c r="AF87" s="403" cm="1">
        <f t="array" ref="AF87">IF(C87="","",IFERROR((INDEX(終値!$E:$E,MATCH(TEXT(C87,"0"),終値!$A:$A,0))-INDEX(終値!$E:$BL,MATCH(TEXT(C87,"0"),終値!$A:$A,0),$AL$2))/INDEX(終値!$E:$BL,MATCH(TEXT(C87,"0"),終値!$A:$A,0),$AL$2)*100,""))</f>
        <v>-8.9518836255128686</v>
      </c>
      <c r="AG87" s="403" cm="1">
        <f t="array" ref="AG87">IFERROR((終値!$E$5-INDEX(終値!$E$5:$BL$5,1,$AL$2))/INDEX(終値!$E$5:$BL$5,1,$AL$2)*100,"")</f>
        <v>3.4532270246721688</v>
      </c>
      <c r="AH87" s="404">
        <f t="shared" si="30"/>
        <v>-12.405110650185037</v>
      </c>
      <c r="AI87" s="402">
        <f t="shared" si="31"/>
        <v>-2</v>
      </c>
    </row>
    <row r="88" spans="1:35" s="192" customFormat="1" ht="18" customHeight="1">
      <c r="A88" s="181" t="str">
        <f>IF(銘柄管理!B15&lt;&gt;"",HYPERLINK("https://kabutan.jp/stock/?code="&amp;銘柄管理!B15,"株探"),"")</f>
        <v>株探</v>
      </c>
      <c r="B88" s="182"/>
      <c r="C88" s="183">
        <f>IF(銘柄管理!B15="","",銘柄管理!B15)</f>
        <v>5021</v>
      </c>
      <c r="D88" s="111" t="str">
        <f>IF(銘柄管理!C15="","",銘柄管理!C15)</f>
        <v>コスモエネルギーＨＬＤＧＳ</v>
      </c>
      <c r="E88" s="184">
        <f>IF(C88&lt;&gt;"",_xll.RssMarket(C88,"現在値"),"")</f>
        <v>3669</v>
      </c>
      <c r="F88" s="184">
        <f>IF(C88&lt;&gt;"",_xll.RssMarket(C88,"始値"),"")</f>
        <v>3690</v>
      </c>
      <c r="G88" s="183">
        <f>IF(C88&lt;&gt;"",終値!F15,"")</f>
        <v>3676</v>
      </c>
      <c r="H88" s="184">
        <f>IF(C88&lt;&gt;"",_xll.RssMarket(C88,"高値"),"")</f>
        <v>3693</v>
      </c>
      <c r="I88" s="184">
        <f>IF(C88&lt;&gt;"",_xll.RssMarket(C88,"安値"),"")</f>
        <v>3617</v>
      </c>
      <c r="J88" s="184">
        <f>IF(C88&lt;&gt;"",_xll.RssMarket(C88,"出来高"),"")</f>
        <v>524700</v>
      </c>
      <c r="K88" s="184">
        <f>IF(C88&lt;&gt;"",_xll.RssMarket(C88,"年初来高値"),"")</f>
        <v>5034</v>
      </c>
      <c r="L88" s="185">
        <f t="shared" si="22"/>
        <v>-27.115613825983313</v>
      </c>
      <c r="M88" s="184">
        <f>IF(C88&lt;&gt;"",IFERROR(AVERAGE(出来高!E15:I15),""),"")</f>
        <v>707860</v>
      </c>
      <c r="N88" s="184">
        <f>IF(C88&lt;&gt;"",IFERROR(AVERAGE(出来高!E15:AC15),""),"")</f>
        <v>690264</v>
      </c>
      <c r="O88" s="186">
        <f t="shared" si="23"/>
        <v>0.74124826943180855</v>
      </c>
      <c r="P88" s="181" t="str">
        <f t="shared" si="24"/>
        <v>減少↓</v>
      </c>
      <c r="Q88" s="181" t="str">
        <f t="shared" si="25"/>
        <v>様子見▼</v>
      </c>
      <c r="R88" s="184">
        <f t="shared" si="32"/>
        <v>3963</v>
      </c>
      <c r="S88" s="184">
        <f t="shared" si="33"/>
        <v>3522</v>
      </c>
      <c r="T88" s="181">
        <f t="shared" si="29"/>
        <v>-1</v>
      </c>
      <c r="U88" s="181" t="str">
        <f t="shared" si="34"/>
        <v>除外</v>
      </c>
      <c r="V88" s="181" t="str">
        <f t="shared" si="26"/>
        <v>通常</v>
      </c>
      <c r="W88" s="187">
        <f t="array" ref="W88">IF(C88&lt;&gt;"",IFERROR(100-100/(1+SUMPRODUCT((終値!F15:R15&gt;終値!G15:S15)*( 終値!F15:R15-終値!G15:S15))/SUMPRODUCT((終値!F15:R15&lt;終値!G15:S15)*(終値!G15:S15-終値!F15:R15))),50),"")</f>
        <v>49.77116704805492</v>
      </c>
      <c r="X88" s="188">
        <f>IF(C88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-19.730722539095041</v>
      </c>
      <c r="Y88" s="1" t="str">
        <f>IF(T88="","",IF(銘柄管理!$F$5="下落▼",IF(AND(AD88="パーフェクト▲",OR(AE88="25日線押し目●",AE88="5日線押し目○")),"★逆張り候補",IF(AND(AD88="上昇トレンド▲",OR(AE88="25日線押し目●",AE88="5日線押し目○")),"○逆張り候補",IF(W88&lt;=30,IF(Z88&gt;0,"◎反発確認",IF(Z88&lt;-5,"△要注意・様子見","△売られ過ぎ注目")),"相場下落・見送り"))),IF(AND(T88&gt;=12,AD88="パーフェクト▲"),"★強い買い",IF(AND(T88&gt;=12,AD88="上昇トレンド▲"),"★強い買い",IF(AND(T88&gt;=8,OR(AE88="25日線押し目●",AE88="5日線押し目○")),"◎押し目買い",IF(T88&gt;=10,"○買い候補",IF(T88&gt;=6,"△注目",IF(T88&gt;=3,"様子見","見送り"))))))))</f>
        <v>見送り</v>
      </c>
      <c r="Z88" s="189">
        <f t="shared" si="35"/>
        <v>-0.19042437431991296</v>
      </c>
      <c r="AA88" s="181" t="str">
        <f t="shared" si="36"/>
        <v>下落▼</v>
      </c>
      <c r="AB88" s="497">
        <f>IF(C88="","",IFERROR(((終値!E90*0.333)+(終値!F90*0.222)+(終値!G90*0.148)+(終値!H90*0.099)+(終値!I90*0.066)+(終値!J90*0.044)+(終値!K90*0.029)+(終値!L90*0.019)+(終値!M90*0.013)+(終値!N90*0.009))/(0.333+0.222+0.148+0.099+0.066+0.044+0.029+0.019+0.013+0.009),""))</f>
        <v>4294.6181262729124</v>
      </c>
      <c r="AC88" s="497">
        <f>IF(C88="","",IFERROR(SUMPRODUCT((終値!E90:AC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4057.2824791418334</v>
      </c>
      <c r="AD88" s="498" t="str">
        <f t="shared" si="27"/>
        <v>もみ合い→</v>
      </c>
      <c r="AE88" s="498" t="str">
        <f t="shared" si="28"/>
        <v>なし</v>
      </c>
      <c r="AF88" s="403" cm="1">
        <f t="array" ref="AF88">IF(C88="","",IFERROR((INDEX(終値!$E:$E,MATCH(TEXT(C88,"0"),終値!$A:$A,0))-INDEX(終値!$E:$BL,MATCH(TEXT(C88,"0"),終値!$A:$A,0),$AL$2))/INDEX(終値!$E:$BL,MATCH(TEXT(C88,"0"),終値!$A:$A,0),$AL$2)*100,""))</f>
        <v>-5.1202482544608223</v>
      </c>
      <c r="AG88" s="403" cm="1">
        <f t="array" ref="AG88">IFERROR((終値!$E$5-INDEX(終値!$E$5:$BL$5,1,$AL$2))/INDEX(終値!$E$5:$BL$5,1,$AL$2)*100,"")</f>
        <v>3.4532270246721688</v>
      </c>
      <c r="AH88" s="404">
        <f t="shared" si="30"/>
        <v>-8.5734752791329907</v>
      </c>
      <c r="AI88" s="402">
        <f t="shared" si="31"/>
        <v>-2</v>
      </c>
    </row>
    <row r="89" spans="1:35" s="192" customFormat="1" ht="18" customHeight="1">
      <c r="A89" s="181" t="str">
        <f>IF(銘柄管理!B16&lt;&gt;"",HYPERLINK("https://kabutan.jp/stock/?code="&amp;銘柄管理!B16,"株探"),"")</f>
        <v>株探</v>
      </c>
      <c r="B89" s="182"/>
      <c r="C89" s="183">
        <f>IF(銘柄管理!B16="","",銘柄管理!B16)</f>
        <v>8058</v>
      </c>
      <c r="D89" s="111" t="str">
        <f>IF(銘柄管理!C16="","",銘柄管理!C16)</f>
        <v>三菱商事</v>
      </c>
      <c r="E89" s="184">
        <f>IF(C89&lt;&gt;"",_xll.RssMarket(C89,"現在値"),"")</f>
        <v>4610</v>
      </c>
      <c r="F89" s="184">
        <f>IF(C89&lt;&gt;"",_xll.RssMarket(C89,"始値"),"")</f>
        <v>4628</v>
      </c>
      <c r="G89" s="183">
        <f>IF(C89&lt;&gt;"",終値!F16,"")</f>
        <v>4595</v>
      </c>
      <c r="H89" s="184">
        <f>IF(C89&lt;&gt;"",_xll.RssMarket(C89,"高値"),"")</f>
        <v>4672</v>
      </c>
      <c r="I89" s="184">
        <f>IF(C89&lt;&gt;"",_xll.RssMarket(C89,"安値"),"")</f>
        <v>4595</v>
      </c>
      <c r="J89" s="184">
        <f>IF(C89&lt;&gt;"",_xll.RssMarket(C89,"出来高"),"")</f>
        <v>7426100</v>
      </c>
      <c r="K89" s="184">
        <f>IF(C89&lt;&gt;"",_xll.RssMarket(C89,"年初来高値"),"")</f>
        <v>6012</v>
      </c>
      <c r="L89" s="185">
        <f t="shared" si="22"/>
        <v>-23.320026613439786</v>
      </c>
      <c r="M89" s="184">
        <f>IF(C89&lt;&gt;"",IFERROR(AVERAGE(出来高!E16:I16),""),"")</f>
        <v>8765660</v>
      </c>
      <c r="N89" s="184">
        <f>IF(C89&lt;&gt;"",IFERROR(AVERAGE(出来高!E16:AC16),""),"")</f>
        <v>10940848</v>
      </c>
      <c r="O89" s="186">
        <f t="shared" si="23"/>
        <v>0.84718093104227177</v>
      </c>
      <c r="P89" s="181" t="str">
        <f t="shared" si="24"/>
        <v>減少↓</v>
      </c>
      <c r="Q89" s="181" t="str">
        <f t="shared" si="25"/>
        <v>中立→</v>
      </c>
      <c r="R89" s="184">
        <f t="shared" si="32"/>
        <v>4979</v>
      </c>
      <c r="S89" s="184">
        <f t="shared" si="33"/>
        <v>4426</v>
      </c>
      <c r="T89" s="181">
        <f t="shared" si="29"/>
        <v>2</v>
      </c>
      <c r="U89" s="181" t="str">
        <f t="shared" si="34"/>
        <v>除外</v>
      </c>
      <c r="V89" s="181" t="str">
        <f t="shared" si="26"/>
        <v>通常</v>
      </c>
      <c r="W89" s="187">
        <f t="array" ref="W89">IF(C89&lt;&gt;"",IFERROR(100-100/(1+SUMPRODUCT((終値!F16:R16&gt;終値!G16:S16)*( 終値!F16:R16-終値!G16:S16))/SUMPRODUCT((終値!F16:R16&lt;終値!G16:S16)*(終値!G16:S16-終値!F16:R16))),50),"")</f>
        <v>15.509039010466225</v>
      </c>
      <c r="X89" s="188">
        <f>IF(C89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-108.66689685916572</v>
      </c>
      <c r="Y89" s="1" t="str">
        <f>IF(T89="","",IF(銘柄管理!$F$5="下落▼",IF(AND(AD89="パーフェクト▲",OR(AE89="25日線押し目●",AE89="5日線押し目○")),"★逆張り候補",IF(AND(AD89="上昇トレンド▲",OR(AE89="25日線押し目●",AE89="5日線押し目○")),"○逆張り候補",IF(W89&lt;=30,IF(Z89&gt;0,"◎反発確認",IF(Z89&lt;-5,"△要注意・様子見","△売られ過ぎ注目")),"相場下落・見送り"))),IF(AND(T89&gt;=12,AD89="パーフェクト▲"),"★強い買い",IF(AND(T89&gt;=12,AD89="上昇トレンド▲"),"★強い買い",IF(AND(T89&gt;=8,OR(AE89="25日線押し目●",AE89="5日線押し目○")),"◎押し目買い",IF(T89&gt;=10,"○買い候補",IF(T89&gt;=6,"△注目",IF(T89&gt;=3,"様子見","見送り"))))))))</f>
        <v>見送り</v>
      </c>
      <c r="Z89" s="189">
        <f t="shared" si="35"/>
        <v>0.32644178454842221</v>
      </c>
      <c r="AA89" s="181" t="str">
        <f t="shared" si="36"/>
        <v>上昇▲</v>
      </c>
      <c r="AB89" s="499">
        <f>IF(C89="","",IFERROR(((終値!E91*0.333)+(終値!F91*0.222)+(終値!G91*0.148)+(終値!H91*0.099)+(終値!I91*0.066)+(終値!J91*0.044)+(終値!K91*0.029)+(終値!L91*0.019)+(終値!M91*0.013)+(終値!N91*0.009))/(0.333+0.222+0.148+0.099+0.066+0.044+0.029+0.019+0.013+0.009),""))</f>
        <v>4758.5437881873722</v>
      </c>
      <c r="AC89" s="499">
        <f>IF(C89="","",IFERROR(SUMPRODUCT((終値!E91:AC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4928.452920143025</v>
      </c>
      <c r="AD89" s="500" t="str">
        <f t="shared" si="27"/>
        <v>下降トレンド▼</v>
      </c>
      <c r="AE89" s="500" t="str">
        <f t="shared" si="28"/>
        <v>なし</v>
      </c>
      <c r="AF89" s="403" cm="1">
        <f t="array" ref="AF89">IF(C89="","",IFERROR((INDEX(終値!$E:$E,MATCH(TEXT(C89,"0"),終値!$A:$A,0))-INDEX(終値!$E:$BL,MATCH(TEXT(C89,"0"),終値!$A:$A,0),$AL$2))/INDEX(終値!$E:$BL,MATCH(TEXT(C89,"0"),終値!$A:$A,0),$AL$2)*100,""))</f>
        <v>-21.625297517851074</v>
      </c>
      <c r="AG89" s="403" cm="1">
        <f t="array" ref="AG89">IFERROR((終値!$E$5-INDEX(終値!$E$5:$BL$5,1,$AL$2))/INDEX(終値!$E$5:$BL$5,1,$AL$2)*100,"")</f>
        <v>3.4532270246721688</v>
      </c>
      <c r="AH89" s="404">
        <f t="shared" si="30"/>
        <v>-25.078524542523244</v>
      </c>
      <c r="AI89" s="402">
        <f t="shared" si="31"/>
        <v>-2</v>
      </c>
    </row>
    <row r="90" spans="1:35" s="192" customFormat="1" ht="18" customHeight="1">
      <c r="A90" s="181" t="str">
        <f>IF(銘柄管理!B20&lt;&gt;"",HYPERLINK("https://kabutan.jp/stock/?code="&amp;銘柄管理!B20,"株探"),"")</f>
        <v>株探</v>
      </c>
      <c r="B90" s="182"/>
      <c r="C90" s="183">
        <f>IF(銘柄管理!B20="","",銘柄管理!B20)</f>
        <v>5541</v>
      </c>
      <c r="D90" s="111" t="str">
        <f>IF(銘柄管理!C20="","",銘柄管理!C20)</f>
        <v>大平洋金属</v>
      </c>
      <c r="E90" s="184">
        <f>IF(C90&lt;&gt;"",_xll.RssMarket(C90,"現在値"),"")</f>
        <v>2285</v>
      </c>
      <c r="F90" s="184">
        <f>IF(C90&lt;&gt;"",_xll.RssMarket(C90,"始値"),"")</f>
        <v>2260</v>
      </c>
      <c r="G90" s="183">
        <f>IF(C90&lt;&gt;"",終値!F20,"")</f>
        <v>2271</v>
      </c>
      <c r="H90" s="184">
        <f>IF(C90&lt;&gt;"",_xll.RssMarket(C90,"高値"),"")</f>
        <v>2316</v>
      </c>
      <c r="I90" s="184">
        <f>IF(C90&lt;&gt;"",_xll.RssMarket(C90,"安値"),"")</f>
        <v>2257</v>
      </c>
      <c r="J90" s="184">
        <f>IF(C90&lt;&gt;"",_xll.RssMarket(C90,"出来高"),"")</f>
        <v>138100</v>
      </c>
      <c r="K90" s="184">
        <f>IF(C90&lt;&gt;"",_xll.RssMarket(C90,"年初来高値"),"")</f>
        <v>3865</v>
      </c>
      <c r="L90" s="185">
        <f t="shared" si="22"/>
        <v>-40.879689521345405</v>
      </c>
      <c r="M90" s="184">
        <f>IF(C90&lt;&gt;"",IFERROR(AVERAGE(出来高!E20:I20),""),"")</f>
        <v>252120</v>
      </c>
      <c r="N90" s="184">
        <f>IF(C90&lt;&gt;"",IFERROR(AVERAGE(出来高!E20:AC20),""),"")</f>
        <v>367164</v>
      </c>
      <c r="O90" s="186">
        <f t="shared" si="23"/>
        <v>0.54775503728383312</v>
      </c>
      <c r="P90" s="181" t="str">
        <f t="shared" si="24"/>
        <v>減少↓</v>
      </c>
      <c r="Q90" s="181" t="str">
        <f t="shared" si="25"/>
        <v>中立→</v>
      </c>
      <c r="R90" s="184">
        <f t="shared" si="32"/>
        <v>2468</v>
      </c>
      <c r="S90" s="184">
        <f t="shared" si="33"/>
        <v>2194</v>
      </c>
      <c r="T90" s="181">
        <f t="shared" si="29"/>
        <v>0</v>
      </c>
      <c r="U90" s="181" t="str">
        <f t="shared" si="34"/>
        <v>除外</v>
      </c>
      <c r="V90" s="181" t="str">
        <f t="shared" si="26"/>
        <v>通常</v>
      </c>
      <c r="W90" s="187">
        <f t="array" ref="W90">IF(C90&lt;&gt;"",IFERROR(100-100/(1+SUMPRODUCT((終値!F20:R20&gt;終値!G20:S20)*( 終値!F20:R20-終値!G20:S20))/SUMPRODUCT((終値!F20:R20&lt;終値!G20:S20)*(終値!G20:S20-終値!F20:R20))),50),"")</f>
        <v>53.422818791946312</v>
      </c>
      <c r="X90" s="188">
        <f>IF(C90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-6.5698080313950413</v>
      </c>
      <c r="Y90" s="1" t="str">
        <f>IF(T90="","",IF(銘柄管理!$F$5="下落▼",IF(AND(AD90="パーフェクト▲",OR(AE90="25日線押し目●",AE90="5日線押し目○")),"★逆張り候補",IF(AND(AD90="上昇トレンド▲",OR(AE90="25日線押し目●",AE90="5日線押し目○")),"○逆張り候補",IF(W90&lt;=30,IF(Z90&gt;0,"◎反発確認",IF(Z90&lt;-5,"△要注意・様子見","△売られ過ぎ注目")),"相場下落・見送り"))),IF(AND(T90&gt;=12,AD90="パーフェクト▲"),"★強い買い",IF(AND(T90&gt;=12,AD90="上昇トレンド▲"),"★強い買い",IF(AND(T90&gt;=8,OR(AE90="25日線押し目●",AE90="5日線押し目○")),"◎押し目買い",IF(T90&gt;=10,"○買い候補",IF(T90&gt;=6,"△注目",IF(T90&gt;=3,"様子見","見送り"))))))))</f>
        <v>見送り</v>
      </c>
      <c r="Z90" s="189">
        <f t="shared" si="35"/>
        <v>0.61646851607221487</v>
      </c>
      <c r="AA90" s="181" t="str">
        <f t="shared" si="36"/>
        <v>上昇▲</v>
      </c>
      <c r="AB90" s="497">
        <f>IF(C90="","",IFERROR(((終値!E92*0.333)+(終値!F92*0.222)+(終値!G92*0.148)+(終値!H92*0.099)+(終値!I92*0.066)+(終値!J92*0.044)+(終値!K92*0.029)+(終値!L92*0.019)+(終値!M92*0.013)+(終値!N92*0.009))/(0.333+0.222+0.148+0.099+0.066+0.044+0.029+0.019+0.013+0.009),""))</f>
        <v>7960.5050916496921</v>
      </c>
      <c r="AC90" s="497">
        <f>IF(C90="","",IFERROR(SUMPRODUCT((終値!E92:AC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7761.5435041716319</v>
      </c>
      <c r="AD90" s="498" t="str">
        <f t="shared" si="27"/>
        <v>もみ合い→</v>
      </c>
      <c r="AE90" s="498" t="str">
        <f t="shared" si="28"/>
        <v>なし</v>
      </c>
      <c r="AF90" s="403" cm="1">
        <f t="array" ref="AF90">IF(C90="","",IFERROR((INDEX(終値!$E:$E,MATCH(TEXT(C90,"0"),終値!$A:$A,0))-INDEX(終値!$E:$BL,MATCH(TEXT(C90,"0"),終値!$A:$A,0),$AL$2))/INDEX(終値!$E:$BL,MATCH(TEXT(C90,"0"),終値!$A:$A,0),$AL$2)*100,""))</f>
        <v>-3.9915966386554618</v>
      </c>
      <c r="AG90" s="403" cm="1">
        <f t="array" ref="AG90">IFERROR((終値!$E$5-INDEX(終値!$E$5:$BL$5,1,$AL$2))/INDEX(終値!$E$5:$BL$5,1,$AL$2)*100,"")</f>
        <v>3.4532270246721688</v>
      </c>
      <c r="AH90" s="404">
        <f t="shared" si="30"/>
        <v>-7.4448236633276306</v>
      </c>
      <c r="AI90" s="402">
        <f t="shared" si="31"/>
        <v>-2</v>
      </c>
    </row>
    <row r="91" spans="1:35" s="192" customFormat="1" ht="18" customHeight="1">
      <c r="A91" s="181" t="str">
        <f>IF(銘柄管理!B23&lt;&gt;"",HYPERLINK("https://kabutan.jp/stock/?code="&amp;銘柄管理!B23,"株探"),"")</f>
        <v>株探</v>
      </c>
      <c r="B91" s="182"/>
      <c r="C91" s="183">
        <f>IF(銘柄管理!B23="","",銘柄管理!B23)</f>
        <v>8795</v>
      </c>
      <c r="D91" s="111" t="str">
        <f>IF(銘柄管理!C23="","",銘柄管理!C23)</f>
        <v>Ｔ＆Ｄホールディングス</v>
      </c>
      <c r="E91" s="184">
        <f>IF(C91&lt;&gt;"",_xll.RssMarket(C91,"現在値"),"")</f>
        <v>4746</v>
      </c>
      <c r="F91" s="184">
        <f>IF(C91&lt;&gt;"",_xll.RssMarket(C91,"始値"),"")</f>
        <v>4945</v>
      </c>
      <c r="G91" s="183">
        <f>IF(C91&lt;&gt;"",終値!F23,"")</f>
        <v>4902</v>
      </c>
      <c r="H91" s="184">
        <f>IF(C91&lt;&gt;"",_xll.RssMarket(C91,"高値"),"")</f>
        <v>5017</v>
      </c>
      <c r="I91" s="184">
        <f>IF(C91&lt;&gt;"",_xll.RssMarket(C91,"安値"),"")</f>
        <v>4718</v>
      </c>
      <c r="J91" s="184">
        <f>IF(C91&lt;&gt;"",_xll.RssMarket(C91,"出来高"),"")</f>
        <v>2140500</v>
      </c>
      <c r="K91" s="184">
        <f>IF(C91&lt;&gt;"",_xll.RssMarket(C91,"年初来高値"),"")</f>
        <v>4981</v>
      </c>
      <c r="L91" s="185">
        <f t="shared" si="22"/>
        <v>-4.7179281268821525</v>
      </c>
      <c r="M91" s="184">
        <f>IF(C91&lt;&gt;"",IFERROR(AVERAGE(出来高!E23:I23),""),"")</f>
        <v>2471420</v>
      </c>
      <c r="N91" s="184">
        <f>IF(C91&lt;&gt;"",IFERROR(AVERAGE(出来高!E23:AC23),""),"")</f>
        <v>2279584</v>
      </c>
      <c r="O91" s="186">
        <f t="shared" si="23"/>
        <v>0.86610126971538626</v>
      </c>
      <c r="P91" s="181" t="str">
        <f t="shared" si="24"/>
        <v>減少↓</v>
      </c>
      <c r="Q91" s="181" t="str">
        <f t="shared" si="25"/>
        <v>様子見▼</v>
      </c>
      <c r="R91" s="184">
        <f t="shared" si="32"/>
        <v>5126</v>
      </c>
      <c r="S91" s="184">
        <f t="shared" si="33"/>
        <v>4556</v>
      </c>
      <c r="T91" s="181">
        <f t="shared" si="29"/>
        <v>10</v>
      </c>
      <c r="U91" s="181" t="str">
        <f t="shared" si="34"/>
        <v>要確認</v>
      </c>
      <c r="V91" s="181" t="str">
        <f t="shared" si="26"/>
        <v>年初来高値更新●</v>
      </c>
      <c r="W91" s="187">
        <f t="array" ref="W91">IF(C91&lt;&gt;"",IFERROR(100-100/(1+SUMPRODUCT((終値!F23:R23&gt;終値!G23:S23)*( 終値!F23:R23-終値!G23:S23))/SUMPRODUCT((終値!F23:R23&lt;終値!G23:S23)*(終値!G23:S23-終値!F23:R23))),50),"")</f>
        <v>82.887266828872669</v>
      </c>
      <c r="X91" s="188">
        <f>IF(C91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88.362833795712504</v>
      </c>
      <c r="Y91" s="1" t="str">
        <f>IF(T91="","",IF(銘柄管理!$F$5="下落▼",IF(AND(AD91="パーフェクト▲",OR(AE91="25日線押し目●",AE91="5日線押し目○")),"★逆張り候補",IF(AND(AD91="上昇トレンド▲",OR(AE91="25日線押し目●",AE91="5日線押し目○")),"○逆張り候補",IF(W91&lt;=30,IF(Z91&gt;0,"◎反発確認",IF(Z91&lt;-5,"△要注意・様子見","△売られ過ぎ注目")),"相場下落・見送り"))),IF(AND(T91&gt;=12,AD91="パーフェクト▲"),"★強い買い",IF(AND(T91&gt;=12,AD91="上昇トレンド▲"),"★強い買い",IF(AND(T91&gt;=8,OR(AE91="25日線押し目●",AE91="5日線押し目○")),"◎押し目買い",IF(T91&gt;=10,"○買い候補",IF(T91&gt;=6,"△注目",IF(T91&gt;=3,"様子見","見送り"))))))))</f>
        <v>○買い候補</v>
      </c>
      <c r="Z91" s="189">
        <f t="shared" si="35"/>
        <v>-3.1823745410036719</v>
      </c>
      <c r="AA91" s="181" t="str">
        <f t="shared" si="36"/>
        <v>下落▼</v>
      </c>
      <c r="AB91" s="499">
        <f>IF(C91="","",IFERROR(((終値!E93*0.333)+(終値!F93*0.222)+(終値!G93*0.148)+(終値!H93*0.099)+(終値!I93*0.066)+(終値!J93*0.044)+(終値!K93*0.029)+(終値!L93*0.019)+(終値!M93*0.013)+(終値!N93*0.009))/(0.333+0.222+0.148+0.099+0.066+0.044+0.029+0.019+0.013+0.009),""))</f>
        <v>796.3604887983704</v>
      </c>
      <c r="AC91" s="499">
        <f>IF(C91="","",IFERROR(SUMPRODUCT((終値!E93:AC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802.80572109654327</v>
      </c>
      <c r="AD91" s="500" t="str">
        <f t="shared" si="27"/>
        <v>上昇トレンド▲</v>
      </c>
      <c r="AE91" s="500" t="str">
        <f t="shared" si="28"/>
        <v>なし</v>
      </c>
      <c r="AF91" s="403" cm="1">
        <f t="array" ref="AF91">IF(C91="","",IFERROR((INDEX(終値!$E:$E,MATCH(TEXT(C91,"0"),終値!$A:$A,0))-INDEX(終値!$E:$BL,MATCH(TEXT(C91,"0"),終値!$A:$A,0),$AL$2))/INDEX(終値!$E:$BL,MATCH(TEXT(C91,"0"),終値!$A:$A,0),$AL$2)*100,""))</f>
        <v>18.590704647676162</v>
      </c>
      <c r="AG91" s="403" cm="1">
        <f t="array" ref="AG91">IFERROR((終値!$E$5-INDEX(終値!$E$5:$BL$5,1,$AL$2))/INDEX(終値!$E$5:$BL$5,1,$AL$2)*100,"")</f>
        <v>3.4532270246721688</v>
      </c>
      <c r="AH91" s="404">
        <f t="shared" si="30"/>
        <v>15.137477623003994</v>
      </c>
      <c r="AI91" s="402">
        <f t="shared" si="31"/>
        <v>3</v>
      </c>
    </row>
    <row r="92" spans="1:35" s="192" customFormat="1" ht="18" customHeight="1">
      <c r="A92" s="181" t="str">
        <f>IF(銘柄管理!B35&lt;&gt;"",HYPERLINK("https://kabutan.jp/stock/?code="&amp;銘柄管理!B35,"株探"),"")</f>
        <v>株探</v>
      </c>
      <c r="B92" s="182"/>
      <c r="C92" s="183">
        <f>IF(銘柄管理!B35="","",銘柄管理!B35)</f>
        <v>8308</v>
      </c>
      <c r="D92" s="111" t="str">
        <f>IF(銘柄管理!C35="","",銘柄管理!C35)</f>
        <v>りそなホールディングス</v>
      </c>
      <c r="E92" s="184">
        <f>IF(C92&lt;&gt;"",_xll.RssMarket(C92,"現在値"),"")</f>
        <v>2161.5</v>
      </c>
      <c r="F92" s="184">
        <f>IF(C92&lt;&gt;"",_xll.RssMarket(C92,"始値"),"")</f>
        <v>2222.5</v>
      </c>
      <c r="G92" s="183">
        <f>IF(C92&lt;&gt;"",終値!F35,"")</f>
        <v>2144.5</v>
      </c>
      <c r="H92" s="184">
        <f>IF(C92&lt;&gt;"",_xll.RssMarket(C92,"高値"),"")</f>
        <v>2232.5</v>
      </c>
      <c r="I92" s="184">
        <f>IF(C92&lt;&gt;"",_xll.RssMarket(C92,"安値"),"")</f>
        <v>2160.5</v>
      </c>
      <c r="J92" s="184">
        <f>IF(C92&lt;&gt;"",_xll.RssMarket(C92,"出来高"),"")</f>
        <v>10336500</v>
      </c>
      <c r="K92" s="184">
        <f>IF(C92&lt;&gt;"",_xll.RssMarket(C92,"年初来高値"),"")</f>
        <v>2277.5</v>
      </c>
      <c r="L92" s="185">
        <f t="shared" si="22"/>
        <v>-5.0933040614709109</v>
      </c>
      <c r="M92" s="184">
        <f>IF(C92&lt;&gt;"",IFERROR(AVERAGE(出来高!E35:I35),""),"")</f>
        <v>12107100</v>
      </c>
      <c r="N92" s="184">
        <f>IF(C92&lt;&gt;"",IFERROR(AVERAGE(出来高!E35:AC35),""),"")</f>
        <v>9755540</v>
      </c>
      <c r="O92" s="186">
        <f t="shared" si="23"/>
        <v>0.85375523453180369</v>
      </c>
      <c r="P92" s="181" t="str">
        <f t="shared" si="24"/>
        <v>減少↓</v>
      </c>
      <c r="Q92" s="181" t="str">
        <f t="shared" si="25"/>
        <v>中立→</v>
      </c>
      <c r="R92" s="184">
        <f t="shared" si="32"/>
        <v>2334</v>
      </c>
      <c r="S92" s="184">
        <f t="shared" si="33"/>
        <v>2075</v>
      </c>
      <c r="T92" s="181">
        <f t="shared" si="29"/>
        <v>9</v>
      </c>
      <c r="U92" s="181" t="str">
        <f t="shared" si="34"/>
        <v>要確認</v>
      </c>
      <c r="V92" s="181" t="str">
        <f t="shared" si="26"/>
        <v>高値圏</v>
      </c>
      <c r="W92" s="187">
        <f t="array" ref="W92">IF(C92&lt;&gt;"",IFERROR(100-100/(1+SUMPRODUCT((終値!F35:R35&gt;終値!G35:S35)*( 終値!F35:R35-終値!G35:S35))/SUMPRODUCT((終値!F35:R35&lt;終値!G35:S35)*(終値!G35:S35-終値!F35:R35))),50),"")</f>
        <v>52.827586206896548</v>
      </c>
      <c r="X92" s="188">
        <f>IF(C92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9.6562894295875594</v>
      </c>
      <c r="Y92" s="1" t="str">
        <f>IF(T92="","",IF(銘柄管理!$F$5="下落▼",IF(AND(AD92="パーフェクト▲",OR(AE92="25日線押し目●",AE92="5日線押し目○")),"★逆張り候補",IF(AND(AD92="上昇トレンド▲",OR(AE92="25日線押し目●",AE92="5日線押し目○")),"○逆張り候補",IF(W92&lt;=30,IF(Z92&gt;0,"◎反発確認",IF(Z92&lt;-5,"△要注意・様子見","△売られ過ぎ注目")),"相場下落・見送り"))),IF(AND(T92&gt;=12,AD92="パーフェクト▲"),"★強い買い",IF(AND(T92&gt;=12,AD92="上昇トレンド▲"),"★強い買い",IF(AND(T92&gt;=8,OR(AE92="25日線押し目●",AE92="5日線押し目○")),"◎押し目買い",IF(T92&gt;=10,"○買い候補",IF(T92&gt;=6,"△注目",IF(T92&gt;=3,"様子見","見送り"))))))))</f>
        <v>△注目</v>
      </c>
      <c r="Z92" s="189">
        <f t="shared" si="35"/>
        <v>0.79272557705758928</v>
      </c>
      <c r="AA92" s="181" t="str">
        <f t="shared" si="36"/>
        <v>上昇▲</v>
      </c>
      <c r="AB92" s="497">
        <f>IF(C92="","",IFERROR(((終値!E94*0.333)+(終値!F94*0.222)+(終値!G94*0.148)+(終値!H94*0.099)+(終値!I94*0.066)+(終値!J94*0.044)+(終値!K94*0.029)+(終値!L94*0.019)+(終値!M94*0.013)+(終値!N94*0.009))/(0.333+0.222+0.148+0.099+0.066+0.044+0.029+0.019+0.013+0.009),""))</f>
        <v>1775.0035641547859</v>
      </c>
      <c r="AC92" s="497">
        <f>IF(C92="","",IFERROR(SUMPRODUCT((終値!E94:AC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1755.2973778307505</v>
      </c>
      <c r="AD92" s="498" t="str">
        <f t="shared" si="27"/>
        <v>パーフェクト▲</v>
      </c>
      <c r="AE92" s="498" t="str">
        <f t="shared" si="28"/>
        <v>なし</v>
      </c>
      <c r="AF92" s="403" cm="1">
        <f t="array" ref="AF92">IF(C92="","",IFERROR((INDEX(終値!$E:$E,MATCH(TEXT(C92,"0"),終値!$A:$A,0))-INDEX(終値!$E:$BL,MATCH(TEXT(C92,"0"),終値!$A:$A,0),$AL$2))/INDEX(終値!$E:$BL,MATCH(TEXT(C92,"0"),終値!$A:$A,0),$AL$2)*100,""))</f>
        <v>5.5935515388373229</v>
      </c>
      <c r="AG92" s="403" cm="1">
        <f t="array" ref="AG92">IFERROR((終値!$E$5-INDEX(終値!$E$5:$BL$5,1,$AL$2))/INDEX(終値!$E$5:$BL$5,1,$AL$2)*100,"")</f>
        <v>3.4532270246721688</v>
      </c>
      <c r="AH92" s="404">
        <f t="shared" si="30"/>
        <v>2.1403245141651541</v>
      </c>
      <c r="AI92" s="402">
        <f t="shared" si="31"/>
        <v>1</v>
      </c>
    </row>
    <row r="93" spans="1:35" s="192" customFormat="1" ht="18" customHeight="1">
      <c r="A93" s="181" t="str">
        <f>IF(銘柄管理!B36&lt;&gt;"",HYPERLINK("https://kabutan.jp/stock/?code="&amp;銘柄管理!B36,"株探"),"")</f>
        <v>株探</v>
      </c>
      <c r="B93" s="182"/>
      <c r="C93" s="183">
        <f>IF(銘柄管理!B36="","",銘柄管理!B36)</f>
        <v>5938</v>
      </c>
      <c r="D93" s="111" t="str">
        <f>IF(銘柄管理!C36="","",銘柄管理!C36)</f>
        <v>ＬＩＸＩＬ</v>
      </c>
      <c r="E93" s="184">
        <f>IF(C93&lt;&gt;"",_xll.RssMarket(C93,"現在値"),"")</f>
        <v>1721.5</v>
      </c>
      <c r="F93" s="184">
        <f>IF(C93&lt;&gt;"",_xll.RssMarket(C93,"始値"),"")</f>
        <v>1728</v>
      </c>
      <c r="G93" s="183">
        <f>IF(C93&lt;&gt;"",終値!F36,"")</f>
        <v>1736</v>
      </c>
      <c r="H93" s="184">
        <f>IF(C93&lt;&gt;"",_xll.RssMarket(C93,"高値"),"")</f>
        <v>1743.5</v>
      </c>
      <c r="I93" s="184">
        <f>IF(C93&lt;&gt;"",_xll.RssMarket(C93,"安値"),"")</f>
        <v>1717</v>
      </c>
      <c r="J93" s="184">
        <f>IF(C93&lt;&gt;"",_xll.RssMarket(C93,"出来高"),"")</f>
        <v>1721200</v>
      </c>
      <c r="K93" s="184">
        <f>IF(C93&lt;&gt;"",_xll.RssMarket(C93,"年初来高値"),"")</f>
        <v>1943</v>
      </c>
      <c r="L93" s="185">
        <f t="shared" si="22"/>
        <v>-11.399897066392176</v>
      </c>
      <c r="M93" s="184">
        <f>IF(C93&lt;&gt;"",IFERROR(AVERAGE(出来高!E36:I36),""),"")</f>
        <v>1866440</v>
      </c>
      <c r="N93" s="184">
        <f>IF(C93&lt;&gt;"",IFERROR(AVERAGE(出来高!E36:AC36),""),"")</f>
        <v>1776320</v>
      </c>
      <c r="O93" s="186">
        <f t="shared" si="23"/>
        <v>0.92218340798525533</v>
      </c>
      <c r="P93" s="181" t="str">
        <f t="shared" si="24"/>
        <v>減少↓</v>
      </c>
      <c r="Q93" s="181" t="str">
        <f t="shared" si="25"/>
        <v>様子見▼</v>
      </c>
      <c r="R93" s="184">
        <f t="shared" si="32"/>
        <v>1859</v>
      </c>
      <c r="S93" s="184">
        <f t="shared" si="33"/>
        <v>1653</v>
      </c>
      <c r="T93" s="181">
        <f t="shared" si="29"/>
        <v>3</v>
      </c>
      <c r="U93" s="181" t="str">
        <f t="shared" si="34"/>
        <v>要確認</v>
      </c>
      <c r="V93" s="181" t="str">
        <f t="shared" si="26"/>
        <v>通常</v>
      </c>
      <c r="W93" s="187">
        <f t="array" ref="W93">IF(C93&lt;&gt;"",IFERROR(100-100/(1+SUMPRODUCT((終値!F36:R36&gt;終値!G36:S36)*( 終値!F36:R36-終値!G36:S36))/SUMPRODUCT((終値!F36:R36&lt;終値!G36:S36)*(終値!G36:S36-終値!F36:R36))),50),"")</f>
        <v>75.138121546961329</v>
      </c>
      <c r="X93" s="188">
        <f>IF(C93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10.28163123559716</v>
      </c>
      <c r="Y93" s="1" t="str">
        <f>IF(T93="","",IF(銘柄管理!$F$5="下落▼",IF(AND(AD93="パーフェクト▲",OR(AE93="25日線押し目●",AE93="5日線押し目○")),"★逆張り候補",IF(AND(AD93="上昇トレンド▲",OR(AE93="25日線押し目●",AE93="5日線押し目○")),"○逆張り候補",IF(W93&lt;=30,IF(Z93&gt;0,"◎反発確認",IF(Z93&lt;-5,"△要注意・様子見","△売られ過ぎ注目")),"相場下落・見送り"))),IF(AND(T93&gt;=12,AD93="パーフェクト▲"),"★強い買い",IF(AND(T93&gt;=12,AD93="上昇トレンド▲"),"★強い買い",IF(AND(T93&gt;=8,OR(AE93="25日線押し目●",AE93="5日線押し目○")),"◎押し目買い",IF(T93&gt;=10,"○買い候補",IF(T93&gt;=6,"△注目",IF(T93&gt;=3,"様子見","見送り"))))))))</f>
        <v>様子見</v>
      </c>
      <c r="Z93" s="189">
        <f t="shared" si="35"/>
        <v>-0.83525345622119818</v>
      </c>
      <c r="AA93" s="181" t="str">
        <f t="shared" si="36"/>
        <v>下落▼</v>
      </c>
      <c r="AB93" s="499">
        <f>IF(C93="","",IFERROR(((終値!E95*0.333)+(終値!F95*0.222)+(終値!G95*0.148)+(終値!H95*0.099)+(終値!I95*0.066)+(終値!J95*0.044)+(終値!K95*0.029)+(終値!L95*0.019)+(終値!M95*0.013)+(終値!N95*0.009))/(0.333+0.222+0.148+0.099+0.066+0.044+0.029+0.019+0.013+0.009),""))</f>
        <v>1297.6496945010181</v>
      </c>
      <c r="AC93" s="499">
        <f>IF(C93="","",IFERROR(SUMPRODUCT((終値!E95:AC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1281.3146603098921</v>
      </c>
      <c r="AD93" s="500" t="str">
        <f t="shared" si="27"/>
        <v>パーフェクト▲</v>
      </c>
      <c r="AE93" s="500" t="str">
        <f t="shared" si="28"/>
        <v>なし</v>
      </c>
      <c r="AF93" s="403" cm="1">
        <f t="array" ref="AF93">IF(C93="","",IFERROR((INDEX(終値!$E:$E,MATCH(TEXT(C93,"0"),終値!$A:$A,0))-INDEX(終値!$E:$BL,MATCH(TEXT(C93,"0"),終値!$A:$A,0),$AL$2))/INDEX(終値!$E:$BL,MATCH(TEXT(C93,"0"),終値!$A:$A,0),$AL$2)*100,""))</f>
        <v>2.8375149342891275</v>
      </c>
      <c r="AG93" s="403" cm="1">
        <f t="array" ref="AG93">IFERROR((終値!$E$5-INDEX(終値!$E$5:$BL$5,1,$AL$2))/INDEX(終値!$E$5:$BL$5,1,$AL$2)*100,"")</f>
        <v>3.4532270246721688</v>
      </c>
      <c r="AH93" s="404">
        <f t="shared" si="30"/>
        <v>-0.61571209038304131</v>
      </c>
      <c r="AI93" s="402">
        <f t="shared" si="31"/>
        <v>-1</v>
      </c>
    </row>
    <row r="94" spans="1:35" s="192" customFormat="1" ht="18" customHeight="1">
      <c r="A94" s="181" t="str">
        <f>IF(銘柄管理!B37&lt;&gt;"",HYPERLINK("https://kabutan.jp/stock/?code="&amp;銘柄管理!B37,"株探"),"")</f>
        <v>株探</v>
      </c>
      <c r="B94" s="182"/>
      <c r="C94" s="183">
        <f>IF(銘柄管理!B37="","",銘柄管理!B37)</f>
        <v>8570</v>
      </c>
      <c r="D94" s="111" t="str">
        <f>IF(銘柄管理!C37="","",銘柄管理!C37)</f>
        <v>イオンフィナンシャルサービス</v>
      </c>
      <c r="E94" s="184">
        <f>IF(C94&lt;&gt;"",_xll.RssMarket(C94,"現在値"),"")</f>
        <v>1491.5</v>
      </c>
      <c r="F94" s="184">
        <f>IF(C94&lt;&gt;"",_xll.RssMarket(C94,"始値"),"")</f>
        <v>1514</v>
      </c>
      <c r="G94" s="183">
        <f>IF(C94&lt;&gt;"",終値!F37,"")</f>
        <v>1499.5</v>
      </c>
      <c r="H94" s="184">
        <f>IF(C94&lt;&gt;"",_xll.RssMarket(C94,"高値"),"")</f>
        <v>1519</v>
      </c>
      <c r="I94" s="184">
        <f>IF(C94&lt;&gt;"",_xll.RssMarket(C94,"安値"),"")</f>
        <v>1491.5</v>
      </c>
      <c r="J94" s="184">
        <f>IF(C94&lt;&gt;"",_xll.RssMarket(C94,"出来高"),"")</f>
        <v>338900</v>
      </c>
      <c r="K94" s="184">
        <f>IF(C94&lt;&gt;"",_xll.RssMarket(C94,"年初来高値"),"")</f>
        <v>1860</v>
      </c>
      <c r="L94" s="185">
        <f t="shared" si="22"/>
        <v>-19.811827956989248</v>
      </c>
      <c r="M94" s="184">
        <f>IF(C94&lt;&gt;"",IFERROR(AVERAGE(出来高!E37:I37),""),"")</f>
        <v>499400</v>
      </c>
      <c r="N94" s="184">
        <f>IF(C94&lt;&gt;"",IFERROR(AVERAGE(出来高!E37:AC37),""),"")</f>
        <v>587596</v>
      </c>
      <c r="O94" s="186">
        <f t="shared" si="23"/>
        <v>0.67861433720464559</v>
      </c>
      <c r="P94" s="181" t="str">
        <f t="shared" si="24"/>
        <v>減少↓</v>
      </c>
      <c r="Q94" s="181" t="str">
        <f t="shared" si="25"/>
        <v>様子見▼</v>
      </c>
      <c r="R94" s="184">
        <f t="shared" si="32"/>
        <v>1611</v>
      </c>
      <c r="S94" s="184">
        <f t="shared" si="33"/>
        <v>1432</v>
      </c>
      <c r="T94" s="181">
        <f t="shared" si="29"/>
        <v>0</v>
      </c>
      <c r="U94" s="181" t="str">
        <f t="shared" si="34"/>
        <v>除外</v>
      </c>
      <c r="V94" s="181" t="str">
        <f t="shared" si="26"/>
        <v>通常</v>
      </c>
      <c r="W94" s="187">
        <f t="array" ref="W94">IF(C94&lt;&gt;"",IFERROR(100-100/(1+SUMPRODUCT((終値!F37:R37&gt;終値!G37:S37)*( 終値!F37:R37-終値!G37:S37))/SUMPRODUCT((終値!F37:R37&lt;終値!G37:S37)*(終値!G37:S37-終値!F37:R37))),50),"")</f>
        <v>37.209302325581397</v>
      </c>
      <c r="X94" s="188">
        <f>IF(C94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-11.879096199236301</v>
      </c>
      <c r="Y94" s="1" t="str">
        <f>IF(T94="","",IF(銘柄管理!$F$5="下落▼",IF(AND(AD94="パーフェクト▲",OR(AE94="25日線押し目●",AE94="5日線押し目○")),"★逆張り候補",IF(AND(AD94="上昇トレンド▲",OR(AE94="25日線押し目●",AE94="5日線押し目○")),"○逆張り候補",IF(W94&lt;=30,IF(Z94&gt;0,"◎反発確認",IF(Z94&lt;-5,"△要注意・様子見","△売られ過ぎ注目")),"相場下落・見送り"))),IF(AND(T94&gt;=12,AD94="パーフェクト▲"),"★強い買い",IF(AND(T94&gt;=12,AD94="上昇トレンド▲"),"★強い買い",IF(AND(T94&gt;=8,OR(AE94="25日線押し目●",AE94="5日線押し目○")),"◎押し目買い",IF(T94&gt;=10,"○買い候補",IF(T94&gt;=6,"△注目",IF(T94&gt;=3,"様子見","見送り"))))))))</f>
        <v>見送り</v>
      </c>
      <c r="Z94" s="189">
        <f t="shared" si="35"/>
        <v>-0.53351117039012996</v>
      </c>
      <c r="AA94" s="181" t="str">
        <f t="shared" si="36"/>
        <v>下落▼</v>
      </c>
      <c r="AB94" s="497">
        <f>IF(C94="","",IFERROR(((終値!E96*0.333)+(終値!F96*0.222)+(終値!G96*0.148)+(終値!H96*0.099)+(終値!I96*0.066)+(終値!J96*0.044)+(終値!K96*0.029)+(終値!L96*0.019)+(終値!M96*0.013)+(終値!N96*0.009))/(0.333+0.222+0.148+0.099+0.066+0.044+0.029+0.019+0.013+0.009),""))</f>
        <v>21289.796334012222</v>
      </c>
      <c r="AC94" s="497">
        <f>IF(C94="","",IFERROR(SUMPRODUCT((終値!E96:AC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19716.889153754459</v>
      </c>
      <c r="AD94" s="498" t="str">
        <f t="shared" si="27"/>
        <v>もみ合い→</v>
      </c>
      <c r="AE94" s="498" t="str">
        <f t="shared" si="28"/>
        <v>なし</v>
      </c>
      <c r="AF94" s="403" cm="1">
        <f t="array" ref="AF94">IF(C94="","",IFERROR((INDEX(終値!$E:$E,MATCH(TEXT(C94,"0"),終値!$A:$A,0))-INDEX(終値!$E:$BL,MATCH(TEXT(C94,"0"),終値!$A:$A,0),$AL$2))/INDEX(終値!$E:$BL,MATCH(TEXT(C94,"0"),終値!$A:$A,0),$AL$2)*100,""))</f>
        <v>-2.67536704730832</v>
      </c>
      <c r="AG94" s="403" cm="1">
        <f t="array" ref="AG94">IFERROR((終値!$E$5-INDEX(終値!$E$5:$BL$5,1,$AL$2))/INDEX(終値!$E$5:$BL$5,1,$AL$2)*100,"")</f>
        <v>3.4532270246721688</v>
      </c>
      <c r="AH94" s="404">
        <f t="shared" si="30"/>
        <v>-6.1285940719804888</v>
      </c>
      <c r="AI94" s="402">
        <f t="shared" si="31"/>
        <v>-2</v>
      </c>
    </row>
    <row r="95" spans="1:35" s="192" customFormat="1" ht="18" customHeight="1">
      <c r="A95" s="181" t="str">
        <f>IF(銘柄管理!B38&lt;&gt;"",HYPERLINK("https://kabutan.jp/stock/?code="&amp;銘柄管理!B38,"株探"),"")</f>
        <v>株探</v>
      </c>
      <c r="B95" s="182"/>
      <c r="C95" s="183">
        <f>IF(銘柄管理!B38="","",銘柄管理!B38)</f>
        <v>5406</v>
      </c>
      <c r="D95" s="111" t="str">
        <f>IF(銘柄管理!C38="","",銘柄管理!C38)</f>
        <v>神戸製鋼所</v>
      </c>
      <c r="E95" s="184">
        <f>IF(C95&lt;&gt;"",_xll.RssMarket(C95,"現在値"),"")</f>
        <v>1978</v>
      </c>
      <c r="F95" s="184">
        <f>IF(C95&lt;&gt;"",_xll.RssMarket(C95,"始値"),"")</f>
        <v>1989.5</v>
      </c>
      <c r="G95" s="183">
        <f>IF(C95&lt;&gt;"",終値!F38,"")</f>
        <v>1989.5</v>
      </c>
      <c r="H95" s="184">
        <f>IF(C95&lt;&gt;"",_xll.RssMarket(C95,"高値"),"")</f>
        <v>1995</v>
      </c>
      <c r="I95" s="184">
        <f>IF(C95&lt;&gt;"",_xll.RssMarket(C95,"安値"),"")</f>
        <v>1973</v>
      </c>
      <c r="J95" s="184">
        <f>IF(C95&lt;&gt;"",_xll.RssMarket(C95,"出来高"),"")</f>
        <v>1310000</v>
      </c>
      <c r="K95" s="184">
        <f>IF(C95&lt;&gt;"",_xll.RssMarket(C95,"年初来高値"),"")</f>
        <v>2379.5</v>
      </c>
      <c r="L95" s="185">
        <f t="shared" si="22"/>
        <v>-16.873292708552217</v>
      </c>
      <c r="M95" s="184">
        <f>IF(C95&lt;&gt;"",IFERROR(AVERAGE(出来高!E38:I38),""),"")</f>
        <v>1718500</v>
      </c>
      <c r="N95" s="184">
        <f>IF(C95&lt;&gt;"",IFERROR(AVERAGE(出来高!E38:AC38),""),"")</f>
        <v>2605132</v>
      </c>
      <c r="O95" s="186">
        <f t="shared" si="23"/>
        <v>0.76229269711958103</v>
      </c>
      <c r="P95" s="181" t="str">
        <f t="shared" si="24"/>
        <v>減少↓</v>
      </c>
      <c r="Q95" s="181" t="str">
        <f t="shared" si="25"/>
        <v>様子見▼</v>
      </c>
      <c r="R95" s="184">
        <f t="shared" si="32"/>
        <v>2136</v>
      </c>
      <c r="S95" s="184">
        <f t="shared" si="33"/>
        <v>1899</v>
      </c>
      <c r="T95" s="181">
        <f t="shared" si="29"/>
        <v>0</v>
      </c>
      <c r="U95" s="181" t="str">
        <f t="shared" si="34"/>
        <v>除外</v>
      </c>
      <c r="V95" s="181" t="str">
        <f t="shared" si="26"/>
        <v>通常</v>
      </c>
      <c r="W95" s="187">
        <f t="array" ref="W95">IF(C95&lt;&gt;"",IFERROR(100-100/(1+SUMPRODUCT((終値!F38:R38&gt;終値!G38:S38)*( 終値!F38:R38-終値!G38:S38))/SUMPRODUCT((終値!F38:R38&lt;終値!G38:S38)*(終値!G38:S38-終値!F38:R38))),50),"")</f>
        <v>55.25362318840579</v>
      </c>
      <c r="X95" s="188">
        <f>IF(C95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0.75855659352328075</v>
      </c>
      <c r="Y95" s="1" t="str">
        <f>IF(T95="","",IF(銘柄管理!$F$5="下落▼",IF(AND(AD95="パーフェクト▲",OR(AE95="25日線押し目●",AE95="5日線押し目○")),"★逆張り候補",IF(AND(AD95="上昇トレンド▲",OR(AE95="25日線押し目●",AE95="5日線押し目○")),"○逆張り候補",IF(W95&lt;=30,IF(Z95&gt;0,"◎反発確認",IF(Z95&lt;-5,"△要注意・様子見","△売られ過ぎ注目")),"相場下落・見送り"))),IF(AND(T95&gt;=12,AD95="パーフェクト▲"),"★強い買い",IF(AND(T95&gt;=12,AD95="上昇トレンド▲"),"★強い買い",IF(AND(T95&gt;=8,OR(AE95="25日線押し目●",AE95="5日線押し目○")),"◎押し目買い",IF(T95&gt;=10,"○買い候補",IF(T95&gt;=6,"△注目",IF(T95&gt;=3,"様子見","見送り"))))))))</f>
        <v>見送り</v>
      </c>
      <c r="Z95" s="189">
        <f t="shared" si="35"/>
        <v>-0.57803468208092479</v>
      </c>
      <c r="AA95" s="181" t="str">
        <f t="shared" si="36"/>
        <v>下落▼</v>
      </c>
      <c r="AB95" s="499">
        <f>IF(C95="","",IFERROR(((終値!E97*0.333)+(終値!F97*0.222)+(終値!G97*0.148)+(終値!H97*0.099)+(終値!I97*0.066)+(終値!J97*0.044)+(終値!K97*0.029)+(終値!L97*0.019)+(終値!M97*0.013)+(終値!N97*0.009))/(0.333+0.222+0.148+0.099+0.066+0.044+0.029+0.019+0.013+0.009),""))</f>
        <v>4955.9093686354372</v>
      </c>
      <c r="AC95" s="499">
        <f>IF(C95="","",IFERROR(SUMPRODUCT((終値!E97:AC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5002.7723480333716</v>
      </c>
      <c r="AD95" s="500" t="str">
        <f t="shared" si="27"/>
        <v>下降トレンド▼</v>
      </c>
      <c r="AE95" s="500" t="str">
        <f t="shared" si="28"/>
        <v>なし</v>
      </c>
      <c r="AF95" s="403" cm="1">
        <f t="array" ref="AF95">IF(C95="","",IFERROR((INDEX(終値!$E:$E,MATCH(TEXT(C95,"0"),終値!$A:$A,0))-INDEX(終値!$E:$BL,MATCH(TEXT(C95,"0"),終値!$A:$A,0),$AL$2))/INDEX(終値!$E:$BL,MATCH(TEXT(C95,"0"),終値!$A:$A,0),$AL$2)*100,""))</f>
        <v>-7.5776711290729978E-2</v>
      </c>
      <c r="AG95" s="403" cm="1">
        <f t="array" ref="AG95">IFERROR((終値!$E$5-INDEX(終値!$E$5:$BL$5,1,$AL$2))/INDEX(終値!$E$5:$BL$5,1,$AL$2)*100,"")</f>
        <v>3.4532270246721688</v>
      </c>
      <c r="AH95" s="404">
        <f t="shared" si="30"/>
        <v>-3.529003735962899</v>
      </c>
      <c r="AI95" s="402">
        <f t="shared" si="31"/>
        <v>-2</v>
      </c>
    </row>
    <row r="96" spans="1:35" s="192" customFormat="1" ht="18" customHeight="1">
      <c r="A96" s="181" t="str">
        <f>IF(銘柄管理!B42&lt;&gt;"",HYPERLINK("https://kabutan.jp/stock/?code="&amp;銘柄管理!B42,"株探"),"")</f>
        <v>株探</v>
      </c>
      <c r="B96" s="182"/>
      <c r="C96" s="183">
        <f>IF(銘柄管理!B42="","",銘柄管理!B42)</f>
        <v>5947</v>
      </c>
      <c r="D96" s="111" t="str">
        <f>IF(銘柄管理!C42="","",銘柄管理!C42)</f>
        <v>リンナイ</v>
      </c>
      <c r="E96" s="184">
        <f>IF(C96&lt;&gt;"",_xll.RssMarket(C96,"現在値"),"")</f>
        <v>3465</v>
      </c>
      <c r="F96" s="184">
        <f>IF(C96&lt;&gt;"",_xll.RssMarket(C96,"始値"),"")</f>
        <v>3428</v>
      </c>
      <c r="G96" s="183">
        <f>IF(C96&lt;&gt;"",終値!F42,"")</f>
        <v>3421</v>
      </c>
      <c r="H96" s="184">
        <f>IF(C96&lt;&gt;"",_xll.RssMarket(C96,"高値"),"")</f>
        <v>3465</v>
      </c>
      <c r="I96" s="184">
        <f>IF(C96&lt;&gt;"",_xll.RssMarket(C96,"安値"),"")</f>
        <v>3428</v>
      </c>
      <c r="J96" s="184">
        <f>IF(C96&lt;&gt;"",_xll.RssMarket(C96,"出来高"),"")</f>
        <v>423300</v>
      </c>
      <c r="K96" s="184">
        <f>IF(C96&lt;&gt;"",_xll.RssMarket(C96,"年初来高値"),"")</f>
        <v>4456</v>
      </c>
      <c r="L96" s="185">
        <f t="shared" si="22"/>
        <v>-22.239676840215438</v>
      </c>
      <c r="M96" s="184">
        <f>IF(C96&lt;&gt;"",IFERROR(AVERAGE(出来高!E42:I42),""),"")</f>
        <v>423760</v>
      </c>
      <c r="N96" s="184">
        <f>IF(C96&lt;&gt;"",IFERROR(AVERAGE(出来高!E42:AC42),""),"")</f>
        <v>535212</v>
      </c>
      <c r="O96" s="186">
        <f t="shared" si="23"/>
        <v>0.99891447989427973</v>
      </c>
      <c r="P96" s="181" t="str">
        <f t="shared" si="24"/>
        <v>減少↓</v>
      </c>
      <c r="Q96" s="181" t="str">
        <f t="shared" si="25"/>
        <v>中立→</v>
      </c>
      <c r="R96" s="184">
        <f t="shared" si="32"/>
        <v>3742</v>
      </c>
      <c r="S96" s="184">
        <f t="shared" si="33"/>
        <v>3326</v>
      </c>
      <c r="T96" s="181">
        <f t="shared" si="29"/>
        <v>6</v>
      </c>
      <c r="U96" s="181" t="str">
        <f t="shared" si="34"/>
        <v>要確認</v>
      </c>
      <c r="V96" s="181" t="str">
        <f t="shared" si="26"/>
        <v>通常</v>
      </c>
      <c r="W96" s="187">
        <f t="array" ref="W96">IF(C96&lt;&gt;"",IFERROR(100-100/(1+SUMPRODUCT((終値!F42:R42&gt;終値!G42:S42)*( 終値!F42:R42-終値!G42:S42))/SUMPRODUCT((終値!F42:R42&lt;終値!G42:S42)*(終値!G42:S42-終値!F42:R42))),50),"")</f>
        <v>41.650294695481328</v>
      </c>
      <c r="X96" s="188">
        <f>IF(C96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-4.6373771588005184</v>
      </c>
      <c r="Y96" s="1" t="str">
        <f>IF(T96="","",IF(銘柄管理!$F$5="下落▼",IF(AND(AD96="パーフェクト▲",OR(AE96="25日線押し目●",AE96="5日線押し目○")),"★逆張り候補",IF(AND(AD96="上昇トレンド▲",OR(AE96="25日線押し目●",AE96="5日線押し目○")),"○逆張り候補",IF(W96&lt;=30,IF(Z96&gt;0,"◎反発確認",IF(Z96&lt;-5,"△要注意・様子見","△売られ過ぎ注目")),"相場下落・見送り"))),IF(AND(T96&gt;=12,AD96="パーフェクト▲"),"★強い買い",IF(AND(T96&gt;=12,AD96="上昇トレンド▲"),"★強い買い",IF(AND(T96&gt;=8,OR(AE96="25日線押し目●",AE96="5日線押し目○")),"◎押し目買い",IF(T96&gt;=10,"○買い候補",IF(T96&gt;=6,"△注目",IF(T96&gt;=3,"様子見","見送り"))))))))</f>
        <v>△注目</v>
      </c>
      <c r="Z96" s="189">
        <f t="shared" si="35"/>
        <v>1.2861736334405145</v>
      </c>
      <c r="AA96" s="181" t="str">
        <f t="shared" si="36"/>
        <v>上昇▲</v>
      </c>
      <c r="AB96" s="497">
        <f>IF(C96="","",IFERROR(((終値!E98*0.333)+(終値!F98*0.222)+(終値!G98*0.148)+(終値!H98*0.099)+(終値!I98*0.066)+(終値!J98*0.044)+(終値!K98*0.029)+(終値!L98*0.019)+(終値!M98*0.013)+(終値!N98*0.009))/(0.333+0.222+0.148+0.099+0.066+0.044+0.029+0.019+0.013+0.009),""))</f>
        <v>1095.4511201629327</v>
      </c>
      <c r="AC96" s="497">
        <f>IF(C96="","",IFERROR(SUMPRODUCT((終値!E98:AC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1070.4723480333728</v>
      </c>
      <c r="AD96" s="498" t="str">
        <f t="shared" si="27"/>
        <v>パーフェクト▲</v>
      </c>
      <c r="AE96" s="498" t="str">
        <f t="shared" si="28"/>
        <v>なし</v>
      </c>
      <c r="AF96" s="403" cm="1">
        <f t="array" ref="AF96">IF(C96="","",IFERROR((INDEX(終値!$E:$E,MATCH(TEXT(C96,"0"),終値!$A:$A,0))-INDEX(終値!$E:$BL,MATCH(TEXT(C96,"0"),終値!$A:$A,0),$AL$2))/INDEX(終値!$E:$BL,MATCH(TEXT(C96,"0"),終値!$A:$A,0),$AL$2)*100,""))</f>
        <v>3.5564853556485359</v>
      </c>
      <c r="AG96" s="403" cm="1">
        <f t="array" ref="AG96">IFERROR((終値!$E$5-INDEX(終値!$E$5:$BL$5,1,$AL$2))/INDEX(終値!$E$5:$BL$5,1,$AL$2)*100,"")</f>
        <v>3.4532270246721688</v>
      </c>
      <c r="AH96" s="404">
        <f t="shared" si="30"/>
        <v>0.10325833097636705</v>
      </c>
      <c r="AI96" s="402">
        <f t="shared" si="31"/>
        <v>1</v>
      </c>
    </row>
    <row r="97" spans="1:35" s="192" customFormat="1" ht="18" customHeight="1">
      <c r="A97" s="181" t="str">
        <f>IF(銘柄管理!B51&lt;&gt;"",HYPERLINK("https://kabutan.jp/stock/?code="&amp;銘柄管理!B51,"株探"),"")</f>
        <v>株探</v>
      </c>
      <c r="B97" s="182"/>
      <c r="C97" s="183">
        <f>IF(銘柄管理!B51="","",銘柄管理!B51)</f>
        <v>5449</v>
      </c>
      <c r="D97" s="111" t="str">
        <f>IF(銘柄管理!C51="","",銘柄管理!C51)</f>
        <v>大阪製鐵</v>
      </c>
      <c r="E97" s="184">
        <f>IF(C97&lt;&gt;"",_xll.RssMarket(C97,"現在値"),"")</f>
        <v>2238</v>
      </c>
      <c r="F97" s="184">
        <f>IF(C97&lt;&gt;"",_xll.RssMarket(C97,"始値"),"")</f>
        <v>2380</v>
      </c>
      <c r="G97" s="183">
        <f>IF(C97&lt;&gt;"",終値!F51,"")</f>
        <v>2406</v>
      </c>
      <c r="H97" s="184">
        <f>IF(C97&lt;&gt;"",_xll.RssMarket(C97,"高値"),"")</f>
        <v>2401</v>
      </c>
      <c r="I97" s="184">
        <f>IF(C97&lt;&gt;"",_xll.RssMarket(C97,"安値"),"")</f>
        <v>2238</v>
      </c>
      <c r="J97" s="184">
        <f>IF(C97&lt;&gt;"",_xll.RssMarket(C97,"出来高"),"")</f>
        <v>91100</v>
      </c>
      <c r="K97" s="184">
        <f>IF(C97&lt;&gt;"",_xll.RssMarket(C97,"年初来高値"),"")</f>
        <v>3935</v>
      </c>
      <c r="L97" s="185">
        <f t="shared" si="22"/>
        <v>-43.125794155019058</v>
      </c>
      <c r="M97" s="184">
        <f>IF(C97&lt;&gt;"",IFERROR(AVERAGE(出来高!E51:I51),""),"")</f>
        <v>48320</v>
      </c>
      <c r="N97" s="184">
        <f>IF(C97&lt;&gt;"",IFERROR(AVERAGE(出来高!E51:AC51),""),"")</f>
        <v>73132</v>
      </c>
      <c r="O97" s="186">
        <f t="shared" si="23"/>
        <v>1.8853476821192052</v>
      </c>
      <c r="P97" s="181" t="str">
        <f t="shared" si="24"/>
        <v>増加↑</v>
      </c>
      <c r="Q97" s="181" t="str">
        <f t="shared" si="25"/>
        <v>様子見▼</v>
      </c>
      <c r="R97" s="184">
        <f t="shared" si="32"/>
        <v>2417</v>
      </c>
      <c r="S97" s="184">
        <f t="shared" si="33"/>
        <v>2148</v>
      </c>
      <c r="T97" s="181">
        <f t="shared" si="29"/>
        <v>2</v>
      </c>
      <c r="U97" s="181" t="str">
        <f t="shared" si="34"/>
        <v>除外</v>
      </c>
      <c r="V97" s="181" t="str">
        <f t="shared" si="26"/>
        <v>通常</v>
      </c>
      <c r="W97" s="187">
        <f t="array" ref="W97">IF(C97&lt;&gt;"",IFERROR(100-100/(1+SUMPRODUCT((終値!F51:R51&gt;終値!G51:S51)*( 終値!F51:R51-終値!G51:S51))/SUMPRODUCT((終値!F51:R51&lt;終値!G51:S51)*(終値!G51:S51-終値!F51:R51))),50),"")</f>
        <v>44.191343963553528</v>
      </c>
      <c r="X97" s="188">
        <f>IF(C97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-20.047815028717196</v>
      </c>
      <c r="Y97" s="1" t="str">
        <f>IF(T97="","",IF(銘柄管理!$F$5="下落▼",IF(AND(AD97="パーフェクト▲",OR(AE97="25日線押し目●",AE97="5日線押し目○")),"★逆張り候補",IF(AND(AD97="上昇トレンド▲",OR(AE97="25日線押し目●",AE97="5日線押し目○")),"○逆張り候補",IF(W97&lt;=30,IF(Z97&gt;0,"◎反発確認",IF(Z97&lt;-5,"△要注意・様子見","△売られ過ぎ注目")),"相場下落・見送り"))),IF(AND(T97&gt;=12,AD97="パーフェクト▲"),"★強い買い",IF(AND(T97&gt;=12,AD97="上昇トレンド▲"),"★強い買い",IF(AND(T97&gt;=8,OR(AE97="25日線押し目●",AE97="5日線押し目○")),"◎押し目買い",IF(T97&gt;=10,"○買い候補",IF(T97&gt;=6,"△注目",IF(T97&gt;=3,"様子見","見送り"))))))))</f>
        <v>見送り</v>
      </c>
      <c r="Z97" s="189">
        <f t="shared" si="35"/>
        <v>-6.982543640897755</v>
      </c>
      <c r="AA97" s="181" t="str">
        <f t="shared" si="36"/>
        <v>下落▼</v>
      </c>
      <c r="AB97" s="499">
        <f>IF(C97="","",IFERROR(((終値!E99*0.333)+(終値!F99*0.222)+(終値!G99*0.148)+(終値!H99*0.099)+(終値!I99*0.066)+(終値!J99*0.044)+(終値!K99*0.029)+(終値!L99*0.019)+(終値!M99*0.013)+(終値!N99*0.009))/(0.333+0.222+0.148+0.099+0.066+0.044+0.029+0.019+0.013+0.009),""))</f>
        <v>3783.163951120162</v>
      </c>
      <c r="AC97" s="499">
        <f>IF(C97="","",IFERROR(SUMPRODUCT((終値!E99:AC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3932.8271752085802</v>
      </c>
      <c r="AD97" s="500" t="str">
        <f t="shared" si="27"/>
        <v>下降トレンド▼</v>
      </c>
      <c r="AE97" s="500" t="str">
        <f t="shared" si="28"/>
        <v>なし</v>
      </c>
      <c r="AF97" s="403" cm="1">
        <f t="array" ref="AF97">IF(C97="","",IFERROR((INDEX(終値!$E:$E,MATCH(TEXT(C97,"0"),終値!$A:$A,0))-INDEX(終値!$E:$BL,MATCH(TEXT(C97,"0"),終値!$A:$A,0),$AL$2))/INDEX(終値!$E:$BL,MATCH(TEXT(C97,"0"),終値!$A:$A,0),$AL$2)*100,""))</f>
        <v>-4.4814340588988477</v>
      </c>
      <c r="AG97" s="403" cm="1">
        <f t="array" ref="AG97">IFERROR((終値!$E$5-INDEX(終値!$E$5:$BL$5,1,$AL$2))/INDEX(終値!$E$5:$BL$5,1,$AL$2)*100,"")</f>
        <v>3.4532270246721688</v>
      </c>
      <c r="AH97" s="404">
        <f t="shared" si="30"/>
        <v>-7.934661083571017</v>
      </c>
      <c r="AI97" s="402">
        <f t="shared" si="31"/>
        <v>-2</v>
      </c>
    </row>
    <row r="98" spans="1:35" s="192" customFormat="1" ht="18" customHeight="1">
      <c r="A98" s="181" t="str">
        <f>IF(銘柄管理!B72&lt;&gt;"",HYPERLINK("https://kabutan.jp/stock/?code="&amp;銘柄管理!B72,"株探"),"")</f>
        <v>株探</v>
      </c>
      <c r="B98" s="182"/>
      <c r="C98" s="183">
        <f>IF(銘柄管理!B72="","",銘柄管理!B72)</f>
        <v>6027</v>
      </c>
      <c r="D98" s="111" t="str">
        <f>IF(銘柄管理!C72="","",銘柄管理!C72)</f>
        <v>弁護士ドットコム</v>
      </c>
      <c r="E98" s="184">
        <f>IF(C98&lt;&gt;"",_xll.RssMarket(C98,"現在値"),"")</f>
        <v>2134</v>
      </c>
      <c r="F98" s="184">
        <f>IF(C98&lt;&gt;"",_xll.RssMarket(C98,"始値"),"")</f>
        <v>2110</v>
      </c>
      <c r="G98" s="183">
        <f>IF(C98&lt;&gt;"",終値!F72,"")</f>
        <v>2105</v>
      </c>
      <c r="H98" s="184">
        <f>IF(C98&lt;&gt;"",_xll.RssMarket(C98,"高値"),"")</f>
        <v>2174</v>
      </c>
      <c r="I98" s="184">
        <f>IF(C98&lt;&gt;"",_xll.RssMarket(C98,"安値"),"")</f>
        <v>2097</v>
      </c>
      <c r="J98" s="184">
        <f>IF(C98&lt;&gt;"",_xll.RssMarket(C98,"出来高"),"")</f>
        <v>110400</v>
      </c>
      <c r="K98" s="184">
        <f>IF(C98&lt;&gt;"",_xll.RssMarket(C98,"年初来高値"),"")</f>
        <v>3490</v>
      </c>
      <c r="L98" s="185">
        <f t="shared" si="22"/>
        <v>-38.853868194842406</v>
      </c>
      <c r="M98" s="184">
        <f>IF(C98&lt;&gt;"",IFERROR(AVERAGE(出来高!E72:I72),""),"")</f>
        <v>101040</v>
      </c>
      <c r="N98" s="184">
        <f>IF(C98&lt;&gt;"",IFERROR(AVERAGE(出来高!E72:AC72),""),"")</f>
        <v>101704</v>
      </c>
      <c r="O98" s="186">
        <f t="shared" si="23"/>
        <v>1.0926365795724466</v>
      </c>
      <c r="P98" s="181" t="str">
        <f t="shared" si="24"/>
        <v>普通→</v>
      </c>
      <c r="Q98" s="181" t="str">
        <f t="shared" si="25"/>
        <v>中立→</v>
      </c>
      <c r="R98" s="184">
        <f t="shared" si="32"/>
        <v>2305</v>
      </c>
      <c r="S98" s="184">
        <f t="shared" si="33"/>
        <v>2049</v>
      </c>
      <c r="T98" s="181">
        <f t="shared" si="29"/>
        <v>3</v>
      </c>
      <c r="U98" s="181" t="str">
        <f t="shared" si="34"/>
        <v>要確認</v>
      </c>
      <c r="V98" s="181" t="str">
        <f t="shared" si="26"/>
        <v>通常</v>
      </c>
      <c r="W98" s="187">
        <f t="array" ref="W98">IF(C98&lt;&gt;"",IFERROR(100-100/(1+SUMPRODUCT((終値!F72:R72&gt;終値!G72:S72)*( 終値!F72:R72-終値!G72:S72))/SUMPRODUCT((終値!F72:R72&lt;終値!G72:S72)*(終値!G72:S72-終値!F72:R72))),50),"")</f>
        <v>10.732538330494023</v>
      </c>
      <c r="X98" s="188">
        <f>IF(C98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-68.028114663726228</v>
      </c>
      <c r="Y98" s="1" t="str">
        <f>IF(T98="","",IF(銘柄管理!$F$5="下落▼",IF(AND(AD98="パーフェクト▲",OR(AE98="25日線押し目●",AE98="5日線押し目○")),"★逆張り候補",IF(AND(AD98="上昇トレンド▲",OR(AE98="25日線押し目●",AE98="5日線押し目○")),"○逆張り候補",IF(W98&lt;=30,IF(Z98&gt;0,"◎反発確認",IF(Z98&lt;-5,"△要注意・様子見","△売られ過ぎ注目")),"相場下落・見送り"))),IF(AND(T98&gt;=12,AD98="パーフェクト▲"),"★強い買い",IF(AND(T98&gt;=12,AD98="上昇トレンド▲"),"★強い買い",IF(AND(T98&gt;=8,OR(AE98="25日線押し目●",AE98="5日線押し目○")),"◎押し目買い",IF(T98&gt;=10,"○買い候補",IF(T98&gt;=6,"△注目",IF(T98&gt;=3,"様子見","見送り"))))))))</f>
        <v>様子見</v>
      </c>
      <c r="Z98" s="189">
        <f t="shared" si="35"/>
        <v>1.3776722090261282</v>
      </c>
      <c r="AA98" s="181" t="str">
        <f t="shared" si="36"/>
        <v>上昇▲</v>
      </c>
      <c r="AB98" s="497">
        <f>IF(C98="","",IFERROR(((終値!E100*0.333)+(終値!F100*0.222)+(終値!G100*0.148)+(終値!H100*0.099)+(終値!I100*0.066)+(終値!J100*0.044)+(終値!K100*0.029)+(終値!L100*0.019)+(終値!M100*0.013)+(終値!N100*0.009))/(0.333+0.222+0.148+0.099+0.066+0.044+0.029+0.019+0.013+0.009),""))</f>
        <v>2239.7983706720979</v>
      </c>
      <c r="AC98" s="497">
        <f>IF(C98="","",IFERROR(SUMPRODUCT((終値!E100:AC100)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2298.6323003575676</v>
      </c>
      <c r="AD98" s="498" t="str">
        <f t="shared" si="27"/>
        <v>下降トレンド▼</v>
      </c>
      <c r="AE98" s="498" t="str">
        <f t="shared" si="28"/>
        <v>なし</v>
      </c>
      <c r="AF98" s="403" cm="1">
        <f t="array" ref="AF98">IF(C98="","",IFERROR((INDEX(終値!$E:$E,MATCH(TEXT(C98,"0"),終値!$A:$A,0))-INDEX(終値!$E:$BL,MATCH(TEXT(C98,"0"),終値!$A:$A,0),$AL$2))/INDEX(終値!$E:$BL,MATCH(TEXT(C98,"0"),終値!$A:$A,0),$AL$2)*100,""))</f>
        <v>-22.428207924391131</v>
      </c>
      <c r="AG98" s="403" cm="1">
        <f t="array" ref="AG98">IFERROR((終値!$E$5-INDEX(終値!$E$5:$BL$5,1,$AL$2))/INDEX(終値!$E$5:$BL$5,1,$AL$2)*100,"")</f>
        <v>3.4532270246721688</v>
      </c>
      <c r="AH98" s="404">
        <f t="shared" si="30"/>
        <v>-25.881434949063301</v>
      </c>
      <c r="AI98" s="402">
        <f t="shared" si="31"/>
        <v>-2</v>
      </c>
    </row>
    <row r="99" spans="1:35" s="192" customFormat="1" ht="18" customHeight="1">
      <c r="A99" s="181" t="str">
        <f>IF(銘柄管理!B74&lt;&gt;"",HYPERLINK("https://kabutan.jp/stock/?code="&amp;銘柄管理!B74,"株探"),"")</f>
        <v>株探</v>
      </c>
      <c r="B99" s="182"/>
      <c r="C99" s="183">
        <f>IF(銘柄管理!B74="","",銘柄管理!B74)</f>
        <v>9202</v>
      </c>
      <c r="D99" s="111" t="str">
        <f>IF(銘柄管理!C74="","",銘柄管理!C74)</f>
        <v>ＡＮＡホールディングス</v>
      </c>
      <c r="E99" s="184">
        <f>IF(C99&lt;&gt;"",_xll.RssMarket(C99,"現在値"),"")</f>
        <v>3033</v>
      </c>
      <c r="F99" s="184">
        <f>IF(C99&lt;&gt;"",_xll.RssMarket(C99,"始値"),"")</f>
        <v>3050</v>
      </c>
      <c r="G99" s="183">
        <f>IF(C99&lt;&gt;"",終値!F74,"")</f>
        <v>3043</v>
      </c>
      <c r="H99" s="184">
        <f>IF(C99&lt;&gt;"",_xll.RssMarket(C99,"高値"),"")</f>
        <v>3076</v>
      </c>
      <c r="I99" s="184">
        <f>IF(C99&lt;&gt;"",_xll.RssMarket(C99,"安値"),"")</f>
        <v>3026</v>
      </c>
      <c r="J99" s="184">
        <f>IF(C99&lt;&gt;"",_xll.RssMarket(C99,"出来高"),"")</f>
        <v>2230900</v>
      </c>
      <c r="K99" s="184">
        <f>IF(C99&lt;&gt;"",_xll.RssMarket(C99,"年初来高値"),"")</f>
        <v>3419</v>
      </c>
      <c r="L99" s="185">
        <f t="shared" si="22"/>
        <v>-11.28985083357707</v>
      </c>
      <c r="M99" s="184">
        <f>IF(C99&lt;&gt;"",IFERROR(AVERAGE(出来高!E74:I74),""),"")</f>
        <v>2534940</v>
      </c>
      <c r="N99" s="184">
        <f>IF(C99&lt;&gt;"",IFERROR(AVERAGE(出来高!E74:AC74),""),"")</f>
        <v>2699164</v>
      </c>
      <c r="O99" s="186">
        <f t="shared" si="23"/>
        <v>0.88006027756081007</v>
      </c>
      <c r="P99" s="181" t="str">
        <f t="shared" si="24"/>
        <v>減少↓</v>
      </c>
      <c r="Q99" s="181" t="str">
        <f t="shared" si="25"/>
        <v>様子見▼</v>
      </c>
      <c r="R99" s="184">
        <f t="shared" si="32"/>
        <v>3276</v>
      </c>
      <c r="S99" s="184">
        <f t="shared" si="33"/>
        <v>2912</v>
      </c>
      <c r="T99" s="181">
        <f t="shared" si="29"/>
        <v>7</v>
      </c>
      <c r="U99" s="181" t="str">
        <f t="shared" si="34"/>
        <v>要確認</v>
      </c>
      <c r="V99" s="181" t="str">
        <f t="shared" si="26"/>
        <v>通常</v>
      </c>
      <c r="W99" s="187">
        <f t="array" ref="W99">IF(C99&lt;&gt;"",IFERROR(100-100/(1+SUMPRODUCT((終値!F74:R74&gt;終値!G74:S74)*( 終値!F74:R74-終値!G74:S74))/SUMPRODUCT((終値!F74:R74&lt;終値!G74:S74)*(終値!G74:S74-終値!F74:R74))),50),"")</f>
        <v>63.299131807419101</v>
      </c>
      <c r="X99" s="188">
        <f>IF(C99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15.95943205473759</v>
      </c>
      <c r="Y99" s="1" t="str">
        <f>IF(T99="","",IF(銘柄管理!$F$5="下落▼",IF(AND(AD99="パーフェクト▲",OR(AE99="25日線押し目●",AE99="5日線押し目○")),"★逆張り候補",IF(AND(AD99="上昇トレンド▲",OR(AE99="25日線押し目●",AE99="5日線押し目○")),"○逆張り候補",IF(W99&lt;=30,IF(Z99&gt;0,"◎反発確認",IF(Z99&lt;-5,"△要注意・様子見","△売られ過ぎ注目")),"相場下落・見送り"))),IF(AND(T99&gt;=12,AD99="パーフェクト▲"),"★強い買い",IF(AND(T99&gt;=12,AD99="上昇トレンド▲"),"★強い買い",IF(AND(T99&gt;=8,OR(AE99="25日線押し目●",AE99="5日線押し目○")),"◎押し目買い",IF(T99&gt;=10,"○買い候補",IF(T99&gt;=6,"△注目",IF(T99&gt;=3,"様子見","見送り"))))))))</f>
        <v>△注目</v>
      </c>
      <c r="Z99" s="189">
        <f t="shared" si="35"/>
        <v>-0.32862306933946761</v>
      </c>
      <c r="AA99" s="181" t="str">
        <f t="shared" si="36"/>
        <v>下落▼</v>
      </c>
      <c r="AB99" s="499">
        <f>IF(C99="","",IFERROR(((終値!E101*0.333)+(終値!F101*0.222)+(終値!G101*0.148)+(終値!H101*0.099)+(終値!I101*0.066)+(終値!J101*0.044)+(終値!K101*0.029)+(終値!L101*0.019)+(終値!M101*0.013)+(終値!N101*0.009))/(0.333+0.222+0.148+0.099+0.066+0.044+0.029+0.019+0.013+0.009),""))</f>
        <v>2274.7219959266799</v>
      </c>
      <c r="AC99" s="499">
        <f>IF(C99="","",IFERROR(SUMPRODUCT((終値!E101:AC101)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2232.6209773539913</v>
      </c>
      <c r="AD99" s="500" t="str">
        <f t="shared" ref="AD99:AD130" si="37">IF(OR(C99="",AB99="",AC99=""),"",IF(AND(E99&gt;AB99,AB99&gt;AC99),"パーフェクト▲",IF(E99&gt;AC99,"上昇トレンド▲",IF(AND(E99&lt;AB99,AB99&lt;AC99),"下降トレンド▼","もみ合い→"))))</f>
        <v>パーフェクト▲</v>
      </c>
      <c r="AE99" s="500" t="str">
        <f t="shared" ref="AE99:AE130" si="38">IF(OR(C99="",AB99="",AC99=""),"",IF(AND(ABS(E99-AC99)/AC99&lt;=0.02,E99&gt;AC99),"25日押し目★",IF(AND(ABS(E99-AB99)/AB99&lt;=0.01,E99&gt;AB99),"5日押し目○","なし")))</f>
        <v>なし</v>
      </c>
      <c r="AF99" s="403" cm="1">
        <f t="array" ref="AF99">IF(C99="","",IFERROR((INDEX(終値!$E:$E,MATCH(TEXT(C99,"0"),終値!$A:$A,0))-INDEX(終値!$E:$BL,MATCH(TEXT(C99,"0"),終値!$A:$A,0),$AL$2))/INDEX(終値!$E:$BL,MATCH(TEXT(C99,"0"),終値!$A:$A,0),$AL$2)*100,""))</f>
        <v>9.5341278439869992</v>
      </c>
      <c r="AG99" s="403" cm="1">
        <f t="array" ref="AG99">IFERROR((終値!$E$5-INDEX(終値!$E$5:$BL$5,1,$AL$2))/INDEX(終値!$E$5:$BL$5,1,$AL$2)*100,"")</f>
        <v>3.4532270246721688</v>
      </c>
      <c r="AH99" s="404">
        <f t="shared" si="30"/>
        <v>6.0809008193148308</v>
      </c>
      <c r="AI99" s="402">
        <f t="shared" si="31"/>
        <v>3</v>
      </c>
    </row>
    <row r="100" spans="1:35" s="192" customFormat="1" ht="18" customHeight="1">
      <c r="A100" s="181" t="str">
        <f>IF(銘柄管理!B81&lt;&gt;"",HYPERLINK("https://kabutan.jp/stock/?code="&amp;銘柄管理!B81,"株探"),"")</f>
        <v>株探</v>
      </c>
      <c r="B100" s="182"/>
      <c r="C100" s="183">
        <f>IF(銘柄管理!B81="","",銘柄管理!B81)</f>
        <v>6841</v>
      </c>
      <c r="D100" s="111" t="str">
        <f>IF(銘柄管理!C81="","",銘柄管理!C81)</f>
        <v>横河電機</v>
      </c>
      <c r="E100" s="184">
        <f>IF(C100&lt;&gt;"",_xll.RssMarket(C100,"現在値"),"")</f>
        <v>5380</v>
      </c>
      <c r="F100" s="184">
        <f>IF(C100&lt;&gt;"",_xll.RssMarket(C100,"始値"),"")</f>
        <v>5151</v>
      </c>
      <c r="G100" s="183">
        <f>IF(C100&lt;&gt;"",終値!F81,"")</f>
        <v>5230</v>
      </c>
      <c r="H100" s="184">
        <f>IF(C100&lt;&gt;"",_xll.RssMarket(C100,"高値"),"")</f>
        <v>5413</v>
      </c>
      <c r="I100" s="184">
        <f>IF(C100&lt;&gt;"",_xll.RssMarket(C100,"安値"),"")</f>
        <v>5150</v>
      </c>
      <c r="J100" s="184">
        <f>IF(C100&lt;&gt;"",_xll.RssMarket(C100,"出来高"),"")</f>
        <v>1378800</v>
      </c>
      <c r="K100" s="184">
        <f>IF(C100&lt;&gt;"",_xll.RssMarket(C100,"年初来高値"),"")</f>
        <v>6317</v>
      </c>
      <c r="L100" s="185">
        <f t="shared" si="22"/>
        <v>-14.832990343517494</v>
      </c>
      <c r="M100" s="184">
        <f>IF(C100&lt;&gt;"",IFERROR(AVERAGE(出来高!E81:I81),""),"")</f>
        <v>1455000</v>
      </c>
      <c r="N100" s="184">
        <f>IF(C100&lt;&gt;"",IFERROR(AVERAGE(出来高!E81:AC81),""),"")</f>
        <v>1579160</v>
      </c>
      <c r="O100" s="186">
        <f t="shared" si="23"/>
        <v>0.94762886597938145</v>
      </c>
      <c r="P100" s="181" t="str">
        <f t="shared" si="24"/>
        <v>減少↓</v>
      </c>
      <c r="Q100" s="181" t="str">
        <f t="shared" si="25"/>
        <v>中立→</v>
      </c>
      <c r="R100" s="184">
        <f t="shared" si="32"/>
        <v>5810</v>
      </c>
      <c r="S100" s="184">
        <f t="shared" si="33"/>
        <v>5165</v>
      </c>
      <c r="T100" s="181">
        <f t="shared" si="29"/>
        <v>4</v>
      </c>
      <c r="U100" s="181" t="str">
        <f t="shared" si="34"/>
        <v>要確認</v>
      </c>
      <c r="V100" s="181" t="str">
        <f t="shared" si="26"/>
        <v>通常</v>
      </c>
      <c r="W100" s="187">
        <f t="array" ref="W100">IF(C100&lt;&gt;"",IFERROR(100-100/(1+SUMPRODUCT((終値!F81:R81&gt;終値!G81:S81)*( 終値!F81:R81-終値!G81:S81))/SUMPRODUCT((終値!F81:R81&lt;終値!G81:S81)*(終値!G81:S81-終値!F81:R81))),50),"")</f>
        <v>55.698529411764703</v>
      </c>
      <c r="X100" s="188">
        <f>IF(C100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25.604315014788881</v>
      </c>
      <c r="Y100" s="1" t="str">
        <f>IF(T100="","",IF(銘柄管理!$F$5="下落▼",IF(AND(AD100="パーフェクト▲",OR(AE100="25日線押し目●",AE100="5日線押し目○")),"★逆張り候補",IF(AND(AD100="上昇トレンド▲",OR(AE100="25日線押し目●",AE100="5日線押し目○")),"○逆張り候補",IF(W100&lt;=30,IF(Z100&gt;0,"◎反発確認",IF(Z100&lt;-5,"△要注意・様子見","△売られ過ぎ注目")),"相場下落・見送り"))),IF(AND(T100&gt;=12,AD100="パーフェクト▲"),"★強い買い",IF(AND(T100&gt;=12,AD100="上昇トレンド▲"),"★強い買い",IF(AND(T100&gt;=8,OR(AE100="25日線押し目●",AE100="5日線押し目○")),"◎押し目買い",IF(T100&gt;=10,"○買い候補",IF(T100&gt;=6,"△注目",IF(T100&gt;=3,"様子見","見送り"))))))))</f>
        <v>様子見</v>
      </c>
      <c r="Z100" s="189">
        <f t="shared" si="35"/>
        <v>2.8680688336520075</v>
      </c>
      <c r="AA100" s="181" t="str">
        <f t="shared" si="36"/>
        <v>上昇▲</v>
      </c>
      <c r="AB100" s="497">
        <f>IF(C100="","",IFERROR(((終値!E102*0.333)+(終値!F102*0.222)+(終値!G102*0.148)+(終値!H102*0.099)+(終値!I102*0.066)+(終値!J102*0.044)+(終値!K102*0.029)+(終値!L102*0.019)+(終値!M102*0.013)+(終値!N102*0.009))/(0.333+0.222+0.148+0.099+0.066+0.044+0.029+0.019+0.013+0.009),""))</f>
        <v>11850.096741344194</v>
      </c>
      <c r="AC100" s="497">
        <f>IF(C100="","",IFERROR(SUMPRODUCT((終値!E102:AC102)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11989.213349225263</v>
      </c>
      <c r="AD100" s="498" t="str">
        <f t="shared" si="37"/>
        <v>下降トレンド▼</v>
      </c>
      <c r="AE100" s="498" t="str">
        <f t="shared" si="38"/>
        <v>なし</v>
      </c>
      <c r="AF100" s="403" cm="1">
        <f t="array" ref="AF100">IF(C100="","",IFERROR((INDEX(終値!$E:$E,MATCH(TEXT(C100,"0"),終値!$A:$A,0))-INDEX(終値!$E:$BL,MATCH(TEXT(C100,"0"),終値!$A:$A,0),$AL$2))/INDEX(終値!$E:$BL,MATCH(TEXT(C100,"0"),終値!$A:$A,0),$AL$2)*100,""))</f>
        <v>5.6351855487924603</v>
      </c>
      <c r="AG100" s="403" cm="1">
        <f t="array" ref="AG100">IFERROR((終値!$E$5-INDEX(終値!$E$5:$BL$5,1,$AL$2))/INDEX(終値!$E$5:$BL$5,1,$AL$2)*100,"")</f>
        <v>3.4532270246721688</v>
      </c>
      <c r="AH100" s="404">
        <f t="shared" si="30"/>
        <v>2.1819585241202915</v>
      </c>
      <c r="AI100" s="402">
        <f t="shared" si="31"/>
        <v>1</v>
      </c>
    </row>
    <row r="101" spans="1:35" s="192" customFormat="1" ht="18" customHeight="1">
      <c r="A101" s="181" t="str">
        <f>IF(銘柄管理!B82&lt;&gt;"",HYPERLINK("https://kabutan.jp/stock/?code="&amp;銘柄管理!B82,"株探"),"")</f>
        <v>株探</v>
      </c>
      <c r="B101" s="182"/>
      <c r="C101" s="183">
        <f>IF(銘柄管理!B82="","",銘柄管理!B82)</f>
        <v>7167</v>
      </c>
      <c r="D101" s="111" t="str">
        <f>IF(銘柄管理!C82="","",銘柄管理!C82)</f>
        <v>めぶきフィナンシャルＧ</v>
      </c>
      <c r="E101" s="184">
        <f>IF(C101&lt;&gt;"",_xll.RssMarket(C101,"現在値"),"")</f>
        <v>1388.5</v>
      </c>
      <c r="F101" s="184">
        <f>IF(C101&lt;&gt;"",_xll.RssMarket(C101,"始値"),"")</f>
        <v>1429</v>
      </c>
      <c r="G101" s="183">
        <f>IF(C101&lt;&gt;"",終値!F82,"")</f>
        <v>1413</v>
      </c>
      <c r="H101" s="184">
        <f>IF(C101&lt;&gt;"",_xll.RssMarket(C101,"高値"),"")</f>
        <v>1446.5</v>
      </c>
      <c r="I101" s="184">
        <f>IF(C101&lt;&gt;"",_xll.RssMarket(C101,"安値"),"")</f>
        <v>1388.5</v>
      </c>
      <c r="J101" s="184">
        <f>IF(C101&lt;&gt;"",_xll.RssMarket(C101,"出来高"),"")</f>
        <v>2240800</v>
      </c>
      <c r="K101" s="184">
        <f>IF(C101&lt;&gt;"",_xll.RssMarket(C101,"年初来高値"),"")</f>
        <v>1456.5</v>
      </c>
      <c r="L101" s="185">
        <f t="shared" si="22"/>
        <v>-4.6687263989014758</v>
      </c>
      <c r="M101" s="184">
        <f>IF(C101&lt;&gt;"",IFERROR(AVERAGE(出来高!E82:I82),""),"")</f>
        <v>2901620</v>
      </c>
      <c r="N101" s="184">
        <f>IF(C101&lt;&gt;"",IFERROR(AVERAGE(出来高!E82:AC82),""),"")</f>
        <v>2519812</v>
      </c>
      <c r="O101" s="186">
        <f t="shared" si="23"/>
        <v>0.77225825573300433</v>
      </c>
      <c r="P101" s="181" t="str">
        <f t="shared" si="24"/>
        <v>減少↓</v>
      </c>
      <c r="Q101" s="181" t="str">
        <f t="shared" si="25"/>
        <v>様子見▼</v>
      </c>
      <c r="R101" s="184">
        <f t="shared" ref="R101:R132" si="39">IF(E101&lt;&gt;"",ROUND(E101*1.08,0),"")</f>
        <v>1500</v>
      </c>
      <c r="S101" s="184">
        <f t="shared" ref="S101:S132" si="40">IF(E101&lt;&gt;"",ROUND(E101*0.96,0),"")</f>
        <v>1333</v>
      </c>
      <c r="T101" s="181">
        <f t="shared" si="29"/>
        <v>4</v>
      </c>
      <c r="U101" s="181" t="str">
        <f t="shared" ref="U101:U132" si="41">IF(T101="","",IF(AND(T101&gt;=3,O101&gt;=1.5),"有効",IF(T101&gt;=3,"要確認","除外")))</f>
        <v>要確認</v>
      </c>
      <c r="V101" s="181" t="str">
        <f t="shared" si="26"/>
        <v>高値圏</v>
      </c>
      <c r="W101" s="187">
        <f t="array" ref="W101">IF(C101&lt;&gt;"",IFERROR(100-100/(1+SUMPRODUCT((終値!F82:R82&gt;終値!G82:S82)*( 終値!F82:R82-終値!G82:S82))/SUMPRODUCT((終値!F82:R82&lt;終値!G82:S82)*(終値!G82:S82-終値!F82:R82))),50),"")</f>
        <v>55.580357142857146</v>
      </c>
      <c r="X101" s="188">
        <f>IF(C101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0.60691015328166031</v>
      </c>
      <c r="Y101" s="1" t="str">
        <f>IF(T101="","",IF(銘柄管理!$F$5="下落▼",IF(AND(AD101="パーフェクト▲",OR(AE101="25日線押し目●",AE101="5日線押し目○")),"★逆張り候補",IF(AND(AD101="上昇トレンド▲",OR(AE101="25日線押し目●",AE101="5日線押し目○")),"○逆張り候補",IF(W101&lt;=30,IF(Z101&gt;0,"◎反発確認",IF(Z101&lt;-5,"△要注意・様子見","△売られ過ぎ注目")),"相場下落・見送り"))),IF(AND(T101&gt;=12,AD101="パーフェクト▲"),"★強い買い",IF(AND(T101&gt;=12,AD101="上昇トレンド▲"),"★強い買い",IF(AND(T101&gt;=8,OR(AE101="25日線押し目●",AE101="5日線押し目○")),"◎押し目買い",IF(T101&gt;=10,"○買い候補",IF(T101&gt;=6,"△注目",IF(T101&gt;=3,"様子見","見送り"))))))))</f>
        <v>様子見</v>
      </c>
      <c r="Z101" s="189">
        <f t="shared" ref="Z101:Z132" si="42">IF(AND(E101&lt;&gt;"",G101&lt;&gt;"",G101&lt;&gt;0),(E101-G101)/G101*100,"")</f>
        <v>-1.7338995046001413</v>
      </c>
      <c r="AA101" s="181" t="str">
        <f t="shared" ref="AA101:AA132" si="43">IF(OR(C101="",E101="",E101=0),"",IF(E101&gt;G101,"上昇▲",IF(E101&lt;G101,"下落▼","横ばい→")))</f>
        <v>下落▼</v>
      </c>
      <c r="AB101" s="499">
        <f>IF(C101="","",IFERROR(((終値!E103*0.333)+(終値!F103*0.222)+(終値!G103*0.148)+(終値!H103*0.099)+(終値!I103*0.066)+(終値!J103*0.044)+(終値!K103*0.029)+(終値!L103*0.019)+(終値!M103*0.013)+(終値!N103*0.009))/(0.333+0.222+0.148+0.099+0.066+0.044+0.029+0.019+0.013+0.009),""))</f>
        <v>4554.0977596741332</v>
      </c>
      <c r="AC101" s="499">
        <f>IF(C101="","",IFERROR(SUMPRODUCT((終値!E103:AC103)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4808.8379022645977</v>
      </c>
      <c r="AD101" s="500" t="str">
        <f t="shared" si="37"/>
        <v>下降トレンド▼</v>
      </c>
      <c r="AE101" s="500" t="str">
        <f t="shared" si="38"/>
        <v>なし</v>
      </c>
      <c r="AF101" s="403" cm="1">
        <f t="array" ref="AF101">IF(C101="","",IFERROR((INDEX(終値!$E:$E,MATCH(TEXT(C101,"0"),終値!$A:$A,0))-INDEX(終値!$E:$BL,MATCH(TEXT(C101,"0"),終値!$A:$A,0),$AL$2))/INDEX(終値!$E:$BL,MATCH(TEXT(C101,"0"),終値!$A:$A,0),$AL$2)*100,""))</f>
        <v>1.3133892739875956</v>
      </c>
      <c r="AG101" s="403" cm="1">
        <f t="array" ref="AG101">IFERROR((終値!$E$5-INDEX(終値!$E$5:$BL$5,1,$AL$2))/INDEX(終値!$E$5:$BL$5,1,$AL$2)*100,"")</f>
        <v>3.4532270246721688</v>
      </c>
      <c r="AH101" s="404">
        <f t="shared" si="30"/>
        <v>-2.1398377506845732</v>
      </c>
      <c r="AI101" s="402">
        <f t="shared" si="31"/>
        <v>-1</v>
      </c>
    </row>
    <row r="102" spans="1:35" s="192" customFormat="1" ht="18" customHeight="1">
      <c r="A102" s="181" t="str">
        <f>IF(銘柄管理!B85&lt;&gt;"",HYPERLINK("https://kabutan.jp/stock/?code="&amp;銘柄管理!B85,"株探"),"")</f>
        <v>株探</v>
      </c>
      <c r="B102" s="182"/>
      <c r="C102" s="183">
        <f>IF(銘柄管理!B85="","",銘柄管理!B85)</f>
        <v>7182</v>
      </c>
      <c r="D102" s="111" t="str">
        <f>IF(銘柄管理!C85="","",銘柄管理!C85)</f>
        <v>ゆうちょ銀行</v>
      </c>
      <c r="E102" s="184">
        <f>IF(C102&lt;&gt;"",_xll.RssMarket(C102,"現在値"),"")</f>
        <v>3125</v>
      </c>
      <c r="F102" s="184">
        <f>IF(C102&lt;&gt;"",_xll.RssMarket(C102,"始値"),"")</f>
        <v>3188</v>
      </c>
      <c r="G102" s="183">
        <f>IF(C102&lt;&gt;"",終値!F85,"")</f>
        <v>3170</v>
      </c>
      <c r="H102" s="184">
        <f>IF(C102&lt;&gt;"",_xll.RssMarket(C102,"高値"),"")</f>
        <v>3235</v>
      </c>
      <c r="I102" s="184">
        <f>IF(C102&lt;&gt;"",_xll.RssMarket(C102,"安値"),"")</f>
        <v>3125</v>
      </c>
      <c r="J102" s="184">
        <f>IF(C102&lt;&gt;"",_xll.RssMarket(C102,"出来高"),"")</f>
        <v>6055800</v>
      </c>
      <c r="K102" s="184">
        <f>IF(C102&lt;&gt;"",_xll.RssMarket(C102,"年初来高値"),"")</f>
        <v>3308</v>
      </c>
      <c r="L102" s="185">
        <f t="shared" si="22"/>
        <v>-5.5320435308343407</v>
      </c>
      <c r="M102" s="184">
        <f>IF(C102&lt;&gt;"",IFERROR(AVERAGE(出来高!E85:I85),""),"")</f>
        <v>7609680</v>
      </c>
      <c r="N102" s="184">
        <f>IF(C102&lt;&gt;"",IFERROR(AVERAGE(出来高!E85:AC85),""),"")</f>
        <v>7951696</v>
      </c>
      <c r="O102" s="186">
        <f t="shared" si="23"/>
        <v>0.79580218879111864</v>
      </c>
      <c r="P102" s="181" t="str">
        <f t="shared" si="24"/>
        <v>減少↓</v>
      </c>
      <c r="Q102" s="181" t="str">
        <f t="shared" si="25"/>
        <v>様子見▼</v>
      </c>
      <c r="R102" s="184">
        <f t="shared" si="39"/>
        <v>3375</v>
      </c>
      <c r="S102" s="184">
        <f t="shared" si="40"/>
        <v>3000</v>
      </c>
      <c r="T102" s="181">
        <f t="shared" si="29"/>
        <v>10</v>
      </c>
      <c r="U102" s="181" t="str">
        <f t="shared" si="41"/>
        <v>要確認</v>
      </c>
      <c r="V102" s="181" t="str">
        <f t="shared" si="26"/>
        <v>高値圏</v>
      </c>
      <c r="W102" s="187">
        <f t="array" ref="W102">IF(C102&lt;&gt;"",IFERROR(100-100/(1+SUMPRODUCT((終値!F85:R85&gt;終値!G85:S85)*( 終値!F85:R85-終値!G85:S85))/SUMPRODUCT((終値!F85:R85&lt;終値!G85:S85)*(終値!G85:S85-終値!F85:R85))),50),"")</f>
        <v>54.258849557522126</v>
      </c>
      <c r="X102" s="188">
        <f>IF(C102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23.552438116693793</v>
      </c>
      <c r="Y102" s="1" t="str">
        <f>IF(T102="","",IF(銘柄管理!$F$5="下落▼",IF(AND(AD102="パーフェクト▲",OR(AE102="25日線押し目●",AE102="5日線押し目○")),"★逆張り候補",IF(AND(AD102="上昇トレンド▲",OR(AE102="25日線押し目●",AE102="5日線押し目○")),"○逆張り候補",IF(W102&lt;=30,IF(Z102&gt;0,"◎反発確認",IF(Z102&lt;-5,"△要注意・様子見","△売られ過ぎ注目")),"相場下落・見送り"))),IF(AND(T102&gt;=12,AD102="パーフェクト▲"),"★強い買い",IF(AND(T102&gt;=12,AD102="上昇トレンド▲"),"★強い買い",IF(AND(T102&gt;=8,OR(AE102="25日線押し目●",AE102="5日線押し目○")),"◎押し目買い",IF(T102&gt;=10,"○買い候補",IF(T102&gt;=6,"△注目",IF(T102&gt;=3,"様子見","見送り"))))))))</f>
        <v>○買い候補</v>
      </c>
      <c r="Z102" s="189">
        <f t="shared" si="42"/>
        <v>-1.4195583596214512</v>
      </c>
      <c r="AA102" s="181" t="str">
        <f t="shared" si="43"/>
        <v>下落▼</v>
      </c>
      <c r="AB102" s="497">
        <f>IF(C102="","",IFERROR(((終値!E104*0.333)+(終値!F104*0.222)+(終値!G104*0.148)+(終値!H104*0.099)+(終値!I104*0.066)+(終値!J104*0.044)+(終値!K104*0.029)+(終値!L104*0.019)+(終値!M104*0.013)+(終値!N104*0.009))/(0.333+0.222+0.148+0.099+0.066+0.044+0.029+0.019+0.013+0.009),""))</f>
        <v>2234.0045824847248</v>
      </c>
      <c r="AC102" s="497">
        <f>IF(C102="","",IFERROR(SUMPRODUCT((終値!E104:AC104)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2155.8849821215731</v>
      </c>
      <c r="AD102" s="498" t="str">
        <f t="shared" si="37"/>
        <v>パーフェクト▲</v>
      </c>
      <c r="AE102" s="498" t="str">
        <f t="shared" si="38"/>
        <v>なし</v>
      </c>
      <c r="AF102" s="403" cm="1">
        <f t="array" ref="AF102">IF(C102="","",IFERROR((INDEX(終値!$E:$E,MATCH(TEXT(C102,"0"),終値!$A:$A,0))-INDEX(終値!$E:$BL,MATCH(TEXT(C102,"0"),終値!$A:$A,0),$AL$2))/INDEX(終値!$E:$BL,MATCH(TEXT(C102,"0"),終値!$A:$A,0),$AL$2)*100,""))</f>
        <v>10.209839534473637</v>
      </c>
      <c r="AG102" s="403" cm="1">
        <f t="array" ref="AG102">IFERROR((終値!$E$5-INDEX(終値!$E$5:$BL$5,1,$AL$2))/INDEX(終値!$E$5:$BL$5,1,$AL$2)*100,"")</f>
        <v>3.4532270246721688</v>
      </c>
      <c r="AH102" s="404">
        <f t="shared" si="30"/>
        <v>6.7566125098014691</v>
      </c>
      <c r="AI102" s="402">
        <f t="shared" si="31"/>
        <v>3</v>
      </c>
    </row>
    <row r="103" spans="1:35" s="192" customFormat="1" ht="18" customHeight="1">
      <c r="A103" s="181" t="str">
        <f>IF(銘柄管理!B101&lt;&gt;"",HYPERLINK("https://kabutan.jp/stock/?code="&amp;銘柄管理!B101,"株探"),"")</f>
        <v>株探</v>
      </c>
      <c r="B103" s="182"/>
      <c r="C103" s="183">
        <f>IF(銘柄管理!B101="","",銘柄管理!B101)</f>
        <v>4661</v>
      </c>
      <c r="D103" s="111" t="str">
        <f>IF(銘柄管理!C101="","",銘柄管理!C101)</f>
        <v>オリエンタルランド</v>
      </c>
      <c r="E103" s="184">
        <f>IF(C103&lt;&gt;"",_xll.RssMarket(C103,"現在値"),"")</f>
        <v>2291</v>
      </c>
      <c r="F103" s="184">
        <f>IF(C103&lt;&gt;"",_xll.RssMarket(C103,"始値"),"")</f>
        <v>2290</v>
      </c>
      <c r="G103" s="183">
        <f>IF(C103&lt;&gt;"",終値!F101,"")</f>
        <v>2276</v>
      </c>
      <c r="H103" s="184">
        <f>IF(C103&lt;&gt;"",_xll.RssMarket(C103,"高値"),"")</f>
        <v>2303.5</v>
      </c>
      <c r="I103" s="184">
        <f>IF(C103&lt;&gt;"",_xll.RssMarket(C103,"安値"),"")</f>
        <v>2260.5</v>
      </c>
      <c r="J103" s="184">
        <f>IF(C103&lt;&gt;"",_xll.RssMarket(C103,"出来高"),"")</f>
        <v>4234100</v>
      </c>
      <c r="K103" s="184">
        <f>IF(C103&lt;&gt;"",_xll.RssMarket(C103,"年初来高値"),"")</f>
        <v>2947</v>
      </c>
      <c r="L103" s="185">
        <f t="shared" si="22"/>
        <v>-22.259925347811333</v>
      </c>
      <c r="M103" s="184">
        <f>IF(C103&lt;&gt;"",IFERROR(AVERAGE(出来高!E101:I101),""),"")</f>
        <v>5612040</v>
      </c>
      <c r="N103" s="184">
        <f>IF(C103&lt;&gt;"",IFERROR(AVERAGE(出来高!E101:AC101),""),"")</f>
        <v>6052636</v>
      </c>
      <c r="O103" s="186">
        <f t="shared" si="23"/>
        <v>0.75446718127454548</v>
      </c>
      <c r="P103" s="181" t="str">
        <f t="shared" si="24"/>
        <v>減少↓</v>
      </c>
      <c r="Q103" s="181" t="str">
        <f t="shared" si="25"/>
        <v>中立→</v>
      </c>
      <c r="R103" s="184">
        <f t="shared" si="39"/>
        <v>2474</v>
      </c>
      <c r="S103" s="184">
        <f t="shared" si="40"/>
        <v>2199</v>
      </c>
      <c r="T103" s="181">
        <f t="shared" si="29"/>
        <v>3</v>
      </c>
      <c r="U103" s="181" t="str">
        <f t="shared" si="41"/>
        <v>要確認</v>
      </c>
      <c r="V103" s="181" t="str">
        <f t="shared" si="26"/>
        <v>通常</v>
      </c>
      <c r="W103" s="187">
        <f t="array" ref="W103">IF(C103&lt;&gt;"",IFERROR(100-100/(1+SUMPRODUCT((終値!F101:R101&gt;終値!G101:S101)*( 終値!F101:R101-終値!G101:S101))/SUMPRODUCT((終値!F101:R101&lt;終値!G101:S101)*(終値!G101:S101-終値!F101:R101))),50),"")</f>
        <v>64.625850340136054</v>
      </c>
      <c r="X103" s="188">
        <f>IF(C103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12.932807008466625</v>
      </c>
      <c r="Y103" s="1" t="str">
        <f>IF(T103="","",IF(銘柄管理!$F$5="下落▼",IF(AND(AD103="パーフェクト▲",OR(AE103="25日線押し目●",AE103="5日線押し目○")),"★逆張り候補",IF(AND(AD103="上昇トレンド▲",OR(AE103="25日線押し目●",AE103="5日線押し目○")),"○逆張り候補",IF(W103&lt;=30,IF(Z103&gt;0,"◎反発確認",IF(Z103&lt;-5,"△要注意・様子見","△売られ過ぎ注目")),"相場下落・見送り"))),IF(AND(T103&gt;=12,AD103="パーフェクト▲"),"★強い買い",IF(AND(T103&gt;=12,AD103="上昇トレンド▲"),"★強い買い",IF(AND(T103&gt;=8,OR(AE103="25日線押し目●",AE103="5日線押し目○")),"◎押し目買い",IF(T103&gt;=10,"○買い候補",IF(T103&gt;=6,"△注目",IF(T103&gt;=3,"様子見","見送り"))))))))</f>
        <v>様子見</v>
      </c>
      <c r="Z103" s="189">
        <f t="shared" si="42"/>
        <v>0.65905096660808438</v>
      </c>
      <c r="AA103" s="181" t="str">
        <f t="shared" si="43"/>
        <v>上昇▲</v>
      </c>
      <c r="AB103" s="499">
        <f>IF(C103="","",IFERROR(((終値!E105*0.333)+(終値!F105*0.222)+(終値!G105*0.148)+(終値!H105*0.099)+(終値!I105*0.066)+(終値!J105*0.044)+(終値!K105*0.029)+(終値!L105*0.019)+(終値!M105*0.013)+(終値!N105*0.009))/(0.333+0.222+0.148+0.099+0.066+0.044+0.029+0.019+0.013+0.009),""))</f>
        <v>4288.6099796334001</v>
      </c>
      <c r="AC103" s="499">
        <f>IF(C103="","",IFERROR(SUMPRODUCT((終値!E105:AC105)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4116.4445768772339</v>
      </c>
      <c r="AD103" s="500" t="str">
        <f t="shared" si="37"/>
        <v>もみ合い→</v>
      </c>
      <c r="AE103" s="500" t="str">
        <f t="shared" si="38"/>
        <v>なし</v>
      </c>
      <c r="AF103" s="403" cm="1">
        <f t="array" ref="AF103">IF(C103="","",IFERROR((INDEX(終値!$E:$E,MATCH(TEXT(C103,"0"),終値!$A:$A,0))-INDEX(終値!$E:$BL,MATCH(TEXT(C103,"0"),終値!$A:$A,0),$AL$2))/INDEX(終値!$E:$BL,MATCH(TEXT(C103,"0"),終値!$A:$A,0),$AL$2)*100,""))</f>
        <v>6.6077245230339701</v>
      </c>
      <c r="AG103" s="403" cm="1">
        <f t="array" ref="AG103">IFERROR((終値!$E$5-INDEX(終値!$E$5:$BL$5,1,$AL$2))/INDEX(終値!$E$5:$BL$5,1,$AL$2)*100,"")</f>
        <v>3.4532270246721688</v>
      </c>
      <c r="AH103" s="404">
        <f t="shared" si="30"/>
        <v>3.1544974983618013</v>
      </c>
      <c r="AI103" s="402">
        <f t="shared" si="31"/>
        <v>1</v>
      </c>
    </row>
    <row r="104" spans="1:35" s="192" customFormat="1" ht="18" customHeight="1">
      <c r="A104" s="181" t="str">
        <f>IF(銘柄管理!B109&lt;&gt;"",HYPERLINK("https://kabutan.jp/stock/?code="&amp;銘柄管理!B109,"株探"),"")</f>
        <v>株探</v>
      </c>
      <c r="B104" s="182"/>
      <c r="C104" s="183">
        <f>IF(銘柄管理!B109="","",銘柄管理!B109)</f>
        <v>9020</v>
      </c>
      <c r="D104" s="111" t="str">
        <f>IF(銘柄管理!C109="","",銘柄管理!C109)</f>
        <v>東日本旅客鉄道</v>
      </c>
      <c r="E104" s="184">
        <f>IF(C104&lt;&gt;"",_xll.RssMarket(C104,"現在値"),"")</f>
        <v>3345</v>
      </c>
      <c r="F104" s="184">
        <f>IF(C104&lt;&gt;"",_xll.RssMarket(C104,"始値"),"")</f>
        <v>3445</v>
      </c>
      <c r="G104" s="183">
        <f>IF(C104&lt;&gt;"",終値!F109,"")</f>
        <v>3398</v>
      </c>
      <c r="H104" s="184">
        <f>IF(C104&lt;&gt;"",_xll.RssMarket(C104,"高値"),"")</f>
        <v>3455</v>
      </c>
      <c r="I104" s="184">
        <f>IF(C104&lt;&gt;"",_xll.RssMarket(C104,"安値"),"")</f>
        <v>3336</v>
      </c>
      <c r="J104" s="184">
        <f>IF(C104&lt;&gt;"",_xll.RssMarket(C104,"出来高"),"")</f>
        <v>2698700</v>
      </c>
      <c r="K104" s="184">
        <f>IF(C104&lt;&gt;"",_xll.RssMarket(C104,"年初来高値"),"")</f>
        <v>4211</v>
      </c>
      <c r="L104" s="185">
        <f t="shared" si="22"/>
        <v>-20.565186416528142</v>
      </c>
      <c r="M104" s="184">
        <f>IF(C104&lt;&gt;"",IFERROR(AVERAGE(出来高!E109:I109),""),"")</f>
        <v>3509820</v>
      </c>
      <c r="N104" s="184">
        <f>IF(C104&lt;&gt;"",IFERROR(AVERAGE(出来高!E109:AC109),""),"")</f>
        <v>3629996</v>
      </c>
      <c r="O104" s="186">
        <f t="shared" si="23"/>
        <v>0.76889982962089221</v>
      </c>
      <c r="P104" s="181" t="str">
        <f t="shared" si="24"/>
        <v>減少↓</v>
      </c>
      <c r="Q104" s="181" t="str">
        <f t="shared" si="25"/>
        <v>様子見▼</v>
      </c>
      <c r="R104" s="184">
        <f t="shared" si="39"/>
        <v>3613</v>
      </c>
      <c r="S104" s="184">
        <f t="shared" si="40"/>
        <v>3211</v>
      </c>
      <c r="T104" s="181">
        <f t="shared" si="29"/>
        <v>2</v>
      </c>
      <c r="U104" s="181" t="str">
        <f t="shared" si="41"/>
        <v>除外</v>
      </c>
      <c r="V104" s="181" t="str">
        <f t="shared" si="26"/>
        <v>通常</v>
      </c>
      <c r="W104" s="187">
        <f t="array" ref="W104">IF(C104&lt;&gt;"",IFERROR(100-100/(1+SUMPRODUCT((終値!F109:R109&gt;終値!G109:S109)*( 終値!F109:R109-終値!G109:S109))/SUMPRODUCT((終値!F109:R109&lt;終値!G109:S109)*(終値!G109:S109-終値!F109:R109))),50),"")</f>
        <v>31.690140845070431</v>
      </c>
      <c r="X104" s="188">
        <f>IF(C104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-44.773703525328074</v>
      </c>
      <c r="Y104" s="1" t="str">
        <f>IF(T104="","",IF(銘柄管理!$F$5="下落▼",IF(AND(AD104="パーフェクト▲",OR(AE104="25日線押し目●",AE104="5日線押し目○")),"★逆張り候補",IF(AND(AD104="上昇トレンド▲",OR(AE104="25日線押し目●",AE104="5日線押し目○")),"○逆張り候補",IF(W104&lt;=30,IF(Z104&gt;0,"◎反発確認",IF(Z104&lt;-5,"△要注意・様子見","△売られ過ぎ注目")),"相場下落・見送り"))),IF(AND(T104&gt;=12,AD104="パーフェクト▲"),"★強い買い",IF(AND(T104&gt;=12,AD104="上昇トレンド▲"),"★強い買い",IF(AND(T104&gt;=8,OR(AE104="25日線押し目●",AE104="5日線押し目○")),"◎押し目買い",IF(T104&gt;=10,"○買い候補",IF(T104&gt;=6,"△注目",IF(T104&gt;=3,"様子見","見送り"))))))))</f>
        <v>見送り</v>
      </c>
      <c r="Z104" s="189">
        <f t="shared" si="42"/>
        <v>-1.5597410241318423</v>
      </c>
      <c r="AA104" s="181" t="str">
        <f t="shared" si="43"/>
        <v>下落▼</v>
      </c>
      <c r="AB104" s="497">
        <f>IF(C104="","",IFERROR(((終値!E106*0.333)+(終値!F106*0.222)+(終値!G106*0.148)+(終値!H106*0.099)+(終値!I106*0.066)+(終値!J106*0.044)+(終値!K106*0.029)+(終値!L106*0.019)+(終値!M106*0.013)+(終値!N106*0.009))/(0.333+0.222+0.148+0.099+0.066+0.044+0.029+0.019+0.013+0.009),""))</f>
        <v>1797.6038696537676</v>
      </c>
      <c r="AC104" s="497">
        <f>IF(C104="","",IFERROR(SUMPRODUCT((終値!E106:AC106)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1835.1632896305118</v>
      </c>
      <c r="AD104" s="498" t="str">
        <f t="shared" si="37"/>
        <v>上昇トレンド▲</v>
      </c>
      <c r="AE104" s="498" t="str">
        <f t="shared" si="38"/>
        <v>なし</v>
      </c>
      <c r="AF104" s="403" cm="1">
        <f t="array" ref="AF104">IF(C104="","",IFERROR((INDEX(終値!$E:$E,MATCH(TEXT(C104,"0"),終値!$A:$A,0))-INDEX(終値!$E:$BL,MATCH(TEXT(C104,"0"),終値!$A:$A,0),$AL$2))/INDEX(終値!$E:$BL,MATCH(TEXT(C104,"0"),終値!$A:$A,0),$AL$2)*100,""))</f>
        <v>-11.131774707757705</v>
      </c>
      <c r="AG104" s="403" cm="1">
        <f t="array" ref="AG104">IFERROR((終値!$E$5-INDEX(終値!$E$5:$BL$5,1,$AL$2))/INDEX(終値!$E$5:$BL$5,1,$AL$2)*100,"")</f>
        <v>3.4532270246721688</v>
      </c>
      <c r="AH104" s="404">
        <f t="shared" si="30"/>
        <v>-14.585001732429873</v>
      </c>
      <c r="AI104" s="402">
        <f t="shared" si="31"/>
        <v>-2</v>
      </c>
    </row>
    <row r="105" spans="1:35" s="192" customFormat="1" ht="18" customHeight="1">
      <c r="A105" s="181" t="str">
        <f>IF(銘柄管理!B114&lt;&gt;"",HYPERLINK("https://kabutan.jp/stock/?code="&amp;銘柄管理!B114,"株探"),"")</f>
        <v>株探</v>
      </c>
      <c r="B105" s="182"/>
      <c r="C105" s="183">
        <f>IF(銘柄管理!B114="","",銘柄管理!B114)</f>
        <v>9501</v>
      </c>
      <c r="D105" s="111" t="str">
        <f>IF(銘柄管理!C114="","",銘柄管理!C114)</f>
        <v>東京電力ＨＤ</v>
      </c>
      <c r="E105" s="184">
        <f>IF(C105&lt;&gt;"",_xll.RssMarket(C105,"現在値"),"")</f>
        <v>508.1</v>
      </c>
      <c r="F105" s="184">
        <f>IF(C105&lt;&gt;"",_xll.RssMarket(C105,"始値"),"")</f>
        <v>523.20000000000005</v>
      </c>
      <c r="G105" s="183">
        <f>IF(C105&lt;&gt;"",終値!F114,"")</f>
        <v>513.5</v>
      </c>
      <c r="H105" s="184">
        <f>IF(C105&lt;&gt;"",_xll.RssMarket(C105,"高値"),"")</f>
        <v>523.5</v>
      </c>
      <c r="I105" s="184">
        <f>IF(C105&lt;&gt;"",_xll.RssMarket(C105,"安値"),"")</f>
        <v>507.4</v>
      </c>
      <c r="J105" s="184">
        <f>IF(C105&lt;&gt;"",_xll.RssMarket(C105,"出来高"),"")</f>
        <v>21276700</v>
      </c>
      <c r="K105" s="184">
        <f>IF(C105&lt;&gt;"",_xll.RssMarket(C105,"年初来高値"),"")</f>
        <v>760</v>
      </c>
      <c r="L105" s="185">
        <f t="shared" si="22"/>
        <v>-33.14473684210526</v>
      </c>
      <c r="M105" s="184">
        <f>IF(C105&lt;&gt;"",IFERROR(AVERAGE(出来高!E114:I114),""),"")</f>
        <v>29643320</v>
      </c>
      <c r="N105" s="184">
        <f>IF(C105&lt;&gt;"",IFERROR(AVERAGE(出来高!E114:AC114),""),"")</f>
        <v>38205312</v>
      </c>
      <c r="O105" s="186">
        <f t="shared" si="23"/>
        <v>0.71775698538490296</v>
      </c>
      <c r="P105" s="181" t="str">
        <f t="shared" si="24"/>
        <v>減少↓</v>
      </c>
      <c r="Q105" s="181" t="str">
        <f t="shared" si="25"/>
        <v>様子見▼</v>
      </c>
      <c r="R105" s="184">
        <f t="shared" si="39"/>
        <v>549</v>
      </c>
      <c r="S105" s="184">
        <f t="shared" si="40"/>
        <v>488</v>
      </c>
      <c r="T105" s="181">
        <f t="shared" si="29"/>
        <v>0</v>
      </c>
      <c r="U105" s="181" t="str">
        <f t="shared" si="41"/>
        <v>除外</v>
      </c>
      <c r="V105" s="181" t="str">
        <f t="shared" si="26"/>
        <v>通常</v>
      </c>
      <c r="W105" s="187">
        <f t="array" ref="W105">IF(C105&lt;&gt;"",IFERROR(100-100/(1+SUMPRODUCT((終値!F114:R114&gt;終値!G114:S114)*( 終値!F114:R114-終値!G114:S114))/SUMPRODUCT((終値!F114:R114&lt;終値!G114:S114)*(終値!G114:S114-終値!F114:R114))),50),"")</f>
        <v>33.017077798861465</v>
      </c>
      <c r="X105" s="188">
        <f>IF(C105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-8.7907850691969998</v>
      </c>
      <c r="Y105" s="1" t="str">
        <f>IF(T105="","",IF(銘柄管理!$F$5="下落▼",IF(AND(AD105="パーフェクト▲",OR(AE105="25日線押し目●",AE105="5日線押し目○")),"★逆張り候補",IF(AND(AD105="上昇トレンド▲",OR(AE105="25日線押し目●",AE105="5日線押し目○")),"○逆張り候補",IF(W105&lt;=30,IF(Z105&gt;0,"◎反発確認",IF(Z105&lt;-5,"△要注意・様子見","△売られ過ぎ注目")),"相場下落・見送り"))),IF(AND(T105&gt;=12,AD105="パーフェクト▲"),"★強い買い",IF(AND(T105&gt;=12,AD105="上昇トレンド▲"),"★強い買い",IF(AND(T105&gt;=8,OR(AE105="25日線押し目●",AE105="5日線押し目○")),"◎押し目買い",IF(T105&gt;=10,"○買い候補",IF(T105&gt;=6,"△注目",IF(T105&gt;=3,"様子見","見送り"))))))))</f>
        <v>見送り</v>
      </c>
      <c r="Z105" s="189">
        <f t="shared" si="42"/>
        <v>-1.05160662122687</v>
      </c>
      <c r="AA105" s="181" t="str">
        <f t="shared" si="43"/>
        <v>下落▼</v>
      </c>
      <c r="AB105" s="499">
        <f>IF(C105="","",IFERROR(((終値!E107*0.333)+(終値!F107*0.222)+(終値!G107*0.148)+(終値!H107*0.099)+(終値!I107*0.066)+(終値!J107*0.044)+(終値!K107*0.029)+(終値!L107*0.019)+(終値!M107*0.013)+(終値!N107*0.009))/(0.333+0.222+0.148+0.099+0.066+0.044+0.029+0.019+0.013+0.009),""))</f>
        <v>18597.571283095716</v>
      </c>
      <c r="AC105" s="499">
        <f>IF(C105="","",IFERROR(SUMPRODUCT((終値!E107:AC107)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17759.481525625735</v>
      </c>
      <c r="AD105" s="500" t="str">
        <f t="shared" si="37"/>
        <v>もみ合い→</v>
      </c>
      <c r="AE105" s="500" t="str">
        <f t="shared" si="38"/>
        <v>なし</v>
      </c>
      <c r="AF105" s="403" cm="1">
        <f t="array" ref="AF105">IF(C105="","",IFERROR((INDEX(終値!$E:$E,MATCH(TEXT(C105,"0"),終値!$A:$A,0))-INDEX(終値!$E:$BL,MATCH(TEXT(C105,"0"),終値!$A:$A,0),$AL$2))/INDEX(終値!$E:$BL,MATCH(TEXT(C105,"0"),終値!$A:$A,0),$AL$2)*100,""))</f>
        <v>-16.568144499178977</v>
      </c>
      <c r="AG105" s="403" cm="1">
        <f t="array" ref="AG105">IFERROR((終値!$E$5-INDEX(終値!$E$5:$BL$5,1,$AL$2))/INDEX(終値!$E$5:$BL$5,1,$AL$2)*100,"")</f>
        <v>3.4532270246721688</v>
      </c>
      <c r="AH105" s="404">
        <f t="shared" si="30"/>
        <v>-20.021371523851148</v>
      </c>
      <c r="AI105" s="402">
        <f t="shared" si="31"/>
        <v>-2</v>
      </c>
    </row>
    <row r="106" spans="1:35" s="192" customFormat="1" ht="18" customHeight="1">
      <c r="A106" s="181" t="str">
        <f>IF(銘柄管理!B120&lt;&gt;"",HYPERLINK("https://kabutan.jp/stock/?code="&amp;銘柄管理!B120,"株探"),"")</f>
        <v>株探</v>
      </c>
      <c r="B106" s="182"/>
      <c r="C106" s="183">
        <f>IF(銘柄管理!B120="","",銘柄管理!B120)</f>
        <v>6744</v>
      </c>
      <c r="D106" s="111" t="str">
        <f>IF(銘柄管理!C120="","",銘柄管理!C120)</f>
        <v>能美防災</v>
      </c>
      <c r="E106" s="184">
        <f>IF(C106&lt;&gt;"",_xll.RssMarket(C106,"現在値"),"")</f>
        <v>4175</v>
      </c>
      <c r="F106" s="184">
        <f>IF(C106&lt;&gt;"",_xll.RssMarket(C106,"始値"),"")</f>
        <v>4200</v>
      </c>
      <c r="G106" s="183">
        <f>IF(C106&lt;&gt;"",終値!F120,"")</f>
        <v>4185</v>
      </c>
      <c r="H106" s="184">
        <f>IF(C106&lt;&gt;"",_xll.RssMarket(C106,"高値"),"")</f>
        <v>4230</v>
      </c>
      <c r="I106" s="184">
        <f>IF(C106&lt;&gt;"",_xll.RssMarket(C106,"安値"),"")</f>
        <v>4155</v>
      </c>
      <c r="J106" s="184">
        <f>IF(C106&lt;&gt;"",_xll.RssMarket(C106,"出来高"),"")</f>
        <v>65600</v>
      </c>
      <c r="K106" s="184">
        <f>IF(C106&lt;&gt;"",_xll.RssMarket(C106,"年初来高値"),"")</f>
        <v>5020</v>
      </c>
      <c r="L106" s="185">
        <f t="shared" si="22"/>
        <v>-16.832669322709162</v>
      </c>
      <c r="M106" s="184">
        <f>IF(C106&lt;&gt;"",IFERROR(AVERAGE(出来高!E120:I120),""),"")</f>
        <v>69680</v>
      </c>
      <c r="N106" s="184">
        <f>IF(C106&lt;&gt;"",IFERROR(AVERAGE(出来高!E120:AC120),""),"")</f>
        <v>128684</v>
      </c>
      <c r="O106" s="186">
        <f t="shared" si="23"/>
        <v>0.94144661308840416</v>
      </c>
      <c r="P106" s="181" t="str">
        <f t="shared" si="24"/>
        <v>減少↓</v>
      </c>
      <c r="Q106" s="181" t="str">
        <f t="shared" si="25"/>
        <v>様子見▼</v>
      </c>
      <c r="R106" s="184">
        <f t="shared" si="39"/>
        <v>4509</v>
      </c>
      <c r="S106" s="184">
        <f t="shared" si="40"/>
        <v>4008</v>
      </c>
      <c r="T106" s="181">
        <f t="shared" si="29"/>
        <v>1</v>
      </c>
      <c r="U106" s="181" t="str">
        <f t="shared" si="41"/>
        <v>除外</v>
      </c>
      <c r="V106" s="181" t="str">
        <f t="shared" si="26"/>
        <v>通常</v>
      </c>
      <c r="W106" s="187">
        <f t="array" ref="W106">IF(C106&lt;&gt;"",IFERROR(100-100/(1+SUMPRODUCT((終値!F120:R120&gt;終値!G120:S120)*( 終値!F120:R120-終値!G120:S120))/SUMPRODUCT((終値!F120:R120&lt;終値!G120:S120)*(終値!G120:S120-終値!F120:R120))),50),"")</f>
        <v>23.039215686274503</v>
      </c>
      <c r="X106" s="188">
        <f>IF(C106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-59.164371375461997</v>
      </c>
      <c r="Y106" s="1" t="str">
        <f>IF(T106="","",IF(銘柄管理!$F$5="下落▼",IF(AND(AD106="パーフェクト▲",OR(AE106="25日線押し目●",AE106="5日線押し目○")),"★逆張り候補",IF(AND(AD106="上昇トレンド▲",OR(AE106="25日線押し目●",AE106="5日線押し目○")),"○逆張り候補",IF(W106&lt;=30,IF(Z106&gt;0,"◎反発確認",IF(Z106&lt;-5,"△要注意・様子見","△売られ過ぎ注目")),"相場下落・見送り"))),IF(AND(T106&gt;=12,AD106="パーフェクト▲"),"★強い買い",IF(AND(T106&gt;=12,AD106="上昇トレンド▲"),"★強い買い",IF(AND(T106&gt;=8,OR(AE106="25日線押し目●",AE106="5日線押し目○")),"◎押し目買い",IF(T106&gt;=10,"○買い候補",IF(T106&gt;=6,"△注目",IF(T106&gt;=3,"様子見","見送り"))))))))</f>
        <v>見送り</v>
      </c>
      <c r="Z106" s="189">
        <f t="shared" si="42"/>
        <v>-0.23894862604540024</v>
      </c>
      <c r="AA106" s="181" t="str">
        <f t="shared" si="43"/>
        <v>下落▼</v>
      </c>
      <c r="AB106" s="497">
        <f>IF(C106="","",IFERROR(((終値!E108*0.333)+(終値!F108*0.222)+(終値!G108*0.148)+(終値!H108*0.099)+(終値!I108*0.066)+(終値!J108*0.044)+(終値!K108*0.029)+(終値!L108*0.019)+(終値!M108*0.013)+(終値!N108*0.009))/(0.333+0.222+0.148+0.099+0.066+0.044+0.029+0.019+0.013+0.009),""))</f>
        <v>4250.8054989816692</v>
      </c>
      <c r="AC106" s="497">
        <f>IF(C106="","",IFERROR(SUMPRODUCT((終値!E108:AC108)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4230.9809296781868</v>
      </c>
      <c r="AD106" s="498" t="str">
        <f t="shared" si="37"/>
        <v>もみ合い→</v>
      </c>
      <c r="AE106" s="498" t="str">
        <f t="shared" si="38"/>
        <v>なし</v>
      </c>
      <c r="AF106" s="403" cm="1">
        <f t="array" ref="AF106">IF(C106="","",IFERROR((INDEX(終値!$E:$E,MATCH(TEXT(C106,"0"),終値!$A:$A,0))-INDEX(終値!$E:$BL,MATCH(TEXT(C106,"0"),終値!$A:$A,0),$AL$2))/INDEX(終値!$E:$BL,MATCH(TEXT(C106,"0"),終値!$A:$A,0),$AL$2)*100,""))</f>
        <v>-7.6327433628318575</v>
      </c>
      <c r="AG106" s="403" cm="1">
        <f t="array" ref="AG106">IFERROR((終値!$E$5-INDEX(終値!$E$5:$BL$5,1,$AL$2))/INDEX(終値!$E$5:$BL$5,1,$AL$2)*100,"")</f>
        <v>3.4532270246721688</v>
      </c>
      <c r="AH106" s="404">
        <f t="shared" si="30"/>
        <v>-11.085970387504027</v>
      </c>
      <c r="AI106" s="402">
        <f t="shared" si="31"/>
        <v>-2</v>
      </c>
    </row>
    <row r="107" spans="1:35" s="192" customFormat="1" ht="18" customHeight="1">
      <c r="A107" s="181" t="str">
        <f>IF(銘柄管理!B126&lt;&gt;"",HYPERLINK("https://kabutan.jp/stock/?code="&amp;銘柄管理!B126,"株探"),"")</f>
        <v>株探</v>
      </c>
      <c r="B107" s="182"/>
      <c r="C107" s="183">
        <f>IF(銘柄管理!B126="","",銘柄管理!B126)</f>
        <v>9416</v>
      </c>
      <c r="D107" s="111" t="str">
        <f>IF(銘柄管理!C126="","",銘柄管理!C126)</f>
        <v>ビジョン</v>
      </c>
      <c r="E107" s="184">
        <f>IF(C107&lt;&gt;"",_xll.RssMarket(C107,"現在値"),"")</f>
        <v>1015</v>
      </c>
      <c r="F107" s="184">
        <f>IF(C107&lt;&gt;"",_xll.RssMarket(C107,"始値"),"")</f>
        <v>1020</v>
      </c>
      <c r="G107" s="183">
        <f>IF(C107&lt;&gt;"",終値!F126,"")</f>
        <v>1018</v>
      </c>
      <c r="H107" s="184">
        <f>IF(C107&lt;&gt;"",_xll.RssMarket(C107,"高値"),"")</f>
        <v>1026</v>
      </c>
      <c r="I107" s="184">
        <f>IF(C107&lt;&gt;"",_xll.RssMarket(C107,"安値"),"")</f>
        <v>1012</v>
      </c>
      <c r="J107" s="184">
        <f>IF(C107&lt;&gt;"",_xll.RssMarket(C107,"出来高"),"")</f>
        <v>504700</v>
      </c>
      <c r="K107" s="184">
        <f>IF(C107&lt;&gt;"",_xll.RssMarket(C107,"年初来高値"),"")</f>
        <v>1343</v>
      </c>
      <c r="L107" s="185">
        <f t="shared" si="22"/>
        <v>-24.422933730454208</v>
      </c>
      <c r="M107" s="184">
        <f>IF(C107&lt;&gt;"",IFERROR(AVERAGE(出来高!E126:I126),""),"")</f>
        <v>400640</v>
      </c>
      <c r="N107" s="184">
        <f>IF(C107&lt;&gt;"",IFERROR(AVERAGE(出来高!E126:AC126),""),"")</f>
        <v>404764</v>
      </c>
      <c r="O107" s="186">
        <f t="shared" si="23"/>
        <v>1.2597344249201279</v>
      </c>
      <c r="P107" s="181" t="str">
        <f t="shared" si="24"/>
        <v>普通→</v>
      </c>
      <c r="Q107" s="181" t="str">
        <f t="shared" si="25"/>
        <v>様子見▼</v>
      </c>
      <c r="R107" s="184">
        <f t="shared" si="39"/>
        <v>1096</v>
      </c>
      <c r="S107" s="184">
        <f t="shared" si="40"/>
        <v>974</v>
      </c>
      <c r="T107" s="181">
        <f t="shared" si="29"/>
        <v>2</v>
      </c>
      <c r="U107" s="181" t="str">
        <f t="shared" si="41"/>
        <v>除外</v>
      </c>
      <c r="V107" s="181" t="str">
        <f t="shared" si="26"/>
        <v>通常</v>
      </c>
      <c r="W107" s="187">
        <f t="array" ref="W107">IF(C107&lt;&gt;"",IFERROR(100-100/(1+SUMPRODUCT((終値!F126:R126&gt;終値!G126:S126)*( 終値!F126:R126-終値!G126:S126))/SUMPRODUCT((終値!F126:R126&lt;終値!G126:S126)*(終値!G126:S126-終値!F126:R126))),50),"")</f>
        <v>27.624309392265189</v>
      </c>
      <c r="X107" s="188">
        <f>IF(C107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-6.4015538988769549</v>
      </c>
      <c r="Y107" s="1" t="str">
        <f>IF(T107="","",IF(銘柄管理!$F$5="下落▼",IF(AND(AD107="パーフェクト▲",OR(AE107="25日線押し目●",AE107="5日線押し目○")),"★逆張り候補",IF(AND(AD107="上昇トレンド▲",OR(AE107="25日線押し目●",AE107="5日線押し目○")),"○逆張り候補",IF(W107&lt;=30,IF(Z107&gt;0,"◎反発確認",IF(Z107&lt;-5,"△要注意・様子見","△売られ過ぎ注目")),"相場下落・見送り"))),IF(AND(T107&gt;=12,AD107="パーフェクト▲"),"★強い買い",IF(AND(T107&gt;=12,AD107="上昇トレンド▲"),"★強い買い",IF(AND(T107&gt;=8,OR(AE107="25日線押し目●",AE107="5日線押し目○")),"◎押し目買い",IF(T107&gt;=10,"○買い候補",IF(T107&gt;=6,"△注目",IF(T107&gt;=3,"様子見","見送り"))))))))</f>
        <v>見送り</v>
      </c>
      <c r="Z107" s="189">
        <f t="shared" si="42"/>
        <v>-0.29469548133595286</v>
      </c>
      <c r="AA107" s="181" t="str">
        <f t="shared" si="43"/>
        <v>下落▼</v>
      </c>
      <c r="AB107" s="499">
        <f>IF(C107="","",IFERROR(((終値!E109*0.333)+(終値!F109*0.222)+(終値!G109*0.148)+(終値!H109*0.099)+(終値!I109*0.066)+(終値!J109*0.044)+(終値!K109*0.029)+(終値!L109*0.019)+(終値!M109*0.013)+(終値!N109*0.009))/(0.333+0.222+0.148+0.099+0.066+0.044+0.029+0.019+0.013+0.009),""))</f>
        <v>3378.3044806517305</v>
      </c>
      <c r="AC107" s="499">
        <f>IF(C107="","",IFERROR(SUMPRODUCT((終値!E109:AC109)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3455.9952324195456</v>
      </c>
      <c r="AD107" s="500" t="str">
        <f t="shared" si="37"/>
        <v>下降トレンド▼</v>
      </c>
      <c r="AE107" s="500" t="str">
        <f t="shared" si="38"/>
        <v>なし</v>
      </c>
      <c r="AF107" s="403" cm="1">
        <f t="array" ref="AF107">IF(C107="","",IFERROR((INDEX(終値!$E:$E,MATCH(TEXT(C107,"0"),終値!$A:$A,0))-INDEX(終値!$E:$BL,MATCH(TEXT(C107,"0"),終値!$A:$A,0),$AL$2))/INDEX(終値!$E:$BL,MATCH(TEXT(C107,"0"),終値!$A:$A,0),$AL$2)*100,""))</f>
        <v>-6.7952249770431585</v>
      </c>
      <c r="AG107" s="403" cm="1">
        <f t="array" ref="AG107">IFERROR((終値!$E$5-INDEX(終値!$E$5:$BL$5,1,$AL$2))/INDEX(終値!$E$5:$BL$5,1,$AL$2)*100,"")</f>
        <v>3.4532270246721688</v>
      </c>
      <c r="AH107" s="404">
        <f t="shared" si="30"/>
        <v>-10.248452001715327</v>
      </c>
      <c r="AI107" s="402">
        <f t="shared" si="31"/>
        <v>-2</v>
      </c>
    </row>
    <row r="108" spans="1:35" s="192" customFormat="1" ht="18" customHeight="1">
      <c r="A108" s="181" t="str">
        <f>IF(銘柄管理!B132&lt;&gt;"",HYPERLINK("https://kabutan.jp/stock/?code="&amp;銘柄管理!B132,"株探"),"")</f>
        <v>株探</v>
      </c>
      <c r="B108" s="182"/>
      <c r="C108" s="183">
        <f>IF(銘柄管理!B132="","",銘柄管理!B132)</f>
        <v>6227</v>
      </c>
      <c r="D108" s="111" t="str">
        <f>IF(銘柄管理!C132="","",銘柄管理!C132)</f>
        <v>ＡＩメカテック</v>
      </c>
      <c r="E108" s="184">
        <f>IF(C108&lt;&gt;"",_xll.RssMarket(C108,"現在値"),"")</f>
        <v>8160</v>
      </c>
      <c r="F108" s="184">
        <f>IF(C108&lt;&gt;"",_xll.RssMarket(C108,"始値"),"")</f>
        <v>7930</v>
      </c>
      <c r="G108" s="183">
        <f>IF(C108&lt;&gt;"",終値!F132,"")</f>
        <v>8080</v>
      </c>
      <c r="H108" s="184">
        <f>IF(C108&lt;&gt;"",_xll.RssMarket(C108,"高値"),"")</f>
        <v>8830</v>
      </c>
      <c r="I108" s="184">
        <f>IF(C108&lt;&gt;"",_xll.RssMarket(C108,"安値"),"")</f>
        <v>7920</v>
      </c>
      <c r="J108" s="184">
        <f>IF(C108&lt;&gt;"",_xll.RssMarket(C108,"出来高"),"")</f>
        <v>1363100</v>
      </c>
      <c r="K108" s="184">
        <f>IF(C108&lt;&gt;"",_xll.RssMarket(C108,"年初来高値"),"")</f>
        <v>9190</v>
      </c>
      <c r="L108" s="185">
        <f t="shared" si="22"/>
        <v>-11.207834602829161</v>
      </c>
      <c r="M108" s="184">
        <f>IF(C108&lt;&gt;"",IFERROR(AVERAGE(出来高!E132:I132),""),"")</f>
        <v>1540500</v>
      </c>
      <c r="N108" s="184">
        <f>IF(C108&lt;&gt;"",IFERROR(AVERAGE(出来高!E132:AC132),""),"")</f>
        <v>1473272</v>
      </c>
      <c r="O108" s="186">
        <f t="shared" si="23"/>
        <v>0.88484258357676082</v>
      </c>
      <c r="P108" s="181" t="str">
        <f t="shared" si="24"/>
        <v>減少↓</v>
      </c>
      <c r="Q108" s="181" t="str">
        <f t="shared" si="25"/>
        <v>中立→</v>
      </c>
      <c r="R108" s="184">
        <f t="shared" si="39"/>
        <v>8813</v>
      </c>
      <c r="S108" s="184">
        <f t="shared" si="40"/>
        <v>7834</v>
      </c>
      <c r="T108" s="181">
        <f t="shared" si="29"/>
        <v>9</v>
      </c>
      <c r="U108" s="181" t="str">
        <f t="shared" si="41"/>
        <v>要確認</v>
      </c>
      <c r="V108" s="181" t="str">
        <f t="shared" si="26"/>
        <v>高値圏</v>
      </c>
      <c r="W108" s="187">
        <f t="array" ref="W108">IF(C108&lt;&gt;"",IFERROR(100-100/(1+SUMPRODUCT((終値!F132:R132&gt;終値!G132:S132)*( 終値!F132:R132-終値!G132:S132))/SUMPRODUCT((終値!F132:R132&lt;終値!G132:S132)*(終値!G132:S132-終値!F132:R132))),50),"")</f>
        <v>70.043103448275872</v>
      </c>
      <c r="X108" s="188">
        <f>IF(C108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199.61110735196689</v>
      </c>
      <c r="Y108" s="1" t="str">
        <f>IF(T108="","",IF(銘柄管理!$F$5="下落▼",IF(AND(AD108="パーフェクト▲",OR(AE108="25日線押し目●",AE108="5日線押し目○")),"★逆張り候補",IF(AND(AD108="上昇トレンド▲",OR(AE108="25日線押し目●",AE108="5日線押し目○")),"○逆張り候補",IF(W108&lt;=30,IF(Z108&gt;0,"◎反発確認",IF(Z108&lt;-5,"△要注意・様子見","△売られ過ぎ注目")),"相場下落・見送り"))),IF(AND(T108&gt;=12,AD108="パーフェクト▲"),"★強い買い",IF(AND(T108&gt;=12,AD108="上昇トレンド▲"),"★強い買い",IF(AND(T108&gt;=8,OR(AE108="25日線押し目●",AE108="5日線押し目○")),"◎押し目買い",IF(T108&gt;=10,"○買い候補",IF(T108&gt;=6,"△注目",IF(T108&gt;=3,"様子見","見送り"))))))))</f>
        <v>△注目</v>
      </c>
      <c r="Z108" s="189">
        <f t="shared" si="42"/>
        <v>0.99009900990099009</v>
      </c>
      <c r="AA108" s="181" t="str">
        <f t="shared" si="43"/>
        <v>上昇▲</v>
      </c>
      <c r="AB108" s="497">
        <f>IF(C108="","",IFERROR(((終値!E110*0.333)+(終値!F110*0.222)+(終値!G110*0.148)+(終値!H110*0.099)+(終値!I110*0.066)+(終値!J110*0.044)+(終値!K110*0.029)+(終値!L110*0.019)+(終値!M110*0.013)+(終値!N110*0.009))/(0.333+0.222+0.148+0.099+0.066+0.044+0.029+0.019+0.013+0.009),""))</f>
        <v>1924.2352342158858</v>
      </c>
      <c r="AC108" s="497">
        <f>IF(C108="","",IFERROR(SUMPRODUCT((終値!E110:AC110)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1931.87127532777</v>
      </c>
      <c r="AD108" s="498" t="str">
        <f t="shared" si="37"/>
        <v>上昇トレンド▲</v>
      </c>
      <c r="AE108" s="498" t="str">
        <f t="shared" si="38"/>
        <v>なし</v>
      </c>
      <c r="AF108" s="403" cm="1">
        <f t="array" ref="AF108">IF(C108="","",IFERROR((INDEX(終値!$E:$E,MATCH(TEXT(C108,"0"),終値!$A:$A,0))-INDEX(終値!$E:$BL,MATCH(TEXT(C108,"0"),終値!$A:$A,0),$AL$2))/INDEX(終値!$E:$BL,MATCH(TEXT(C108,"0"),終値!$A:$A,0),$AL$2)*100,""))</f>
        <v>21.973094170403588</v>
      </c>
      <c r="AG108" s="403" cm="1">
        <f t="array" ref="AG108">IFERROR((終値!$E$5-INDEX(終値!$E$5:$BL$5,1,$AL$2))/INDEX(終値!$E$5:$BL$5,1,$AL$2)*100,"")</f>
        <v>3.4532270246721688</v>
      </c>
      <c r="AH108" s="404">
        <f t="shared" si="30"/>
        <v>18.519867145731418</v>
      </c>
      <c r="AI108" s="402">
        <f t="shared" si="31"/>
        <v>3</v>
      </c>
    </row>
    <row r="109" spans="1:35" s="192" customFormat="1" ht="18" customHeight="1">
      <c r="A109" s="181" t="str">
        <f>IF(銘柄管理!B134&lt;&gt;"",HYPERLINK("https://kabutan.jp/stock/?code="&amp;銘柄管理!B134,"株探"),"")</f>
        <v>株探</v>
      </c>
      <c r="B109" s="182"/>
      <c r="C109" s="183">
        <f>IF(銘柄管理!B134="","",銘柄管理!B134)</f>
        <v>3110</v>
      </c>
      <c r="D109" s="111" t="str">
        <f>IF(銘柄管理!C134="","",銘柄管理!C134)</f>
        <v>日東紡績</v>
      </c>
      <c r="E109" s="184">
        <f>IF(C109&lt;&gt;"",_xll.RssMarket(C109,"現在値"),"")</f>
        <v>21170</v>
      </c>
      <c r="F109" s="184">
        <f>IF(C109&lt;&gt;"",_xll.RssMarket(C109,"始値"),"")</f>
        <v>20690</v>
      </c>
      <c r="G109" s="183">
        <f>IF(C109&lt;&gt;"",終値!F134,"")</f>
        <v>21690</v>
      </c>
      <c r="H109" s="184">
        <f>IF(C109&lt;&gt;"",_xll.RssMarket(C109,"高値"),"")</f>
        <v>21630</v>
      </c>
      <c r="I109" s="184">
        <f>IF(C109&lt;&gt;"",_xll.RssMarket(C109,"安値"),"")</f>
        <v>20600</v>
      </c>
      <c r="J109" s="184">
        <f>IF(C109&lt;&gt;"",_xll.RssMarket(C109,"出来高"),"")</f>
        <v>1745900</v>
      </c>
      <c r="K109" s="184">
        <f>IF(C109&lt;&gt;"",_xll.RssMarket(C109,"年初来高値"),"")</f>
        <v>32900</v>
      </c>
      <c r="L109" s="185">
        <f t="shared" si="22"/>
        <v>-35.653495440729479</v>
      </c>
      <c r="M109" s="184">
        <f>IF(C109&lt;&gt;"",IFERROR(AVERAGE(出来高!E134:I134),""),"")</f>
        <v>2271700</v>
      </c>
      <c r="N109" s="184">
        <f>IF(C109&lt;&gt;"",IFERROR(AVERAGE(出来高!E134:AC134),""),"")</f>
        <v>2451140</v>
      </c>
      <c r="O109" s="186">
        <f t="shared" si="23"/>
        <v>0.76854338160848701</v>
      </c>
      <c r="P109" s="181" t="str">
        <f t="shared" si="24"/>
        <v>減少↓</v>
      </c>
      <c r="Q109" s="181" t="str">
        <f t="shared" si="25"/>
        <v>様子見▼</v>
      </c>
      <c r="R109" s="184">
        <f t="shared" si="39"/>
        <v>22864</v>
      </c>
      <c r="S109" s="184">
        <f t="shared" si="40"/>
        <v>20323</v>
      </c>
      <c r="T109" s="181">
        <f t="shared" si="29"/>
        <v>2</v>
      </c>
      <c r="U109" s="181" t="str">
        <f t="shared" si="41"/>
        <v>除外</v>
      </c>
      <c r="V109" s="181" t="str">
        <f t="shared" si="26"/>
        <v>通常</v>
      </c>
      <c r="W109" s="187">
        <f t="array" ref="W109">IF(C109&lt;&gt;"",IFERROR(100-100/(1+SUMPRODUCT((終値!F134:R134&gt;終値!G134:S134)*( 終値!F134:R134-終値!G134:S134))/SUMPRODUCT((終値!F134:R134&lt;終値!G134:S134)*(終値!G134:S134-終値!F134:R134))),50),"")</f>
        <v>33.446136491821775</v>
      </c>
      <c r="X109" s="188">
        <f>IF(C109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-664.33780185400974</v>
      </c>
      <c r="Y109" s="1" t="str">
        <f>IF(T109="","",IF(銘柄管理!$F$5="下落▼",IF(AND(AD109="パーフェクト▲",OR(AE109="25日線押し目●",AE109="5日線押し目○")),"★逆張り候補",IF(AND(AD109="上昇トレンド▲",OR(AE109="25日線押し目●",AE109="5日線押し目○")),"○逆張り候補",IF(W109&lt;=30,IF(Z109&gt;0,"◎反発確認",IF(Z109&lt;-5,"△要注意・様子見","△売られ過ぎ注目")),"相場下落・見送り"))),IF(AND(T109&gt;=12,AD109="パーフェクト▲"),"★強い買い",IF(AND(T109&gt;=12,AD109="上昇トレンド▲"),"★強い買い",IF(AND(T109&gt;=8,OR(AE109="25日線押し目●",AE109="5日線押し目○")),"◎押し目買い",IF(T109&gt;=10,"○買い候補",IF(T109&gt;=6,"△注目",IF(T109&gt;=3,"様子見","見送り"))))))))</f>
        <v>見送り</v>
      </c>
      <c r="Z109" s="189">
        <f t="shared" si="42"/>
        <v>-2.3974181650530202</v>
      </c>
      <c r="AA109" s="181" t="str">
        <f t="shared" si="43"/>
        <v>下落▼</v>
      </c>
      <c r="AB109" s="499">
        <f>IF(C109="","",IFERROR(((終値!E111*0.333)+(終値!F111*0.222)+(終値!G111*0.148)+(終値!H111*0.099)+(終値!I111*0.066)+(終値!J111*0.044)+(終値!K111*0.029)+(終値!L111*0.019)+(終値!M111*0.013)+(終値!N111*0.009))/(0.333+0.222+0.148+0.099+0.066+0.044+0.029+0.019+0.013+0.009),""))</f>
        <v>879.77494908350275</v>
      </c>
      <c r="AC109" s="499">
        <f>IF(C109="","",IFERROR(SUMPRODUCT((終値!E111:AC111)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917.47079856972539</v>
      </c>
      <c r="AD109" s="500" t="str">
        <f t="shared" si="37"/>
        <v>上昇トレンド▲</v>
      </c>
      <c r="AE109" s="500" t="str">
        <f t="shared" si="38"/>
        <v>なし</v>
      </c>
      <c r="AF109" s="403" cm="1">
        <f t="array" ref="AF109">IF(C109="","",IFERROR((INDEX(終値!$E:$E,MATCH(TEXT(C109,"0"),終値!$A:$A,0))-INDEX(終値!$E:$BL,MATCH(TEXT(C109,"0"),終値!$A:$A,0),$AL$2))/INDEX(終値!$E:$BL,MATCH(TEXT(C109,"0"),終値!$A:$A,0),$AL$2)*100,""))</f>
        <v>-19.1676212294769</v>
      </c>
      <c r="AG109" s="403" cm="1">
        <f t="array" ref="AG109">IFERROR((終値!$E$5-INDEX(終値!$E$5:$BL$5,1,$AL$2))/INDEX(終値!$E$5:$BL$5,1,$AL$2)*100,"")</f>
        <v>3.4532270246721688</v>
      </c>
      <c r="AH109" s="404">
        <f t="shared" si="30"/>
        <v>-22.62084825414907</v>
      </c>
      <c r="AI109" s="402">
        <f t="shared" si="31"/>
        <v>-2</v>
      </c>
    </row>
    <row r="110" spans="1:35" s="192" customFormat="1" ht="18" customHeight="1">
      <c r="A110" s="181" t="str">
        <f>IF(銘柄管理!B142&lt;&gt;"",HYPERLINK("https://kabutan.jp/stock/?code="&amp;銘柄管理!B142,"株探"),"")</f>
        <v>株探</v>
      </c>
      <c r="B110" s="182"/>
      <c r="C110" s="183" t="str">
        <f>IF(銘柄管理!B142="","",銘柄管理!B142)</f>
        <v>4568</v>
      </c>
      <c r="D110" s="111" t="str">
        <f>IF(銘柄管理!C142="","",銘柄管理!C142)</f>
        <v>第一三共</v>
      </c>
      <c r="E110" s="184">
        <f>IF(C110&lt;&gt;"",_xll.RssMarket(C110,"現在値"),"")</f>
        <v>2595.5</v>
      </c>
      <c r="F110" s="184">
        <f>IF(C110&lt;&gt;"",_xll.RssMarket(C110,"始値"),"")</f>
        <v>2550</v>
      </c>
      <c r="G110" s="183">
        <f>IF(C110&lt;&gt;"",終値!F142,"")</f>
        <v>2519.5</v>
      </c>
      <c r="H110" s="184">
        <f>IF(C110&lt;&gt;"",_xll.RssMarket(C110,"高値"),"")</f>
        <v>2632</v>
      </c>
      <c r="I110" s="184">
        <f>IF(C110&lt;&gt;"",_xll.RssMarket(C110,"安値"),"")</f>
        <v>2545</v>
      </c>
      <c r="J110" s="184">
        <f>IF(C110&lt;&gt;"",_xll.RssMarket(C110,"出来高"),"")</f>
        <v>7992100</v>
      </c>
      <c r="K110" s="184">
        <f>IF(C110&lt;&gt;"",_xll.RssMarket(C110,"年初来高値"),"")</f>
        <v>3625</v>
      </c>
      <c r="L110" s="185">
        <f t="shared" si="22"/>
        <v>-28.4</v>
      </c>
      <c r="M110" s="184">
        <f>IF(C110&lt;&gt;"",IFERROR(AVERAGE(出来高!E142:I142),""),"")</f>
        <v>7075620</v>
      </c>
      <c r="N110" s="184">
        <f>IF(C110&lt;&gt;"",IFERROR(AVERAGE(出来高!E142:AC142),""),"")</f>
        <v>8827308</v>
      </c>
      <c r="O110" s="186">
        <f t="shared" si="23"/>
        <v>1.1295264584587641</v>
      </c>
      <c r="P110" s="181" t="str">
        <f t="shared" si="24"/>
        <v>普通→</v>
      </c>
      <c r="Q110" s="181" t="str">
        <f t="shared" si="25"/>
        <v>中立→</v>
      </c>
      <c r="R110" s="184">
        <f t="shared" si="39"/>
        <v>2803</v>
      </c>
      <c r="S110" s="184">
        <f t="shared" si="40"/>
        <v>2492</v>
      </c>
      <c r="T110" s="181">
        <f t="shared" si="29"/>
        <v>5</v>
      </c>
      <c r="U110" s="181" t="str">
        <f t="shared" si="41"/>
        <v>要確認</v>
      </c>
      <c r="V110" s="181" t="str">
        <f t="shared" si="26"/>
        <v>通常</v>
      </c>
      <c r="W110" s="187">
        <f t="array" ref="W110">IF(C110&lt;&gt;"",IFERROR(100-100/(1+SUMPRODUCT((終値!F142:R142&gt;終値!G142:S142)*( 終値!F142:R142-終値!G142:S142))/SUMPRODUCT((終値!F142:R142&lt;終値!G142:S142)*(終値!G142:S142-終値!F142:R142))),50),"")</f>
        <v>34.764309764309772</v>
      </c>
      <c r="X110" s="188">
        <f>IF(C110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-20.507582421518237</v>
      </c>
      <c r="Y110" s="1" t="str">
        <f>IF(T110="","",IF(銘柄管理!$F$5="下落▼",IF(AND(AD110="パーフェクト▲",OR(AE110="25日線押し目●",AE110="5日線押し目○")),"★逆張り候補",IF(AND(AD110="上昇トレンド▲",OR(AE110="25日線押し目●",AE110="5日線押し目○")),"○逆張り候補",IF(W110&lt;=30,IF(Z110&gt;0,"◎反発確認",IF(Z110&lt;-5,"△要注意・様子見","△売られ過ぎ注目")),"相場下落・見送り"))),IF(AND(T110&gt;=12,AD110="パーフェクト▲"),"★強い買い",IF(AND(T110&gt;=12,AD110="上昇トレンド▲"),"★強い買い",IF(AND(T110&gt;=8,OR(AE110="25日線押し目●",AE110="5日線押し目○")),"◎押し目買い",IF(T110&gt;=10,"○買い候補",IF(T110&gt;=6,"△注目",IF(T110&gt;=3,"様子見","見送り"))))))))</f>
        <v>様子見</v>
      </c>
      <c r="Z110" s="189">
        <f t="shared" si="42"/>
        <v>3.0164715221274063</v>
      </c>
      <c r="AA110" s="181" t="str">
        <f t="shared" si="43"/>
        <v>上昇▲</v>
      </c>
      <c r="AB110" s="497">
        <f>IF(C110="","",IFERROR(((終値!E112*0.333)+(終値!F112*0.222)+(終値!G112*0.148)+(終値!H112*0.099)+(終値!I112*0.066)+(終値!J112*0.044)+(終値!K112*0.029)+(終値!L112*0.019)+(終値!M112*0.013)+(終値!N112*0.009))/(0.333+0.222+0.148+0.099+0.066+0.044+0.029+0.019+0.013+0.009),""))</f>
        <v>514.89714867617101</v>
      </c>
      <c r="AC110" s="497">
        <f>IF(C110="","",IFERROR(SUMPRODUCT((終値!E112:AC112)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556.44934445768752</v>
      </c>
      <c r="AD110" s="498" t="str">
        <f t="shared" si="37"/>
        <v>上昇トレンド▲</v>
      </c>
      <c r="AE110" s="498" t="str">
        <f t="shared" si="38"/>
        <v>なし</v>
      </c>
      <c r="AF110" s="403" cm="1">
        <f t="array" ref="AF110">IF(C110="","",IFERROR((INDEX(終値!$E:$E,MATCH(TEXT(C110,"0"),終値!$A:$A,0))-INDEX(終値!$E:$BL,MATCH(TEXT(C110,"0"),終値!$A:$A,0),$AL$2))/INDEX(終値!$E:$BL,MATCH(TEXT(C110,"0"),終値!$A:$A,0),$AL$2)*100,""))</f>
        <v>0.52285050348567008</v>
      </c>
      <c r="AG110" s="403" cm="1">
        <f t="array" ref="AG110">IFERROR((終値!$E$5-INDEX(終値!$E$5:$BL$5,1,$AL$2))/INDEX(終値!$E$5:$BL$5,1,$AL$2)*100,"")</f>
        <v>3.4532270246721688</v>
      </c>
      <c r="AH110" s="404">
        <f t="shared" si="30"/>
        <v>-2.9303765211864987</v>
      </c>
      <c r="AI110" s="402">
        <f t="shared" si="31"/>
        <v>-1</v>
      </c>
    </row>
    <row r="111" spans="1:35" s="192" customFormat="1" ht="18" customHeight="1">
      <c r="A111" s="181" t="str">
        <f>IF(銘柄管理!B143&lt;&gt;"",HYPERLINK("https://kabutan.jp/stock/?code="&amp;銘柄管理!B143,"株探"),"")</f>
        <v>株探</v>
      </c>
      <c r="B111" s="182"/>
      <c r="C111" s="183">
        <f>IF(銘柄管理!B143="","",銘柄管理!B143)</f>
        <v>6522</v>
      </c>
      <c r="D111" s="111" t="str">
        <f>IF(銘柄管理!C143="","",銘柄管理!C143)</f>
        <v>アスタリスク</v>
      </c>
      <c r="E111" s="184">
        <f>IF(C111&lt;&gt;"",_xll.RssMarket(C111,"現在値"),"")</f>
        <v>731</v>
      </c>
      <c r="F111" s="184">
        <f>IF(C111&lt;&gt;"",_xll.RssMarket(C111,"始値"),"")</f>
        <v>720</v>
      </c>
      <c r="G111" s="183">
        <f>IF(C111&lt;&gt;"",終値!F143,"")</f>
        <v>720</v>
      </c>
      <c r="H111" s="184">
        <f>IF(C111&lt;&gt;"",_xll.RssMarket(C111,"高値"),"")</f>
        <v>740</v>
      </c>
      <c r="I111" s="184">
        <f>IF(C111&lt;&gt;"",_xll.RssMarket(C111,"安値"),"")</f>
        <v>716</v>
      </c>
      <c r="J111" s="184">
        <f>IF(C111&lt;&gt;"",_xll.RssMarket(C111,"出来高"),"")</f>
        <v>95600</v>
      </c>
      <c r="K111" s="184">
        <f>IF(C111&lt;&gt;"",_xll.RssMarket(C111,"年初来高値"),"")</f>
        <v>1699</v>
      </c>
      <c r="L111" s="185">
        <f t="shared" si="22"/>
        <v>-56.974690994702769</v>
      </c>
      <c r="M111" s="184">
        <f>IF(C111&lt;&gt;"",IFERROR(AVERAGE(出来高!E143:I143),""),"")</f>
        <v>147120</v>
      </c>
      <c r="N111" s="184">
        <f>IF(C111&lt;&gt;"",IFERROR(AVERAGE(出来高!E143:AC143),""),"")</f>
        <v>346188</v>
      </c>
      <c r="O111" s="186">
        <f t="shared" si="23"/>
        <v>0.64980967917346388</v>
      </c>
      <c r="P111" s="181" t="str">
        <f t="shared" si="24"/>
        <v>減少↓</v>
      </c>
      <c r="Q111" s="181" t="str">
        <f t="shared" si="25"/>
        <v>中立→</v>
      </c>
      <c r="R111" s="184">
        <f t="shared" si="39"/>
        <v>789</v>
      </c>
      <c r="S111" s="184">
        <f t="shared" si="40"/>
        <v>702</v>
      </c>
      <c r="T111" s="181">
        <f t="shared" si="29"/>
        <v>1</v>
      </c>
      <c r="U111" s="181" t="str">
        <f t="shared" si="41"/>
        <v>除外</v>
      </c>
      <c r="V111" s="181" t="str">
        <f t="shared" si="26"/>
        <v>通常</v>
      </c>
      <c r="W111" s="187">
        <f t="array" ref="W111">IF(C111&lt;&gt;"",IFERROR(100-100/(1+SUMPRODUCT((終値!F143:R143&gt;終値!G143:S143)*( 終値!F143:R143-終値!G143:S143))/SUMPRODUCT((終値!F143:R143&lt;終値!G143:S143)*(終値!G143:S143-終値!F143:R143))),50),"")</f>
        <v>31.133671742808801</v>
      </c>
      <c r="X111" s="188">
        <f>IF(C111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-32.155039623625498</v>
      </c>
      <c r="Y111" s="1" t="str">
        <f>IF(T111="","",IF(銘柄管理!$F$5="下落▼",IF(AND(AD111="パーフェクト▲",OR(AE111="25日線押し目●",AE111="5日線押し目○")),"★逆張り候補",IF(AND(AD111="上昇トレンド▲",OR(AE111="25日線押し目●",AE111="5日線押し目○")),"○逆張り候補",IF(W111&lt;=30,IF(Z111&gt;0,"◎反発確認",IF(Z111&lt;-5,"△要注意・様子見","△売られ過ぎ注目")),"相場下落・見送り"))),IF(AND(T111&gt;=12,AD111="パーフェクト▲"),"★強い買い",IF(AND(T111&gt;=12,AD111="上昇トレンド▲"),"★強い買い",IF(AND(T111&gt;=8,OR(AE111="25日線押し目●",AE111="5日線押し目○")),"◎押し目買い",IF(T111&gt;=10,"○買い候補",IF(T111&gt;=6,"△注目",IF(T111&gt;=3,"様子見","見送り"))))))))</f>
        <v>見送り</v>
      </c>
      <c r="Z111" s="189">
        <f t="shared" si="42"/>
        <v>1.5277777777777777</v>
      </c>
      <c r="AA111" s="181" t="str">
        <f t="shared" si="43"/>
        <v>上昇▲</v>
      </c>
      <c r="AB111" s="499">
        <f>IF(C111="","",IFERROR(((終値!E113*0.333)+(終値!F113*0.222)+(終値!G113*0.148)+(終値!H113*0.099)+(終値!I113*0.066)+(終値!J113*0.044)+(終値!K113*0.029)+(終値!L113*0.019)+(終値!M113*0.013)+(終値!N113*0.009))/(0.333+0.222+0.148+0.099+0.066+0.044+0.029+0.019+0.013+0.009),""))</f>
        <v>3133.1904276985742</v>
      </c>
      <c r="AC111" s="499">
        <f>IF(C111="","",IFERROR(SUMPRODUCT((終値!E113:AC113)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3222.6209773539917</v>
      </c>
      <c r="AD111" s="500" t="str">
        <f t="shared" si="37"/>
        <v>下降トレンド▼</v>
      </c>
      <c r="AE111" s="500" t="str">
        <f t="shared" si="38"/>
        <v>なし</v>
      </c>
      <c r="AF111" s="403" cm="1">
        <f t="array" ref="AF111">IF(C111="","",IFERROR((INDEX(終値!$E:$E,MATCH(TEXT(C111,"0"),終値!$A:$A,0))-INDEX(終値!$E:$BL,MATCH(TEXT(C111,"0"),終値!$A:$A,0),$AL$2))/INDEX(終値!$E:$BL,MATCH(TEXT(C111,"0"),終値!$A:$A,0),$AL$2)*100,""))</f>
        <v>-28.263002944062809</v>
      </c>
      <c r="AG111" s="403" cm="1">
        <f t="array" ref="AG111">IFERROR((終値!$E$5-INDEX(終値!$E$5:$BL$5,1,$AL$2))/INDEX(終値!$E$5:$BL$5,1,$AL$2)*100,"")</f>
        <v>3.4532270246721688</v>
      </c>
      <c r="AH111" s="404">
        <f t="shared" si="30"/>
        <v>-31.716229968734979</v>
      </c>
      <c r="AI111" s="402">
        <f t="shared" si="31"/>
        <v>-2</v>
      </c>
    </row>
    <row r="112" spans="1:35" s="192" customFormat="1" ht="18" customHeight="1">
      <c r="A112" s="181" t="str">
        <f>IF(銘柄管理!B153&lt;&gt;"",HYPERLINK("https://kabutan.jp/stock/?code="&amp;銘柄管理!B153,"株探"),"")</f>
        <v>株探</v>
      </c>
      <c r="B112" s="182"/>
      <c r="C112" s="183">
        <f>IF(銘柄管理!B153="","",銘柄管理!B153)</f>
        <v>4417</v>
      </c>
      <c r="D112" s="111" t="str">
        <f>IF(銘柄管理!C153="","",銘柄管理!C153)</f>
        <v>グローバルセキュ</v>
      </c>
      <c r="E112" s="184">
        <f>IF(C112&lt;&gt;"",_xll.RssMarket(C112,"現在値"),"")</f>
        <v>3240</v>
      </c>
      <c r="F112" s="184">
        <f>IF(C112&lt;&gt;"",_xll.RssMarket(C112,"始値"),"")</f>
        <v>3070</v>
      </c>
      <c r="G112" s="183">
        <f>IF(C112&lt;&gt;"",終値!F153,"")</f>
        <v>3070</v>
      </c>
      <c r="H112" s="184">
        <f>IF(C112&lt;&gt;"",_xll.RssMarket(C112,"高値"),"")</f>
        <v>3260</v>
      </c>
      <c r="I112" s="184">
        <f>IF(C112&lt;&gt;"",_xll.RssMarket(C112,"安値"),"")</f>
        <v>3070</v>
      </c>
      <c r="J112" s="184">
        <f>IF(C112&lt;&gt;"",_xll.RssMarket(C112,"出来高"),"")</f>
        <v>49100</v>
      </c>
      <c r="K112" s="184">
        <f>IF(C112&lt;&gt;"",_xll.RssMarket(C112,"年初来高値"),"")</f>
        <v>3675</v>
      </c>
      <c r="L112" s="185">
        <f t="shared" si="22"/>
        <v>-11.836734693877551</v>
      </c>
      <c r="M112" s="184">
        <f>IF(C112&lt;&gt;"",IFERROR(AVERAGE(出来高!E153:I153),""),"")</f>
        <v>41780</v>
      </c>
      <c r="N112" s="184">
        <f>IF(C112&lt;&gt;"",IFERROR(AVERAGE(出来高!E153:AC153),""),"")</f>
        <v>86936</v>
      </c>
      <c r="O112" s="186">
        <f t="shared" si="23"/>
        <v>1.1752034466251795</v>
      </c>
      <c r="P112" s="181" t="str">
        <f t="shared" si="24"/>
        <v>普通→</v>
      </c>
      <c r="Q112" s="181" t="str">
        <f t="shared" si="25"/>
        <v>中立→</v>
      </c>
      <c r="R112" s="184">
        <f t="shared" si="39"/>
        <v>3499</v>
      </c>
      <c r="S112" s="184">
        <f t="shared" si="40"/>
        <v>3110</v>
      </c>
      <c r="T112" s="181">
        <f t="shared" si="29"/>
        <v>10</v>
      </c>
      <c r="U112" s="181" t="str">
        <f t="shared" si="41"/>
        <v>要確認</v>
      </c>
      <c r="V112" s="181" t="str">
        <f t="shared" si="26"/>
        <v>通常</v>
      </c>
      <c r="W112" s="187">
        <f t="array" ref="W112">IF(C112&lt;&gt;"",IFERROR(100-100/(1+SUMPRODUCT((終値!F153:R153&gt;終値!G153:S153)*( 終値!F153:R153-終値!G153:S153))/SUMPRODUCT((終値!F153:R153&lt;終値!G153:S153)*(終値!G153:S153-終値!F153:R153))),50),"")</f>
        <v>39.683933274802463</v>
      </c>
      <c r="X112" s="188">
        <f>IF(C112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2.6531410330408107</v>
      </c>
      <c r="Y112" s="1" t="str">
        <f>IF(T112="","",IF(銘柄管理!$F$5="下落▼",IF(AND(AD112="パーフェクト▲",OR(AE112="25日線押し目●",AE112="5日線押し目○")),"★逆張り候補",IF(AND(AD112="上昇トレンド▲",OR(AE112="25日線押し目●",AE112="5日線押し目○")),"○逆張り候補",IF(W112&lt;=30,IF(Z112&gt;0,"◎反発確認",IF(Z112&lt;-5,"△要注意・様子見","△売られ過ぎ注目")),"相場下落・見送り"))),IF(AND(T112&gt;=12,AD112="パーフェクト▲"),"★強い買い",IF(AND(T112&gt;=12,AD112="上昇トレンド▲"),"★強い買い",IF(AND(T112&gt;=8,OR(AE112="25日線押し目●",AE112="5日線押し目○")),"◎押し目買い",IF(T112&gt;=10,"○買い候補",IF(T112&gt;=6,"△注目",IF(T112&gt;=3,"様子見","見送り"))))))))</f>
        <v>○買い候補</v>
      </c>
      <c r="Z112" s="189">
        <f t="shared" si="42"/>
        <v>5.5374592833876219</v>
      </c>
      <c r="AA112" s="181" t="str">
        <f t="shared" si="43"/>
        <v>上昇▲</v>
      </c>
      <c r="AB112" s="497">
        <f>IF(C112="","",IFERROR(((終値!E114*0.333)+(終値!F114*0.222)+(終値!G114*0.148)+(終値!H114*0.099)+(終値!I114*0.066)+(終値!J114*0.044)+(終値!K114*0.029)+(終値!L114*0.019)+(終値!M114*0.013)+(終値!N114*0.009))/(0.333+0.222+0.148+0.099+0.066+0.044+0.029+0.019+0.013+0.009),""))</f>
        <v>512.22912423625246</v>
      </c>
      <c r="AC112" s="497">
        <f>IF(C112="","",IFERROR(SUMPRODUCT((終値!E114:AC114)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540.6063170440998</v>
      </c>
      <c r="AD112" s="498" t="str">
        <f t="shared" si="37"/>
        <v>上昇トレンド▲</v>
      </c>
      <c r="AE112" s="498" t="str">
        <f t="shared" si="38"/>
        <v>なし</v>
      </c>
      <c r="AF112" s="403" cm="1">
        <f t="array" ref="AF112">IF(C112="","",IFERROR((INDEX(終値!$E:$E,MATCH(TEXT(C112,"0"),終値!$A:$A,0))-INDEX(終値!$E:$BL,MATCH(TEXT(C112,"0"),終値!$A:$A,0),$AL$2))/INDEX(終値!$E:$BL,MATCH(TEXT(C112,"0"),終値!$A:$A,0),$AL$2)*100,""))</f>
        <v>17.476432197244378</v>
      </c>
      <c r="AG112" s="403" cm="1">
        <f t="array" ref="AG112">IFERROR((終値!$E$5-INDEX(終値!$E$5:$BL$5,1,$AL$2))/INDEX(終値!$E$5:$BL$5,1,$AL$2)*100,"")</f>
        <v>3.4532270246721688</v>
      </c>
      <c r="AH112" s="404">
        <f t="shared" si="30"/>
        <v>14.02320517257221</v>
      </c>
      <c r="AI112" s="402">
        <f t="shared" si="31"/>
        <v>3</v>
      </c>
    </row>
    <row r="113" spans="1:35" s="192" customFormat="1" ht="18" customHeight="1">
      <c r="A113" s="181" t="str">
        <f>IF(銘柄管理!B158&lt;&gt;"",HYPERLINK("https://kabutan.jp/stock/?code="&amp;銘柄管理!B158,"株探"),"")</f>
        <v>株探</v>
      </c>
      <c r="B113" s="182"/>
      <c r="C113" s="183">
        <f>IF(銘柄管理!B158="","",銘柄管理!B158)</f>
        <v>6857</v>
      </c>
      <c r="D113" s="111" t="str">
        <f>IF(銘柄管理!C158="","",銘柄管理!C158)</f>
        <v>アドバンテスト</v>
      </c>
      <c r="E113" s="184">
        <f>IF(C113&lt;&gt;"",_xll.RssMarket(C113,"現在値"),"")</f>
        <v>30060</v>
      </c>
      <c r="F113" s="184">
        <f>IF(C113&lt;&gt;"",_xll.RssMarket(C113,"始値"),"")</f>
        <v>29640</v>
      </c>
      <c r="G113" s="183">
        <f>IF(C113&lt;&gt;"",終値!F158,"")</f>
        <v>30340</v>
      </c>
      <c r="H113" s="184">
        <f>IF(C113&lt;&gt;"",_xll.RssMarket(C113,"高値"),"")</f>
        <v>31170</v>
      </c>
      <c r="I113" s="184">
        <f>IF(C113&lt;&gt;"",_xll.RssMarket(C113,"安値"),"")</f>
        <v>29585</v>
      </c>
      <c r="J113" s="184">
        <f>IF(C113&lt;&gt;"",_xll.RssMarket(C113,"出来高"),"")</f>
        <v>7837500</v>
      </c>
      <c r="K113" s="184">
        <f>IF(C113&lt;&gt;"",_xll.RssMarket(C113,"年初来高値"),"")</f>
        <v>32400</v>
      </c>
      <c r="L113" s="185">
        <f t="shared" si="22"/>
        <v>-7.2222222222222214</v>
      </c>
      <c r="M113" s="184">
        <f>IF(C113&lt;&gt;"",IFERROR(AVERAGE(出来高!E158:I158),""),"")</f>
        <v>9135140</v>
      </c>
      <c r="N113" s="184">
        <f>IF(C113&lt;&gt;"",IFERROR(AVERAGE(出来高!E158:AC158),""),"")</f>
        <v>8646784</v>
      </c>
      <c r="O113" s="186">
        <f t="shared" si="23"/>
        <v>0.85795072653511606</v>
      </c>
      <c r="P113" s="181" t="str">
        <f t="shared" si="24"/>
        <v>減少↓</v>
      </c>
      <c r="Q113" s="181" t="str">
        <f t="shared" si="25"/>
        <v>様子見▼</v>
      </c>
      <c r="R113" s="184">
        <f t="shared" si="39"/>
        <v>32465</v>
      </c>
      <c r="S113" s="184">
        <f t="shared" si="40"/>
        <v>28858</v>
      </c>
      <c r="T113" s="181">
        <f t="shared" si="29"/>
        <v>6</v>
      </c>
      <c r="U113" s="181" t="str">
        <f t="shared" si="41"/>
        <v>要確認</v>
      </c>
      <c r="V113" s="181" t="str">
        <f t="shared" si="26"/>
        <v>高値圏</v>
      </c>
      <c r="W113" s="187">
        <f t="array" ref="W113">IF(C113&lt;&gt;"",IFERROR(100-100/(1+SUMPRODUCT((終値!F158:R158&gt;終値!G158:S158)*( 終値!F158:R158-終値!G158:S158))/SUMPRODUCT((終値!F158:R158&lt;終値!G158:S158)*(終値!G158:S158-終値!F158:R158))),50),"")</f>
        <v>62.806888970318795</v>
      </c>
      <c r="X113" s="188">
        <f>IF(C113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130.73819152282522</v>
      </c>
      <c r="Y113" s="1" t="str">
        <f>IF(T113="","",IF(銘柄管理!$F$5="下落▼",IF(AND(AD113="パーフェクト▲",OR(AE113="25日線押し目●",AE113="5日線押し目○")),"★逆張り候補",IF(AND(AD113="上昇トレンド▲",OR(AE113="25日線押し目●",AE113="5日線押し目○")),"○逆張り候補",IF(W113&lt;=30,IF(Z113&gt;0,"◎反発確認",IF(Z113&lt;-5,"△要注意・様子見","△売られ過ぎ注目")),"相場下落・見送り"))),IF(AND(T113&gt;=12,AD113="パーフェクト▲"),"★強い買い",IF(AND(T113&gt;=12,AD113="上昇トレンド▲"),"★強い買い",IF(AND(T113&gt;=8,OR(AE113="25日線押し目●",AE113="5日線押し目○")),"◎押し目買い",IF(T113&gt;=10,"○買い候補",IF(T113&gt;=6,"△注目",IF(T113&gt;=3,"様子見","見送り"))))))))</f>
        <v>△注目</v>
      </c>
      <c r="Z113" s="189">
        <f t="shared" si="42"/>
        <v>-0.92287409360580097</v>
      </c>
      <c r="AA113" s="181" t="str">
        <f t="shared" si="43"/>
        <v>下落▼</v>
      </c>
      <c r="AB113" s="499">
        <f>IF(C113="","",IFERROR(((終値!E115*0.333)+(終値!F115*0.222)+(終値!G115*0.148)+(終値!H115*0.099)+(終値!I115*0.066)+(終値!J115*0.044)+(終値!K115*0.029)+(終値!L115*0.019)+(終値!M115*0.013)+(終値!N115*0.009))/(0.333+0.222+0.148+0.099+0.066+0.044+0.029+0.019+0.013+0.009),""))</f>
        <v>6237.2698574338074</v>
      </c>
      <c r="AC113" s="499">
        <f>IF(C113="","",IFERROR(SUMPRODUCT((終値!E115:AC115)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6342.0846245530374</v>
      </c>
      <c r="AD113" s="500" t="str">
        <f t="shared" si="37"/>
        <v>上昇トレンド▲</v>
      </c>
      <c r="AE113" s="500" t="str">
        <f t="shared" si="38"/>
        <v>なし</v>
      </c>
      <c r="AF113" s="403" cm="1">
        <f t="array" ref="AF113">IF(C113="","",IFERROR((INDEX(終値!$E:$E,MATCH(TEXT(C113,"0"),終値!$A:$A,0))-INDEX(終値!$E:$BL,MATCH(TEXT(C113,"0"),終値!$A:$A,0),$AL$2))/INDEX(終値!$E:$BL,MATCH(TEXT(C113,"0"),終値!$A:$A,0),$AL$2)*100,""))</f>
        <v>6.2566277836691411</v>
      </c>
      <c r="AG113" s="403" cm="1">
        <f t="array" ref="AG113">IFERROR((終値!$E$5-INDEX(終値!$E$5:$BL$5,1,$AL$2))/INDEX(終値!$E$5:$BL$5,1,$AL$2)*100,"")</f>
        <v>3.4532270246721688</v>
      </c>
      <c r="AH113" s="404">
        <f t="shared" si="30"/>
        <v>2.8034007589969723</v>
      </c>
      <c r="AI113" s="402">
        <f t="shared" si="31"/>
        <v>1</v>
      </c>
    </row>
    <row r="114" spans="1:35" s="192" customFormat="1" ht="18" customHeight="1">
      <c r="A114" s="181" t="str">
        <f>IF(銘柄管理!B161&lt;&gt;"",HYPERLINK("https://kabutan.jp/stock/?code="&amp;銘柄管理!B161,"株探"),"")</f>
        <v>株探</v>
      </c>
      <c r="B114" s="182"/>
      <c r="C114" s="183">
        <f>IF(銘柄管理!B161="","",銘柄管理!B161)</f>
        <v>8892</v>
      </c>
      <c r="D114" s="111" t="str">
        <f>IF(銘柄管理!C161="","",銘柄管理!C161)</f>
        <v>エスコン</v>
      </c>
      <c r="E114" s="184">
        <f>IF(C114&lt;&gt;"",_xll.RssMarket(C114,"現在値"),"")</f>
        <v>1077</v>
      </c>
      <c r="F114" s="184">
        <f>IF(C114&lt;&gt;"",_xll.RssMarket(C114,"始値"),"")</f>
        <v>1105</v>
      </c>
      <c r="G114" s="183">
        <f>IF(C114&lt;&gt;"",終値!F161,"")</f>
        <v>1099</v>
      </c>
      <c r="H114" s="184">
        <f>IF(C114&lt;&gt;"",_xll.RssMarket(C114,"高値"),"")</f>
        <v>1105</v>
      </c>
      <c r="I114" s="184">
        <f>IF(C114&lt;&gt;"",_xll.RssMarket(C114,"安値"),"")</f>
        <v>1077</v>
      </c>
      <c r="J114" s="184">
        <f>IF(C114&lt;&gt;"",_xll.RssMarket(C114,"出来高"),"")</f>
        <v>181300</v>
      </c>
      <c r="K114" s="184">
        <f>IF(C114&lt;&gt;"",_xll.RssMarket(C114,"年初来高値"),"")</f>
        <v>1267</v>
      </c>
      <c r="L114" s="185">
        <f t="shared" si="22"/>
        <v>-14.99605367008682</v>
      </c>
      <c r="M114" s="184">
        <f>IF(C114&lt;&gt;"",IFERROR(AVERAGE(出来高!E161:I161),""),"")</f>
        <v>174940</v>
      </c>
      <c r="N114" s="184">
        <f>IF(C114&lt;&gt;"",IFERROR(AVERAGE(出来高!E161:AC161),""),"")</f>
        <v>203340</v>
      </c>
      <c r="O114" s="186">
        <f t="shared" si="23"/>
        <v>1.0363553218246255</v>
      </c>
      <c r="P114" s="181" t="str">
        <f t="shared" si="24"/>
        <v>普通→</v>
      </c>
      <c r="Q114" s="181" t="str">
        <f t="shared" si="25"/>
        <v>様子見▼</v>
      </c>
      <c r="R114" s="184">
        <f t="shared" si="39"/>
        <v>1163</v>
      </c>
      <c r="S114" s="184">
        <f t="shared" si="40"/>
        <v>1034</v>
      </c>
      <c r="T114" s="181">
        <f t="shared" si="29"/>
        <v>0</v>
      </c>
      <c r="U114" s="181" t="str">
        <f t="shared" si="41"/>
        <v>除外</v>
      </c>
      <c r="V114" s="181" t="str">
        <f t="shared" si="26"/>
        <v>通常</v>
      </c>
      <c r="W114" s="187">
        <f t="array" ref="W114">IF(C114&lt;&gt;"",IFERROR(100-100/(1+SUMPRODUCT((終値!F161:R161&gt;終値!G161:S161)*( 終値!F161:R161-終値!G161:S161))/SUMPRODUCT((終値!F161:R161&lt;終値!G161:S161)*(終値!G161:S161-終値!F161:R161))),50),"")</f>
        <v>47.878787878787875</v>
      </c>
      <c r="X114" s="188">
        <f>IF(C114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-5.5769247608848218</v>
      </c>
      <c r="Y114" s="1" t="str">
        <f>IF(T114="","",IF(銘柄管理!$F$5="下落▼",IF(AND(AD114="パーフェクト▲",OR(AE114="25日線押し目●",AE114="5日線押し目○")),"★逆張り候補",IF(AND(AD114="上昇トレンド▲",OR(AE114="25日線押し目●",AE114="5日線押し目○")),"○逆張り候補",IF(W114&lt;=30,IF(Z114&gt;0,"◎反発確認",IF(Z114&lt;-5,"△要注意・様子見","△売られ過ぎ注目")),"相場下落・見送り"))),IF(AND(T114&gt;=12,AD114="パーフェクト▲"),"★強い買い",IF(AND(T114&gt;=12,AD114="上昇トレンド▲"),"★強い買い",IF(AND(T114&gt;=8,OR(AE114="25日線押し目●",AE114="5日線押し目○")),"◎押し目買い",IF(T114&gt;=10,"○買い候補",IF(T114&gt;=6,"△注目",IF(T114&gt;=3,"様子見","見送り"))))))))</f>
        <v>見送り</v>
      </c>
      <c r="Z114" s="189">
        <f t="shared" si="42"/>
        <v>-2.0018198362147408</v>
      </c>
      <c r="AA114" s="181" t="str">
        <f t="shared" si="43"/>
        <v>下落▼</v>
      </c>
      <c r="AB114" s="497">
        <f>IF(C114="","",IFERROR(((終値!E116*0.333)+(終値!F116*0.222)+(終値!G116*0.148)+(終値!H116*0.099)+(終値!I116*0.066)+(終値!J116*0.044)+(終値!K116*0.029)+(終値!L116*0.019)+(終値!M116*0.013)+(終値!N116*0.009))/(0.333+0.222+0.148+0.099+0.066+0.044+0.029+0.019+0.013+0.009),""))</f>
        <v>1726.2657841140526</v>
      </c>
      <c r="AC114" s="497">
        <f>IF(C114="","",IFERROR(SUMPRODUCT((終値!E116:AC116)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1677.1001191895105</v>
      </c>
      <c r="AD114" s="498" t="str">
        <f t="shared" si="37"/>
        <v>もみ合い→</v>
      </c>
      <c r="AE114" s="498" t="str">
        <f t="shared" si="38"/>
        <v>なし</v>
      </c>
      <c r="AF114" s="403" cm="1">
        <f t="array" ref="AF114">IF(C114="","",IFERROR((INDEX(終値!$E:$E,MATCH(TEXT(C114,"0"),終値!$A:$A,0))-INDEX(終値!$E:$BL,MATCH(TEXT(C114,"0"),終値!$A:$A,0),$AL$2))/INDEX(終値!$E:$BL,MATCH(TEXT(C114,"0"),終値!$A:$A,0),$AL$2)*100,""))</f>
        <v>-6.7532467532467528</v>
      </c>
      <c r="AG114" s="403" cm="1">
        <f t="array" ref="AG114">IFERROR((終値!$E$5-INDEX(終値!$E$5:$BL$5,1,$AL$2))/INDEX(終値!$E$5:$BL$5,1,$AL$2)*100,"")</f>
        <v>3.4532270246721688</v>
      </c>
      <c r="AH114" s="404">
        <f t="shared" si="30"/>
        <v>-10.206473777918921</v>
      </c>
      <c r="AI114" s="402">
        <f t="shared" si="31"/>
        <v>-2</v>
      </c>
    </row>
    <row r="115" spans="1:35" s="192" customFormat="1" ht="18" customHeight="1">
      <c r="A115" s="181" t="str">
        <f>IF(銘柄管理!B170&lt;&gt;"",HYPERLINK("https://kabutan.jp/stock/?code="&amp;銘柄管理!B170,"株探"),"")</f>
        <v>株探</v>
      </c>
      <c r="B115" s="182"/>
      <c r="C115" s="183">
        <f>IF(銘柄管理!B170="","",銘柄管理!B170)</f>
        <v>4709</v>
      </c>
      <c r="D115" s="111" t="str">
        <f>IF(銘柄管理!C170="","",銘柄管理!C170)</f>
        <v>ＩＤホールディングス</v>
      </c>
      <c r="E115" s="184">
        <f>IF(C115&lt;&gt;"",_xll.RssMarket(C115,"現在値"),"")</f>
        <v>1092</v>
      </c>
      <c r="F115" s="184">
        <f>IF(C115&lt;&gt;"",_xll.RssMarket(C115,"始値"),"")</f>
        <v>1112</v>
      </c>
      <c r="G115" s="183">
        <f>IF(C115&lt;&gt;"",終値!F170,"")</f>
        <v>1110</v>
      </c>
      <c r="H115" s="184">
        <f>IF(C115&lt;&gt;"",_xll.RssMarket(C115,"高値"),"")</f>
        <v>1134</v>
      </c>
      <c r="I115" s="184">
        <f>IF(C115&lt;&gt;"",_xll.RssMarket(C115,"安値"),"")</f>
        <v>1091</v>
      </c>
      <c r="J115" s="184">
        <f>IF(C115&lt;&gt;"",_xll.RssMarket(C115,"出来高"),"")</f>
        <v>132900</v>
      </c>
      <c r="K115" s="184">
        <f>IF(C115&lt;&gt;"",_xll.RssMarket(C115,"年初来高値"),"")</f>
        <v>1110</v>
      </c>
      <c r="L115" s="185">
        <f t="shared" si="22"/>
        <v>-1.6216216216216217</v>
      </c>
      <c r="M115" s="184">
        <f>IF(C115&lt;&gt;"",IFERROR(AVERAGE(出来高!E170:I170),""),"")</f>
        <v>124860</v>
      </c>
      <c r="N115" s="184">
        <f>IF(C115&lt;&gt;"",IFERROR(AVERAGE(出来高!E170:AC170),""),"")</f>
        <v>98952</v>
      </c>
      <c r="O115" s="186">
        <f t="shared" si="23"/>
        <v>1.0643921191734742</v>
      </c>
      <c r="P115" s="181" t="str">
        <f t="shared" si="24"/>
        <v>普通→</v>
      </c>
      <c r="Q115" s="181" t="str">
        <f t="shared" si="25"/>
        <v>様子見▼</v>
      </c>
      <c r="R115" s="184">
        <f t="shared" si="39"/>
        <v>1179</v>
      </c>
      <c r="S115" s="184">
        <f t="shared" si="40"/>
        <v>1048</v>
      </c>
      <c r="T115" s="181">
        <f t="shared" si="29"/>
        <v>7</v>
      </c>
      <c r="U115" s="181" t="str">
        <f t="shared" si="41"/>
        <v>要確認</v>
      </c>
      <c r="V115" s="181" t="str">
        <f t="shared" si="26"/>
        <v>年初来高値更新●</v>
      </c>
      <c r="W115" s="187">
        <f t="array" ref="W115">IF(C115&lt;&gt;"",IFERROR(100-100/(1+SUMPRODUCT((終値!F170:R170&gt;終値!G170:S170)*( 終値!F170:R170-終値!G170:S170))/SUMPRODUCT((終値!F170:R170&lt;終値!G170:S170)*(終値!G170:S170-終値!F170:R170))),50),"")</f>
        <v>63.414634146341463</v>
      </c>
      <c r="X115" s="188">
        <f>IF(C115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5.2288518104271589</v>
      </c>
      <c r="Y115" s="1" t="str">
        <f>IF(T115="","",IF(銘柄管理!$F$5="下落▼",IF(AND(AD115="パーフェクト▲",OR(AE115="25日線押し目●",AE115="5日線押し目○")),"★逆張り候補",IF(AND(AD115="上昇トレンド▲",OR(AE115="25日線押し目●",AE115="5日線押し目○")),"○逆張り候補",IF(W115&lt;=30,IF(Z115&gt;0,"◎反発確認",IF(Z115&lt;-5,"△要注意・様子見","△売られ過ぎ注目")),"相場下落・見送り"))),IF(AND(T115&gt;=12,AD115="パーフェクト▲"),"★強い買い",IF(AND(T115&gt;=12,AD115="上昇トレンド▲"),"★強い買い",IF(AND(T115&gt;=8,OR(AE115="25日線押し目●",AE115="5日線押し目○")),"◎押し目買い",IF(T115&gt;=10,"○買い候補",IF(T115&gt;=6,"△注目",IF(T115&gt;=3,"様子見","見送り"))))))))</f>
        <v>△注目</v>
      </c>
      <c r="Z115" s="189">
        <f t="shared" si="42"/>
        <v>-1.6216216216216217</v>
      </c>
      <c r="AA115" s="181" t="str">
        <f t="shared" si="43"/>
        <v>下落▼</v>
      </c>
      <c r="AB115" s="499">
        <f>IF(C115="","",IFERROR(((終値!E117*0.333)+(終値!F117*0.222)+(終値!G117*0.148)+(終値!H117*0.099)+(終値!I117*0.066)+(終値!J117*0.044)+(終値!K117*0.029)+(終値!L117*0.019)+(終値!M117*0.013)+(終値!N117*0.009))/(0.333+0.222+0.148+0.099+0.066+0.044+0.029+0.019+0.013+0.009),""))</f>
        <v>5129.8625254582475</v>
      </c>
      <c r="AC115" s="499">
        <f>IF(C115="","",IFERROR(SUMPRODUCT((終値!E117:AC117)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5156.437425506555</v>
      </c>
      <c r="AD115" s="500" t="str">
        <f t="shared" si="37"/>
        <v>下降トレンド▼</v>
      </c>
      <c r="AE115" s="500" t="str">
        <f t="shared" si="38"/>
        <v>なし</v>
      </c>
      <c r="AF115" s="403" cm="1">
        <f t="array" ref="AF115">IF(C115="","",IFERROR((INDEX(終値!$E:$E,MATCH(TEXT(C115,"0"),終値!$A:$A,0))-INDEX(終値!$E:$BL,MATCH(TEXT(C115,"0"),終値!$A:$A,0),$AL$2))/INDEX(終値!$E:$BL,MATCH(TEXT(C115,"0"),終値!$A:$A,0),$AL$2)*100,""))</f>
        <v>7.5862068965517242</v>
      </c>
      <c r="AG115" s="403" cm="1">
        <f t="array" ref="AG115">IFERROR((終値!$E$5-INDEX(終値!$E$5:$BL$5,1,$AL$2))/INDEX(終値!$E$5:$BL$5,1,$AL$2)*100,"")</f>
        <v>3.4532270246721688</v>
      </c>
      <c r="AH115" s="404">
        <f t="shared" si="30"/>
        <v>4.1329798718795558</v>
      </c>
      <c r="AI115" s="402">
        <f t="shared" si="31"/>
        <v>1</v>
      </c>
    </row>
    <row r="116" spans="1:35" s="192" customFormat="1" ht="18" customHeight="1">
      <c r="A116" s="181" t="str">
        <f>IF(銘柄管理!B171&lt;&gt;"",HYPERLINK("https://kabutan.jp/stock/?code="&amp;銘柄管理!B171,"株探"),"")</f>
        <v>株探</v>
      </c>
      <c r="B116" s="182"/>
      <c r="C116" s="183">
        <f>IF(銘柄管理!B171="","",銘柄管理!B171)</f>
        <v>7981</v>
      </c>
      <c r="D116" s="111" t="str">
        <f>IF(銘柄管理!C171="","",銘柄管理!C171)</f>
        <v>タカラスタンダ－ド</v>
      </c>
      <c r="E116" s="184">
        <f>IF(C116&lt;&gt;"",_xll.RssMarket(C116,"現在値"),"")</f>
        <v>3000</v>
      </c>
      <c r="F116" s="184">
        <f>IF(C116&lt;&gt;"",_xll.RssMarket(C116,"始値"),"")</f>
        <v>3010</v>
      </c>
      <c r="G116" s="183">
        <f>IF(C116&lt;&gt;"",終値!F171,"")</f>
        <v>2967</v>
      </c>
      <c r="H116" s="184">
        <f>IF(C116&lt;&gt;"",_xll.RssMarket(C116,"高値"),"")</f>
        <v>3020</v>
      </c>
      <c r="I116" s="184">
        <f>IF(C116&lt;&gt;"",_xll.RssMarket(C116,"安値"),"")</f>
        <v>2994</v>
      </c>
      <c r="J116" s="184">
        <f>IF(C116&lt;&gt;"",_xll.RssMarket(C116,"出来高"),"")</f>
        <v>47900</v>
      </c>
      <c r="K116" s="184">
        <f>IF(C116&lt;&gt;"",_xll.RssMarket(C116,"年初来高値"),"")</f>
        <v>3265</v>
      </c>
      <c r="L116" s="185">
        <f t="shared" si="22"/>
        <v>-8.1163859111791741</v>
      </c>
      <c r="M116" s="184">
        <f>IF(C116&lt;&gt;"",IFERROR(AVERAGE(出来高!E171:I171),""),"")</f>
        <v>94260</v>
      </c>
      <c r="N116" s="184">
        <f>IF(C116&lt;&gt;"",IFERROR(AVERAGE(出来高!E171:AC171),""),"")</f>
        <v>113360</v>
      </c>
      <c r="O116" s="186">
        <f t="shared" si="23"/>
        <v>0.50816889454699765</v>
      </c>
      <c r="P116" s="181" t="str">
        <f t="shared" si="24"/>
        <v>減少↓</v>
      </c>
      <c r="Q116" s="181" t="str">
        <f t="shared" si="25"/>
        <v>中立→</v>
      </c>
      <c r="R116" s="184">
        <f t="shared" si="39"/>
        <v>3240</v>
      </c>
      <c r="S116" s="184">
        <f t="shared" si="40"/>
        <v>2880</v>
      </c>
      <c r="T116" s="181">
        <f t="shared" si="29"/>
        <v>1</v>
      </c>
      <c r="U116" s="181" t="str">
        <f t="shared" si="41"/>
        <v>除外</v>
      </c>
      <c r="V116" s="181" t="str">
        <f t="shared" si="26"/>
        <v>通常</v>
      </c>
      <c r="W116" s="187">
        <f t="array" ref="W116">IF(C116&lt;&gt;"",IFERROR(100-100/(1+SUMPRODUCT((終値!F171:R171&gt;終値!G171:S171)*( 終値!F171:R171-終値!G171:S171))/SUMPRODUCT((終値!F171:R171&lt;終値!G171:S171)*(終値!G171:S171-終値!F171:R171))),50),"")</f>
        <v>60</v>
      </c>
      <c r="X116" s="188">
        <f>IF(C116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0.55517853517949334</v>
      </c>
      <c r="Y116" s="1" t="str">
        <f>IF(T116="","",IF(銘柄管理!$F$5="下落▼",IF(AND(AD116="パーフェクト▲",OR(AE116="25日線押し目●",AE116="5日線押し目○")),"★逆張り候補",IF(AND(AD116="上昇トレンド▲",OR(AE116="25日線押し目●",AE116="5日線押し目○")),"○逆張り候補",IF(W116&lt;=30,IF(Z116&gt;0,"◎反発確認",IF(Z116&lt;-5,"△要注意・様子見","△売られ過ぎ注目")),"相場下落・見送り"))),IF(AND(T116&gt;=12,AD116="パーフェクト▲"),"★強い買い",IF(AND(T116&gt;=12,AD116="上昇トレンド▲"),"★強い買い",IF(AND(T116&gt;=8,OR(AE116="25日線押し目●",AE116="5日線押し目○")),"◎押し目買い",IF(T116&gt;=10,"○買い候補",IF(T116&gt;=6,"△注目",IF(T116&gt;=3,"様子見","見送り"))))))))</f>
        <v>見送り</v>
      </c>
      <c r="Z116" s="189">
        <f t="shared" si="42"/>
        <v>1.1122345803842264</v>
      </c>
      <c r="AA116" s="181" t="str">
        <f t="shared" si="43"/>
        <v>上昇▲</v>
      </c>
      <c r="AB116" s="497">
        <f>IF(C116="","",IFERROR(((終値!E118*0.333)+(終値!F118*0.222)+(終値!G118*0.148)+(終値!H118*0.099)+(終値!I118*0.066)+(終値!J118*0.044)+(終値!K118*0.029)+(終値!L118*0.019)+(終値!M118*0.013)+(終値!N118*0.009))/(0.333+0.222+0.148+0.099+0.066+0.044+0.029+0.019+0.013+0.009),""))</f>
        <v>4538.5835030549906</v>
      </c>
      <c r="AC116" s="497">
        <f>IF(C116="","",IFERROR(SUMPRODUCT((終値!E118:AC118)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4484.2324195470783</v>
      </c>
      <c r="AD116" s="498" t="str">
        <f t="shared" si="37"/>
        <v>もみ合い→</v>
      </c>
      <c r="AE116" s="498" t="str">
        <f t="shared" si="38"/>
        <v>なし</v>
      </c>
      <c r="AF116" s="403" cm="1">
        <f t="array" ref="AF116">IF(C116="","",IFERROR((INDEX(終値!$E:$E,MATCH(TEXT(C116,"0"),終値!$A:$A,0))-INDEX(終値!$E:$BL,MATCH(TEXT(C116,"0"),終値!$A:$A,0),$AL$2))/INDEX(終値!$E:$BL,MATCH(TEXT(C116,"0"),終値!$A:$A,0),$AL$2)*100,""))</f>
        <v>0.1669449081803005</v>
      </c>
      <c r="AG116" s="403" cm="1">
        <f t="array" ref="AG116">IFERROR((終値!$E$5-INDEX(終値!$E$5:$BL$5,1,$AL$2))/INDEX(終値!$E$5:$BL$5,1,$AL$2)*100,"")</f>
        <v>3.4532270246721688</v>
      </c>
      <c r="AH116" s="404">
        <f t="shared" si="30"/>
        <v>-3.2862821164918685</v>
      </c>
      <c r="AI116" s="402">
        <f t="shared" si="31"/>
        <v>-2</v>
      </c>
    </row>
    <row r="117" spans="1:35" s="192" customFormat="1" ht="18" customHeight="1">
      <c r="A117" s="181" t="str">
        <f>IF(銘柄管理!B176&lt;&gt;"",HYPERLINK("https://kabutan.jp/stock/?code="&amp;銘柄管理!B176,"株探"),"")</f>
        <v>株探</v>
      </c>
      <c r="B117" s="182"/>
      <c r="C117" s="183">
        <f>IF(銘柄管理!B176="","",銘柄管理!B176)</f>
        <v>1938</v>
      </c>
      <c r="D117" s="111" t="str">
        <f>IF(銘柄管理!C176="","",銘柄管理!C176)</f>
        <v>日本リーテック</v>
      </c>
      <c r="E117" s="184">
        <f>IF(C117&lt;&gt;"",_xll.RssMarket(C117,"現在値"),"")</f>
        <v>2767</v>
      </c>
      <c r="F117" s="184">
        <f>IF(C117&lt;&gt;"",_xll.RssMarket(C117,"始値"),"")</f>
        <v>2804</v>
      </c>
      <c r="G117" s="183">
        <f>IF(C117&lt;&gt;"",終値!F176,"")</f>
        <v>2758</v>
      </c>
      <c r="H117" s="184">
        <f>IF(C117&lt;&gt;"",_xll.RssMarket(C117,"高値"),"")</f>
        <v>2841</v>
      </c>
      <c r="I117" s="184">
        <f>IF(C117&lt;&gt;"",_xll.RssMarket(C117,"安値"),"")</f>
        <v>2767</v>
      </c>
      <c r="J117" s="184">
        <f>IF(C117&lt;&gt;"",_xll.RssMarket(C117,"出来高"),"")</f>
        <v>67700</v>
      </c>
      <c r="K117" s="184">
        <f>IF(C117&lt;&gt;"",_xll.RssMarket(C117,"年初来高値"),"")</f>
        <v>3245</v>
      </c>
      <c r="L117" s="185">
        <f t="shared" si="22"/>
        <v>-14.730354391371339</v>
      </c>
      <c r="M117" s="184">
        <f>IF(C117&lt;&gt;"",IFERROR(AVERAGE(出来高!E176:I176),""),"")</f>
        <v>74480</v>
      </c>
      <c r="N117" s="184">
        <f>IF(C117&lt;&gt;"",IFERROR(AVERAGE(出来高!E176:AC176),""),"")</f>
        <v>141436</v>
      </c>
      <c r="O117" s="186">
        <f t="shared" si="23"/>
        <v>0.90896885069817401</v>
      </c>
      <c r="P117" s="181" t="str">
        <f t="shared" si="24"/>
        <v>減少↓</v>
      </c>
      <c r="Q117" s="181" t="str">
        <f t="shared" si="25"/>
        <v>中立→</v>
      </c>
      <c r="R117" s="184">
        <f t="shared" si="39"/>
        <v>2988</v>
      </c>
      <c r="S117" s="184">
        <f t="shared" si="40"/>
        <v>2656</v>
      </c>
      <c r="T117" s="181">
        <f t="shared" si="29"/>
        <v>0</v>
      </c>
      <c r="U117" s="181" t="str">
        <f t="shared" si="41"/>
        <v>除外</v>
      </c>
      <c r="V117" s="181" t="str">
        <f t="shared" si="26"/>
        <v>通常</v>
      </c>
      <c r="W117" s="187">
        <f t="array" ref="W117">IF(C117&lt;&gt;"",IFERROR(100-100/(1+SUMPRODUCT((終値!F176:R176&gt;終値!G176:S176)*( 終値!F176:R176-終値!G176:S176))/SUMPRODUCT((終値!F176:R176&lt;終値!G176:S176)*(終値!G176:S176-終値!F176:R176))),50),"")</f>
        <v>44.285714285714278</v>
      </c>
      <c r="X117" s="188">
        <f>IF(C117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-10.255577358610481</v>
      </c>
      <c r="Y117" s="1" t="str">
        <f>IF(T117="","",IF(銘柄管理!$F$5="下落▼",IF(AND(AD117="パーフェクト▲",OR(AE117="25日線押し目●",AE117="5日線押し目○")),"★逆張り候補",IF(AND(AD117="上昇トレンド▲",OR(AE117="25日線押し目●",AE117="5日線押し目○")),"○逆張り候補",IF(W117&lt;=30,IF(Z117&gt;0,"◎反発確認",IF(Z117&lt;-5,"△要注意・様子見","△売られ過ぎ注目")),"相場下落・見送り"))),IF(AND(T117&gt;=12,AD117="パーフェクト▲"),"★強い買い",IF(AND(T117&gt;=12,AD117="上昇トレンド▲"),"★強い買い",IF(AND(T117&gt;=8,OR(AE117="25日線押し目●",AE117="5日線押し目○")),"◎押し目買い",IF(T117&gt;=10,"○買い候補",IF(T117&gt;=6,"△注目",IF(T117&gt;=3,"様子見","見送り"))))))))</f>
        <v>見送り</v>
      </c>
      <c r="Z117" s="189">
        <f t="shared" si="42"/>
        <v>0.32632342277012327</v>
      </c>
      <c r="AA117" s="181" t="str">
        <f t="shared" si="43"/>
        <v>上昇▲</v>
      </c>
      <c r="AB117" s="499">
        <f>IF(C117="","",IFERROR(((終値!E119*0.333)+(終値!F119*0.222)+(終値!G119*0.148)+(終値!H119*0.099)+(終値!I119*0.066)+(終値!J119*0.044)+(終値!K119*0.029)+(終値!L119*0.019)+(終値!M119*0.013)+(終値!N119*0.009))/(0.333+0.222+0.148+0.099+0.066+0.044+0.029+0.019+0.013+0.009),""))</f>
        <v>2853.225560081466</v>
      </c>
      <c r="AC117" s="499">
        <f>IF(C117="","",IFERROR(SUMPRODUCT((終値!E119:AC119)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2862.1579261025013</v>
      </c>
      <c r="AD117" s="500" t="str">
        <f t="shared" si="37"/>
        <v>下降トレンド▼</v>
      </c>
      <c r="AE117" s="500" t="str">
        <f t="shared" si="38"/>
        <v>なし</v>
      </c>
      <c r="AF117" s="403" cm="1">
        <f t="array" ref="AF117">IF(C117="","",IFERROR((INDEX(終値!$E:$E,MATCH(TEXT(C117,"0"),終値!$A:$A,0))-INDEX(終値!$E:$BL,MATCH(TEXT(C117,"0"),終値!$A:$A,0),$AL$2))/INDEX(終値!$E:$BL,MATCH(TEXT(C117,"0"),終値!$A:$A,0),$AL$2)*100,""))</f>
        <v>-5.2072627612195959</v>
      </c>
      <c r="AG117" s="403" cm="1">
        <f t="array" ref="AG117">IFERROR((終値!$E$5-INDEX(終値!$E$5:$BL$5,1,$AL$2))/INDEX(終値!$E$5:$BL$5,1,$AL$2)*100,"")</f>
        <v>3.4532270246721688</v>
      </c>
      <c r="AH117" s="404">
        <f t="shared" si="30"/>
        <v>-8.6604897858917642</v>
      </c>
      <c r="AI117" s="402">
        <f t="shared" si="31"/>
        <v>-2</v>
      </c>
    </row>
    <row r="118" spans="1:35" s="192" customFormat="1" ht="18" customHeight="1">
      <c r="A118" s="181" t="str">
        <f>IF(銘柄管理!B179&lt;&gt;"",HYPERLINK("https://kabutan.jp/stock/?code="&amp;銘柄管理!B179,"株探"),"")</f>
        <v>株探</v>
      </c>
      <c r="B118" s="182"/>
      <c r="C118" s="183">
        <f>IF(銘柄管理!B179="","",銘柄管理!B179)</f>
        <v>5410</v>
      </c>
      <c r="D118" s="111" t="str">
        <f>IF(銘柄管理!C179="","",銘柄管理!C179)</f>
        <v>合同製鐵</v>
      </c>
      <c r="E118" s="184">
        <f>IF(C118&lt;&gt;"",_xll.RssMarket(C118,"現在値"),"")</f>
        <v>2617</v>
      </c>
      <c r="F118" s="184">
        <f>IF(C118&lt;&gt;"",_xll.RssMarket(C118,"始値"),"")</f>
        <v>2610</v>
      </c>
      <c r="G118" s="183">
        <f>IF(C118&lt;&gt;"",終値!F179,"")</f>
        <v>2594</v>
      </c>
      <c r="H118" s="184">
        <f>IF(C118&lt;&gt;"",_xll.RssMarket(C118,"高値"),"")</f>
        <v>2668</v>
      </c>
      <c r="I118" s="184">
        <f>IF(C118&lt;&gt;"",_xll.RssMarket(C118,"安値"),"")</f>
        <v>2609</v>
      </c>
      <c r="J118" s="184">
        <f>IF(C118&lt;&gt;"",_xll.RssMarket(C118,"出来高"),"")</f>
        <v>101300</v>
      </c>
      <c r="K118" s="184">
        <f>IF(C118&lt;&gt;"",_xll.RssMarket(C118,"年初来高値"),"")</f>
        <v>4280</v>
      </c>
      <c r="L118" s="185">
        <f t="shared" si="22"/>
        <v>-38.855140186915889</v>
      </c>
      <c r="M118" s="184">
        <f>IF(C118&lt;&gt;"",IFERROR(AVERAGE(出来高!E179:I179),""),"")</f>
        <v>109620</v>
      </c>
      <c r="N118" s="184">
        <f>IF(C118&lt;&gt;"",IFERROR(AVERAGE(出来高!E179:AC179),""),"")</f>
        <v>144892</v>
      </c>
      <c r="O118" s="186">
        <f t="shared" si="23"/>
        <v>0.92410144134282068</v>
      </c>
      <c r="P118" s="181" t="str">
        <f t="shared" si="24"/>
        <v>減少↓</v>
      </c>
      <c r="Q118" s="181" t="str">
        <f t="shared" si="25"/>
        <v>中立→</v>
      </c>
      <c r="R118" s="184">
        <f t="shared" si="39"/>
        <v>2826</v>
      </c>
      <c r="S118" s="184">
        <f t="shared" si="40"/>
        <v>2512</v>
      </c>
      <c r="T118" s="181">
        <f t="shared" si="29"/>
        <v>0</v>
      </c>
      <c r="U118" s="181" t="str">
        <f t="shared" si="41"/>
        <v>除外</v>
      </c>
      <c r="V118" s="181" t="str">
        <f t="shared" si="26"/>
        <v>通常</v>
      </c>
      <c r="W118" s="187">
        <f t="array" ref="W118">IF(C118&lt;&gt;"",IFERROR(100-100/(1+SUMPRODUCT((終値!F179:R179&gt;終値!G179:S179)*( 終値!F179:R179-終値!G179:S179))/SUMPRODUCT((終値!F179:R179&lt;終値!G179:S179)*(終値!G179:S179-終値!F179:R179))),50),"")</f>
        <v>43.415637860082299</v>
      </c>
      <c r="X118" s="188">
        <f>IF(C118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-24.178616775259343</v>
      </c>
      <c r="Y118" s="1" t="str">
        <f>IF(T118="","",IF(銘柄管理!$F$5="下落▼",IF(AND(AD118="パーフェクト▲",OR(AE118="25日線押し目●",AE118="5日線押し目○")),"★逆張り候補",IF(AND(AD118="上昇トレンド▲",OR(AE118="25日線押し目●",AE118="5日線押し目○")),"○逆張り候補",IF(W118&lt;=30,IF(Z118&gt;0,"◎反発確認",IF(Z118&lt;-5,"△要注意・様子見","△売られ過ぎ注目")),"相場下落・見送り"))),IF(AND(T118&gt;=12,AD118="パーフェクト▲"),"★強い買い",IF(AND(T118&gt;=12,AD118="上昇トレンド▲"),"★強い買い",IF(AND(T118&gt;=8,OR(AE118="25日線押し目●",AE118="5日線押し目○")),"◎押し目買い",IF(T118&gt;=10,"○買い候補",IF(T118&gt;=6,"△注目",IF(T118&gt;=3,"様子見","見送り"))))))))</f>
        <v>見送り</v>
      </c>
      <c r="Z118" s="189">
        <f t="shared" si="42"/>
        <v>0.88666152659984576</v>
      </c>
      <c r="AA118" s="181" t="str">
        <f t="shared" si="43"/>
        <v>上昇▲</v>
      </c>
      <c r="AB118" s="497">
        <f>IF(C118="","",IFERROR(((終値!E120*0.333)+(終値!F120*0.222)+(終値!G120*0.148)+(終値!H120*0.099)+(終値!I120*0.066)+(終値!J120*0.044)+(終値!K120*0.029)+(終値!L120*0.019)+(終値!M120*0.013)+(終値!N120*0.009))/(0.333+0.222+0.148+0.099+0.066+0.044+0.029+0.019+0.013+0.009),""))</f>
        <v>4233.7474541751526</v>
      </c>
      <c r="AC118" s="497">
        <f>IF(C118="","",IFERROR(SUMPRODUCT((終値!E120:AC120)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4454.0107270560175</v>
      </c>
      <c r="AD118" s="498" t="str">
        <f t="shared" si="37"/>
        <v>下降トレンド▼</v>
      </c>
      <c r="AE118" s="498" t="str">
        <f t="shared" si="38"/>
        <v>なし</v>
      </c>
      <c r="AF118" s="403" cm="1">
        <f t="array" ref="AF118">IF(C118="","",IFERROR((INDEX(終値!$E:$E,MATCH(TEXT(C118,"0"),終値!$A:$A,0))-INDEX(終値!$E:$BL,MATCH(TEXT(C118,"0"),終値!$A:$A,0),$AL$2))/INDEX(終値!$E:$BL,MATCH(TEXT(C118,"0"),終値!$A:$A,0),$AL$2)*100,""))</f>
        <v>-8.239831697054699</v>
      </c>
      <c r="AG118" s="403" cm="1">
        <f t="array" ref="AG118">IFERROR((終値!$E$5-INDEX(終値!$E$5:$BL$5,1,$AL$2))/INDEX(終値!$E$5:$BL$5,1,$AL$2)*100,"")</f>
        <v>3.4532270246721688</v>
      </c>
      <c r="AH118" s="404">
        <f t="shared" si="30"/>
        <v>-11.693058721726867</v>
      </c>
      <c r="AI118" s="402">
        <f t="shared" si="31"/>
        <v>-2</v>
      </c>
    </row>
    <row r="119" spans="1:35" s="192" customFormat="1" ht="18" customHeight="1">
      <c r="A119" s="181" t="str">
        <f>IF(銘柄管理!B190&lt;&gt;"",HYPERLINK("https://kabutan.jp/stock/?code="&amp;銘柄管理!B190,"株探"),"")</f>
        <v>株探</v>
      </c>
      <c r="B119" s="182"/>
      <c r="C119" s="183" t="str">
        <f>IF(銘柄管理!B190="","",銘柄管理!B190)</f>
        <v>7181</v>
      </c>
      <c r="D119" s="111" t="str">
        <f>IF(銘柄管理!C190="","",銘柄管理!C190)</f>
        <v>かんぽ生命保険</v>
      </c>
      <c r="E119" s="184">
        <f>IF(C119&lt;&gt;"",_xll.RssMarket(C119,"現在値"),"")</f>
        <v>1516</v>
      </c>
      <c r="F119" s="184">
        <f>IF(C119&lt;&gt;"",_xll.RssMarket(C119,"始値"),"")</f>
        <v>1580</v>
      </c>
      <c r="G119" s="183">
        <f>IF(C119&lt;&gt;"",終値!F190,"")</f>
        <v>1560</v>
      </c>
      <c r="H119" s="184">
        <f>IF(C119&lt;&gt;"",_xll.RssMarket(C119,"高値"),"")</f>
        <v>1596</v>
      </c>
      <c r="I119" s="184">
        <f>IF(C119&lt;&gt;"",_xll.RssMarket(C119,"安値"),"")</f>
        <v>1516</v>
      </c>
      <c r="J119" s="184">
        <f>IF(C119&lt;&gt;"",_xll.RssMarket(C119,"出来高"),"")</f>
        <v>1669300</v>
      </c>
      <c r="K119" s="184">
        <f>IF(C119&lt;&gt;"",_xll.RssMarket(C119,"年初来高値"),"")</f>
        <v>1676.5</v>
      </c>
      <c r="L119" s="185">
        <f t="shared" si="22"/>
        <v>-9.5735162541008059</v>
      </c>
      <c r="M119" s="184">
        <f>IF(C119&lt;&gt;"",IFERROR(AVERAGE(出来高!E190:I190),""),"")</f>
        <v>2607020</v>
      </c>
      <c r="N119" s="184">
        <f>IF(C119&lt;&gt;"",IFERROR(AVERAGE(出来高!E190:AC190),""),"")</f>
        <v>2847304</v>
      </c>
      <c r="O119" s="186">
        <f t="shared" si="23"/>
        <v>0.6403096255494779</v>
      </c>
      <c r="P119" s="181" t="str">
        <f t="shared" si="24"/>
        <v>減少↓</v>
      </c>
      <c r="Q119" s="181" t="str">
        <f t="shared" si="25"/>
        <v>様子見▼</v>
      </c>
      <c r="R119" s="184">
        <f t="shared" si="39"/>
        <v>1637</v>
      </c>
      <c r="S119" s="184">
        <f t="shared" si="40"/>
        <v>1455</v>
      </c>
      <c r="T119" s="181">
        <f t="shared" si="29"/>
        <v>1</v>
      </c>
      <c r="U119" s="181" t="str">
        <f t="shared" si="41"/>
        <v>除外</v>
      </c>
      <c r="V119" s="181" t="str">
        <f t="shared" si="26"/>
        <v>高値圏</v>
      </c>
      <c r="W119" s="187">
        <f t="array" ref="W119">IF(C119&lt;&gt;"",IFERROR(100-100/(1+SUMPRODUCT((終値!F190:R190&gt;終値!G190:S190)*( 終値!F190:R190-終値!G190:S190))/SUMPRODUCT((終値!F190:R190&lt;終値!G190:S190)*(終値!G190:S190-終値!F190:R190))),50),"")</f>
        <v>61.366622864651781</v>
      </c>
      <c r="X119" s="188">
        <f>IF(C119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0.19216662222038394</v>
      </c>
      <c r="Y119" s="1" t="str">
        <f>IF(T119="","",IF(銘柄管理!$F$5="下落▼",IF(AND(AD119="パーフェクト▲",OR(AE119="25日線押し目●",AE119="5日線押し目○")),"★逆張り候補",IF(AND(AD119="上昇トレンド▲",OR(AE119="25日線押し目●",AE119="5日線押し目○")),"○逆張り候補",IF(W119&lt;=30,IF(Z119&gt;0,"◎反発確認",IF(Z119&lt;-5,"△要注意・様子見","△売られ過ぎ注目")),"相場下落・見送り"))),IF(AND(T119&gt;=12,AD119="パーフェクト▲"),"★強い買い",IF(AND(T119&gt;=12,AD119="上昇トレンド▲"),"★強い買い",IF(AND(T119&gt;=8,OR(AE119="25日線押し目●",AE119="5日線押し目○")),"◎押し目買い",IF(T119&gt;=10,"○買い候補",IF(T119&gt;=6,"△注目",IF(T119&gt;=3,"様子見","見送り"))))))))</f>
        <v>見送り</v>
      </c>
      <c r="Z119" s="189">
        <f t="shared" si="42"/>
        <v>-2.8205128205128207</v>
      </c>
      <c r="AA119" s="181" t="str">
        <f t="shared" si="43"/>
        <v>下落▼</v>
      </c>
      <c r="AB119" s="499">
        <f>IF(C119="","",IFERROR(((終値!E121*0.333)+(終値!F121*0.222)+(終値!G121*0.148)+(終値!H121*0.099)+(終値!I121*0.066)+(終値!J121*0.044)+(終値!K121*0.029)+(終値!L121*0.019)+(終値!M121*0.013)+(終値!N121*0.009))/(0.333+0.222+0.148+0.099+0.066+0.044+0.029+0.019+0.013+0.009),""))</f>
        <v>3678.4368635437868</v>
      </c>
      <c r="AC119" s="499">
        <f>IF(C119="","",IFERROR(SUMPRODUCT((終値!E121:AC121)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3741.2812872467225</v>
      </c>
      <c r="AD119" s="500" t="str">
        <f t="shared" si="37"/>
        <v>下降トレンド▼</v>
      </c>
      <c r="AE119" s="500" t="str">
        <f t="shared" si="38"/>
        <v>なし</v>
      </c>
      <c r="AF119" s="403" cm="1">
        <f t="array" ref="AF119">IF(C119="","",IFERROR((INDEX(終値!$E:$E,MATCH(TEXT(C119,"0"),終値!$A:$A,0))-INDEX(終値!$E:$BL,MATCH(TEXT(C119,"0"),終値!$A:$A,0),$AL$2))/INDEX(終値!$E:$BL,MATCH(TEXT(C119,"0"),終値!$A:$A,0),$AL$2)*100,""))</f>
        <v>-4.9231734085920351</v>
      </c>
      <c r="AG119" s="403" cm="1">
        <f t="array" ref="AG119">IFERROR((終値!$E$5-INDEX(終値!$E$5:$BL$5,1,$AL$2))/INDEX(終値!$E$5:$BL$5,1,$AL$2)*100,"")</f>
        <v>3.4532270246721688</v>
      </c>
      <c r="AH119" s="404">
        <f t="shared" si="30"/>
        <v>-8.3764004332642035</v>
      </c>
      <c r="AI119" s="402">
        <f t="shared" si="31"/>
        <v>-2</v>
      </c>
    </row>
    <row r="120" spans="1:35" s="192" customFormat="1" ht="18" customHeight="1">
      <c r="A120" s="181" t="str">
        <f>IF(銘柄管理!B197&lt;&gt;"",HYPERLINK("https://kabutan.jp/stock/?code="&amp;銘柄管理!B197,"株探"),"")</f>
        <v>株探</v>
      </c>
      <c r="B120" s="182"/>
      <c r="C120" s="183">
        <f>IF(銘柄管理!B197="","",銘柄管理!B197)</f>
        <v>6146</v>
      </c>
      <c r="D120" s="111" t="str">
        <f>IF(銘柄管理!C197="","",銘柄管理!C197)</f>
        <v>ディスコ</v>
      </c>
      <c r="E120" s="184">
        <f>IF(C120&lt;&gt;"",_xll.RssMarket(C120,"現在値"),"")</f>
        <v>83700</v>
      </c>
      <c r="F120" s="184">
        <f>IF(C120&lt;&gt;"",_xll.RssMarket(C120,"始値"),"")</f>
        <v>80050</v>
      </c>
      <c r="G120" s="183">
        <f>IF(C120&lt;&gt;"",終値!F197,"")</f>
        <v>81550</v>
      </c>
      <c r="H120" s="184">
        <f>IF(C120&lt;&gt;"",_xll.RssMarket(C120,"高値"),"")</f>
        <v>85390</v>
      </c>
      <c r="I120" s="184">
        <f>IF(C120&lt;&gt;"",_xll.RssMarket(C120,"安値"),"")</f>
        <v>80000</v>
      </c>
      <c r="J120" s="184">
        <f>IF(C120&lt;&gt;"",_xll.RssMarket(C120,"出来高"),"")</f>
        <v>2169600</v>
      </c>
      <c r="K120" s="184">
        <f>IF(C120&lt;&gt;"",_xll.RssMarket(C120,"年初来高値"),"")</f>
        <v>86140</v>
      </c>
      <c r="L120" s="185">
        <f t="shared" si="22"/>
        <v>-2.8325980961225912</v>
      </c>
      <c r="M120" s="184">
        <f>IF(C120&lt;&gt;"",IFERROR(AVERAGE(出来高!E197:I197),""),"")</f>
        <v>2769420</v>
      </c>
      <c r="N120" s="184">
        <f>IF(C120&lt;&gt;"",IFERROR(AVERAGE(出来高!E197:AC197),""),"")</f>
        <v>1948800</v>
      </c>
      <c r="O120" s="186">
        <f t="shared" si="23"/>
        <v>0.78341313343588193</v>
      </c>
      <c r="P120" s="181" t="str">
        <f t="shared" si="24"/>
        <v>減少↓</v>
      </c>
      <c r="Q120" s="181" t="str">
        <f t="shared" si="25"/>
        <v>中立→</v>
      </c>
      <c r="R120" s="184">
        <f t="shared" si="39"/>
        <v>90396</v>
      </c>
      <c r="S120" s="184">
        <f t="shared" si="40"/>
        <v>80352</v>
      </c>
      <c r="T120" s="181">
        <f t="shared" si="29"/>
        <v>11</v>
      </c>
      <c r="U120" s="181" t="str">
        <f t="shared" si="41"/>
        <v>要確認</v>
      </c>
      <c r="V120" s="181" t="str">
        <f t="shared" si="26"/>
        <v>高値圏</v>
      </c>
      <c r="W120" s="187">
        <f t="array" ref="W120">IF(C120&lt;&gt;"",IFERROR(100-100/(1+SUMPRODUCT((終値!F197:R197&gt;終値!G197:S197)*( 終値!F197:R197-終値!G197:S197))/SUMPRODUCT((終値!F197:R197&lt;終値!G197:S197)*(終値!G197:S197-終値!F197:R197))),50),"")</f>
        <v>67.700915564598176</v>
      </c>
      <c r="X120" s="188">
        <f>IF(C120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1859.6301728633116</v>
      </c>
      <c r="Y120" s="1" t="str">
        <f>IF(T120="","",IF(銘柄管理!$F$5="下落▼",IF(AND(AD120="パーフェクト▲",OR(AE120="25日線押し目●",AE120="5日線押し目○")),"★逆張り候補",IF(AND(AD120="上昇トレンド▲",OR(AE120="25日線押し目●",AE120="5日線押し目○")),"○逆張り候補",IF(W120&lt;=30,IF(Z120&gt;0,"◎反発確認",IF(Z120&lt;-5,"△要注意・様子見","△売られ過ぎ注目")),"相場下落・見送り"))),IF(AND(T120&gt;=12,AD120="パーフェクト▲"),"★強い買い",IF(AND(T120&gt;=12,AD120="上昇トレンド▲"),"★強い買い",IF(AND(T120&gt;=8,OR(AE120="25日線押し目●",AE120="5日線押し目○")),"◎押し目買い",IF(T120&gt;=10,"○買い候補",IF(T120&gt;=6,"△注目",IF(T120&gt;=3,"様子見","見送り"))))))))</f>
        <v>○買い候補</v>
      </c>
      <c r="Z120" s="189">
        <f t="shared" si="42"/>
        <v>2.6364193746167999</v>
      </c>
      <c r="AA120" s="181" t="str">
        <f t="shared" si="43"/>
        <v>上昇▲</v>
      </c>
      <c r="AB120" s="497">
        <f>IF(C120="","",IFERROR(((終値!E122*0.333)+(終値!F122*0.222)+(終値!G122*0.148)+(終値!H122*0.099)+(終値!I122*0.066)+(終値!J122*0.044)+(終値!K122*0.029)+(終値!L122*0.019)+(終値!M122*0.013)+(終値!N122*0.009))/(0.333+0.222+0.148+0.099+0.066+0.044+0.029+0.019+0.013+0.009),""))</f>
        <v>2319.6023421588598</v>
      </c>
      <c r="AC120" s="497">
        <f>IF(C120="","",IFERROR(SUMPRODUCT((終値!E122:AC122)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2279.8033373063163</v>
      </c>
      <c r="AD120" s="498" t="str">
        <f t="shared" si="37"/>
        <v>パーフェクト▲</v>
      </c>
      <c r="AE120" s="498" t="str">
        <f t="shared" si="38"/>
        <v>なし</v>
      </c>
      <c r="AF120" s="403" cm="1">
        <f t="array" ref="AF120">IF(C120="","",IFERROR((INDEX(終値!$E:$E,MATCH(TEXT(C120,"0"),終値!$A:$A,0))-INDEX(終値!$E:$BL,MATCH(TEXT(C120,"0"),終値!$A:$A,0),$AL$2))/INDEX(終値!$E:$BL,MATCH(TEXT(C120,"0"),終値!$A:$A,0),$AL$2)*100,""))</f>
        <v>28.967642526964561</v>
      </c>
      <c r="AG120" s="403" cm="1">
        <f t="array" ref="AG120">IFERROR((終値!$E$5-INDEX(終値!$E$5:$BL$5,1,$AL$2))/INDEX(終値!$E$5:$BL$5,1,$AL$2)*100,"")</f>
        <v>3.4532270246721688</v>
      </c>
      <c r="AH120" s="404">
        <f t="shared" si="30"/>
        <v>25.51441550229239</v>
      </c>
      <c r="AI120" s="402">
        <f t="shared" si="31"/>
        <v>3</v>
      </c>
    </row>
    <row r="121" spans="1:35" s="192" customFormat="1" ht="18" customHeight="1">
      <c r="A121" s="181" t="str">
        <f>IF(銘柄管理!B208&lt;&gt;"",HYPERLINK("https://kabutan.jp/stock/?code="&amp;銘柄管理!B208,"株探"),"")</f>
        <v>株探</v>
      </c>
      <c r="B121" s="182"/>
      <c r="C121" s="183">
        <f>IF(銘柄管理!B208="","",銘柄管理!B208)</f>
        <v>1812</v>
      </c>
      <c r="D121" s="111" t="str">
        <f>IF(銘柄管理!C208="","",銘柄管理!C208)</f>
        <v>鹿島建設</v>
      </c>
      <c r="E121" s="184">
        <f>IF(C121&lt;&gt;"",_xll.RssMarket(C121,"現在値"),"")</f>
        <v>5920</v>
      </c>
      <c r="F121" s="184">
        <f>IF(C121&lt;&gt;"",_xll.RssMarket(C121,"始値"),"")</f>
        <v>5968</v>
      </c>
      <c r="G121" s="183">
        <f>IF(C121&lt;&gt;"",終値!F208,"")</f>
        <v>5899</v>
      </c>
      <c r="H121" s="184">
        <f>IF(C121&lt;&gt;"",_xll.RssMarket(C121,"高値"),"")</f>
        <v>6044</v>
      </c>
      <c r="I121" s="184">
        <f>IF(C121&lt;&gt;"",_xll.RssMarket(C121,"安値"),"")</f>
        <v>5871</v>
      </c>
      <c r="J121" s="184">
        <f>IF(C121&lt;&gt;"",_xll.RssMarket(C121,"出来高"),"")</f>
        <v>2120900</v>
      </c>
      <c r="K121" s="184">
        <f>IF(C121&lt;&gt;"",_xll.RssMarket(C121,"年初来高値"),"")</f>
        <v>8040</v>
      </c>
      <c r="L121" s="185">
        <f t="shared" si="22"/>
        <v>-26.368159203980102</v>
      </c>
      <c r="M121" s="184">
        <f>IF(C121&lt;&gt;"",IFERROR(AVERAGE(出来高!E208:I208),""),"")</f>
        <v>2206740</v>
      </c>
      <c r="N121" s="184">
        <f>IF(C121&lt;&gt;"",IFERROR(AVERAGE(出来高!E208:AC208),""),"")</f>
        <v>2568236</v>
      </c>
      <c r="O121" s="186">
        <f t="shared" si="23"/>
        <v>0.96110099060152077</v>
      </c>
      <c r="P121" s="181" t="str">
        <f t="shared" si="24"/>
        <v>減少↓</v>
      </c>
      <c r="Q121" s="181" t="str">
        <f t="shared" si="25"/>
        <v>中立→</v>
      </c>
      <c r="R121" s="184">
        <f t="shared" si="39"/>
        <v>6394</v>
      </c>
      <c r="S121" s="184">
        <f t="shared" si="40"/>
        <v>5683</v>
      </c>
      <c r="T121" s="181">
        <f t="shared" si="29"/>
        <v>2</v>
      </c>
      <c r="U121" s="181" t="str">
        <f t="shared" si="41"/>
        <v>除外</v>
      </c>
      <c r="V121" s="181" t="str">
        <f t="shared" si="26"/>
        <v>通常</v>
      </c>
      <c r="W121" s="187">
        <f t="array" ref="W121">IF(C121&lt;&gt;"",IFERROR(100-100/(1+SUMPRODUCT((終値!F208:R208&gt;終値!G208:S208)*( 終値!F208:R208-終値!G208:S208))/SUMPRODUCT((終値!F208:R208&lt;終値!G208:S208)*(終値!G208:S208-終値!F208:R208))),50),"")</f>
        <v>56.96275071633238</v>
      </c>
      <c r="X121" s="188">
        <f>IF(C121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-18.323743527079387</v>
      </c>
      <c r="Y121" s="1" t="str">
        <f>IF(T121="","",IF(銘柄管理!$F$5="下落▼",IF(AND(AD121="パーフェクト▲",OR(AE121="25日線押し目●",AE121="5日線押し目○")),"★逆張り候補",IF(AND(AD121="上昇トレンド▲",OR(AE121="25日線押し目●",AE121="5日線押し目○")),"○逆張り候補",IF(W121&lt;=30,IF(Z121&gt;0,"◎反発確認",IF(Z121&lt;-5,"△要注意・様子見","△売られ過ぎ注目")),"相場下落・見送り"))),IF(AND(T121&gt;=12,AD121="パーフェクト▲"),"★強い買い",IF(AND(T121&gt;=12,AD121="上昇トレンド▲"),"★強い買い",IF(AND(T121&gt;=8,OR(AE121="25日線押し目●",AE121="5日線押し目○")),"◎押し目買い",IF(T121&gt;=10,"○買い候補",IF(T121&gt;=6,"△注目",IF(T121&gt;=3,"様子見","見送り"))))))))</f>
        <v>見送り</v>
      </c>
      <c r="Z121" s="189">
        <f t="shared" si="42"/>
        <v>0.35599254110866252</v>
      </c>
      <c r="AA121" s="181" t="str">
        <f t="shared" si="43"/>
        <v>上昇▲</v>
      </c>
      <c r="AB121" s="499">
        <f>IF(C121="","",IFERROR(((終値!E123*0.333)+(終値!F123*0.222)+(終値!G123*0.148)+(終値!H123*0.099)+(終値!I123*0.066)+(終値!J123*0.044)+(終値!K123*0.029)+(終値!L123*0.019)+(終値!M123*0.013)+(終値!N123*0.009))/(0.333+0.222+0.148+0.099+0.066+0.044+0.029+0.019+0.013+0.009),""))</f>
        <v>2320.8345213849284</v>
      </c>
      <c r="AC121" s="499">
        <f>IF(C121="","",IFERROR(SUMPRODUCT((終値!E123:AC123)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2325.6323003575676</v>
      </c>
      <c r="AD121" s="500" t="str">
        <f t="shared" si="37"/>
        <v>上昇トレンド▲</v>
      </c>
      <c r="AE121" s="500" t="str">
        <f t="shared" si="38"/>
        <v>なし</v>
      </c>
      <c r="AF121" s="403" cm="1">
        <f t="array" ref="AF121">IF(C121="","",IFERROR((INDEX(終値!$E:$E,MATCH(TEXT(C121,"0"),終値!$A:$A,0))-INDEX(終値!$E:$BL,MATCH(TEXT(C121,"0"),終値!$A:$A,0),$AL$2))/INDEX(終値!$E:$BL,MATCH(TEXT(C121,"0"),終値!$A:$A,0),$AL$2)*100,""))</f>
        <v>-4.315500242443834</v>
      </c>
      <c r="AG121" s="403" cm="1">
        <f t="array" ref="AG121">IFERROR((終値!$E$5-INDEX(終値!$E$5:$BL$5,1,$AL$2))/INDEX(終値!$E$5:$BL$5,1,$AL$2)*100,"")</f>
        <v>3.4532270246721688</v>
      </c>
      <c r="AH121" s="404">
        <f t="shared" si="30"/>
        <v>-7.7687272671160024</v>
      </c>
      <c r="AI121" s="402">
        <f t="shared" si="31"/>
        <v>-2</v>
      </c>
    </row>
    <row r="122" spans="1:35" s="192" customFormat="1" ht="18" customHeight="1">
      <c r="A122" s="181" t="str">
        <f>IF(銘柄管理!B18&lt;&gt;"",HYPERLINK("https://kabutan.jp/stock/?code="&amp;銘柄管理!B18,"株探"),"")</f>
        <v>株探</v>
      </c>
      <c r="B122" s="182"/>
      <c r="C122" s="183">
        <f>IF(銘柄管理!B18="","",銘柄管理!B18)</f>
        <v>1662</v>
      </c>
      <c r="D122" s="111" t="str">
        <f>IF(銘柄管理!C18="","",銘柄管理!C18)</f>
        <v>石油資源開発</v>
      </c>
      <c r="E122" s="184">
        <f>IF(C122&lt;&gt;"",_xll.RssMarket(C122,"現在値"),"")</f>
        <v>1645</v>
      </c>
      <c r="F122" s="184">
        <f>IF(C122&lt;&gt;"",_xll.RssMarket(C122,"始値"),"")</f>
        <v>1636</v>
      </c>
      <c r="G122" s="183">
        <f>IF(C122&lt;&gt;"",終値!F18,"")</f>
        <v>1648</v>
      </c>
      <c r="H122" s="184">
        <f>IF(C122&lt;&gt;"",_xll.RssMarket(C122,"高値"),"")</f>
        <v>1660</v>
      </c>
      <c r="I122" s="184">
        <f>IF(C122&lt;&gt;"",_xll.RssMarket(C122,"安値"),"")</f>
        <v>1621</v>
      </c>
      <c r="J122" s="184">
        <f>IF(C122&lt;&gt;"",_xll.RssMarket(C122,"出来高"),"")</f>
        <v>1154600</v>
      </c>
      <c r="K122" s="184">
        <f>IF(C122&lt;&gt;"",_xll.RssMarket(C122,"年初来高値"),"")</f>
        <v>2819</v>
      </c>
      <c r="L122" s="185">
        <f t="shared" si="22"/>
        <v>-41.645973749556582</v>
      </c>
      <c r="M122" s="184">
        <f>IF(C122&lt;&gt;"",IFERROR(AVERAGE(出来高!E18:I18),""),"")</f>
        <v>1488060</v>
      </c>
      <c r="N122" s="184">
        <f>IF(C122&lt;&gt;"",IFERROR(AVERAGE(出来高!E18:AC18),""),"")</f>
        <v>1987288</v>
      </c>
      <c r="O122" s="186">
        <f t="shared" si="23"/>
        <v>0.77590957353870138</v>
      </c>
      <c r="P122" s="181" t="str">
        <f t="shared" si="24"/>
        <v>減少↓</v>
      </c>
      <c r="Q122" s="181" t="str">
        <f t="shared" si="25"/>
        <v>様子見▼</v>
      </c>
      <c r="R122" s="184">
        <f t="shared" si="39"/>
        <v>1777</v>
      </c>
      <c r="S122" s="184">
        <f t="shared" si="40"/>
        <v>1579</v>
      </c>
      <c r="T122" s="181">
        <f t="shared" si="29"/>
        <v>4</v>
      </c>
      <c r="U122" s="181" t="str">
        <f t="shared" si="41"/>
        <v>要確認</v>
      </c>
      <c r="V122" s="181" t="str">
        <f t="shared" si="26"/>
        <v>通常</v>
      </c>
      <c r="W122" s="187">
        <f t="array" ref="W122">IF(C122&lt;&gt;"",IFERROR(100-100/(1+SUMPRODUCT((終値!F18:R18&gt;終値!G18:S18)*( 終値!F18:R18-終値!G18:S18))/SUMPRODUCT((終値!F18:R18&lt;終値!G18:S18)*(終値!G18:S18-終値!F18:R18))),50),"")</f>
        <v>23.033707865168537</v>
      </c>
      <c r="X122" s="188">
        <f>IF(C122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-40.992252397119501</v>
      </c>
      <c r="Y122" s="1" t="str">
        <f>IF(T122="","",IF(銘柄管理!$F$5="下落▼",IF(AND(AD122="パーフェクト▲",OR(AE122="25日線押し目●",AE122="5日線押し目○")),"★逆張り候補",IF(AND(AD122="上昇トレンド▲",OR(AE122="25日線押し目●",AE122="5日線押し目○")),"○逆張り候補",IF(W122&lt;=30,IF(Z122&gt;0,"◎反発確認",IF(Z122&lt;-5,"△要注意・様子見","△売られ過ぎ注目")),"相場下落・見送り"))),IF(AND(T122&gt;=12,AD122="パーフェクト▲"),"★強い買い",IF(AND(T122&gt;=12,AD122="上昇トレンド▲"),"★強い買い",IF(AND(T122&gt;=8,OR(AE122="25日線押し目●",AE122="5日線押し目○")),"◎押し目買い",IF(T122&gt;=10,"○買い候補",IF(T122&gt;=6,"△注目",IF(T122&gt;=3,"様子見","見送り"))))))))</f>
        <v>様子見</v>
      </c>
      <c r="Z122" s="189">
        <f t="shared" si="42"/>
        <v>-0.18203883495145631</v>
      </c>
      <c r="AA122" s="181" t="str">
        <f t="shared" si="43"/>
        <v>下落▼</v>
      </c>
      <c r="AB122" s="497">
        <f>IF(C122="","",IFERROR(((終値!E124*0.333)+(終値!F124*0.222)+(終値!G124*0.148)+(終値!H124*0.099)+(終値!I124*0.066)+(終値!J124*0.044)+(終値!K124*0.029)+(終値!L124*0.019)+(終値!M124*0.013)+(終値!N124*0.009))/(0.333+0.222+0.148+0.099+0.066+0.044+0.029+0.019+0.013+0.009),""))</f>
        <v>1525.4297352342153</v>
      </c>
      <c r="AC122" s="497">
        <f>IF(C122="","",IFERROR(SUMPRODUCT((終値!E124:AC124)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1520.6483909415967</v>
      </c>
      <c r="AD122" s="498" t="str">
        <f t="shared" si="37"/>
        <v>パーフェクト▲</v>
      </c>
      <c r="AE122" s="498" t="str">
        <f t="shared" si="38"/>
        <v>なし</v>
      </c>
      <c r="AF122" s="403" cm="1">
        <f t="array" ref="AF122">IF(C122="","",IFERROR((INDEX(終値!$E:$E,MATCH(TEXT(C122,"0"),終値!$A:$A,0))-INDEX(終値!$E:$BL,MATCH(TEXT(C122,"0"),終値!$A:$A,0),$AL$2))/INDEX(終値!$E:$BL,MATCH(TEXT(C122,"0"),終値!$A:$A,0),$AL$2)*100,""))</f>
        <v>-18.240556660039761</v>
      </c>
      <c r="AG122" s="403" cm="1">
        <f t="array" ref="AG122">IFERROR((終値!$E$5-INDEX(終値!$E$5:$BL$5,1,$AL$2))/INDEX(終値!$E$5:$BL$5,1,$AL$2)*100,"")</f>
        <v>3.4532270246721688</v>
      </c>
      <c r="AH122" s="404">
        <f t="shared" si="30"/>
        <v>-21.693783684711931</v>
      </c>
      <c r="AI122" s="402">
        <f t="shared" si="31"/>
        <v>-2</v>
      </c>
    </row>
    <row r="123" spans="1:35" s="192" customFormat="1" ht="18" customHeight="1">
      <c r="A123" s="181" t="str">
        <f>IF(銘柄管理!B41&lt;&gt;"",HYPERLINK("https://kabutan.jp/stock/?code="&amp;銘柄管理!B41,"株探"),"")</f>
        <v>株探</v>
      </c>
      <c r="B123" s="182"/>
      <c r="C123" s="183">
        <f>IF(銘柄管理!B41="","",銘柄管理!B41)</f>
        <v>3861</v>
      </c>
      <c r="D123" s="111" t="str">
        <f>IF(銘柄管理!C41="","",銘柄管理!C41)</f>
        <v>王子ホールディングス</v>
      </c>
      <c r="E123" s="184">
        <f>IF(C123&lt;&gt;"",_xll.RssMarket(C123,"現在値"),"")</f>
        <v>799.6</v>
      </c>
      <c r="F123" s="184">
        <f>IF(C123&lt;&gt;"",_xll.RssMarket(C123,"始値"),"")</f>
        <v>800.6</v>
      </c>
      <c r="G123" s="183">
        <f>IF(C123&lt;&gt;"",終値!F41,"")</f>
        <v>793.9</v>
      </c>
      <c r="H123" s="184">
        <f>IF(C123&lt;&gt;"",_xll.RssMarket(C123,"高値"),"")</f>
        <v>805.9</v>
      </c>
      <c r="I123" s="184">
        <f>IF(C123&lt;&gt;"",_xll.RssMarket(C123,"安値"),"")</f>
        <v>796.8</v>
      </c>
      <c r="J123" s="184">
        <f>IF(C123&lt;&gt;"",_xll.RssMarket(C123,"出来高"),"")</f>
        <v>3088900</v>
      </c>
      <c r="K123" s="184">
        <f>IF(C123&lt;&gt;"",_xll.RssMarket(C123,"年初来高値"),"")</f>
        <v>990.7</v>
      </c>
      <c r="L123" s="185">
        <f t="shared" si="22"/>
        <v>-19.289391339456952</v>
      </c>
      <c r="M123" s="184">
        <f>IF(C123&lt;&gt;"",IFERROR(AVERAGE(出来高!E41:I41),""),"")</f>
        <v>3839120</v>
      </c>
      <c r="N123" s="184">
        <f>IF(C123&lt;&gt;"",IFERROR(AVERAGE(出来高!E41:AC41),""),"")</f>
        <v>4587908</v>
      </c>
      <c r="O123" s="186">
        <f t="shared" si="23"/>
        <v>0.80458542582675197</v>
      </c>
      <c r="P123" s="181" t="str">
        <f t="shared" si="24"/>
        <v>減少↓</v>
      </c>
      <c r="Q123" s="181" t="str">
        <f t="shared" si="25"/>
        <v>中立→</v>
      </c>
      <c r="R123" s="184">
        <f t="shared" si="39"/>
        <v>864</v>
      </c>
      <c r="S123" s="184">
        <f t="shared" si="40"/>
        <v>768</v>
      </c>
      <c r="T123" s="181">
        <f t="shared" si="29"/>
        <v>-1</v>
      </c>
      <c r="U123" s="181" t="str">
        <f t="shared" si="41"/>
        <v>除外</v>
      </c>
      <c r="V123" s="181" t="str">
        <f t="shared" si="26"/>
        <v>通常</v>
      </c>
      <c r="W123" s="187">
        <f t="array" ref="W123">IF(C123&lt;&gt;"",IFERROR(100-100/(1+SUMPRODUCT((終値!F41:R41&gt;終値!G41:S41)*( 終値!F41:R41-終値!G41:S41))/SUMPRODUCT((終値!F41:R41&lt;終値!G41:S41)*(終値!G41:S41-終値!F41:R41))),50),"")</f>
        <v>60.659599528857463</v>
      </c>
      <c r="X123" s="188">
        <f>IF(C123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-1.9078922858315082</v>
      </c>
      <c r="Y123" s="1" t="str">
        <f>IF(T123="","",IF(銘柄管理!$F$5="下落▼",IF(AND(AD123="パーフェクト▲",OR(AE123="25日線押し目●",AE123="5日線押し目○")),"★逆張り候補",IF(AND(AD123="上昇トレンド▲",OR(AE123="25日線押し目●",AE123="5日線押し目○")),"○逆張り候補",IF(W123&lt;=30,IF(Z123&gt;0,"◎反発確認",IF(Z123&lt;-5,"△要注意・様子見","△売られ過ぎ注目")),"相場下落・見送り"))),IF(AND(T123&gt;=12,AD123="パーフェクト▲"),"★強い買い",IF(AND(T123&gt;=12,AD123="上昇トレンド▲"),"★強い買い",IF(AND(T123&gt;=8,OR(AE123="25日線押し目●",AE123="5日線押し目○")),"◎押し目買い",IF(T123&gt;=10,"○買い候補",IF(T123&gt;=6,"△注目",IF(T123&gt;=3,"様子見","見送り"))))))))</f>
        <v>見送り</v>
      </c>
      <c r="Z123" s="189">
        <f t="shared" si="42"/>
        <v>0.71797455598942506</v>
      </c>
      <c r="AA123" s="181" t="str">
        <f t="shared" si="43"/>
        <v>上昇▲</v>
      </c>
      <c r="AB123" s="499">
        <f>IF(C123="","",IFERROR(((終値!E125*0.333)+(終値!F125*0.222)+(終値!G125*0.148)+(終値!H125*0.099)+(終値!I125*0.066)+(終値!J125*0.044)+(終値!K125*0.029)+(終値!L125*0.019)+(終値!M125*0.013)+(終値!N125*0.009))/(0.333+0.222+0.148+0.099+0.066+0.044+0.029+0.019+0.013+0.009),""))</f>
        <v>2359.2209775967408</v>
      </c>
      <c r="AC123" s="499">
        <f>IF(C123="","",IFERROR(SUMPRODUCT((終値!E125:AC125)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2363.6817640047666</v>
      </c>
      <c r="AD123" s="500" t="str">
        <f t="shared" si="37"/>
        <v>下降トレンド▼</v>
      </c>
      <c r="AE123" s="500" t="str">
        <f t="shared" si="38"/>
        <v>なし</v>
      </c>
      <c r="AF123" s="403" cm="1">
        <f t="array" ref="AF123">IF(C123="","",IFERROR((INDEX(終値!$E:$E,MATCH(TEXT(C123,"0"),終値!$A:$A,0))-INDEX(終値!$E:$BL,MATCH(TEXT(C123,"0"),終値!$A:$A,0),$AL$2))/INDEX(終値!$E:$BL,MATCH(TEXT(C123,"0"),終値!$A:$A,0),$AL$2)*100,""))</f>
        <v>-5.0130672368733586</v>
      </c>
      <c r="AG123" s="403" cm="1">
        <f t="array" ref="AG123">IFERROR((終値!$E$5-INDEX(終値!$E$5:$BL$5,1,$AL$2))/INDEX(終値!$E$5:$BL$5,1,$AL$2)*100,"")</f>
        <v>3.4532270246721688</v>
      </c>
      <c r="AH123" s="404">
        <f t="shared" si="30"/>
        <v>-8.4662942615455279</v>
      </c>
      <c r="AI123" s="402">
        <f t="shared" si="31"/>
        <v>-2</v>
      </c>
    </row>
    <row r="124" spans="1:35" s="192" customFormat="1" ht="18" customHeight="1">
      <c r="A124" s="181" t="str">
        <f>IF(銘柄管理!B64&lt;&gt;"",HYPERLINK("https://kabutan.jp/stock/?code="&amp;銘柄管理!B64,"株探"),"")</f>
        <v>株探</v>
      </c>
      <c r="B124" s="182"/>
      <c r="C124" s="183">
        <f>IF(銘柄管理!B64="","",銘柄管理!B64)</f>
        <v>4540</v>
      </c>
      <c r="D124" s="111" t="str">
        <f>IF(銘柄管理!C64="","",銘柄管理!C64)</f>
        <v>ツムラ</v>
      </c>
      <c r="E124" s="184">
        <f>IF(C124&lt;&gt;"",_xll.RssMarket(C124,"現在値"),"")</f>
        <v>3704</v>
      </c>
      <c r="F124" s="184">
        <f>IF(C124&lt;&gt;"",_xll.RssMarket(C124,"始値"),"")</f>
        <v>3776</v>
      </c>
      <c r="G124" s="183">
        <f>IF(C124&lt;&gt;"",終値!F64,"")</f>
        <v>3761</v>
      </c>
      <c r="H124" s="184">
        <f>IF(C124&lt;&gt;"",_xll.RssMarket(C124,"高値"),"")</f>
        <v>3784</v>
      </c>
      <c r="I124" s="184">
        <f>IF(C124&lt;&gt;"",_xll.RssMarket(C124,"安値"),"")</f>
        <v>3703</v>
      </c>
      <c r="J124" s="184">
        <f>IF(C124&lt;&gt;"",_xll.RssMarket(C124,"出来高"),"")</f>
        <v>162100</v>
      </c>
      <c r="K124" s="184">
        <f>IF(C124&lt;&gt;"",_xll.RssMarket(C124,"年初来高値"),"")</f>
        <v>4403</v>
      </c>
      <c r="L124" s="185">
        <f t="shared" si="22"/>
        <v>-15.875539404951169</v>
      </c>
      <c r="M124" s="184">
        <f>IF(C124&lt;&gt;"",IFERROR(AVERAGE(出来高!E64:I64),""),"")</f>
        <v>212600</v>
      </c>
      <c r="N124" s="184">
        <f>IF(C124&lt;&gt;"",IFERROR(AVERAGE(出来高!E64:AC64),""),"")</f>
        <v>343112</v>
      </c>
      <c r="O124" s="186">
        <f t="shared" si="23"/>
        <v>0.76246472248353714</v>
      </c>
      <c r="P124" s="181" t="str">
        <f t="shared" si="24"/>
        <v>減少↓</v>
      </c>
      <c r="Q124" s="181" t="str">
        <f t="shared" si="25"/>
        <v>様子見▼</v>
      </c>
      <c r="R124" s="184">
        <f t="shared" si="39"/>
        <v>4000</v>
      </c>
      <c r="S124" s="184">
        <f t="shared" si="40"/>
        <v>3556</v>
      </c>
      <c r="T124" s="181">
        <f t="shared" si="29"/>
        <v>1</v>
      </c>
      <c r="U124" s="181" t="str">
        <f t="shared" si="41"/>
        <v>除外</v>
      </c>
      <c r="V124" s="181" t="str">
        <f t="shared" si="26"/>
        <v>通常</v>
      </c>
      <c r="W124" s="187">
        <f t="array" ref="W124">IF(C124&lt;&gt;"",IFERROR(100-100/(1+SUMPRODUCT((終値!F64:R64&gt;終値!G64:S64)*( 終値!F64:R64-終値!G64:S64))/SUMPRODUCT((終値!F64:R64&lt;終値!G64:S64)*(終値!G64:S64-終値!F64:R64))),50),"")</f>
        <v>50.810810810810807</v>
      </c>
      <c r="X124" s="188">
        <f>IF(C124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-11.111764097134255</v>
      </c>
      <c r="Y124" s="1" t="str">
        <f>IF(T124="","",IF(銘柄管理!$F$5="下落▼",IF(AND(AD124="パーフェクト▲",OR(AE124="25日線押し目●",AE124="5日線押し目○")),"★逆張り候補",IF(AND(AD124="上昇トレンド▲",OR(AE124="25日線押し目●",AE124="5日線押し目○")),"○逆張り候補",IF(W124&lt;=30,IF(Z124&gt;0,"◎反発確認",IF(Z124&lt;-5,"△要注意・様子見","△売られ過ぎ注目")),"相場下落・見送り"))),IF(AND(T124&gt;=12,AD124="パーフェクト▲"),"★強い買い",IF(AND(T124&gt;=12,AD124="上昇トレンド▲"),"★強い買い",IF(AND(T124&gt;=8,OR(AE124="25日線押し目●",AE124="5日線押し目○")),"◎押し目買い",IF(T124&gt;=10,"○買い候補",IF(T124&gt;=6,"△注目",IF(T124&gt;=3,"様子見","見送り"))))))))</f>
        <v>見送り</v>
      </c>
      <c r="Z124" s="189">
        <f t="shared" si="42"/>
        <v>-1.5155543738367456</v>
      </c>
      <c r="AA124" s="181" t="str">
        <f t="shared" si="43"/>
        <v>下落▼</v>
      </c>
      <c r="AB124" s="497">
        <f>IF(C124="","",IFERROR(((終値!E126*0.333)+(終値!F126*0.222)+(終値!G126*0.148)+(終値!H126*0.099)+(終値!I126*0.066)+(終値!J126*0.044)+(終値!K126*0.029)+(終値!L126*0.019)+(終値!M126*0.013)+(終値!N126*0.009))/(0.333+0.222+0.148+0.099+0.066+0.044+0.029+0.019+0.013+0.009),""))</f>
        <v>1015.9969450101833</v>
      </c>
      <c r="AC124" s="497">
        <f>IF(C124="","",IFERROR(SUMPRODUCT((終値!E126:AC126)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1030.4648390941593</v>
      </c>
      <c r="AD124" s="498" t="str">
        <f t="shared" si="37"/>
        <v>上昇トレンド▲</v>
      </c>
      <c r="AE124" s="498" t="str">
        <f t="shared" si="38"/>
        <v>なし</v>
      </c>
      <c r="AF124" s="403" cm="1">
        <f t="array" ref="AF124">IF(C124="","",IFERROR((INDEX(終値!$E:$E,MATCH(TEXT(C124,"0"),終値!$A:$A,0))-INDEX(終値!$E:$BL,MATCH(TEXT(C124,"0"),終値!$A:$A,0),$AL$2))/INDEX(終値!$E:$BL,MATCH(TEXT(C124,"0"),終値!$A:$A,0),$AL$2)*100,""))</f>
        <v>-0.72366657732511386</v>
      </c>
      <c r="AG124" s="403" cm="1">
        <f t="array" ref="AG124">IFERROR((終値!$E$5-INDEX(終値!$E$5:$BL$5,1,$AL$2))/INDEX(終値!$E$5:$BL$5,1,$AL$2)*100,"")</f>
        <v>3.4532270246721688</v>
      </c>
      <c r="AH124" s="404">
        <f t="shared" si="30"/>
        <v>-4.1768936019972829</v>
      </c>
      <c r="AI124" s="402">
        <f t="shared" si="31"/>
        <v>-2</v>
      </c>
    </row>
    <row r="125" spans="1:35" s="192" customFormat="1" ht="18" customHeight="1">
      <c r="A125" s="181" t="str">
        <f>IF(銘柄管理!B67&lt;&gt;"",HYPERLINK("https://kabutan.jp/stock/?code="&amp;銘柄管理!B67,"株探"),"")</f>
        <v>株探</v>
      </c>
      <c r="B125" s="182"/>
      <c r="C125" s="183">
        <f>IF(銘柄管理!B67="","",銘柄管理!B67)</f>
        <v>4536</v>
      </c>
      <c r="D125" s="111" t="str">
        <f>IF(銘柄管理!C67="","",銘柄管理!C67)</f>
        <v>参天製薬</v>
      </c>
      <c r="E125" s="184">
        <f>IF(C125&lt;&gt;"",_xll.RssMarket(C125,"現在値"),"")</f>
        <v>1882</v>
      </c>
      <c r="F125" s="184">
        <f>IF(C125&lt;&gt;"",_xll.RssMarket(C125,"始値"),"")</f>
        <v>1935.5</v>
      </c>
      <c r="G125" s="183">
        <f>IF(C125&lt;&gt;"",終値!F67,"")</f>
        <v>1919.5</v>
      </c>
      <c r="H125" s="184">
        <f>IF(C125&lt;&gt;"",_xll.RssMarket(C125,"高値"),"")</f>
        <v>1935.5</v>
      </c>
      <c r="I125" s="184">
        <f>IF(C125&lt;&gt;"",_xll.RssMarket(C125,"安値"),"")</f>
        <v>1863.5</v>
      </c>
      <c r="J125" s="184">
        <f>IF(C125&lt;&gt;"",_xll.RssMarket(C125,"出来高"),"")</f>
        <v>896900</v>
      </c>
      <c r="K125" s="184">
        <f>IF(C125&lt;&gt;"",_xll.RssMarket(C125,"年初来高値"),"")</f>
        <v>2043</v>
      </c>
      <c r="L125" s="185">
        <f t="shared" si="22"/>
        <v>-7.8805677924620658</v>
      </c>
      <c r="M125" s="184">
        <f>IF(C125&lt;&gt;"",IFERROR(AVERAGE(出来高!E67:I67),""),"")</f>
        <v>1020260</v>
      </c>
      <c r="N125" s="184">
        <f>IF(C125&lt;&gt;"",IFERROR(AVERAGE(出来高!E67:AC67),""),"")</f>
        <v>1286416</v>
      </c>
      <c r="O125" s="186">
        <f t="shared" si="23"/>
        <v>0.87908964381628207</v>
      </c>
      <c r="P125" s="181" t="str">
        <f t="shared" si="24"/>
        <v>減少↓</v>
      </c>
      <c r="Q125" s="181" t="str">
        <f t="shared" si="25"/>
        <v>様子見▼</v>
      </c>
      <c r="R125" s="184">
        <f t="shared" si="39"/>
        <v>2033</v>
      </c>
      <c r="S125" s="184">
        <f t="shared" si="40"/>
        <v>1807</v>
      </c>
      <c r="T125" s="181">
        <f t="shared" si="29"/>
        <v>0</v>
      </c>
      <c r="U125" s="181" t="str">
        <f t="shared" si="41"/>
        <v>除外</v>
      </c>
      <c r="V125" s="181" t="str">
        <f t="shared" si="26"/>
        <v>通常</v>
      </c>
      <c r="W125" s="187">
        <f t="array" ref="W125">IF(C125&lt;&gt;"",IFERROR(100-100/(1+SUMPRODUCT((終値!F67:R67&gt;終値!G67:S67)*( 終値!F67:R67-終値!G67:S67))/SUMPRODUCT((終値!F67:R67&lt;終値!G67:S67)*(終値!G67:S67-終値!F67:R67))),50),"")</f>
        <v>49.046793760831889</v>
      </c>
      <c r="X125" s="188">
        <f>IF(C125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6.3418876050304789</v>
      </c>
      <c r="Y125" s="1" t="str">
        <f>IF(T125="","",IF(銘柄管理!$F$5="下落▼",IF(AND(AD125="パーフェクト▲",OR(AE125="25日線押し目●",AE125="5日線押し目○")),"★逆張り候補",IF(AND(AD125="上昇トレンド▲",OR(AE125="25日線押し目●",AE125="5日線押し目○")),"○逆張り候補",IF(W125&lt;=30,IF(Z125&gt;0,"◎反発確認",IF(Z125&lt;-5,"△要注意・様子見","△売られ過ぎ注目")),"相場下落・見送り"))),IF(AND(T125&gt;=12,AD125="パーフェクト▲"),"★強い買い",IF(AND(T125&gt;=12,AD125="上昇トレンド▲"),"★強い買い",IF(AND(T125&gt;=8,OR(AE125="25日線押し目●",AE125="5日線押し目○")),"◎押し目買い",IF(T125&gt;=10,"○買い候補",IF(T125&gt;=6,"△注目",IF(T125&gt;=3,"様子見","見送り"))))))))</f>
        <v>見送り</v>
      </c>
      <c r="Z125" s="189">
        <f t="shared" si="42"/>
        <v>-1.9536337587913521</v>
      </c>
      <c r="AA125" s="181" t="str">
        <f t="shared" si="43"/>
        <v>下落▼</v>
      </c>
      <c r="AB125" s="499">
        <f>IF(C125="","",IFERROR(((終値!E127*0.333)+(終値!F127*0.222)+(終値!G127*0.148)+(終値!H127*0.099)+(終値!I127*0.066)+(終値!J127*0.044)+(終値!K127*0.029)+(終値!L127*0.019)+(終値!M127*0.013)+(終値!N127*0.009))/(0.333+0.222+0.148+0.099+0.066+0.044+0.029+0.019+0.013+0.009),""))</f>
        <v>5512.4073319755589</v>
      </c>
      <c r="AC125" s="499">
        <f>IF(C125="","",IFERROR(SUMPRODUCT((終値!E127:AC127)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5536.2407628128694</v>
      </c>
      <c r="AD125" s="500" t="str">
        <f t="shared" si="37"/>
        <v>下降トレンド▼</v>
      </c>
      <c r="AE125" s="500" t="str">
        <f t="shared" si="38"/>
        <v>なし</v>
      </c>
      <c r="AF125" s="403" cm="1">
        <f t="array" ref="AF125">IF(C125="","",IFERROR((INDEX(終値!$E:$E,MATCH(TEXT(C125,"0"),終値!$A:$A,0))-INDEX(終値!$E:$BL,MATCH(TEXT(C125,"0"),終値!$A:$A,0),$AL$2))/INDEX(終値!$E:$BL,MATCH(TEXT(C125,"0"),終値!$A:$A,0),$AL$2)*100,""))</f>
        <v>0</v>
      </c>
      <c r="AG125" s="403" cm="1">
        <f t="array" ref="AG125">IFERROR((終値!$E$5-INDEX(終値!$E$5:$BL$5,1,$AL$2))/INDEX(終値!$E$5:$BL$5,1,$AL$2)*100,"")</f>
        <v>3.4532270246721688</v>
      </c>
      <c r="AH125" s="404">
        <f t="shared" si="30"/>
        <v>-3.4532270246721688</v>
      </c>
      <c r="AI125" s="402">
        <f t="shared" si="31"/>
        <v>-2</v>
      </c>
    </row>
    <row r="126" spans="1:35" s="192" customFormat="1" ht="18" customHeight="1">
      <c r="A126" s="181" t="str">
        <f>IF(銘柄管理!B91&lt;&gt;"",HYPERLINK("https://kabutan.jp/stock/?code="&amp;銘柄管理!B91,"株探"),"")</f>
        <v>株探</v>
      </c>
      <c r="B126" s="182"/>
      <c r="C126" s="183">
        <f>IF(銘柄管理!B91="","",銘柄管理!B91)</f>
        <v>6501</v>
      </c>
      <c r="D126" s="111" t="str">
        <f>IF(銘柄管理!C91="","",銘柄管理!C91)</f>
        <v>日立</v>
      </c>
      <c r="E126" s="184">
        <f>IF(C126&lt;&gt;"",_xll.RssMarket(C126,"現在値"),"")</f>
        <v>4701</v>
      </c>
      <c r="F126" s="184">
        <f>IF(C126&lt;&gt;"",_xll.RssMarket(C126,"始値"),"")</f>
        <v>4692</v>
      </c>
      <c r="G126" s="183">
        <f>IF(C126&lt;&gt;"",終値!F91,"")</f>
        <v>4747</v>
      </c>
      <c r="H126" s="184">
        <f>IF(C126&lt;&gt;"",_xll.RssMarket(C126,"高値"),"")</f>
        <v>4736</v>
      </c>
      <c r="I126" s="184">
        <f>IF(C126&lt;&gt;"",_xll.RssMarket(C126,"安値"),"")</f>
        <v>4670</v>
      </c>
      <c r="J126" s="184">
        <f>IF(C126&lt;&gt;"",_xll.RssMarket(C126,"出来高"),"")</f>
        <v>11385900</v>
      </c>
      <c r="K126" s="184">
        <f>IF(C126&lt;&gt;"",_xll.RssMarket(C126,"年初来高値"),"")</f>
        <v>6039</v>
      </c>
      <c r="L126" s="185">
        <f t="shared" si="22"/>
        <v>-22.15598609041232</v>
      </c>
      <c r="M126" s="184">
        <f>IF(C126&lt;&gt;"",IFERROR(AVERAGE(出来高!E91:I91),""),"")</f>
        <v>14387180</v>
      </c>
      <c r="N126" s="184">
        <f>IF(C126&lt;&gt;"",IFERROR(AVERAGE(出来高!E91:AC91),""),"")</f>
        <v>14286600</v>
      </c>
      <c r="O126" s="186">
        <f t="shared" si="23"/>
        <v>0.79139205876342689</v>
      </c>
      <c r="P126" s="181" t="str">
        <f t="shared" si="24"/>
        <v>減少↓</v>
      </c>
      <c r="Q126" s="181" t="str">
        <f t="shared" si="25"/>
        <v>様子見▼</v>
      </c>
      <c r="R126" s="184">
        <f t="shared" si="39"/>
        <v>5077</v>
      </c>
      <c r="S126" s="184">
        <f t="shared" si="40"/>
        <v>4513</v>
      </c>
      <c r="T126" s="181">
        <f t="shared" si="29"/>
        <v>4</v>
      </c>
      <c r="U126" s="181" t="str">
        <f t="shared" si="41"/>
        <v>要確認</v>
      </c>
      <c r="V126" s="181" t="str">
        <f t="shared" si="26"/>
        <v>通常</v>
      </c>
      <c r="W126" s="187">
        <f t="array" ref="W126">IF(C126&lt;&gt;"",IFERROR(100-100/(1+SUMPRODUCT((終値!F91:R91&gt;終値!G91:S91)*( 終値!F91:R91-終値!G91:S91))/SUMPRODUCT((終値!F91:R91&lt;終値!G91:S91)*(終値!G91:S91-終値!F91:R91))),50),"")</f>
        <v>39.947609692206939</v>
      </c>
      <c r="X126" s="188">
        <f>IF(C126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-23.331775719531834</v>
      </c>
      <c r="Y126" s="1" t="str">
        <f>IF(T126="","",IF(銘柄管理!$F$5="下落▼",IF(AND(AD126="パーフェクト▲",OR(AE126="25日線押し目●",AE126="5日線押し目○")),"★逆張り候補",IF(AND(AD126="上昇トレンド▲",OR(AE126="25日線押し目●",AE126="5日線押し目○")),"○逆張り候補",IF(W126&lt;=30,IF(Z126&gt;0,"◎反発確認",IF(Z126&lt;-5,"△要注意・様子見","△売られ過ぎ注目")),"相場下落・見送り"))),IF(AND(T126&gt;=12,AD126="パーフェクト▲"),"★強い買い",IF(AND(T126&gt;=12,AD126="上昇トレンド▲"),"★強い買い",IF(AND(T126&gt;=8,OR(AE126="25日線押し目●",AE126="5日線押し目○")),"◎押し目買い",IF(T126&gt;=10,"○買い候補",IF(T126&gt;=6,"△注目",IF(T126&gt;=3,"様子見","見送り"))))))))</f>
        <v>様子見</v>
      </c>
      <c r="Z126" s="189">
        <f t="shared" si="42"/>
        <v>-0.96903307352011803</v>
      </c>
      <c r="AA126" s="181" t="str">
        <f t="shared" si="43"/>
        <v>下落▼</v>
      </c>
      <c r="AB126" s="497">
        <f>IF(C126="","",IFERROR(((終値!E128*0.333)+(終値!F128*0.222)+(終値!G128*0.148)+(終値!H128*0.099)+(終値!I128*0.066)+(終値!J128*0.044)+(終値!K128*0.029)+(終値!L128*0.019)+(終値!M128*0.013)+(終値!N128*0.009))/(0.333+0.222+0.148+0.099+0.066+0.044+0.029+0.019+0.013+0.009),""))</f>
        <v>2050.048879837067</v>
      </c>
      <c r="AC126" s="497">
        <f>IF(C126="","",IFERROR(SUMPRODUCT((終値!E128:AC128)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2027.0548271752077</v>
      </c>
      <c r="AD126" s="498" t="str">
        <f t="shared" si="37"/>
        <v>パーフェクト▲</v>
      </c>
      <c r="AE126" s="498" t="str">
        <f t="shared" si="38"/>
        <v>なし</v>
      </c>
      <c r="AF126" s="403" cm="1">
        <f t="array" ref="AF126">IF(C126="","",IFERROR((INDEX(終値!$E:$E,MATCH(TEXT(C126,"0"),終値!$A:$A,0))-INDEX(終値!$E:$BL,MATCH(TEXT(C126,"0"),終値!$A:$A,0),$AL$2))/INDEX(終値!$E:$BL,MATCH(TEXT(C126,"0"),終値!$A:$A,0),$AL$2)*100,""))</f>
        <v>0.64226075786769421</v>
      </c>
      <c r="AG126" s="403" cm="1">
        <f t="array" ref="AG126">IFERROR((終値!$E$5-INDEX(終値!$E$5:$BL$5,1,$AL$2))/INDEX(終値!$E$5:$BL$5,1,$AL$2)*100,"")</f>
        <v>3.4532270246721688</v>
      </c>
      <c r="AH126" s="404">
        <f t="shared" si="30"/>
        <v>-2.8109662668044746</v>
      </c>
      <c r="AI126" s="402">
        <f t="shared" si="31"/>
        <v>-1</v>
      </c>
    </row>
    <row r="127" spans="1:35" s="192" customFormat="1" ht="18" customHeight="1">
      <c r="A127" s="181" t="str">
        <f>IF(銘柄管理!B95&lt;&gt;"",HYPERLINK("https://kabutan.jp/stock/?code="&amp;銘柄管理!B95,"株探"),"")</f>
        <v>株探</v>
      </c>
      <c r="B127" s="182"/>
      <c r="C127" s="183">
        <f>IF(銘柄管理!B95="","",銘柄管理!B95)</f>
        <v>4008</v>
      </c>
      <c r="D127" s="111" t="str">
        <f>IF(銘柄管理!C95="","",銘柄管理!C95)</f>
        <v>住友精化</v>
      </c>
      <c r="E127" s="184">
        <f>IF(C127&lt;&gt;"",_xll.RssMarket(C127,"現在値"),"")</f>
        <v>1318</v>
      </c>
      <c r="F127" s="184">
        <f>IF(C127&lt;&gt;"",_xll.RssMarket(C127,"始値"),"")</f>
        <v>1322</v>
      </c>
      <c r="G127" s="183">
        <f>IF(C127&lt;&gt;"",終値!F95,"")</f>
        <v>1321</v>
      </c>
      <c r="H127" s="184">
        <f>IF(C127&lt;&gt;"",_xll.RssMarket(C127,"高値"),"")</f>
        <v>1335</v>
      </c>
      <c r="I127" s="184">
        <f>IF(C127&lt;&gt;"",_xll.RssMarket(C127,"安値"),"")</f>
        <v>1317</v>
      </c>
      <c r="J127" s="184">
        <f>IF(C127&lt;&gt;"",_xll.RssMarket(C127,"出来高"),"")</f>
        <v>131300</v>
      </c>
      <c r="K127" s="184">
        <f>IF(C127&lt;&gt;"",_xll.RssMarket(C127,"年初来高値"),"")</f>
        <v>1346</v>
      </c>
      <c r="L127" s="185">
        <f t="shared" si="22"/>
        <v>-2.0802377414561661</v>
      </c>
      <c r="M127" s="184">
        <f>IF(C127&lt;&gt;"",IFERROR(AVERAGE(出来高!E95:I95),""),"")</f>
        <v>133300</v>
      </c>
      <c r="N127" s="184">
        <f>IF(C127&lt;&gt;"",IFERROR(AVERAGE(出来高!E95:AC95),""),"")</f>
        <v>193692</v>
      </c>
      <c r="O127" s="186">
        <f t="shared" si="23"/>
        <v>0.98499624906226557</v>
      </c>
      <c r="P127" s="181" t="str">
        <f t="shared" si="24"/>
        <v>減少↓</v>
      </c>
      <c r="Q127" s="181" t="str">
        <f t="shared" si="25"/>
        <v>様子見▼</v>
      </c>
      <c r="R127" s="184">
        <f t="shared" si="39"/>
        <v>1423</v>
      </c>
      <c r="S127" s="184">
        <f t="shared" si="40"/>
        <v>1265</v>
      </c>
      <c r="T127" s="181">
        <f t="shared" si="29"/>
        <v>6</v>
      </c>
      <c r="U127" s="181" t="str">
        <f t="shared" si="41"/>
        <v>要確認</v>
      </c>
      <c r="V127" s="181" t="str">
        <f t="shared" si="26"/>
        <v>高値圏</v>
      </c>
      <c r="W127" s="187">
        <f t="array" ref="W127">IF(C127&lt;&gt;"",IFERROR(100-100/(1+SUMPRODUCT((終値!F95:R95&gt;終値!G95:S95)*( 終値!F95:R95-終値!G95:S95))/SUMPRODUCT((終値!F95:R95&lt;終値!G95:S95)*(終値!G95:S95-終値!F95:R95))),50),"")</f>
        <v>53.310104529616723</v>
      </c>
      <c r="X127" s="188">
        <f>IF(C127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3.3467654305272845</v>
      </c>
      <c r="Y127" s="1" t="str">
        <f>IF(T127="","",IF(銘柄管理!$F$5="下落▼",IF(AND(AD127="パーフェクト▲",OR(AE127="25日線押し目●",AE127="5日線押し目○")),"★逆張り候補",IF(AND(AD127="上昇トレンド▲",OR(AE127="25日線押し目●",AE127="5日線押し目○")),"○逆張り候補",IF(W127&lt;=30,IF(Z127&gt;0,"◎反発確認",IF(Z127&lt;-5,"△要注意・様子見","△売られ過ぎ注目")),"相場下落・見送り"))),IF(AND(T127&gt;=12,AD127="パーフェクト▲"),"★強い買い",IF(AND(T127&gt;=12,AD127="上昇トレンド▲"),"★強い買い",IF(AND(T127&gt;=8,OR(AE127="25日線押し目●",AE127="5日線押し目○")),"◎押し目買い",IF(T127&gt;=10,"○買い候補",IF(T127&gt;=6,"△注目",IF(T127&gt;=3,"様子見","見送り"))))))))</f>
        <v>△注目</v>
      </c>
      <c r="Z127" s="189">
        <f t="shared" si="42"/>
        <v>-0.22710068130204392</v>
      </c>
      <c r="AA127" s="181" t="str">
        <f t="shared" si="43"/>
        <v>下落▼</v>
      </c>
      <c r="AB127" s="499">
        <f>IF(C127="","",IFERROR(((終値!E129*0.333)+(終値!F129*0.222)+(終値!G129*0.148)+(終値!H129*0.099)+(終値!I129*0.066)+(終値!J129*0.044)+(終値!K129*0.029)+(終値!L129*0.019)+(終値!M129*0.013)+(終値!N129*0.009))/(0.333+0.222+0.148+0.099+0.066+0.044+0.029+0.019+0.013+0.009),""))</f>
        <v>1989.9898167006104</v>
      </c>
      <c r="AC127" s="499">
        <f>IF(C127="","",IFERROR(SUMPRODUCT((終値!E129:AC129)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2079.8116805721088</v>
      </c>
      <c r="AD127" s="500" t="str">
        <f t="shared" si="37"/>
        <v>下降トレンド▼</v>
      </c>
      <c r="AE127" s="500" t="str">
        <f t="shared" si="38"/>
        <v>なし</v>
      </c>
      <c r="AF127" s="403" cm="1">
        <f t="array" ref="AF127">IF(C127="","",IFERROR((INDEX(終値!$E:$E,MATCH(TEXT(C127,"0"),終値!$A:$A,0))-INDEX(終値!$E:$BL,MATCH(TEXT(C127,"0"),終値!$A:$A,0),$AL$2))/INDEX(終値!$E:$BL,MATCH(TEXT(C127,"0"),終値!$A:$A,0),$AL$2)*100,""))</f>
        <v>5.4399999999999995</v>
      </c>
      <c r="AG127" s="403" cm="1">
        <f t="array" ref="AG127">IFERROR((終値!$E$5-INDEX(終値!$E$5:$BL$5,1,$AL$2))/INDEX(終値!$E$5:$BL$5,1,$AL$2)*100,"")</f>
        <v>3.4532270246721688</v>
      </c>
      <c r="AH127" s="404">
        <f t="shared" si="30"/>
        <v>1.9867729753278307</v>
      </c>
      <c r="AI127" s="402">
        <f t="shared" si="31"/>
        <v>1</v>
      </c>
    </row>
    <row r="128" spans="1:35" s="192" customFormat="1" ht="18" customHeight="1">
      <c r="A128" s="181" t="str">
        <f>IF(銘柄管理!B116&lt;&gt;"",HYPERLINK("https://kabutan.jp/stock/?code="&amp;銘柄管理!B116,"株探"),"")</f>
        <v>株探</v>
      </c>
      <c r="B128" s="182"/>
      <c r="C128" s="183">
        <f>IF(銘柄管理!B116="","",銘柄管理!B116)</f>
        <v>9882</v>
      </c>
      <c r="D128" s="111" t="str">
        <f>IF(銘柄管理!C116="","",銘柄管理!C116)</f>
        <v>イエローハット</v>
      </c>
      <c r="E128" s="184">
        <f>IF(C128&lt;&gt;"",_xll.RssMarket(C128,"現在値"),"")</f>
        <v>1736</v>
      </c>
      <c r="F128" s="184">
        <f>IF(C128&lt;&gt;"",_xll.RssMarket(C128,"始値"),"")</f>
        <v>1743</v>
      </c>
      <c r="G128" s="183">
        <f>IF(C128&lt;&gt;"",終値!F116,"")</f>
        <v>1743</v>
      </c>
      <c r="H128" s="184">
        <f>IF(C128&lt;&gt;"",_xll.RssMarket(C128,"高値"),"")</f>
        <v>1757</v>
      </c>
      <c r="I128" s="184">
        <f>IF(C128&lt;&gt;"",_xll.RssMarket(C128,"安値"),"")</f>
        <v>1735</v>
      </c>
      <c r="J128" s="184">
        <f>IF(C128&lt;&gt;"",_xll.RssMarket(C128,"出来高"),"")</f>
        <v>140600</v>
      </c>
      <c r="K128" s="184">
        <f>IF(C128&lt;&gt;"",_xll.RssMarket(C128,"年初来高値"),"")</f>
        <v>1759</v>
      </c>
      <c r="L128" s="185">
        <f t="shared" si="22"/>
        <v>-1.3075611142694712</v>
      </c>
      <c r="M128" s="184">
        <f>IF(C128&lt;&gt;"",IFERROR(AVERAGE(出来高!E116:I116),""),"")</f>
        <v>164800</v>
      </c>
      <c r="N128" s="184">
        <f>IF(C128&lt;&gt;"",IFERROR(AVERAGE(出来高!E116:AC116),""),"")</f>
        <v>197796</v>
      </c>
      <c r="O128" s="186">
        <f t="shared" si="23"/>
        <v>0.85315533980582525</v>
      </c>
      <c r="P128" s="181" t="str">
        <f t="shared" si="24"/>
        <v>減少↓</v>
      </c>
      <c r="Q128" s="181" t="str">
        <f t="shared" si="25"/>
        <v>様子見▼</v>
      </c>
      <c r="R128" s="184">
        <f t="shared" si="39"/>
        <v>1875</v>
      </c>
      <c r="S128" s="184">
        <f t="shared" si="40"/>
        <v>1667</v>
      </c>
      <c r="T128" s="181">
        <f t="shared" si="29"/>
        <v>7</v>
      </c>
      <c r="U128" s="181" t="str">
        <f t="shared" si="41"/>
        <v>要確認</v>
      </c>
      <c r="V128" s="181" t="str">
        <f t="shared" si="26"/>
        <v>高値圏</v>
      </c>
      <c r="W128" s="187">
        <f t="array" ref="W128">IF(C128&lt;&gt;"",IFERROR(100-100/(1+SUMPRODUCT((終値!F116:R116&gt;終値!G116:S116)*( 終値!F116:R116-終値!G116:S116))/SUMPRODUCT((終値!F116:R116&lt;終値!G116:S116)*(終値!G116:S116-終値!F116:R116))),50),"")</f>
        <v>73.962264150943398</v>
      </c>
      <c r="X128" s="188">
        <f>IF(C128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14.592035870227846</v>
      </c>
      <c r="Y128" s="1" t="str">
        <f>IF(T128="","",IF(銘柄管理!$F$5="下落▼",IF(AND(AD128="パーフェクト▲",OR(AE128="25日線押し目●",AE128="5日線押し目○")),"★逆張り候補",IF(AND(AD128="上昇トレンド▲",OR(AE128="25日線押し目●",AE128="5日線押し目○")),"○逆張り候補",IF(W128&lt;=30,IF(Z128&gt;0,"◎反発確認",IF(Z128&lt;-5,"△要注意・様子見","△売られ過ぎ注目")),"相場下落・見送り"))),IF(AND(T128&gt;=12,AD128="パーフェクト▲"),"★強い買い",IF(AND(T128&gt;=12,AD128="上昇トレンド▲"),"★強い買い",IF(AND(T128&gt;=8,OR(AE128="25日線押し目●",AE128="5日線押し目○")),"◎押し目買い",IF(T128&gt;=10,"○買い候補",IF(T128&gt;=6,"△注目",IF(T128&gt;=3,"様子見","見送り"))))))))</f>
        <v>△注目</v>
      </c>
      <c r="Z128" s="189">
        <f t="shared" si="42"/>
        <v>-0.40160642570281119</v>
      </c>
      <c r="AA128" s="181" t="str">
        <f t="shared" si="43"/>
        <v>下落▼</v>
      </c>
      <c r="AB128" s="497">
        <f>IF(C128="","",IFERROR(((終値!E130*0.333)+(終値!F130*0.222)+(終値!G130*0.148)+(終値!H130*0.099)+(終値!I130*0.066)+(終値!J130*0.044)+(終値!K130*0.029)+(終値!L130*0.019)+(終値!M130*0.013)+(終値!N130*0.009))/(0.333+0.222+0.148+0.099+0.066+0.044+0.029+0.019+0.013+0.009),""))</f>
        <v>7546.688391038696</v>
      </c>
      <c r="AC128" s="497">
        <f>IF(C128="","",IFERROR(SUMPRODUCT((終値!E130:AC130)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7653.2228843861703</v>
      </c>
      <c r="AD128" s="498" t="str">
        <f t="shared" si="37"/>
        <v>下降トレンド▼</v>
      </c>
      <c r="AE128" s="498" t="str">
        <f t="shared" si="38"/>
        <v>なし</v>
      </c>
      <c r="AF128" s="403" cm="1">
        <f t="array" ref="AF128">IF(C128="","",IFERROR((INDEX(終値!$E:$E,MATCH(TEXT(C128,"0"),終値!$A:$A,0))-INDEX(終値!$E:$BL,MATCH(TEXT(C128,"0"),終値!$A:$A,0),$AL$2))/INDEX(終値!$E:$BL,MATCH(TEXT(C128,"0"),終値!$A:$A,0),$AL$2)*100,""))</f>
        <v>8.8401253918495293</v>
      </c>
      <c r="AG128" s="403" cm="1">
        <f t="array" ref="AG128">IFERROR((終値!$E$5-INDEX(終値!$E$5:$BL$5,1,$AL$2))/INDEX(終値!$E$5:$BL$5,1,$AL$2)*100,"")</f>
        <v>3.4532270246721688</v>
      </c>
      <c r="AH128" s="404">
        <f t="shared" si="30"/>
        <v>5.3868983671773609</v>
      </c>
      <c r="AI128" s="402">
        <f t="shared" si="31"/>
        <v>3</v>
      </c>
    </row>
    <row r="129" spans="1:35" s="192" customFormat="1" ht="18" customHeight="1">
      <c r="A129" s="181" t="str">
        <f>IF(銘柄管理!B124&lt;&gt;"",HYPERLINK("https://kabutan.jp/stock/?code="&amp;銘柄管理!B124,"株探"),"")</f>
        <v>株探</v>
      </c>
      <c r="B129" s="182"/>
      <c r="C129" s="183">
        <f>IF(銘柄管理!B124="","",銘柄管理!B124)</f>
        <v>8801</v>
      </c>
      <c r="D129" s="111" t="str">
        <f>IF(銘柄管理!C124="","",銘柄管理!C124)</f>
        <v>三井不動産</v>
      </c>
      <c r="E129" s="184">
        <f>IF(C129&lt;&gt;"",_xll.RssMarket(C129,"現在値"),"")</f>
        <v>1516.5</v>
      </c>
      <c r="F129" s="184">
        <f>IF(C129&lt;&gt;"",_xll.RssMarket(C129,"始値"),"")</f>
        <v>1544.5</v>
      </c>
      <c r="G129" s="183">
        <f>IF(C129&lt;&gt;"",終値!F124,"")</f>
        <v>1530</v>
      </c>
      <c r="H129" s="184">
        <f>IF(C129&lt;&gt;"",_xll.RssMarket(C129,"高値"),"")</f>
        <v>1554.5</v>
      </c>
      <c r="I129" s="184">
        <f>IF(C129&lt;&gt;"",_xll.RssMarket(C129,"安値"),"")</f>
        <v>1516.5</v>
      </c>
      <c r="J129" s="184">
        <f>IF(C129&lt;&gt;"",_xll.RssMarket(C129,"出来高"),"")</f>
        <v>9010400</v>
      </c>
      <c r="K129" s="184">
        <f>IF(C129&lt;&gt;"",_xll.RssMarket(C129,"年初来高値"),"")</f>
        <v>2158</v>
      </c>
      <c r="L129" s="185">
        <f t="shared" si="22"/>
        <v>-29.726598702502315</v>
      </c>
      <c r="M129" s="184">
        <f>IF(C129&lt;&gt;"",IFERROR(AVERAGE(出来高!E124:I124),""),"")</f>
        <v>12994620</v>
      </c>
      <c r="N129" s="184">
        <f>IF(C129&lt;&gt;"",IFERROR(AVERAGE(出来高!E124:AC124),""),"")</f>
        <v>12956924</v>
      </c>
      <c r="O129" s="186">
        <f t="shared" si="23"/>
        <v>0.69339465101711328</v>
      </c>
      <c r="P129" s="181" t="str">
        <f t="shared" si="24"/>
        <v>減少↓</v>
      </c>
      <c r="Q129" s="181" t="str">
        <f t="shared" si="25"/>
        <v>様子見▼</v>
      </c>
      <c r="R129" s="184">
        <f t="shared" si="39"/>
        <v>1638</v>
      </c>
      <c r="S129" s="184">
        <f t="shared" si="40"/>
        <v>1456</v>
      </c>
      <c r="T129" s="181">
        <f t="shared" si="29"/>
        <v>-1</v>
      </c>
      <c r="U129" s="181" t="str">
        <f t="shared" si="41"/>
        <v>除外</v>
      </c>
      <c r="V129" s="181" t="str">
        <f t="shared" si="26"/>
        <v>通常</v>
      </c>
      <c r="W129" s="187">
        <f t="array" ref="W129">IF(C129&lt;&gt;"",IFERROR(100-100/(1+SUMPRODUCT((終値!F124:R124&gt;終値!G124:S124)*( 終値!F124:R124-終値!G124:S124))/SUMPRODUCT((終値!F124:R124&lt;終値!G124:S124)*(終値!G124:S124-終値!F124:R124))),50),"")</f>
        <v>50.899742930591266</v>
      </c>
      <c r="X129" s="188">
        <f>IF(C129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-2.1262085106213817</v>
      </c>
      <c r="Y129" s="1" t="str">
        <f>IF(T129="","",IF(銘柄管理!$F$5="下落▼",IF(AND(AD129="パーフェクト▲",OR(AE129="25日線押し目●",AE129="5日線押し目○")),"★逆張り候補",IF(AND(AD129="上昇トレンド▲",OR(AE129="25日線押し目●",AE129="5日線押し目○")),"○逆張り候補",IF(W129&lt;=30,IF(Z129&gt;0,"◎反発確認",IF(Z129&lt;-5,"△要注意・様子見","△売られ過ぎ注目")),"相場下落・見送り"))),IF(AND(T129&gt;=12,AD129="パーフェクト▲"),"★強い買い",IF(AND(T129&gt;=12,AD129="上昇トレンド▲"),"★強い買い",IF(AND(T129&gt;=8,OR(AE129="25日線押し目●",AE129="5日線押し目○")),"◎押し目買い",IF(T129&gt;=10,"○買い候補",IF(T129&gt;=6,"△注目",IF(T129&gt;=3,"様子見","見送り"))))))))</f>
        <v>見送り</v>
      </c>
      <c r="Z129" s="189">
        <f t="shared" si="42"/>
        <v>-0.88235294117647056</v>
      </c>
      <c r="AA129" s="181" t="str">
        <f t="shared" si="43"/>
        <v>下落▼</v>
      </c>
      <c r="AB129" s="499">
        <f>IF(C129="","",IFERROR(((終値!E131*0.333)+(終値!F131*0.222)+(終値!G131*0.148)+(終値!H131*0.099)+(終値!I131*0.066)+(終値!J131*0.044)+(終値!K131*0.029)+(終値!L131*0.019)+(終値!M131*0.013)+(終値!N131*0.009))/(0.333+0.222+0.148+0.099+0.066+0.044+0.029+0.019+0.013+0.009),""))</f>
        <v>2579.7912423625248</v>
      </c>
      <c r="AC129" s="499">
        <f>IF(C129="","",IFERROR(SUMPRODUCT((終値!E131:AC131)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2682.3230035756847</v>
      </c>
      <c r="AD129" s="500" t="str">
        <f t="shared" si="37"/>
        <v>下降トレンド▼</v>
      </c>
      <c r="AE129" s="500" t="str">
        <f t="shared" si="38"/>
        <v>なし</v>
      </c>
      <c r="AF129" s="403" cm="1">
        <f t="array" ref="AF129">IF(C129="","",IFERROR((INDEX(終値!$E:$E,MATCH(TEXT(C129,"0"),終値!$A:$A,0))-INDEX(終値!$E:$BL,MATCH(TEXT(C129,"0"),終値!$A:$A,0),$AL$2))/INDEX(終値!$E:$BL,MATCH(TEXT(C129,"0"),終値!$A:$A,0),$AL$2)*100,""))</f>
        <v>-0.75261780104712039</v>
      </c>
      <c r="AG129" s="403" cm="1">
        <f t="array" ref="AG129">IFERROR((終値!$E$5-INDEX(終値!$E$5:$BL$5,1,$AL$2))/INDEX(終値!$E$5:$BL$5,1,$AL$2)*100,"")</f>
        <v>3.4532270246721688</v>
      </c>
      <c r="AH129" s="404">
        <f t="shared" si="30"/>
        <v>-4.2058448257192893</v>
      </c>
      <c r="AI129" s="402">
        <f t="shared" si="31"/>
        <v>-2</v>
      </c>
    </row>
    <row r="130" spans="1:35" s="192" customFormat="1" ht="18" customHeight="1">
      <c r="A130" s="181" t="str">
        <f>IF(銘柄管理!B144&lt;&gt;"",HYPERLINK("https://kabutan.jp/stock/?code="&amp;銘柄管理!B144,"株探"),"")</f>
        <v>株探</v>
      </c>
      <c r="B130" s="182"/>
      <c r="C130" s="183">
        <f>IF(銘柄管理!B144="","",銘柄管理!B144)</f>
        <v>6777</v>
      </c>
      <c r="D130" s="111" t="str">
        <f>IF(銘柄管理!C144="","",銘柄管理!C144)</f>
        <v>ＳＡＮＴＥＣＨＯＬＤＩＮＧＳ</v>
      </c>
      <c r="E130" s="184">
        <f>IF(C130&lt;&gt;"",_xll.RssMarket(C130,"現在値"),"")</f>
        <v>27070</v>
      </c>
      <c r="F130" s="184">
        <f>IF(C130&lt;&gt;"",_xll.RssMarket(C130,"始値"),"")</f>
        <v>26230</v>
      </c>
      <c r="G130" s="183">
        <f>IF(C130&lt;&gt;"",終値!F144,"")</f>
        <v>23220</v>
      </c>
      <c r="H130" s="184">
        <f>IF(C130&lt;&gt;"",_xll.RssMarket(C130,"高値"),"")</f>
        <v>27580</v>
      </c>
      <c r="I130" s="184">
        <f>IF(C130&lt;&gt;"",_xll.RssMarket(C130,"安値"),"")</f>
        <v>25600</v>
      </c>
      <c r="J130" s="184">
        <f>IF(C130&lt;&gt;"",_xll.RssMarket(C130,"出来高"),"")</f>
        <v>118600</v>
      </c>
      <c r="K130" s="184">
        <f>IF(C130&lt;&gt;"",_xll.RssMarket(C130,"年初来高値"),"")</f>
        <v>34700</v>
      </c>
      <c r="L130" s="185">
        <f t="shared" si="22"/>
        <v>-21.988472622478387</v>
      </c>
      <c r="M130" s="184">
        <f>IF(C130&lt;&gt;"",IFERROR(AVERAGE(出来高!E144:I144),""),"")</f>
        <v>151140</v>
      </c>
      <c r="N130" s="184">
        <f>IF(C130&lt;&gt;"",IFERROR(AVERAGE(出来高!E144:AC144),""),"")</f>
        <v>223512</v>
      </c>
      <c r="O130" s="186">
        <f t="shared" si="23"/>
        <v>0.78470292444091572</v>
      </c>
      <c r="P130" s="181" t="str">
        <f t="shared" si="24"/>
        <v>減少↓</v>
      </c>
      <c r="Q130" s="181" t="str">
        <f t="shared" si="25"/>
        <v>中立→</v>
      </c>
      <c r="R130" s="184">
        <f t="shared" si="39"/>
        <v>29236</v>
      </c>
      <c r="S130" s="184">
        <f t="shared" si="40"/>
        <v>25987</v>
      </c>
      <c r="T130" s="181">
        <f t="shared" si="29"/>
        <v>4</v>
      </c>
      <c r="U130" s="181" t="str">
        <f t="shared" si="41"/>
        <v>要確認</v>
      </c>
      <c r="V130" s="181" t="str">
        <f t="shared" si="26"/>
        <v>通常</v>
      </c>
      <c r="W130" s="187">
        <f t="array" ref="W130">IF(C130&lt;&gt;"",IFERROR(100-100/(1+SUMPRODUCT((終値!F144:R144&gt;終値!G144:S144)*( 終値!F144:R144-終値!G144:S144))/SUMPRODUCT((終値!F144:R144&lt;終値!G144:S144)*(終値!G144:S144-終値!F144:R144))),50),"")</f>
        <v>31.764705882352942</v>
      </c>
      <c r="X130" s="188">
        <f>IF(C130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-546.1836538116986</v>
      </c>
      <c r="Y130" s="1" t="str">
        <f>IF(T130="","",IF(銘柄管理!$F$5="下落▼",IF(AND(AD130="パーフェクト▲",OR(AE130="25日線押し目●",AE130="5日線押し目○")),"★逆張り候補",IF(AND(AD130="上昇トレンド▲",OR(AE130="25日線押し目●",AE130="5日線押し目○")),"○逆張り候補",IF(W130&lt;=30,IF(Z130&gt;0,"◎反発確認",IF(Z130&lt;-5,"△要注意・様子見","△売られ過ぎ注目")),"相場下落・見送り"))),IF(AND(T130&gt;=12,AD130="パーフェクト▲"),"★強い買い",IF(AND(T130&gt;=12,AD130="上昇トレンド▲"),"★強い買い",IF(AND(T130&gt;=8,OR(AE130="25日線押し目●",AE130="5日線押し目○")),"◎押し目買い",IF(T130&gt;=10,"○買い候補",IF(T130&gt;=6,"△注目",IF(T130&gt;=3,"様子見","見送り"))))))))</f>
        <v>様子見</v>
      </c>
      <c r="Z130" s="189">
        <f t="shared" si="42"/>
        <v>16.580534022394488</v>
      </c>
      <c r="AA130" s="181" t="str">
        <f t="shared" si="43"/>
        <v>上昇▲</v>
      </c>
      <c r="AB130" s="497">
        <f>IF(C130="","",IFERROR(((終値!E132*0.333)+(終値!F132*0.222)+(終値!G132*0.148)+(終値!H132*0.099)+(終値!I132*0.066)+(終値!J132*0.044)+(終値!K132*0.029)+(終値!L132*0.019)+(終値!M132*0.013)+(終値!N132*0.009))/(0.333+0.222+0.148+0.099+0.066+0.044+0.029+0.019+0.013+0.009),""))</f>
        <v>7736.1201629327898</v>
      </c>
      <c r="AC130" s="497">
        <f>IF(C130="","",IFERROR(SUMPRODUCT((終値!E132:AC132)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6884.6245530393298</v>
      </c>
      <c r="AD130" s="498" t="str">
        <f t="shared" si="37"/>
        <v>パーフェクト▲</v>
      </c>
      <c r="AE130" s="498" t="str">
        <f t="shared" si="38"/>
        <v>なし</v>
      </c>
      <c r="AF130" s="403" cm="1">
        <f t="array" ref="AF130">IF(C130="","",IFERROR((INDEX(終値!$E:$E,MATCH(TEXT(C130,"0"),終値!$A:$A,0))-INDEX(終値!$E:$BL,MATCH(TEXT(C130,"0"),終値!$A:$A,0),$AL$2))/INDEX(終値!$E:$BL,MATCH(TEXT(C130,"0"),終値!$A:$A,0),$AL$2)*100,""))</f>
        <v>-17.969696969696969</v>
      </c>
      <c r="AG130" s="403" cm="1">
        <f t="array" ref="AG130">IFERROR((終値!$E$5-INDEX(終値!$E$5:$BL$5,1,$AL$2))/INDEX(終値!$E$5:$BL$5,1,$AL$2)*100,"")</f>
        <v>3.4532270246721688</v>
      </c>
      <c r="AH130" s="404">
        <f t="shared" si="30"/>
        <v>-21.422923994369139</v>
      </c>
      <c r="AI130" s="402">
        <f t="shared" si="31"/>
        <v>-2</v>
      </c>
    </row>
    <row r="131" spans="1:35" s="192" customFormat="1" ht="18" customHeight="1">
      <c r="A131" s="181" t="str">
        <f>IF(銘柄管理!B146&lt;&gt;"",HYPERLINK("https://kabutan.jp/stock/?code="&amp;銘柄管理!B146,"株探"),"")</f>
        <v>株探</v>
      </c>
      <c r="B131" s="182"/>
      <c r="C131" s="183">
        <f>IF(銘柄管理!B146="","",銘柄管理!B146)</f>
        <v>4888</v>
      </c>
      <c r="D131" s="111" t="str">
        <f>IF(銘柄管理!C146="","",銘柄管理!C146)</f>
        <v>ステラファーマ</v>
      </c>
      <c r="E131" s="184">
        <f>IF(C131&lt;&gt;"",_xll.RssMarket(C131,"現在値"),"")</f>
        <v>350</v>
      </c>
      <c r="F131" s="184">
        <f>IF(C131&lt;&gt;"",_xll.RssMarket(C131,"始値"),"")</f>
        <v>333</v>
      </c>
      <c r="G131" s="183">
        <f>IF(C131&lt;&gt;"",終値!F146,"")</f>
        <v>332</v>
      </c>
      <c r="H131" s="184">
        <f>IF(C131&lt;&gt;"",_xll.RssMarket(C131,"高値"),"")</f>
        <v>361</v>
      </c>
      <c r="I131" s="184">
        <f>IF(C131&lt;&gt;"",_xll.RssMarket(C131,"安値"),"")</f>
        <v>333</v>
      </c>
      <c r="J131" s="184">
        <f>IF(C131&lt;&gt;"",_xll.RssMarket(C131,"出来高"),"")</f>
        <v>331200</v>
      </c>
      <c r="K131" s="184">
        <f>IF(C131&lt;&gt;"",_xll.RssMarket(C131,"年初来高値"),"")</f>
        <v>995</v>
      </c>
      <c r="L131" s="185">
        <f t="shared" ref="L131:L194" si="44">IF(AND(E131&lt;&gt;"",K131&lt;&gt;"",K131&lt;&gt;0),(E131-K131)/K131*100,"")</f>
        <v>-64.824120603015075</v>
      </c>
      <c r="M131" s="184">
        <f>IF(C131&lt;&gt;"",IFERROR(AVERAGE(出来高!E146:I146),""),"")</f>
        <v>306280</v>
      </c>
      <c r="N131" s="184">
        <f>IF(C131&lt;&gt;"",IFERROR(AVERAGE(出来高!E146:AC146),""),"")</f>
        <v>727752</v>
      </c>
      <c r="O131" s="186">
        <f t="shared" ref="O131:O194" si="45">IF(AND(J131&lt;&gt;"",M131&lt;&gt;"",M131&lt;&gt;0),J131/M131,"")</f>
        <v>1.0813634582734752</v>
      </c>
      <c r="P131" s="181" t="str">
        <f t="shared" ref="P131:P194" si="46">IF(O131="","",IF(O131&gt;=2,"急増↑↑",IF(O131&gt;=1.5,"増加↑",IF(O131&gt;=1,"普通→","減少↓"))))</f>
        <v>普通→</v>
      </c>
      <c r="Q131" s="181" t="str">
        <f t="shared" ref="Q131:Q194" si="47">IF(E131="","",IF(AND(E131&gt;G131,O131&gt;=1.5),"買い▲",IF(E131&lt;G131,"様子見▼","中立→")))</f>
        <v>中立→</v>
      </c>
      <c r="R131" s="184">
        <f t="shared" si="39"/>
        <v>378</v>
      </c>
      <c r="S131" s="184">
        <f t="shared" si="40"/>
        <v>336</v>
      </c>
      <c r="T131" s="181">
        <f t="shared" si="29"/>
        <v>3</v>
      </c>
      <c r="U131" s="181" t="str">
        <f t="shared" si="41"/>
        <v>要確認</v>
      </c>
      <c r="V131" s="181" t="str">
        <f t="shared" ref="V131:V194" si="48">IF(AND(H131&lt;&gt;"",K131&lt;&gt;""),IF(H131&gt;=K131,"年初来高値更新●",IF(H131&gt;=K131*0.95,"高値圏","通常")),"")</f>
        <v>通常</v>
      </c>
      <c r="W131" s="187">
        <f t="array" ref="W131">IF(C131&lt;&gt;"",IFERROR(100-100/(1+SUMPRODUCT((終値!F146:R146&gt;終値!G146:S146)*( 終値!F146:R146-終値!G146:S146))/SUMPRODUCT((終値!F146:R146&lt;終値!G146:S146)*(終値!G146:S146-終値!F146:R146))),50),"")</f>
        <v>23.831775700934571</v>
      </c>
      <c r="X131" s="188">
        <f>IF(C131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-15.107308180656503</v>
      </c>
      <c r="Y131" s="1" t="str">
        <f>IF(T131="","",IF(銘柄管理!$F$5="下落▼",IF(AND(AD131="パーフェクト▲",OR(AE131="25日線押し目●",AE131="5日線押し目○")),"★逆張り候補",IF(AND(AD131="上昇トレンド▲",OR(AE131="25日線押し目●",AE131="5日線押し目○")),"○逆張り候補",IF(W131&lt;=30,IF(Z131&gt;0,"◎反発確認",IF(Z131&lt;-5,"△要注意・様子見","△売られ過ぎ注目")),"相場下落・見送り"))),IF(AND(T131&gt;=12,AD131="パーフェクト▲"),"★強い買い",IF(AND(T131&gt;=12,AD131="上昇トレンド▲"),"★強い買い",IF(AND(T131&gt;=8,OR(AE131="25日線押し目●",AE131="5日線押し目○")),"◎押し目買い",IF(T131&gt;=10,"○買い候補",IF(T131&gt;=6,"△注目",IF(T131&gt;=3,"様子見","見送り"))))))))</f>
        <v>様子見</v>
      </c>
      <c r="Z131" s="189">
        <f t="shared" si="42"/>
        <v>5.4216867469879517</v>
      </c>
      <c r="AA131" s="181" t="str">
        <f t="shared" si="43"/>
        <v>上昇▲</v>
      </c>
      <c r="AB131" s="499">
        <f>IF(C131="","",IFERROR(((終値!E133*0.333)+(終値!F133*0.222)+(終値!G133*0.148)+(終値!H133*0.099)+(終値!I133*0.066)+(終値!J133*0.044)+(終値!K133*0.029)+(終値!L133*0.019)+(終値!M133*0.013)+(終値!N133*0.009))/(0.333+0.222+0.148+0.099+0.066+0.044+0.029+0.019+0.013+0.009),""))</f>
        <v>4183.2281059063125</v>
      </c>
      <c r="AC131" s="499">
        <f>IF(C131="","",IFERROR(SUMPRODUCT((終値!E133:AC133)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3861.5053635280087</v>
      </c>
      <c r="AD131" s="500" t="str">
        <f t="shared" ref="AD131:AD162" si="49">IF(OR(C131="",AB131="",AC131=""),"",IF(AND(E131&gt;AB131,AB131&gt;AC131),"パーフェクト▲",IF(E131&gt;AC131,"上昇トレンド▲",IF(AND(E131&lt;AB131,AB131&lt;AC131),"下降トレンド▼","もみ合い→"))))</f>
        <v>もみ合い→</v>
      </c>
      <c r="AE131" s="500" t="str">
        <f t="shared" ref="AE131:AE162" si="50">IF(OR(C131="",AB131="",AC131=""),"",IF(AND(ABS(E131-AC131)/AC131&lt;=0.02,E131&gt;AC131),"25日押し目★",IF(AND(ABS(E131-AB131)/AB131&lt;=0.01,E131&gt;AB131),"5日押し目○","なし")))</f>
        <v>なし</v>
      </c>
      <c r="AF131" s="403" cm="1">
        <f t="array" ref="AF131">IF(C131="","",IFERROR((INDEX(終値!$E:$E,MATCH(TEXT(C131,"0"),終値!$A:$A,0))-INDEX(終値!$E:$BL,MATCH(TEXT(C131,"0"),終値!$A:$A,0),$AL$2))/INDEX(終値!$E:$BL,MATCH(TEXT(C131,"0"),終値!$A:$A,0),$AL$2)*100,""))</f>
        <v>-14.841849148418493</v>
      </c>
      <c r="AG131" s="403" cm="1">
        <f t="array" ref="AG131">IFERROR((終値!$E$5-INDEX(終値!$E$5:$BL$5,1,$AL$2))/INDEX(終値!$E$5:$BL$5,1,$AL$2)*100,"")</f>
        <v>3.4532270246721688</v>
      </c>
      <c r="AH131" s="404">
        <f t="shared" si="30"/>
        <v>-18.295076173090663</v>
      </c>
      <c r="AI131" s="402">
        <f t="shared" si="31"/>
        <v>-2</v>
      </c>
    </row>
    <row r="132" spans="1:35" s="192" customFormat="1" ht="18" customHeight="1">
      <c r="A132" s="181" t="str">
        <f>IF(銘柄管理!B156&lt;&gt;"",HYPERLINK("https://kabutan.jp/stock/?code="&amp;銘柄管理!B156,"株探"),"")</f>
        <v>株探</v>
      </c>
      <c r="B132" s="182"/>
      <c r="C132" s="183">
        <f>IF(銘柄管理!B156="","",銘柄管理!B156)</f>
        <v>4088</v>
      </c>
      <c r="D132" s="111" t="str">
        <f>IF(銘柄管理!C156="","",銘柄管理!C156)</f>
        <v>エア・ウォーター</v>
      </c>
      <c r="E132" s="184">
        <f>IF(C132&lt;&gt;"",_xll.RssMarket(C132,"現在値"),"")</f>
        <v>2490</v>
      </c>
      <c r="F132" s="184">
        <f>IF(C132&lt;&gt;"",_xll.RssMarket(C132,"始値"),"")</f>
        <v>2500</v>
      </c>
      <c r="G132" s="183">
        <f>IF(C132&lt;&gt;"",終値!F156,"")</f>
        <v>2520</v>
      </c>
      <c r="H132" s="184">
        <f>IF(C132&lt;&gt;"",_xll.RssMarket(C132,"高値"),"")</f>
        <v>2530</v>
      </c>
      <c r="I132" s="184">
        <f>IF(C132&lt;&gt;"",_xll.RssMarket(C132,"安値"),"")</f>
        <v>2478</v>
      </c>
      <c r="J132" s="184">
        <f>IF(C132&lt;&gt;"",_xll.RssMarket(C132,"出来高"),"")</f>
        <v>546500</v>
      </c>
      <c r="K132" s="184">
        <f>IF(C132&lt;&gt;"",_xll.RssMarket(C132,"年初来高値"),"")</f>
        <v>2678</v>
      </c>
      <c r="L132" s="185">
        <f t="shared" si="44"/>
        <v>-7.0201643017177</v>
      </c>
      <c r="M132" s="184">
        <f>IF(C132&lt;&gt;"",IFERROR(AVERAGE(出来高!E156:I156),""),"")</f>
        <v>880920</v>
      </c>
      <c r="N132" s="184">
        <f>IF(C132&lt;&gt;"",IFERROR(AVERAGE(出来高!E156:AC156),""),"")</f>
        <v>3555748</v>
      </c>
      <c r="O132" s="186">
        <f t="shared" si="45"/>
        <v>0.62037415429323883</v>
      </c>
      <c r="P132" s="181" t="str">
        <f t="shared" si="46"/>
        <v>減少↓</v>
      </c>
      <c r="Q132" s="181" t="str">
        <f t="shared" si="47"/>
        <v>様子見▼</v>
      </c>
      <c r="R132" s="184">
        <f t="shared" si="39"/>
        <v>2689</v>
      </c>
      <c r="S132" s="184">
        <f t="shared" si="40"/>
        <v>2390</v>
      </c>
      <c r="T132" s="181">
        <f t="shared" ref="T132:T195" si="51">IF(C132="","",IFERROR(IF(O132&gt;=2,3,IF(O132&gt;=1.5,2,IF(O132&gt;=1,1,0)))+IF(E132&gt;G132,1,0)+IF(L132&gt;=-5,1,0)+IF(Q132="買い▲",2,0)+IF(W132&lt;=30,3,IF(W132&lt;=40,2,IF(AND(W132&gt;=40,W132&lt;=60),1,0)))+IF(X132&gt;0,1,0)+IF(V132="年初来高値更新●",3,IF(V132="高値圏",2,0))+IF(AD132="パーフェクト▲",3,IF(AD132="上昇トレンド▲",2,0))+IF(AE132="25日線押し目●",2,IF(AE132="5日線押し目○",1,0))+IF(P132="急増↑↑",2,IF(P132="増加↑",1,0))+N(AI132),0))</f>
        <v>5</v>
      </c>
      <c r="U132" s="181" t="str">
        <f t="shared" si="41"/>
        <v>要確認</v>
      </c>
      <c r="V132" s="181" t="str">
        <f t="shared" si="48"/>
        <v>通常</v>
      </c>
      <c r="W132" s="187">
        <f t="array" ref="W132">IF(C132&lt;&gt;"",IFERROR(100-100/(1+SUMPRODUCT((終値!F156:R156&gt;終値!G156:S156)*( 終値!F156:R156-終値!G156:S156))/SUMPRODUCT((終値!F156:R156&lt;終値!G156:S156)*(終値!G156:S156-終値!F156:R156))),50),"")</f>
        <v>50.404858299595148</v>
      </c>
      <c r="X132" s="188">
        <f>IF(C132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2.862660653799594</v>
      </c>
      <c r="Y132" s="1" t="str">
        <f>IF(T132="","",IF(銘柄管理!$F$5="下落▼",IF(AND(AD132="パーフェクト▲",OR(AE132="25日線押し目●",AE132="5日線押し目○")),"★逆張り候補",IF(AND(AD132="上昇トレンド▲",OR(AE132="25日線押し目●",AE132="5日線押し目○")),"○逆張り候補",IF(W132&lt;=30,IF(Z132&gt;0,"◎反発確認",IF(Z132&lt;-5,"△要注意・様子見","△売られ過ぎ注目")),"相場下落・見送り"))),IF(AND(T132&gt;=12,AD132="パーフェクト▲"),"★強い買い",IF(AND(T132&gt;=12,AD132="上昇トレンド▲"),"★強い買い",IF(AND(T132&gt;=8,OR(AE132="25日線押し目●",AE132="5日線押し目○")),"◎押し目買い",IF(T132&gt;=10,"○買い候補",IF(T132&gt;=6,"△注目",IF(T132&gt;=3,"様子見","見送り"))))))))</f>
        <v>様子見</v>
      </c>
      <c r="Z132" s="189">
        <f t="shared" si="42"/>
        <v>-1.1904761904761905</v>
      </c>
      <c r="AA132" s="181" t="str">
        <f t="shared" si="43"/>
        <v>下落▼</v>
      </c>
      <c r="AB132" s="497">
        <f>IF(C132="","",IFERROR(((終値!E134*0.333)+(終値!F134*0.222)+(終値!G134*0.148)+(終値!H134*0.099)+(終値!I134*0.066)+(終値!J134*0.044)+(終値!K134*0.029)+(終値!L134*0.019)+(終値!M134*0.013)+(終値!N134*0.009))/(0.333+0.222+0.148+0.099+0.066+0.044+0.029+0.019+0.013+0.009),""))</f>
        <v>20124.28716904276</v>
      </c>
      <c r="AC132" s="497">
        <f>IF(C132="","",IFERROR(SUMPRODUCT((終値!E134:AC134)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21368.760429082238</v>
      </c>
      <c r="AD132" s="498" t="str">
        <f t="shared" si="49"/>
        <v>下降トレンド▼</v>
      </c>
      <c r="AE132" s="498" t="str">
        <f t="shared" si="50"/>
        <v>なし</v>
      </c>
      <c r="AF132" s="403" cm="1">
        <f t="array" ref="AF132">IF(C132="","",IFERROR((INDEX(終値!$E:$E,MATCH(TEXT(C132,"0"),終値!$A:$A,0))-INDEX(終値!$E:$BL,MATCH(TEXT(C132,"0"),終値!$A:$A,0),$AL$2))/INDEX(終値!$E:$BL,MATCH(TEXT(C132,"0"),終値!$A:$A,0),$AL$2)*100,""))</f>
        <v>14.27260211106012</v>
      </c>
      <c r="AG132" s="403" cm="1">
        <f t="array" ref="AG132">IFERROR((終値!$E$5-INDEX(終値!$E$5:$BL$5,1,$AL$2))/INDEX(終値!$E$5:$BL$5,1,$AL$2)*100,"")</f>
        <v>3.4532270246721688</v>
      </c>
      <c r="AH132" s="404">
        <f t="shared" ref="AH132:AH195" si="52">IF(OR(AF132="",AG132=""),"",AF132-AG132)</f>
        <v>10.819375086387952</v>
      </c>
      <c r="AI132" s="402">
        <f t="shared" ref="AI132:AI195" si="53">IF(AH132="","",IF(AH132&gt;5,3,IF(AH132&gt;0,1,IF(AH132&gt;-3,-1,-2))))</f>
        <v>3</v>
      </c>
    </row>
    <row r="133" spans="1:35" s="192" customFormat="1" ht="18" customHeight="1">
      <c r="A133" s="181" t="str">
        <f>IF(銘柄管理!B165&lt;&gt;"",HYPERLINK("https://kabutan.jp/stock/?code="&amp;銘柄管理!B165,"株探"),"")</f>
        <v>株探</v>
      </c>
      <c r="B133" s="182"/>
      <c r="C133" s="183">
        <f>IF(銘柄管理!B165="","",銘柄管理!B165)</f>
        <v>4733</v>
      </c>
      <c r="D133" s="111" t="str">
        <f>IF(銘柄管理!C165="","",銘柄管理!C165)</f>
        <v>オービックビジネスＣ</v>
      </c>
      <c r="E133" s="184">
        <f>IF(C133&lt;&gt;"",_xll.RssMarket(C133,"現在値"),"")</f>
        <v>5893</v>
      </c>
      <c r="F133" s="184">
        <f>IF(C133&lt;&gt;"",_xll.RssMarket(C133,"始値"),"")</f>
        <v>5844</v>
      </c>
      <c r="G133" s="183">
        <f>IF(C133&lt;&gt;"",終値!F165,"")</f>
        <v>5841</v>
      </c>
      <c r="H133" s="184">
        <f>IF(C133&lt;&gt;"",_xll.RssMarket(C133,"高値"),"")</f>
        <v>5939</v>
      </c>
      <c r="I133" s="184">
        <f>IF(C133&lt;&gt;"",_xll.RssMarket(C133,"安値"),"")</f>
        <v>5824</v>
      </c>
      <c r="J133" s="184">
        <f>IF(C133&lt;&gt;"",_xll.RssMarket(C133,"出来高"),"")</f>
        <v>292500</v>
      </c>
      <c r="K133" s="184">
        <f>IF(C133&lt;&gt;"",_xll.RssMarket(C133,"年初来高値"),"")</f>
        <v>8595</v>
      </c>
      <c r="L133" s="185">
        <f t="shared" si="44"/>
        <v>-31.436881908086097</v>
      </c>
      <c r="M133" s="184">
        <f>IF(C133&lt;&gt;"",IFERROR(AVERAGE(出来高!E165:I165),""),"")</f>
        <v>243620</v>
      </c>
      <c r="N133" s="184">
        <f>IF(C133&lt;&gt;"",IFERROR(AVERAGE(出来高!E165:AC165),""),"")</f>
        <v>231932</v>
      </c>
      <c r="O133" s="186">
        <f t="shared" si="45"/>
        <v>1.2006403415154749</v>
      </c>
      <c r="P133" s="181" t="str">
        <f t="shared" si="46"/>
        <v>普通→</v>
      </c>
      <c r="Q133" s="181" t="str">
        <f t="shared" si="47"/>
        <v>中立→</v>
      </c>
      <c r="R133" s="184">
        <f t="shared" ref="R133:R164" si="54">IF(E133&lt;&gt;"",ROUND(E133*1.08,0),"")</f>
        <v>6364</v>
      </c>
      <c r="S133" s="184">
        <f t="shared" ref="S133:S164" si="55">IF(E133&lt;&gt;"",ROUND(E133*0.96,0),"")</f>
        <v>5657</v>
      </c>
      <c r="T133" s="181">
        <f t="shared" si="51"/>
        <v>3</v>
      </c>
      <c r="U133" s="181" t="str">
        <f t="shared" ref="U133:U164" si="56">IF(T133="","",IF(AND(T133&gt;=3,O133&gt;=1.5),"有効",IF(T133&gt;=3,"要確認","除外")))</f>
        <v>要確認</v>
      </c>
      <c r="V133" s="181" t="str">
        <f t="shared" si="48"/>
        <v>通常</v>
      </c>
      <c r="W133" s="187">
        <f t="array" ref="W133">IF(C133&lt;&gt;"",IFERROR(100-100/(1+SUMPRODUCT((終値!F165:R165&gt;終値!G165:S165)*( 終値!F165:R165-終値!G165:S165))/SUMPRODUCT((終値!F165:R165&lt;終値!G165:S165)*(終値!G165:S165-終値!F165:R165))),50),"")</f>
        <v>44.54976303317536</v>
      </c>
      <c r="X133" s="188">
        <f>IF(C133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-24.443633353100267</v>
      </c>
      <c r="Y133" s="1" t="str">
        <f>IF(T133="","",IF(銘柄管理!$F$5="下落▼",IF(AND(AD133="パーフェクト▲",OR(AE133="25日線押し目●",AE133="5日線押し目○")),"★逆張り候補",IF(AND(AD133="上昇トレンド▲",OR(AE133="25日線押し目●",AE133="5日線押し目○")),"○逆張り候補",IF(W133&lt;=30,IF(Z133&gt;0,"◎反発確認",IF(Z133&lt;-5,"△要注意・様子見","△売られ過ぎ注目")),"相場下落・見送り"))),IF(AND(T133&gt;=12,AD133="パーフェクト▲"),"★強い買い",IF(AND(T133&gt;=12,AD133="上昇トレンド▲"),"★強い買い",IF(AND(T133&gt;=8,OR(AE133="25日線押し目●",AE133="5日線押し目○")),"◎押し目買い",IF(T133&gt;=10,"○買い候補",IF(T133&gt;=6,"△注目",IF(T133&gt;=3,"様子見","見送り"))))))))</f>
        <v>様子見</v>
      </c>
      <c r="Z133" s="189">
        <f t="shared" ref="Z133:Z164" si="57">IF(AND(E133&lt;&gt;"",G133&lt;&gt;"",G133&lt;&gt;0),(E133-G133)/G133*100,"")</f>
        <v>0.89025851737716144</v>
      </c>
      <c r="AA133" s="181" t="str">
        <f t="shared" ref="AA133:AA164" si="58">IF(OR(C133="",E133="",E133=0),"",IF(E133&gt;G133,"上昇▲",IF(E133&lt;G133,"下落▼","横ばい→")))</f>
        <v>上昇▲</v>
      </c>
      <c r="AB133" s="499">
        <f>IF(C133="","",IFERROR(((終値!E135*0.333)+(終値!F135*0.222)+(終値!G135*0.148)+(終値!H135*0.099)+(終値!I135*0.066)+(終値!J135*0.044)+(終値!K135*0.029)+(終値!L135*0.019)+(終値!M135*0.013)+(終値!N135*0.009))/(0.333+0.222+0.148+0.099+0.066+0.044+0.029+0.019+0.013+0.009),""))</f>
        <v>1827.0549898167003</v>
      </c>
      <c r="AC133" s="499">
        <f>IF(C133="","",IFERROR(SUMPRODUCT((終値!E135:AC135)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2183.0786650774721</v>
      </c>
      <c r="AD133" s="500" t="str">
        <f t="shared" si="49"/>
        <v>上昇トレンド▲</v>
      </c>
      <c r="AE133" s="500" t="str">
        <f t="shared" si="50"/>
        <v>なし</v>
      </c>
      <c r="AF133" s="403" cm="1">
        <f t="array" ref="AF133">IF(C133="","",IFERROR((INDEX(終値!$E:$E,MATCH(TEXT(C133,"0"),終値!$A:$A,0))-INDEX(終値!$E:$BL,MATCH(TEXT(C133,"0"),終値!$A:$A,0),$AL$2))/INDEX(終値!$E:$BL,MATCH(TEXT(C133,"0"),終値!$A:$A,0),$AL$2)*100,""))</f>
        <v>-1.7669611601933655</v>
      </c>
      <c r="AG133" s="403" cm="1">
        <f t="array" ref="AG133">IFERROR((終値!$E$5-INDEX(終値!$E$5:$BL$5,1,$AL$2))/INDEX(終値!$E$5:$BL$5,1,$AL$2)*100,"")</f>
        <v>3.4532270246721688</v>
      </c>
      <c r="AH133" s="404">
        <f t="shared" si="52"/>
        <v>-5.2201881848655347</v>
      </c>
      <c r="AI133" s="402">
        <f t="shared" si="53"/>
        <v>-2</v>
      </c>
    </row>
    <row r="134" spans="1:35" s="192" customFormat="1" ht="18" customHeight="1">
      <c r="A134" s="181" t="str">
        <f>IF(銘柄管理!B167&lt;&gt;"",HYPERLINK("https://kabutan.jp/stock/?code="&amp;銘柄管理!B167,"株探"),"")</f>
        <v>株探</v>
      </c>
      <c r="B134" s="182"/>
      <c r="C134" s="183">
        <f>IF(銘柄管理!B167="","",銘柄管理!B167)</f>
        <v>9551</v>
      </c>
      <c r="D134" s="111" t="str">
        <f>IF(銘柄管理!C167="","",銘柄管理!C167)</f>
        <v>メタウォーター</v>
      </c>
      <c r="E134" s="184">
        <f>IF(C134&lt;&gt;"",_xll.RssMarket(C134,"現在値"),"")</f>
        <v>3410</v>
      </c>
      <c r="F134" s="184">
        <f>IF(C134&lt;&gt;"",_xll.RssMarket(C134,"始値"),"")</f>
        <v>3365</v>
      </c>
      <c r="G134" s="183">
        <f>IF(C134&lt;&gt;"",終値!F167,"")</f>
        <v>3340</v>
      </c>
      <c r="H134" s="184">
        <f>IF(C134&lt;&gt;"",_xll.RssMarket(C134,"高値"),"")</f>
        <v>3435</v>
      </c>
      <c r="I134" s="184">
        <f>IF(C134&lt;&gt;"",_xll.RssMarket(C134,"安値"),"")</f>
        <v>3350</v>
      </c>
      <c r="J134" s="184">
        <f>IF(C134&lt;&gt;"",_xll.RssMarket(C134,"出来高"),"")</f>
        <v>90900</v>
      </c>
      <c r="K134" s="184">
        <f>IF(C134&lt;&gt;"",_xll.RssMarket(C134,"年初来高値"),"")</f>
        <v>4220</v>
      </c>
      <c r="L134" s="185">
        <f t="shared" si="44"/>
        <v>-19.194312796208532</v>
      </c>
      <c r="M134" s="184">
        <f>IF(C134&lt;&gt;"",IFERROR(AVERAGE(出来高!E167:I167),""),"")</f>
        <v>109280</v>
      </c>
      <c r="N134" s="184">
        <f>IF(C134&lt;&gt;"",IFERROR(AVERAGE(出来高!E167:AC167),""),"")</f>
        <v>132120</v>
      </c>
      <c r="O134" s="186">
        <f t="shared" si="45"/>
        <v>0.83180819912152271</v>
      </c>
      <c r="P134" s="181" t="str">
        <f t="shared" si="46"/>
        <v>減少↓</v>
      </c>
      <c r="Q134" s="181" t="str">
        <f t="shared" si="47"/>
        <v>中立→</v>
      </c>
      <c r="R134" s="184">
        <f t="shared" si="54"/>
        <v>3683</v>
      </c>
      <c r="S134" s="184">
        <f t="shared" si="55"/>
        <v>3274</v>
      </c>
      <c r="T134" s="181">
        <f t="shared" si="51"/>
        <v>2</v>
      </c>
      <c r="U134" s="181" t="str">
        <f t="shared" si="56"/>
        <v>除外</v>
      </c>
      <c r="V134" s="181" t="str">
        <f t="shared" si="48"/>
        <v>通常</v>
      </c>
      <c r="W134" s="187">
        <f t="array" ref="W134">IF(C134&lt;&gt;"",IFERROR(100-100/(1+SUMPRODUCT((終値!F167:R167&gt;終値!G167:S167)*( 終値!F167:R167-終値!G167:S167))/SUMPRODUCT((終値!F167:R167&lt;終値!G167:S167)*(終値!G167:S167-終値!F167:R167))),50),"")</f>
        <v>52.941176470588232</v>
      </c>
      <c r="X134" s="188">
        <f>IF(C134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-5.6604965789542803</v>
      </c>
      <c r="Y134" s="1" t="str">
        <f>IF(T134="","",IF(銘柄管理!$F$5="下落▼",IF(AND(AD134="パーフェクト▲",OR(AE134="25日線押し目●",AE134="5日線押し目○")),"★逆張り候補",IF(AND(AD134="上昇トレンド▲",OR(AE134="25日線押し目●",AE134="5日線押し目○")),"○逆張り候補",IF(W134&lt;=30,IF(Z134&gt;0,"◎反発確認",IF(Z134&lt;-5,"△要注意・様子見","△売られ過ぎ注目")),"相場下落・見送り"))),IF(AND(T134&gt;=12,AD134="パーフェクト▲"),"★強い買い",IF(AND(T134&gt;=12,AD134="上昇トレンド▲"),"★強い買い",IF(AND(T134&gt;=8,OR(AE134="25日線押し目●",AE134="5日線押し目○")),"◎押し目買い",IF(T134&gt;=10,"○買い候補",IF(T134&gt;=6,"△注目",IF(T134&gt;=3,"様子見","見送り"))))))))</f>
        <v>見送り</v>
      </c>
      <c r="Z134" s="189">
        <f t="shared" si="57"/>
        <v>2.0958083832335328</v>
      </c>
      <c r="AA134" s="181" t="str">
        <f t="shared" si="58"/>
        <v>上昇▲</v>
      </c>
      <c r="AB134" s="497">
        <f>IF(C134="","",IFERROR(((終値!E136*0.333)+(終値!F136*0.222)+(終値!G136*0.148)+(終値!H136*0.099)+(終値!I136*0.066)+(終値!J136*0.044)+(終値!K136*0.029)+(終値!L136*0.019)+(終値!M136*0.013)+(終値!N136*0.009))/(0.333+0.222+0.148+0.099+0.066+0.044+0.029+0.019+0.013+0.009),""))</f>
        <v>1081.736252545825</v>
      </c>
      <c r="AC134" s="497">
        <f>IF(C134="","",IFERROR(SUMPRODUCT((終値!E136:AC136)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1109.3015494636468</v>
      </c>
      <c r="AD134" s="498" t="str">
        <f t="shared" si="49"/>
        <v>上昇トレンド▲</v>
      </c>
      <c r="AE134" s="498" t="str">
        <f t="shared" si="50"/>
        <v>なし</v>
      </c>
      <c r="AF134" s="403" cm="1">
        <f t="array" ref="AF134">IF(C134="","",IFERROR((INDEX(終値!$E:$E,MATCH(TEXT(C134,"0"),終値!$A:$A,0))-INDEX(終値!$E:$BL,MATCH(TEXT(C134,"0"),終値!$A:$A,0),$AL$2))/INDEX(終値!$E:$BL,MATCH(TEXT(C134,"0"),終値!$A:$A,0),$AL$2)*100,""))</f>
        <v>-0.58309037900874638</v>
      </c>
      <c r="AG134" s="403" cm="1">
        <f t="array" ref="AG134">IFERROR((終値!$E$5-INDEX(終値!$E$5:$BL$5,1,$AL$2))/INDEX(終値!$E$5:$BL$5,1,$AL$2)*100,"")</f>
        <v>3.4532270246721688</v>
      </c>
      <c r="AH134" s="404">
        <f t="shared" si="52"/>
        <v>-4.0363174036809149</v>
      </c>
      <c r="AI134" s="402">
        <f t="shared" si="53"/>
        <v>-2</v>
      </c>
    </row>
    <row r="135" spans="1:35" s="192" customFormat="1" ht="18" customHeight="1">
      <c r="A135" s="181" t="str">
        <f>IF(銘柄管理!B168&lt;&gt;"",HYPERLINK("https://kabutan.jp/stock/?code="&amp;銘柄管理!B168,"株探"),"")</f>
        <v>株探</v>
      </c>
      <c r="B135" s="182"/>
      <c r="C135" s="183">
        <f>IF(銘柄管理!B168="","",銘柄管理!B168)</f>
        <v>2359</v>
      </c>
      <c r="D135" s="111" t="str">
        <f>IF(銘柄管理!C168="","",銘柄管理!C168)</f>
        <v>コア</v>
      </c>
      <c r="E135" s="184">
        <f>IF(C135&lt;&gt;"",_xll.RssMarket(C135,"現在値"),"")</f>
        <v>2020</v>
      </c>
      <c r="F135" s="184">
        <f>IF(C135&lt;&gt;"",_xll.RssMarket(C135,"始値"),"")</f>
        <v>2010</v>
      </c>
      <c r="G135" s="183">
        <f>IF(C135&lt;&gt;"",終値!F168,"")</f>
        <v>2005</v>
      </c>
      <c r="H135" s="184">
        <f>IF(C135&lt;&gt;"",_xll.RssMarket(C135,"高値"),"")</f>
        <v>2030</v>
      </c>
      <c r="I135" s="184">
        <f>IF(C135&lt;&gt;"",_xll.RssMarket(C135,"安値"),"")</f>
        <v>2007</v>
      </c>
      <c r="J135" s="184">
        <f>IF(C135&lt;&gt;"",_xll.RssMarket(C135,"出来高"),"")</f>
        <v>13800</v>
      </c>
      <c r="K135" s="184">
        <f>IF(C135&lt;&gt;"",_xll.RssMarket(C135,"年初来高値"),"")</f>
        <v>2348</v>
      </c>
      <c r="L135" s="185">
        <f t="shared" si="44"/>
        <v>-13.969335604770016</v>
      </c>
      <c r="M135" s="184">
        <f>IF(C135&lt;&gt;"",IFERROR(AVERAGE(出来高!E168:I168),""),"")</f>
        <v>19180</v>
      </c>
      <c r="N135" s="184">
        <f>IF(C135&lt;&gt;"",IFERROR(AVERAGE(出来高!E168:AC168),""),"")</f>
        <v>24684</v>
      </c>
      <c r="O135" s="186">
        <f t="shared" si="45"/>
        <v>0.71949947862356622</v>
      </c>
      <c r="P135" s="181" t="str">
        <f t="shared" si="46"/>
        <v>減少↓</v>
      </c>
      <c r="Q135" s="181" t="str">
        <f t="shared" si="47"/>
        <v>中立→</v>
      </c>
      <c r="R135" s="184">
        <f t="shared" si="54"/>
        <v>2182</v>
      </c>
      <c r="S135" s="184">
        <f t="shared" si="55"/>
        <v>1939</v>
      </c>
      <c r="T135" s="181">
        <f t="shared" si="51"/>
        <v>3</v>
      </c>
      <c r="U135" s="181" t="str">
        <f t="shared" si="56"/>
        <v>要確認</v>
      </c>
      <c r="V135" s="181" t="str">
        <f t="shared" si="48"/>
        <v>通常</v>
      </c>
      <c r="W135" s="187">
        <f t="array" ref="W135">IF(C135&lt;&gt;"",IFERROR(100-100/(1+SUMPRODUCT((終値!F168:R168&gt;終値!G168:S168)*( 終値!F168:R168-終値!G168:S168))/SUMPRODUCT((終値!F168:R168&lt;終値!G168:S168)*(終値!G168:S168-終値!F168:R168))),50),"")</f>
        <v>35.646687697160885</v>
      </c>
      <c r="X135" s="188">
        <f>IF(C135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-7.3144257062003817</v>
      </c>
      <c r="Y135" s="1" t="str">
        <f>IF(T135="","",IF(銘柄管理!$F$5="下落▼",IF(AND(AD135="パーフェクト▲",OR(AE135="25日線押し目●",AE135="5日線押し目○")),"★逆張り候補",IF(AND(AD135="上昇トレンド▲",OR(AE135="25日線押し目●",AE135="5日線押し目○")),"○逆張り候補",IF(W135&lt;=30,IF(Z135&gt;0,"◎反発確認",IF(Z135&lt;-5,"△要注意・様子見","△売られ過ぎ注目")),"相場下落・見送り"))),IF(AND(T135&gt;=12,AD135="パーフェクト▲"),"★強い買い",IF(AND(T135&gt;=12,AD135="上昇トレンド▲"),"★強い買い",IF(AND(T135&gt;=8,OR(AE135="25日線押し目●",AE135="5日線押し目○")),"◎押し目買い",IF(T135&gt;=10,"○買い候補",IF(T135&gt;=6,"△注目",IF(T135&gt;=3,"様子見","見送り"))))))))</f>
        <v>様子見</v>
      </c>
      <c r="Z135" s="189">
        <f t="shared" si="57"/>
        <v>0.74812967581047385</v>
      </c>
      <c r="AA135" s="181" t="str">
        <f t="shared" si="58"/>
        <v>上昇▲</v>
      </c>
      <c r="AB135" s="499">
        <f>IF(C135="","",IFERROR(((終値!E137*0.333)+(終値!F137*0.222)+(終値!G137*0.148)+(終値!H137*0.099)+(終値!I137*0.066)+(終値!J137*0.044)+(終値!K137*0.029)+(終値!L137*0.019)+(終値!M137*0.013)+(終値!N137*0.009))/(0.333+0.222+0.148+0.099+0.066+0.044+0.029+0.019+0.013+0.009),""))</f>
        <v>333.27698574338081</v>
      </c>
      <c r="AC135" s="499">
        <f>IF(C135="","",IFERROR(SUMPRODUCT((終値!E137:AC137)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368.60071513706771</v>
      </c>
      <c r="AD135" s="500" t="str">
        <f t="shared" si="49"/>
        <v>上昇トレンド▲</v>
      </c>
      <c r="AE135" s="500" t="str">
        <f t="shared" si="50"/>
        <v>なし</v>
      </c>
      <c r="AF135" s="403" cm="1">
        <f t="array" ref="AF135">IF(C135="","",IFERROR((INDEX(終値!$E:$E,MATCH(TEXT(C135,"0"),終値!$A:$A,0))-INDEX(終値!$E:$BL,MATCH(TEXT(C135,"0"),終値!$A:$A,0),$AL$2))/INDEX(終値!$E:$BL,MATCH(TEXT(C135,"0"),終値!$A:$A,0),$AL$2)*100,""))</f>
        <v>-2.1317829457364339</v>
      </c>
      <c r="AG135" s="403" cm="1">
        <f t="array" ref="AG135">IFERROR((終値!$E$5-INDEX(終値!$E$5:$BL$5,1,$AL$2))/INDEX(終値!$E$5:$BL$5,1,$AL$2)*100,"")</f>
        <v>3.4532270246721688</v>
      </c>
      <c r="AH135" s="404">
        <f t="shared" si="52"/>
        <v>-5.5850099704086027</v>
      </c>
      <c r="AI135" s="402">
        <f t="shared" si="53"/>
        <v>-2</v>
      </c>
    </row>
    <row r="136" spans="1:35" s="192" customFormat="1" ht="18" customHeight="1">
      <c r="A136" s="181" t="str">
        <f>IF(銘柄管理!B169&lt;&gt;"",HYPERLINK("https://kabutan.jp/stock/?code="&amp;銘柄管理!B169,"株探"),"")</f>
        <v>株探</v>
      </c>
      <c r="B136" s="182"/>
      <c r="C136" s="183">
        <f>IF(銘柄管理!B169="","",銘柄管理!B169)</f>
        <v>8103</v>
      </c>
      <c r="D136" s="111" t="str">
        <f>IF(銘柄管理!C169="","",銘柄管理!C169)</f>
        <v>明和産業</v>
      </c>
      <c r="E136" s="184">
        <f>IF(C136&lt;&gt;"",_xll.RssMarket(C136,"現在値"),"")</f>
        <v>873</v>
      </c>
      <c r="F136" s="184">
        <f>IF(C136&lt;&gt;"",_xll.RssMarket(C136,"始値"),"")</f>
        <v>876</v>
      </c>
      <c r="G136" s="183">
        <f>IF(C136&lt;&gt;"",終値!F169,"")</f>
        <v>872</v>
      </c>
      <c r="H136" s="184">
        <f>IF(C136&lt;&gt;"",_xll.RssMarket(C136,"高値"),"")</f>
        <v>886</v>
      </c>
      <c r="I136" s="184">
        <f>IF(C136&lt;&gt;"",_xll.RssMarket(C136,"安値"),"")</f>
        <v>872</v>
      </c>
      <c r="J136" s="184">
        <f>IF(C136&lt;&gt;"",_xll.RssMarket(C136,"出来高"),"")</f>
        <v>141300</v>
      </c>
      <c r="K136" s="184">
        <f>IF(C136&lt;&gt;"",_xll.RssMarket(C136,"年初来高値"),"")</f>
        <v>1041</v>
      </c>
      <c r="L136" s="185">
        <f t="shared" si="44"/>
        <v>-16.138328530259365</v>
      </c>
      <c r="M136" s="184">
        <f>IF(C136&lt;&gt;"",IFERROR(AVERAGE(出来高!E169:I169),""),"")</f>
        <v>250280</v>
      </c>
      <c r="N136" s="184">
        <f>IF(C136&lt;&gt;"",IFERROR(AVERAGE(出来高!E169:AC169),""),"")</f>
        <v>297000</v>
      </c>
      <c r="O136" s="186">
        <f t="shared" si="45"/>
        <v>0.56456768419370307</v>
      </c>
      <c r="P136" s="181" t="str">
        <f t="shared" si="46"/>
        <v>減少↓</v>
      </c>
      <c r="Q136" s="181" t="str">
        <f t="shared" si="47"/>
        <v>中立→</v>
      </c>
      <c r="R136" s="184">
        <f t="shared" si="54"/>
        <v>943</v>
      </c>
      <c r="S136" s="184">
        <f t="shared" si="55"/>
        <v>838</v>
      </c>
      <c r="T136" s="181">
        <f t="shared" si="51"/>
        <v>2</v>
      </c>
      <c r="U136" s="181" t="str">
        <f t="shared" si="56"/>
        <v>除外</v>
      </c>
      <c r="V136" s="181" t="str">
        <f t="shared" si="48"/>
        <v>通常</v>
      </c>
      <c r="W136" s="187">
        <f t="array" ref="W136">IF(C136&lt;&gt;"",IFERROR(100-100/(1+SUMPRODUCT((終値!F169:R169&gt;終値!G169:S169)*( 終値!F169:R169-終値!G169:S169))/SUMPRODUCT((終値!F169:R169&lt;終値!G169:S169)*(終値!G169:S169-終値!F169:R169))),50),"")</f>
        <v>29.411764705882362</v>
      </c>
      <c r="X136" s="188">
        <f>IF(C136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-3.4961689865025392</v>
      </c>
      <c r="Y136" s="1" t="str">
        <f>IF(T136="","",IF(銘柄管理!$F$5="下落▼",IF(AND(AD136="パーフェクト▲",OR(AE136="25日線押し目●",AE136="5日線押し目○")),"★逆張り候補",IF(AND(AD136="上昇トレンド▲",OR(AE136="25日線押し目●",AE136="5日線押し目○")),"○逆張り候補",IF(W136&lt;=30,IF(Z136&gt;0,"◎反発確認",IF(Z136&lt;-5,"△要注意・様子見","△売られ過ぎ注目")),"相場下落・見送り"))),IF(AND(T136&gt;=12,AD136="パーフェクト▲"),"★強い買い",IF(AND(T136&gt;=12,AD136="上昇トレンド▲"),"★強い買い",IF(AND(T136&gt;=8,OR(AE136="25日線押し目●",AE136="5日線押し目○")),"◎押し目買い",IF(T136&gt;=10,"○買い候補",IF(T136&gt;=6,"△注目",IF(T136&gt;=3,"様子見","見送り"))))))))</f>
        <v>見送り</v>
      </c>
      <c r="Z136" s="189">
        <f t="shared" si="57"/>
        <v>0.11467889908256881</v>
      </c>
      <c r="AA136" s="181" t="str">
        <f t="shared" si="58"/>
        <v>上昇▲</v>
      </c>
      <c r="AB136" s="497">
        <f>IF(C136="","",IFERROR(((終値!E138*0.333)+(終値!F138*0.222)+(終値!G138*0.148)+(終値!H138*0.099)+(終値!I138*0.066)+(終値!J138*0.044)+(終値!K138*0.029)+(終値!L138*0.019)+(終値!M138*0.013)+(終値!N138*0.009))/(0.333+0.222+0.148+0.099+0.066+0.044+0.029+0.019+0.013+0.009),""))</f>
        <v>1184.3798370672098</v>
      </c>
      <c r="AC136" s="497">
        <f>IF(C136="","",IFERROR(SUMPRODUCT((終値!E138:AC138)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1306.8736591179972</v>
      </c>
      <c r="AD136" s="498" t="str">
        <f t="shared" si="49"/>
        <v>下降トレンド▼</v>
      </c>
      <c r="AE136" s="498" t="str">
        <f t="shared" si="50"/>
        <v>なし</v>
      </c>
      <c r="AF136" s="403" cm="1">
        <f t="array" ref="AF136">IF(C136="","",IFERROR((INDEX(終値!$E:$E,MATCH(TEXT(C136,"0"),終値!$A:$A,0))-INDEX(終値!$E:$BL,MATCH(TEXT(C136,"0"),終値!$A:$A,0),$AL$2))/INDEX(終値!$E:$BL,MATCH(TEXT(C136,"0"),終値!$A:$A,0),$AL$2)*100,""))</f>
        <v>-3.2150776053215075</v>
      </c>
      <c r="AG136" s="403" cm="1">
        <f t="array" ref="AG136">IFERROR((終値!$E$5-INDEX(終値!$E$5:$BL$5,1,$AL$2))/INDEX(終値!$E$5:$BL$5,1,$AL$2)*100,"")</f>
        <v>3.4532270246721688</v>
      </c>
      <c r="AH136" s="404">
        <f t="shared" si="52"/>
        <v>-6.6683046299936759</v>
      </c>
      <c r="AI136" s="402">
        <f t="shared" si="53"/>
        <v>-2</v>
      </c>
    </row>
    <row r="137" spans="1:35" s="192" customFormat="1" ht="18" customHeight="1">
      <c r="A137" s="181" t="str">
        <f>IF(銘柄管理!B177&lt;&gt;"",HYPERLINK("https://kabutan.jp/stock/?code="&amp;銘柄管理!B177,"株探"),"")</f>
        <v>株探</v>
      </c>
      <c r="B137" s="182"/>
      <c r="C137" s="183">
        <f>IF(銘柄管理!B177="","",銘柄管理!B177)</f>
        <v>7236</v>
      </c>
      <c r="D137" s="111" t="str">
        <f>IF(銘柄管理!C177="","",銘柄管理!C177)</f>
        <v>ティラド</v>
      </c>
      <c r="E137" s="184">
        <f>IF(C137&lt;&gt;"",_xll.RssMarket(C137,"現在値"),"")</f>
        <v>14250</v>
      </c>
      <c r="F137" s="184">
        <f>IF(C137&lt;&gt;"",_xll.RssMarket(C137,"始値"),"")</f>
        <v>14220</v>
      </c>
      <c r="G137" s="183">
        <f>IF(C137&lt;&gt;"",終値!F177,"")</f>
        <v>14230</v>
      </c>
      <c r="H137" s="184">
        <f>IF(C137&lt;&gt;"",_xll.RssMarket(C137,"高値"),"")</f>
        <v>14520</v>
      </c>
      <c r="I137" s="184">
        <f>IF(C137&lt;&gt;"",_xll.RssMarket(C137,"安値"),"")</f>
        <v>14110</v>
      </c>
      <c r="J137" s="184">
        <f>IF(C137&lt;&gt;"",_xll.RssMarket(C137,"出来高"),"")</f>
        <v>27800</v>
      </c>
      <c r="K137" s="184">
        <f>IF(C137&lt;&gt;"",_xll.RssMarket(C137,"年初来高値"),"")</f>
        <v>15900</v>
      </c>
      <c r="L137" s="185">
        <f t="shared" si="44"/>
        <v>-10.377358490566039</v>
      </c>
      <c r="M137" s="184">
        <f>IF(C137&lt;&gt;"",IFERROR(AVERAGE(出来高!E177:I177),""),"")</f>
        <v>32840</v>
      </c>
      <c r="N137" s="184">
        <f>IF(C137&lt;&gt;"",IFERROR(AVERAGE(出来高!E177:AC177),""),"")</f>
        <v>44172</v>
      </c>
      <c r="O137" s="186">
        <f t="shared" si="45"/>
        <v>0.84652862362971981</v>
      </c>
      <c r="P137" s="181" t="str">
        <f t="shared" si="46"/>
        <v>減少↓</v>
      </c>
      <c r="Q137" s="181" t="str">
        <f t="shared" si="47"/>
        <v>中立→</v>
      </c>
      <c r="R137" s="184">
        <f t="shared" si="54"/>
        <v>15390</v>
      </c>
      <c r="S137" s="184">
        <f t="shared" si="55"/>
        <v>13680</v>
      </c>
      <c r="T137" s="181">
        <f t="shared" si="51"/>
        <v>3</v>
      </c>
      <c r="U137" s="181" t="str">
        <f t="shared" si="56"/>
        <v>要確認</v>
      </c>
      <c r="V137" s="181" t="str">
        <f t="shared" si="48"/>
        <v>通常</v>
      </c>
      <c r="W137" s="187">
        <f t="array" ref="W137">IF(C137&lt;&gt;"",IFERROR(100-100/(1+SUMPRODUCT((終値!F177:R177&gt;終値!G177:S177)*( 終値!F177:R177-終値!G177:S177))/SUMPRODUCT((終値!F177:R177&lt;終値!G177:S177)*(終値!G177:S177-終値!F177:R177))),50),"")</f>
        <v>34.526854219948845</v>
      </c>
      <c r="X137" s="188">
        <f>IF(C137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-55.834165873926395</v>
      </c>
      <c r="Y137" s="1" t="str">
        <f>IF(T137="","",IF(銘柄管理!$F$5="下落▼",IF(AND(AD137="パーフェクト▲",OR(AE137="25日線押し目●",AE137="5日線押し目○")),"★逆張り候補",IF(AND(AD137="上昇トレンド▲",OR(AE137="25日線押し目●",AE137="5日線押し目○")),"○逆張り候補",IF(W137&lt;=30,IF(Z137&gt;0,"◎反発確認",IF(Z137&lt;-5,"△要注意・様子見","△売られ過ぎ注目")),"相場下落・見送り"))),IF(AND(T137&gt;=12,AD137="パーフェクト▲"),"★強い買い",IF(AND(T137&gt;=12,AD137="上昇トレンド▲"),"★強い買い",IF(AND(T137&gt;=8,OR(AE137="25日線押し目●",AE137="5日線押し目○")),"◎押し目買い",IF(T137&gt;=10,"○買い候補",IF(T137&gt;=6,"△注目",IF(T137&gt;=3,"様子見","見送り"))))))))</f>
        <v>様子見</v>
      </c>
      <c r="Z137" s="189">
        <f t="shared" si="57"/>
        <v>0.14054813773717498</v>
      </c>
      <c r="AA137" s="181" t="str">
        <f t="shared" si="58"/>
        <v>上昇▲</v>
      </c>
      <c r="AB137" s="499">
        <f>IF(C137="","",IFERROR(((終値!E139*0.333)+(終値!F139*0.222)+(終値!G139*0.148)+(終値!H139*0.099)+(終値!I139*0.066)+(終値!J139*0.044)+(終値!K139*0.029)+(終値!L139*0.019)+(終値!M139*0.013)+(終値!N139*0.009))/(0.333+0.222+0.148+0.099+0.066+0.044+0.029+0.019+0.013+0.009),""))</f>
        <v>672.94399185336033</v>
      </c>
      <c r="AC137" s="499">
        <f>IF(C137="","",IFERROR(SUMPRODUCT((終値!E139:AC139)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737.9511323003577</v>
      </c>
      <c r="AD137" s="500" t="str">
        <f t="shared" si="49"/>
        <v>上昇トレンド▲</v>
      </c>
      <c r="AE137" s="500" t="str">
        <f t="shared" si="50"/>
        <v>なし</v>
      </c>
      <c r="AF137" s="403" cm="1">
        <f t="array" ref="AF137">IF(C137="","",IFERROR((INDEX(終値!$E:$E,MATCH(TEXT(C137,"0"),終値!$A:$A,0))-INDEX(終値!$E:$BL,MATCH(TEXT(C137,"0"),終値!$A:$A,0),$AL$2))/INDEX(終値!$E:$BL,MATCH(TEXT(C137,"0"),終値!$A:$A,0),$AL$2)*100,""))</f>
        <v>-1.3840830449826991</v>
      </c>
      <c r="AG137" s="403" cm="1">
        <f t="array" ref="AG137">IFERROR((終値!$E$5-INDEX(終値!$E$5:$BL$5,1,$AL$2))/INDEX(終値!$E$5:$BL$5,1,$AL$2)*100,"")</f>
        <v>3.4532270246721688</v>
      </c>
      <c r="AH137" s="404">
        <f t="shared" si="52"/>
        <v>-4.8373100696548681</v>
      </c>
      <c r="AI137" s="402">
        <f t="shared" si="53"/>
        <v>-2</v>
      </c>
    </row>
    <row r="138" spans="1:35" s="192" customFormat="1" ht="18" customHeight="1">
      <c r="A138" s="181" t="str">
        <f>IF(銘柄管理!B193&lt;&gt;"",HYPERLINK("https://kabutan.jp/stock/?code="&amp;銘柄管理!B193,"株探"),"")</f>
        <v>株探</v>
      </c>
      <c r="B138" s="182"/>
      <c r="C138" s="183">
        <f>IF(銘柄管理!B193="","",銘柄管理!B193)</f>
        <v>5243</v>
      </c>
      <c r="D138" s="111" t="str">
        <f>IF(銘柄管理!C193="","",銘柄管理!C193)</f>
        <v>ＮＯＴＥ</v>
      </c>
      <c r="E138" s="184">
        <f>IF(C138&lt;&gt;"",_xll.RssMarket(C138,"現在値"),"")</f>
        <v>1821</v>
      </c>
      <c r="F138" s="184">
        <f>IF(C138&lt;&gt;"",_xll.RssMarket(C138,"始値"),"")</f>
        <v>1749</v>
      </c>
      <c r="G138" s="183">
        <f>IF(C138&lt;&gt;"",終値!F193,"")</f>
        <v>1728</v>
      </c>
      <c r="H138" s="184">
        <f>IF(C138&lt;&gt;"",_xll.RssMarket(C138,"高値"),"")</f>
        <v>1855</v>
      </c>
      <c r="I138" s="184">
        <f>IF(C138&lt;&gt;"",_xll.RssMarket(C138,"安値"),"")</f>
        <v>1720</v>
      </c>
      <c r="J138" s="184">
        <f>IF(C138&lt;&gt;"",_xll.RssMarket(C138,"出来高"),"")</f>
        <v>265800</v>
      </c>
      <c r="K138" s="184">
        <f>IF(C138&lt;&gt;"",_xll.RssMarket(C138,"年初来高値"),"")</f>
        <v>3405</v>
      </c>
      <c r="L138" s="185">
        <f t="shared" si="44"/>
        <v>-46.519823788546255</v>
      </c>
      <c r="M138" s="184">
        <f>IF(C138&lt;&gt;"",IFERROR(AVERAGE(出来高!E193:I193),""),"")</f>
        <v>202080</v>
      </c>
      <c r="N138" s="184">
        <f>IF(C138&lt;&gt;"",IFERROR(AVERAGE(出来高!E193:AC193),""),"")</f>
        <v>245592</v>
      </c>
      <c r="O138" s="186">
        <f t="shared" si="45"/>
        <v>1.3153206650831355</v>
      </c>
      <c r="P138" s="181" t="str">
        <f t="shared" si="46"/>
        <v>普通→</v>
      </c>
      <c r="Q138" s="181" t="str">
        <f t="shared" si="47"/>
        <v>中立→</v>
      </c>
      <c r="R138" s="184">
        <f t="shared" si="54"/>
        <v>1967</v>
      </c>
      <c r="S138" s="184">
        <f t="shared" si="55"/>
        <v>1748</v>
      </c>
      <c r="T138" s="181">
        <f t="shared" si="51"/>
        <v>5</v>
      </c>
      <c r="U138" s="181" t="str">
        <f t="shared" si="56"/>
        <v>要確認</v>
      </c>
      <c r="V138" s="181" t="str">
        <f t="shared" si="48"/>
        <v>通常</v>
      </c>
      <c r="W138" s="187">
        <f t="array" ref="W138">IF(C138&lt;&gt;"",IFERROR(100-100/(1+SUMPRODUCT((終値!F193:R193&gt;終値!G193:S193)*( 終値!F193:R193-終値!G193:S193))/SUMPRODUCT((終値!F193:R193&lt;終値!G193:S193)*(終値!G193:S193-終値!F193:R193))),50),"")</f>
        <v>20.129032258064512</v>
      </c>
      <c r="X138" s="188">
        <f>IF(C138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-66.329091024879745</v>
      </c>
      <c r="Y138" s="1" t="str">
        <f>IF(T138="","",IF(銘柄管理!$F$5="下落▼",IF(AND(AD138="パーフェクト▲",OR(AE138="25日線押し目●",AE138="5日線押し目○")),"★逆張り候補",IF(AND(AD138="上昇トレンド▲",OR(AE138="25日線押し目●",AE138="5日線押し目○")),"○逆張り候補",IF(W138&lt;=30,IF(Z138&gt;0,"◎反発確認",IF(Z138&lt;-5,"△要注意・様子見","△売られ過ぎ注目")),"相場下落・見送り"))),IF(AND(T138&gt;=12,AD138="パーフェクト▲"),"★強い買い",IF(AND(T138&gt;=12,AD138="上昇トレンド▲"),"★強い買い",IF(AND(T138&gt;=8,OR(AE138="25日線押し目●",AE138="5日線押し目○")),"◎押し目買い",IF(T138&gt;=10,"○買い候補",IF(T138&gt;=6,"△注目",IF(T138&gt;=3,"様子見","見送り"))))))))</f>
        <v>様子見</v>
      </c>
      <c r="Z138" s="189">
        <f t="shared" si="57"/>
        <v>5.3819444444444446</v>
      </c>
      <c r="AA138" s="181" t="str">
        <f t="shared" si="58"/>
        <v>上昇▲</v>
      </c>
      <c r="AB138" s="497">
        <f>IF(C138="","",IFERROR(((終値!E140*0.333)+(終値!F140*0.222)+(終値!G140*0.148)+(終値!H140*0.099)+(終値!I140*0.066)+(終値!J140*0.044)+(終値!K140*0.029)+(終値!L140*0.019)+(終値!M140*0.013)+(終値!N140*0.009))/(0.333+0.222+0.148+0.099+0.066+0.044+0.029+0.019+0.013+0.009),""))</f>
        <v>50.876782077393059</v>
      </c>
      <c r="AC138" s="497">
        <f>IF(C138="","",IFERROR(SUMPRODUCT((終値!E140:AC140)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57.576877234803312</v>
      </c>
      <c r="AD138" s="498" t="str">
        <f t="shared" si="49"/>
        <v>上昇トレンド▲</v>
      </c>
      <c r="AE138" s="498" t="str">
        <f t="shared" si="50"/>
        <v>なし</v>
      </c>
      <c r="AF138" s="403" cm="1">
        <f t="array" ref="AF138">IF(C138="","",IFERROR((INDEX(終値!$E:$E,MATCH(TEXT(C138,"0"),終値!$A:$A,0))-INDEX(終値!$E:$BL,MATCH(TEXT(C138,"0"),終値!$A:$A,0),$AL$2))/INDEX(終値!$E:$BL,MATCH(TEXT(C138,"0"),終値!$A:$A,0),$AL$2)*100,""))</f>
        <v>-20.722681758815849</v>
      </c>
      <c r="AG138" s="403" cm="1">
        <f t="array" ref="AG138">IFERROR((終値!$E$5-INDEX(終値!$E$5:$BL$5,1,$AL$2))/INDEX(終値!$E$5:$BL$5,1,$AL$2)*100,"")</f>
        <v>3.4532270246721688</v>
      </c>
      <c r="AH138" s="404">
        <f t="shared" si="52"/>
        <v>-24.175908783488019</v>
      </c>
      <c r="AI138" s="402">
        <f t="shared" si="53"/>
        <v>-2</v>
      </c>
    </row>
    <row r="139" spans="1:35" s="192" customFormat="1" ht="18" customHeight="1">
      <c r="A139" s="181" t="str">
        <f>IF(銘柄管理!B11&lt;&gt;"",HYPERLINK("https://kabutan.jp/stock/?code="&amp;銘柄管理!B11,"株探"),"")</f>
        <v>株探</v>
      </c>
      <c r="B139" s="182"/>
      <c r="C139" s="183">
        <f>IF(銘柄管理!B11="","",銘柄管理!B11)</f>
        <v>6701</v>
      </c>
      <c r="D139" s="111" t="str">
        <f>IF(銘柄管理!C11="","",銘柄管理!C11)</f>
        <v>日本電気</v>
      </c>
      <c r="E139" s="184">
        <f>IF(C139&lt;&gt;"",_xll.RssMarket(C139,"現在値"),"")</f>
        <v>3852</v>
      </c>
      <c r="F139" s="184">
        <f>IF(C139&lt;&gt;"",_xll.RssMarket(C139,"始値"),"")</f>
        <v>3877</v>
      </c>
      <c r="G139" s="183">
        <f>IF(C139&lt;&gt;"",終値!F11,"")</f>
        <v>3849</v>
      </c>
      <c r="H139" s="184">
        <f>IF(C139&lt;&gt;"",_xll.RssMarket(C139,"高値"),"")</f>
        <v>3891</v>
      </c>
      <c r="I139" s="184">
        <f>IF(C139&lt;&gt;"",_xll.RssMarket(C139,"安値"),"")</f>
        <v>3796</v>
      </c>
      <c r="J139" s="184">
        <f>IF(C139&lt;&gt;"",_xll.RssMarket(C139,"出来高"),"")</f>
        <v>5022300</v>
      </c>
      <c r="K139" s="184">
        <f>IF(C139&lt;&gt;"",_xll.RssMarket(C139,"年初来高値"),"")</f>
        <v>6036</v>
      </c>
      <c r="L139" s="185">
        <f t="shared" si="44"/>
        <v>-36.182902584493043</v>
      </c>
      <c r="M139" s="184">
        <f>IF(C139&lt;&gt;"",IFERROR(AVERAGE(出来高!E11:I11),""),"")</f>
        <v>6427080</v>
      </c>
      <c r="N139" s="184">
        <f>IF(C139&lt;&gt;"",IFERROR(AVERAGE(出来高!E11:AC11),""),"")</f>
        <v>7340648</v>
      </c>
      <c r="O139" s="186">
        <f t="shared" si="45"/>
        <v>0.78142795795291176</v>
      </c>
      <c r="P139" s="181" t="str">
        <f t="shared" si="46"/>
        <v>減少↓</v>
      </c>
      <c r="Q139" s="181" t="str">
        <f t="shared" si="47"/>
        <v>中立→</v>
      </c>
      <c r="R139" s="184">
        <f t="shared" si="54"/>
        <v>4160</v>
      </c>
      <c r="S139" s="184">
        <f t="shared" si="55"/>
        <v>3698</v>
      </c>
      <c r="T139" s="181">
        <f t="shared" si="51"/>
        <v>3</v>
      </c>
      <c r="U139" s="181" t="str">
        <f t="shared" si="56"/>
        <v>要確認</v>
      </c>
      <c r="V139" s="181" t="str">
        <f t="shared" si="48"/>
        <v>通常</v>
      </c>
      <c r="W139" s="187">
        <f t="array" ref="W139">IF(C139&lt;&gt;"",IFERROR(100-100/(1+SUMPRODUCT((終値!F11:R11&gt;終値!G11:S11)*( 終値!F11:R11-終値!G11:S11))/SUMPRODUCT((終値!F11:R11&lt;終値!G11:S11)*(終値!G11:S11-終値!F11:R11))),50),"")</f>
        <v>38.221814848762605</v>
      </c>
      <c r="X139" s="188">
        <f>IF(C139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-22.131187833098465</v>
      </c>
      <c r="Y139" s="1" t="str">
        <f>IF(T139="","",IF(銘柄管理!$F$5="下落▼",IF(AND(AD139="パーフェクト▲",OR(AE139="25日線押し目●",AE139="5日線押し目○")),"★逆張り候補",IF(AND(AD139="上昇トレンド▲",OR(AE139="25日線押し目●",AE139="5日線押し目○")),"○逆張り候補",IF(W139&lt;=30,IF(Z139&gt;0,"◎反発確認",IF(Z139&lt;-5,"△要注意・様子見","△売られ過ぎ注目")),"相場下落・見送り"))),IF(AND(T139&gt;=12,AD139="パーフェクト▲"),"★強い買い",IF(AND(T139&gt;=12,AD139="上昇トレンド▲"),"★強い買い",IF(AND(T139&gt;=8,OR(AE139="25日線押し目●",AE139="5日線押し目○")),"◎押し目買い",IF(T139&gt;=10,"○買い候補",IF(T139&gt;=6,"△注目",IF(T139&gt;=3,"様子見","見送り"))))))))</f>
        <v>様子見</v>
      </c>
      <c r="Z139" s="189">
        <f t="shared" si="57"/>
        <v>7.7942322681215898E-2</v>
      </c>
      <c r="AA139" s="181" t="str">
        <f t="shared" si="58"/>
        <v>上昇▲</v>
      </c>
      <c r="AB139" s="499">
        <f>IF(C139="","",IFERROR(((終値!E141*0.333)+(終値!F141*0.222)+(終値!G141*0.148)+(終値!H141*0.099)+(終値!I141*0.066)+(終値!J141*0.044)+(終値!K141*0.029)+(終値!L141*0.019)+(終値!M141*0.013)+(終値!N141*0.009))/(0.333+0.222+0.148+0.099+0.066+0.044+0.029+0.019+0.013+0.009),""))</f>
        <v>2468.2260692464351</v>
      </c>
      <c r="AC139" s="499">
        <f>IF(C139="","",IFERROR(SUMPRODUCT((終値!E141:AC141)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2476.2240762812871</v>
      </c>
      <c r="AD139" s="500" t="str">
        <f t="shared" si="49"/>
        <v>上昇トレンド▲</v>
      </c>
      <c r="AE139" s="500" t="str">
        <f t="shared" si="50"/>
        <v>なし</v>
      </c>
      <c r="AF139" s="403" cm="1">
        <f t="array" ref="AF139">IF(C139="","",IFERROR((INDEX(終値!$E:$E,MATCH(TEXT(C139,"0"),終値!$A:$A,0))-INDEX(終値!$E:$BL,MATCH(TEXT(C139,"0"),終値!$A:$A,0),$AL$2))/INDEX(終値!$E:$BL,MATCH(TEXT(C139,"0"),終値!$A:$A,0),$AL$2)*100,""))</f>
        <v>-4.865398863917016</v>
      </c>
      <c r="AG139" s="403" cm="1">
        <f t="array" ref="AG139">IFERROR((終値!$E$5-INDEX(終値!$E$5:$BL$5,1,$AL$2))/INDEX(終値!$E$5:$BL$5,1,$AL$2)*100,"")</f>
        <v>3.4532270246721688</v>
      </c>
      <c r="AH139" s="404">
        <f t="shared" si="52"/>
        <v>-8.3186258885891853</v>
      </c>
      <c r="AI139" s="402">
        <f t="shared" si="53"/>
        <v>-2</v>
      </c>
    </row>
    <row r="140" spans="1:35" s="192" customFormat="1" ht="18" customHeight="1">
      <c r="A140" s="181" t="str">
        <f>IF(銘柄管理!B24&lt;&gt;"",HYPERLINK("https://kabutan.jp/stock/?code="&amp;銘柄管理!B24,"株探"),"")</f>
        <v>株探</v>
      </c>
      <c r="B140" s="182"/>
      <c r="C140" s="183">
        <f>IF(銘柄管理!B24="","",銘柄管理!B24)</f>
        <v>5019</v>
      </c>
      <c r="D140" s="111" t="str">
        <f>IF(銘柄管理!C24="","",銘柄管理!C24)</f>
        <v>出光興産</v>
      </c>
      <c r="E140" s="184">
        <f>IF(C140&lt;&gt;"",_xll.RssMarket(C140,"現在値"),"")</f>
        <v>1284.5</v>
      </c>
      <c r="F140" s="184">
        <f>IF(C140&lt;&gt;"",_xll.RssMarket(C140,"始値"),"")</f>
        <v>1284.5</v>
      </c>
      <c r="G140" s="183">
        <f>IF(C140&lt;&gt;"",終値!F24,"")</f>
        <v>1287.5</v>
      </c>
      <c r="H140" s="184">
        <f>IF(C140&lt;&gt;"",_xll.RssMarket(C140,"高値"),"")</f>
        <v>1293</v>
      </c>
      <c r="I140" s="184">
        <f>IF(C140&lt;&gt;"",_xll.RssMarket(C140,"安値"),"")</f>
        <v>1251</v>
      </c>
      <c r="J140" s="184">
        <f>IF(C140&lt;&gt;"",_xll.RssMarket(C140,"出来高"),"")</f>
        <v>4040400</v>
      </c>
      <c r="K140" s="184">
        <f>IF(C140&lt;&gt;"",_xll.RssMarket(C140,"年初来高値"),"")</f>
        <v>1671</v>
      </c>
      <c r="L140" s="185">
        <f t="shared" si="44"/>
        <v>-23.129862357869538</v>
      </c>
      <c r="M140" s="184">
        <f>IF(C140&lt;&gt;"",IFERROR(AVERAGE(出来高!E24:I24),""),"")</f>
        <v>4092120</v>
      </c>
      <c r="N140" s="184">
        <f>IF(C140&lt;&gt;"",IFERROR(AVERAGE(出来高!E24:AC24),""),"")</f>
        <v>5150916</v>
      </c>
      <c r="O140" s="186">
        <f t="shared" si="45"/>
        <v>0.98736107445529453</v>
      </c>
      <c r="P140" s="181" t="str">
        <f t="shared" si="46"/>
        <v>減少↓</v>
      </c>
      <c r="Q140" s="181" t="str">
        <f t="shared" si="47"/>
        <v>様子見▼</v>
      </c>
      <c r="R140" s="184">
        <f t="shared" si="54"/>
        <v>1387</v>
      </c>
      <c r="S140" s="184">
        <f t="shared" si="55"/>
        <v>1233</v>
      </c>
      <c r="T140" s="181">
        <f t="shared" si="51"/>
        <v>-1</v>
      </c>
      <c r="U140" s="181" t="str">
        <f t="shared" si="56"/>
        <v>除外</v>
      </c>
      <c r="V140" s="181" t="str">
        <f t="shared" si="48"/>
        <v>通常</v>
      </c>
      <c r="W140" s="187">
        <f t="array" ref="W140">IF(C140&lt;&gt;"",IFERROR(100-100/(1+SUMPRODUCT((終値!F24:R24&gt;終値!G24:S24)*( 終値!F24:R24-終値!G24:S24))/SUMPRODUCT((終値!F24:R24&lt;終値!G24:S24)*(終値!G24:S24-終値!F24:R24))),50),"")</f>
        <v>46.362339514978608</v>
      </c>
      <c r="X140" s="188">
        <f>IF(C140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-3.862528309696927</v>
      </c>
      <c r="Y140" s="1" t="str">
        <f>IF(T140="","",IF(銘柄管理!$F$5="下落▼",IF(AND(AD140="パーフェクト▲",OR(AE140="25日線押し目●",AE140="5日線押し目○")),"★逆張り候補",IF(AND(AD140="上昇トレンド▲",OR(AE140="25日線押し目●",AE140="5日線押し目○")),"○逆張り候補",IF(W140&lt;=30,IF(Z140&gt;0,"◎反発確認",IF(Z140&lt;-5,"△要注意・様子見","△売られ過ぎ注目")),"相場下落・見送り"))),IF(AND(T140&gt;=12,AD140="パーフェクト▲"),"★強い買い",IF(AND(T140&gt;=12,AD140="上昇トレンド▲"),"★強い買い",IF(AND(T140&gt;=8,OR(AE140="25日線押し目●",AE140="5日線押し目○")),"◎押し目買い",IF(T140&gt;=10,"○買い候補",IF(T140&gt;=6,"△注目",IF(T140&gt;=3,"様子見","見送り"))))))))</f>
        <v>見送り</v>
      </c>
      <c r="Z140" s="189">
        <f t="shared" si="57"/>
        <v>-0.23300970873786409</v>
      </c>
      <c r="AA140" s="181" t="str">
        <f t="shared" si="58"/>
        <v>下落▼</v>
      </c>
      <c r="AB140" s="497">
        <f>IF(C140="","",IFERROR(((終値!E142*0.333)+(終値!F142*0.222)+(終値!G142*0.148)+(終値!H142*0.099)+(終値!I142*0.066)+(終値!J142*0.044)+(終値!K142*0.029)+(終値!L142*0.019)+(終値!M142*0.013)+(終値!N142*0.009))/(0.333+0.222+0.148+0.099+0.066+0.044+0.029+0.019+0.013+0.009),""))</f>
        <v>2535.3971486761702</v>
      </c>
      <c r="AC140" s="497">
        <f>IF(C140="","",IFERROR(SUMPRODUCT((終値!E142:AC142)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2563.9165673420721</v>
      </c>
      <c r="AD140" s="498" t="str">
        <f t="shared" si="49"/>
        <v>下降トレンド▼</v>
      </c>
      <c r="AE140" s="498" t="str">
        <f t="shared" si="50"/>
        <v>なし</v>
      </c>
      <c r="AF140" s="403" cm="1">
        <f t="array" ref="AF140">IF(C140="","",IFERROR((INDEX(終値!$E:$E,MATCH(TEXT(C140,"0"),終値!$A:$A,0))-INDEX(終値!$E:$BL,MATCH(TEXT(C140,"0"),終値!$A:$A,0),$AL$2))/INDEX(終値!$E:$BL,MATCH(TEXT(C140,"0"),終値!$A:$A,0),$AL$2)*100,""))</f>
        <v>-9.3827160493827169</v>
      </c>
      <c r="AG140" s="403" cm="1">
        <f t="array" ref="AG140">IFERROR((終値!$E$5-INDEX(終値!$E$5:$BL$5,1,$AL$2))/INDEX(終値!$E$5:$BL$5,1,$AL$2)*100,"")</f>
        <v>3.4532270246721688</v>
      </c>
      <c r="AH140" s="404">
        <f t="shared" si="52"/>
        <v>-12.835943074054885</v>
      </c>
      <c r="AI140" s="402">
        <f t="shared" si="53"/>
        <v>-2</v>
      </c>
    </row>
    <row r="141" spans="1:35" ht="18" customHeight="1">
      <c r="A141" s="181" t="str">
        <f>IF(銘柄管理!B29&lt;&gt;"",HYPERLINK("https://kabutan.jp/stock/?code="&amp;銘柄管理!B29,"株探"),"")</f>
        <v>株探</v>
      </c>
      <c r="B141" s="182"/>
      <c r="C141" s="183">
        <f>IF(銘柄管理!B29="","",銘柄管理!B29)</f>
        <v>5020</v>
      </c>
      <c r="D141" s="111" t="str">
        <f>IF(銘柄管理!C29="","",銘柄管理!C29)</f>
        <v>ＥＮＥＯＳホールディングス</v>
      </c>
      <c r="E141" s="184">
        <f>IF(C141&lt;&gt;"",_xll.RssMarket(C141,"現在値"),"")</f>
        <v>1246.5</v>
      </c>
      <c r="F141" s="184">
        <f>IF(C141&lt;&gt;"",_xll.RssMarket(C141,"始値"),"")</f>
        <v>1240</v>
      </c>
      <c r="G141" s="183">
        <f>IF(C141&lt;&gt;"",終値!F29,"")</f>
        <v>1241</v>
      </c>
      <c r="H141" s="184">
        <f>IF(C141&lt;&gt;"",_xll.RssMarket(C141,"高値"),"")</f>
        <v>1259</v>
      </c>
      <c r="I141" s="184">
        <f>IF(C141&lt;&gt;"",_xll.RssMarket(C141,"安値"),"")</f>
        <v>1228.5</v>
      </c>
      <c r="J141" s="184">
        <f>IF(C141&lt;&gt;"",_xll.RssMarket(C141,"出来高"),"")</f>
        <v>6788300</v>
      </c>
      <c r="K141" s="184">
        <f>IF(C141&lt;&gt;"",_xll.RssMarket(C141,"年初来高値"),"")</f>
        <v>1552.5</v>
      </c>
      <c r="L141" s="185">
        <f t="shared" si="44"/>
        <v>-19.710144927536234</v>
      </c>
      <c r="M141" s="184">
        <f>IF(C141&lt;&gt;"",IFERROR(AVERAGE(出来高!E29:I29),""),"")</f>
        <v>8586320</v>
      </c>
      <c r="N141" s="184">
        <f>IF(C141&lt;&gt;"",IFERROR(AVERAGE(出来高!E29:AC29),""),"")</f>
        <v>9242688</v>
      </c>
      <c r="O141" s="186">
        <f t="shared" si="45"/>
        <v>0.7905948066226276</v>
      </c>
      <c r="P141" s="181" t="str">
        <f t="shared" si="46"/>
        <v>減少↓</v>
      </c>
      <c r="Q141" s="181" t="str">
        <f t="shared" si="47"/>
        <v>中立→</v>
      </c>
      <c r="R141" s="184">
        <f t="shared" si="54"/>
        <v>1346</v>
      </c>
      <c r="S141" s="184">
        <f t="shared" si="55"/>
        <v>1197</v>
      </c>
      <c r="T141" s="181">
        <f t="shared" si="51"/>
        <v>2</v>
      </c>
      <c r="U141" s="181" t="str">
        <f t="shared" si="56"/>
        <v>除外</v>
      </c>
      <c r="V141" s="181" t="str">
        <f t="shared" si="48"/>
        <v>通常</v>
      </c>
      <c r="W141" s="187">
        <f t="array" ref="W141">IF(C141&lt;&gt;"",IFERROR(100-100/(1+SUMPRODUCT((終値!F29:R29&gt;終値!G29:S29)*( 終値!F29:R29-終値!G29:S29))/SUMPRODUCT((終値!F29:R29&lt;終値!G29:S29)*(終値!G29:S29-終値!F29:R29))),50),"")</f>
        <v>41.32379248658318</v>
      </c>
      <c r="X141" s="188">
        <f>IF(C141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-10.834497231719524</v>
      </c>
      <c r="Y141" s="1" t="str">
        <f>IF(T141="","",IF(銘柄管理!$F$5="下落▼",IF(AND(AD141="パーフェクト▲",OR(AE141="25日線押し目●",AE141="5日線押し目○")),"★逆張り候補",IF(AND(AD141="上昇トレンド▲",OR(AE141="25日線押し目●",AE141="5日線押し目○")),"○逆張り候補",IF(W141&lt;=30,IF(Z141&gt;0,"◎反発確認",IF(Z141&lt;-5,"△要注意・様子見","△売られ過ぎ注目")),"相場下落・見送り"))),IF(AND(T141&gt;=12,AD141="パーフェクト▲"),"★強い買い",IF(AND(T141&gt;=12,AD141="上昇トレンド▲"),"★強い買い",IF(AND(T141&gt;=8,OR(AE141="25日線押し目●",AE141="5日線押し目○")),"◎押し目買い",IF(T141&gt;=10,"○買い候補",IF(T141&gt;=6,"△注目",IF(T141&gt;=3,"様子見","見送り"))))))))</f>
        <v>見送り</v>
      </c>
      <c r="Z141" s="189">
        <f t="shared" si="57"/>
        <v>0.44319097502014509</v>
      </c>
      <c r="AA141" s="181" t="str">
        <f t="shared" si="58"/>
        <v>上昇▲</v>
      </c>
      <c r="AB141" s="499">
        <f>IF(C141="","",IFERROR(((終値!E143*0.333)+(終値!F143*0.222)+(終値!G143*0.148)+(終値!H143*0.099)+(終値!I143*0.066)+(終値!J143*0.044)+(終値!K143*0.029)+(終値!L143*0.019)+(終値!M143*0.013)+(終値!N143*0.009))/(0.333+0.222+0.148+0.099+0.066+0.044+0.029+0.019+0.013+0.009),""))</f>
        <v>731.79938900203649</v>
      </c>
      <c r="AC141" s="499">
        <f>IF(C141="","",IFERROR(SUMPRODUCT((終値!E143:AC143)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816.61501787842644</v>
      </c>
      <c r="AD141" s="500" t="str">
        <f t="shared" si="49"/>
        <v>上昇トレンド▲</v>
      </c>
      <c r="AE141" s="500" t="str">
        <f t="shared" si="50"/>
        <v>なし</v>
      </c>
      <c r="AF141" s="403" cm="1">
        <f t="array" ref="AF141">IF(C141="","",IFERROR((INDEX(終値!$E:$E,MATCH(TEXT(C141,"0"),終値!$A:$A,0))-INDEX(終値!$E:$BL,MATCH(TEXT(C141,"0"),終値!$A:$A,0),$AL$2))/INDEX(終値!$E:$BL,MATCH(TEXT(C141,"0"),終値!$A:$A,0),$AL$2)*100,""))</f>
        <v>-5.2451539338654509</v>
      </c>
      <c r="AG141" s="403" cm="1">
        <f t="array" ref="AG141">IFERROR((終値!$E$5-INDEX(終値!$E$5:$BL$5,1,$AL$2))/INDEX(終値!$E$5:$BL$5,1,$AL$2)*100,"")</f>
        <v>3.4532270246721688</v>
      </c>
      <c r="AH141" s="404">
        <f t="shared" si="52"/>
        <v>-8.6983809585376193</v>
      </c>
      <c r="AI141" s="402">
        <f t="shared" si="53"/>
        <v>-2</v>
      </c>
    </row>
    <row r="142" spans="1:35" ht="18" customHeight="1">
      <c r="A142" s="181" t="str">
        <f>IF(銘柄管理!B48&lt;&gt;"",HYPERLINK("https://kabutan.jp/stock/?code="&amp;銘柄管理!B48,"株探"),"")</f>
        <v>株探</v>
      </c>
      <c r="B142" s="182"/>
      <c r="C142" s="183">
        <f>IF(銘柄管理!B48="","",銘柄管理!B48)</f>
        <v>3941</v>
      </c>
      <c r="D142" s="111" t="str">
        <f>IF(銘柄管理!C48="","",銘柄管理!C48)</f>
        <v>レンゴー</v>
      </c>
      <c r="E142" s="184">
        <f>IF(C142&lt;&gt;"",_xll.RssMarket(C142,"現在値"),"")</f>
        <v>1408</v>
      </c>
      <c r="F142" s="184">
        <f>IF(C142&lt;&gt;"",_xll.RssMarket(C142,"始値"),"")</f>
        <v>1416.5</v>
      </c>
      <c r="G142" s="183">
        <f>IF(C142&lt;&gt;"",終値!F48,"")</f>
        <v>1413</v>
      </c>
      <c r="H142" s="184">
        <f>IF(C142&lt;&gt;"",_xll.RssMarket(C142,"高値"),"")</f>
        <v>1429</v>
      </c>
      <c r="I142" s="184">
        <f>IF(C142&lt;&gt;"",_xll.RssMarket(C142,"安値"),"")</f>
        <v>1400</v>
      </c>
      <c r="J142" s="184">
        <f>IF(C142&lt;&gt;"",_xll.RssMarket(C142,"出来高"),"")</f>
        <v>825300</v>
      </c>
      <c r="K142" s="184">
        <f>IF(C142&lt;&gt;"",_xll.RssMarket(C142,"年初来高値"),"")</f>
        <v>1565</v>
      </c>
      <c r="L142" s="185">
        <f t="shared" si="44"/>
        <v>-10.031948881789138</v>
      </c>
      <c r="M142" s="184">
        <f>IF(C142&lt;&gt;"",IFERROR(AVERAGE(出来高!E48:I48),""),"")</f>
        <v>802960</v>
      </c>
      <c r="N142" s="184">
        <f>IF(C142&lt;&gt;"",IFERROR(AVERAGE(出来高!E48:AC48),""),"")</f>
        <v>1187712</v>
      </c>
      <c r="O142" s="186">
        <f t="shared" si="45"/>
        <v>1.0278220583839792</v>
      </c>
      <c r="P142" s="181" t="str">
        <f t="shared" si="46"/>
        <v>普通→</v>
      </c>
      <c r="Q142" s="181" t="str">
        <f t="shared" si="47"/>
        <v>様子見▼</v>
      </c>
      <c r="R142" s="184">
        <f t="shared" si="54"/>
        <v>1521</v>
      </c>
      <c r="S142" s="184">
        <f t="shared" si="55"/>
        <v>1352</v>
      </c>
      <c r="T142" s="181">
        <f t="shared" si="51"/>
        <v>2</v>
      </c>
      <c r="U142" s="181" t="str">
        <f t="shared" si="56"/>
        <v>除外</v>
      </c>
      <c r="V142" s="181" t="str">
        <f t="shared" si="48"/>
        <v>通常</v>
      </c>
      <c r="W142" s="187">
        <f t="array" ref="W142">IF(C142&lt;&gt;"",IFERROR(100-100/(1+SUMPRODUCT((終値!F48:R48&gt;終値!G48:S48)*( 終値!F48:R48-終値!G48:S48))/SUMPRODUCT((終値!F48:R48&lt;終値!G48:S48)*(終値!G48:S48-終値!F48:R48))),50),"")</f>
        <v>55.2</v>
      </c>
      <c r="X142" s="188">
        <f>IF(C142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1.6214291969010901</v>
      </c>
      <c r="Y142" s="1" t="str">
        <f>IF(T142="","",IF(銘柄管理!$F$5="下落▼",IF(AND(AD142="パーフェクト▲",OR(AE142="25日線押し目●",AE142="5日線押し目○")),"★逆張り候補",IF(AND(AD142="上昇トレンド▲",OR(AE142="25日線押し目●",AE142="5日線押し目○")),"○逆張り候補",IF(W142&lt;=30,IF(Z142&gt;0,"◎反発確認",IF(Z142&lt;-5,"△要注意・様子見","△売られ過ぎ注目")),"相場下落・見送り"))),IF(AND(T142&gt;=12,AD142="パーフェクト▲"),"★強い買い",IF(AND(T142&gt;=12,AD142="上昇トレンド▲"),"★強い買い",IF(AND(T142&gt;=8,OR(AE142="25日線押し目●",AE142="5日線押し目○")),"◎押し目買い",IF(T142&gt;=10,"○買い候補",IF(T142&gt;=6,"△注目",IF(T142&gt;=3,"様子見","見送り"))))))))</f>
        <v>見送り</v>
      </c>
      <c r="Z142" s="189">
        <f t="shared" si="57"/>
        <v>-0.35385704175513089</v>
      </c>
      <c r="AA142" s="181" t="str">
        <f t="shared" si="58"/>
        <v>下落▼</v>
      </c>
      <c r="AB142" s="497">
        <f>IF(C142="","",IFERROR(((終値!E144*0.333)+(終値!F144*0.222)+(終値!G144*0.148)+(終値!H144*0.099)+(終値!I144*0.066)+(終値!J144*0.044)+(終値!K144*0.029)+(終値!L144*0.019)+(終値!M144*0.013)+(終値!N144*0.009))/(0.333+0.222+0.148+0.099+0.066+0.044+0.029+0.019+0.013+0.009),""))</f>
        <v>24770.366598778</v>
      </c>
      <c r="AC142" s="497">
        <f>IF(C142="","",IFERROR(SUMPRODUCT((終値!E144:AC144)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25713.837902264586</v>
      </c>
      <c r="AD142" s="498" t="str">
        <f t="shared" si="49"/>
        <v>下降トレンド▼</v>
      </c>
      <c r="AE142" s="498" t="str">
        <f t="shared" si="50"/>
        <v>なし</v>
      </c>
      <c r="AF142" s="403" cm="1">
        <f t="array" ref="AF142">IF(C142="","",IFERROR((INDEX(終値!$E:$E,MATCH(TEXT(C142,"0"),終値!$A:$A,0))-INDEX(終値!$E:$BL,MATCH(TEXT(C142,"0"),終値!$A:$A,0),$AL$2))/INDEX(終値!$E:$BL,MATCH(TEXT(C142,"0"),終値!$A:$A,0),$AL$2)*100,""))</f>
        <v>1.6606498194945849</v>
      </c>
      <c r="AG142" s="403" cm="1">
        <f t="array" ref="AG142">IFERROR((終値!$E$5-INDEX(終値!$E$5:$BL$5,1,$AL$2))/INDEX(終値!$E$5:$BL$5,1,$AL$2)*100,"")</f>
        <v>3.4532270246721688</v>
      </c>
      <c r="AH142" s="404">
        <f t="shared" si="52"/>
        <v>-1.7925772051775839</v>
      </c>
      <c r="AI142" s="402">
        <f t="shared" si="53"/>
        <v>-1</v>
      </c>
    </row>
    <row r="143" spans="1:35" ht="18" customHeight="1">
      <c r="A143" s="181" t="str">
        <f>IF(銘柄管理!B88&lt;&gt;"",HYPERLINK("https://kabutan.jp/stock/?code="&amp;銘柄管理!B88,"株探"),"")</f>
        <v>株探</v>
      </c>
      <c r="B143" s="182"/>
      <c r="C143" s="183">
        <f>IF(銘柄管理!B88="","",銘柄管理!B88)</f>
        <v>3003</v>
      </c>
      <c r="D143" s="111" t="str">
        <f>IF(銘柄管理!C88="","",銘柄管理!C88)</f>
        <v>ヒューリック</v>
      </c>
      <c r="E143" s="184">
        <f>IF(C143&lt;&gt;"",_xll.RssMarket(C143,"現在値"),"")</f>
        <v>1716</v>
      </c>
      <c r="F143" s="184">
        <f>IF(C143&lt;&gt;"",_xll.RssMarket(C143,"始値"),"")</f>
        <v>1733</v>
      </c>
      <c r="G143" s="183">
        <f>IF(C143&lt;&gt;"",終値!F88,"")</f>
        <v>1704.5</v>
      </c>
      <c r="H143" s="184">
        <f>IF(C143&lt;&gt;"",_xll.RssMarket(C143,"高値"),"")</f>
        <v>1733</v>
      </c>
      <c r="I143" s="184">
        <f>IF(C143&lt;&gt;"",_xll.RssMarket(C143,"安値"),"")</f>
        <v>1702.5</v>
      </c>
      <c r="J143" s="184">
        <f>IF(C143&lt;&gt;"",_xll.RssMarket(C143,"出来高"),"")</f>
        <v>1869700</v>
      </c>
      <c r="K143" s="184">
        <f>IF(C143&lt;&gt;"",_xll.RssMarket(C143,"年初来高値"),"")</f>
        <v>2094</v>
      </c>
      <c r="L143" s="185">
        <f t="shared" si="44"/>
        <v>-18.05157593123209</v>
      </c>
      <c r="M143" s="184">
        <f>IF(C143&lt;&gt;"",IFERROR(AVERAGE(出来高!E88:I88),""),"")</f>
        <v>3144340</v>
      </c>
      <c r="N143" s="184">
        <f>IF(C143&lt;&gt;"",IFERROR(AVERAGE(出来高!E88:AC88),""),"")</f>
        <v>3275648</v>
      </c>
      <c r="O143" s="186">
        <f t="shared" si="45"/>
        <v>0.59462399104422548</v>
      </c>
      <c r="P143" s="181" t="str">
        <f t="shared" si="46"/>
        <v>減少↓</v>
      </c>
      <c r="Q143" s="181" t="str">
        <f t="shared" si="47"/>
        <v>中立→</v>
      </c>
      <c r="R143" s="184">
        <f t="shared" si="54"/>
        <v>1853</v>
      </c>
      <c r="S143" s="184">
        <f t="shared" si="55"/>
        <v>1647</v>
      </c>
      <c r="T143" s="181">
        <f t="shared" si="51"/>
        <v>0</v>
      </c>
      <c r="U143" s="181" t="str">
        <f t="shared" si="56"/>
        <v>除外</v>
      </c>
      <c r="V143" s="181" t="str">
        <f t="shared" si="48"/>
        <v>通常</v>
      </c>
      <c r="W143" s="187">
        <f t="array" ref="W143">IF(C143&lt;&gt;"",IFERROR(100-100/(1+SUMPRODUCT((終値!F88:R88&gt;終値!G88:S88)*( 終値!F88:R88-終値!G88:S88))/SUMPRODUCT((終値!F88:R88&lt;終値!G88:S88)*(終値!G88:S88-終値!F88:R88))),50),"")</f>
        <v>56.81818181818182</v>
      </c>
      <c r="X143" s="188">
        <f>IF(C143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-1.1565849649127813</v>
      </c>
      <c r="Y143" s="1" t="str">
        <f>IF(T143="","",IF(銘柄管理!$F$5="下落▼",IF(AND(AD143="パーフェクト▲",OR(AE143="25日線押し目●",AE143="5日線押し目○")),"★逆張り候補",IF(AND(AD143="上昇トレンド▲",OR(AE143="25日線押し目●",AE143="5日線押し目○")),"○逆張り候補",IF(W143&lt;=30,IF(Z143&gt;0,"◎反発確認",IF(Z143&lt;-5,"△要注意・様子見","△売られ過ぎ注目")),"相場下落・見送り"))),IF(AND(T143&gt;=12,AD143="パーフェクト▲"),"★強い買い",IF(AND(T143&gt;=12,AD143="上昇トレンド▲"),"★強い買い",IF(AND(T143&gt;=8,OR(AE143="25日線押し目●",AE143="5日線押し目○")),"◎押し目買い",IF(T143&gt;=10,"○買い候補",IF(T143&gt;=6,"△注目",IF(T143&gt;=3,"様子見","見送り"))))))))</f>
        <v>見送り</v>
      </c>
      <c r="Z143" s="189">
        <f t="shared" si="57"/>
        <v>0.67468465825755353</v>
      </c>
      <c r="AA143" s="181" t="str">
        <f t="shared" si="58"/>
        <v>上昇▲</v>
      </c>
      <c r="AB143" s="499">
        <f>IF(C143="","",IFERROR(((終値!E145*0.333)+(終値!F145*0.222)+(終値!G145*0.148)+(終値!H145*0.099)+(終値!I145*0.066)+(終値!J145*0.044)+(終値!K145*0.029)+(終値!L145*0.019)+(終値!M145*0.013)+(終値!N145*0.009))/(0.333+0.222+0.148+0.099+0.066+0.044+0.029+0.019+0.013+0.009),""))</f>
        <v>33811.883910386961</v>
      </c>
      <c r="AC143" s="499">
        <f>IF(C143="","",IFERROR(SUMPRODUCT((終値!E145:AC145)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35493.861740166853</v>
      </c>
      <c r="AD143" s="500" t="str">
        <f t="shared" si="49"/>
        <v>下降トレンド▼</v>
      </c>
      <c r="AE143" s="500" t="str">
        <f t="shared" si="50"/>
        <v>なし</v>
      </c>
      <c r="AF143" s="403" cm="1">
        <f t="array" ref="AF143">IF(C143="","",IFERROR((INDEX(終値!$E:$E,MATCH(TEXT(C143,"0"),終値!$A:$A,0))-INDEX(終値!$E:$BL,MATCH(TEXT(C143,"0"),終値!$A:$A,0),$AL$2))/INDEX(終値!$E:$BL,MATCH(TEXT(C143,"0"),終値!$A:$A,0),$AL$2)*100,""))</f>
        <v>-2.5</v>
      </c>
      <c r="AG143" s="403" cm="1">
        <f t="array" ref="AG143">IFERROR((終値!$E$5-INDEX(終値!$E$5:$BL$5,1,$AL$2))/INDEX(終値!$E$5:$BL$5,1,$AL$2)*100,"")</f>
        <v>3.4532270246721688</v>
      </c>
      <c r="AH143" s="404">
        <f t="shared" si="52"/>
        <v>-5.9532270246721684</v>
      </c>
      <c r="AI143" s="402">
        <f t="shared" si="53"/>
        <v>-2</v>
      </c>
    </row>
    <row r="144" spans="1:35" ht="18" customHeight="1">
      <c r="A144" s="181" t="str">
        <f>IF(銘柄管理!B93&lt;&gt;"",HYPERLINK("https://kabutan.jp/stock/?code="&amp;銘柄管理!B93,"株探"),"")</f>
        <v>株探</v>
      </c>
      <c r="B144" s="182"/>
      <c r="C144" s="183">
        <f>IF(銘柄管理!B93="","",銘柄管理!B93)</f>
        <v>7746</v>
      </c>
      <c r="D144" s="111" t="str">
        <f>IF(銘柄管理!C93="","",銘柄管理!C93)</f>
        <v>岡本硝子</v>
      </c>
      <c r="E144" s="184">
        <f>IF(C144&lt;&gt;"",_xll.RssMarket(C144,"現在値"),"")</f>
        <v>828</v>
      </c>
      <c r="F144" s="184">
        <f>IF(C144&lt;&gt;"",_xll.RssMarket(C144,"始値"),"")</f>
        <v>852</v>
      </c>
      <c r="G144" s="183">
        <f>IF(C144&lt;&gt;"",終値!F93,"")</f>
        <v>897</v>
      </c>
      <c r="H144" s="184">
        <f>IF(C144&lt;&gt;"",_xll.RssMarket(C144,"高値"),"")</f>
        <v>857</v>
      </c>
      <c r="I144" s="184">
        <f>IF(C144&lt;&gt;"",_xll.RssMarket(C144,"安値"),"")</f>
        <v>811</v>
      </c>
      <c r="J144" s="184">
        <f>IF(C144&lt;&gt;"",_xll.RssMarket(C144,"出来高"),"")</f>
        <v>1408400</v>
      </c>
      <c r="K144" s="184">
        <f>IF(C144&lt;&gt;"",_xll.RssMarket(C144,"年初来高値"),"")</f>
        <v>1638</v>
      </c>
      <c r="L144" s="185">
        <f t="shared" si="44"/>
        <v>-49.450549450549453</v>
      </c>
      <c r="M144" s="184">
        <f>IF(C144&lt;&gt;"",IFERROR(AVERAGE(出来高!E93:I93),""),"")</f>
        <v>2429660</v>
      </c>
      <c r="N144" s="184">
        <f>IF(C144&lt;&gt;"",IFERROR(AVERAGE(出来高!E93:AC93),""),"")</f>
        <v>1406484</v>
      </c>
      <c r="O144" s="186">
        <f t="shared" si="45"/>
        <v>0.57966958339850017</v>
      </c>
      <c r="P144" s="181" t="str">
        <f t="shared" si="46"/>
        <v>減少↓</v>
      </c>
      <c r="Q144" s="181" t="str">
        <f t="shared" si="47"/>
        <v>様子見▼</v>
      </c>
      <c r="R144" s="184">
        <f t="shared" si="54"/>
        <v>894</v>
      </c>
      <c r="S144" s="184">
        <f t="shared" si="55"/>
        <v>795</v>
      </c>
      <c r="T144" s="181">
        <f t="shared" si="51"/>
        <v>4</v>
      </c>
      <c r="U144" s="181" t="str">
        <f t="shared" si="56"/>
        <v>要確認</v>
      </c>
      <c r="V144" s="181" t="str">
        <f t="shared" si="48"/>
        <v>通常</v>
      </c>
      <c r="W144" s="187">
        <f t="array" ref="W144">IF(C144&lt;&gt;"",IFERROR(100-100/(1+SUMPRODUCT((終値!F93:R93&gt;終値!G93:S93)*( 終値!F93:R93-終値!G93:S93))/SUMPRODUCT((終値!F93:R93&lt;終値!G93:S93)*(終値!G93:S93-終値!F93:R93))),50),"")</f>
        <v>50.401606425702802</v>
      </c>
      <c r="X144" s="188">
        <f>IF(C144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-16.230891700730922</v>
      </c>
      <c r="Y144" s="1" t="str">
        <f>IF(T144="","",IF(銘柄管理!$F$5="下落▼",IF(AND(AD144="パーフェクト▲",OR(AE144="25日線押し目●",AE144="5日線押し目○")),"★逆張り候補",IF(AND(AD144="上昇トレンド▲",OR(AE144="25日線押し目●",AE144="5日線押し目○")),"○逆張り候補",IF(W144&lt;=30,IF(Z144&gt;0,"◎反発確認",IF(Z144&lt;-5,"△要注意・様子見","△売られ過ぎ注目")),"相場下落・見送り"))),IF(AND(T144&gt;=12,AD144="パーフェクト▲"),"★強い買い",IF(AND(T144&gt;=12,AD144="上昇トレンド▲"),"★強い買い",IF(AND(T144&gt;=8,OR(AE144="25日線押し目●",AE144="5日線押し目○")),"◎押し目買い",IF(T144&gt;=10,"○買い候補",IF(T144&gt;=6,"△注目",IF(T144&gt;=3,"様子見","見送り"))))))))</f>
        <v>様子見</v>
      </c>
      <c r="Z144" s="189">
        <f t="shared" si="57"/>
        <v>-7.6923076923076925</v>
      </c>
      <c r="AA144" s="181" t="str">
        <f t="shared" si="58"/>
        <v>下落▼</v>
      </c>
      <c r="AB144" s="497">
        <f>IF(C144="","",IFERROR(((終値!E146*0.333)+(終値!F146*0.222)+(終値!G146*0.148)+(終値!H146*0.099)+(終値!I146*0.066)+(終値!J146*0.044)+(終値!K146*0.029)+(終値!L146*0.019)+(終値!M146*0.013)+(終値!N146*0.009))/(0.333+0.222+0.148+0.099+0.066+0.044+0.029+0.019+0.013+0.009),""))</f>
        <v>334.38696537678203</v>
      </c>
      <c r="AC144" s="497">
        <f>IF(C144="","",IFERROR(SUMPRODUCT((終値!E146:AC146)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358.72228843861723</v>
      </c>
      <c r="AD144" s="498" t="str">
        <f t="shared" si="49"/>
        <v>上昇トレンド▲</v>
      </c>
      <c r="AE144" s="498" t="str">
        <f t="shared" si="50"/>
        <v>なし</v>
      </c>
      <c r="AF144" s="403" cm="1">
        <f t="array" ref="AF144">IF(C144="","",IFERROR((INDEX(終値!$E:$E,MATCH(TEXT(C144,"0"),終値!$A:$A,0))-INDEX(終値!$E:$BL,MATCH(TEXT(C144,"0"),終値!$A:$A,0),$AL$2))/INDEX(終値!$E:$BL,MATCH(TEXT(C144,"0"),終値!$A:$A,0),$AL$2)*100,""))</f>
        <v>6.2901155327342746</v>
      </c>
      <c r="AG144" s="403" cm="1">
        <f t="array" ref="AG144">IFERROR((終値!$E$5-INDEX(終値!$E$5:$BL$5,1,$AL$2))/INDEX(終値!$E$5:$BL$5,1,$AL$2)*100,"")</f>
        <v>3.4532270246721688</v>
      </c>
      <c r="AH144" s="404">
        <f t="shared" si="52"/>
        <v>2.8368885080621058</v>
      </c>
      <c r="AI144" s="402">
        <f t="shared" si="53"/>
        <v>1</v>
      </c>
    </row>
    <row r="145" spans="1:35" ht="18" customHeight="1">
      <c r="A145" s="181" t="str">
        <f>IF(銘柄管理!B98&lt;&gt;"",HYPERLINK("https://kabutan.jp/stock/?code="&amp;銘柄管理!B98,"株探"),"")</f>
        <v>株探</v>
      </c>
      <c r="B145" s="182"/>
      <c r="C145" s="183">
        <f>IF(銘柄管理!B98="","",銘柄管理!B98)</f>
        <v>4188</v>
      </c>
      <c r="D145" s="111" t="str">
        <f>IF(銘柄管理!C98="","",銘柄管理!C98)</f>
        <v>三菱ケミカルグループ</v>
      </c>
      <c r="E145" s="184">
        <f>IF(C145&lt;&gt;"",_xll.RssMarket(C145,"現在値"),"")</f>
        <v>1140</v>
      </c>
      <c r="F145" s="184">
        <f>IF(C145&lt;&gt;"",_xll.RssMarket(C145,"始値"),"")</f>
        <v>1098</v>
      </c>
      <c r="G145" s="183">
        <f>IF(C145&lt;&gt;"",終値!F98,"")</f>
        <v>1104.5</v>
      </c>
      <c r="H145" s="184">
        <f>IF(C145&lt;&gt;"",_xll.RssMarket(C145,"高値"),"")</f>
        <v>1140</v>
      </c>
      <c r="I145" s="184">
        <f>IF(C145&lt;&gt;"",_xll.RssMarket(C145,"安値"),"")</f>
        <v>1093</v>
      </c>
      <c r="J145" s="184">
        <f>IF(C145&lt;&gt;"",_xll.RssMarket(C145,"出来高"),"")</f>
        <v>7563000</v>
      </c>
      <c r="K145" s="184">
        <f>IF(C145&lt;&gt;"",_xll.RssMarket(C145,"年初来高値"),"")</f>
        <v>1171</v>
      </c>
      <c r="L145" s="185">
        <f t="shared" si="44"/>
        <v>-2.6473099914602902</v>
      </c>
      <c r="M145" s="184">
        <f>IF(C145&lt;&gt;"",IFERROR(AVERAGE(出来高!E98:I98),""),"")</f>
        <v>6250060</v>
      </c>
      <c r="N145" s="184">
        <f>IF(C145&lt;&gt;"",IFERROR(AVERAGE(出来高!E98:AC98),""),"")</f>
        <v>7993872</v>
      </c>
      <c r="O145" s="186">
        <f t="shared" si="45"/>
        <v>1.21006838334352</v>
      </c>
      <c r="P145" s="181" t="str">
        <f t="shared" si="46"/>
        <v>普通→</v>
      </c>
      <c r="Q145" s="181" t="str">
        <f t="shared" si="47"/>
        <v>中立→</v>
      </c>
      <c r="R145" s="184">
        <f t="shared" si="54"/>
        <v>1231</v>
      </c>
      <c r="S145" s="184">
        <f t="shared" si="55"/>
        <v>1094</v>
      </c>
      <c r="T145" s="181">
        <f t="shared" si="51"/>
        <v>8</v>
      </c>
      <c r="U145" s="181" t="str">
        <f t="shared" si="56"/>
        <v>要確認</v>
      </c>
      <c r="V145" s="181" t="str">
        <f t="shared" si="48"/>
        <v>高値圏</v>
      </c>
      <c r="W145" s="187">
        <f t="array" ref="W145">IF(C145&lt;&gt;"",IFERROR(100-100/(1+SUMPRODUCT((終値!F98:R98&gt;終値!G98:S98)*( 終値!F98:R98-終値!G98:S98))/SUMPRODUCT((終値!F98:R98&lt;終値!G98:S98)*(終値!G98:S98-終値!F98:R98))),50),"")</f>
        <v>52.500000000000007</v>
      </c>
      <c r="X145" s="188">
        <f>IF(C145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6.0984120697826256</v>
      </c>
      <c r="Y145" s="1" t="str">
        <f>IF(T145="","",IF(銘柄管理!$F$5="下落▼",IF(AND(AD145="パーフェクト▲",OR(AE145="25日線押し目●",AE145="5日線押し目○")),"★逆張り候補",IF(AND(AD145="上昇トレンド▲",OR(AE145="25日線押し目●",AE145="5日線押し目○")),"○逆張り候補",IF(W145&lt;=30,IF(Z145&gt;0,"◎反発確認",IF(Z145&lt;-5,"△要注意・様子見","△売られ過ぎ注目")),"相場下落・見送り"))),IF(AND(T145&gt;=12,AD145="パーフェクト▲"),"★強い買い",IF(AND(T145&gt;=12,AD145="上昇トレンド▲"),"★強い買い",IF(AND(T145&gt;=8,OR(AE145="25日線押し目●",AE145="5日線押し目○")),"◎押し目買い",IF(T145&gt;=10,"○買い候補",IF(T145&gt;=6,"△注目",IF(T145&gt;=3,"様子見","見送り"))))))))</f>
        <v>△注目</v>
      </c>
      <c r="Z145" s="189">
        <f t="shared" si="57"/>
        <v>3.2141240380262559</v>
      </c>
      <c r="AA145" s="181" t="str">
        <f t="shared" si="58"/>
        <v>上昇▲</v>
      </c>
      <c r="AB145" s="499">
        <f>IF(C145="","",IFERROR(((終値!E147*0.333)+(終値!F147*0.222)+(終値!G147*0.148)+(終値!H147*0.099)+(終値!I147*0.066)+(終値!J147*0.044)+(終値!K147*0.029)+(終値!L147*0.019)+(終値!M147*0.013)+(終値!N147*0.009))/(0.333+0.222+0.148+0.099+0.066+0.044+0.029+0.019+0.013+0.009),""))</f>
        <v>14378.044806517308</v>
      </c>
      <c r="AC145" s="499">
        <f>IF(C145="","",IFERROR(SUMPRODUCT((終値!E147:AC147)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12560.989272943976</v>
      </c>
      <c r="AD145" s="500" t="str">
        <f t="shared" si="49"/>
        <v>もみ合い→</v>
      </c>
      <c r="AE145" s="500" t="str">
        <f t="shared" si="50"/>
        <v>なし</v>
      </c>
      <c r="AF145" s="403" cm="1">
        <f t="array" ref="AF145">IF(C145="","",IFERROR((INDEX(終値!$E:$E,MATCH(TEXT(C145,"0"),終値!$A:$A,0))-INDEX(終値!$E:$BL,MATCH(TEXT(C145,"0"),終値!$A:$A,0),$AL$2))/INDEX(終値!$E:$BL,MATCH(TEXT(C145,"0"),終値!$A:$A,0),$AL$2)*100,""))</f>
        <v>8.159392789373813</v>
      </c>
      <c r="AG145" s="403" cm="1">
        <f t="array" ref="AG145">IFERROR((終値!$E$5-INDEX(終値!$E$5:$BL$5,1,$AL$2))/INDEX(終値!$E$5:$BL$5,1,$AL$2)*100,"")</f>
        <v>3.4532270246721688</v>
      </c>
      <c r="AH145" s="404">
        <f t="shared" si="52"/>
        <v>4.7061657647016446</v>
      </c>
      <c r="AI145" s="402">
        <f t="shared" si="53"/>
        <v>1</v>
      </c>
    </row>
    <row r="146" spans="1:35" ht="18" customHeight="1">
      <c r="A146" s="181" t="str">
        <f>IF(銘柄管理!B111&lt;&gt;"",HYPERLINK("https://kabutan.jp/stock/?code="&amp;銘柄管理!B111,"株探"),"")</f>
        <v>株探</v>
      </c>
      <c r="B146" s="182"/>
      <c r="C146" s="183">
        <f>IF(銘柄管理!B111="","",銘柄管理!B111)</f>
        <v>9227</v>
      </c>
      <c r="D146" s="111" t="str">
        <f>IF(銘柄管理!C111="","",銘柄管理!C111)</f>
        <v>マイクロ波化学</v>
      </c>
      <c r="E146" s="184">
        <f>IF(C146&lt;&gt;"",_xll.RssMarket(C146,"現在値"),"")</f>
        <v>881</v>
      </c>
      <c r="F146" s="184">
        <f>IF(C146&lt;&gt;"",_xll.RssMarket(C146,"始値"),"")</f>
        <v>877</v>
      </c>
      <c r="G146" s="183">
        <f>IF(C146&lt;&gt;"",終値!F111,"")</f>
        <v>865</v>
      </c>
      <c r="H146" s="184">
        <f>IF(C146&lt;&gt;"",_xll.RssMarket(C146,"高値"),"")</f>
        <v>896</v>
      </c>
      <c r="I146" s="184">
        <f>IF(C146&lt;&gt;"",_xll.RssMarket(C146,"安値"),"")</f>
        <v>868</v>
      </c>
      <c r="J146" s="184">
        <f>IF(C146&lt;&gt;"",_xll.RssMarket(C146,"出来高"),"")</f>
        <v>110100</v>
      </c>
      <c r="K146" s="184">
        <f>IF(C146&lt;&gt;"",_xll.RssMarket(C146,"年初来高値"),"")</f>
        <v>1620</v>
      </c>
      <c r="L146" s="185">
        <f t="shared" si="44"/>
        <v>-45.617283950617285</v>
      </c>
      <c r="M146" s="184">
        <f>IF(C146&lt;&gt;"",IFERROR(AVERAGE(出来高!E111:I111),""),"")</f>
        <v>177940</v>
      </c>
      <c r="N146" s="184">
        <f>IF(C146&lt;&gt;"",IFERROR(AVERAGE(出来高!E111:AC111),""),"")</f>
        <v>723016</v>
      </c>
      <c r="O146" s="186">
        <f t="shared" si="45"/>
        <v>0.61874789254804985</v>
      </c>
      <c r="P146" s="181" t="str">
        <f t="shared" si="46"/>
        <v>減少↓</v>
      </c>
      <c r="Q146" s="181" t="str">
        <f t="shared" si="47"/>
        <v>中立→</v>
      </c>
      <c r="R146" s="184">
        <f t="shared" si="54"/>
        <v>951</v>
      </c>
      <c r="S146" s="184">
        <f t="shared" si="55"/>
        <v>846</v>
      </c>
      <c r="T146" s="181">
        <f t="shared" si="51"/>
        <v>1</v>
      </c>
      <c r="U146" s="181" t="str">
        <f t="shared" si="56"/>
        <v>除外</v>
      </c>
      <c r="V146" s="181" t="str">
        <f t="shared" si="48"/>
        <v>通常</v>
      </c>
      <c r="W146" s="187">
        <f t="array" ref="W146">IF(C146&lt;&gt;"",IFERROR(100-100/(1+SUMPRODUCT((終値!F111:R111&gt;終値!G111:S111)*( 終値!F111:R111-終値!G111:S111))/SUMPRODUCT((終値!F111:R111&lt;終値!G111:S111)*(終値!G111:S111-終値!F111:R111))),50),"")</f>
        <v>44.412607449856736</v>
      </c>
      <c r="X146" s="188">
        <f>IF(C146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-7.9897229331431845</v>
      </c>
      <c r="Y146" s="1" t="str">
        <f>IF(T146="","",IF(銘柄管理!$F$5="下落▼",IF(AND(AD146="パーフェクト▲",OR(AE146="25日線押し目●",AE146="5日線押し目○")),"★逆張り候補",IF(AND(AD146="上昇トレンド▲",OR(AE146="25日線押し目●",AE146="5日線押し目○")),"○逆張り候補",IF(W146&lt;=30,IF(Z146&gt;0,"◎反発確認",IF(Z146&lt;-5,"△要注意・様子見","△売られ過ぎ注目")),"相場下落・見送り"))),IF(AND(T146&gt;=12,AD146="パーフェクト▲"),"★強い買い",IF(AND(T146&gt;=12,AD146="上昇トレンド▲"),"★強い買い",IF(AND(T146&gt;=8,OR(AE146="25日線押し目●",AE146="5日線押し目○")),"◎押し目買い",IF(T146&gt;=10,"○買い候補",IF(T146&gt;=6,"△注目",IF(T146&gt;=3,"様子見","見送り"))))))))</f>
        <v>見送り</v>
      </c>
      <c r="Z146" s="189">
        <f t="shared" si="57"/>
        <v>1.8497109826589597</v>
      </c>
      <c r="AA146" s="181" t="str">
        <f t="shared" si="58"/>
        <v>上昇▲</v>
      </c>
      <c r="AB146" s="497">
        <f>IF(C146="","",IFERROR(((終値!E148*0.333)+(終値!F148*0.222)+(終値!G148*0.148)+(終値!H148*0.099)+(終値!I148*0.066)+(終値!J148*0.044)+(終値!K148*0.029)+(終値!L148*0.019)+(終値!M148*0.013)+(終値!N148*0.009))/(0.333+0.222+0.148+0.099+0.066+0.044+0.029+0.019+0.013+0.009),""))</f>
        <v>2082.2077393075351</v>
      </c>
      <c r="AC146" s="497">
        <f>IF(C146="","",IFERROR(SUMPRODUCT((終値!E148:AC148)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2113.8271752085816</v>
      </c>
      <c r="AD146" s="498" t="str">
        <f t="shared" si="49"/>
        <v>下降トレンド▼</v>
      </c>
      <c r="AE146" s="498" t="str">
        <f t="shared" si="50"/>
        <v>なし</v>
      </c>
      <c r="AF146" s="403" cm="1">
        <f t="array" ref="AF146">IF(C146="","",IFERROR((INDEX(終値!$E:$E,MATCH(TEXT(C146,"0"),終値!$A:$A,0))-INDEX(終値!$E:$BL,MATCH(TEXT(C146,"0"),終値!$A:$A,0),$AL$2))/INDEX(終値!$E:$BL,MATCH(TEXT(C146,"0"),終値!$A:$A,0),$AL$2)*100,""))</f>
        <v>3.1615925058548009</v>
      </c>
      <c r="AG146" s="403" cm="1">
        <f t="array" ref="AG146">IFERROR((終値!$E$5-INDEX(終値!$E$5:$BL$5,1,$AL$2))/INDEX(終値!$E$5:$BL$5,1,$AL$2)*100,"")</f>
        <v>3.4532270246721688</v>
      </c>
      <c r="AH146" s="404">
        <f t="shared" si="52"/>
        <v>-0.2916345188173679</v>
      </c>
      <c r="AI146" s="402">
        <f t="shared" si="53"/>
        <v>-1</v>
      </c>
    </row>
    <row r="147" spans="1:35" ht="18" customHeight="1">
      <c r="A147" s="181" t="str">
        <f>IF(銘柄管理!B117&lt;&gt;"",HYPERLINK("https://kabutan.jp/stock/?code="&amp;銘柄管理!B117,"株探"),"")</f>
        <v>株探</v>
      </c>
      <c r="B147" s="182"/>
      <c r="C147" s="183">
        <f>IF(銘柄管理!B117="","",銘柄管理!B117)</f>
        <v>5838</v>
      </c>
      <c r="D147" s="111" t="str">
        <f>IF(銘柄管理!C117="","",銘柄管理!C117)</f>
        <v>楽天銀行</v>
      </c>
      <c r="E147" s="184">
        <f>IF(C147&lt;&gt;"",_xll.RssMarket(C147,"現在値"),"")</f>
        <v>5161</v>
      </c>
      <c r="F147" s="184">
        <f>IF(C147&lt;&gt;"",_xll.RssMarket(C147,"始値"),"")</f>
        <v>5250</v>
      </c>
      <c r="G147" s="183">
        <f>IF(C147&lt;&gt;"",終値!F117,"")</f>
        <v>5244</v>
      </c>
      <c r="H147" s="184">
        <f>IF(C147&lt;&gt;"",_xll.RssMarket(C147,"高値"),"")</f>
        <v>5311</v>
      </c>
      <c r="I147" s="184">
        <f>IF(C147&lt;&gt;"",_xll.RssMarket(C147,"安値"),"")</f>
        <v>5158</v>
      </c>
      <c r="J147" s="184">
        <f>IF(C147&lt;&gt;"",_xll.RssMarket(C147,"出来高"),"")</f>
        <v>1008700</v>
      </c>
      <c r="K147" s="184">
        <f>IF(C147&lt;&gt;"",_xll.RssMarket(C147,"年初来高値"),"")</f>
        <v>9317</v>
      </c>
      <c r="L147" s="185">
        <f t="shared" si="44"/>
        <v>-44.606633036385105</v>
      </c>
      <c r="M147" s="184">
        <f>IF(C147&lt;&gt;"",IFERROR(AVERAGE(出来高!E117:I117),""),"")</f>
        <v>2375000</v>
      </c>
      <c r="N147" s="184">
        <f>IF(C147&lt;&gt;"",IFERROR(AVERAGE(出来高!E117:AC117),""),"")</f>
        <v>2859836</v>
      </c>
      <c r="O147" s="186">
        <f t="shared" si="45"/>
        <v>0.42471578947368421</v>
      </c>
      <c r="P147" s="181" t="str">
        <f t="shared" si="46"/>
        <v>減少↓</v>
      </c>
      <c r="Q147" s="181" t="str">
        <f t="shared" si="47"/>
        <v>様子見▼</v>
      </c>
      <c r="R147" s="184">
        <f t="shared" si="54"/>
        <v>5574</v>
      </c>
      <c r="S147" s="184">
        <f t="shared" si="55"/>
        <v>4955</v>
      </c>
      <c r="T147" s="181">
        <f t="shared" si="51"/>
        <v>1</v>
      </c>
      <c r="U147" s="181" t="str">
        <f t="shared" si="56"/>
        <v>除外</v>
      </c>
      <c r="V147" s="181" t="str">
        <f t="shared" si="48"/>
        <v>通常</v>
      </c>
      <c r="W147" s="187">
        <f t="array" ref="W147">IF(C147&lt;&gt;"",IFERROR(100-100/(1+SUMPRODUCT((終値!F117:R117&gt;終値!G117:S117)*( 終値!F117:R117-終値!G117:S117))/SUMPRODUCT((終値!F117:R117&lt;終値!G117:S117)*(終値!G117:S117-終値!F117:R117))),50),"")</f>
        <v>54.199772985244039</v>
      </c>
      <c r="X147" s="188">
        <f>IF(C147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-77.40856714124584</v>
      </c>
      <c r="Y147" s="1" t="str">
        <f>IF(T147="","",IF(銘柄管理!$F$5="下落▼",IF(AND(AD147="パーフェクト▲",OR(AE147="25日線押し目●",AE147="5日線押し目○")),"★逆張り候補",IF(AND(AD147="上昇トレンド▲",OR(AE147="25日線押し目●",AE147="5日線押し目○")),"○逆張り候補",IF(W147&lt;=30,IF(Z147&gt;0,"◎反発確認",IF(Z147&lt;-5,"△要注意・様子見","△売られ過ぎ注目")),"相場下落・見送り"))),IF(AND(T147&gt;=12,AD147="パーフェクト▲"),"★強い買い",IF(AND(T147&gt;=12,AD147="上昇トレンド▲"),"★強い買い",IF(AND(T147&gt;=8,OR(AE147="25日線押し目●",AE147="5日線押し目○")),"◎押し目買い",IF(T147&gt;=10,"○買い候補",IF(T147&gt;=6,"△注目",IF(T147&gt;=3,"様子見","見送り"))))))))</f>
        <v>見送り</v>
      </c>
      <c r="Z147" s="189">
        <f t="shared" si="57"/>
        <v>-1.5827612509534708</v>
      </c>
      <c r="AA147" s="181" t="str">
        <f t="shared" si="58"/>
        <v>下落▼</v>
      </c>
      <c r="AB147" s="499">
        <f>IF(C147="","",IFERROR(((終値!E149*0.333)+(終値!F149*0.222)+(終値!G149*0.148)+(終値!H149*0.099)+(終値!I149*0.066)+(終値!J149*0.044)+(終値!K149*0.029)+(終値!L149*0.019)+(終値!M149*0.013)+(終値!N149*0.009))/(0.333+0.222+0.148+0.099+0.066+0.044+0.029+0.019+0.013+0.009),""))</f>
        <v>1332.9429735234212</v>
      </c>
      <c r="AC147" s="499">
        <f>IF(C147="","",IFERROR(SUMPRODUCT((終値!E149:AC149)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1477.9570917759233</v>
      </c>
      <c r="AD147" s="500" t="str">
        <f t="shared" si="49"/>
        <v>上昇トレンド▲</v>
      </c>
      <c r="AE147" s="500" t="str">
        <f t="shared" si="50"/>
        <v>なし</v>
      </c>
      <c r="AF147" s="403" cm="1">
        <f t="array" ref="AF147">IF(C147="","",IFERROR((INDEX(終値!$E:$E,MATCH(TEXT(C147,"0"),終値!$A:$A,0))-INDEX(終値!$E:$BL,MATCH(TEXT(C147,"0"),終値!$A:$A,0),$AL$2))/INDEX(終値!$E:$BL,MATCH(TEXT(C147,"0"),終値!$A:$A,0),$AL$2)*100,""))</f>
        <v>-14.538830932273555</v>
      </c>
      <c r="AG147" s="403" cm="1">
        <f t="array" ref="AG147">IFERROR((終値!$E$5-INDEX(終値!$E$5:$BL$5,1,$AL$2))/INDEX(終値!$E$5:$BL$5,1,$AL$2)*100,"")</f>
        <v>3.4532270246721688</v>
      </c>
      <c r="AH147" s="404">
        <f t="shared" si="52"/>
        <v>-17.992057956945725</v>
      </c>
      <c r="AI147" s="402">
        <f t="shared" si="53"/>
        <v>-2</v>
      </c>
    </row>
    <row r="148" spans="1:35" ht="18" customHeight="1">
      <c r="A148" s="181" t="str">
        <f>IF(銘柄管理!B121&lt;&gt;"",HYPERLINK("https://kabutan.jp/stock/?code="&amp;銘柄管理!B121,"株探"),"")</f>
        <v>株探</v>
      </c>
      <c r="B148" s="182"/>
      <c r="C148" s="183">
        <f>IF(銘柄管理!B121="","",銘柄管理!B121)</f>
        <v>7685</v>
      </c>
      <c r="D148" s="111" t="str">
        <f>IF(銘柄管理!C121="","",銘柄管理!C121)</f>
        <v>ＢＵＹＳＥＬＬＴＥＣＨ</v>
      </c>
      <c r="E148" s="184">
        <f>IF(C148&lt;&gt;"",_xll.RssMarket(C148,"現在値"),"")</f>
        <v>3595</v>
      </c>
      <c r="F148" s="184">
        <f>IF(C148&lt;&gt;"",_xll.RssMarket(C148,"始値"),"")</f>
        <v>3505</v>
      </c>
      <c r="G148" s="183">
        <f>IF(C148&lt;&gt;"",終値!F121,"")</f>
        <v>3630</v>
      </c>
      <c r="H148" s="184">
        <f>IF(C148&lt;&gt;"",_xll.RssMarket(C148,"高値"),"")</f>
        <v>3725</v>
      </c>
      <c r="I148" s="184">
        <f>IF(C148&lt;&gt;"",_xll.RssMarket(C148,"安値"),"")</f>
        <v>3500</v>
      </c>
      <c r="J148" s="184">
        <f>IF(C148&lt;&gt;"",_xll.RssMarket(C148,"出来高"),"")</f>
        <v>236400</v>
      </c>
      <c r="K148" s="184">
        <f>IF(C148&lt;&gt;"",_xll.RssMarket(C148,"年初来高値"),"")</f>
        <v>4155</v>
      </c>
      <c r="L148" s="185">
        <f t="shared" si="44"/>
        <v>-13.477737665463296</v>
      </c>
      <c r="M148" s="184">
        <f>IF(C148&lt;&gt;"",IFERROR(AVERAGE(出来高!E121:I121),""),"")</f>
        <v>310420</v>
      </c>
      <c r="N148" s="184">
        <f>IF(C148&lt;&gt;"",IFERROR(AVERAGE(出来高!E121:AC121),""),"")</f>
        <v>412336</v>
      </c>
      <c r="O148" s="186">
        <f t="shared" si="45"/>
        <v>0.76154886927388699</v>
      </c>
      <c r="P148" s="181" t="str">
        <f t="shared" si="46"/>
        <v>減少↓</v>
      </c>
      <c r="Q148" s="181" t="str">
        <f t="shared" si="47"/>
        <v>様子見▼</v>
      </c>
      <c r="R148" s="184">
        <f t="shared" si="54"/>
        <v>3883</v>
      </c>
      <c r="S148" s="184">
        <f t="shared" si="55"/>
        <v>3451</v>
      </c>
      <c r="T148" s="181">
        <f t="shared" si="51"/>
        <v>2</v>
      </c>
      <c r="U148" s="181" t="str">
        <f t="shared" si="56"/>
        <v>除外</v>
      </c>
      <c r="V148" s="181" t="str">
        <f t="shared" si="48"/>
        <v>通常</v>
      </c>
      <c r="W148" s="187">
        <f t="array" ref="W148">IF(C148&lt;&gt;"",IFERROR(100-100/(1+SUMPRODUCT((終値!F121:R121&gt;終値!G121:S121)*( 終値!F121:R121-終値!G121:S121))/SUMPRODUCT((終値!F121:R121&lt;終値!G121:S121)*(終値!G121:S121-終値!F121:R121))),50),"")</f>
        <v>42.585551330798481</v>
      </c>
      <c r="X148" s="188">
        <f>IF(C148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-0.97194305024140704</v>
      </c>
      <c r="Y148" s="1" t="str">
        <f>IF(T148="","",IF(銘柄管理!$F$5="下落▼",IF(AND(AD148="パーフェクト▲",OR(AE148="25日線押し目●",AE148="5日線押し目○")),"★逆張り候補",IF(AND(AD148="上昇トレンド▲",OR(AE148="25日線押し目●",AE148="5日線押し目○")),"○逆張り候補",IF(W148&lt;=30,IF(Z148&gt;0,"◎反発確認",IF(Z148&lt;-5,"△要注意・様子見","△売られ過ぎ注目")),"相場下落・見送り"))),IF(AND(T148&gt;=12,AD148="パーフェクト▲"),"★強い買い",IF(AND(T148&gt;=12,AD148="上昇トレンド▲"),"★強い買い",IF(AND(T148&gt;=8,OR(AE148="25日線押し目●",AE148="5日線押し目○")),"◎押し目買い",IF(T148&gt;=10,"○買い候補",IF(T148&gt;=6,"△注目",IF(T148&gt;=3,"様子見","見送り"))))))))</f>
        <v>見送り</v>
      </c>
      <c r="Z148" s="189">
        <f t="shared" si="57"/>
        <v>-0.96418732782369143</v>
      </c>
      <c r="AA148" s="181" t="str">
        <f t="shared" si="58"/>
        <v>下落▼</v>
      </c>
      <c r="AB148" s="497">
        <f>IF(C148="","",IFERROR(((終値!E150*0.333)+(終値!F150*0.222)+(終値!G150*0.148)+(終値!H150*0.099)+(終値!I150*0.066)+(終値!J150*0.044)+(終値!K150*0.029)+(終値!L150*0.019)+(終値!M150*0.013)+(終値!N150*0.009))/(0.333+0.222+0.148+0.099+0.066+0.044+0.029+0.019+0.013+0.009),""))</f>
        <v>4588.3727087576372</v>
      </c>
      <c r="AC148" s="497">
        <f>IF(C148="","",IFERROR(SUMPRODUCT((終値!E150:AC150)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4689.0286054827147</v>
      </c>
      <c r="AD148" s="498" t="str">
        <f t="shared" si="49"/>
        <v>下降トレンド▼</v>
      </c>
      <c r="AE148" s="498" t="str">
        <f t="shared" si="50"/>
        <v>なし</v>
      </c>
      <c r="AF148" s="403" cm="1">
        <f t="array" ref="AF148">IF(C148="","",IFERROR((INDEX(終値!$E:$E,MATCH(TEXT(C148,"0"),終値!$A:$A,0))-INDEX(終値!$E:$BL,MATCH(TEXT(C148,"0"),終値!$A:$A,0),$AL$2))/INDEX(終値!$E:$BL,MATCH(TEXT(C148,"0"),終値!$A:$A,0),$AL$2)*100,""))</f>
        <v>4.3541364296081273</v>
      </c>
      <c r="AG148" s="403" cm="1">
        <f t="array" ref="AG148">IFERROR((終値!$E$5-INDEX(終値!$E$5:$BL$5,1,$AL$2))/INDEX(終値!$E$5:$BL$5,1,$AL$2)*100,"")</f>
        <v>3.4532270246721688</v>
      </c>
      <c r="AH148" s="404">
        <f t="shared" si="52"/>
        <v>0.9009094049359585</v>
      </c>
      <c r="AI148" s="402">
        <f t="shared" si="53"/>
        <v>1</v>
      </c>
    </row>
    <row r="149" spans="1:35" ht="18" customHeight="1">
      <c r="A149" s="181" t="str">
        <f>IF(銘柄管理!B125&lt;&gt;"",HYPERLINK("https://kabutan.jp/stock/?code="&amp;銘柄管理!B125,"株探"),"")</f>
        <v>株探</v>
      </c>
      <c r="B149" s="182"/>
      <c r="C149" s="183">
        <f>IF(銘柄管理!B125="","",銘柄管理!B125)</f>
        <v>8934</v>
      </c>
      <c r="D149" s="111" t="str">
        <f>IF(銘柄管理!C125="","",銘柄管理!C125)</f>
        <v>サンフロンティア不動産</v>
      </c>
      <c r="E149" s="184">
        <f>IF(C149&lt;&gt;"",_xll.RssMarket(C149,"現在値"),"")</f>
        <v>2359</v>
      </c>
      <c r="F149" s="184">
        <f>IF(C149&lt;&gt;"",_xll.RssMarket(C149,"始値"),"")</f>
        <v>2388</v>
      </c>
      <c r="G149" s="183">
        <f>IF(C149&lt;&gt;"",終値!F125,"")</f>
        <v>2361</v>
      </c>
      <c r="H149" s="184">
        <f>IF(C149&lt;&gt;"",_xll.RssMarket(C149,"高値"),"")</f>
        <v>2395</v>
      </c>
      <c r="I149" s="184">
        <f>IF(C149&lt;&gt;"",_xll.RssMarket(C149,"安値"),"")</f>
        <v>2353</v>
      </c>
      <c r="J149" s="184">
        <f>IF(C149&lt;&gt;"",_xll.RssMarket(C149,"出来高"),"")</f>
        <v>100500</v>
      </c>
      <c r="K149" s="184">
        <f>IF(C149&lt;&gt;"",_xll.RssMarket(C149,"年初来高値"),"")</f>
        <v>2885</v>
      </c>
      <c r="L149" s="185">
        <f t="shared" si="44"/>
        <v>-18.232235701906411</v>
      </c>
      <c r="M149" s="184">
        <f>IF(C149&lt;&gt;"",IFERROR(AVERAGE(出来高!E125:I125),""),"")</f>
        <v>130100</v>
      </c>
      <c r="N149" s="184">
        <f>IF(C149&lt;&gt;"",IFERROR(AVERAGE(出来高!E125:AC125),""),"")</f>
        <v>175220</v>
      </c>
      <c r="O149" s="186">
        <f t="shared" si="45"/>
        <v>0.77248270561106835</v>
      </c>
      <c r="P149" s="181" t="str">
        <f t="shared" si="46"/>
        <v>減少↓</v>
      </c>
      <c r="Q149" s="181" t="str">
        <f t="shared" si="47"/>
        <v>様子見▼</v>
      </c>
      <c r="R149" s="184">
        <f t="shared" si="54"/>
        <v>2548</v>
      </c>
      <c r="S149" s="184">
        <f t="shared" si="55"/>
        <v>2265</v>
      </c>
      <c r="T149" s="181">
        <f t="shared" si="51"/>
        <v>-1</v>
      </c>
      <c r="U149" s="181" t="str">
        <f t="shared" si="56"/>
        <v>除外</v>
      </c>
      <c r="V149" s="181" t="str">
        <f t="shared" si="48"/>
        <v>通常</v>
      </c>
      <c r="W149" s="187">
        <f t="array" ref="W149">IF(C149&lt;&gt;"",IFERROR(100-100/(1+SUMPRODUCT((終値!F125:R125&gt;終値!G125:S125)*( 終値!F125:R125-終値!G125:S125))/SUMPRODUCT((終値!F125:R125&lt;終値!G125:S125)*(終値!G125:S125-終値!F125:R125))),50),"")</f>
        <v>52.777777777777779</v>
      </c>
      <c r="X149" s="188">
        <f>IF(C149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-8.7196135950225653</v>
      </c>
      <c r="Y149" s="1" t="str">
        <f>IF(T149="","",IF(銘柄管理!$F$5="下落▼",IF(AND(AD149="パーフェクト▲",OR(AE149="25日線押し目●",AE149="5日線押し目○")),"★逆張り候補",IF(AND(AD149="上昇トレンド▲",OR(AE149="25日線押し目●",AE149="5日線押し目○")),"○逆張り候補",IF(W149&lt;=30,IF(Z149&gt;0,"◎反発確認",IF(Z149&lt;-5,"△要注意・様子見","△売られ過ぎ注目")),"相場下落・見送り"))),IF(AND(T149&gt;=12,AD149="パーフェクト▲"),"★強い買い",IF(AND(T149&gt;=12,AD149="上昇トレンド▲"),"★強い買い",IF(AND(T149&gt;=8,OR(AE149="25日線押し目●",AE149="5日線押し目○")),"◎押し目買い",IF(T149&gt;=10,"○買い候補",IF(T149&gt;=6,"△注目",IF(T149&gt;=3,"様子見","見送り"))))))))</f>
        <v>見送り</v>
      </c>
      <c r="Z149" s="189">
        <f t="shared" si="57"/>
        <v>-8.4709868699703511E-2</v>
      </c>
      <c r="AA149" s="181" t="str">
        <f t="shared" si="58"/>
        <v>下落▼</v>
      </c>
      <c r="AB149" s="499">
        <f>IF(C149="","",IFERROR(((終値!E151*0.333)+(終値!F151*0.222)+(終値!G151*0.148)+(終値!H151*0.099)+(終値!I151*0.066)+(終値!J151*0.044)+(終値!K151*0.029)+(終値!L151*0.019)+(終値!M151*0.013)+(終値!N151*0.009))/(0.333+0.222+0.148+0.099+0.066+0.044+0.029+0.019+0.013+0.009),""))</f>
        <v>6551.8024439918509</v>
      </c>
      <c r="AC149" s="499">
        <f>IF(C149="","",IFERROR(SUMPRODUCT((終値!E151:AC151)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6723.6233611442167</v>
      </c>
      <c r="AD149" s="500" t="str">
        <f t="shared" si="49"/>
        <v>下降トレンド▼</v>
      </c>
      <c r="AE149" s="500" t="str">
        <f t="shared" si="50"/>
        <v>なし</v>
      </c>
      <c r="AF149" s="403" cm="1">
        <f t="array" ref="AF149">IF(C149="","",IFERROR((INDEX(終値!$E:$E,MATCH(TEXT(C149,"0"),終値!$A:$A,0))-INDEX(終値!$E:$BL,MATCH(TEXT(C149,"0"),終値!$A:$A,0),$AL$2))/INDEX(終値!$E:$BL,MATCH(TEXT(C149,"0"),終値!$A:$A,0),$AL$2)*100,""))</f>
        <v>-3.4383954154727796</v>
      </c>
      <c r="AG149" s="403" cm="1">
        <f t="array" ref="AG149">IFERROR((終値!$E$5-INDEX(終値!$E$5:$BL$5,1,$AL$2))/INDEX(終値!$E$5:$BL$5,1,$AL$2)*100,"")</f>
        <v>3.4532270246721688</v>
      </c>
      <c r="AH149" s="404">
        <f t="shared" si="52"/>
        <v>-6.891622440144948</v>
      </c>
      <c r="AI149" s="402">
        <f t="shared" si="53"/>
        <v>-2</v>
      </c>
    </row>
    <row r="150" spans="1:35" ht="18" customHeight="1">
      <c r="A150" s="181" t="str">
        <f>IF(銘柄管理!B137&lt;&gt;"",HYPERLINK("https://kabutan.jp/stock/?code="&amp;銘柄管理!B137,"株探"),"")</f>
        <v>株探</v>
      </c>
      <c r="B150" s="182"/>
      <c r="C150" s="183">
        <f>IF(銘柄管理!B137="","",銘柄管理!B137)</f>
        <v>6085</v>
      </c>
      <c r="D150" s="111" t="str">
        <f>IF(銘柄管理!C137="","",銘柄管理!C137)</f>
        <v>アーキテクツＳＪ</v>
      </c>
      <c r="E150" s="184">
        <f>IF(C150&lt;&gt;"",_xll.RssMarket(C150,"現在値"),"")</f>
        <v>320</v>
      </c>
      <c r="F150" s="184">
        <f>IF(C150&lt;&gt;"",_xll.RssMarket(C150,"始値"),"")</f>
        <v>321</v>
      </c>
      <c r="G150" s="183">
        <f>IF(C150&lt;&gt;"",終値!F137,"")</f>
        <v>313</v>
      </c>
      <c r="H150" s="184">
        <f>IF(C150&lt;&gt;"",_xll.RssMarket(C150,"高値"),"")</f>
        <v>327</v>
      </c>
      <c r="I150" s="184">
        <f>IF(C150&lt;&gt;"",_xll.RssMarket(C150,"安値"),"")</f>
        <v>308</v>
      </c>
      <c r="J150" s="184">
        <f>IF(C150&lt;&gt;"",_xll.RssMarket(C150,"出来高"),"")</f>
        <v>1747900</v>
      </c>
      <c r="K150" s="184">
        <f>IF(C150&lt;&gt;"",_xll.RssMarket(C150,"年初来高値"),"")</f>
        <v>720</v>
      </c>
      <c r="L150" s="185">
        <f t="shared" si="44"/>
        <v>-55.555555555555557</v>
      </c>
      <c r="M150" s="184">
        <f>IF(C150&lt;&gt;"",IFERROR(AVERAGE(出来高!E137:I137),""),"")</f>
        <v>4114040</v>
      </c>
      <c r="N150" s="184">
        <f>IF(C150&lt;&gt;"",IFERROR(AVERAGE(出来高!E137:AC137),""),"")</f>
        <v>4761588</v>
      </c>
      <c r="O150" s="186">
        <f t="shared" si="45"/>
        <v>0.42486217926903969</v>
      </c>
      <c r="P150" s="181" t="str">
        <f t="shared" si="46"/>
        <v>減少↓</v>
      </c>
      <c r="Q150" s="181" t="str">
        <f t="shared" si="47"/>
        <v>中立→</v>
      </c>
      <c r="R150" s="184">
        <f t="shared" si="54"/>
        <v>346</v>
      </c>
      <c r="S150" s="184">
        <f t="shared" si="55"/>
        <v>307</v>
      </c>
      <c r="T150" s="181">
        <f t="shared" si="51"/>
        <v>1</v>
      </c>
      <c r="U150" s="181" t="str">
        <f t="shared" si="56"/>
        <v>除外</v>
      </c>
      <c r="V150" s="181" t="str">
        <f t="shared" si="48"/>
        <v>通常</v>
      </c>
      <c r="W150" s="187">
        <f t="array" ref="W150">IF(C150&lt;&gt;"",IFERROR(100-100/(1+SUMPRODUCT((終値!F137:R137&gt;終値!G137:S137)*( 終値!F137:R137-終値!G137:S137))/SUMPRODUCT((終値!F137:R137&lt;終値!G137:S137)*(終値!G137:S137-終値!F137:R137))),50),"")</f>
        <v>33.542319749216304</v>
      </c>
      <c r="X150" s="188">
        <f>IF(C150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-21.069503540453184</v>
      </c>
      <c r="Y150" s="1" t="str">
        <f>IF(T150="","",IF(銘柄管理!$F$5="下落▼",IF(AND(AD150="パーフェクト▲",OR(AE150="25日線押し目●",AE150="5日線押し目○")),"★逆張り候補",IF(AND(AD150="上昇トレンド▲",OR(AE150="25日線押し目●",AE150="5日線押し目○")),"○逆張り候補",IF(W150&lt;=30,IF(Z150&gt;0,"◎反発確認",IF(Z150&lt;-5,"△要注意・様子見","△売られ過ぎ注目")),"相場下落・見送り"))),IF(AND(T150&gt;=12,AD150="パーフェクト▲"),"★強い買い",IF(AND(T150&gt;=12,AD150="上昇トレンド▲"),"★強い買い",IF(AND(T150&gt;=8,OR(AE150="25日線押し目●",AE150="5日線押し目○")),"◎押し目買い",IF(T150&gt;=10,"○買い候補",IF(T150&gt;=6,"△注目",IF(T150&gt;=3,"様子見","見送り"))))))))</f>
        <v>見送り</v>
      </c>
      <c r="Z150" s="189">
        <f t="shared" si="57"/>
        <v>2.2364217252396164</v>
      </c>
      <c r="AA150" s="181" t="str">
        <f t="shared" si="58"/>
        <v>上昇▲</v>
      </c>
      <c r="AB150" s="497">
        <f>IF(C150="","",IFERROR(((終値!E152*0.333)+(終値!F152*0.222)+(終値!G152*0.148)+(終値!H152*0.099)+(終値!I152*0.066)+(終値!J152*0.044)+(終値!K152*0.029)+(終値!L152*0.019)+(終値!M152*0.013)+(終値!N152*0.009))/(0.333+0.222+0.148+0.099+0.066+0.044+0.029+0.019+0.013+0.009),""))</f>
        <v>987.37881873727065</v>
      </c>
      <c r="AC150" s="497">
        <f>IF(C150="","",IFERROR(SUMPRODUCT((終値!E152:AC152)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1009.9356376638854</v>
      </c>
      <c r="AD150" s="498" t="str">
        <f t="shared" si="49"/>
        <v>下降トレンド▼</v>
      </c>
      <c r="AE150" s="498" t="str">
        <f t="shared" si="50"/>
        <v>なし</v>
      </c>
      <c r="AF150" s="403" cm="1">
        <f t="array" ref="AF150">IF(C150="","",IFERROR((INDEX(終値!$E:$E,MATCH(TEXT(C150,"0"),終値!$A:$A,0))-INDEX(終値!$E:$BL,MATCH(TEXT(C150,"0"),終値!$A:$A,0),$AL$2))/INDEX(終値!$E:$BL,MATCH(TEXT(C150,"0"),終値!$A:$A,0),$AL$2)*100,""))</f>
        <v>-39.622641509433961</v>
      </c>
      <c r="AG150" s="403" cm="1">
        <f t="array" ref="AG150">IFERROR((終値!$E$5-INDEX(終値!$E$5:$BL$5,1,$AL$2))/INDEX(終値!$E$5:$BL$5,1,$AL$2)*100,"")</f>
        <v>3.4532270246721688</v>
      </c>
      <c r="AH150" s="404">
        <f t="shared" si="52"/>
        <v>-43.075868534106128</v>
      </c>
      <c r="AI150" s="402">
        <f t="shared" si="53"/>
        <v>-2</v>
      </c>
    </row>
    <row r="151" spans="1:35" ht="18" customHeight="1">
      <c r="A151" s="181" t="str">
        <f>IF(銘柄管理!B150&lt;&gt;"",HYPERLINK("https://kabutan.jp/stock/?code="&amp;銘柄管理!B150,"株探"),"")</f>
        <v>株探</v>
      </c>
      <c r="B151" s="182"/>
      <c r="C151" s="183">
        <f>IF(銘柄管理!B150="","",銘柄管理!B150)</f>
        <v>4307</v>
      </c>
      <c r="D151" s="111" t="str">
        <f>IF(銘柄管理!C150="","",銘柄管理!C150)</f>
        <v>野村総合研究所</v>
      </c>
      <c r="E151" s="184">
        <f>IF(C151&lt;&gt;"",_xll.RssMarket(C151,"現在値"),"")</f>
        <v>4596</v>
      </c>
      <c r="F151" s="184">
        <f>IF(C151&lt;&gt;"",_xll.RssMarket(C151,"始値"),"")</f>
        <v>4550</v>
      </c>
      <c r="G151" s="183">
        <f>IF(C151&lt;&gt;"",終値!F150,"")</f>
        <v>4505</v>
      </c>
      <c r="H151" s="184">
        <f>IF(C151&lt;&gt;"",_xll.RssMarket(C151,"高値"),"")</f>
        <v>4649</v>
      </c>
      <c r="I151" s="184">
        <f>IF(C151&lt;&gt;"",_xll.RssMarket(C151,"安値"),"")</f>
        <v>4475</v>
      </c>
      <c r="J151" s="184">
        <f>IF(C151&lt;&gt;"",_xll.RssMarket(C151,"出来高"),"")</f>
        <v>1885500</v>
      </c>
      <c r="K151" s="184">
        <f>IF(C151&lt;&gt;"",_xll.RssMarket(C151,"年初来高値"),"")</f>
        <v>6300</v>
      </c>
      <c r="L151" s="185">
        <f t="shared" si="44"/>
        <v>-27.047619047619047</v>
      </c>
      <c r="M151" s="184">
        <f>IF(C151&lt;&gt;"",IFERROR(AVERAGE(出来高!E150:I150),""),"")</f>
        <v>2133620</v>
      </c>
      <c r="N151" s="184">
        <f>IF(C151&lt;&gt;"",IFERROR(AVERAGE(出来高!E150:AC150),""),"")</f>
        <v>3530716</v>
      </c>
      <c r="O151" s="186">
        <f t="shared" si="45"/>
        <v>0.88370937655252579</v>
      </c>
      <c r="P151" s="181" t="str">
        <f t="shared" si="46"/>
        <v>減少↓</v>
      </c>
      <c r="Q151" s="181" t="str">
        <f t="shared" si="47"/>
        <v>中立→</v>
      </c>
      <c r="R151" s="184">
        <f t="shared" si="54"/>
        <v>4964</v>
      </c>
      <c r="S151" s="184">
        <f t="shared" si="55"/>
        <v>4412</v>
      </c>
      <c r="T151" s="181">
        <f t="shared" si="51"/>
        <v>8</v>
      </c>
      <c r="U151" s="181" t="str">
        <f t="shared" si="56"/>
        <v>要確認</v>
      </c>
      <c r="V151" s="181" t="str">
        <f t="shared" si="48"/>
        <v>通常</v>
      </c>
      <c r="W151" s="187">
        <f t="array" ref="W151">IF(C151&lt;&gt;"",IFERROR(100-100/(1+SUMPRODUCT((終値!F150:R150&gt;終値!G150:S150)*( 終値!F150:R150-終値!G150:S150))/SUMPRODUCT((終値!F150:R150&lt;終値!G150:S150)*(終値!G150:S150-終値!F150:R150))),50),"")</f>
        <v>46.711739397664417</v>
      </c>
      <c r="X151" s="188">
        <f>IF(C151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2.1919009389466737</v>
      </c>
      <c r="Y151" s="1" t="str">
        <f>IF(T151="","",IF(銘柄管理!$F$5="下落▼",IF(AND(AD151="パーフェクト▲",OR(AE151="25日線押し目●",AE151="5日線押し目○")),"★逆張り候補",IF(AND(AD151="上昇トレンド▲",OR(AE151="25日線押し目●",AE151="5日線押し目○")),"○逆張り候補",IF(W151&lt;=30,IF(Z151&gt;0,"◎反発確認",IF(Z151&lt;-5,"△要注意・様子見","△売られ過ぎ注目")),"相場下落・見送り"))),IF(AND(T151&gt;=12,AD151="パーフェクト▲"),"★強い買い",IF(AND(T151&gt;=12,AD151="上昇トレンド▲"),"★強い買い",IF(AND(T151&gt;=8,OR(AE151="25日線押し目●",AE151="5日線押し目○")),"◎押し目買い",IF(T151&gt;=10,"○買い候補",IF(T151&gt;=6,"△注目",IF(T151&gt;=3,"様子見","見送り"))))))))</f>
        <v>△注目</v>
      </c>
      <c r="Z151" s="189">
        <f t="shared" si="57"/>
        <v>2.0199778024417312</v>
      </c>
      <c r="AA151" s="181" t="str">
        <f t="shared" si="58"/>
        <v>上昇▲</v>
      </c>
      <c r="AB151" s="499">
        <f>IF(C151="","",IFERROR(((終値!E153*0.333)+(終値!F153*0.222)+(終値!G153*0.148)+(終値!H153*0.099)+(終値!I153*0.066)+(終値!J153*0.044)+(終値!K153*0.029)+(終値!L153*0.019)+(終値!M153*0.013)+(終値!N153*0.009))/(0.333+0.222+0.148+0.099+0.066+0.044+0.029+0.019+0.013+0.009),""))</f>
        <v>3117.5651731160897</v>
      </c>
      <c r="AC151" s="499">
        <f>IF(C151="","",IFERROR(SUMPRODUCT((終値!E153:AC153)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3126.9404052443365</v>
      </c>
      <c r="AD151" s="500" t="str">
        <f t="shared" si="49"/>
        <v>上昇トレンド▲</v>
      </c>
      <c r="AE151" s="500" t="str">
        <f t="shared" si="50"/>
        <v>なし</v>
      </c>
      <c r="AF151" s="403" cm="1">
        <f t="array" ref="AF151">IF(C151="","",IFERROR((INDEX(終値!$E:$E,MATCH(TEXT(C151,"0"),終値!$A:$A,0))-INDEX(終値!$E:$BL,MATCH(TEXT(C151,"0"),終値!$A:$A,0),$AL$2))/INDEX(終値!$E:$BL,MATCH(TEXT(C151,"0"),終値!$A:$A,0),$AL$2)*100,""))</f>
        <v>10.110206037374221</v>
      </c>
      <c r="AG151" s="403" cm="1">
        <f t="array" ref="AG151">IFERROR((終値!$E$5-INDEX(終値!$E$5:$BL$5,1,$AL$2))/INDEX(終値!$E$5:$BL$5,1,$AL$2)*100,"")</f>
        <v>3.4532270246721688</v>
      </c>
      <c r="AH151" s="404">
        <f t="shared" si="52"/>
        <v>6.6569790127020525</v>
      </c>
      <c r="AI151" s="402">
        <f t="shared" si="53"/>
        <v>3</v>
      </c>
    </row>
    <row r="152" spans="1:35" ht="18" customHeight="1">
      <c r="A152" s="181" t="str">
        <f>IF(銘柄管理!B157&lt;&gt;"",HYPERLINK("https://kabutan.jp/stock/?code="&amp;銘柄管理!B157,"株探"),"")</f>
        <v>株探</v>
      </c>
      <c r="B152" s="182"/>
      <c r="C152" s="183">
        <f>IF(銘柄管理!B157="","",銘柄管理!B157)</f>
        <v>4091</v>
      </c>
      <c r="D152" s="111" t="str">
        <f>IF(銘柄管理!C157="","",銘柄管理!C157)</f>
        <v>日本酸素ＨＬＤＧＳ</v>
      </c>
      <c r="E152" s="184">
        <f>IF(C152&lt;&gt;"",_xll.RssMarket(C152,"現在値"),"")</f>
        <v>5590</v>
      </c>
      <c r="F152" s="184">
        <f>IF(C152&lt;&gt;"",_xll.RssMarket(C152,"始値"),"")</f>
        <v>5561</v>
      </c>
      <c r="G152" s="183">
        <f>IF(C152&lt;&gt;"",終値!F157,"")</f>
        <v>5534</v>
      </c>
      <c r="H152" s="184">
        <f>IF(C152&lt;&gt;"",_xll.RssMarket(C152,"高値"),"")</f>
        <v>5615</v>
      </c>
      <c r="I152" s="184">
        <f>IF(C152&lt;&gt;"",_xll.RssMarket(C152,"安値"),"")</f>
        <v>5480</v>
      </c>
      <c r="J152" s="184">
        <f>IF(C152&lt;&gt;"",_xll.RssMarket(C152,"出来高"),"")</f>
        <v>375300</v>
      </c>
      <c r="K152" s="184">
        <f>IF(C152&lt;&gt;"",_xll.RssMarket(C152,"年初来高値"),"")</f>
        <v>6509</v>
      </c>
      <c r="L152" s="185">
        <f t="shared" si="44"/>
        <v>-14.118912275311107</v>
      </c>
      <c r="M152" s="184">
        <f>IF(C152&lt;&gt;"",IFERROR(AVERAGE(出来高!E157:I157),""),"")</f>
        <v>524040</v>
      </c>
      <c r="N152" s="184">
        <f>IF(C152&lt;&gt;"",IFERROR(AVERAGE(出来高!E157:AC157),""),"")</f>
        <v>886952</v>
      </c>
      <c r="O152" s="186">
        <f t="shared" si="45"/>
        <v>0.7161667048316922</v>
      </c>
      <c r="P152" s="181" t="str">
        <f t="shared" si="46"/>
        <v>減少↓</v>
      </c>
      <c r="Q152" s="181" t="str">
        <f t="shared" si="47"/>
        <v>中立→</v>
      </c>
      <c r="R152" s="184">
        <f t="shared" si="54"/>
        <v>6037</v>
      </c>
      <c r="S152" s="184">
        <f t="shared" si="55"/>
        <v>5366</v>
      </c>
      <c r="T152" s="181">
        <f t="shared" si="51"/>
        <v>2</v>
      </c>
      <c r="U152" s="181" t="str">
        <f t="shared" si="56"/>
        <v>除外</v>
      </c>
      <c r="V152" s="181" t="str">
        <f t="shared" si="48"/>
        <v>通常</v>
      </c>
      <c r="W152" s="187">
        <f t="array" ref="W152">IF(C152&lt;&gt;"",IFERROR(100-100/(1+SUMPRODUCT((終値!F157:R157&gt;終値!G157:S157)*( 終値!F157:R157-終値!G157:S157))/SUMPRODUCT((終値!F157:R157&lt;終値!G157:S157)*(終値!G157:S157-終値!F157:R157))),50),"")</f>
        <v>23.802914642609295</v>
      </c>
      <c r="X152" s="188">
        <f>IF(C152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-96.63383670528583</v>
      </c>
      <c r="Y152" s="1" t="str">
        <f>IF(T152="","",IF(銘柄管理!$F$5="下落▼",IF(AND(AD152="パーフェクト▲",OR(AE152="25日線押し目●",AE152="5日線押し目○")),"★逆張り候補",IF(AND(AD152="上昇トレンド▲",OR(AE152="25日線押し目●",AE152="5日線押し目○")),"○逆張り候補",IF(W152&lt;=30,IF(Z152&gt;0,"◎反発確認",IF(Z152&lt;-5,"△要注意・様子見","△売られ過ぎ注目")),"相場下落・見送り"))),IF(AND(T152&gt;=12,AD152="パーフェクト▲"),"★強い買い",IF(AND(T152&gt;=12,AD152="上昇トレンド▲"),"★強い買い",IF(AND(T152&gt;=8,OR(AE152="25日線押し目●",AE152="5日線押し目○")),"◎押し目買い",IF(T152&gt;=10,"○買い候補",IF(T152&gt;=6,"△注目",IF(T152&gt;=3,"様子見","見送り"))))))))</f>
        <v>見送り</v>
      </c>
      <c r="Z152" s="189">
        <f t="shared" si="57"/>
        <v>1.0119262739428985</v>
      </c>
      <c r="AA152" s="181" t="str">
        <f t="shared" si="58"/>
        <v>上昇▲</v>
      </c>
      <c r="AB152" s="497">
        <f>IF(C152="","",IFERROR(((終値!E154*0.333)+(終値!F154*0.222)+(終値!G154*0.148)+(終値!H154*0.099)+(終値!I154*0.066)+(終値!J154*0.044)+(終値!K154*0.029)+(終値!L154*0.019)+(終値!M154*0.013)+(終値!N154*0.009))/(0.333+0.222+0.148+0.099+0.066+0.044+0.029+0.019+0.013+0.009),""))</f>
        <v>9939.6853360488767</v>
      </c>
      <c r="AC152" s="497">
        <f>IF(C152="","",IFERROR(SUMPRODUCT((終値!E154:AC154)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8946.3635280095332</v>
      </c>
      <c r="AD152" s="498" t="str">
        <f t="shared" si="49"/>
        <v>もみ合い→</v>
      </c>
      <c r="AE152" s="498" t="str">
        <f t="shared" si="50"/>
        <v>なし</v>
      </c>
      <c r="AF152" s="403" cm="1">
        <f t="array" ref="AF152">IF(C152="","",IFERROR((INDEX(終値!$E:$E,MATCH(TEXT(C152,"0"),終値!$A:$A,0))-INDEX(終値!$E:$BL,MATCH(TEXT(C152,"0"),終値!$A:$A,0),$AL$2))/INDEX(終値!$E:$BL,MATCH(TEXT(C152,"0"),終値!$A:$A,0),$AL$2)*100,""))</f>
        <v>-8.2553750205153467</v>
      </c>
      <c r="AG152" s="403" cm="1">
        <f t="array" ref="AG152">IFERROR((終値!$E$5-INDEX(終値!$E$5:$BL$5,1,$AL$2))/INDEX(終値!$E$5:$BL$5,1,$AL$2)*100,"")</f>
        <v>3.4532270246721688</v>
      </c>
      <c r="AH152" s="404">
        <f t="shared" si="52"/>
        <v>-11.708602045187515</v>
      </c>
      <c r="AI152" s="402">
        <f t="shared" si="53"/>
        <v>-2</v>
      </c>
    </row>
    <row r="153" spans="1:35" ht="18" customHeight="1">
      <c r="A153" s="181" t="str">
        <f>IF(銘柄管理!B166&lt;&gt;"",HYPERLINK("https://kabutan.jp/stock/?code="&amp;銘柄管理!B166,"株探"),"")</f>
        <v>株探</v>
      </c>
      <c r="B153" s="182"/>
      <c r="C153" s="183">
        <f>IF(銘柄管理!B166="","",銘柄管理!B166)</f>
        <v>9733</v>
      </c>
      <c r="D153" s="111" t="str">
        <f>IF(銘柄管理!C166="","",銘柄管理!C166)</f>
        <v>ナガセ</v>
      </c>
      <c r="E153" s="184">
        <f>IF(C153&lt;&gt;"",_xll.RssMarket(C153,"現在値"),"")</f>
        <v>2201</v>
      </c>
      <c r="F153" s="184">
        <f>IF(C153&lt;&gt;"",_xll.RssMarket(C153,"始値"),"")</f>
        <v>2234</v>
      </c>
      <c r="G153" s="183">
        <f>IF(C153&lt;&gt;"",終値!F166,"")</f>
        <v>2203</v>
      </c>
      <c r="H153" s="184">
        <f>IF(C153&lt;&gt;"",_xll.RssMarket(C153,"高値"),"")</f>
        <v>2238</v>
      </c>
      <c r="I153" s="184">
        <f>IF(C153&lt;&gt;"",_xll.RssMarket(C153,"安値"),"")</f>
        <v>2201</v>
      </c>
      <c r="J153" s="184">
        <f>IF(C153&lt;&gt;"",_xll.RssMarket(C153,"出来高"),"")</f>
        <v>27000</v>
      </c>
      <c r="K153" s="184">
        <f>IF(C153&lt;&gt;"",_xll.RssMarket(C153,"年初来高値"),"")</f>
        <v>2877</v>
      </c>
      <c r="L153" s="185">
        <f t="shared" si="44"/>
        <v>-23.496697949252692</v>
      </c>
      <c r="M153" s="184">
        <f>IF(C153&lt;&gt;"",IFERROR(AVERAGE(出来高!E166:I166),""),"")</f>
        <v>24040</v>
      </c>
      <c r="N153" s="184">
        <f>IF(C153&lt;&gt;"",IFERROR(AVERAGE(出来高!E166:AC166),""),"")</f>
        <v>23480</v>
      </c>
      <c r="O153" s="186">
        <f t="shared" si="45"/>
        <v>1.1231281198003327</v>
      </c>
      <c r="P153" s="181" t="str">
        <f t="shared" si="46"/>
        <v>普通→</v>
      </c>
      <c r="Q153" s="181" t="str">
        <f t="shared" si="47"/>
        <v>様子見▼</v>
      </c>
      <c r="R153" s="184">
        <f t="shared" si="54"/>
        <v>2377</v>
      </c>
      <c r="S153" s="184">
        <f t="shared" si="55"/>
        <v>2113</v>
      </c>
      <c r="T153" s="181">
        <f t="shared" si="51"/>
        <v>1</v>
      </c>
      <c r="U153" s="181" t="str">
        <f t="shared" si="56"/>
        <v>除外</v>
      </c>
      <c r="V153" s="181" t="str">
        <f t="shared" si="48"/>
        <v>通常</v>
      </c>
      <c r="W153" s="187">
        <f t="array" ref="W153">IF(C153&lt;&gt;"",IFERROR(100-100/(1+SUMPRODUCT((終値!F166:R166&gt;終値!G166:S166)*( 終値!F166:R166-終値!G166:S166))/SUMPRODUCT((終値!F166:R166&lt;終値!G166:S166)*(終値!G166:S166-終値!F166:R166))),50),"")</f>
        <v>36.742424242424242</v>
      </c>
      <c r="X153" s="188">
        <f>IF(C153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-11.285626435385439</v>
      </c>
      <c r="Y153" s="1" t="str">
        <f>IF(T153="","",IF(銘柄管理!$F$5="下落▼",IF(AND(AD153="パーフェクト▲",OR(AE153="25日線押し目●",AE153="5日線押し目○")),"★逆張り候補",IF(AND(AD153="上昇トレンド▲",OR(AE153="25日線押し目●",AE153="5日線押し目○")),"○逆張り候補",IF(W153&lt;=30,IF(Z153&gt;0,"◎反発確認",IF(Z153&lt;-5,"△要注意・様子見","△売られ過ぎ注目")),"相場下落・見送り"))),IF(AND(T153&gt;=12,AD153="パーフェクト▲"),"★強い買い",IF(AND(T153&gt;=12,AD153="上昇トレンド▲"),"★強い買い",IF(AND(T153&gt;=8,OR(AE153="25日線押し目●",AE153="5日線押し目○")),"◎押し目買い",IF(T153&gt;=10,"○買い候補",IF(T153&gt;=6,"△注目",IF(T153&gt;=3,"様子見","見送り"))))))))</f>
        <v>見送り</v>
      </c>
      <c r="Z153" s="189">
        <f t="shared" si="57"/>
        <v>-9.0785292782569221E-2</v>
      </c>
      <c r="AA153" s="181" t="str">
        <f t="shared" si="58"/>
        <v>下落▼</v>
      </c>
      <c r="AB153" s="499">
        <f>IF(C153="","",IFERROR(((終値!E155*0.333)+(終値!F155*0.222)+(終値!G155*0.148)+(終値!H155*0.099)+(終値!I155*0.066)+(終値!J155*0.044)+(終値!K155*0.029)+(終値!L155*0.019)+(終値!M155*0.013)+(終値!N155*0.009))/(0.333+0.222+0.148+0.099+0.066+0.044+0.029+0.019+0.013+0.009),""))</f>
        <v>4082.1873727087564</v>
      </c>
      <c r="AC153" s="499">
        <f>IF(C153="","",IFERROR(SUMPRODUCT((終値!E155:AC155)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4301.5959475566133</v>
      </c>
      <c r="AD153" s="500" t="str">
        <f t="shared" si="49"/>
        <v>下降トレンド▼</v>
      </c>
      <c r="AE153" s="500" t="str">
        <f t="shared" si="50"/>
        <v>なし</v>
      </c>
      <c r="AF153" s="403" cm="1">
        <f t="array" ref="AF153">IF(C153="","",IFERROR((INDEX(終値!$E:$E,MATCH(TEXT(C153,"0"),終値!$A:$A,0))-INDEX(終値!$E:$BL,MATCH(TEXT(C153,"0"),終値!$A:$A,0),$AL$2))/INDEX(終値!$E:$BL,MATCH(TEXT(C153,"0"),終値!$A:$A,0),$AL$2)*100,""))</f>
        <v>-3.3801580333625987</v>
      </c>
      <c r="AG153" s="403" cm="1">
        <f t="array" ref="AG153">IFERROR((終値!$E$5-INDEX(終値!$E$5:$BL$5,1,$AL$2))/INDEX(終値!$E$5:$BL$5,1,$AL$2)*100,"")</f>
        <v>3.4532270246721688</v>
      </c>
      <c r="AH153" s="404">
        <f t="shared" si="52"/>
        <v>-6.8333850580347679</v>
      </c>
      <c r="AI153" s="402">
        <f t="shared" si="53"/>
        <v>-2</v>
      </c>
    </row>
    <row r="154" spans="1:35" ht="18" customHeight="1">
      <c r="A154" s="181" t="str">
        <f>IF(銘柄管理!B174&lt;&gt;"",HYPERLINK("https://kabutan.jp/stock/?code="&amp;銘柄管理!B174,"株探"),"")</f>
        <v>株探</v>
      </c>
      <c r="B154" s="182"/>
      <c r="C154" s="183">
        <f>IF(銘柄管理!B174="","",銘柄管理!B174)</f>
        <v>2327</v>
      </c>
      <c r="D154" s="111" t="str">
        <f>IF(銘柄管理!C174="","",銘柄管理!C174)</f>
        <v>日鉄ソリューションズ</v>
      </c>
      <c r="E154" s="184">
        <f>IF(C154&lt;&gt;"",_xll.RssMarket(C154,"現在値"),"")</f>
        <v>3135</v>
      </c>
      <c r="F154" s="184">
        <f>IF(C154&lt;&gt;"",_xll.RssMarket(C154,"始値"),"")</f>
        <v>3133</v>
      </c>
      <c r="G154" s="183">
        <f>IF(C154&lt;&gt;"",終値!F174,"")</f>
        <v>3120</v>
      </c>
      <c r="H154" s="184">
        <f>IF(C154&lt;&gt;"",_xll.RssMarket(C154,"高値"),"")</f>
        <v>3167</v>
      </c>
      <c r="I154" s="184">
        <f>IF(C154&lt;&gt;"",_xll.RssMarket(C154,"安値"),"")</f>
        <v>3086</v>
      </c>
      <c r="J154" s="184">
        <f>IF(C154&lt;&gt;"",_xll.RssMarket(C154,"出来高"),"")</f>
        <v>325900</v>
      </c>
      <c r="K154" s="184">
        <f>IF(C154&lt;&gt;"",_xll.RssMarket(C154,"年初来高値"),"")</f>
        <v>4655</v>
      </c>
      <c r="L154" s="185">
        <f t="shared" si="44"/>
        <v>-32.653061224489797</v>
      </c>
      <c r="M154" s="184">
        <f>IF(C154&lt;&gt;"",IFERROR(AVERAGE(出来高!E174:I174),""),"")</f>
        <v>268080</v>
      </c>
      <c r="N154" s="184">
        <f>IF(C154&lt;&gt;"",IFERROR(AVERAGE(出来高!E174:AC174),""),"")</f>
        <v>250040</v>
      </c>
      <c r="O154" s="186">
        <f t="shared" si="45"/>
        <v>1.2156818860041778</v>
      </c>
      <c r="P154" s="181" t="str">
        <f t="shared" si="46"/>
        <v>普通→</v>
      </c>
      <c r="Q154" s="181" t="str">
        <f t="shared" si="47"/>
        <v>中立→</v>
      </c>
      <c r="R154" s="184">
        <f t="shared" si="54"/>
        <v>3386</v>
      </c>
      <c r="S154" s="184">
        <f t="shared" si="55"/>
        <v>3010</v>
      </c>
      <c r="T154" s="181">
        <f t="shared" si="51"/>
        <v>6</v>
      </c>
      <c r="U154" s="181" t="str">
        <f t="shared" si="56"/>
        <v>要確認</v>
      </c>
      <c r="V154" s="181" t="str">
        <f t="shared" si="48"/>
        <v>通常</v>
      </c>
      <c r="W154" s="187">
        <f t="array" ref="W154">IF(C154&lt;&gt;"",IFERROR(100-100/(1+SUMPRODUCT((終値!F174:R174&gt;終値!G174:S174)*( 終値!F174:R174-終値!G174:S174))/SUMPRODUCT((終値!F174:R174&lt;終値!G174:S174)*(終値!G174:S174-終値!F174:R174))),50),"")</f>
        <v>12.798874824191273</v>
      </c>
      <c r="X154" s="188">
        <f>IF(C154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-51.756590338281967</v>
      </c>
      <c r="Y154" s="1" t="str">
        <f>IF(T154="","",IF(銘柄管理!$F$5="下落▼",IF(AND(AD154="パーフェクト▲",OR(AE154="25日線押し目●",AE154="5日線押し目○")),"★逆張り候補",IF(AND(AD154="上昇トレンド▲",OR(AE154="25日線押し目●",AE154="5日線押し目○")),"○逆張り候補",IF(W154&lt;=30,IF(Z154&gt;0,"◎反発確認",IF(Z154&lt;-5,"△要注意・様子見","△売られ過ぎ注目")),"相場下落・見送り"))),IF(AND(T154&gt;=12,AD154="パーフェクト▲"),"★強い買い",IF(AND(T154&gt;=12,AD154="上昇トレンド▲"),"★強い買い",IF(AND(T154&gt;=8,OR(AE154="25日線押し目●",AE154="5日線押し目○")),"◎押し目買い",IF(T154&gt;=10,"○買い候補",IF(T154&gt;=6,"△注目",IF(T154&gt;=3,"様子見","見送り"))))))))</f>
        <v>△注目</v>
      </c>
      <c r="Z154" s="189">
        <f t="shared" si="57"/>
        <v>0.48076923076923078</v>
      </c>
      <c r="AA154" s="181" t="str">
        <f t="shared" si="58"/>
        <v>上昇▲</v>
      </c>
      <c r="AB154" s="497">
        <f>IF(C154="","",IFERROR(((終値!E156*0.333)+(終値!F156*0.222)+(終値!G156*0.148)+(終値!H156*0.099)+(終値!I156*0.066)+(終値!J156*0.044)+(終値!K156*0.029)+(終値!L156*0.019)+(終値!M156*0.013)+(終値!N156*0.009))/(0.333+0.222+0.148+0.099+0.066+0.044+0.029+0.019+0.013+0.009),""))</f>
        <v>2476.9195519348264</v>
      </c>
      <c r="AC154" s="497">
        <f>IF(C154="","",IFERROR(SUMPRODUCT((終値!E156:AC156)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2462.0309892729433</v>
      </c>
      <c r="AD154" s="498" t="str">
        <f t="shared" si="49"/>
        <v>パーフェクト▲</v>
      </c>
      <c r="AE154" s="498" t="str">
        <f t="shared" si="50"/>
        <v>なし</v>
      </c>
      <c r="AF154" s="403" cm="1">
        <f t="array" ref="AF154">IF(C154="","",IFERROR((INDEX(終値!$E:$E,MATCH(TEXT(C154,"0"),終値!$A:$A,0))-INDEX(終値!$E:$BL,MATCH(TEXT(C154,"0"),終値!$A:$A,0),$AL$2))/INDEX(終値!$E:$BL,MATCH(TEXT(C154,"0"),終値!$A:$A,0),$AL$2)*100,""))</f>
        <v>-12.012349143979792</v>
      </c>
      <c r="AG154" s="403" cm="1">
        <f t="array" ref="AG154">IFERROR((終値!$E$5-INDEX(終値!$E$5:$BL$5,1,$AL$2))/INDEX(終値!$E$5:$BL$5,1,$AL$2)*100,"")</f>
        <v>3.4532270246721688</v>
      </c>
      <c r="AH154" s="404">
        <f t="shared" si="52"/>
        <v>-15.46557616865196</v>
      </c>
      <c r="AI154" s="402">
        <f t="shared" si="53"/>
        <v>-2</v>
      </c>
    </row>
    <row r="155" spans="1:35" ht="18" customHeight="1">
      <c r="A155" s="181" t="str">
        <f>IF(銘柄管理!B178&lt;&gt;"",HYPERLINK("https://kabutan.jp/stock/?code="&amp;銘柄管理!B178,"株探"),"")</f>
        <v>株探</v>
      </c>
      <c r="B155" s="182"/>
      <c r="C155" s="183">
        <f>IF(銘柄管理!B178="","",銘柄管理!B178)</f>
        <v>6436</v>
      </c>
      <c r="D155" s="111" t="str">
        <f>IF(銘柄管理!C178="","",銘柄管理!C178)</f>
        <v>アマノ</v>
      </c>
      <c r="E155" s="184">
        <f>IF(C155&lt;&gt;"",_xll.RssMarket(C155,"現在値"),"")</f>
        <v>3565</v>
      </c>
      <c r="F155" s="184">
        <f>IF(C155&lt;&gt;"",_xll.RssMarket(C155,"始値"),"")</f>
        <v>3595</v>
      </c>
      <c r="G155" s="183">
        <f>IF(C155&lt;&gt;"",終値!F178,"")</f>
        <v>3563</v>
      </c>
      <c r="H155" s="184">
        <f>IF(C155&lt;&gt;"",_xll.RssMarket(C155,"高値"),"")</f>
        <v>3599</v>
      </c>
      <c r="I155" s="184">
        <f>IF(C155&lt;&gt;"",_xll.RssMarket(C155,"安値"),"")</f>
        <v>3546</v>
      </c>
      <c r="J155" s="184">
        <f>IF(C155&lt;&gt;"",_xll.RssMarket(C155,"出来高"),"")</f>
        <v>212400</v>
      </c>
      <c r="K155" s="184">
        <f>IF(C155&lt;&gt;"",_xll.RssMarket(C155,"年初来高値"),"")</f>
        <v>4310</v>
      </c>
      <c r="L155" s="185">
        <f t="shared" si="44"/>
        <v>-17.28538283062645</v>
      </c>
      <c r="M155" s="184">
        <f>IF(C155&lt;&gt;"",IFERROR(AVERAGE(出来高!E178:I178),""),"")</f>
        <v>207900</v>
      </c>
      <c r="N155" s="184">
        <f>IF(C155&lt;&gt;"",IFERROR(AVERAGE(出来高!E178:AC178),""),"")</f>
        <v>234412</v>
      </c>
      <c r="O155" s="186">
        <f t="shared" si="45"/>
        <v>1.0216450216450217</v>
      </c>
      <c r="P155" s="181" t="str">
        <f t="shared" si="46"/>
        <v>普通→</v>
      </c>
      <c r="Q155" s="181" t="str">
        <f t="shared" si="47"/>
        <v>中立→</v>
      </c>
      <c r="R155" s="184">
        <f t="shared" si="54"/>
        <v>3850</v>
      </c>
      <c r="S155" s="184">
        <f t="shared" si="55"/>
        <v>3422</v>
      </c>
      <c r="T155" s="181">
        <f t="shared" si="51"/>
        <v>1</v>
      </c>
      <c r="U155" s="181" t="str">
        <f t="shared" si="56"/>
        <v>除外</v>
      </c>
      <c r="V155" s="181" t="str">
        <f t="shared" si="48"/>
        <v>通常</v>
      </c>
      <c r="W155" s="187">
        <f t="array" ref="W155">IF(C155&lt;&gt;"",IFERROR(100-100/(1+SUMPRODUCT((終値!F178:R178&gt;終値!G178:S178)*( 終値!F178:R178-終値!G178:S178))/SUMPRODUCT((終値!F178:R178&lt;終値!G178:S178)*(終値!G178:S178-終値!F178:R178))),50),"")</f>
        <v>45.079365079365076</v>
      </c>
      <c r="X155" s="188">
        <f>IF(C155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-7.8359808787645306</v>
      </c>
      <c r="Y155" s="1" t="str">
        <f>IF(T155="","",IF(銘柄管理!$F$5="下落▼",IF(AND(AD155="パーフェクト▲",OR(AE155="25日線押し目●",AE155="5日線押し目○")),"★逆張り候補",IF(AND(AD155="上昇トレンド▲",OR(AE155="25日線押し目●",AE155="5日線押し目○")),"○逆張り候補",IF(W155&lt;=30,IF(Z155&gt;0,"◎反発確認",IF(Z155&lt;-5,"△要注意・様子見","△売られ過ぎ注目")),"相場下落・見送り"))),IF(AND(T155&gt;=12,AD155="パーフェクト▲"),"★強い買い",IF(AND(T155&gt;=12,AD155="上昇トレンド▲"),"★強い買い",IF(AND(T155&gt;=8,OR(AE155="25日線押し目●",AE155="5日線押し目○")),"◎押し目買い",IF(T155&gt;=10,"○買い候補",IF(T155&gt;=6,"△注目",IF(T155&gt;=3,"様子見","見送り"))))))))</f>
        <v>見送り</v>
      </c>
      <c r="Z155" s="189">
        <f t="shared" si="57"/>
        <v>5.6132472635419595E-2</v>
      </c>
      <c r="AA155" s="181" t="str">
        <f t="shared" si="58"/>
        <v>上昇▲</v>
      </c>
      <c r="AB155" s="499">
        <f>IF(C155="","",IFERROR(((終値!E157*0.333)+(終値!F157*0.222)+(終値!G157*0.148)+(終値!H157*0.099)+(終値!I157*0.066)+(終値!J157*0.044)+(終値!K157*0.029)+(終値!L157*0.019)+(終値!M157*0.013)+(終値!N157*0.009))/(0.333+0.222+0.148+0.099+0.066+0.044+0.029+0.019+0.013+0.009),""))</f>
        <v>5493.80346232179</v>
      </c>
      <c r="AC155" s="499">
        <f>IF(C155="","",IFERROR(SUMPRODUCT((終値!E157:AC157)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5706.8152562574469</v>
      </c>
      <c r="AD155" s="500" t="str">
        <f t="shared" si="49"/>
        <v>下降トレンド▼</v>
      </c>
      <c r="AE155" s="500" t="str">
        <f t="shared" si="50"/>
        <v>なし</v>
      </c>
      <c r="AF155" s="403" cm="1">
        <f t="array" ref="AF155">IF(C155="","",IFERROR((INDEX(終値!$E:$E,MATCH(TEXT(C155,"0"),終値!$A:$A,0))-INDEX(終値!$E:$BL,MATCH(TEXT(C155,"0"),終値!$A:$A,0),$AL$2))/INDEX(終値!$E:$BL,MATCH(TEXT(C155,"0"),終値!$A:$A,0),$AL$2)*100,""))</f>
        <v>-2.9139433551198257</v>
      </c>
      <c r="AG155" s="403" cm="1">
        <f t="array" ref="AG155">IFERROR((終値!$E$5-INDEX(終値!$E$5:$BL$5,1,$AL$2))/INDEX(終値!$E$5:$BL$5,1,$AL$2)*100,"")</f>
        <v>3.4532270246721688</v>
      </c>
      <c r="AH155" s="404">
        <f t="shared" si="52"/>
        <v>-6.367170379791995</v>
      </c>
      <c r="AI155" s="402">
        <f t="shared" si="53"/>
        <v>-2</v>
      </c>
    </row>
    <row r="156" spans="1:35" ht="18" customHeight="1">
      <c r="A156" s="181" t="str">
        <f>IF(銘柄管理!B180&lt;&gt;"",HYPERLINK("https://kabutan.jp/stock/?code="&amp;銘柄管理!B180,"株探"),"")</f>
        <v>株探</v>
      </c>
      <c r="B156" s="182"/>
      <c r="C156" s="183">
        <f>IF(銘柄管理!B180="","",銘柄管理!B180)</f>
        <v>5440</v>
      </c>
      <c r="D156" s="111" t="str">
        <f>IF(銘柄管理!C180="","",銘柄管理!C180)</f>
        <v>共英製鋼</v>
      </c>
      <c r="E156" s="184">
        <f>IF(C156&lt;&gt;"",_xll.RssMarket(C156,"現在値"),"")</f>
        <v>1755</v>
      </c>
      <c r="F156" s="184">
        <f>IF(C156&lt;&gt;"",_xll.RssMarket(C156,"始値"),"")</f>
        <v>1744</v>
      </c>
      <c r="G156" s="183">
        <f>IF(C156&lt;&gt;"",終値!F180,"")</f>
        <v>1753</v>
      </c>
      <c r="H156" s="184">
        <f>IF(C156&lt;&gt;"",_xll.RssMarket(C156,"高値"),"")</f>
        <v>1787</v>
      </c>
      <c r="I156" s="184">
        <f>IF(C156&lt;&gt;"",_xll.RssMarket(C156,"安値"),"")</f>
        <v>1742</v>
      </c>
      <c r="J156" s="184">
        <f>IF(C156&lt;&gt;"",_xll.RssMarket(C156,"出来高"),"")</f>
        <v>113000</v>
      </c>
      <c r="K156" s="184">
        <f>IF(C156&lt;&gt;"",_xll.RssMarket(C156,"年初来高値"),"")</f>
        <v>2696</v>
      </c>
      <c r="L156" s="185">
        <f t="shared" si="44"/>
        <v>-34.903560830860535</v>
      </c>
      <c r="M156" s="184">
        <f>IF(C156&lt;&gt;"",IFERROR(AVERAGE(出来高!E180:I180),""),"")</f>
        <v>108880</v>
      </c>
      <c r="N156" s="184">
        <f>IF(C156&lt;&gt;"",IFERROR(AVERAGE(出来高!E180:AC180),""),"")</f>
        <v>148140</v>
      </c>
      <c r="O156" s="186">
        <f t="shared" si="45"/>
        <v>1.0378398236590742</v>
      </c>
      <c r="P156" s="181" t="str">
        <f t="shared" si="46"/>
        <v>普通→</v>
      </c>
      <c r="Q156" s="181" t="str">
        <f t="shared" si="47"/>
        <v>中立→</v>
      </c>
      <c r="R156" s="184">
        <f t="shared" si="54"/>
        <v>1895</v>
      </c>
      <c r="S156" s="184">
        <f t="shared" si="55"/>
        <v>1685</v>
      </c>
      <c r="T156" s="181">
        <f t="shared" si="51"/>
        <v>2</v>
      </c>
      <c r="U156" s="181" t="str">
        <f t="shared" si="56"/>
        <v>除外</v>
      </c>
      <c r="V156" s="181" t="str">
        <f t="shared" si="48"/>
        <v>通常</v>
      </c>
      <c r="W156" s="187">
        <f t="array" ref="W156">IF(C156&lt;&gt;"",IFERROR(100-100/(1+SUMPRODUCT((終値!F180:R180&gt;終値!G180:S180)*( 終値!F180:R180-終値!G180:S180))/SUMPRODUCT((終値!F180:R180&lt;終値!G180:S180)*(終値!G180:S180-終値!F180:R180))),50),"")</f>
        <v>30.290456431535276</v>
      </c>
      <c r="X156" s="188">
        <f>IF(C156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-14.513134903418177</v>
      </c>
      <c r="Y156" s="1" t="str">
        <f>IF(T156="","",IF(銘柄管理!$F$5="下落▼",IF(AND(AD156="パーフェクト▲",OR(AE156="25日線押し目●",AE156="5日線押し目○")),"★逆張り候補",IF(AND(AD156="上昇トレンド▲",OR(AE156="25日線押し目●",AE156="5日線押し目○")),"○逆張り候補",IF(W156&lt;=30,IF(Z156&gt;0,"◎反発確認",IF(Z156&lt;-5,"△要注意・様子見","△売られ過ぎ注目")),"相場下落・見送り"))),IF(AND(T156&gt;=12,AD156="パーフェクト▲"),"★強い買い",IF(AND(T156&gt;=12,AD156="上昇トレンド▲"),"★強い買い",IF(AND(T156&gt;=8,OR(AE156="25日線押し目●",AE156="5日線押し目○")),"◎押し目買い",IF(T156&gt;=10,"○買い候補",IF(T156&gt;=6,"△注目",IF(T156&gt;=3,"様子見","見送り"))))))))</f>
        <v>見送り</v>
      </c>
      <c r="Z156" s="189">
        <f t="shared" si="57"/>
        <v>0.11409013120365087</v>
      </c>
      <c r="AA156" s="181" t="str">
        <f t="shared" si="58"/>
        <v>上昇▲</v>
      </c>
      <c r="AB156" s="497">
        <f>IF(C156="","",IFERROR(((終値!E158*0.333)+(終値!F158*0.222)+(終値!G158*0.148)+(終値!H158*0.099)+(終値!I158*0.066)+(終値!J158*0.044)+(終値!K158*0.029)+(終値!L158*0.019)+(終値!M158*0.013)+(終値!N158*0.009))/(0.333+0.222+0.148+0.099+0.066+0.044+0.029+0.019+0.013+0.009),""))</f>
        <v>28554.745417515271</v>
      </c>
      <c r="AC156" s="497">
        <f>IF(C156="","",IFERROR(SUMPRODUCT((終値!E158:AC158)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27328.802145411188</v>
      </c>
      <c r="AD156" s="498" t="str">
        <f t="shared" si="49"/>
        <v>もみ合い→</v>
      </c>
      <c r="AE156" s="498" t="str">
        <f t="shared" si="50"/>
        <v>なし</v>
      </c>
      <c r="AF156" s="403" cm="1">
        <f t="array" ref="AF156">IF(C156="","",IFERROR((INDEX(終値!$E:$E,MATCH(TEXT(C156,"0"),終値!$A:$A,0))-INDEX(終値!$E:$BL,MATCH(TEXT(C156,"0"),終値!$A:$A,0),$AL$2))/INDEX(終値!$E:$BL,MATCH(TEXT(C156,"0"),終値!$A:$A,0),$AL$2)*100,""))</f>
        <v>-6.5495207667731634</v>
      </c>
      <c r="AG156" s="403" cm="1">
        <f t="array" ref="AG156">IFERROR((終値!$E$5-INDEX(終値!$E$5:$BL$5,1,$AL$2))/INDEX(終値!$E$5:$BL$5,1,$AL$2)*100,"")</f>
        <v>3.4532270246721688</v>
      </c>
      <c r="AH156" s="404">
        <f t="shared" si="52"/>
        <v>-10.002747791445332</v>
      </c>
      <c r="AI156" s="402">
        <f t="shared" si="53"/>
        <v>-2</v>
      </c>
    </row>
    <row r="157" spans="1:35" ht="18" customHeight="1">
      <c r="A157" s="181" t="str">
        <f>IF(銘柄管理!B181&lt;&gt;"",HYPERLINK("https://kabutan.jp/stock/?code="&amp;銘柄管理!B181,"株探"),"")</f>
        <v>株探</v>
      </c>
      <c r="B157" s="182"/>
      <c r="C157" s="183">
        <f>IF(銘柄管理!B181="","",銘柄管理!B181)</f>
        <v>9505</v>
      </c>
      <c r="D157" s="111" t="str">
        <f>IF(銘柄管理!C181="","",銘柄管理!C181)</f>
        <v>北陸電力</v>
      </c>
      <c r="E157" s="184">
        <f>IF(C157&lt;&gt;"",_xll.RssMarket(C157,"現在値"),"")</f>
        <v>850</v>
      </c>
      <c r="F157" s="184">
        <f>IF(C157&lt;&gt;"",_xll.RssMarket(C157,"始値"),"")</f>
        <v>849</v>
      </c>
      <c r="G157" s="183">
        <f>IF(C157&lt;&gt;"",終値!F181,"")</f>
        <v>851.7</v>
      </c>
      <c r="H157" s="184">
        <f>IF(C157&lt;&gt;"",_xll.RssMarket(C157,"高値"),"")</f>
        <v>859.5</v>
      </c>
      <c r="I157" s="184">
        <f>IF(C157&lt;&gt;"",_xll.RssMarket(C157,"安値"),"")</f>
        <v>840.1</v>
      </c>
      <c r="J157" s="184">
        <f>IF(C157&lt;&gt;"",_xll.RssMarket(C157,"出来高"),"")</f>
        <v>883400</v>
      </c>
      <c r="K157" s="184">
        <f>IF(C157&lt;&gt;"",_xll.RssMarket(C157,"年初来高値"),"")</f>
        <v>1142</v>
      </c>
      <c r="L157" s="185">
        <f t="shared" si="44"/>
        <v>-25.569176882661999</v>
      </c>
      <c r="M157" s="184">
        <f>IF(C157&lt;&gt;"",IFERROR(AVERAGE(出来高!E181:I181),""),"")</f>
        <v>944900</v>
      </c>
      <c r="N157" s="184">
        <f>IF(C157&lt;&gt;"",IFERROR(AVERAGE(出来高!E181:AC181),""),"")</f>
        <v>1004440</v>
      </c>
      <c r="O157" s="186">
        <f t="shared" si="45"/>
        <v>0.93491374748650646</v>
      </c>
      <c r="P157" s="181" t="str">
        <f t="shared" si="46"/>
        <v>減少↓</v>
      </c>
      <c r="Q157" s="181" t="str">
        <f t="shared" si="47"/>
        <v>様子見▼</v>
      </c>
      <c r="R157" s="184">
        <f t="shared" si="54"/>
        <v>918</v>
      </c>
      <c r="S157" s="184">
        <f t="shared" si="55"/>
        <v>816</v>
      </c>
      <c r="T157" s="181">
        <f t="shared" si="51"/>
        <v>-1</v>
      </c>
      <c r="U157" s="181" t="str">
        <f t="shared" si="56"/>
        <v>除外</v>
      </c>
      <c r="V157" s="181" t="str">
        <f t="shared" si="48"/>
        <v>通常</v>
      </c>
      <c r="W157" s="187">
        <f t="array" ref="W157">IF(C157&lt;&gt;"",IFERROR(100-100/(1+SUMPRODUCT((終値!F181:R181&gt;終値!G181:S181)*( 終値!F181:R181-終値!G181:S181))/SUMPRODUCT((終値!F181:R181&lt;終値!G181:S181)*(終値!G181:S181-終値!F181:R181))),50),"")</f>
        <v>50.79834417504437</v>
      </c>
      <c r="X157" s="188">
        <f>IF(C157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-3.8066611871565783</v>
      </c>
      <c r="Y157" s="1" t="str">
        <f>IF(T157="","",IF(銘柄管理!$F$5="下落▼",IF(AND(AD157="パーフェクト▲",OR(AE157="25日線押し目●",AE157="5日線押し目○")),"★逆張り候補",IF(AND(AD157="上昇トレンド▲",OR(AE157="25日線押し目●",AE157="5日線押し目○")),"○逆張り候補",IF(W157&lt;=30,IF(Z157&gt;0,"◎反発確認",IF(Z157&lt;-5,"△要注意・様子見","△売られ過ぎ注目")),"相場下落・見送り"))),IF(AND(T157&gt;=12,AD157="パーフェクト▲"),"★強い買い",IF(AND(T157&gt;=12,AD157="上昇トレンド▲"),"★強い買い",IF(AND(T157&gt;=8,OR(AE157="25日線押し目●",AE157="5日線押し目○")),"◎押し目買い",IF(T157&gt;=10,"○買い候補",IF(T157&gt;=6,"△注目",IF(T157&gt;=3,"様子見","見送り"))))))))</f>
        <v>見送り</v>
      </c>
      <c r="Z157" s="189">
        <f t="shared" si="57"/>
        <v>-0.19960079840319894</v>
      </c>
      <c r="AA157" s="181" t="str">
        <f t="shared" si="58"/>
        <v>下落▼</v>
      </c>
      <c r="AB157" s="499">
        <f>IF(C157="","",IFERROR(((終値!E159*0.333)+(終値!F159*0.222)+(終値!G159*0.148)+(終値!H159*0.099)+(終値!I159*0.066)+(終値!J159*0.044)+(終値!K159*0.029)+(終値!L159*0.019)+(終値!M159*0.013)+(終値!N159*0.009))/(0.333+0.222+0.148+0.099+0.066+0.044+0.029+0.019+0.013+0.009),""))</f>
        <v>9218.2179226069238</v>
      </c>
      <c r="AC157" s="499">
        <f>IF(C157="","",IFERROR(SUMPRODUCT((終値!E159:AC159)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8269.1179976162039</v>
      </c>
      <c r="AD157" s="500" t="str">
        <f t="shared" si="49"/>
        <v>もみ合い→</v>
      </c>
      <c r="AE157" s="500" t="str">
        <f t="shared" si="50"/>
        <v>なし</v>
      </c>
      <c r="AF157" s="403" cm="1">
        <f t="array" ref="AF157">IF(C157="","",IFERROR((INDEX(終値!$E:$E,MATCH(TEXT(C157,"0"),終値!$A:$A,0))-INDEX(終値!$E:$BL,MATCH(TEXT(C157,"0"),終値!$A:$A,0),$AL$2))/INDEX(終値!$E:$BL,MATCH(TEXT(C157,"0"),終値!$A:$A,0),$AL$2)*100,""))</f>
        <v>-7.113976614577644</v>
      </c>
      <c r="AG157" s="403" cm="1">
        <f t="array" ref="AG157">IFERROR((終値!$E$5-INDEX(終値!$E$5:$BL$5,1,$AL$2))/INDEX(終値!$E$5:$BL$5,1,$AL$2)*100,"")</f>
        <v>3.4532270246721688</v>
      </c>
      <c r="AH157" s="404">
        <f t="shared" si="52"/>
        <v>-10.567203639249813</v>
      </c>
      <c r="AI157" s="402">
        <f t="shared" si="53"/>
        <v>-2</v>
      </c>
    </row>
    <row r="158" spans="1:35" ht="18" customHeight="1">
      <c r="A158" s="181" t="str">
        <f>IF(銘柄管理!B182&lt;&gt;"",HYPERLINK("https://kabutan.jp/stock/?code="&amp;銘柄管理!B182,"株探"),"")</f>
        <v>株探</v>
      </c>
      <c r="B158" s="182"/>
      <c r="C158" s="183">
        <f>IF(銘柄管理!B182="","",銘柄管理!B182)</f>
        <v>8091</v>
      </c>
      <c r="D158" s="111" t="str">
        <f>IF(銘柄管理!C182="","",銘柄管理!C182)</f>
        <v>ニチモウ</v>
      </c>
      <c r="E158" s="184">
        <f>IF(C158&lt;&gt;"",_xll.RssMarket(C158,"現在値"),"")</f>
        <v>2211</v>
      </c>
      <c r="F158" s="184">
        <f>IF(C158&lt;&gt;"",_xll.RssMarket(C158,"始値"),"")</f>
        <v>2219</v>
      </c>
      <c r="G158" s="183">
        <f>IF(C158&lt;&gt;"",終値!F182,"")</f>
        <v>2214</v>
      </c>
      <c r="H158" s="184">
        <f>IF(C158&lt;&gt;"",_xll.RssMarket(C158,"高値"),"")</f>
        <v>2240</v>
      </c>
      <c r="I158" s="184">
        <f>IF(C158&lt;&gt;"",_xll.RssMarket(C158,"安値"),"")</f>
        <v>2211</v>
      </c>
      <c r="J158" s="184">
        <f>IF(C158&lt;&gt;"",_xll.RssMarket(C158,"出来高"),"")</f>
        <v>13300</v>
      </c>
      <c r="K158" s="184">
        <f>IF(C158&lt;&gt;"",_xll.RssMarket(C158,"年初来高値"),"")</f>
        <v>2730</v>
      </c>
      <c r="L158" s="185">
        <f t="shared" si="44"/>
        <v>-19.010989010989011</v>
      </c>
      <c r="M158" s="184">
        <f>IF(C158&lt;&gt;"",IFERROR(AVERAGE(出来高!E182:I182),""),"")</f>
        <v>12880</v>
      </c>
      <c r="N158" s="184">
        <f>IF(C158&lt;&gt;"",IFERROR(AVERAGE(出来高!E182:AC182),""),"")</f>
        <v>28736</v>
      </c>
      <c r="O158" s="186">
        <f t="shared" si="45"/>
        <v>1.0326086956521738</v>
      </c>
      <c r="P158" s="181" t="str">
        <f t="shared" si="46"/>
        <v>普通→</v>
      </c>
      <c r="Q158" s="181" t="str">
        <f t="shared" si="47"/>
        <v>様子見▼</v>
      </c>
      <c r="R158" s="184">
        <f t="shared" si="54"/>
        <v>2388</v>
      </c>
      <c r="S158" s="184">
        <f t="shared" si="55"/>
        <v>2123</v>
      </c>
      <c r="T158" s="181">
        <f t="shared" si="51"/>
        <v>2</v>
      </c>
      <c r="U158" s="181" t="str">
        <f t="shared" si="56"/>
        <v>除外</v>
      </c>
      <c r="V158" s="181" t="str">
        <f t="shared" si="48"/>
        <v>通常</v>
      </c>
      <c r="W158" s="187">
        <f t="array" ref="W158">IF(C158&lt;&gt;"",IFERROR(100-100/(1+SUMPRODUCT((終値!F182:R182&gt;終値!G182:S182)*( 終値!F182:R182-終値!G182:S182))/SUMPRODUCT((終値!F182:R182&lt;終値!G182:S182)*(終値!G182:S182-終値!F182:R182))),50),"")</f>
        <v>62.578616352201259</v>
      </c>
      <c r="X158" s="188">
        <f>IF(C158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1.8308582664303685</v>
      </c>
      <c r="Y158" s="1" t="str">
        <f>IF(T158="","",IF(銘柄管理!$F$5="下落▼",IF(AND(AD158="パーフェクト▲",OR(AE158="25日線押し目●",AE158="5日線押し目○")),"★逆張り候補",IF(AND(AD158="上昇トレンド▲",OR(AE158="25日線押し目●",AE158="5日線押し目○")),"○逆張り候補",IF(W158&lt;=30,IF(Z158&gt;0,"◎反発確認",IF(Z158&lt;-5,"△要注意・様子見","△売られ過ぎ注目")),"相場下落・見送り"))),IF(AND(T158&gt;=12,AD158="パーフェクト▲"),"★強い買い",IF(AND(T158&gt;=12,AD158="上昇トレンド▲"),"★強い買い",IF(AND(T158&gt;=8,OR(AE158="25日線押し目●",AE158="5日線押し目○")),"◎押し目買い",IF(T158&gt;=10,"○買い候補",IF(T158&gt;=6,"△注目",IF(T158&gt;=3,"様子見","見送り"))))))))</f>
        <v>見送り</v>
      </c>
      <c r="Z158" s="189">
        <f t="shared" si="57"/>
        <v>-0.13550135501355012</v>
      </c>
      <c r="AA158" s="181" t="str">
        <f t="shared" si="58"/>
        <v>下落▼</v>
      </c>
      <c r="AB158" s="497">
        <f>IF(C158="","",IFERROR(((終値!E160*0.333)+(終値!F160*0.222)+(終値!G160*0.148)+(終値!H160*0.099)+(終値!I160*0.066)+(終値!J160*0.044)+(終値!K160*0.029)+(終値!L160*0.019)+(終値!M160*0.013)+(終値!N160*0.009))/(0.333+0.222+0.148+0.099+0.066+0.044+0.029+0.019+0.013+0.009),""))</f>
        <v>989.15376782077385</v>
      </c>
      <c r="AC158" s="497">
        <f>IF(C158="","",IFERROR(SUMPRODUCT((終値!E160:AC160)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1025.8974970202619</v>
      </c>
      <c r="AD158" s="498" t="str">
        <f t="shared" si="49"/>
        <v>上昇トレンド▲</v>
      </c>
      <c r="AE158" s="498" t="str">
        <f t="shared" si="50"/>
        <v>なし</v>
      </c>
      <c r="AF158" s="403" cm="1">
        <f t="array" ref="AF158">IF(C158="","",IFERROR((INDEX(終値!$E:$E,MATCH(TEXT(C158,"0"),終値!$A:$A,0))-INDEX(終値!$E:$BL,MATCH(TEXT(C158,"0"),終値!$A:$A,0),$AL$2))/INDEX(終値!$E:$BL,MATCH(TEXT(C158,"0"),終値!$A:$A,0),$AL$2)*100,""))</f>
        <v>-2.9837648091268099</v>
      </c>
      <c r="AG158" s="403" cm="1">
        <f t="array" ref="AG158">IFERROR((終値!$E$5-INDEX(終値!$E$5:$BL$5,1,$AL$2))/INDEX(終値!$E$5:$BL$5,1,$AL$2)*100,"")</f>
        <v>3.4532270246721688</v>
      </c>
      <c r="AH158" s="404">
        <f t="shared" si="52"/>
        <v>-6.4369918337989791</v>
      </c>
      <c r="AI158" s="402">
        <f t="shared" si="53"/>
        <v>-2</v>
      </c>
    </row>
    <row r="159" spans="1:35" ht="18" customHeight="1">
      <c r="A159" s="181" t="str">
        <f>IF(銘柄管理!B184&lt;&gt;"",HYPERLINK("https://kabutan.jp/stock/?code="&amp;銘柄管理!B184,"株探"),"")</f>
        <v>株探</v>
      </c>
      <c r="B159" s="182"/>
      <c r="C159" s="183">
        <f>IF(銘柄管理!B184="","",銘柄管理!B184)</f>
        <v>9022</v>
      </c>
      <c r="D159" s="111" t="str">
        <f>IF(銘柄管理!C184="","",銘柄管理!C184)</f>
        <v>東海旅客鉄道</v>
      </c>
      <c r="E159" s="184">
        <f>IF(C159&lt;&gt;"",_xll.RssMarket(C159,"現在値"),"")</f>
        <v>3297</v>
      </c>
      <c r="F159" s="184">
        <f>IF(C159&lt;&gt;"",_xll.RssMarket(C159,"始値"),"")</f>
        <v>3364</v>
      </c>
      <c r="G159" s="183">
        <f>IF(C159&lt;&gt;"",終値!F184,"")</f>
        <v>3351</v>
      </c>
      <c r="H159" s="184">
        <f>IF(C159&lt;&gt;"",_xll.RssMarket(C159,"高値"),"")</f>
        <v>3371</v>
      </c>
      <c r="I159" s="184">
        <f>IF(C159&lt;&gt;"",_xll.RssMarket(C159,"安値"),"")</f>
        <v>3284</v>
      </c>
      <c r="J159" s="184">
        <f>IF(C159&lt;&gt;"",_xll.RssMarket(C159,"出来高"),"")</f>
        <v>3410000</v>
      </c>
      <c r="K159" s="184">
        <f>IF(C159&lt;&gt;"",_xll.RssMarket(C159,"年初来高値"),"")</f>
        <v>4830</v>
      </c>
      <c r="L159" s="185">
        <f t="shared" si="44"/>
        <v>-31.739130434782609</v>
      </c>
      <c r="M159" s="184">
        <f>IF(C159&lt;&gt;"",IFERROR(AVERAGE(出来高!E184:I184),""),"")</f>
        <v>3704460</v>
      </c>
      <c r="N159" s="184">
        <f>IF(C159&lt;&gt;"",IFERROR(AVERAGE(出来高!E184:AC184),""),"")</f>
        <v>3001584</v>
      </c>
      <c r="O159" s="186">
        <f t="shared" si="45"/>
        <v>0.92051203144317928</v>
      </c>
      <c r="P159" s="181" t="str">
        <f t="shared" si="46"/>
        <v>減少↓</v>
      </c>
      <c r="Q159" s="181" t="str">
        <f t="shared" si="47"/>
        <v>様子見▼</v>
      </c>
      <c r="R159" s="184">
        <f t="shared" si="54"/>
        <v>3561</v>
      </c>
      <c r="S159" s="184">
        <f t="shared" si="55"/>
        <v>3165</v>
      </c>
      <c r="T159" s="181">
        <f t="shared" si="51"/>
        <v>2</v>
      </c>
      <c r="U159" s="181" t="str">
        <f t="shared" si="56"/>
        <v>除外</v>
      </c>
      <c r="V159" s="181" t="str">
        <f t="shared" si="48"/>
        <v>通常</v>
      </c>
      <c r="W159" s="187">
        <f t="array" ref="W159">IF(C159&lt;&gt;"",IFERROR(100-100/(1+SUMPRODUCT((終値!F184:R184&gt;終値!G184:S184)*( 終値!F184:R184-終値!G184:S184))/SUMPRODUCT((終値!F184:R184&lt;終値!G184:S184)*(終値!G184:S184-終値!F184:R184))),50),"")</f>
        <v>34.222919937205646</v>
      </c>
      <c r="X159" s="188">
        <f>IF(C159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-29.393989388589944</v>
      </c>
      <c r="Y159" s="1" t="str">
        <f>IF(T159="","",IF(銘柄管理!$F$5="下落▼",IF(AND(AD159="パーフェクト▲",OR(AE159="25日線押し目●",AE159="5日線押し目○")),"★逆張り候補",IF(AND(AD159="上昇トレンド▲",OR(AE159="25日線押し目●",AE159="5日線押し目○")),"○逆張り候補",IF(W159&lt;=30,IF(Z159&gt;0,"◎反発確認",IF(Z159&lt;-5,"△要注意・様子見","△売られ過ぎ注目")),"相場下落・見送り"))),IF(AND(T159&gt;=12,AD159="パーフェクト▲"),"★強い買い",IF(AND(T159&gt;=12,AD159="上昇トレンド▲"),"★強い買い",IF(AND(T159&gt;=8,OR(AE159="25日線押し目●",AE159="5日線押し目○")),"◎押し目買い",IF(T159&gt;=10,"○買い候補",IF(T159&gt;=6,"△注目",IF(T159&gt;=3,"様子見","見送り"))))))))</f>
        <v>見送り</v>
      </c>
      <c r="Z159" s="189">
        <f t="shared" si="57"/>
        <v>-1.6114592658907789</v>
      </c>
      <c r="AA159" s="181" t="str">
        <f t="shared" si="58"/>
        <v>下落▼</v>
      </c>
      <c r="AB159" s="499">
        <f>IF(C159="","",IFERROR(((終値!E161*0.333)+(終値!F161*0.222)+(終値!G161*0.148)+(終値!H161*0.099)+(終値!I161*0.066)+(終値!J161*0.044)+(終値!K161*0.029)+(終値!L161*0.019)+(終値!M161*0.013)+(終値!N161*0.009))/(0.333+0.222+0.148+0.099+0.066+0.044+0.029+0.019+0.013+0.009),""))</f>
        <v>1090.2199592668021</v>
      </c>
      <c r="AC159" s="499">
        <f>IF(C159="","",IFERROR(SUMPRODUCT((終値!E161:AC161)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1098.8688915375442</v>
      </c>
      <c r="AD159" s="500" t="str">
        <f t="shared" si="49"/>
        <v>上昇トレンド▲</v>
      </c>
      <c r="AE159" s="500" t="str">
        <f t="shared" si="50"/>
        <v>なし</v>
      </c>
      <c r="AF159" s="403" cm="1">
        <f t="array" ref="AF159">IF(C159="","",IFERROR((INDEX(終値!$E:$E,MATCH(TEXT(C159,"0"),終値!$A:$A,0))-INDEX(終値!$E:$BL,MATCH(TEXT(C159,"0"),終値!$A:$A,0),$AL$2))/INDEX(終値!$E:$BL,MATCH(TEXT(C159,"0"),終値!$A:$A,0),$AL$2)*100,""))</f>
        <v>-8.8723051409618581</v>
      </c>
      <c r="AG159" s="403" cm="1">
        <f t="array" ref="AG159">IFERROR((終値!$E$5-INDEX(終値!$E$5:$BL$5,1,$AL$2))/INDEX(終値!$E$5:$BL$5,1,$AL$2)*100,"")</f>
        <v>3.4532270246721688</v>
      </c>
      <c r="AH159" s="404">
        <f t="shared" si="52"/>
        <v>-12.325532165634026</v>
      </c>
      <c r="AI159" s="402">
        <f t="shared" si="53"/>
        <v>-2</v>
      </c>
    </row>
    <row r="160" spans="1:35" ht="18" customHeight="1">
      <c r="A160" s="181" t="str">
        <f>IF(銘柄管理!B185&lt;&gt;"",HYPERLINK("https://kabutan.jp/stock/?code="&amp;銘柄管理!B185,"株探"),"")</f>
        <v>株探</v>
      </c>
      <c r="B160" s="182"/>
      <c r="C160" s="183">
        <f>IF(銘柄管理!B185="","",銘柄管理!B185)</f>
        <v>9536</v>
      </c>
      <c r="D160" s="111" t="str">
        <f>IF(銘柄管理!C185="","",銘柄管理!C185)</f>
        <v>西部ガスＨＬＤＧＳ</v>
      </c>
      <c r="E160" s="184">
        <f>IF(C160&lt;&gt;"",_xll.RssMarket(C160,"現在値"),"")</f>
        <v>2240</v>
      </c>
      <c r="F160" s="184">
        <f>IF(C160&lt;&gt;"",_xll.RssMarket(C160,"始値"),"")</f>
        <v>2242</v>
      </c>
      <c r="G160" s="183">
        <f>IF(C160&lt;&gt;"",終値!F185,"")</f>
        <v>2238</v>
      </c>
      <c r="H160" s="184">
        <f>IF(C160&lt;&gt;"",_xll.RssMarket(C160,"高値"),"")</f>
        <v>2262</v>
      </c>
      <c r="I160" s="184">
        <f>IF(C160&lt;&gt;"",_xll.RssMarket(C160,"安値"),"")</f>
        <v>2237</v>
      </c>
      <c r="J160" s="184">
        <f>IF(C160&lt;&gt;"",_xll.RssMarket(C160,"出来高"),"")</f>
        <v>55900</v>
      </c>
      <c r="K160" s="184">
        <f>IF(C160&lt;&gt;"",_xll.RssMarket(C160,"年初来高値"),"")</f>
        <v>2634</v>
      </c>
      <c r="L160" s="185">
        <f t="shared" si="44"/>
        <v>-14.958238420653</v>
      </c>
      <c r="M160" s="184">
        <f>IF(C160&lt;&gt;"",IFERROR(AVERAGE(出来高!E185:I185),""),"")</f>
        <v>64120</v>
      </c>
      <c r="N160" s="184">
        <f>IF(C160&lt;&gt;"",IFERROR(AVERAGE(出来高!E185:AC185),""),"")</f>
        <v>68528</v>
      </c>
      <c r="O160" s="186">
        <f t="shared" si="45"/>
        <v>0.87180286961946352</v>
      </c>
      <c r="P160" s="181" t="str">
        <f t="shared" si="46"/>
        <v>減少↓</v>
      </c>
      <c r="Q160" s="181" t="str">
        <f t="shared" si="47"/>
        <v>中立→</v>
      </c>
      <c r="R160" s="184">
        <f t="shared" si="54"/>
        <v>2419</v>
      </c>
      <c r="S160" s="184">
        <f t="shared" si="55"/>
        <v>2150</v>
      </c>
      <c r="T160" s="181">
        <f t="shared" si="51"/>
        <v>1</v>
      </c>
      <c r="U160" s="181" t="str">
        <f t="shared" si="56"/>
        <v>除外</v>
      </c>
      <c r="V160" s="181" t="str">
        <f t="shared" si="48"/>
        <v>通常</v>
      </c>
      <c r="W160" s="187">
        <f t="array" ref="W160">IF(C160&lt;&gt;"",IFERROR(100-100/(1+SUMPRODUCT((終値!F185:R185&gt;終値!G185:S185)*( 終値!F185:R185-終値!G185:S185))/SUMPRODUCT((終値!F185:R185&lt;終値!G185:S185)*(終値!G185:S185-終値!F185:R185))),50),"")</f>
        <v>58.695652173913047</v>
      </c>
      <c r="X160" s="188">
        <f>IF(C160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1.9415178375966207</v>
      </c>
      <c r="Y160" s="1" t="str">
        <f>IF(T160="","",IF(銘柄管理!$F$5="下落▼",IF(AND(AD160="パーフェクト▲",OR(AE160="25日線押し目●",AE160="5日線押し目○")),"★逆張り候補",IF(AND(AD160="上昇トレンド▲",OR(AE160="25日線押し目●",AE160="5日線押し目○")),"○逆張り候補",IF(W160&lt;=30,IF(Z160&gt;0,"◎反発確認",IF(Z160&lt;-5,"△要注意・様子見","△売られ過ぎ注目")),"相場下落・見送り"))),IF(AND(T160&gt;=12,AD160="パーフェクト▲"),"★強い買い",IF(AND(T160&gt;=12,AD160="上昇トレンド▲"),"★強い買い",IF(AND(T160&gt;=8,OR(AE160="25日線押し目●",AE160="5日線押し目○")),"◎押し目買い",IF(T160&gt;=10,"○買い候補",IF(T160&gt;=6,"△注目",IF(T160&gt;=3,"様子見","見送り"))))))))</f>
        <v>見送り</v>
      </c>
      <c r="Z160" s="189">
        <f t="shared" si="57"/>
        <v>8.936550491510277E-2</v>
      </c>
      <c r="AA160" s="181" t="str">
        <f t="shared" si="58"/>
        <v>上昇▲</v>
      </c>
      <c r="AB160" s="497">
        <f>IF(C160="","",IFERROR(((終値!E162*0.333)+(終値!F162*0.222)+(終値!G162*0.148)+(終値!H162*0.099)+(終値!I162*0.066)+(終値!J162*0.044)+(終値!K162*0.029)+(終値!L162*0.019)+(終値!M162*0.013)+(終値!N162*0.009))/(0.333+0.222+0.148+0.099+0.066+0.044+0.029+0.019+0.013+0.009),""))</f>
        <v>4329.3686354378815</v>
      </c>
      <c r="AC160" s="497">
        <f>IF(C160="","",IFERROR(SUMPRODUCT((終値!E162:AC162)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4339.9106078665063</v>
      </c>
      <c r="AD160" s="498" t="str">
        <f t="shared" si="49"/>
        <v>下降トレンド▼</v>
      </c>
      <c r="AE160" s="498" t="str">
        <f t="shared" si="50"/>
        <v>なし</v>
      </c>
      <c r="AF160" s="403" cm="1">
        <f t="array" ref="AF160">IF(C160="","",IFERROR((INDEX(終値!$E:$E,MATCH(TEXT(C160,"0"),終値!$A:$A,0))-INDEX(終値!$E:$BL,MATCH(TEXT(C160,"0"),終値!$A:$A,0),$AL$2))/INDEX(終値!$E:$BL,MATCH(TEXT(C160,"0"),終値!$A:$A,0),$AL$2)*100,""))</f>
        <v>-0.17825311942959002</v>
      </c>
      <c r="AG160" s="403" cm="1">
        <f t="array" ref="AG160">IFERROR((終値!$E$5-INDEX(終値!$E$5:$BL$5,1,$AL$2))/INDEX(終値!$E$5:$BL$5,1,$AL$2)*100,"")</f>
        <v>3.4532270246721688</v>
      </c>
      <c r="AH160" s="404">
        <f t="shared" si="52"/>
        <v>-3.6314801441017588</v>
      </c>
      <c r="AI160" s="402">
        <f t="shared" si="53"/>
        <v>-2</v>
      </c>
    </row>
    <row r="161" spans="1:35" ht="18" customHeight="1">
      <c r="A161" s="181" t="str">
        <f>IF(銘柄管理!B187&lt;&gt;"",HYPERLINK("https://kabutan.jp/stock/?code="&amp;銘柄管理!B187,"株探"),"")</f>
        <v>株探</v>
      </c>
      <c r="B161" s="182"/>
      <c r="C161" s="183">
        <f>IF(銘柄管理!B187="","",銘柄管理!B187)</f>
        <v>2127</v>
      </c>
      <c r="D161" s="111" t="str">
        <f>IF(銘柄管理!C187="","",銘柄管理!C187)</f>
        <v>日本Ｍ＆Ａセンターホールデ</v>
      </c>
      <c r="E161" s="184">
        <f>IF(C161&lt;&gt;"",_xll.RssMarket(C161,"現在値"),"")</f>
        <v>650.9</v>
      </c>
      <c r="F161" s="184">
        <f>IF(C161&lt;&gt;"",_xll.RssMarket(C161,"始値"),"")</f>
        <v>645</v>
      </c>
      <c r="G161" s="183">
        <f>IF(C161&lt;&gt;"",終値!F187,"")</f>
        <v>638.29999999999995</v>
      </c>
      <c r="H161" s="184">
        <f>IF(C161&lt;&gt;"",_xll.RssMarket(C161,"高値"),"")</f>
        <v>653.4</v>
      </c>
      <c r="I161" s="184">
        <f>IF(C161&lt;&gt;"",_xll.RssMarket(C161,"安値"),"")</f>
        <v>640.79999999999995</v>
      </c>
      <c r="J161" s="184">
        <f>IF(C161&lt;&gt;"",_xll.RssMarket(C161,"出来高"),"")</f>
        <v>1269200</v>
      </c>
      <c r="K161" s="184">
        <f>IF(C161&lt;&gt;"",_xll.RssMarket(C161,"年初来高値"),"")</f>
        <v>763.7</v>
      </c>
      <c r="L161" s="185">
        <f t="shared" si="44"/>
        <v>-14.770197721618445</v>
      </c>
      <c r="M161" s="184">
        <f>IF(C161&lt;&gt;"",IFERROR(AVERAGE(出来高!E187:I187),""),"")</f>
        <v>1442900</v>
      </c>
      <c r="N161" s="184">
        <f>IF(C161&lt;&gt;"",IFERROR(AVERAGE(出来高!E187:AC187),""),"")</f>
        <v>1623472</v>
      </c>
      <c r="O161" s="186">
        <f t="shared" si="45"/>
        <v>0.87961743710582851</v>
      </c>
      <c r="P161" s="181" t="str">
        <f t="shared" si="46"/>
        <v>減少↓</v>
      </c>
      <c r="Q161" s="181" t="str">
        <f t="shared" si="47"/>
        <v>中立→</v>
      </c>
      <c r="R161" s="184">
        <f t="shared" si="54"/>
        <v>703</v>
      </c>
      <c r="S161" s="184">
        <f t="shared" si="55"/>
        <v>625</v>
      </c>
      <c r="T161" s="181">
        <f t="shared" si="51"/>
        <v>1</v>
      </c>
      <c r="U161" s="181" t="str">
        <f t="shared" si="56"/>
        <v>除外</v>
      </c>
      <c r="V161" s="181" t="str">
        <f t="shared" si="48"/>
        <v>通常</v>
      </c>
      <c r="W161" s="187">
        <f t="array" ref="W161">IF(C161&lt;&gt;"",IFERROR(100-100/(1+SUMPRODUCT((終値!F187:R187&gt;終値!G187:S187)*( 終値!F187:R187-終値!G187:S187))/SUMPRODUCT((終値!F187:R187&lt;終値!G187:S187)*(終値!G187:S187-終値!F187:R187))),50),"")</f>
        <v>41.358024691357976</v>
      </c>
      <c r="X161" s="188">
        <f>IF(C161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-1.8756853036353505</v>
      </c>
      <c r="Y161" s="1" t="str">
        <f>IF(T161="","",IF(銘柄管理!$F$5="下落▼",IF(AND(AD161="パーフェクト▲",OR(AE161="25日線押し目●",AE161="5日線押し目○")),"★逆張り候補",IF(AND(AD161="上昇トレンド▲",OR(AE161="25日線押し目●",AE161="5日線押し目○")),"○逆張り候補",IF(W161&lt;=30,IF(Z161&gt;0,"◎反発確認",IF(Z161&lt;-5,"△要注意・様子見","△売られ過ぎ注目")),"相場下落・見送り"))),IF(AND(T161&gt;=12,AD161="パーフェクト▲"),"★強い買い",IF(AND(T161&gt;=12,AD161="上昇トレンド▲"),"★強い買い",IF(AND(T161&gt;=8,OR(AE161="25日線押し目●",AE161="5日線押し目○")),"◎押し目買い",IF(T161&gt;=10,"○買い候補",IF(T161&gt;=6,"△注目",IF(T161&gt;=3,"様子見","見送り"))))))))</f>
        <v>見送り</v>
      </c>
      <c r="Z161" s="189">
        <f t="shared" si="57"/>
        <v>1.9739934200219369</v>
      </c>
      <c r="AA161" s="181" t="str">
        <f t="shared" si="58"/>
        <v>上昇▲</v>
      </c>
      <c r="AB161" s="499">
        <f>IF(C161="","",IFERROR(((終値!E163*0.333)+(終値!F163*0.222)+(終値!G163*0.148)+(終値!H163*0.099)+(終値!I163*0.066)+(終値!J163*0.044)+(終値!K163*0.029)+(終値!L163*0.019)+(終値!M163*0.013)+(終値!N163*0.009))/(0.333+0.222+0.148+0.099+0.066+0.044+0.029+0.019+0.013+0.009),""))</f>
        <v>1644.2596741344191</v>
      </c>
      <c r="AC161" s="499">
        <f>IF(C161="","",IFERROR(SUMPRODUCT((終値!E163:AC163)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1630.650774731823</v>
      </c>
      <c r="AD161" s="500" t="str">
        <f t="shared" si="49"/>
        <v>もみ合い→</v>
      </c>
      <c r="AE161" s="500" t="str">
        <f t="shared" si="50"/>
        <v>なし</v>
      </c>
      <c r="AF161" s="403" cm="1">
        <f t="array" ref="AF161">IF(C161="","",IFERROR((INDEX(終値!$E:$E,MATCH(TEXT(C161,"0"),終値!$A:$A,0))-INDEX(終値!$E:$BL,MATCH(TEXT(C161,"0"),終値!$A:$A,0),$AL$2))/INDEX(終値!$E:$BL,MATCH(TEXT(C161,"0"),終値!$A:$A,0),$AL$2)*100,""))</f>
        <v>1.8941765810895466</v>
      </c>
      <c r="AG161" s="403" cm="1">
        <f t="array" ref="AG161">IFERROR((終値!$E$5-INDEX(終値!$E$5:$BL$5,1,$AL$2))/INDEX(終値!$E$5:$BL$5,1,$AL$2)*100,"")</f>
        <v>3.4532270246721688</v>
      </c>
      <c r="AH161" s="404">
        <f t="shared" si="52"/>
        <v>-1.5590504435826222</v>
      </c>
      <c r="AI161" s="402">
        <f t="shared" si="53"/>
        <v>-1</v>
      </c>
    </row>
    <row r="162" spans="1:35" ht="18" customHeight="1">
      <c r="A162" s="181" t="str">
        <f>IF(銘柄管理!B188&lt;&gt;"",HYPERLINK("https://kabutan.jp/stock/?code="&amp;銘柄管理!B188,"株探"),"")</f>
        <v>株探</v>
      </c>
      <c r="B162" s="182"/>
      <c r="C162" s="183">
        <f>IF(銘柄管理!B188="","",銘柄管理!B188)</f>
        <v>6753</v>
      </c>
      <c r="D162" s="111" t="str">
        <f>IF(銘柄管理!C188="","",銘柄管理!C188)</f>
        <v>シャープ</v>
      </c>
      <c r="E162" s="184">
        <f>IF(C162&lt;&gt;"",_xll.RssMarket(C162,"現在値"),"")</f>
        <v>594.4</v>
      </c>
      <c r="F162" s="184">
        <f>IF(C162&lt;&gt;"",_xll.RssMarket(C162,"始値"),"")</f>
        <v>594</v>
      </c>
      <c r="G162" s="183">
        <f>IF(C162&lt;&gt;"",終値!F188,"")</f>
        <v>593.79999999999995</v>
      </c>
      <c r="H162" s="184">
        <f>IF(C162&lt;&gt;"",_xll.RssMarket(C162,"高値"),"")</f>
        <v>601</v>
      </c>
      <c r="I162" s="184">
        <f>IF(C162&lt;&gt;"",_xll.RssMarket(C162,"安値"),"")</f>
        <v>589</v>
      </c>
      <c r="J162" s="184">
        <f>IF(C162&lt;&gt;"",_xll.RssMarket(C162,"出来高"),"")</f>
        <v>2353100</v>
      </c>
      <c r="K162" s="184">
        <f>IF(C162&lt;&gt;"",_xll.RssMarket(C162,"年初来高値"),"")</f>
        <v>830.5</v>
      </c>
      <c r="L162" s="185">
        <f t="shared" si="44"/>
        <v>-28.428657435279952</v>
      </c>
      <c r="M162" s="184">
        <f>IF(C162&lt;&gt;"",IFERROR(AVERAGE(出来高!E188:I188),""),"")</f>
        <v>3235660</v>
      </c>
      <c r="N162" s="184">
        <f>IF(C162&lt;&gt;"",IFERROR(AVERAGE(出来高!E188:AC188),""),"")</f>
        <v>4678412</v>
      </c>
      <c r="O162" s="186">
        <f t="shared" si="45"/>
        <v>0.72723957399726791</v>
      </c>
      <c r="P162" s="181" t="str">
        <f t="shared" si="46"/>
        <v>減少↓</v>
      </c>
      <c r="Q162" s="181" t="str">
        <f t="shared" si="47"/>
        <v>中立→</v>
      </c>
      <c r="R162" s="184">
        <f t="shared" si="54"/>
        <v>642</v>
      </c>
      <c r="S162" s="184">
        <f t="shared" si="55"/>
        <v>571</v>
      </c>
      <c r="T162" s="181">
        <f t="shared" si="51"/>
        <v>5</v>
      </c>
      <c r="U162" s="181" t="str">
        <f t="shared" si="56"/>
        <v>要確認</v>
      </c>
      <c r="V162" s="181" t="str">
        <f t="shared" si="48"/>
        <v>通常</v>
      </c>
      <c r="W162" s="187">
        <f t="array" ref="W162">IF(C162&lt;&gt;"",IFERROR(100-100/(1+SUMPRODUCT((終値!F188:R188&gt;終値!G188:S188)*( 終値!F188:R188-終値!G188:S188))/SUMPRODUCT((終値!F188:R188&lt;終値!G188:S188)*(終値!G188:S188-終値!F188:R188))),50),"")</f>
        <v>36.66666666666665</v>
      </c>
      <c r="X162" s="188">
        <f>IF(C162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1.1685373289975587</v>
      </c>
      <c r="Y162" s="1" t="str">
        <f>IF(T162="","",IF(銘柄管理!$F$5="下落▼",IF(AND(AD162="パーフェクト▲",OR(AE162="25日線押し目●",AE162="5日線押し目○")),"★逆張り候補",IF(AND(AD162="上昇トレンド▲",OR(AE162="25日線押し目●",AE162="5日線押し目○")),"○逆張り候補",IF(W162&lt;=30,IF(Z162&gt;0,"◎反発確認",IF(Z162&lt;-5,"△要注意・様子見","△売られ過ぎ注目")),"相場下落・見送り"))),IF(AND(T162&gt;=12,AD162="パーフェクト▲"),"★強い買い",IF(AND(T162&gt;=12,AD162="上昇トレンド▲"),"★強い買い",IF(AND(T162&gt;=8,OR(AE162="25日線押し目●",AE162="5日線押し目○")),"◎押し目買い",IF(T162&gt;=10,"○買い候補",IF(T162&gt;=6,"△注目",IF(T162&gt;=3,"様子見","見送り"))))))))</f>
        <v>様子見</v>
      </c>
      <c r="Z162" s="189">
        <f t="shared" si="57"/>
        <v>0.10104412260020593</v>
      </c>
      <c r="AA162" s="181" t="str">
        <f t="shared" si="58"/>
        <v>上昇▲</v>
      </c>
      <c r="AB162" s="497">
        <f>IF(C162="","",IFERROR(((終値!E164*0.333)+(終値!F164*0.222)+(終値!G164*0.148)+(終値!H164*0.099)+(終値!I164*0.066)+(終値!J164*0.044)+(終値!K164*0.029)+(終値!L164*0.019)+(終値!M164*0.013)+(終値!N164*0.009))/(0.333+0.222+0.148+0.099+0.066+0.044+0.029+0.019+0.013+0.009),""))</f>
        <v>1144.2769857433807</v>
      </c>
      <c r="AC162" s="497">
        <f>IF(C162="","",IFERROR(SUMPRODUCT((終値!E164:AC164)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1149.7890345649578</v>
      </c>
      <c r="AD162" s="498" t="str">
        <f t="shared" si="49"/>
        <v>下降トレンド▼</v>
      </c>
      <c r="AE162" s="498" t="str">
        <f t="shared" si="50"/>
        <v>なし</v>
      </c>
      <c r="AF162" s="403" cm="1">
        <f t="array" ref="AF162">IF(C162="","",IFERROR((INDEX(終値!$E:$E,MATCH(TEXT(C162,"0"),終値!$A:$A,0))-INDEX(終値!$E:$BL,MATCH(TEXT(C162,"0"),終値!$A:$A,0),$AL$2))/INDEX(終値!$E:$BL,MATCH(TEXT(C162,"0"),終値!$A:$A,0),$AL$2)*100,""))</f>
        <v>3.9706139583697619</v>
      </c>
      <c r="AG162" s="403" cm="1">
        <f t="array" ref="AG162">IFERROR((終値!$E$5-INDEX(終値!$E$5:$BL$5,1,$AL$2))/INDEX(終値!$E$5:$BL$5,1,$AL$2)*100,"")</f>
        <v>3.4532270246721688</v>
      </c>
      <c r="AH162" s="404">
        <f t="shared" si="52"/>
        <v>0.51738693369759314</v>
      </c>
      <c r="AI162" s="402">
        <f t="shared" si="53"/>
        <v>1</v>
      </c>
    </row>
    <row r="163" spans="1:35" ht="18" customHeight="1">
      <c r="A163" s="181" t="str">
        <f>IF(銘柄管理!B189&lt;&gt;"",HYPERLINK("https://kabutan.jp/stock/?code="&amp;銘柄管理!B189,"株探"),"")</f>
        <v>株探</v>
      </c>
      <c r="B163" s="182"/>
      <c r="C163" s="183" t="str">
        <f>IF(銘柄管理!B189="","",銘柄管理!B189)</f>
        <v>9064</v>
      </c>
      <c r="D163" s="111" t="str">
        <f>IF(銘柄管理!C189="","",銘柄管理!C189)</f>
        <v>ヤマトホールディングス</v>
      </c>
      <c r="E163" s="184">
        <f>IF(C163&lt;&gt;"",_xll.RssMarket(C163,"現在値"),"")</f>
        <v>1769.5</v>
      </c>
      <c r="F163" s="184">
        <f>IF(C163&lt;&gt;"",_xll.RssMarket(C163,"始値"),"")</f>
        <v>1770</v>
      </c>
      <c r="G163" s="183">
        <f>IF(C163&lt;&gt;"",終値!F189,"")</f>
        <v>1774.5</v>
      </c>
      <c r="H163" s="184">
        <f>IF(C163&lt;&gt;"",_xll.RssMarket(C163,"高値"),"")</f>
        <v>1780</v>
      </c>
      <c r="I163" s="184">
        <f>IF(C163&lt;&gt;"",_xll.RssMarket(C163,"安値"),"")</f>
        <v>1763</v>
      </c>
      <c r="J163" s="184">
        <f>IF(C163&lt;&gt;"",_xll.RssMarket(C163,"出来高"),"")</f>
        <v>830300</v>
      </c>
      <c r="K163" s="184">
        <f>IF(C163&lt;&gt;"",_xll.RssMarket(C163,"年初来高値"),"")</f>
        <v>2275</v>
      </c>
      <c r="L163" s="185">
        <f t="shared" si="44"/>
        <v>-22.219780219780219</v>
      </c>
      <c r="M163" s="184">
        <f>IF(C163&lt;&gt;"",IFERROR(AVERAGE(出来高!E189:I189),""),"")</f>
        <v>1122940</v>
      </c>
      <c r="N163" s="184">
        <f>IF(C163&lt;&gt;"",IFERROR(AVERAGE(出来高!E189:AC189),""),"")</f>
        <v>1207804</v>
      </c>
      <c r="O163" s="186">
        <f t="shared" si="45"/>
        <v>0.73939836500614453</v>
      </c>
      <c r="P163" s="181" t="str">
        <f t="shared" si="46"/>
        <v>減少↓</v>
      </c>
      <c r="Q163" s="181" t="str">
        <f t="shared" si="47"/>
        <v>様子見▼</v>
      </c>
      <c r="R163" s="184">
        <f t="shared" si="54"/>
        <v>1911</v>
      </c>
      <c r="S163" s="184">
        <f t="shared" si="55"/>
        <v>1699</v>
      </c>
      <c r="T163" s="181">
        <f t="shared" si="51"/>
        <v>0</v>
      </c>
      <c r="U163" s="181" t="str">
        <f t="shared" si="56"/>
        <v>除外</v>
      </c>
      <c r="V163" s="181" t="str">
        <f t="shared" si="48"/>
        <v>通常</v>
      </c>
      <c r="W163" s="187">
        <f t="array" ref="W163">IF(C163&lt;&gt;"",IFERROR(100-100/(1+SUMPRODUCT((終値!F189:R189&gt;終値!G189:S189)*( 終値!F189:R189-終値!G189:S189))/SUMPRODUCT((終値!F189:R189&lt;終値!G189:S189)*(終値!G189:S189-終値!F189:R189))),50),"")</f>
        <v>50.24154589371981</v>
      </c>
      <c r="X163" s="188">
        <f>IF(C163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3.7881399782686458</v>
      </c>
      <c r="Y163" s="1" t="str">
        <f>IF(T163="","",IF(銘柄管理!$F$5="下落▼",IF(AND(AD163="パーフェクト▲",OR(AE163="25日線押し目●",AE163="5日線押し目○")),"★逆張り候補",IF(AND(AD163="上昇トレンド▲",OR(AE163="25日線押し目●",AE163="5日線押し目○")),"○逆張り候補",IF(W163&lt;=30,IF(Z163&gt;0,"◎反発確認",IF(Z163&lt;-5,"△要注意・様子見","△売られ過ぎ注目")),"相場下落・見送り"))),IF(AND(T163&gt;=12,AD163="パーフェクト▲"),"★強い買い",IF(AND(T163&gt;=12,AD163="上昇トレンド▲"),"★強い買い",IF(AND(T163&gt;=8,OR(AE163="25日線押し目●",AE163="5日線押し目○")),"◎押し目買い",IF(T163&gt;=10,"○買い候補",IF(T163&gt;=6,"△注目",IF(T163&gt;=3,"様子見","見送り"))))))))</f>
        <v>見送り</v>
      </c>
      <c r="Z163" s="189">
        <f t="shared" si="57"/>
        <v>-0.28176951253874327</v>
      </c>
      <c r="AA163" s="181" t="str">
        <f t="shared" si="58"/>
        <v>下落▼</v>
      </c>
      <c r="AB163" s="499">
        <f>IF(C163="","",IFERROR(((終値!E165*0.333)+(終値!F165*0.222)+(終値!G165*0.148)+(終値!H165*0.099)+(終値!I165*0.066)+(終値!J165*0.044)+(終値!K165*0.029)+(終値!L165*0.019)+(終値!M165*0.013)+(終値!N165*0.009))/(0.333+0.222+0.148+0.099+0.066+0.044+0.029+0.019+0.013+0.009),""))</f>
        <v>5904.6527494908332</v>
      </c>
      <c r="AC163" s="499">
        <f>IF(C163="","",IFERROR(SUMPRODUCT((終値!E165:AC165)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6035.6007151370677</v>
      </c>
      <c r="AD163" s="500" t="str">
        <f t="shared" ref="AD163:AD194" si="59">IF(OR(C163="",AB163="",AC163=""),"",IF(AND(E163&gt;AB163,AB163&gt;AC163),"パーフェクト▲",IF(E163&gt;AC163,"上昇トレンド▲",IF(AND(E163&lt;AB163,AB163&lt;AC163),"下降トレンド▼","もみ合い→"))))</f>
        <v>下降トレンド▼</v>
      </c>
      <c r="AE163" s="500" t="str">
        <f t="shared" ref="AE163:AE194" si="60">IF(OR(C163="",AB163="",AC163=""),"",IF(AND(ABS(E163-AC163)/AC163&lt;=0.02,E163&gt;AC163),"25日押し目★",IF(AND(ABS(E163-AB163)/AB163&lt;=0.01,E163&gt;AB163),"5日押し目○","なし")))</f>
        <v>なし</v>
      </c>
      <c r="AF163" s="403" cm="1">
        <f t="array" ref="AF163">IF(C163="","",IFERROR((INDEX(終値!$E:$E,MATCH(TEXT(C163,"0"),終値!$A:$A,0))-INDEX(終値!$E:$BL,MATCH(TEXT(C163,"0"),終値!$A:$A,0),$AL$2))/INDEX(終値!$E:$BL,MATCH(TEXT(C163,"0"),終値!$A:$A,0),$AL$2)*100,""))</f>
        <v>-0.5898876404494382</v>
      </c>
      <c r="AG163" s="403" cm="1">
        <f t="array" ref="AG163">IFERROR((終値!$E$5-INDEX(終値!$E$5:$BL$5,1,$AL$2))/INDEX(終値!$E$5:$BL$5,1,$AL$2)*100,"")</f>
        <v>3.4532270246721688</v>
      </c>
      <c r="AH163" s="404">
        <f t="shared" si="52"/>
        <v>-4.0431146651216068</v>
      </c>
      <c r="AI163" s="402">
        <f t="shared" si="53"/>
        <v>-2</v>
      </c>
    </row>
    <row r="164" spans="1:35" ht="18" customHeight="1">
      <c r="A164" s="181" t="str">
        <f>IF(銘柄管理!B206&lt;&gt;"",HYPERLINK("https://kabutan.jp/stock/?code="&amp;銘柄管理!B206,"株探"),"")</f>
        <v>株探</v>
      </c>
      <c r="B164" s="182"/>
      <c r="C164" s="183">
        <f>IF(銘柄管理!B206="","",銘柄管理!B206)</f>
        <v>9101</v>
      </c>
      <c r="D164" s="111" t="str">
        <f>IF(銘柄管理!C206="","",銘柄管理!C206)</f>
        <v>日本郵船</v>
      </c>
      <c r="E164" s="184">
        <f>IF(C164&lt;&gt;"",_xll.RssMarket(C164,"現在値"),"")</f>
        <v>5348</v>
      </c>
      <c r="F164" s="184">
        <f>IF(C164&lt;&gt;"",_xll.RssMarket(C164,"始値"),"")</f>
        <v>5409</v>
      </c>
      <c r="G164" s="183">
        <f>IF(C164&lt;&gt;"",終値!F206,"")</f>
        <v>5466</v>
      </c>
      <c r="H164" s="184">
        <f>IF(C164&lt;&gt;"",_xll.RssMarket(C164,"高値"),"")</f>
        <v>5410</v>
      </c>
      <c r="I164" s="184">
        <f>IF(C164&lt;&gt;"",_xll.RssMarket(C164,"安値"),"")</f>
        <v>5281</v>
      </c>
      <c r="J164" s="184">
        <f>IF(C164&lt;&gt;"",_xll.RssMarket(C164,"出来高"),"")</f>
        <v>3087700</v>
      </c>
      <c r="K164" s="184">
        <f>IF(C164&lt;&gt;"",_xll.RssMarket(C164,"年初来高値"),"")</f>
        <v>6394</v>
      </c>
      <c r="L164" s="185">
        <f t="shared" si="44"/>
        <v>-16.359086643728496</v>
      </c>
      <c r="M164" s="184">
        <f>IF(C164&lt;&gt;"",IFERROR(AVERAGE(出来高!E206:I206),""),"")</f>
        <v>3051560</v>
      </c>
      <c r="N164" s="184">
        <f>IF(C164&lt;&gt;"",IFERROR(AVERAGE(出来高!E206:AC206),""),"")</f>
        <v>3386436</v>
      </c>
      <c r="O164" s="186">
        <f t="shared" si="45"/>
        <v>1.0118431228617495</v>
      </c>
      <c r="P164" s="181" t="str">
        <f t="shared" si="46"/>
        <v>普通→</v>
      </c>
      <c r="Q164" s="181" t="str">
        <f t="shared" si="47"/>
        <v>様子見▼</v>
      </c>
      <c r="R164" s="184">
        <f t="shared" si="54"/>
        <v>5776</v>
      </c>
      <c r="S164" s="184">
        <f t="shared" si="55"/>
        <v>5134</v>
      </c>
      <c r="T164" s="181">
        <f t="shared" si="51"/>
        <v>3</v>
      </c>
      <c r="U164" s="181" t="str">
        <f t="shared" si="56"/>
        <v>要確認</v>
      </c>
      <c r="V164" s="181" t="str">
        <f t="shared" si="48"/>
        <v>通常</v>
      </c>
      <c r="W164" s="187">
        <f t="array" ref="W164">IF(C164&lt;&gt;"",IFERROR(100-100/(1+SUMPRODUCT((終値!F206:R206&gt;終値!G206:S206)*( 終値!F206:R206-終値!G206:S206))/SUMPRODUCT((終値!F206:R206&lt;終値!G206:S206)*(終値!G206:S206-終値!F206:R206))),50),"")</f>
        <v>57.481940144478841</v>
      </c>
      <c r="X164" s="188">
        <f>IF(C164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14.235355577758128</v>
      </c>
      <c r="Y164" s="1" t="str">
        <f>IF(T164="","",IF(銘柄管理!$F$5="下落▼",IF(AND(AD164="パーフェクト▲",OR(AE164="25日線押し目●",AE164="5日線押し目○")),"★逆張り候補",IF(AND(AD164="上昇トレンド▲",OR(AE164="25日線押し目●",AE164="5日線押し目○")),"○逆張り候補",IF(W164&lt;=30,IF(Z164&gt;0,"◎反発確認",IF(Z164&lt;-5,"△要注意・様子見","△売られ過ぎ注目")),"相場下落・見送り"))),IF(AND(T164&gt;=12,AD164="パーフェクト▲"),"★強い買い",IF(AND(T164&gt;=12,AD164="上昇トレンド▲"),"★強い買い",IF(AND(T164&gt;=8,OR(AE164="25日線押し目●",AE164="5日線押し目○")),"◎押し目買い",IF(T164&gt;=10,"○買い候補",IF(T164&gt;=6,"△注目",IF(T164&gt;=3,"様子見","見送り"))))))))</f>
        <v>様子見</v>
      </c>
      <c r="Z164" s="189">
        <f t="shared" si="57"/>
        <v>-2.1587998536406876</v>
      </c>
      <c r="AA164" s="181" t="str">
        <f t="shared" si="58"/>
        <v>下落▼</v>
      </c>
      <c r="AB164" s="497">
        <f>IF(C164="","",IFERROR(((終値!E166*0.333)+(終値!F166*0.222)+(終値!G166*0.148)+(終値!H166*0.099)+(終値!I166*0.066)+(終値!J166*0.044)+(終値!K166*0.029)+(終値!L166*0.019)+(終値!M166*0.013)+(終値!N166*0.009))/(0.333+0.222+0.148+0.099+0.066+0.044+0.029+0.019+0.013+0.009),""))</f>
        <v>2211.8635437881871</v>
      </c>
      <c r="AC164" s="497">
        <f>IF(C164="","",IFERROR(SUMPRODUCT((終値!E166:AC166)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2236.0190703218109</v>
      </c>
      <c r="AD164" s="498" t="str">
        <f t="shared" si="59"/>
        <v>上昇トレンド▲</v>
      </c>
      <c r="AE164" s="498" t="str">
        <f t="shared" si="60"/>
        <v>なし</v>
      </c>
      <c r="AF164" s="403" cm="1">
        <f t="array" ref="AF164">IF(C164="","",IFERROR((INDEX(終値!$E:$E,MATCH(TEXT(C164,"0"),終値!$A:$A,0))-INDEX(終値!$E:$BL,MATCH(TEXT(C164,"0"),終値!$A:$A,0),$AL$2))/INDEX(終値!$E:$BL,MATCH(TEXT(C164,"0"),終値!$A:$A,0),$AL$2)*100,""))</f>
        <v>-1.7994858611825193</v>
      </c>
      <c r="AG164" s="403" cm="1">
        <f t="array" ref="AG164">IFERROR((終値!$E$5-INDEX(終値!$E$5:$BL$5,1,$AL$2))/INDEX(終値!$E$5:$BL$5,1,$AL$2)*100,"")</f>
        <v>3.4532270246721688</v>
      </c>
      <c r="AH164" s="404">
        <f t="shared" si="52"/>
        <v>-5.2527128858546881</v>
      </c>
      <c r="AI164" s="402">
        <f t="shared" si="53"/>
        <v>-2</v>
      </c>
    </row>
    <row r="165" spans="1:35" ht="18" customHeight="1">
      <c r="A165" s="181" t="str">
        <f>IF(銘柄管理!B7&lt;&gt;"",HYPERLINK("https://kabutan.jp/stock/?code="&amp;銘柄管理!B7,"株探"),"")</f>
        <v>株探</v>
      </c>
      <c r="B165" s="182"/>
      <c r="C165" s="183">
        <f>IF(銘柄管理!B7="","",銘柄管理!B7)</f>
        <v>5423</v>
      </c>
      <c r="D165" s="111" t="str">
        <f>IF(銘柄管理!C7="","",銘柄管理!C7)</f>
        <v>東京製鐵</v>
      </c>
      <c r="E165" s="184">
        <f>IF(C165&lt;&gt;"",_xll.RssMarket(C165,"現在値"),"")</f>
        <v>1771</v>
      </c>
      <c r="F165" s="184">
        <f>IF(C165&lt;&gt;"",_xll.RssMarket(C165,"始値"),"")</f>
        <v>1755</v>
      </c>
      <c r="G165" s="183">
        <f>IF(C165&lt;&gt;"",終値!F7,"")</f>
        <v>1742</v>
      </c>
      <c r="H165" s="184">
        <f>IF(C165&lt;&gt;"",_xll.RssMarket(C165,"高値"),"")</f>
        <v>1788</v>
      </c>
      <c r="I165" s="184">
        <f>IF(C165&lt;&gt;"",_xll.RssMarket(C165,"安値"),"")</f>
        <v>1749</v>
      </c>
      <c r="J165" s="184">
        <f>IF(C165&lt;&gt;"",_xll.RssMarket(C165,"出来高"),"")</f>
        <v>385700</v>
      </c>
      <c r="K165" s="184">
        <f>IF(C165&lt;&gt;"",_xll.RssMarket(C165,"年初来高値"),"")</f>
        <v>1973</v>
      </c>
      <c r="L165" s="185">
        <f t="shared" si="44"/>
        <v>-10.238215914850482</v>
      </c>
      <c r="M165" s="184">
        <f>IF(C165&lt;&gt;"",IFERROR(AVERAGE(出来高!F7:J7),""),"")</f>
        <v>349820</v>
      </c>
      <c r="N165" s="184">
        <f>IF(C165&lt;&gt;"",IFERROR(AVERAGE(出来高!F7:AD7),""),"")</f>
        <v>432360</v>
      </c>
      <c r="O165" s="186">
        <f t="shared" si="45"/>
        <v>1.1025670344748728</v>
      </c>
      <c r="P165" s="181" t="str">
        <f t="shared" si="46"/>
        <v>普通→</v>
      </c>
      <c r="Q165" s="181" t="str">
        <f t="shared" si="47"/>
        <v>中立→</v>
      </c>
      <c r="R165" s="184">
        <f t="shared" ref="R165:R196" si="61">IF(E165&lt;&gt;"",ROUND(E165*1.08,0),"")</f>
        <v>1913</v>
      </c>
      <c r="S165" s="184">
        <f t="shared" ref="S165:S196" si="62">IF(E165&lt;&gt;"",ROUND(E165*0.96,0),"")</f>
        <v>1700</v>
      </c>
      <c r="T165" s="181">
        <f t="shared" si="51"/>
        <v>4</v>
      </c>
      <c r="U165" s="181" t="str">
        <f t="shared" ref="U165:U196" si="63">IF(T165="","",IF(AND(T165&gt;=3,O165&gt;=1.5),"有効",IF(T165&gt;=3,"要確認","除外")))</f>
        <v>要確認</v>
      </c>
      <c r="V165" s="181" t="str">
        <f t="shared" si="48"/>
        <v>通常</v>
      </c>
      <c r="W165" s="187">
        <f t="array" ref="W165">IF(C165&lt;&gt;"",IFERROR(100-100/(1+SUMPRODUCT((終値!F7:R7&gt;終値!G7:S7)*( 終値!F7:R7-終値!G7:S7))/SUMPRODUCT((終値!F7:R7&lt;終値!G7:S7)*(終値!G7:S7-終値!F7:R7))),50),"")</f>
        <v>53.744493392070488</v>
      </c>
      <c r="X165" s="188">
        <f>IF(C165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-1.2460545536316658</v>
      </c>
      <c r="Y165" s="1" t="str">
        <f>IF(T165="","",IF(銘柄管理!$F$5="下落▼",IF(AND(AD165="パーフェクト▲",OR(AE165="25日線押し目●",AE165="5日線押し目○")),"★逆張り候補",IF(AND(AD165="上昇トレンド▲",OR(AE165="25日線押し目●",AE165="5日線押し目○")),"○逆張り候補",IF(W165&lt;=30,IF(Z165&gt;0,"◎反発確認",IF(Z165&lt;-5,"△要注意・様子見","△売られ過ぎ注目")),"相場下落・見送り"))),IF(AND(T165&gt;=12,AD165="パーフェクト▲"),"★強い買い",IF(AND(T165&gt;=12,AD165="上昇トレンド▲"),"★強い買い",IF(AND(T165&gt;=8,OR(AE165="25日線押し目●",AE165="5日線押し目○")),"◎押し目買い",IF(T165&gt;=10,"○買い候補",IF(T165&gt;=6,"△注目",IF(T165&gt;=3,"様子見","見送り"))))))))</f>
        <v>様子見</v>
      </c>
      <c r="Z165" s="189">
        <f t="shared" ref="Z165:Z196" si="64">IF(AND(E165&lt;&gt;"",G165&lt;&gt;"",G165&lt;&gt;0),(E165-G165)/G165*100,"")</f>
        <v>1.6647531572904706</v>
      </c>
      <c r="AA165" s="181" t="str">
        <f t="shared" ref="AA165:AA196" si="65">IF(OR(C165="",E165="",E165=0),"",IF(E165&gt;G165,"上昇▲",IF(E165&lt;G165,"下落▼","横ばい→")))</f>
        <v>上昇▲</v>
      </c>
      <c r="AB165" s="499">
        <f>IF(C165="","",IFERROR(((終値!E167*0.333)+(終値!F167*0.222)+(終値!G167*0.148)+(終値!H167*0.099)+(終値!I167*0.066)+(終値!J167*0.044)+(終値!K167*0.029)+(終値!L167*0.019)+(終値!M167*0.013)+(終値!N167*0.009))/(0.333+0.222+0.148+0.099+0.066+0.044+0.029+0.019+0.013+0.009),""))</f>
        <v>3288.6048879837053</v>
      </c>
      <c r="AC165" s="499">
        <f>IF(C165="","",IFERROR(SUMPRODUCT((終値!E167:AC167)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3284.350417163289</v>
      </c>
      <c r="AD165" s="500" t="str">
        <f t="shared" si="59"/>
        <v>もみ合い→</v>
      </c>
      <c r="AE165" s="500" t="str">
        <f t="shared" si="60"/>
        <v>なし</v>
      </c>
      <c r="AF165" s="403" cm="1">
        <f t="array" ref="AF165">IF(C165="","",IFERROR((INDEX(終値!$E:$E,MATCH(TEXT(C165,"0"),終値!$A:$A,0))-INDEX(終値!$E:$BL,MATCH(TEXT(C165,"0"),終値!$A:$A,0),$AL$2))/INDEX(終値!$E:$BL,MATCH(TEXT(C165,"0"),終値!$A:$A,0),$AL$2)*100,""))</f>
        <v>4.1152263374485596</v>
      </c>
      <c r="AG165" s="403" cm="1">
        <f t="array" ref="AG165">IFERROR((終値!$E$5-INDEX(終値!$E$5:$BL$5,1,$AL$2))/INDEX(終値!$E$5:$BL$5,1,$AL$2)*100,"")</f>
        <v>3.4532270246721688</v>
      </c>
      <c r="AH165" s="404">
        <f t="shared" si="52"/>
        <v>0.66199931277639079</v>
      </c>
      <c r="AI165" s="402">
        <f t="shared" si="53"/>
        <v>1</v>
      </c>
    </row>
    <row r="166" spans="1:35" ht="18" customHeight="1">
      <c r="A166" s="181" t="str">
        <f>IF(銘柄管理!B12&lt;&gt;"",HYPERLINK("https://kabutan.jp/stock/?code="&amp;銘柄管理!B12,"株探"),"")</f>
        <v>株探</v>
      </c>
      <c r="B166" s="182"/>
      <c r="C166" s="183">
        <f>IF(銘柄管理!B12="","",銘柄管理!B12)</f>
        <v>1605</v>
      </c>
      <c r="D166" s="111" t="str">
        <f>IF(銘柄管理!C12="","",銘柄管理!C12)</f>
        <v>ＩＮＰＥＸ</v>
      </c>
      <c r="E166" s="184">
        <f>IF(C166&lt;&gt;"",_xll.RssMarket(C166,"現在値"),"")</f>
        <v>3406</v>
      </c>
      <c r="F166" s="184">
        <f>IF(C166&lt;&gt;"",_xll.RssMarket(C166,"始値"),"")</f>
        <v>3328</v>
      </c>
      <c r="G166" s="183">
        <f>IF(C166&lt;&gt;"",終値!F12,"")</f>
        <v>3378</v>
      </c>
      <c r="H166" s="184">
        <f>IF(C166&lt;&gt;"",_xll.RssMarket(C166,"高値"),"")</f>
        <v>3428</v>
      </c>
      <c r="I166" s="184">
        <f>IF(C166&lt;&gt;"",_xll.RssMarket(C166,"安値"),"")</f>
        <v>3293</v>
      </c>
      <c r="J166" s="184">
        <f>IF(C166&lt;&gt;"",_xll.RssMarket(C166,"出来高"),"")</f>
        <v>7587200</v>
      </c>
      <c r="K166" s="184">
        <f>IF(C166&lt;&gt;"",_xll.RssMarket(C166,"年初来高値"),"")</f>
        <v>4955</v>
      </c>
      <c r="L166" s="185">
        <f t="shared" si="44"/>
        <v>-31.261352169525729</v>
      </c>
      <c r="M166" s="184">
        <f>IF(C166&lt;&gt;"",IFERROR(AVERAGE(出来高!E12:I12),""),"")</f>
        <v>6026200</v>
      </c>
      <c r="N166" s="184">
        <f>IF(C166&lt;&gt;"",IFERROR(AVERAGE(出来高!E12:AC12),""),"")</f>
        <v>5838264</v>
      </c>
      <c r="O166" s="186">
        <f t="shared" si="45"/>
        <v>1.2590355447877601</v>
      </c>
      <c r="P166" s="181" t="str">
        <f t="shared" si="46"/>
        <v>普通→</v>
      </c>
      <c r="Q166" s="181" t="str">
        <f t="shared" si="47"/>
        <v>中立→</v>
      </c>
      <c r="R166" s="184">
        <f t="shared" si="61"/>
        <v>3678</v>
      </c>
      <c r="S166" s="184">
        <f t="shared" si="62"/>
        <v>3270</v>
      </c>
      <c r="T166" s="181">
        <f t="shared" si="51"/>
        <v>4</v>
      </c>
      <c r="U166" s="181" t="str">
        <f t="shared" si="63"/>
        <v>要確認</v>
      </c>
      <c r="V166" s="181" t="str">
        <f t="shared" si="48"/>
        <v>通常</v>
      </c>
      <c r="W166" s="187">
        <f t="array" ref="W166">IF(C166&lt;&gt;"",IFERROR(100-100/(1+SUMPRODUCT((終値!F12:R12&gt;終値!G12:S12)*( 終値!F12:R12-終値!G12:S12))/SUMPRODUCT((終値!F12:R12&lt;終値!G12:S12)*(終値!G12:S12-終値!F12:R12))),50),"")</f>
        <v>38.835725677830943</v>
      </c>
      <c r="X166" s="188">
        <f>IF(C166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-49.259485987446169</v>
      </c>
      <c r="Y166" s="1" t="str">
        <f>IF(T166="","",IF(銘柄管理!$F$5="下落▼",IF(AND(AD166="パーフェクト▲",OR(AE166="25日線押し目●",AE166="5日線押し目○")),"★逆張り候補",IF(AND(AD166="上昇トレンド▲",OR(AE166="25日線押し目●",AE166="5日線押し目○")),"○逆張り候補",IF(W166&lt;=30,IF(Z166&gt;0,"◎反発確認",IF(Z166&lt;-5,"△要注意・様子見","△売られ過ぎ注目")),"相場下落・見送り"))),IF(AND(T166&gt;=12,AD166="パーフェクト▲"),"★強い買い",IF(AND(T166&gt;=12,AD166="上昇トレンド▲"),"★強い買い",IF(AND(T166&gt;=8,OR(AE166="25日線押し目●",AE166="5日線押し目○")),"◎押し目買い",IF(T166&gt;=10,"○買い候補",IF(T166&gt;=6,"△注目",IF(T166&gt;=3,"様子見","見送り"))))))))</f>
        <v>様子見</v>
      </c>
      <c r="Z166" s="189">
        <f t="shared" si="64"/>
        <v>0.82889283599763175</v>
      </c>
      <c r="AA166" s="181" t="str">
        <f t="shared" si="65"/>
        <v>上昇▲</v>
      </c>
      <c r="AB166" s="497">
        <f>IF(C166="","",IFERROR(((終値!E168*0.333)+(終値!F168*0.222)+(終値!G168*0.148)+(終値!H168*0.099)+(終値!I168*0.066)+(終値!J168*0.044)+(終値!K168*0.029)+(終値!L168*0.019)+(終値!M168*0.013)+(終値!N168*0.009))/(0.333+0.222+0.148+0.099+0.066+0.044+0.029+0.019+0.013+0.009),""))</f>
        <v>2016.2729124236246</v>
      </c>
      <c r="AC166" s="497">
        <f>IF(C166="","",IFERROR(SUMPRODUCT((終値!E168:AC168)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2038.319427890345</v>
      </c>
      <c r="AD166" s="498" t="str">
        <f t="shared" si="59"/>
        <v>上昇トレンド▲</v>
      </c>
      <c r="AE166" s="498" t="str">
        <f t="shared" si="60"/>
        <v>なし</v>
      </c>
      <c r="AF166" s="403" cm="1">
        <f t="array" ref="AF166">IF(C166="","",IFERROR((INDEX(終値!$E:$E,MATCH(TEXT(C166,"0"),終値!$A:$A,0))-INDEX(終値!$E:$BL,MATCH(TEXT(C166,"0"),終値!$A:$A,0),$AL$2))/INDEX(終値!$E:$BL,MATCH(TEXT(C166,"0"),終値!$A:$A,0),$AL$2)*100,""))</f>
        <v>-13.112244897959183</v>
      </c>
      <c r="AG166" s="403" cm="1">
        <f t="array" ref="AG166">IFERROR((終値!$E$5-INDEX(終値!$E$5:$BL$5,1,$AL$2))/INDEX(終値!$E$5:$BL$5,1,$AL$2)*100,"")</f>
        <v>3.4532270246721688</v>
      </c>
      <c r="AH166" s="404">
        <f t="shared" si="52"/>
        <v>-16.565471922631353</v>
      </c>
      <c r="AI166" s="402">
        <f t="shared" si="53"/>
        <v>-2</v>
      </c>
    </row>
    <row r="167" spans="1:35" ht="18" customHeight="1">
      <c r="A167" s="181" t="str">
        <f>IF(銘柄管理!B14&lt;&gt;"",HYPERLINK("https://kabutan.jp/stock/?code="&amp;銘柄管理!B14,"株探"),"")</f>
        <v>株探</v>
      </c>
      <c r="B167" s="182"/>
      <c r="C167" s="183">
        <f>IF(銘柄管理!B14="","",銘柄管理!B14)</f>
        <v>8002</v>
      </c>
      <c r="D167" s="111" t="str">
        <f>IF(銘柄管理!C14="","",銘柄管理!C14)</f>
        <v>丸紅</v>
      </c>
      <c r="E167" s="184">
        <f>IF(C167&lt;&gt;"",_xll.RssMarket(C167,"現在値"),"")</f>
        <v>4949</v>
      </c>
      <c r="F167" s="184">
        <f>IF(C167&lt;&gt;"",_xll.RssMarket(C167,"始値"),"")</f>
        <v>4981</v>
      </c>
      <c r="G167" s="183">
        <f>IF(C167&lt;&gt;"",終値!F14,"")</f>
        <v>4921</v>
      </c>
      <c r="H167" s="184">
        <f>IF(C167&lt;&gt;"",_xll.RssMarket(C167,"高値"),"")</f>
        <v>5019</v>
      </c>
      <c r="I167" s="184">
        <f>IF(C167&lt;&gt;"",_xll.RssMarket(C167,"安値"),"")</f>
        <v>4886</v>
      </c>
      <c r="J167" s="184">
        <f>IF(C167&lt;&gt;"",_xll.RssMarket(C167,"出来高"),"")</f>
        <v>3994600</v>
      </c>
      <c r="K167" s="184">
        <f>IF(C167&lt;&gt;"",_xll.RssMarket(C167,"年初来高値"),"")</f>
        <v>6328</v>
      </c>
      <c r="L167" s="185">
        <f t="shared" si="44"/>
        <v>-21.792035398230087</v>
      </c>
      <c r="M167" s="184">
        <f>IF(C167&lt;&gt;"",IFERROR(AVERAGE(出来高!E14:I14),""),"")</f>
        <v>4396120</v>
      </c>
      <c r="N167" s="184">
        <f>IF(C167&lt;&gt;"",IFERROR(AVERAGE(出来高!E14:AC14),""),"")</f>
        <v>4898588</v>
      </c>
      <c r="O167" s="186">
        <f t="shared" si="45"/>
        <v>0.90866491360563406</v>
      </c>
      <c r="P167" s="181" t="str">
        <f t="shared" si="46"/>
        <v>減少↓</v>
      </c>
      <c r="Q167" s="181" t="str">
        <f t="shared" si="47"/>
        <v>中立→</v>
      </c>
      <c r="R167" s="184">
        <f t="shared" si="61"/>
        <v>5345</v>
      </c>
      <c r="S167" s="184">
        <f t="shared" si="62"/>
        <v>4751</v>
      </c>
      <c r="T167" s="181">
        <f t="shared" si="51"/>
        <v>4</v>
      </c>
      <c r="U167" s="181" t="str">
        <f t="shared" si="63"/>
        <v>要確認</v>
      </c>
      <c r="V167" s="181" t="str">
        <f t="shared" si="48"/>
        <v>通常</v>
      </c>
      <c r="W167" s="187">
        <f t="array" ref="W167">IF(C167&lt;&gt;"",IFERROR(100-100/(1+SUMPRODUCT((終値!F14:R14&gt;終値!G14:S14)*( 終値!F14:R14-終値!G14:S14))/SUMPRODUCT((終値!F14:R14&lt;終値!G14:S14)*(終値!G14:S14-終値!F14:R14))),50),"")</f>
        <v>29.824561403508781</v>
      </c>
      <c r="X167" s="188">
        <f>IF(C167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-78.536347860002024</v>
      </c>
      <c r="Y167" s="1" t="str">
        <f>IF(T167="","",IF(銘柄管理!$F$5="下落▼",IF(AND(AD167="パーフェクト▲",OR(AE167="25日線押し目●",AE167="5日線押し目○")),"★逆張り候補",IF(AND(AD167="上昇トレンド▲",OR(AE167="25日線押し目●",AE167="5日線押し目○")),"○逆張り候補",IF(W167&lt;=30,IF(Z167&gt;0,"◎反発確認",IF(Z167&lt;-5,"△要注意・様子見","△売られ過ぎ注目")),"相場下落・見送り"))),IF(AND(T167&gt;=12,AD167="パーフェクト▲"),"★強い買い",IF(AND(T167&gt;=12,AD167="上昇トレンド▲"),"★強い買い",IF(AND(T167&gt;=8,OR(AE167="25日線押し目●",AE167="5日線押し目○")),"◎押し目買い",IF(T167&gt;=10,"○買い候補",IF(T167&gt;=6,"△注目",IF(T167&gt;=3,"様子見","見送り"))))))))</f>
        <v>様子見</v>
      </c>
      <c r="Z167" s="189">
        <f t="shared" si="64"/>
        <v>0.56899004267425324</v>
      </c>
      <c r="AA167" s="181" t="str">
        <f t="shared" si="65"/>
        <v>上昇▲</v>
      </c>
      <c r="AB167" s="499">
        <f>IF(C167="","",IFERROR(((終値!E169*0.333)+(終値!F169*0.222)+(終値!G169*0.148)+(終値!H169*0.099)+(終値!I169*0.066)+(終値!J169*0.044)+(終値!K169*0.029)+(終値!L169*0.019)+(終値!M169*0.013)+(終値!N169*0.009))/(0.333+0.222+0.148+0.099+0.066+0.044+0.029+0.019+0.013+0.009),""))</f>
        <v>871.49389002036651</v>
      </c>
      <c r="AC167" s="499">
        <f>IF(C167="","",IFERROR(SUMPRODUCT((終値!E169:AC169)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879.85458879618545</v>
      </c>
      <c r="AD167" s="500" t="str">
        <f t="shared" si="59"/>
        <v>上昇トレンド▲</v>
      </c>
      <c r="AE167" s="500" t="str">
        <f t="shared" si="60"/>
        <v>なし</v>
      </c>
      <c r="AF167" s="403" cm="1">
        <f t="array" ref="AF167">IF(C167="","",IFERROR((INDEX(終値!$E:$E,MATCH(TEXT(C167,"0"),終値!$A:$A,0))-INDEX(終値!$E:$BL,MATCH(TEXT(C167,"0"),終値!$A:$A,0),$AL$2))/INDEX(終値!$E:$BL,MATCH(TEXT(C167,"0"),終値!$A:$A,0),$AL$2)*100,""))</f>
        <v>-16.090200067819598</v>
      </c>
      <c r="AG167" s="403" cm="1">
        <f t="array" ref="AG167">IFERROR((終値!$E$5-INDEX(終値!$E$5:$BL$5,1,$AL$2))/INDEX(終値!$E$5:$BL$5,1,$AL$2)*100,"")</f>
        <v>3.4532270246721688</v>
      </c>
      <c r="AH167" s="404">
        <f t="shared" si="52"/>
        <v>-19.543427092491768</v>
      </c>
      <c r="AI167" s="402">
        <f t="shared" si="53"/>
        <v>-2</v>
      </c>
    </row>
    <row r="168" spans="1:35" ht="18" customHeight="1">
      <c r="A168" s="181" t="str">
        <f>IF(銘柄管理!B22&lt;&gt;"",HYPERLINK("https://kabutan.jp/stock/?code="&amp;銘柄管理!B22,"株探"),"")</f>
        <v>株探</v>
      </c>
      <c r="B168" s="182"/>
      <c r="C168" s="183">
        <f>IF(銘柄管理!B22="","",銘柄管理!B22)</f>
        <v>8725</v>
      </c>
      <c r="D168" s="111" t="str">
        <f>IF(銘柄管理!C22="","",銘柄管理!C22)</f>
        <v>ＭＳ＆ＡＤ</v>
      </c>
      <c r="E168" s="184">
        <f>IF(C168&lt;&gt;"",_xll.RssMarket(C168,"現在値"),"")</f>
        <v>4557</v>
      </c>
      <c r="F168" s="184">
        <f>IF(C168&lt;&gt;"",_xll.RssMarket(C168,"始値"),"")</f>
        <v>4656</v>
      </c>
      <c r="G168" s="183">
        <f>IF(C168&lt;&gt;"",終値!F22,"")</f>
        <v>4616</v>
      </c>
      <c r="H168" s="184">
        <f>IF(C168&lt;&gt;"",_xll.RssMarket(C168,"高値"),"")</f>
        <v>4689</v>
      </c>
      <c r="I168" s="184">
        <f>IF(C168&lt;&gt;"",_xll.RssMarket(C168,"安値"),"")</f>
        <v>4554</v>
      </c>
      <c r="J168" s="184">
        <f>IF(C168&lt;&gt;"",_xll.RssMarket(C168,"出来高"),"")</f>
        <v>3959300</v>
      </c>
      <c r="K168" s="184">
        <f>IF(C168&lt;&gt;"",_xll.RssMarket(C168,"年初来高値"),"")</f>
        <v>4742</v>
      </c>
      <c r="L168" s="185">
        <f t="shared" si="44"/>
        <v>-3.901307465204555</v>
      </c>
      <c r="M168" s="184">
        <f>IF(C168&lt;&gt;"",IFERROR(AVERAGE(出来高!E22:I22),""),"")</f>
        <v>4179060</v>
      </c>
      <c r="N168" s="184">
        <f>IF(C168&lt;&gt;"",IFERROR(AVERAGE(出来高!E22:AC22),""),"")</f>
        <v>4979796</v>
      </c>
      <c r="O168" s="186">
        <f t="shared" si="45"/>
        <v>0.94741401176341089</v>
      </c>
      <c r="P168" s="181" t="str">
        <f t="shared" si="46"/>
        <v>減少↓</v>
      </c>
      <c r="Q168" s="181" t="str">
        <f t="shared" si="47"/>
        <v>様子見▼</v>
      </c>
      <c r="R168" s="184">
        <f t="shared" si="61"/>
        <v>4922</v>
      </c>
      <c r="S168" s="184">
        <f t="shared" si="62"/>
        <v>4375</v>
      </c>
      <c r="T168" s="181">
        <f t="shared" si="51"/>
        <v>8</v>
      </c>
      <c r="U168" s="181" t="str">
        <f t="shared" si="63"/>
        <v>要確認</v>
      </c>
      <c r="V168" s="181" t="str">
        <f t="shared" si="48"/>
        <v>高値圏</v>
      </c>
      <c r="W168" s="187">
        <f t="array" ref="W168">IF(C168&lt;&gt;"",IFERROR(100-100/(1+SUMPRODUCT((終値!F22:R22&gt;終値!G22:S22)*( 終値!F22:R22-終値!G22:S22))/SUMPRODUCT((終値!F22:R22&lt;終値!G22:S22)*(終値!G22:S22-終値!F22:R22))),50),"")</f>
        <v>77.100271002710031</v>
      </c>
      <c r="X168" s="188">
        <f>IF(C168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32.579127842413982</v>
      </c>
      <c r="Y168" s="1" t="str">
        <f>IF(T168="","",IF(銘柄管理!$F$5="下落▼",IF(AND(AD168="パーフェクト▲",OR(AE168="25日線押し目●",AE168="5日線押し目○")),"★逆張り候補",IF(AND(AD168="上昇トレンド▲",OR(AE168="25日線押し目●",AE168="5日線押し目○")),"○逆張り候補",IF(W168&lt;=30,IF(Z168&gt;0,"◎反発確認",IF(Z168&lt;-5,"△要注意・様子見","△売られ過ぎ注目")),"相場下落・見送り"))),IF(AND(T168&gt;=12,AD168="パーフェクト▲"),"★強い買い",IF(AND(T168&gt;=12,AD168="上昇トレンド▲"),"★強い買い",IF(AND(T168&gt;=8,OR(AE168="25日線押し目●",AE168="5日線押し目○")),"◎押し目買い",IF(T168&gt;=10,"○買い候補",IF(T168&gt;=6,"△注目",IF(T168&gt;=3,"様子見","見送り"))))))))</f>
        <v>△注目</v>
      </c>
      <c r="Z168" s="189">
        <f t="shared" si="64"/>
        <v>-1.278162911611785</v>
      </c>
      <c r="AA168" s="181" t="str">
        <f t="shared" si="65"/>
        <v>下落▼</v>
      </c>
      <c r="AB168" s="497">
        <f>IF(C168="","",IFERROR(((終値!E170*0.333)+(終値!F170*0.222)+(終値!G170*0.148)+(終値!H170*0.099)+(終値!I170*0.066)+(終値!J170*0.044)+(終値!K170*0.029)+(終値!L170*0.019)+(終値!M170*0.013)+(終値!N170*0.009))/(0.333+0.222+0.148+0.099+0.066+0.044+0.029+0.019+0.013+0.009),""))</f>
        <v>1077.8360488798367</v>
      </c>
      <c r="AC168" s="497">
        <f>IF(C168="","",IFERROR(SUMPRODUCT((終値!E170:AC170)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1046.6150178784264</v>
      </c>
      <c r="AD168" s="498" t="str">
        <f t="shared" si="59"/>
        <v>パーフェクト▲</v>
      </c>
      <c r="AE168" s="498" t="str">
        <f t="shared" si="60"/>
        <v>なし</v>
      </c>
      <c r="AF168" s="403" cm="1">
        <f t="array" ref="AF168">IF(C168="","",IFERROR((INDEX(終値!$E:$E,MATCH(TEXT(C168,"0"),終値!$A:$A,0))-INDEX(終値!$E:$BL,MATCH(TEXT(C168,"0"),終値!$A:$A,0),$AL$2))/INDEX(終値!$E:$BL,MATCH(TEXT(C168,"0"),終値!$A:$A,0),$AL$2)*100,""))</f>
        <v>3.5917253921345758</v>
      </c>
      <c r="AG168" s="403" cm="1">
        <f t="array" ref="AG168">IFERROR((終値!$E$5-INDEX(終値!$E$5:$BL$5,1,$AL$2))/INDEX(終値!$E$5:$BL$5,1,$AL$2)*100,"")</f>
        <v>3.4532270246721688</v>
      </c>
      <c r="AH168" s="404">
        <f t="shared" si="52"/>
        <v>0.13849836746240696</v>
      </c>
      <c r="AI168" s="402">
        <f t="shared" si="53"/>
        <v>1</v>
      </c>
    </row>
    <row r="169" spans="1:35" ht="18" customHeight="1">
      <c r="A169" s="181" t="str">
        <f>IF(銘柄管理!B27&lt;&gt;"",HYPERLINK("https://kabutan.jp/stock/?code="&amp;銘柄管理!B27,"株探"),"")</f>
        <v>株探</v>
      </c>
      <c r="B169" s="182"/>
      <c r="C169" s="183">
        <f>IF(銘柄管理!B27="","",銘柄管理!B27)</f>
        <v>3401</v>
      </c>
      <c r="D169" s="111" t="str">
        <f>IF(銘柄管理!C27="","",銘柄管理!C27)</f>
        <v>帝人</v>
      </c>
      <c r="E169" s="184">
        <f>IF(C169&lt;&gt;"",_xll.RssMarket(C169,"現在値"),"")</f>
        <v>1648</v>
      </c>
      <c r="F169" s="184">
        <f>IF(C169&lt;&gt;"",_xll.RssMarket(C169,"始値"),"")</f>
        <v>1648.5</v>
      </c>
      <c r="G169" s="183">
        <f>IF(C169&lt;&gt;"",終値!F27,"")</f>
        <v>1641</v>
      </c>
      <c r="H169" s="184">
        <f>IF(C169&lt;&gt;"",_xll.RssMarket(C169,"高値"),"")</f>
        <v>1675</v>
      </c>
      <c r="I169" s="184">
        <f>IF(C169&lt;&gt;"",_xll.RssMarket(C169,"安値"),"")</f>
        <v>1628</v>
      </c>
      <c r="J169" s="184">
        <f>IF(C169&lt;&gt;"",_xll.RssMarket(C169,"出来高"),"")</f>
        <v>982500</v>
      </c>
      <c r="K169" s="184">
        <f>IF(C169&lt;&gt;"",_xll.RssMarket(C169,"年初来高値"),"")</f>
        <v>1773</v>
      </c>
      <c r="L169" s="185">
        <f t="shared" si="44"/>
        <v>-7.0501974055273546</v>
      </c>
      <c r="M169" s="184">
        <f>IF(C169&lt;&gt;"",IFERROR(AVERAGE(出来高!E27:I27),""),"")</f>
        <v>804560</v>
      </c>
      <c r="N169" s="184">
        <f>IF(C169&lt;&gt;"",IFERROR(AVERAGE(出来高!E27:AC27),""),"")</f>
        <v>1147264</v>
      </c>
      <c r="O169" s="186">
        <f t="shared" si="45"/>
        <v>1.2211643631301581</v>
      </c>
      <c r="P169" s="181" t="str">
        <f t="shared" si="46"/>
        <v>普通→</v>
      </c>
      <c r="Q169" s="181" t="str">
        <f t="shared" si="47"/>
        <v>中立→</v>
      </c>
      <c r="R169" s="184">
        <f t="shared" si="61"/>
        <v>1780</v>
      </c>
      <c r="S169" s="184">
        <f t="shared" si="62"/>
        <v>1582</v>
      </c>
      <c r="T169" s="181">
        <f t="shared" si="51"/>
        <v>2</v>
      </c>
      <c r="U169" s="181" t="str">
        <f t="shared" si="63"/>
        <v>除外</v>
      </c>
      <c r="V169" s="181" t="str">
        <f t="shared" si="48"/>
        <v>通常</v>
      </c>
      <c r="W169" s="187">
        <f t="array" ref="W169">IF(C169&lt;&gt;"",IFERROR(100-100/(1+SUMPRODUCT((終値!F27:R27&gt;終値!G27:S27)*( 終値!F27:R27-終値!G27:S27))/SUMPRODUCT((終値!F27:R27&lt;終値!G27:S27)*(終値!G27:S27-終値!F27:R27))),50),"")</f>
        <v>52.199999999999996</v>
      </c>
      <c r="X169" s="188">
        <f>IF(C169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1.29754735530787</v>
      </c>
      <c r="Y169" s="1" t="str">
        <f>IF(T169="","",IF(銘柄管理!$F$5="下落▼",IF(AND(AD169="パーフェクト▲",OR(AE169="25日線押し目●",AE169="5日線押し目○")),"★逆張り候補",IF(AND(AD169="上昇トレンド▲",OR(AE169="25日線押し目●",AE169="5日線押し目○")),"○逆張り候補",IF(W169&lt;=30,IF(Z169&gt;0,"◎反発確認",IF(Z169&lt;-5,"△要注意・様子見","△売られ過ぎ注目")),"相場下落・見送り"))),IF(AND(T169&gt;=12,AD169="パーフェクト▲"),"★強い買い",IF(AND(T169&gt;=12,AD169="上昇トレンド▲"),"★強い買い",IF(AND(T169&gt;=8,OR(AE169="25日線押し目●",AE169="5日線押し目○")),"◎押し目買い",IF(T169&gt;=10,"○買い候補",IF(T169&gt;=6,"△注目",IF(T169&gt;=3,"様子見","見送り"))))))))</f>
        <v>見送り</v>
      </c>
      <c r="Z169" s="189">
        <f t="shared" si="64"/>
        <v>0.42656916514320536</v>
      </c>
      <c r="AA169" s="181" t="str">
        <f t="shared" si="65"/>
        <v>上昇▲</v>
      </c>
      <c r="AB169" s="499">
        <f>IF(C169="","",IFERROR(((終値!E171*0.333)+(終値!F171*0.222)+(終値!G171*0.148)+(終値!H171*0.099)+(終値!I171*0.066)+(終値!J171*0.044)+(終値!K171*0.029)+(終値!L171*0.019)+(終値!M171*0.013)+(終値!N171*0.009))/(0.333+0.222+0.148+0.099+0.066+0.044+0.029+0.019+0.013+0.009),""))</f>
        <v>2971.4837067209778</v>
      </c>
      <c r="AC169" s="499">
        <f>IF(C169="","",IFERROR(SUMPRODUCT((終値!E171:AC171)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2960.0452920143025</v>
      </c>
      <c r="AD169" s="500" t="str">
        <f t="shared" si="59"/>
        <v>もみ合い→</v>
      </c>
      <c r="AE169" s="500" t="str">
        <f t="shared" si="60"/>
        <v>なし</v>
      </c>
      <c r="AF169" s="403" cm="1">
        <f t="array" ref="AF169">IF(C169="","",IFERROR((INDEX(終値!$E:$E,MATCH(TEXT(C169,"0"),終値!$A:$A,0))-INDEX(終値!$E:$BL,MATCH(TEXT(C169,"0"),終値!$A:$A,0),$AL$2))/INDEX(終値!$E:$BL,MATCH(TEXT(C169,"0"),終値!$A:$A,0),$AL$2)*100,""))</f>
        <v>-4.0186371578334299</v>
      </c>
      <c r="AG169" s="403" cm="1">
        <f t="array" ref="AG169">IFERROR((終値!$E$5-INDEX(終値!$E$5:$BL$5,1,$AL$2))/INDEX(終値!$E$5:$BL$5,1,$AL$2)*100,"")</f>
        <v>3.4532270246721688</v>
      </c>
      <c r="AH169" s="404">
        <f t="shared" si="52"/>
        <v>-7.4718641825055983</v>
      </c>
      <c r="AI169" s="402">
        <f t="shared" si="53"/>
        <v>-2</v>
      </c>
    </row>
    <row r="170" spans="1:35" ht="18" customHeight="1">
      <c r="A170" s="181" t="str">
        <f>IF(銘柄管理!B34&lt;&gt;"",HYPERLINK("https://kabutan.jp/stock/?code="&amp;銘柄管理!B34,"株探"),"")</f>
        <v>株探</v>
      </c>
      <c r="B170" s="182"/>
      <c r="C170" s="183">
        <f>IF(銘柄管理!B34="","",銘柄管理!B34)</f>
        <v>5233</v>
      </c>
      <c r="D170" s="111" t="str">
        <f>IF(銘柄管理!C34="","",銘柄管理!C34)</f>
        <v>太平洋セメント</v>
      </c>
      <c r="E170" s="184">
        <f>IF(C170&lt;&gt;"",_xll.RssMarket(C170,"現在値"),"")</f>
        <v>4425</v>
      </c>
      <c r="F170" s="184">
        <f>IF(C170&lt;&gt;"",_xll.RssMarket(C170,"始値"),"")</f>
        <v>4367</v>
      </c>
      <c r="G170" s="183">
        <f>IF(C170&lt;&gt;"",終値!F34,"")</f>
        <v>4370</v>
      </c>
      <c r="H170" s="184">
        <f>IF(C170&lt;&gt;"",_xll.RssMarket(C170,"高値"),"")</f>
        <v>4447</v>
      </c>
      <c r="I170" s="184">
        <f>IF(C170&lt;&gt;"",_xll.RssMarket(C170,"安値"),"")</f>
        <v>4302</v>
      </c>
      <c r="J170" s="184">
        <f>IF(C170&lt;&gt;"",_xll.RssMarket(C170,"出来高"),"")</f>
        <v>606300</v>
      </c>
      <c r="K170" s="184">
        <f>IF(C170&lt;&gt;"",_xll.RssMarket(C170,"年初来高値"),"")</f>
        <v>4968</v>
      </c>
      <c r="L170" s="185">
        <f t="shared" si="44"/>
        <v>-10.929951690821255</v>
      </c>
      <c r="M170" s="184">
        <f>IF(C170&lt;&gt;"",IFERROR(AVERAGE(出来高!E34:I34),""),"")</f>
        <v>705480</v>
      </c>
      <c r="N170" s="184">
        <f>IF(C170&lt;&gt;"",IFERROR(AVERAGE(出来高!E34:AC34),""),"")</f>
        <v>831760</v>
      </c>
      <c r="O170" s="186">
        <f t="shared" si="45"/>
        <v>0.85941486647389009</v>
      </c>
      <c r="P170" s="181" t="str">
        <f t="shared" si="46"/>
        <v>減少↓</v>
      </c>
      <c r="Q170" s="181" t="str">
        <f t="shared" si="47"/>
        <v>中立→</v>
      </c>
      <c r="R170" s="184">
        <f t="shared" si="61"/>
        <v>4779</v>
      </c>
      <c r="S170" s="184">
        <f t="shared" si="62"/>
        <v>4248</v>
      </c>
      <c r="T170" s="181">
        <f t="shared" si="51"/>
        <v>8</v>
      </c>
      <c r="U170" s="181" t="str">
        <f t="shared" si="63"/>
        <v>要確認</v>
      </c>
      <c r="V170" s="181" t="str">
        <f t="shared" si="48"/>
        <v>通常</v>
      </c>
      <c r="W170" s="187">
        <f t="array" ref="W170">IF(C170&lt;&gt;"",IFERROR(100-100/(1+SUMPRODUCT((終値!F34:R34&gt;終値!G34:S34)*( 終値!F34:R34-終値!G34:S34))/SUMPRODUCT((終値!F34:R34&lt;終値!G34:S34)*(終値!G34:S34-終値!F34:R34))),50),"")</f>
        <v>58.569299552906109</v>
      </c>
      <c r="X170" s="188">
        <f>IF(C170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36.447366849893115</v>
      </c>
      <c r="Y170" s="1" t="str">
        <f>IF(T170="","",IF(銘柄管理!$F$5="下落▼",IF(AND(AD170="パーフェクト▲",OR(AE170="25日線押し目●",AE170="5日線押し目○")),"★逆張り候補",IF(AND(AD170="上昇トレンド▲",OR(AE170="25日線押し目●",AE170="5日線押し目○")),"○逆張り候補",IF(W170&lt;=30,IF(Z170&gt;0,"◎反発確認",IF(Z170&lt;-5,"△要注意・様子見","△売られ過ぎ注目")),"相場下落・見送り"))),IF(AND(T170&gt;=12,AD170="パーフェクト▲"),"★強い買い",IF(AND(T170&gt;=12,AD170="上昇トレンド▲"),"★強い買い",IF(AND(T170&gt;=8,OR(AE170="25日線押し目●",AE170="5日線押し目○")),"◎押し目買い",IF(T170&gt;=10,"○買い候補",IF(T170&gt;=6,"△注目",IF(T170&gt;=3,"様子見","見送り"))))))))</f>
        <v>△注目</v>
      </c>
      <c r="Z170" s="189">
        <f t="shared" si="64"/>
        <v>1.2585812356979404</v>
      </c>
      <c r="AA170" s="181" t="str">
        <f t="shared" si="65"/>
        <v>上昇▲</v>
      </c>
      <c r="AB170" s="497">
        <f>IF(C170="","",IFERROR(((終値!E172*0.333)+(終値!F172*0.222)+(終値!G172*0.148)+(終値!H172*0.099)+(終値!I172*0.066)+(終値!J172*0.044)+(終値!K172*0.029)+(終値!L172*0.019)+(終値!M172*0.013)+(終値!N172*0.009))/(0.333+0.222+0.148+0.099+0.066+0.044+0.029+0.019+0.013+0.009),""))</f>
        <v>1441.4460285132377</v>
      </c>
      <c r="AC170" s="497">
        <f>IF(C170="","",IFERROR(SUMPRODUCT((終値!E172:AC172)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1456.0232419547076</v>
      </c>
      <c r="AD170" s="498" t="str">
        <f t="shared" si="59"/>
        <v>上昇トレンド▲</v>
      </c>
      <c r="AE170" s="498" t="str">
        <f t="shared" si="60"/>
        <v>なし</v>
      </c>
      <c r="AF170" s="403" cm="1">
        <f t="array" ref="AF170">IF(C170="","",IFERROR((INDEX(終値!$E:$E,MATCH(TEXT(C170,"0"),終値!$A:$A,0))-INDEX(終値!$E:$BL,MATCH(TEXT(C170,"0"),終値!$A:$A,0),$AL$2))/INDEX(終値!$E:$BL,MATCH(TEXT(C170,"0"),終値!$A:$A,0),$AL$2)*100,""))</f>
        <v>9.0169992609016987</v>
      </c>
      <c r="AG170" s="403" cm="1">
        <f t="array" ref="AG170">IFERROR((終値!$E$5-INDEX(終値!$E$5:$BL$5,1,$AL$2))/INDEX(終値!$E$5:$BL$5,1,$AL$2)*100,"")</f>
        <v>3.4532270246721688</v>
      </c>
      <c r="AH170" s="404">
        <f t="shared" si="52"/>
        <v>5.5637722362295303</v>
      </c>
      <c r="AI170" s="402">
        <f t="shared" si="53"/>
        <v>3</v>
      </c>
    </row>
    <row r="171" spans="1:35" ht="18" customHeight="1">
      <c r="A171" s="181" t="str">
        <f>IF(銘柄管理!B39&lt;&gt;"",HYPERLINK("https://kabutan.jp/stock/?code="&amp;銘柄管理!B39,"株探"),"")</f>
        <v>株探</v>
      </c>
      <c r="B171" s="182"/>
      <c r="C171" s="183">
        <f>IF(銘柄管理!B39="","",銘柄管理!B39)</f>
        <v>8593</v>
      </c>
      <c r="D171" s="111" t="str">
        <f>IF(銘柄管理!C39="","",銘柄管理!C39)</f>
        <v>三菱ＨＣキャピタル</v>
      </c>
      <c r="E171" s="184">
        <f>IF(C171&lt;&gt;"",_xll.RssMarket(C171,"現在値"),"")</f>
        <v>1325</v>
      </c>
      <c r="F171" s="184">
        <f>IF(C171&lt;&gt;"",_xll.RssMarket(C171,"始値"),"")</f>
        <v>1330</v>
      </c>
      <c r="G171" s="183">
        <f>IF(C171&lt;&gt;"",終値!F39,"")</f>
        <v>1314.5</v>
      </c>
      <c r="H171" s="184">
        <f>IF(C171&lt;&gt;"",_xll.RssMarket(C171,"高値"),"")</f>
        <v>1338</v>
      </c>
      <c r="I171" s="184">
        <f>IF(C171&lt;&gt;"",_xll.RssMarket(C171,"安値"),"")</f>
        <v>1318.5</v>
      </c>
      <c r="J171" s="184">
        <f>IF(C171&lt;&gt;"",_xll.RssMarket(C171,"出来高"),"")</f>
        <v>3327500</v>
      </c>
      <c r="K171" s="184">
        <f>IF(C171&lt;&gt;"",_xll.RssMarket(C171,"年初来高値"),"")</f>
        <v>1541.5</v>
      </c>
      <c r="L171" s="185">
        <f t="shared" si="44"/>
        <v>-14.044761595848199</v>
      </c>
      <c r="M171" s="184">
        <f>IF(C171&lt;&gt;"",IFERROR(AVERAGE(出来高!E39:I39),""),"")</f>
        <v>4842640</v>
      </c>
      <c r="N171" s="184">
        <f>IF(C171&lt;&gt;"",IFERROR(AVERAGE(出来高!E39:AC39),""),"")</f>
        <v>5841816</v>
      </c>
      <c r="O171" s="186">
        <f t="shared" si="45"/>
        <v>0.68712520443394509</v>
      </c>
      <c r="P171" s="181" t="str">
        <f t="shared" si="46"/>
        <v>減少↓</v>
      </c>
      <c r="Q171" s="181" t="str">
        <f t="shared" si="47"/>
        <v>中立→</v>
      </c>
      <c r="R171" s="184">
        <f t="shared" si="61"/>
        <v>1431</v>
      </c>
      <c r="S171" s="184">
        <f t="shared" si="62"/>
        <v>1272</v>
      </c>
      <c r="T171" s="181">
        <f t="shared" si="51"/>
        <v>3</v>
      </c>
      <c r="U171" s="181" t="str">
        <f t="shared" si="63"/>
        <v>要確認</v>
      </c>
      <c r="V171" s="181" t="str">
        <f t="shared" si="48"/>
        <v>通常</v>
      </c>
      <c r="W171" s="187">
        <f t="array" ref="W171">IF(C171&lt;&gt;"",IFERROR(100-100/(1+SUMPRODUCT((終値!F39:R39&gt;終値!G39:S39)*( 終値!F39:R39-終値!G39:S39))/SUMPRODUCT((終値!F39:R39&lt;終値!G39:S39)*(終値!G39:S39-終値!F39:R39))),50),"")</f>
        <v>49.825783972125436</v>
      </c>
      <c r="X171" s="188">
        <f>IF(C171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-6.7325464995485618</v>
      </c>
      <c r="Y171" s="1" t="str">
        <f>IF(T171="","",IF(銘柄管理!$F$5="下落▼",IF(AND(AD171="パーフェクト▲",OR(AE171="25日線押し目●",AE171="5日線押し目○")),"★逆張り候補",IF(AND(AD171="上昇トレンド▲",OR(AE171="25日線押し目●",AE171="5日線押し目○")),"○逆張り候補",IF(W171&lt;=30,IF(Z171&gt;0,"◎反発確認",IF(Z171&lt;-5,"△要注意・様子見","△売られ過ぎ注目")),"相場下落・見送り"))),IF(AND(T171&gt;=12,AD171="パーフェクト▲"),"★強い買い",IF(AND(T171&gt;=12,AD171="上昇トレンド▲"),"★強い買い",IF(AND(T171&gt;=8,OR(AE171="25日線押し目●",AE171="5日線押し目○")),"◎押し目買い",IF(T171&gt;=10,"○買い候補",IF(T171&gt;=6,"△注目",IF(T171&gt;=3,"様子見","見送り"))))))))</f>
        <v>様子見</v>
      </c>
      <c r="Z171" s="189">
        <f t="shared" si="64"/>
        <v>0.79878280715100802</v>
      </c>
      <c r="AA171" s="181" t="str">
        <f t="shared" si="65"/>
        <v>上昇▲</v>
      </c>
      <c r="AB171" s="499">
        <f>IF(C171="","",IFERROR(((終値!E173*0.333)+(終値!F173*0.222)+(終値!G173*0.148)+(終値!H173*0.099)+(終値!I173*0.066)+(終値!J173*0.044)+(終値!K173*0.029)+(終値!L173*0.019)+(終値!M173*0.013)+(終値!N173*0.009))/(0.333+0.222+0.148+0.099+0.066+0.044+0.029+0.019+0.013+0.009),""))</f>
        <v>777.08248472505068</v>
      </c>
      <c r="AC171" s="499">
        <f>IF(C171="","",IFERROR(SUMPRODUCT((終値!E173:AC173)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751.26817640047659</v>
      </c>
      <c r="AD171" s="500" t="str">
        <f t="shared" si="59"/>
        <v>パーフェクト▲</v>
      </c>
      <c r="AE171" s="500" t="str">
        <f t="shared" si="60"/>
        <v>なし</v>
      </c>
      <c r="AF171" s="403" cm="1">
        <f t="array" ref="AF171">IF(C171="","",IFERROR((INDEX(終値!$E:$E,MATCH(TEXT(C171,"0"),終値!$A:$A,0))-INDEX(終値!$E:$BL,MATCH(TEXT(C171,"0"),終値!$A:$A,0),$AL$2))/INDEX(終値!$E:$BL,MATCH(TEXT(C171,"0"),終値!$A:$A,0),$AL$2)*100,""))</f>
        <v>-7.6976663183559735</v>
      </c>
      <c r="AG171" s="403" cm="1">
        <f t="array" ref="AG171">IFERROR((終値!$E$5-INDEX(終値!$E$5:$BL$5,1,$AL$2))/INDEX(終値!$E$5:$BL$5,1,$AL$2)*100,"")</f>
        <v>3.4532270246721688</v>
      </c>
      <c r="AH171" s="404">
        <f t="shared" si="52"/>
        <v>-11.150893343028143</v>
      </c>
      <c r="AI171" s="402">
        <f t="shared" si="53"/>
        <v>-2</v>
      </c>
    </row>
    <row r="172" spans="1:35" ht="18" customHeight="1">
      <c r="A172" s="181" t="str">
        <f>IF(銘柄管理!B44&lt;&gt;"",HYPERLINK("https://kabutan.jp/stock/?code="&amp;銘柄管理!B44,"株探"),"")</f>
        <v>株探</v>
      </c>
      <c r="B172" s="182"/>
      <c r="C172" s="183">
        <f>IF(銘柄管理!B44="","",銘柄管理!B44)</f>
        <v>3402</v>
      </c>
      <c r="D172" s="111" t="str">
        <f>IF(銘柄管理!C44="","",銘柄管理!C44)</f>
        <v>東レ</v>
      </c>
      <c r="E172" s="184">
        <f>IF(C172&lt;&gt;"",_xll.RssMarket(C172,"現在値"),"")</f>
        <v>1190</v>
      </c>
      <c r="F172" s="184">
        <f>IF(C172&lt;&gt;"",_xll.RssMarket(C172,"始値"),"")</f>
        <v>1170.5</v>
      </c>
      <c r="G172" s="183">
        <f>IF(C172&lt;&gt;"",終値!F44,"")</f>
        <v>1177</v>
      </c>
      <c r="H172" s="184">
        <f>IF(C172&lt;&gt;"",_xll.RssMarket(C172,"高値"),"")</f>
        <v>1190.5</v>
      </c>
      <c r="I172" s="184">
        <f>IF(C172&lt;&gt;"",_xll.RssMarket(C172,"安値"),"")</f>
        <v>1170</v>
      </c>
      <c r="J172" s="184">
        <f>IF(C172&lt;&gt;"",_xll.RssMarket(C172,"出来高"),"")</f>
        <v>2949300</v>
      </c>
      <c r="K172" s="184">
        <f>IF(C172&lt;&gt;"",_xll.RssMarket(C172,"年初来高値"),"")</f>
        <v>1353.5</v>
      </c>
      <c r="L172" s="185">
        <f t="shared" si="44"/>
        <v>-12.07979312892501</v>
      </c>
      <c r="M172" s="184">
        <f>IF(C172&lt;&gt;"",IFERROR(AVERAGE(出来高!E44:I44),""),"")</f>
        <v>3996580</v>
      </c>
      <c r="N172" s="184">
        <f>IF(C172&lt;&gt;"",IFERROR(AVERAGE(出来高!E44:AC44),""),"")</f>
        <v>5451816</v>
      </c>
      <c r="O172" s="186">
        <f t="shared" si="45"/>
        <v>0.73795595233925004</v>
      </c>
      <c r="P172" s="181" t="str">
        <f t="shared" si="46"/>
        <v>減少↓</v>
      </c>
      <c r="Q172" s="181" t="str">
        <f t="shared" si="47"/>
        <v>中立→</v>
      </c>
      <c r="R172" s="184">
        <f t="shared" si="61"/>
        <v>1285</v>
      </c>
      <c r="S172" s="184">
        <f t="shared" si="62"/>
        <v>1142</v>
      </c>
      <c r="T172" s="181">
        <f t="shared" si="51"/>
        <v>2</v>
      </c>
      <c r="U172" s="181" t="str">
        <f t="shared" si="63"/>
        <v>除外</v>
      </c>
      <c r="V172" s="181" t="str">
        <f t="shared" si="48"/>
        <v>通常</v>
      </c>
      <c r="W172" s="187">
        <f t="array" ref="W172">IF(C172&lt;&gt;"",IFERROR(100-100/(1+SUMPRODUCT((終値!F44:R44&gt;終値!G44:S44)*( 終値!F44:R44-終値!G44:S44))/SUMPRODUCT((終値!F44:R44&lt;終値!G44:S44)*(終値!G44:S44-終値!F44:R44))),50),"")</f>
        <v>55.920114122681881</v>
      </c>
      <c r="X172" s="188">
        <f>IF(C172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4.2701401852427807</v>
      </c>
      <c r="Y172" s="1" t="str">
        <f>IF(T172="","",IF(銘柄管理!$F$5="下落▼",IF(AND(AD172="パーフェクト▲",OR(AE172="25日線押し目●",AE172="5日線押し目○")),"★逆張り候補",IF(AND(AD172="上昇トレンド▲",OR(AE172="25日線押し目●",AE172="5日線押し目○")),"○逆張り候補",IF(W172&lt;=30,IF(Z172&gt;0,"◎反発確認",IF(Z172&lt;-5,"△要注意・様子見","△売られ過ぎ注目")),"相場下落・見送り"))),IF(AND(T172&gt;=12,AD172="パーフェクト▲"),"★強い買い",IF(AND(T172&gt;=12,AD172="上昇トレンド▲"),"★強い買い",IF(AND(T172&gt;=8,OR(AE172="25日線押し目●",AE172="5日線押し目○")),"◎押し目買い",IF(T172&gt;=10,"○買い候補",IF(T172&gt;=6,"△注目",IF(T172&gt;=3,"様子見","見送り"))))))))</f>
        <v>見送り</v>
      </c>
      <c r="Z172" s="189">
        <f t="shared" si="64"/>
        <v>1.1045029736618521</v>
      </c>
      <c r="AA172" s="181" t="str">
        <f t="shared" si="65"/>
        <v>上昇▲</v>
      </c>
      <c r="AB172" s="497">
        <f>IF(C172="","",IFERROR(((終値!E174*0.333)+(終値!F174*0.222)+(終値!G174*0.148)+(終値!H174*0.099)+(終値!I174*0.066)+(終値!J174*0.044)+(終値!K174*0.029)+(終値!L174*0.019)+(終値!M174*0.013)+(終値!N174*0.009))/(0.333+0.222+0.148+0.099+0.066+0.044+0.029+0.019+0.013+0.009),""))</f>
        <v>3192.1720977596738</v>
      </c>
      <c r="AC172" s="497">
        <f>IF(C172="","",IFERROR(SUMPRODUCT((終値!E174:AC174)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3378.8235995232399</v>
      </c>
      <c r="AD172" s="498" t="str">
        <f t="shared" si="59"/>
        <v>下降トレンド▼</v>
      </c>
      <c r="AE172" s="498" t="str">
        <f t="shared" si="60"/>
        <v>なし</v>
      </c>
      <c r="AF172" s="403" cm="1">
        <f t="array" ref="AF172">IF(C172="","",IFERROR((INDEX(終値!$E:$E,MATCH(TEXT(C172,"0"),終値!$A:$A,0))-INDEX(終値!$E:$BL,MATCH(TEXT(C172,"0"),終値!$A:$A,0),$AL$2))/INDEX(終値!$E:$BL,MATCH(TEXT(C172,"0"),終値!$A:$A,0),$AL$2)*100,""))</f>
        <v>1.9271948608137044</v>
      </c>
      <c r="AG172" s="403" cm="1">
        <f t="array" ref="AG172">IFERROR((終値!$E$5-INDEX(終値!$E$5:$BL$5,1,$AL$2))/INDEX(終値!$E$5:$BL$5,1,$AL$2)*100,"")</f>
        <v>3.4532270246721688</v>
      </c>
      <c r="AH172" s="404">
        <f t="shared" si="52"/>
        <v>-1.5260321638584644</v>
      </c>
      <c r="AI172" s="402">
        <f t="shared" si="53"/>
        <v>-1</v>
      </c>
    </row>
    <row r="173" spans="1:35" ht="18" customHeight="1">
      <c r="A173" s="181" t="str">
        <f>IF(銘柄管理!B46&lt;&gt;"",HYPERLINK("https://kabutan.jp/stock/?code="&amp;銘柄管理!B46,"株探"),"")</f>
        <v>株探</v>
      </c>
      <c r="B173" s="182"/>
      <c r="C173" s="183">
        <f>IF(銘柄管理!B46="","",銘柄管理!B46)</f>
        <v>5401</v>
      </c>
      <c r="D173" s="111" t="str">
        <f>IF(銘柄管理!C46="","",銘柄管理!C46)</f>
        <v>日本製鉄</v>
      </c>
      <c r="E173" s="184">
        <f>IF(C173&lt;&gt;"",_xll.RssMarket(C173,"現在値"),"")</f>
        <v>557.5</v>
      </c>
      <c r="F173" s="184">
        <f>IF(C173&lt;&gt;"",_xll.RssMarket(C173,"始値"),"")</f>
        <v>566</v>
      </c>
      <c r="G173" s="183">
        <f>IF(C173&lt;&gt;"",終値!F46,"")</f>
        <v>566</v>
      </c>
      <c r="H173" s="184">
        <f>IF(C173&lt;&gt;"",_xll.RssMarket(C173,"高値"),"")</f>
        <v>566.29999999999995</v>
      </c>
      <c r="I173" s="184">
        <f>IF(C173&lt;&gt;"",_xll.RssMarket(C173,"安値"),"")</f>
        <v>556.6</v>
      </c>
      <c r="J173" s="184">
        <f>IF(C173&lt;&gt;"",_xll.RssMarket(C173,"出来高"),"")</f>
        <v>23078200</v>
      </c>
      <c r="K173" s="184">
        <f>IF(C173&lt;&gt;"",_xll.RssMarket(C173,"年初来高値"),"")</f>
        <v>699.8</v>
      </c>
      <c r="L173" s="185">
        <f t="shared" si="44"/>
        <v>-20.334381251786219</v>
      </c>
      <c r="M173" s="184">
        <f>IF(C173&lt;&gt;"",IFERROR(AVERAGE(出来高!E46:I46),""),"")</f>
        <v>26802940</v>
      </c>
      <c r="N173" s="184">
        <f>IF(C173&lt;&gt;"",IFERROR(AVERAGE(出来高!E46:AC46),""),"")</f>
        <v>33564264</v>
      </c>
      <c r="O173" s="186">
        <f t="shared" si="45"/>
        <v>0.86103240913123713</v>
      </c>
      <c r="P173" s="181" t="str">
        <f t="shared" si="46"/>
        <v>減少↓</v>
      </c>
      <c r="Q173" s="181" t="str">
        <f t="shared" si="47"/>
        <v>様子見▼</v>
      </c>
      <c r="R173" s="184">
        <f t="shared" si="61"/>
        <v>602</v>
      </c>
      <c r="S173" s="184">
        <f t="shared" si="62"/>
        <v>535</v>
      </c>
      <c r="T173" s="181">
        <f t="shared" si="51"/>
        <v>-1</v>
      </c>
      <c r="U173" s="181" t="str">
        <f t="shared" si="63"/>
        <v>除外</v>
      </c>
      <c r="V173" s="181" t="str">
        <f t="shared" si="48"/>
        <v>通常</v>
      </c>
      <c r="W173" s="187">
        <f t="array" ref="W173">IF(C173&lt;&gt;"",IFERROR(100-100/(1+SUMPRODUCT((終値!F46:R46&gt;終値!G46:S46)*( 終値!F46:R46-終値!G46:S46))/SUMPRODUCT((終値!F46:R46&lt;終値!G46:S46)*(終値!G46:S46-終値!F46:R46))),50),"")</f>
        <v>54.328621908127182</v>
      </c>
      <c r="X173" s="188">
        <f>IF(C173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-0.93965208427005109</v>
      </c>
      <c r="Y173" s="1" t="str">
        <f>IF(T173="","",IF(銘柄管理!$F$5="下落▼",IF(AND(AD173="パーフェクト▲",OR(AE173="25日線押し目●",AE173="5日線押し目○")),"★逆張り候補",IF(AND(AD173="上昇トレンド▲",OR(AE173="25日線押し目●",AE173="5日線押し目○")),"○逆張り候補",IF(W173&lt;=30,IF(Z173&gt;0,"◎反発確認",IF(Z173&lt;-5,"△要注意・様子見","△売られ過ぎ注目")),"相場下落・見送り"))),IF(AND(T173&gt;=12,AD173="パーフェクト▲"),"★強い買い",IF(AND(T173&gt;=12,AD173="上昇トレンド▲"),"★強い買い",IF(AND(T173&gt;=8,OR(AE173="25日線押し目●",AE173="5日線押し目○")),"◎押し目買い",IF(T173&gt;=10,"○買い候補",IF(T173&gt;=6,"△注目",IF(T173&gt;=3,"様子見","見送り"))))))))</f>
        <v>見送り</v>
      </c>
      <c r="Z173" s="189">
        <f t="shared" si="64"/>
        <v>-1.5017667844522968</v>
      </c>
      <c r="AA173" s="181" t="str">
        <f t="shared" si="65"/>
        <v>下落▼</v>
      </c>
      <c r="AB173" s="499">
        <f>IF(C173="","",IFERROR(((終値!E175*0.333)+(終値!F175*0.222)+(終値!G175*0.148)+(終値!H175*0.099)+(終値!I175*0.066)+(終値!J175*0.044)+(終値!K175*0.029)+(終値!L175*0.019)+(終値!M175*0.013)+(終値!N175*0.009))/(0.333+0.222+0.148+0.099+0.066+0.044+0.029+0.019+0.013+0.009),""))</f>
        <v>6131.4124236252537</v>
      </c>
      <c r="AC173" s="499">
        <f>IF(C173="","",IFERROR(SUMPRODUCT((終値!E175:AC175)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6154.261025029793</v>
      </c>
      <c r="AD173" s="500" t="str">
        <f t="shared" si="59"/>
        <v>下降トレンド▼</v>
      </c>
      <c r="AE173" s="500" t="str">
        <f t="shared" si="60"/>
        <v>なし</v>
      </c>
      <c r="AF173" s="403" cm="1">
        <f t="array" ref="AF173">IF(C173="","",IFERROR((INDEX(終値!$E:$E,MATCH(TEXT(C173,"0"),終値!$A:$A,0))-INDEX(終値!$E:$BL,MATCH(TEXT(C173,"0"),終値!$A:$A,0),$AL$2))/INDEX(終値!$E:$BL,MATCH(TEXT(C173,"0"),終値!$A:$A,0),$AL$2)*100,""))</f>
        <v>0.23372887450556534</v>
      </c>
      <c r="AG173" s="403" cm="1">
        <f t="array" ref="AG173">IFERROR((終値!$E$5-INDEX(終値!$E$5:$BL$5,1,$AL$2))/INDEX(終値!$E$5:$BL$5,1,$AL$2)*100,"")</f>
        <v>3.4532270246721688</v>
      </c>
      <c r="AH173" s="404">
        <f t="shared" si="52"/>
        <v>-3.2194981501666033</v>
      </c>
      <c r="AI173" s="402">
        <f t="shared" si="53"/>
        <v>-2</v>
      </c>
    </row>
    <row r="174" spans="1:35" ht="18" customHeight="1">
      <c r="A174" s="181" t="str">
        <f>IF(銘柄管理!B52&lt;&gt;"",HYPERLINK("https://kabutan.jp/stock/?code="&amp;銘柄管理!B52,"株探"),"")</f>
        <v>株探</v>
      </c>
      <c r="B174" s="182"/>
      <c r="C174" s="183">
        <f>IF(銘柄管理!B52="","",銘柄管理!B52)</f>
        <v>8766</v>
      </c>
      <c r="D174" s="111" t="str">
        <f>IF(銘柄管理!C52="","",銘柄管理!C52)</f>
        <v>東京海上ＨＤ</v>
      </c>
      <c r="E174" s="184">
        <f>IF(C174&lt;&gt;"",_xll.RssMarket(C174,"現在値"),"")</f>
        <v>7252</v>
      </c>
      <c r="F174" s="184">
        <f>IF(C174&lt;&gt;"",_xll.RssMarket(C174,"始値"),"")</f>
        <v>7408</v>
      </c>
      <c r="G174" s="183">
        <f>IF(C174&lt;&gt;"",終値!F52,"")</f>
        <v>7288</v>
      </c>
      <c r="H174" s="184">
        <f>IF(C174&lt;&gt;"",_xll.RssMarket(C174,"高値"),"")</f>
        <v>7421</v>
      </c>
      <c r="I174" s="184">
        <f>IF(C174&lt;&gt;"",_xll.RssMarket(C174,"安値"),"")</f>
        <v>7252</v>
      </c>
      <c r="J174" s="184">
        <f>IF(C174&lt;&gt;"",_xll.RssMarket(C174,"出来高"),"")</f>
        <v>4299600</v>
      </c>
      <c r="K174" s="184">
        <f>IF(C174&lt;&gt;"",_xll.RssMarket(C174,"年初来高値"),"")</f>
        <v>8038</v>
      </c>
      <c r="L174" s="185">
        <f t="shared" si="44"/>
        <v>-9.77855187857676</v>
      </c>
      <c r="M174" s="184">
        <f>IF(C174&lt;&gt;"",IFERROR(AVERAGE(出来高!E52:I52),""),"")</f>
        <v>5749120</v>
      </c>
      <c r="N174" s="184">
        <f>IF(C174&lt;&gt;"",IFERROR(AVERAGE(出来高!E52:AC52),""),"")</f>
        <v>6390944</v>
      </c>
      <c r="O174" s="186">
        <f t="shared" si="45"/>
        <v>0.74787097851497275</v>
      </c>
      <c r="P174" s="181" t="str">
        <f t="shared" si="46"/>
        <v>減少↓</v>
      </c>
      <c r="Q174" s="181" t="str">
        <f t="shared" si="47"/>
        <v>様子見▼</v>
      </c>
      <c r="R174" s="184">
        <f t="shared" si="61"/>
        <v>7832</v>
      </c>
      <c r="S174" s="184">
        <f t="shared" si="62"/>
        <v>6962</v>
      </c>
      <c r="T174" s="181">
        <f t="shared" si="51"/>
        <v>1</v>
      </c>
      <c r="U174" s="181" t="str">
        <f t="shared" si="63"/>
        <v>除外</v>
      </c>
      <c r="V174" s="181" t="str">
        <f t="shared" si="48"/>
        <v>通常</v>
      </c>
      <c r="W174" s="187">
        <f t="array" ref="W174">IF(C174&lt;&gt;"",IFERROR(100-100/(1+SUMPRODUCT((終値!F52:R52&gt;終値!G52:S52)*( 終値!F52:R52-終値!G52:S52))/SUMPRODUCT((終値!F52:R52&lt;終値!G52:S52)*(終値!G52:S52-終値!F52:R52))),50),"")</f>
        <v>45.63876651982379</v>
      </c>
      <c r="X174" s="188">
        <f>IF(C174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-31.722998817855114</v>
      </c>
      <c r="Y174" s="1" t="str">
        <f>IF(T174="","",IF(銘柄管理!$F$5="下落▼",IF(AND(AD174="パーフェクト▲",OR(AE174="25日線押し目●",AE174="5日線押し目○")),"★逆張り候補",IF(AND(AD174="上昇トレンド▲",OR(AE174="25日線押し目●",AE174="5日線押し目○")),"○逆張り候補",IF(W174&lt;=30,IF(Z174&gt;0,"◎反発確認",IF(Z174&lt;-5,"△要注意・様子見","△売られ過ぎ注目")),"相場下落・見送り"))),IF(AND(T174&gt;=12,AD174="パーフェクト▲"),"★強い買い",IF(AND(T174&gt;=12,AD174="上昇トレンド▲"),"★強い買い",IF(AND(T174&gt;=8,OR(AE174="25日線押し目●",AE174="5日線押し目○")),"◎押し目買い",IF(T174&gt;=10,"○買い候補",IF(T174&gt;=6,"△注目",IF(T174&gt;=3,"様子見","見送り"))))))))</f>
        <v>見送り</v>
      </c>
      <c r="Z174" s="189">
        <f t="shared" si="64"/>
        <v>-0.49396267837541163</v>
      </c>
      <c r="AA174" s="181" t="str">
        <f t="shared" si="65"/>
        <v>下落▼</v>
      </c>
      <c r="AB174" s="497">
        <f>IF(C174="","",IFERROR(((終値!E176*0.333)+(終値!F176*0.222)+(終値!G176*0.148)+(終値!H176*0.099)+(終値!I176*0.066)+(終値!J176*0.044)+(終値!K176*0.029)+(終値!L176*0.019)+(終値!M176*0.013)+(終値!N176*0.009))/(0.333+0.222+0.148+0.099+0.066+0.044+0.029+0.019+0.013+0.009),""))</f>
        <v>2736.575356415477</v>
      </c>
      <c r="AC174" s="497">
        <f>IF(C174="","",IFERROR(SUMPRODUCT((終値!E176:AC176)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2754.7163289630489</v>
      </c>
      <c r="AD174" s="498" t="str">
        <f t="shared" si="59"/>
        <v>上昇トレンド▲</v>
      </c>
      <c r="AE174" s="498" t="str">
        <f t="shared" si="60"/>
        <v>なし</v>
      </c>
      <c r="AF174" s="403" cm="1">
        <f t="array" ref="AF174">IF(C174="","",IFERROR((INDEX(終値!$E:$E,MATCH(TEXT(C174,"0"),終値!$A:$A,0))-INDEX(終値!$E:$BL,MATCH(TEXT(C174,"0"),終値!$A:$A,0),$AL$2))/INDEX(終値!$E:$BL,MATCH(TEXT(C174,"0"),終値!$A:$A,0),$AL$2)*100,""))</f>
        <v>-1.4941591958706872</v>
      </c>
      <c r="AG174" s="403" cm="1">
        <f t="array" ref="AG174">IFERROR((終値!$E$5-INDEX(終値!$E$5:$BL$5,1,$AL$2))/INDEX(終値!$E$5:$BL$5,1,$AL$2)*100,"")</f>
        <v>3.4532270246721688</v>
      </c>
      <c r="AH174" s="404">
        <f t="shared" si="52"/>
        <v>-4.9473862205428558</v>
      </c>
      <c r="AI174" s="402">
        <f t="shared" si="53"/>
        <v>-2</v>
      </c>
    </row>
    <row r="175" spans="1:35" ht="18" customHeight="1">
      <c r="A175" s="181" t="str">
        <f>IF(銘柄管理!B53&lt;&gt;"",HYPERLINK("https://kabutan.jp/stock/?code="&amp;銘柄管理!B53,"株探"),"")</f>
        <v>株探</v>
      </c>
      <c r="B175" s="182"/>
      <c r="C175" s="183">
        <f>IF(銘柄管理!B53="","",銘柄管理!B53)</f>
        <v>5201</v>
      </c>
      <c r="D175" s="111" t="str">
        <f>IF(銘柄管理!C53="","",銘柄管理!C53)</f>
        <v>ＡＧＣ</v>
      </c>
      <c r="E175" s="184">
        <f>IF(C175&lt;&gt;"",_xll.RssMarket(C175,"現在値"),"")</f>
        <v>7421</v>
      </c>
      <c r="F175" s="184">
        <f>IF(C175&lt;&gt;"",_xll.RssMarket(C175,"始値"),"")</f>
        <v>7224</v>
      </c>
      <c r="G175" s="183">
        <f>IF(C175&lt;&gt;"",終値!F53,"")</f>
        <v>7270</v>
      </c>
      <c r="H175" s="184">
        <f>IF(C175&lt;&gt;"",_xll.RssMarket(C175,"高値"),"")</f>
        <v>7421</v>
      </c>
      <c r="I175" s="184">
        <f>IF(C175&lt;&gt;"",_xll.RssMarket(C175,"安値"),"")</f>
        <v>7190</v>
      </c>
      <c r="J175" s="184">
        <f>IF(C175&lt;&gt;"",_xll.RssMarket(C175,"出来高"),"")</f>
        <v>1363900</v>
      </c>
      <c r="K175" s="184">
        <f>IF(C175&lt;&gt;"",_xll.RssMarket(C175,"年初来高値"),"")</f>
        <v>8315</v>
      </c>
      <c r="L175" s="185">
        <f t="shared" si="44"/>
        <v>-10.751653638003608</v>
      </c>
      <c r="M175" s="184">
        <f>IF(C175&lt;&gt;"",IFERROR(AVERAGE(出来高!E53:I53),""),"")</f>
        <v>1493920</v>
      </c>
      <c r="N175" s="184">
        <f>IF(C175&lt;&gt;"",IFERROR(AVERAGE(出来高!E53:AC53),""),"")</f>
        <v>2338184</v>
      </c>
      <c r="O175" s="186">
        <f t="shared" si="45"/>
        <v>0.91296722716075829</v>
      </c>
      <c r="P175" s="181" t="str">
        <f t="shared" si="46"/>
        <v>減少↓</v>
      </c>
      <c r="Q175" s="181" t="str">
        <f t="shared" si="47"/>
        <v>中立→</v>
      </c>
      <c r="R175" s="184">
        <f t="shared" si="61"/>
        <v>8015</v>
      </c>
      <c r="S175" s="184">
        <f t="shared" si="62"/>
        <v>7124</v>
      </c>
      <c r="T175" s="181">
        <f t="shared" si="51"/>
        <v>6</v>
      </c>
      <c r="U175" s="181" t="str">
        <f t="shared" si="63"/>
        <v>要確認</v>
      </c>
      <c r="V175" s="181" t="str">
        <f t="shared" si="48"/>
        <v>通常</v>
      </c>
      <c r="W175" s="187">
        <f t="array" ref="W175">IF(C175&lt;&gt;"",IFERROR(100-100/(1+SUMPRODUCT((終値!F53:R53&gt;終値!G53:S53)*( 終値!F53:R53-終値!G53:S53))/SUMPRODUCT((終値!F53:R53&lt;終値!G53:S53)*(終値!G53:S53-終値!F53:R53))),50),"")</f>
        <v>58.891789962286047</v>
      </c>
      <c r="X175" s="188">
        <f>IF(C175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141.00198615660975</v>
      </c>
      <c r="Y175" s="1" t="str">
        <f>IF(T175="","",IF(銘柄管理!$F$5="下落▼",IF(AND(AD175="パーフェクト▲",OR(AE175="25日線押し目●",AE175="5日線押し目○")),"★逆張り候補",IF(AND(AD175="上昇トレンド▲",OR(AE175="25日線押し目●",AE175="5日線押し目○")),"○逆張り候補",IF(W175&lt;=30,IF(Z175&gt;0,"◎反発確認",IF(Z175&lt;-5,"△要注意・様子見","△売られ過ぎ注目")),"相場下落・見送り"))),IF(AND(T175&gt;=12,AD175="パーフェクト▲"),"★強い買い",IF(AND(T175&gt;=12,AD175="上昇トレンド▲"),"★強い買い",IF(AND(T175&gt;=8,OR(AE175="25日線押し目●",AE175="5日線押し目○")),"◎押し目買い",IF(T175&gt;=10,"○買い候補",IF(T175&gt;=6,"△注目",IF(T175&gt;=3,"様子見","見送り"))))))))</f>
        <v>△注目</v>
      </c>
      <c r="Z175" s="189">
        <f t="shared" si="64"/>
        <v>2.077028885832187</v>
      </c>
      <c r="AA175" s="181" t="str">
        <f t="shared" si="65"/>
        <v>上昇▲</v>
      </c>
      <c r="AB175" s="499">
        <f>IF(C175="","",IFERROR(((終値!E177*0.333)+(終値!F177*0.222)+(終値!G177*0.148)+(終値!H177*0.099)+(終値!I177*0.066)+(終値!J177*0.044)+(終値!K177*0.029)+(終値!L177*0.019)+(終値!M177*0.013)+(終値!N177*0.009))/(0.333+0.222+0.148+0.099+0.066+0.044+0.029+0.019+0.013+0.009),""))</f>
        <v>14194.439918533602</v>
      </c>
      <c r="AC175" s="499">
        <f>IF(C175="","",IFERROR(SUMPRODUCT((終値!E177:AC177)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14394.934445768768</v>
      </c>
      <c r="AD175" s="500" t="str">
        <f t="shared" si="59"/>
        <v>下降トレンド▼</v>
      </c>
      <c r="AE175" s="500" t="str">
        <f t="shared" si="60"/>
        <v>なし</v>
      </c>
      <c r="AF175" s="403" cm="1">
        <f t="array" ref="AF175">IF(C175="","",IFERROR((INDEX(終値!$E:$E,MATCH(TEXT(C175,"0"),終値!$A:$A,0))-INDEX(終値!$E:$BL,MATCH(TEXT(C175,"0"),終値!$A:$A,0),$AL$2))/INDEX(終値!$E:$BL,MATCH(TEXT(C175,"0"),終値!$A:$A,0),$AL$2)*100,""))</f>
        <v>23.006795955577655</v>
      </c>
      <c r="AG175" s="403" cm="1">
        <f t="array" ref="AG175">IFERROR((終値!$E$5-INDEX(終値!$E$5:$BL$5,1,$AL$2))/INDEX(終値!$E$5:$BL$5,1,$AL$2)*100,"")</f>
        <v>3.4532270246721688</v>
      </c>
      <c r="AH175" s="404">
        <f t="shared" si="52"/>
        <v>19.553568930905485</v>
      </c>
      <c r="AI175" s="402">
        <f t="shared" si="53"/>
        <v>3</v>
      </c>
    </row>
    <row r="176" spans="1:35" ht="18" customHeight="1">
      <c r="A176" s="181" t="str">
        <f>IF(銘柄管理!B54&lt;&gt;"",HYPERLINK("https://kabutan.jp/stock/?code="&amp;銘柄管理!B54,"株探"),"")</f>
        <v>株探</v>
      </c>
      <c r="B176" s="182"/>
      <c r="C176" s="183">
        <f>IF(銘柄管理!B54="","",銘柄管理!B54)</f>
        <v>8630</v>
      </c>
      <c r="D176" s="111" t="str">
        <f>IF(銘柄管理!C54="","",銘柄管理!C54)</f>
        <v>ＳＯＭＰＯホールディングス</v>
      </c>
      <c r="E176" s="184">
        <f>IF(C176&lt;&gt;"",_xll.RssMarket(C176,"現在値"),"")</f>
        <v>6194</v>
      </c>
      <c r="F176" s="184">
        <f>IF(C176&lt;&gt;"",_xll.RssMarket(C176,"始値"),"")</f>
        <v>6330</v>
      </c>
      <c r="G176" s="183">
        <f>IF(C176&lt;&gt;"",終値!F54,"")</f>
        <v>6248</v>
      </c>
      <c r="H176" s="184">
        <f>IF(C176&lt;&gt;"",_xll.RssMarket(C176,"高値"),"")</f>
        <v>6406</v>
      </c>
      <c r="I176" s="184">
        <f>IF(C176&lt;&gt;"",_xll.RssMarket(C176,"安値"),"")</f>
        <v>6194</v>
      </c>
      <c r="J176" s="184">
        <f>IF(C176&lt;&gt;"",_xll.RssMarket(C176,"出来高"),"")</f>
        <v>1584400</v>
      </c>
      <c r="K176" s="184">
        <f>IF(C176&lt;&gt;"",_xll.RssMarket(C176,"年初来高値"),"")</f>
        <v>6435</v>
      </c>
      <c r="L176" s="185">
        <f t="shared" si="44"/>
        <v>-3.7451437451437455</v>
      </c>
      <c r="M176" s="184">
        <f>IF(C176&lt;&gt;"",IFERROR(AVERAGE(出来高!E54:I54),""),"")</f>
        <v>2384440</v>
      </c>
      <c r="N176" s="184">
        <f>IF(C176&lt;&gt;"",IFERROR(AVERAGE(出来高!E54:AC54),""),"")</f>
        <v>3475748</v>
      </c>
      <c r="O176" s="186">
        <f t="shared" si="45"/>
        <v>0.66447467749240907</v>
      </c>
      <c r="P176" s="181" t="str">
        <f t="shared" si="46"/>
        <v>減少↓</v>
      </c>
      <c r="Q176" s="181" t="str">
        <f t="shared" si="47"/>
        <v>様子見▼</v>
      </c>
      <c r="R176" s="184">
        <f t="shared" si="61"/>
        <v>6690</v>
      </c>
      <c r="S176" s="184">
        <f t="shared" si="62"/>
        <v>5946</v>
      </c>
      <c r="T176" s="181">
        <f t="shared" si="51"/>
        <v>5</v>
      </c>
      <c r="U176" s="181" t="str">
        <f t="shared" si="63"/>
        <v>要確認</v>
      </c>
      <c r="V176" s="181" t="str">
        <f t="shared" si="48"/>
        <v>高値圏</v>
      </c>
      <c r="W176" s="187">
        <f t="array" ref="W176">IF(C176&lt;&gt;"",IFERROR(100-100/(1+SUMPRODUCT((終値!F54:R54&gt;終値!G54:S54)*( 終値!F54:R54-終値!G54:S54))/SUMPRODUCT((終値!F54:R54&lt;終値!G54:S54)*(終値!G54:S54-終値!F54:R54))),50),"")</f>
        <v>72.807017543859644</v>
      </c>
      <c r="X176" s="188">
        <f>IF(C176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33.003876786645378</v>
      </c>
      <c r="Y176" s="1" t="str">
        <f>IF(T176="","",IF(銘柄管理!$F$5="下落▼",IF(AND(AD176="パーフェクト▲",OR(AE176="25日線押し目●",AE176="5日線押し目○")),"★逆張り候補",IF(AND(AD176="上昇トレンド▲",OR(AE176="25日線押し目●",AE176="5日線押し目○")),"○逆張り候補",IF(W176&lt;=30,IF(Z176&gt;0,"◎反発確認",IF(Z176&lt;-5,"△要注意・様子見","△売られ過ぎ注目")),"相場下落・見送り"))),IF(AND(T176&gt;=12,AD176="パーフェクト▲"),"★強い買い",IF(AND(T176&gt;=12,AD176="上昇トレンド▲"),"★強い買い",IF(AND(T176&gt;=8,OR(AE176="25日線押し目●",AE176="5日線押し目○")),"◎押し目買い",IF(T176&gt;=10,"○買い候補",IF(T176&gt;=6,"△注目",IF(T176&gt;=3,"様子見","見送り"))))))))</f>
        <v>様子見</v>
      </c>
      <c r="Z176" s="189">
        <f t="shared" si="64"/>
        <v>-0.86427656850192069</v>
      </c>
      <c r="AA176" s="181" t="str">
        <f t="shared" si="65"/>
        <v>下落▼</v>
      </c>
      <c r="AB176" s="497">
        <f>IF(C176="","",IFERROR(((終値!E178*0.333)+(終値!F178*0.222)+(終値!G178*0.148)+(終値!H178*0.099)+(終値!I178*0.066)+(終値!J178*0.044)+(終値!K178*0.029)+(終値!L178*0.019)+(終値!M178*0.013)+(終値!N178*0.009))/(0.333+0.222+0.148+0.099+0.066+0.044+0.029+0.019+0.013+0.009),""))</f>
        <v>3572.8238289205692</v>
      </c>
      <c r="AC176" s="497">
        <f>IF(C176="","",IFERROR(SUMPRODUCT((終値!E178:AC178)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3581.3682955899867</v>
      </c>
      <c r="AD176" s="498" t="str">
        <f t="shared" si="59"/>
        <v>上昇トレンド▲</v>
      </c>
      <c r="AE176" s="498" t="str">
        <f t="shared" si="60"/>
        <v>なし</v>
      </c>
      <c r="AF176" s="403" cm="1">
        <f t="array" ref="AF176">IF(C176="","",IFERROR((INDEX(終値!$E:$E,MATCH(TEXT(C176,"0"),終値!$A:$A,0))-INDEX(終値!$E:$BL,MATCH(TEXT(C176,"0"),終値!$A:$A,0),$AL$2))/INDEX(終値!$E:$BL,MATCH(TEXT(C176,"0"),終値!$A:$A,0),$AL$2)*100,""))</f>
        <v>1.8080210387902695</v>
      </c>
      <c r="AG176" s="403" cm="1">
        <f t="array" ref="AG176">IFERROR((終値!$E$5-INDEX(終値!$E$5:$BL$5,1,$AL$2))/INDEX(終値!$E$5:$BL$5,1,$AL$2)*100,"")</f>
        <v>3.4532270246721688</v>
      </c>
      <c r="AH176" s="404">
        <f t="shared" si="52"/>
        <v>-1.6452059858818993</v>
      </c>
      <c r="AI176" s="402">
        <f t="shared" si="53"/>
        <v>-1</v>
      </c>
    </row>
    <row r="177" spans="1:35" ht="18" customHeight="1">
      <c r="A177" s="181" t="str">
        <f>IF(銘柄管理!B58&lt;&gt;"",HYPERLINK("https://kabutan.jp/stock/?code="&amp;銘柄管理!B58,"株探"),"")</f>
        <v>株探</v>
      </c>
      <c r="B177" s="182"/>
      <c r="C177" s="183">
        <f>IF(銘柄管理!B58="","",銘柄管理!B58)</f>
        <v>4676</v>
      </c>
      <c r="D177" s="111" t="str">
        <f>IF(銘柄管理!C58="","",銘柄管理!C58)</f>
        <v>フジ・メディア・ＨＤ</v>
      </c>
      <c r="E177" s="184">
        <f>IF(C177&lt;&gt;"",_xll.RssMarket(C177,"現在値"),"")</f>
        <v>4007</v>
      </c>
      <c r="F177" s="184">
        <f>IF(C177&lt;&gt;"",_xll.RssMarket(C177,"始値"),"")</f>
        <v>4050</v>
      </c>
      <c r="G177" s="183">
        <f>IF(C177&lt;&gt;"",終値!F58,"")</f>
        <v>4021</v>
      </c>
      <c r="H177" s="184">
        <f>IF(C177&lt;&gt;"",_xll.RssMarket(C177,"高値"),"")</f>
        <v>4063</v>
      </c>
      <c r="I177" s="184">
        <f>IF(C177&lt;&gt;"",_xll.RssMarket(C177,"安値"),"")</f>
        <v>3999</v>
      </c>
      <c r="J177" s="184">
        <f>IF(C177&lt;&gt;"",_xll.RssMarket(C177,"出来高"),"")</f>
        <v>435200</v>
      </c>
      <c r="K177" s="184">
        <f>IF(C177&lt;&gt;"",_xll.RssMarket(C177,"年初来高値"),"")</f>
        <v>4466</v>
      </c>
      <c r="L177" s="185">
        <f t="shared" si="44"/>
        <v>-10.277653381101656</v>
      </c>
      <c r="M177" s="184">
        <f>IF(C177&lt;&gt;"",IFERROR(AVERAGE(出来高!E58:I58),""),"")</f>
        <v>503880</v>
      </c>
      <c r="N177" s="184">
        <f>IF(C177&lt;&gt;"",IFERROR(AVERAGE(出来高!E58:AC58),""),"")</f>
        <v>626152</v>
      </c>
      <c r="O177" s="186">
        <f t="shared" si="45"/>
        <v>0.86369770580296901</v>
      </c>
      <c r="P177" s="181" t="str">
        <f t="shared" si="46"/>
        <v>減少↓</v>
      </c>
      <c r="Q177" s="181" t="str">
        <f t="shared" si="47"/>
        <v>様子見▼</v>
      </c>
      <c r="R177" s="184">
        <f t="shared" si="61"/>
        <v>4328</v>
      </c>
      <c r="S177" s="184">
        <f t="shared" si="62"/>
        <v>3847</v>
      </c>
      <c r="T177" s="181">
        <f t="shared" si="51"/>
        <v>4</v>
      </c>
      <c r="U177" s="181" t="str">
        <f t="shared" si="63"/>
        <v>要確認</v>
      </c>
      <c r="V177" s="181" t="str">
        <f t="shared" si="48"/>
        <v>通常</v>
      </c>
      <c r="W177" s="187">
        <f t="array" ref="W177">IF(C177&lt;&gt;"",IFERROR(100-100/(1+SUMPRODUCT((終値!F58:R58&gt;終値!G58:S58)*( 終値!F58:R58-終値!G58:S58))/SUMPRODUCT((終値!F58:R58&lt;終値!G58:S58)*(終値!G58:S58-終値!F58:R58))),50),"")</f>
        <v>63.670411985018724</v>
      </c>
      <c r="X177" s="188">
        <f>IF(C177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37.634491460324625</v>
      </c>
      <c r="Y177" s="1" t="str">
        <f>IF(T177="","",IF(銘柄管理!$F$5="下落▼",IF(AND(AD177="パーフェクト▲",OR(AE177="25日線押し目●",AE177="5日線押し目○")),"★逆張り候補",IF(AND(AD177="上昇トレンド▲",OR(AE177="25日線押し目●",AE177="5日線押し目○")),"○逆張り候補",IF(W177&lt;=30,IF(Z177&gt;0,"◎反発確認",IF(Z177&lt;-5,"△要注意・様子見","△売られ過ぎ注目")),"相場下落・見送り"))),IF(AND(T177&gt;=12,AD177="パーフェクト▲"),"★強い買い",IF(AND(T177&gt;=12,AD177="上昇トレンド▲"),"★強い買い",IF(AND(T177&gt;=8,OR(AE177="25日線押し目●",AE177="5日線押し目○")),"◎押し目買い",IF(T177&gt;=10,"○買い候補",IF(T177&gt;=6,"△注目",IF(T177&gt;=3,"様子見","見送り"))))))))</f>
        <v>様子見</v>
      </c>
      <c r="Z177" s="189">
        <f t="shared" si="64"/>
        <v>-0.34817209649340958</v>
      </c>
      <c r="AA177" s="181" t="str">
        <f t="shared" si="65"/>
        <v>下落▼</v>
      </c>
      <c r="AB177" s="499">
        <f>IF(C177="","",IFERROR(((終値!E179*0.333)+(終値!F179*0.222)+(終値!G179*0.148)+(終値!H179*0.099)+(終値!I179*0.066)+(終値!J179*0.044)+(終値!K179*0.029)+(終値!L179*0.019)+(終値!M179*0.013)+(終値!N179*0.009))/(0.333+0.222+0.148+0.099+0.066+0.044+0.029+0.019+0.013+0.009),""))</f>
        <v>2589.1537678207737</v>
      </c>
      <c r="AC177" s="499">
        <f>IF(C177="","",IFERROR(SUMPRODUCT((終値!E179:AC179)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2626.7377830750875</v>
      </c>
      <c r="AD177" s="500" t="str">
        <f t="shared" si="59"/>
        <v>上昇トレンド▲</v>
      </c>
      <c r="AE177" s="500" t="str">
        <f t="shared" si="60"/>
        <v>なし</v>
      </c>
      <c r="AF177" s="403" cm="1">
        <f t="array" ref="AF177">IF(C177="","",IFERROR((INDEX(終値!$E:$E,MATCH(TEXT(C177,"0"),終値!$A:$A,0))-INDEX(終値!$E:$BL,MATCH(TEXT(C177,"0"),終値!$A:$A,0),$AL$2))/INDEX(終値!$E:$BL,MATCH(TEXT(C177,"0"),終値!$A:$A,0),$AL$2)*100,""))</f>
        <v>3.7545313309166239</v>
      </c>
      <c r="AG177" s="403" cm="1">
        <f t="array" ref="AG177">IFERROR((終値!$E$5-INDEX(終値!$E$5:$BL$5,1,$AL$2))/INDEX(終値!$E$5:$BL$5,1,$AL$2)*100,"")</f>
        <v>3.4532270246721688</v>
      </c>
      <c r="AH177" s="404">
        <f t="shared" si="52"/>
        <v>0.30130430624445514</v>
      </c>
      <c r="AI177" s="402">
        <f t="shared" si="53"/>
        <v>1</v>
      </c>
    </row>
    <row r="178" spans="1:35" ht="18" customHeight="1">
      <c r="A178" s="181" t="str">
        <f>IF(銘柄管理!B61&lt;&gt;"",HYPERLINK("https://kabutan.jp/stock/?code="&amp;銘柄管理!B61,"株探"),"")</f>
        <v>株探</v>
      </c>
      <c r="B178" s="182"/>
      <c r="C178" s="183">
        <f>IF(銘柄管理!B61="","",銘柄管理!B61)</f>
        <v>4045</v>
      </c>
      <c r="D178" s="111" t="str">
        <f>IF(銘柄管理!C61="","",銘柄管理!C61)</f>
        <v>東亞合成</v>
      </c>
      <c r="E178" s="184">
        <f>IF(C178&lt;&gt;"",_xll.RssMarket(C178,"現在値"),"")</f>
        <v>1758.5</v>
      </c>
      <c r="F178" s="184">
        <f>IF(C178&lt;&gt;"",_xll.RssMarket(C178,"始値"),"")</f>
        <v>1758.5</v>
      </c>
      <c r="G178" s="183">
        <f>IF(C178&lt;&gt;"",終値!F61,"")</f>
        <v>1759</v>
      </c>
      <c r="H178" s="184">
        <f>IF(C178&lt;&gt;"",_xll.RssMarket(C178,"高値"),"")</f>
        <v>1768.5</v>
      </c>
      <c r="I178" s="184">
        <f>IF(C178&lt;&gt;"",_xll.RssMarket(C178,"安値"),"")</f>
        <v>1749</v>
      </c>
      <c r="J178" s="184">
        <f>IF(C178&lt;&gt;"",_xll.RssMarket(C178,"出来高"),"")</f>
        <v>170600</v>
      </c>
      <c r="K178" s="184">
        <f>IF(C178&lt;&gt;"",_xll.RssMarket(C178,"年初来高値"),"")</f>
        <v>1922.5</v>
      </c>
      <c r="L178" s="185">
        <f t="shared" si="44"/>
        <v>-8.5305591677503241</v>
      </c>
      <c r="M178" s="184">
        <f>IF(C178&lt;&gt;"",IFERROR(AVERAGE(出来高!E61:I61),""),"")</f>
        <v>237720</v>
      </c>
      <c r="N178" s="184">
        <f>IF(C178&lt;&gt;"",IFERROR(AVERAGE(出来高!E61:AC61),""),"")</f>
        <v>262884</v>
      </c>
      <c r="O178" s="186">
        <f t="shared" si="45"/>
        <v>0.71765101800437492</v>
      </c>
      <c r="P178" s="181" t="str">
        <f t="shared" si="46"/>
        <v>減少↓</v>
      </c>
      <c r="Q178" s="181" t="str">
        <f t="shared" si="47"/>
        <v>様子見▼</v>
      </c>
      <c r="R178" s="184">
        <f t="shared" si="61"/>
        <v>1899</v>
      </c>
      <c r="S178" s="184">
        <f t="shared" si="62"/>
        <v>1688</v>
      </c>
      <c r="T178" s="181">
        <f t="shared" si="51"/>
        <v>0</v>
      </c>
      <c r="U178" s="181" t="str">
        <f t="shared" si="63"/>
        <v>除外</v>
      </c>
      <c r="V178" s="181" t="str">
        <f t="shared" si="48"/>
        <v>通常</v>
      </c>
      <c r="W178" s="187">
        <f t="array" ref="W178">IF(C178&lt;&gt;"",IFERROR(100-100/(1+SUMPRODUCT((終値!F61:R61&gt;終値!G61:S61)*( 終値!F61:R61-終値!G61:S61))/SUMPRODUCT((終値!F61:R61&lt;終値!G61:S61)*(終値!G61:S61-終値!F61:R61))),50),"")</f>
        <v>56.96821515892421</v>
      </c>
      <c r="X178" s="188">
        <f>IF(C178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1.2140262857285506</v>
      </c>
      <c r="Y178" s="1" t="str">
        <f>IF(T178="","",IF(銘柄管理!$F$5="下落▼",IF(AND(AD178="パーフェクト▲",OR(AE178="25日線押し目●",AE178="5日線押し目○")),"★逆張り候補",IF(AND(AD178="上昇トレンド▲",OR(AE178="25日線押し目●",AE178="5日線押し目○")),"○逆張り候補",IF(W178&lt;=30,IF(Z178&gt;0,"◎反発確認",IF(Z178&lt;-5,"△要注意・様子見","△売られ過ぎ注目")),"相場下落・見送り"))),IF(AND(T178&gt;=12,AD178="パーフェクト▲"),"★強い買い",IF(AND(T178&gt;=12,AD178="上昇トレンド▲"),"★強い買い",IF(AND(T178&gt;=8,OR(AE178="25日線押し目●",AE178="5日線押し目○")),"◎押し目買い",IF(T178&gt;=10,"○買い候補",IF(T178&gt;=6,"△注目",IF(T178&gt;=3,"様子見","見送り"))))))))</f>
        <v>見送り</v>
      </c>
      <c r="Z178" s="189">
        <f t="shared" si="64"/>
        <v>-2.8425241614553721E-2</v>
      </c>
      <c r="AA178" s="181" t="str">
        <f t="shared" si="65"/>
        <v>下落▼</v>
      </c>
      <c r="AB178" s="497">
        <f>IF(C178="","",IFERROR(((終値!E180*0.333)+(終値!F180*0.222)+(終値!G180*0.148)+(終値!H180*0.099)+(終値!I180*0.066)+(終値!J180*0.044)+(終値!K180*0.029)+(終値!L180*0.019)+(終値!M180*0.013)+(終値!N180*0.009))/(0.333+0.222+0.148+0.099+0.066+0.044+0.029+0.019+0.013+0.009),""))</f>
        <v>1746.9857433808552</v>
      </c>
      <c r="AC178" s="497">
        <f>IF(C178="","",IFERROR(SUMPRODUCT((終値!E180:AC180)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1770.7342073897494</v>
      </c>
      <c r="AD178" s="498" t="str">
        <f t="shared" si="59"/>
        <v>もみ合い→</v>
      </c>
      <c r="AE178" s="498" t="str">
        <f t="shared" si="60"/>
        <v>5日押し目○</v>
      </c>
      <c r="AF178" s="403" cm="1">
        <f t="array" ref="AF178">IF(C178="","",IFERROR((INDEX(終値!$E:$E,MATCH(TEXT(C178,"0"),終値!$A:$A,0))-INDEX(終値!$E:$BL,MATCH(TEXT(C178,"0"),終値!$A:$A,0),$AL$2))/INDEX(終値!$E:$BL,MATCH(TEXT(C178,"0"),終値!$A:$A,0),$AL$2)*100,""))</f>
        <v>-0.25524673851389679</v>
      </c>
      <c r="AG178" s="403" cm="1">
        <f t="array" ref="AG178">IFERROR((終値!$E$5-INDEX(終値!$E$5:$BL$5,1,$AL$2))/INDEX(終値!$E$5:$BL$5,1,$AL$2)*100,"")</f>
        <v>3.4532270246721688</v>
      </c>
      <c r="AH178" s="404">
        <f t="shared" si="52"/>
        <v>-3.7084737631860656</v>
      </c>
      <c r="AI178" s="402">
        <f t="shared" si="53"/>
        <v>-2</v>
      </c>
    </row>
    <row r="179" spans="1:35" ht="18" customHeight="1">
      <c r="A179" s="181" t="str">
        <f>IF(銘柄管理!B63&lt;&gt;"",HYPERLINK("https://kabutan.jp/stock/?code="&amp;銘柄管理!B63,"株探"),"")</f>
        <v>株探</v>
      </c>
      <c r="B179" s="182"/>
      <c r="C179" s="183">
        <f>IF(銘柄管理!B63="","",銘柄管理!B63)</f>
        <v>8281</v>
      </c>
      <c r="D179" s="111" t="str">
        <f>IF(銘柄管理!C63="","",銘柄管理!C63)</f>
        <v>ゼビオホールディングス</v>
      </c>
      <c r="E179" s="184">
        <f>IF(C179&lt;&gt;"",_xll.RssMarket(C179,"現在値"),"")</f>
        <v>1050</v>
      </c>
      <c r="F179" s="184">
        <f>IF(C179&lt;&gt;"",_xll.RssMarket(C179,"始値"),"")</f>
        <v>1056</v>
      </c>
      <c r="G179" s="183">
        <f>IF(C179&lt;&gt;"",終値!F63,"")</f>
        <v>1053</v>
      </c>
      <c r="H179" s="184">
        <f>IF(C179&lt;&gt;"",_xll.RssMarket(C179,"高値"),"")</f>
        <v>1065</v>
      </c>
      <c r="I179" s="184">
        <f>IF(C179&lt;&gt;"",_xll.RssMarket(C179,"安値"),"")</f>
        <v>1050</v>
      </c>
      <c r="J179" s="184">
        <f>IF(C179&lt;&gt;"",_xll.RssMarket(C179,"出来高"),"")</f>
        <v>86700</v>
      </c>
      <c r="K179" s="184">
        <f>IF(C179&lt;&gt;"",_xll.RssMarket(C179,"年初来高値"),"")</f>
        <v>1168</v>
      </c>
      <c r="L179" s="185">
        <f t="shared" si="44"/>
        <v>-10.102739726027398</v>
      </c>
      <c r="M179" s="184">
        <f>IF(C179&lt;&gt;"",IFERROR(AVERAGE(出来高!E63:I63),""),"")</f>
        <v>111480</v>
      </c>
      <c r="N179" s="184">
        <f>IF(C179&lt;&gt;"",IFERROR(AVERAGE(出来高!E63:AC63),""),"")</f>
        <v>143940</v>
      </c>
      <c r="O179" s="186">
        <f t="shared" si="45"/>
        <v>0.77771797631862216</v>
      </c>
      <c r="P179" s="181" t="str">
        <f t="shared" si="46"/>
        <v>減少↓</v>
      </c>
      <c r="Q179" s="181" t="str">
        <f t="shared" si="47"/>
        <v>様子見▼</v>
      </c>
      <c r="R179" s="184">
        <f t="shared" si="61"/>
        <v>1134</v>
      </c>
      <c r="S179" s="184">
        <f t="shared" si="62"/>
        <v>1008</v>
      </c>
      <c r="T179" s="181">
        <f t="shared" si="51"/>
        <v>8</v>
      </c>
      <c r="U179" s="181" t="str">
        <f t="shared" si="63"/>
        <v>要確認</v>
      </c>
      <c r="V179" s="181" t="str">
        <f t="shared" si="48"/>
        <v>通常</v>
      </c>
      <c r="W179" s="187">
        <f t="array" ref="W179">IF(C179&lt;&gt;"",IFERROR(100-100/(1+SUMPRODUCT((終値!F63:R63&gt;終値!G63:S63)*( 終値!F63:R63-終値!G63:S63))/SUMPRODUCT((終値!F63:R63&lt;終値!G63:S63)*(終値!G63:S63-終値!F63:R63))),50),"")</f>
        <v>49.090909090909093</v>
      </c>
      <c r="X179" s="188">
        <f>IF(C179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4.0652406672534198</v>
      </c>
      <c r="Y179" s="1" t="str">
        <f>IF(T179="","",IF(銘柄管理!$F$5="下落▼",IF(AND(AD179="パーフェクト▲",OR(AE179="25日線押し目●",AE179="5日線押し目○")),"★逆張り候補",IF(AND(AD179="上昇トレンド▲",OR(AE179="25日線押し目●",AE179="5日線押し目○")),"○逆張り候補",IF(W179&lt;=30,IF(Z179&gt;0,"◎反発確認",IF(Z179&lt;-5,"△要注意・様子見","△売られ過ぎ注目")),"相場下落・見送り"))),IF(AND(T179&gt;=12,AD179="パーフェクト▲"),"★強い買い",IF(AND(T179&gt;=12,AD179="上昇トレンド▲"),"★強い買い",IF(AND(T179&gt;=8,OR(AE179="25日線押し目●",AE179="5日線押し目○")),"◎押し目買い",IF(T179&gt;=10,"○買い候補",IF(T179&gt;=6,"△注目",IF(T179&gt;=3,"様子見","見送り"))))))))</f>
        <v>△注目</v>
      </c>
      <c r="Z179" s="189">
        <f t="shared" si="64"/>
        <v>-0.28490028490028491</v>
      </c>
      <c r="AA179" s="181" t="str">
        <f t="shared" si="65"/>
        <v>下落▼</v>
      </c>
      <c r="AB179" s="499">
        <f>IF(C179="","",IFERROR(((終値!E181*0.333)+(終値!F181*0.222)+(終値!G181*0.148)+(終値!H181*0.099)+(終値!I181*0.066)+(終値!J181*0.044)+(終値!K181*0.029)+(終値!L181*0.019)+(終値!M181*0.013)+(終値!N181*0.009))/(0.333+0.222+0.148+0.099+0.066+0.044+0.029+0.019+0.013+0.009),""))</f>
        <v>849.93737270875761</v>
      </c>
      <c r="AC179" s="499">
        <f>IF(C179="","",IFERROR(SUMPRODUCT((終値!E181:AC181)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847.07759237187076</v>
      </c>
      <c r="AD179" s="500" t="str">
        <f t="shared" si="59"/>
        <v>パーフェクト▲</v>
      </c>
      <c r="AE179" s="500" t="str">
        <f t="shared" si="60"/>
        <v>なし</v>
      </c>
      <c r="AF179" s="403" cm="1">
        <f t="array" ref="AF179">IF(C179="","",IFERROR((INDEX(終値!$E:$E,MATCH(TEXT(C179,"0"),終値!$A:$A,0))-INDEX(終値!$E:$BL,MATCH(TEXT(C179,"0"),終値!$A:$A,0),$AL$2))/INDEX(終値!$E:$BL,MATCH(TEXT(C179,"0"),終値!$A:$A,0),$AL$2)*100,""))</f>
        <v>8.695652173913043</v>
      </c>
      <c r="AG179" s="403" cm="1">
        <f t="array" ref="AG179">IFERROR((終値!$E$5-INDEX(終値!$E$5:$BL$5,1,$AL$2))/INDEX(終値!$E$5:$BL$5,1,$AL$2)*100,"")</f>
        <v>3.4532270246721688</v>
      </c>
      <c r="AH179" s="404">
        <f t="shared" si="52"/>
        <v>5.2424251492408747</v>
      </c>
      <c r="AI179" s="402">
        <f t="shared" si="53"/>
        <v>3</v>
      </c>
    </row>
    <row r="180" spans="1:35" ht="18" customHeight="1">
      <c r="A180" s="181" t="str">
        <f>IF(銘柄管理!B80&lt;&gt;"",HYPERLINK("https://kabutan.jp/stock/?code="&amp;銘柄管理!B80,"株探"),"")</f>
        <v>株探</v>
      </c>
      <c r="B180" s="182"/>
      <c r="C180" s="183">
        <f>IF(銘柄管理!B80="","",銘柄管理!B80)</f>
        <v>1833</v>
      </c>
      <c r="D180" s="111" t="str">
        <f>IF(銘柄管理!C80="","",銘柄管理!C80)</f>
        <v>奥村組</v>
      </c>
      <c r="E180" s="184">
        <f>IF(C180&lt;&gt;"",_xll.RssMarket(C180,"現在値"),"")</f>
        <v>5700</v>
      </c>
      <c r="F180" s="184">
        <f>IF(C180&lt;&gt;"",_xll.RssMarket(C180,"始値"),"")</f>
        <v>5760</v>
      </c>
      <c r="G180" s="183">
        <f>IF(C180&lt;&gt;"",終値!F80,"")</f>
        <v>5720</v>
      </c>
      <c r="H180" s="184">
        <f>IF(C180&lt;&gt;"",_xll.RssMarket(C180,"高値"),"")</f>
        <v>5790</v>
      </c>
      <c r="I180" s="184">
        <f>IF(C180&lt;&gt;"",_xll.RssMarket(C180,"安値"),"")</f>
        <v>5700</v>
      </c>
      <c r="J180" s="184">
        <f>IF(C180&lt;&gt;"",_xll.RssMarket(C180,"出来高"),"")</f>
        <v>53400</v>
      </c>
      <c r="K180" s="184">
        <f>IF(C180&lt;&gt;"",_xll.RssMarket(C180,"年初来高値"),"")</f>
        <v>7490</v>
      </c>
      <c r="L180" s="185">
        <f t="shared" si="44"/>
        <v>-23.89853137516689</v>
      </c>
      <c r="M180" s="184">
        <f>IF(C180&lt;&gt;"",IFERROR(AVERAGE(出来高!E80:I80),""),"")</f>
        <v>96260</v>
      </c>
      <c r="N180" s="184">
        <f>IF(C180&lt;&gt;"",IFERROR(AVERAGE(出来高!E80:AC80),""),"")</f>
        <v>132132</v>
      </c>
      <c r="O180" s="186">
        <f t="shared" si="45"/>
        <v>0.55474755869520054</v>
      </c>
      <c r="P180" s="181" t="str">
        <f t="shared" si="46"/>
        <v>減少↓</v>
      </c>
      <c r="Q180" s="181" t="str">
        <f t="shared" si="47"/>
        <v>様子見▼</v>
      </c>
      <c r="R180" s="184">
        <f t="shared" si="61"/>
        <v>6156</v>
      </c>
      <c r="S180" s="184">
        <f t="shared" si="62"/>
        <v>5472</v>
      </c>
      <c r="T180" s="181">
        <f t="shared" si="51"/>
        <v>1</v>
      </c>
      <c r="U180" s="181" t="str">
        <f t="shared" si="63"/>
        <v>除外</v>
      </c>
      <c r="V180" s="181" t="str">
        <f t="shared" si="48"/>
        <v>通常</v>
      </c>
      <c r="W180" s="187">
        <f t="array" ref="W180">IF(C180&lt;&gt;"",IFERROR(100-100/(1+SUMPRODUCT((終値!F80:R80&gt;終値!G80:S80)*( 終値!F80:R80-終値!G80:S80))/SUMPRODUCT((終値!F80:R80&lt;終値!G80:S80)*(終値!G80:S80-終値!F80:R80))),50),"")</f>
        <v>64.444444444444443</v>
      </c>
      <c r="X180" s="188">
        <f>IF(C180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-13.858835610712049</v>
      </c>
      <c r="Y180" s="1" t="str">
        <f>IF(T180="","",IF(銘柄管理!$F$5="下落▼",IF(AND(AD180="パーフェクト▲",OR(AE180="25日線押し目●",AE180="5日線押し目○")),"★逆張り候補",IF(AND(AD180="上昇トレンド▲",OR(AE180="25日線押し目●",AE180="5日線押し目○")),"○逆張り候補",IF(W180&lt;=30,IF(Z180&gt;0,"◎反発確認",IF(Z180&lt;-5,"△要注意・様子見","△売られ過ぎ注目")),"相場下落・見送り"))),IF(AND(T180&gt;=12,AD180="パーフェクト▲"),"★強い買い",IF(AND(T180&gt;=12,AD180="上昇トレンド▲"),"★強い買い",IF(AND(T180&gt;=8,OR(AE180="25日線押し目●",AE180="5日線押し目○")),"◎押し目買い",IF(T180&gt;=10,"○買い候補",IF(T180&gt;=6,"△注目",IF(T180&gt;=3,"様子見","見送り"))))))))</f>
        <v>見送り</v>
      </c>
      <c r="Z180" s="189">
        <f t="shared" si="64"/>
        <v>-0.34965034965034963</v>
      </c>
      <c r="AA180" s="181" t="str">
        <f t="shared" si="65"/>
        <v>下落▼</v>
      </c>
      <c r="AB180" s="497">
        <f>IF(C180="","",IFERROR(((終値!E182*0.333)+(終値!F182*0.222)+(終値!G182*0.148)+(終値!H182*0.099)+(終値!I182*0.066)+(終値!J182*0.044)+(終値!K182*0.029)+(終値!L182*0.019)+(終値!M182*0.013)+(終値!N182*0.009))/(0.333+0.222+0.148+0.099+0.066+0.044+0.029+0.019+0.013+0.009),""))</f>
        <v>2198.2973523421583</v>
      </c>
      <c r="AC180" s="497">
        <f>IF(C180="","",IFERROR(SUMPRODUCT((終値!E182:AC182)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2183.3003575685334</v>
      </c>
      <c r="AD180" s="498" t="str">
        <f t="shared" si="59"/>
        <v>パーフェクト▲</v>
      </c>
      <c r="AE180" s="498" t="str">
        <f t="shared" si="60"/>
        <v>なし</v>
      </c>
      <c r="AF180" s="403" cm="1">
        <f t="array" ref="AF180">IF(C180="","",IFERROR((INDEX(終値!$E:$E,MATCH(TEXT(C180,"0"),終値!$A:$A,0))-INDEX(終値!$E:$BL,MATCH(TEXT(C180,"0"),終値!$A:$A,0),$AL$2))/INDEX(終値!$E:$BL,MATCH(TEXT(C180,"0"),終値!$A:$A,0),$AL$2)*100,""))</f>
        <v>-7.4675324675324672</v>
      </c>
      <c r="AG180" s="403" cm="1">
        <f t="array" ref="AG180">IFERROR((終値!$E$5-INDEX(終値!$E$5:$BL$5,1,$AL$2))/INDEX(終値!$E$5:$BL$5,1,$AL$2)*100,"")</f>
        <v>3.4532270246721688</v>
      </c>
      <c r="AH180" s="404">
        <f t="shared" si="52"/>
        <v>-10.920759492204636</v>
      </c>
      <c r="AI180" s="402">
        <f t="shared" si="53"/>
        <v>-2</v>
      </c>
    </row>
    <row r="181" spans="1:35" ht="18" customHeight="1">
      <c r="A181" s="181" t="str">
        <f>IF(銘柄管理!B83&lt;&gt;"",HYPERLINK("https://kabutan.jp/stock/?code="&amp;銘柄管理!B83,"株探"),"")</f>
        <v>株探</v>
      </c>
      <c r="B181" s="182"/>
      <c r="C181" s="183">
        <f>IF(銘柄管理!B83="","",銘柄管理!B83)</f>
        <v>1925</v>
      </c>
      <c r="D181" s="111" t="str">
        <f>IF(銘柄管理!C83="","",銘柄管理!C83)</f>
        <v>大和ハウス</v>
      </c>
      <c r="E181" s="184">
        <f>IF(C181&lt;&gt;"",_xll.RssMarket(C181,"現在値"),"")</f>
        <v>4358</v>
      </c>
      <c r="F181" s="184">
        <f>IF(C181&lt;&gt;"",_xll.RssMarket(C181,"始値"),"")</f>
        <v>4400</v>
      </c>
      <c r="G181" s="183">
        <f>IF(C181&lt;&gt;"",終値!F83,"")</f>
        <v>4346</v>
      </c>
      <c r="H181" s="184">
        <f>IF(C181&lt;&gt;"",_xll.RssMarket(C181,"高値"),"")</f>
        <v>4435</v>
      </c>
      <c r="I181" s="184">
        <f>IF(C181&lt;&gt;"",_xll.RssMarket(C181,"安値"),"")</f>
        <v>4358</v>
      </c>
      <c r="J181" s="184">
        <f>IF(C181&lt;&gt;"",_xll.RssMarket(C181,"出来高"),"")</f>
        <v>2281300</v>
      </c>
      <c r="K181" s="184">
        <f>IF(C181&lt;&gt;"",_xll.RssMarket(C181,"年初来高値"),"")</f>
        <v>5805</v>
      </c>
      <c r="L181" s="185">
        <f t="shared" si="44"/>
        <v>-24.926787252368648</v>
      </c>
      <c r="M181" s="184">
        <f>IF(C181&lt;&gt;"",IFERROR(AVERAGE(出来高!E83:I83),""),"")</f>
        <v>2391560</v>
      </c>
      <c r="N181" s="184">
        <f>IF(C181&lt;&gt;"",IFERROR(AVERAGE(出来高!E83:AC83),""),"")</f>
        <v>2510420</v>
      </c>
      <c r="O181" s="186">
        <f t="shared" si="45"/>
        <v>0.9538962016424426</v>
      </c>
      <c r="P181" s="181" t="str">
        <f t="shared" si="46"/>
        <v>減少↓</v>
      </c>
      <c r="Q181" s="181" t="str">
        <f t="shared" si="47"/>
        <v>中立→</v>
      </c>
      <c r="R181" s="184">
        <f t="shared" si="61"/>
        <v>4707</v>
      </c>
      <c r="S181" s="184">
        <f t="shared" si="62"/>
        <v>4184</v>
      </c>
      <c r="T181" s="181">
        <f t="shared" si="51"/>
        <v>0</v>
      </c>
      <c r="U181" s="181" t="str">
        <f t="shared" si="63"/>
        <v>除外</v>
      </c>
      <c r="V181" s="181" t="str">
        <f t="shared" si="48"/>
        <v>通常</v>
      </c>
      <c r="W181" s="187">
        <f t="array" ref="W181">IF(C181&lt;&gt;"",IFERROR(100-100/(1+SUMPRODUCT((終値!F83:R83&gt;終値!G83:S83)*( 終値!F83:R83-終値!G83:S83))/SUMPRODUCT((終値!F83:R83&lt;終値!G83:S83)*(終値!G83:S83-終値!F83:R83))),50),"")</f>
        <v>44.310575635876837</v>
      </c>
      <c r="X181" s="188">
        <f>IF(C181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-29.991834468372872</v>
      </c>
      <c r="Y181" s="1" t="str">
        <f>IF(T181="","",IF(銘柄管理!$F$5="下落▼",IF(AND(AD181="パーフェクト▲",OR(AE181="25日線押し目●",AE181="5日線押し目○")),"★逆張り候補",IF(AND(AD181="上昇トレンド▲",OR(AE181="25日線押し目●",AE181="5日線押し目○")),"○逆張り候補",IF(W181&lt;=30,IF(Z181&gt;0,"◎反発確認",IF(Z181&lt;-5,"△要注意・様子見","△売られ過ぎ注目")),"相場下落・見送り"))),IF(AND(T181&gt;=12,AD181="パーフェクト▲"),"★強い買い",IF(AND(T181&gt;=12,AD181="上昇トレンド▲"),"★強い買い",IF(AND(T181&gt;=8,OR(AE181="25日線押し目●",AE181="5日線押し目○")),"◎押し目買い",IF(T181&gt;=10,"○買い候補",IF(T181&gt;=6,"△注目",IF(T181&gt;=3,"様子見","見送り"))))))))</f>
        <v>見送り</v>
      </c>
      <c r="Z181" s="189">
        <f t="shared" si="64"/>
        <v>0.2761159687068569</v>
      </c>
      <c r="AA181" s="181" t="str">
        <f t="shared" si="65"/>
        <v>上昇▲</v>
      </c>
      <c r="AB181" s="499">
        <f>IF(C181="","",IFERROR(((終値!E183*0.333)+(終値!F183*0.222)+(終値!G183*0.148)+(終値!H183*0.099)+(終値!I183*0.066)+(終値!J183*0.044)+(終値!K183*0.029)+(終値!L183*0.019)+(終値!M183*0.013)+(終値!N183*0.009))/(0.333+0.222+0.148+0.099+0.066+0.044+0.029+0.019+0.013+0.009),""))</f>
        <v>14585.773930753561</v>
      </c>
      <c r="AC181" s="499">
        <f>IF(C181="","",IFERROR(SUMPRODUCT((終値!E183:AC183)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14270.7032181168</v>
      </c>
      <c r="AD181" s="500" t="str">
        <f t="shared" si="59"/>
        <v>もみ合い→</v>
      </c>
      <c r="AE181" s="500" t="str">
        <f t="shared" si="60"/>
        <v>なし</v>
      </c>
      <c r="AF181" s="403" cm="1">
        <f t="array" ref="AF181">IF(C181="","",IFERROR((INDEX(終値!$E:$E,MATCH(TEXT(C181,"0"),終値!$A:$A,0))-INDEX(終値!$E:$BL,MATCH(TEXT(C181,"0"),終値!$A:$A,0),$AL$2))/INDEX(終値!$E:$BL,MATCH(TEXT(C181,"0"),終値!$A:$A,0),$AL$2)*100,""))</f>
        <v>-8.7711953108645595</v>
      </c>
      <c r="AG181" s="403" cm="1">
        <f t="array" ref="AG181">IFERROR((終値!$E$5-INDEX(終値!$E$5:$BL$5,1,$AL$2))/INDEX(終値!$E$5:$BL$5,1,$AL$2)*100,"")</f>
        <v>3.4532270246721688</v>
      </c>
      <c r="AH181" s="404">
        <f t="shared" si="52"/>
        <v>-12.224422335536728</v>
      </c>
      <c r="AI181" s="402">
        <f t="shared" si="53"/>
        <v>-2</v>
      </c>
    </row>
    <row r="182" spans="1:35" ht="18" customHeight="1">
      <c r="A182" s="181" t="str">
        <f>IF(銘柄管理!B87&lt;&gt;"",HYPERLINK("https://kabutan.jp/stock/?code="&amp;銘柄管理!B87,"株探"),"")</f>
        <v>株探</v>
      </c>
      <c r="B182" s="182"/>
      <c r="C182" s="183">
        <f>IF(銘柄管理!B87="","",銘柄管理!B87)</f>
        <v>2914</v>
      </c>
      <c r="D182" s="111" t="str">
        <f>IF(銘柄管理!C87="","",銘柄管理!C87)</f>
        <v>日本たばこ産業</v>
      </c>
      <c r="E182" s="184">
        <f>IF(C182&lt;&gt;"",_xll.RssMarket(C182,"現在値"),"")</f>
        <v>6071</v>
      </c>
      <c r="F182" s="184">
        <f>IF(C182&lt;&gt;"",_xll.RssMarket(C182,"始値"),"")</f>
        <v>6133</v>
      </c>
      <c r="G182" s="183">
        <f>IF(C182&lt;&gt;"",終値!F87,"")</f>
        <v>6099</v>
      </c>
      <c r="H182" s="184">
        <f>IF(C182&lt;&gt;"",_xll.RssMarket(C182,"高値"),"")</f>
        <v>6160</v>
      </c>
      <c r="I182" s="184">
        <f>IF(C182&lt;&gt;"",_xll.RssMarket(C182,"安値"),"")</f>
        <v>6071</v>
      </c>
      <c r="J182" s="184">
        <f>IF(C182&lt;&gt;"",_xll.RssMarket(C182,"出来高"),"")</f>
        <v>3469400</v>
      </c>
      <c r="K182" s="184">
        <f>IF(C182&lt;&gt;"",_xll.RssMarket(C182,"年初来高値"),"")</f>
        <v>6474</v>
      </c>
      <c r="L182" s="185">
        <f t="shared" si="44"/>
        <v>-6.2248995983935735</v>
      </c>
      <c r="M182" s="184">
        <f>IF(C182&lt;&gt;"",IFERROR(AVERAGE(出来高!E87:I87),""),"")</f>
        <v>4802240</v>
      </c>
      <c r="N182" s="184">
        <f>IF(C182&lt;&gt;"",IFERROR(AVERAGE(出来高!E87:AC87),""),"")</f>
        <v>4931696</v>
      </c>
      <c r="O182" s="186">
        <f t="shared" si="45"/>
        <v>0.72245452122342901</v>
      </c>
      <c r="P182" s="181" t="str">
        <f t="shared" si="46"/>
        <v>減少↓</v>
      </c>
      <c r="Q182" s="181" t="str">
        <f t="shared" si="47"/>
        <v>様子見▼</v>
      </c>
      <c r="R182" s="184">
        <f t="shared" si="61"/>
        <v>6557</v>
      </c>
      <c r="S182" s="184">
        <f t="shared" si="62"/>
        <v>5828</v>
      </c>
      <c r="T182" s="181">
        <f t="shared" si="51"/>
        <v>3</v>
      </c>
      <c r="U182" s="181" t="str">
        <f t="shared" si="63"/>
        <v>要確認</v>
      </c>
      <c r="V182" s="181" t="str">
        <f t="shared" si="48"/>
        <v>高値圏</v>
      </c>
      <c r="W182" s="187">
        <f t="array" ref="W182">IF(C182&lt;&gt;"",IFERROR(100-100/(1+SUMPRODUCT((終値!F87:R87&gt;終値!G87:S87)*( 終値!F87:R87-終値!G87:S87))/SUMPRODUCT((終値!F87:R87&lt;終値!G87:S87)*(終値!G87:S87-終値!F87:R87))),50),"")</f>
        <v>50.103734439834021</v>
      </c>
      <c r="X182" s="188">
        <f>IF(C182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-9.3974343155305178</v>
      </c>
      <c r="Y182" s="1" t="str">
        <f>IF(T182="","",IF(銘柄管理!$F$5="下落▼",IF(AND(AD182="パーフェクト▲",OR(AE182="25日線押し目●",AE182="5日線押し目○")),"★逆張り候補",IF(AND(AD182="上昇トレンド▲",OR(AE182="25日線押し目●",AE182="5日線押し目○")),"○逆張り候補",IF(W182&lt;=30,IF(Z182&gt;0,"◎反発確認",IF(Z182&lt;-5,"△要注意・様子見","△売られ過ぎ注目")),"相場下落・見送り"))),IF(AND(T182&gt;=12,AD182="パーフェクト▲"),"★強い買い",IF(AND(T182&gt;=12,AD182="上昇トレンド▲"),"★強い買い",IF(AND(T182&gt;=8,OR(AE182="25日線押し目●",AE182="5日線押し目○")),"◎押し目買い",IF(T182&gt;=10,"○買い候補",IF(T182&gt;=6,"△注目",IF(T182&gt;=3,"様子見","見送り"))))))))</f>
        <v>様子見</v>
      </c>
      <c r="Z182" s="189">
        <f t="shared" si="64"/>
        <v>-0.45909165436956878</v>
      </c>
      <c r="AA182" s="181" t="str">
        <f t="shared" si="65"/>
        <v>下落▼</v>
      </c>
      <c r="AB182" s="497">
        <f>IF(C182="","",IFERROR(((終値!E184*0.333)+(終値!F184*0.222)+(終値!G184*0.148)+(終値!H184*0.099)+(終値!I184*0.066)+(終値!J184*0.044)+(終値!K184*0.029)+(終値!L184*0.019)+(終値!M184*0.013)+(終値!N184*0.009))/(0.333+0.222+0.148+0.099+0.066+0.044+0.029+0.019+0.013+0.009),""))</f>
        <v>3351.206720977596</v>
      </c>
      <c r="AC182" s="497">
        <f>IF(C182="","",IFERROR(SUMPRODUCT((終値!E184:AC184)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3422.2133492252674</v>
      </c>
      <c r="AD182" s="498" t="str">
        <f t="shared" si="59"/>
        <v>上昇トレンド▲</v>
      </c>
      <c r="AE182" s="498" t="str">
        <f t="shared" si="60"/>
        <v>なし</v>
      </c>
      <c r="AF182" s="403" cm="1">
        <f t="array" ref="AF182">IF(C182="","",IFERROR((INDEX(終値!$E:$E,MATCH(TEXT(C182,"0"),終値!$A:$A,0))-INDEX(終値!$E:$BL,MATCH(TEXT(C182,"0"),終値!$A:$A,0),$AL$2))/INDEX(終値!$E:$BL,MATCH(TEXT(C182,"0"),終値!$A:$A,0),$AL$2)*100,""))</f>
        <v>-2.9261272785417334</v>
      </c>
      <c r="AG182" s="403" cm="1">
        <f t="array" ref="AG182">IFERROR((終値!$E$5-INDEX(終値!$E$5:$BL$5,1,$AL$2))/INDEX(終値!$E$5:$BL$5,1,$AL$2)*100,"")</f>
        <v>3.4532270246721688</v>
      </c>
      <c r="AH182" s="404">
        <f t="shared" si="52"/>
        <v>-6.3793543032139022</v>
      </c>
      <c r="AI182" s="402">
        <f t="shared" si="53"/>
        <v>-2</v>
      </c>
    </row>
    <row r="183" spans="1:35" ht="18" customHeight="1">
      <c r="A183" s="181" t="str">
        <f>IF(銘柄管理!B94&lt;&gt;"",HYPERLINK("https://kabutan.jp/stock/?code="&amp;銘柄管理!B94,"株探"),"")</f>
        <v>株探</v>
      </c>
      <c r="B183" s="182"/>
      <c r="C183" s="183">
        <f>IF(銘柄管理!B94="","",銘柄管理!B94)</f>
        <v>3407</v>
      </c>
      <c r="D183" s="111" t="str">
        <f>IF(銘柄管理!C94="","",銘柄管理!C94)</f>
        <v>旭化成</v>
      </c>
      <c r="E183" s="184">
        <f>IF(C183&lt;&gt;"",_xll.RssMarket(C183,"現在値"),"")</f>
        <v>1790</v>
      </c>
      <c r="F183" s="184">
        <f>IF(C183&lt;&gt;"",_xll.RssMarket(C183,"始値"),"")</f>
        <v>1765</v>
      </c>
      <c r="G183" s="183">
        <f>IF(C183&lt;&gt;"",終値!F94,"")</f>
        <v>1761.5</v>
      </c>
      <c r="H183" s="184">
        <f>IF(C183&lt;&gt;"",_xll.RssMarket(C183,"高値"),"")</f>
        <v>1790</v>
      </c>
      <c r="I183" s="184">
        <f>IF(C183&lt;&gt;"",_xll.RssMarket(C183,"安値"),"")</f>
        <v>1750</v>
      </c>
      <c r="J183" s="184">
        <f>IF(C183&lt;&gt;"",_xll.RssMarket(C183,"出来高"),"")</f>
        <v>3657500</v>
      </c>
      <c r="K183" s="184">
        <f>IF(C183&lt;&gt;"",_xll.RssMarket(C183,"年初来高値"),"")</f>
        <v>1889</v>
      </c>
      <c r="L183" s="185">
        <f t="shared" si="44"/>
        <v>-5.2408681842244569</v>
      </c>
      <c r="M183" s="184">
        <f>IF(C183&lt;&gt;"",IFERROR(AVERAGE(出来高!E94:I94),""),"")</f>
        <v>4912640</v>
      </c>
      <c r="N183" s="184">
        <f>IF(C183&lt;&gt;"",IFERROR(AVERAGE(出来高!E94:AC94),""),"")</f>
        <v>5742948</v>
      </c>
      <c r="O183" s="186">
        <f t="shared" si="45"/>
        <v>0.74450804455445541</v>
      </c>
      <c r="P183" s="181" t="str">
        <f t="shared" si="46"/>
        <v>減少↓</v>
      </c>
      <c r="Q183" s="181" t="str">
        <f t="shared" si="47"/>
        <v>中立→</v>
      </c>
      <c r="R183" s="184">
        <f t="shared" si="61"/>
        <v>1933</v>
      </c>
      <c r="S183" s="184">
        <f t="shared" si="62"/>
        <v>1718</v>
      </c>
      <c r="T183" s="181">
        <f t="shared" si="51"/>
        <v>4</v>
      </c>
      <c r="U183" s="181" t="str">
        <f t="shared" si="63"/>
        <v>要確認</v>
      </c>
      <c r="V183" s="181" t="str">
        <f t="shared" si="48"/>
        <v>通常</v>
      </c>
      <c r="W183" s="187">
        <f t="array" ref="W183">IF(C183&lt;&gt;"",IFERROR(100-100/(1+SUMPRODUCT((終値!F94:R94&gt;終値!G94:S94)*( 終値!F94:R94-終値!G94:S94))/SUMPRODUCT((終値!F94:R94&lt;終値!G94:S94)*(終値!G94:S94-終値!F94:R94))),50),"")</f>
        <v>48.336594911937375</v>
      </c>
      <c r="X183" s="188">
        <f>IF(C183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8.4256713726770158</v>
      </c>
      <c r="Y183" s="1" t="str">
        <f>IF(T183="","",IF(銘柄管理!$F$5="下落▼",IF(AND(AD183="パーフェクト▲",OR(AE183="25日線押し目●",AE183="5日線押し目○")),"★逆張り候補",IF(AND(AD183="上昇トレンド▲",OR(AE183="25日線押し目●",AE183="5日線押し目○")),"○逆張り候補",IF(W183&lt;=30,IF(Z183&gt;0,"◎反発確認",IF(Z183&lt;-5,"△要注意・様子見","△売られ過ぎ注目")),"相場下落・見送り"))),IF(AND(T183&gt;=12,AD183="パーフェクト▲"),"★強い買い",IF(AND(T183&gt;=12,AD183="上昇トレンド▲"),"★強い買い",IF(AND(T183&gt;=8,OR(AE183="25日線押し目●",AE183="5日線押し目○")),"◎押し目買い",IF(T183&gt;=10,"○買い候補",IF(T183&gt;=6,"△注目",IF(T183&gt;=3,"様子見","見送り"))))))))</f>
        <v>様子見</v>
      </c>
      <c r="Z183" s="189">
        <f t="shared" si="64"/>
        <v>1.6179392563156401</v>
      </c>
      <c r="AA183" s="181" t="str">
        <f t="shared" si="65"/>
        <v>上昇▲</v>
      </c>
      <c r="AB183" s="499">
        <f>IF(C183="","",IFERROR(((終値!E185*0.333)+(終値!F185*0.222)+(終値!G185*0.148)+(終値!H185*0.099)+(終値!I185*0.066)+(終値!J185*0.044)+(終値!K185*0.029)+(終値!L185*0.019)+(終値!M185*0.013)+(終値!N185*0.009))/(0.333+0.222+0.148+0.099+0.066+0.044+0.029+0.019+0.013+0.009),""))</f>
        <v>2233.3727087576372</v>
      </c>
      <c r="AC183" s="499">
        <f>IF(C183="","",IFERROR(SUMPRODUCT((終値!E185:AC185)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2215.8986889153753</v>
      </c>
      <c r="AD183" s="500" t="str">
        <f t="shared" si="59"/>
        <v>もみ合い→</v>
      </c>
      <c r="AE183" s="500" t="str">
        <f t="shared" si="60"/>
        <v>なし</v>
      </c>
      <c r="AF183" s="403" cm="1">
        <f t="array" ref="AF183">IF(C183="","",IFERROR((INDEX(終値!$E:$E,MATCH(TEXT(C183,"0"),終値!$A:$A,0))-INDEX(終値!$E:$BL,MATCH(TEXT(C183,"0"),終値!$A:$A,0),$AL$2))/INDEX(終値!$E:$BL,MATCH(TEXT(C183,"0"),終値!$A:$A,0),$AL$2)*100,""))</f>
        <v>3.5280508964719495</v>
      </c>
      <c r="AG183" s="403" cm="1">
        <f t="array" ref="AG183">IFERROR((終値!$E$5-INDEX(終値!$E$5:$BL$5,1,$AL$2))/INDEX(終値!$E$5:$BL$5,1,$AL$2)*100,"")</f>
        <v>3.4532270246721688</v>
      </c>
      <c r="AH183" s="404">
        <f t="shared" si="52"/>
        <v>7.4823871799780672E-2</v>
      </c>
      <c r="AI183" s="402">
        <f t="shared" si="53"/>
        <v>1</v>
      </c>
    </row>
    <row r="184" spans="1:35" ht="18" customHeight="1">
      <c r="A184" s="181" t="str">
        <f>IF(銘柄管理!B99&lt;&gt;"",HYPERLINK("https://kabutan.jp/stock/?code="&amp;銘柄管理!B99,"株探"),"")</f>
        <v>株探</v>
      </c>
      <c r="B184" s="182"/>
      <c r="C184" s="183">
        <f>IF(銘柄管理!B99="","",銘柄管理!B99)</f>
        <v>4523</v>
      </c>
      <c r="D184" s="111" t="str">
        <f>IF(銘柄管理!C99="","",銘柄管理!C99)</f>
        <v>エーザイ</v>
      </c>
      <c r="E184" s="184">
        <f>IF(C184&lt;&gt;"",_xll.RssMarket(C184,"現在値"),"")</f>
        <v>3829</v>
      </c>
      <c r="F184" s="184">
        <f>IF(C184&lt;&gt;"",_xll.RssMarket(C184,"始値"),"")</f>
        <v>3857</v>
      </c>
      <c r="G184" s="183">
        <f>IF(C184&lt;&gt;"",終値!F99,"")</f>
        <v>3750</v>
      </c>
      <c r="H184" s="184">
        <f>IF(C184&lt;&gt;"",_xll.RssMarket(C184,"高値"),"")</f>
        <v>3886</v>
      </c>
      <c r="I184" s="184">
        <f>IF(C184&lt;&gt;"",_xll.RssMarket(C184,"安値"),"")</f>
        <v>3813</v>
      </c>
      <c r="J184" s="184">
        <f>IF(C184&lt;&gt;"",_xll.RssMarket(C184,"出来高"),"")</f>
        <v>1988700</v>
      </c>
      <c r="K184" s="184">
        <f>IF(C184&lt;&gt;"",_xll.RssMarket(C184,"年初来高値"),"")</f>
        <v>5243</v>
      </c>
      <c r="L184" s="185">
        <f t="shared" si="44"/>
        <v>-26.969292389853138</v>
      </c>
      <c r="M184" s="184">
        <f>IF(C184&lt;&gt;"",IFERROR(AVERAGE(出来高!E99:I99),""),"")</f>
        <v>1868700</v>
      </c>
      <c r="N184" s="184">
        <f>IF(C184&lt;&gt;"",IFERROR(AVERAGE(出来高!E99:AC99),""),"")</f>
        <v>1922584</v>
      </c>
      <c r="O184" s="186">
        <f t="shared" si="45"/>
        <v>1.0642157649703001</v>
      </c>
      <c r="P184" s="181" t="str">
        <f t="shared" si="46"/>
        <v>普通→</v>
      </c>
      <c r="Q184" s="181" t="str">
        <f t="shared" si="47"/>
        <v>中立→</v>
      </c>
      <c r="R184" s="184">
        <f t="shared" si="61"/>
        <v>4135</v>
      </c>
      <c r="S184" s="184">
        <f t="shared" si="62"/>
        <v>3676</v>
      </c>
      <c r="T184" s="181">
        <f t="shared" si="51"/>
        <v>6</v>
      </c>
      <c r="U184" s="181" t="str">
        <f t="shared" si="63"/>
        <v>要確認</v>
      </c>
      <c r="V184" s="181" t="str">
        <f t="shared" si="48"/>
        <v>通常</v>
      </c>
      <c r="W184" s="187">
        <f t="array" ref="W184">IF(C184&lt;&gt;"",IFERROR(100-100/(1+SUMPRODUCT((終値!F99:R99&gt;終値!G99:S99)*( 終値!F99:R99-終値!G99:S99))/SUMPRODUCT((終値!F99:R99&lt;終値!G99:S99)*(終値!G99:S99-終値!F99:R99))),50),"")</f>
        <v>27.335640138408309</v>
      </c>
      <c r="X184" s="188">
        <f>IF(C184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-76.773751288611038</v>
      </c>
      <c r="Y184" s="1" t="str">
        <f>IF(T184="","",IF(銘柄管理!$F$5="下落▼",IF(AND(AD184="パーフェクト▲",OR(AE184="25日線押し目●",AE184="5日線押し目○")),"★逆張り候補",IF(AND(AD184="上昇トレンド▲",OR(AE184="25日線押し目●",AE184="5日線押し目○")),"○逆張り候補",IF(W184&lt;=30,IF(Z184&gt;0,"◎反発確認",IF(Z184&lt;-5,"△要注意・様子見","△売られ過ぎ注目")),"相場下落・見送り"))),IF(AND(T184&gt;=12,AD184="パーフェクト▲"),"★強い買い",IF(AND(T184&gt;=12,AD184="上昇トレンド▲"),"★強い買い",IF(AND(T184&gt;=8,OR(AE184="25日線押し目●",AE184="5日線押し目○")),"◎押し目買い",IF(T184&gt;=10,"○買い候補",IF(T184&gt;=6,"△注目",IF(T184&gt;=3,"様子見","見送り"))))))))</f>
        <v>△注目</v>
      </c>
      <c r="Z184" s="189">
        <f t="shared" si="64"/>
        <v>2.1066666666666669</v>
      </c>
      <c r="AA184" s="181" t="str">
        <f t="shared" si="65"/>
        <v>上昇▲</v>
      </c>
      <c r="AB184" s="497">
        <f>IF(C184="","",IFERROR(((終値!E186*0.333)+(終値!F186*0.222)+(終値!G186*0.148)+(終値!H186*0.099)+(終値!I186*0.066)+(終値!J186*0.044)+(終値!K186*0.029)+(終値!L186*0.019)+(終値!M186*0.013)+(終値!N186*0.009))/(0.333+0.222+0.148+0.099+0.066+0.044+0.029+0.019+0.013+0.009),""))</f>
        <v>1031.2339103869651</v>
      </c>
      <c r="AC184" s="497">
        <f>IF(C184="","",IFERROR(SUMPRODUCT((終値!E186:AC186)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1016.7145411203808</v>
      </c>
      <c r="AD184" s="498" t="str">
        <f t="shared" si="59"/>
        <v>パーフェクト▲</v>
      </c>
      <c r="AE184" s="498" t="str">
        <f t="shared" si="60"/>
        <v>なし</v>
      </c>
      <c r="AF184" s="403" cm="1">
        <f t="array" ref="AF184">IF(C184="","",IFERROR((INDEX(終値!$E:$E,MATCH(TEXT(C184,"0"),終値!$A:$A,0))-INDEX(終値!$E:$BL,MATCH(TEXT(C184,"0"),終値!$A:$A,0),$AL$2))/INDEX(終値!$E:$BL,MATCH(TEXT(C184,"0"),終値!$A:$A,0),$AL$2)*100,""))</f>
        <v>-18.89430205464944</v>
      </c>
      <c r="AG184" s="403" cm="1">
        <f t="array" ref="AG184">IFERROR((終値!$E$5-INDEX(終値!$E$5:$BL$5,1,$AL$2))/INDEX(終値!$E$5:$BL$5,1,$AL$2)*100,"")</f>
        <v>3.4532270246721688</v>
      </c>
      <c r="AH184" s="404">
        <f t="shared" si="52"/>
        <v>-22.34752907932161</v>
      </c>
      <c r="AI184" s="402">
        <f t="shared" si="53"/>
        <v>-2</v>
      </c>
    </row>
    <row r="185" spans="1:35" ht="18" customHeight="1">
      <c r="A185" s="181" t="str">
        <f>IF(銘柄管理!B108&lt;&gt;"",HYPERLINK("https://kabutan.jp/stock/?code="&amp;銘柄管理!B108,"株探"),"")</f>
        <v>株探</v>
      </c>
      <c r="B185" s="182"/>
      <c r="C185" s="183">
        <f>IF(銘柄管理!B108="","",銘柄管理!B108)</f>
        <v>8424</v>
      </c>
      <c r="D185" s="111" t="str">
        <f>IF(銘柄管理!C108="","",銘柄管理!C108)</f>
        <v>芙蓉総合リース</v>
      </c>
      <c r="E185" s="184">
        <f>IF(C185&lt;&gt;"",_xll.RssMarket(C185,"現在値"),"")</f>
        <v>4236</v>
      </c>
      <c r="F185" s="184">
        <f>IF(C185&lt;&gt;"",_xll.RssMarket(C185,"始値"),"")</f>
        <v>4302</v>
      </c>
      <c r="G185" s="183">
        <f>IF(C185&lt;&gt;"",終値!F108,"")</f>
        <v>4281</v>
      </c>
      <c r="H185" s="184">
        <f>IF(C185&lt;&gt;"",_xll.RssMarket(C185,"高値"),"")</f>
        <v>4333</v>
      </c>
      <c r="I185" s="184">
        <f>IF(C185&lt;&gt;"",_xll.RssMarket(C185,"安値"),"")</f>
        <v>4236</v>
      </c>
      <c r="J185" s="184">
        <f>IF(C185&lt;&gt;"",_xll.RssMarket(C185,"出来高"),"")</f>
        <v>168700</v>
      </c>
      <c r="K185" s="184">
        <f>IF(C185&lt;&gt;"",_xll.RssMarket(C185,"年初来高値"),"")</f>
        <v>4664</v>
      </c>
      <c r="L185" s="185">
        <f t="shared" si="44"/>
        <v>-9.1766723842195539</v>
      </c>
      <c r="M185" s="184">
        <f>IF(C185&lt;&gt;"",IFERROR(AVERAGE(出来高!E108:I108),""),"")</f>
        <v>154500</v>
      </c>
      <c r="N185" s="184">
        <f>IF(C185&lt;&gt;"",IFERROR(AVERAGE(出来高!E108:AC108),""),"")</f>
        <v>186856</v>
      </c>
      <c r="O185" s="186">
        <f t="shared" si="45"/>
        <v>1.0919093851132686</v>
      </c>
      <c r="P185" s="181" t="str">
        <f t="shared" si="46"/>
        <v>普通→</v>
      </c>
      <c r="Q185" s="181" t="str">
        <f t="shared" si="47"/>
        <v>様子見▼</v>
      </c>
      <c r="R185" s="184">
        <f t="shared" si="61"/>
        <v>4575</v>
      </c>
      <c r="S185" s="184">
        <f t="shared" si="62"/>
        <v>4067</v>
      </c>
      <c r="T185" s="181">
        <f t="shared" si="51"/>
        <v>2</v>
      </c>
      <c r="U185" s="181" t="str">
        <f t="shared" si="63"/>
        <v>除外</v>
      </c>
      <c r="V185" s="181" t="str">
        <f t="shared" si="48"/>
        <v>通常</v>
      </c>
      <c r="W185" s="187">
        <f t="array" ref="W185">IF(C185&lt;&gt;"",IFERROR(100-100/(1+SUMPRODUCT((終値!F108:R108&gt;終値!G108:S108)*( 終値!F108:R108-終値!G108:S108))/SUMPRODUCT((終値!F108:R108&lt;終値!G108:S108)*(終値!G108:S108-終値!F108:R108))),50),"")</f>
        <v>54.653465346534645</v>
      </c>
      <c r="X185" s="188">
        <f>IF(C185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-8.5874685060834963</v>
      </c>
      <c r="Y185" s="1" t="str">
        <f>IF(T185="","",IF(銘柄管理!$F$5="下落▼",IF(AND(AD185="パーフェクト▲",OR(AE185="25日線押し目●",AE185="5日線押し目○")),"★逆張り候補",IF(AND(AD185="上昇トレンド▲",OR(AE185="25日線押し目●",AE185="5日線押し目○")),"○逆張り候補",IF(W185&lt;=30,IF(Z185&gt;0,"◎反発確認",IF(Z185&lt;-5,"△要注意・様子見","△売られ過ぎ注目")),"相場下落・見送り"))),IF(AND(T185&gt;=12,AD185="パーフェクト▲"),"★強い買い",IF(AND(T185&gt;=12,AD185="上昇トレンド▲"),"★強い買い",IF(AND(T185&gt;=8,OR(AE185="25日線押し目●",AE185="5日線押し目○")),"◎押し目買い",IF(T185&gt;=10,"○買い候補",IF(T185&gt;=6,"△注目",IF(T185&gt;=3,"様子見","見送り"))))))))</f>
        <v>見送り</v>
      </c>
      <c r="Z185" s="189">
        <f t="shared" si="64"/>
        <v>-1.051156271899089</v>
      </c>
      <c r="AA185" s="181" t="str">
        <f t="shared" si="65"/>
        <v>下落▼</v>
      </c>
      <c r="AB185" s="499">
        <f>IF(C185="","",IFERROR(((終値!E187*0.333)+(終値!F187*0.222)+(終値!G187*0.148)+(終値!H187*0.099)+(終値!I187*0.066)+(終値!J187*0.044)+(終値!K187*0.029)+(終値!L187*0.019)+(終値!M187*0.013)+(終値!N187*0.009))/(0.333+0.222+0.148+0.099+0.066+0.044+0.029+0.019+0.013+0.009),""))</f>
        <v>642.39154786150709</v>
      </c>
      <c r="AC185" s="499">
        <f>IF(C185="","",IFERROR(SUMPRODUCT((終値!E187:AC187)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644.40119189511279</v>
      </c>
      <c r="AD185" s="500" t="str">
        <f t="shared" si="59"/>
        <v>上昇トレンド▲</v>
      </c>
      <c r="AE185" s="500" t="str">
        <f t="shared" si="60"/>
        <v>なし</v>
      </c>
      <c r="AF185" s="403" cm="1">
        <f t="array" ref="AF185">IF(C185="","",IFERROR((INDEX(終値!$E:$E,MATCH(TEXT(C185,"0"),終値!$A:$A,0))-INDEX(終値!$E:$BL,MATCH(TEXT(C185,"0"),終値!$A:$A,0),$AL$2))/INDEX(終値!$E:$BL,MATCH(TEXT(C185,"0"),終値!$A:$A,0),$AL$2)*100,""))</f>
        <v>-3.5958124715521165</v>
      </c>
      <c r="AG185" s="403" cm="1">
        <f t="array" ref="AG185">IFERROR((終値!$E$5-INDEX(終値!$E$5:$BL$5,1,$AL$2))/INDEX(終値!$E$5:$BL$5,1,$AL$2)*100,"")</f>
        <v>3.4532270246721688</v>
      </c>
      <c r="AH185" s="404">
        <f t="shared" si="52"/>
        <v>-7.0490394962242853</v>
      </c>
      <c r="AI185" s="402">
        <f t="shared" si="53"/>
        <v>-2</v>
      </c>
    </row>
    <row r="186" spans="1:35" ht="18" customHeight="1">
      <c r="A186" s="181" t="str">
        <f>IF(銘柄管理!B128&lt;&gt;"",HYPERLINK("https://kabutan.jp/stock/?code="&amp;銘柄管理!B128,"株探"),"")</f>
        <v>株探</v>
      </c>
      <c r="B186" s="182"/>
      <c r="C186" s="183">
        <f>IF(銘柄管理!B128="","",銘柄管理!B128)</f>
        <v>6330</v>
      </c>
      <c r="D186" s="111" t="str">
        <f>IF(銘柄管理!C128="","",銘柄管理!C128)</f>
        <v>東洋エンジニア</v>
      </c>
      <c r="E186" s="184">
        <f>IF(C186&lt;&gt;"",_xll.RssMarket(C186,"現在値"),"")</f>
        <v>2198</v>
      </c>
      <c r="F186" s="184">
        <f>IF(C186&lt;&gt;"",_xll.RssMarket(C186,"始値"),"")</f>
        <v>2091</v>
      </c>
      <c r="G186" s="183">
        <f>IF(C186&lt;&gt;"",終値!F128,"")</f>
        <v>2088</v>
      </c>
      <c r="H186" s="184">
        <f>IF(C186&lt;&gt;"",_xll.RssMarket(C186,"高値"),"")</f>
        <v>2266</v>
      </c>
      <c r="I186" s="184">
        <f>IF(C186&lt;&gt;"",_xll.RssMarket(C186,"安値"),"")</f>
        <v>2091</v>
      </c>
      <c r="J186" s="184">
        <f>IF(C186&lt;&gt;"",_xll.RssMarket(C186,"出来高"),"")</f>
        <v>1837600</v>
      </c>
      <c r="K186" s="184">
        <f>IF(C186&lt;&gt;"",_xll.RssMarket(C186,"年初来高値"),"")</f>
        <v>8760</v>
      </c>
      <c r="L186" s="185">
        <f t="shared" si="44"/>
        <v>-74.908675799086751</v>
      </c>
      <c r="M186" s="184">
        <f>IF(C186&lt;&gt;"",IFERROR(AVERAGE(出来高!E128:I128),""),"")</f>
        <v>1259820</v>
      </c>
      <c r="N186" s="184">
        <f>IF(C186&lt;&gt;"",IFERROR(AVERAGE(出来高!E128:AC128),""),"")</f>
        <v>1765608</v>
      </c>
      <c r="O186" s="186">
        <f t="shared" si="45"/>
        <v>1.4586210728516773</v>
      </c>
      <c r="P186" s="181" t="str">
        <f t="shared" si="46"/>
        <v>普通→</v>
      </c>
      <c r="Q186" s="181" t="str">
        <f t="shared" si="47"/>
        <v>中立→</v>
      </c>
      <c r="R186" s="184">
        <f t="shared" si="61"/>
        <v>2374</v>
      </c>
      <c r="S186" s="184">
        <f t="shared" si="62"/>
        <v>2110</v>
      </c>
      <c r="T186" s="181">
        <f t="shared" si="51"/>
        <v>4</v>
      </c>
      <c r="U186" s="181" t="str">
        <f t="shared" si="63"/>
        <v>要確認</v>
      </c>
      <c r="V186" s="181" t="str">
        <f t="shared" si="48"/>
        <v>通常</v>
      </c>
      <c r="W186" s="187">
        <f t="array" ref="W186">IF(C186&lt;&gt;"",IFERROR(100-100/(1+SUMPRODUCT((終値!F128:R128&gt;終値!G128:S128)*( 終値!F128:R128-終値!G128:S128))/SUMPRODUCT((終値!F128:R128&lt;終値!G128:S128)*(終値!G128:S128-終値!F128:R128))),50),"")</f>
        <v>45.948717948717949</v>
      </c>
      <c r="X186" s="188">
        <f>IF(C186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-16.152659419914471</v>
      </c>
      <c r="Y186" s="1" t="str">
        <f>IF(T186="","",IF(銘柄管理!$F$5="下落▼",IF(AND(AD186="パーフェクト▲",OR(AE186="25日線押し目●",AE186="5日線押し目○")),"★逆張り候補",IF(AND(AD186="上昇トレンド▲",OR(AE186="25日線押し目●",AE186="5日線押し目○")),"○逆張り候補",IF(W186&lt;=30,IF(Z186&gt;0,"◎反発確認",IF(Z186&lt;-5,"△要注意・様子見","△売られ過ぎ注目")),"相場下落・見送り"))),IF(AND(T186&gt;=12,AD186="パーフェクト▲"),"★強い買い",IF(AND(T186&gt;=12,AD186="上昇トレンド▲"),"★強い買い",IF(AND(T186&gt;=8,OR(AE186="25日線押し目●",AE186="5日線押し目○")),"◎押し目買い",IF(T186&gt;=10,"○買い候補",IF(T186&gt;=6,"△注目",IF(T186&gt;=3,"様子見","見送り"))))))))</f>
        <v>様子見</v>
      </c>
      <c r="Z186" s="189">
        <f t="shared" si="64"/>
        <v>5.2681992337164747</v>
      </c>
      <c r="AA186" s="181" t="str">
        <f t="shared" si="65"/>
        <v>上昇▲</v>
      </c>
      <c r="AB186" s="497">
        <f>IF(C186="","",IFERROR(((終値!E188*0.333)+(終値!F188*0.222)+(終値!G188*0.148)+(終値!H188*0.099)+(終値!I188*0.066)+(終値!J188*0.044)+(終値!K188*0.029)+(終値!L188*0.019)+(終値!M188*0.013)+(終値!N188*0.009))/(0.333+0.222+0.148+0.099+0.066+0.044+0.029+0.019+0.013+0.009),""))</f>
        <v>609.63217922606918</v>
      </c>
      <c r="AC186" s="497">
        <f>IF(C186="","",IFERROR(SUMPRODUCT((終値!E188:AC188)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624.30631704409996</v>
      </c>
      <c r="AD186" s="498" t="str">
        <f t="shared" si="59"/>
        <v>上昇トレンド▲</v>
      </c>
      <c r="AE186" s="498" t="str">
        <f t="shared" si="60"/>
        <v>なし</v>
      </c>
      <c r="AF186" s="403" cm="1">
        <f t="array" ref="AF186">IF(C186="","",IFERROR((INDEX(終値!$E:$E,MATCH(TEXT(C186,"0"),終値!$A:$A,0))-INDEX(終値!$E:$BL,MATCH(TEXT(C186,"0"),終値!$A:$A,0),$AL$2))/INDEX(終値!$E:$BL,MATCH(TEXT(C186,"0"),終値!$A:$A,0),$AL$2)*100,""))</f>
        <v>2.1850302185030217</v>
      </c>
      <c r="AG186" s="403" cm="1">
        <f t="array" ref="AG186">IFERROR((終値!$E$5-INDEX(終値!$E$5:$BL$5,1,$AL$2))/INDEX(終値!$E$5:$BL$5,1,$AL$2)*100,"")</f>
        <v>3.4532270246721688</v>
      </c>
      <c r="AH186" s="404">
        <f t="shared" si="52"/>
        <v>-1.2681968061691471</v>
      </c>
      <c r="AI186" s="402">
        <f t="shared" si="53"/>
        <v>-1</v>
      </c>
    </row>
    <row r="187" spans="1:35" ht="18" customHeight="1">
      <c r="A187" s="181" t="str">
        <f>IF(銘柄管理!B131&lt;&gt;"",HYPERLINK("https://kabutan.jp/stock/?code="&amp;銘柄管理!B131,"株探"),"")</f>
        <v>株探</v>
      </c>
      <c r="B187" s="182"/>
      <c r="C187" s="183">
        <f>IF(銘柄管理!B131="","",銘柄管理!B131)</f>
        <v>2160</v>
      </c>
      <c r="D187" s="111" t="str">
        <f>IF(銘柄管理!C131="","",銘柄管理!C131)</f>
        <v>ジーエヌアイグループ</v>
      </c>
      <c r="E187" s="184">
        <f>IF(C187&lt;&gt;"",_xll.RssMarket(C187,"現在値"),"")</f>
        <v>2542</v>
      </c>
      <c r="F187" s="184">
        <f>IF(C187&lt;&gt;"",_xll.RssMarket(C187,"始値"),"")</f>
        <v>2500</v>
      </c>
      <c r="G187" s="183">
        <f>IF(C187&lt;&gt;"",終値!F131,"")</f>
        <v>2493</v>
      </c>
      <c r="H187" s="184">
        <f>IF(C187&lt;&gt;"",_xll.RssMarket(C187,"高値"),"")</f>
        <v>2595</v>
      </c>
      <c r="I187" s="184">
        <f>IF(C187&lt;&gt;"",_xll.RssMarket(C187,"安値"),"")</f>
        <v>2500</v>
      </c>
      <c r="J187" s="184">
        <f>IF(C187&lt;&gt;"",_xll.RssMarket(C187,"出来高"),"")</f>
        <v>850200</v>
      </c>
      <c r="K187" s="184">
        <f>IF(C187&lt;&gt;"",_xll.RssMarket(C187,"年初来高値"),"")</f>
        <v>3740</v>
      </c>
      <c r="L187" s="185">
        <f t="shared" si="44"/>
        <v>-32.032085561497325</v>
      </c>
      <c r="M187" s="184">
        <f>IF(C187&lt;&gt;"",IFERROR(AVERAGE(出来高!E131:I131),""),"")</f>
        <v>1385340</v>
      </c>
      <c r="N187" s="184">
        <f>IF(C187&lt;&gt;"",IFERROR(AVERAGE(出来高!E131:AC131),""),"")</f>
        <v>1349864</v>
      </c>
      <c r="O187" s="186">
        <f t="shared" si="45"/>
        <v>0.61371215730434403</v>
      </c>
      <c r="P187" s="181" t="str">
        <f t="shared" si="46"/>
        <v>減少↓</v>
      </c>
      <c r="Q187" s="181" t="str">
        <f t="shared" si="47"/>
        <v>中立→</v>
      </c>
      <c r="R187" s="184">
        <f t="shared" si="61"/>
        <v>2745</v>
      </c>
      <c r="S187" s="184">
        <f t="shared" si="62"/>
        <v>2440</v>
      </c>
      <c r="T187" s="181">
        <f t="shared" si="51"/>
        <v>3</v>
      </c>
      <c r="U187" s="181" t="str">
        <f t="shared" si="63"/>
        <v>要確認</v>
      </c>
      <c r="V187" s="181" t="str">
        <f t="shared" si="48"/>
        <v>通常</v>
      </c>
      <c r="W187" s="187">
        <f t="array" ref="W187">IF(C187&lt;&gt;"",IFERROR(100-100/(1+SUMPRODUCT((終値!F131:R131&gt;終値!G131:S131)*( 終値!F131:R131-終値!G131:S131))/SUMPRODUCT((終値!F131:R131&lt;終値!G131:S131)*(終値!G131:S131-終値!F131:R131))),50),"")</f>
        <v>31.400437636761495</v>
      </c>
      <c r="X187" s="188">
        <f>IF(C187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-29.731835025612327</v>
      </c>
      <c r="Y187" s="1" t="str">
        <f>IF(T187="","",IF(銘柄管理!$F$5="下落▼",IF(AND(AD187="パーフェクト▲",OR(AE187="25日線押し目●",AE187="5日線押し目○")),"★逆張り候補",IF(AND(AD187="上昇トレンド▲",OR(AE187="25日線押し目●",AE187="5日線押し目○")),"○逆張り候補",IF(W187&lt;=30,IF(Z187&gt;0,"◎反発確認",IF(Z187&lt;-5,"△要注意・様子見","△売られ過ぎ注目")),"相場下落・見送り"))),IF(AND(T187&gt;=12,AD187="パーフェクト▲"),"★強い買い",IF(AND(T187&gt;=12,AD187="上昇トレンド▲"),"★強い買い",IF(AND(T187&gt;=8,OR(AE187="25日線押し目●",AE187="5日線押し目○")),"◎押し目買い",IF(T187&gt;=10,"○買い候補",IF(T187&gt;=6,"△注目",IF(T187&gt;=3,"様子見","見送り"))))))))</f>
        <v>様子見</v>
      </c>
      <c r="Z187" s="189">
        <f t="shared" si="64"/>
        <v>1.965503409546731</v>
      </c>
      <c r="AA187" s="181" t="str">
        <f t="shared" si="65"/>
        <v>上昇▲</v>
      </c>
      <c r="AB187" s="499">
        <f>IF(C187="","",IFERROR(((終値!E189*0.333)+(終値!F189*0.222)+(終値!G189*0.148)+(終値!H189*0.099)+(終値!I189*0.066)+(終値!J189*0.044)+(終値!K189*0.029)+(終値!L189*0.019)+(終値!M189*0.013)+(終値!N189*0.009))/(0.333+0.222+0.148+0.099+0.066+0.044+0.029+0.019+0.013+0.009),""))</f>
        <v>1783.5122199592668</v>
      </c>
      <c r="AC187" s="499">
        <f>IF(C187="","",IFERROR(SUMPRODUCT((終値!E189:AC189)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1786.4404052443381</v>
      </c>
      <c r="AD187" s="500" t="str">
        <f t="shared" si="59"/>
        <v>上昇トレンド▲</v>
      </c>
      <c r="AE187" s="500" t="str">
        <f t="shared" si="60"/>
        <v>なし</v>
      </c>
      <c r="AF187" s="403" cm="1">
        <f t="array" ref="AF187">IF(C187="","",IFERROR((INDEX(終値!$E:$E,MATCH(TEXT(C187,"0"),終値!$A:$A,0))-INDEX(終値!$E:$BL,MATCH(TEXT(C187,"0"),終値!$A:$A,0),$AL$2))/INDEX(終値!$E:$BL,MATCH(TEXT(C187,"0"),終値!$A:$A,0),$AL$2)*100,""))</f>
        <v>-15.688225538971809</v>
      </c>
      <c r="AG187" s="403" cm="1">
        <f t="array" ref="AG187">IFERROR((終値!$E$5-INDEX(終値!$E$5:$BL$5,1,$AL$2))/INDEX(終値!$E$5:$BL$5,1,$AL$2)*100,"")</f>
        <v>3.4532270246721688</v>
      </c>
      <c r="AH187" s="404">
        <f t="shared" si="52"/>
        <v>-19.141452563643977</v>
      </c>
      <c r="AI187" s="402">
        <f t="shared" si="53"/>
        <v>-2</v>
      </c>
    </row>
    <row r="188" spans="1:35" ht="18" customHeight="1">
      <c r="A188" s="181" t="str">
        <f>IF(銘柄管理!B139&lt;&gt;"",HYPERLINK("https://kabutan.jp/stock/?code="&amp;銘柄管理!B139,"株探"),"")</f>
        <v>株探</v>
      </c>
      <c r="B188" s="182"/>
      <c r="C188" s="183">
        <f>IF(銘柄管理!B139="","",銘柄管理!B139)</f>
        <v>4422</v>
      </c>
      <c r="D188" s="111" t="str">
        <f>IF(銘柄管理!C139="","",銘柄管理!C139)</f>
        <v>ＶＡＬＵＥＮＥＸ</v>
      </c>
      <c r="E188" s="184">
        <f>IF(C188&lt;&gt;"",_xll.RssMarket(C188,"現在値"),"")</f>
        <v>632</v>
      </c>
      <c r="F188" s="184">
        <f>IF(C188&lt;&gt;"",_xll.RssMarket(C188,"始値"),"")</f>
        <v>665</v>
      </c>
      <c r="G188" s="183">
        <f>IF(C188&lt;&gt;"",終値!F139,"")</f>
        <v>625</v>
      </c>
      <c r="H188" s="184">
        <f>IF(C188&lt;&gt;"",_xll.RssMarket(C188,"高値"),"")</f>
        <v>703</v>
      </c>
      <c r="I188" s="184">
        <f>IF(C188&lt;&gt;"",_xll.RssMarket(C188,"安値"),"")</f>
        <v>632</v>
      </c>
      <c r="J188" s="184">
        <f>IF(C188&lt;&gt;"",_xll.RssMarket(C188,"出来高"),"")</f>
        <v>243000</v>
      </c>
      <c r="K188" s="184">
        <f>IF(C188&lt;&gt;"",_xll.RssMarket(C188,"年初来高値"),"")</f>
        <v>1630</v>
      </c>
      <c r="L188" s="185">
        <f t="shared" si="44"/>
        <v>-61.226993865030678</v>
      </c>
      <c r="M188" s="184">
        <f>IF(C188&lt;&gt;"",IFERROR(AVERAGE(出来高!E139:I139),""),"")</f>
        <v>419500</v>
      </c>
      <c r="N188" s="184">
        <f>IF(C188&lt;&gt;"",IFERROR(AVERAGE(出来高!E139:AC139),""),"")</f>
        <v>309916</v>
      </c>
      <c r="O188" s="186">
        <f t="shared" si="45"/>
        <v>0.57926102502979737</v>
      </c>
      <c r="P188" s="181" t="str">
        <f t="shared" si="46"/>
        <v>減少↓</v>
      </c>
      <c r="Q188" s="181" t="str">
        <f t="shared" si="47"/>
        <v>中立→</v>
      </c>
      <c r="R188" s="184">
        <f t="shared" si="61"/>
        <v>683</v>
      </c>
      <c r="S188" s="184">
        <f t="shared" si="62"/>
        <v>607</v>
      </c>
      <c r="T188" s="181">
        <f t="shared" si="51"/>
        <v>1</v>
      </c>
      <c r="U188" s="181" t="str">
        <f t="shared" si="63"/>
        <v>除外</v>
      </c>
      <c r="V188" s="181" t="str">
        <f t="shared" si="48"/>
        <v>通常</v>
      </c>
      <c r="W188" s="187">
        <f t="array" ref="W188">IF(C188&lt;&gt;"",IFERROR(100-100/(1+SUMPRODUCT((終値!F139:R139&gt;終値!G139:S139)*( 終値!F139:R139-終値!G139:S139))/SUMPRODUCT((終値!F139:R139&lt;終値!G139:S139)*(終値!G139:S139-終値!F139:R139))),50),"")</f>
        <v>36.953807740324599</v>
      </c>
      <c r="X188" s="188">
        <f>IF(C188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-18.735061037497871</v>
      </c>
      <c r="Y188" s="1" t="str">
        <f>IF(T188="","",IF(銘柄管理!$F$5="下落▼",IF(AND(AD188="パーフェクト▲",OR(AE188="25日線押し目●",AE188="5日線押し目○")),"★逆張り候補",IF(AND(AD188="上昇トレンド▲",OR(AE188="25日線押し目●",AE188="5日線押し目○")),"○逆張り候補",IF(W188&lt;=30,IF(Z188&gt;0,"◎反発確認",IF(Z188&lt;-5,"△要注意・様子見","△売られ過ぎ注目")),"相場下落・見送り"))),IF(AND(T188&gt;=12,AD188="パーフェクト▲"),"★強い買い",IF(AND(T188&gt;=12,AD188="上昇トレンド▲"),"★強い買い",IF(AND(T188&gt;=8,OR(AE188="25日線押し目●",AE188="5日線押し目○")),"◎押し目買い",IF(T188&gt;=10,"○買い候補",IF(T188&gt;=6,"△注目",IF(T188&gt;=3,"様子見","見送り"))))))))</f>
        <v>見送り</v>
      </c>
      <c r="Z188" s="189">
        <f t="shared" si="64"/>
        <v>1.1199999999999999</v>
      </c>
      <c r="AA188" s="181" t="str">
        <f t="shared" si="65"/>
        <v>上昇▲</v>
      </c>
      <c r="AB188" s="497">
        <f>IF(C188="","",IFERROR(((終値!E190*0.333)+(終値!F190*0.222)+(終値!G190*0.148)+(終値!H190*0.099)+(終値!I190*0.066)+(終値!J190*0.044)+(終値!K190*0.029)+(終値!L190*0.019)+(終値!M190*0.013)+(終値!N190*0.009))/(0.333+0.222+0.148+0.099+0.066+0.044+0.029+0.019+0.013+0.009),""))</f>
        <v>1525.3340122199588</v>
      </c>
      <c r="AC188" s="497">
        <f>IF(C188="","",IFERROR(SUMPRODUCT((終値!E190:AC190)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1495.9278903456482</v>
      </c>
      <c r="AD188" s="498" t="str">
        <f t="shared" si="59"/>
        <v>もみ合い→</v>
      </c>
      <c r="AE188" s="498" t="str">
        <f t="shared" si="60"/>
        <v>なし</v>
      </c>
      <c r="AF188" s="403" cm="1">
        <f t="array" ref="AF188">IF(C188="","",IFERROR((INDEX(終値!$E:$E,MATCH(TEXT(C188,"0"),終値!$A:$A,0))-INDEX(終値!$E:$BL,MATCH(TEXT(C188,"0"),終値!$A:$A,0),$AL$2))/INDEX(終値!$E:$BL,MATCH(TEXT(C188,"0"),終値!$A:$A,0),$AL$2)*100,""))</f>
        <v>-26.851851851851855</v>
      </c>
      <c r="AG188" s="403" cm="1">
        <f t="array" ref="AG188">IFERROR((終値!$E$5-INDEX(終値!$E$5:$BL$5,1,$AL$2))/INDEX(終値!$E$5:$BL$5,1,$AL$2)*100,"")</f>
        <v>3.4532270246721688</v>
      </c>
      <c r="AH188" s="404">
        <f t="shared" si="52"/>
        <v>-30.305078876524025</v>
      </c>
      <c r="AI188" s="402">
        <f t="shared" si="53"/>
        <v>-2</v>
      </c>
    </row>
    <row r="189" spans="1:35" ht="18" customHeight="1">
      <c r="A189" s="181" t="str">
        <f>IF(銘柄管理!B140&lt;&gt;"",HYPERLINK("https://kabutan.jp/stock/?code="&amp;銘柄管理!B140,"株探"),"")</f>
        <v>株探</v>
      </c>
      <c r="B189" s="182"/>
      <c r="C189" s="183">
        <f>IF(銘柄管理!B140="","",銘柄管理!B140)</f>
        <v>6740</v>
      </c>
      <c r="D189" s="111" t="str">
        <f>IF(銘柄管理!C140="","",銘柄管理!C140)</f>
        <v>ジャパンディスプレイ</v>
      </c>
      <c r="E189" s="184">
        <f>IF(C189&lt;&gt;"",_xll.RssMarket(C189,"現在値"),"")</f>
        <v>51</v>
      </c>
      <c r="F189" s="184">
        <f>IF(C189&lt;&gt;"",_xll.RssMarket(C189,"始値"),"")</f>
        <v>45</v>
      </c>
      <c r="G189" s="183">
        <f>IF(C189&lt;&gt;"",終値!F140,"")</f>
        <v>45</v>
      </c>
      <c r="H189" s="184">
        <f>IF(C189&lt;&gt;"",_xll.RssMarket(C189,"高値"),"")</f>
        <v>53</v>
      </c>
      <c r="I189" s="184">
        <f>IF(C189&lt;&gt;"",_xll.RssMarket(C189,"安値"),"")</f>
        <v>44</v>
      </c>
      <c r="J189" s="184">
        <f>IF(C189&lt;&gt;"",_xll.RssMarket(C189,"出来高"),"")</f>
        <v>38359900</v>
      </c>
      <c r="K189" s="184">
        <f>IF(C189&lt;&gt;"",_xll.RssMarket(C189,"年初来高値"),"")</f>
        <v>164</v>
      </c>
      <c r="L189" s="185">
        <f t="shared" si="44"/>
        <v>-68.902439024390233</v>
      </c>
      <c r="M189" s="184">
        <f>IF(C189&lt;&gt;"",IFERROR(AVERAGE(出来高!E140:I140),""),"")</f>
        <v>61438120</v>
      </c>
      <c r="N189" s="184">
        <f>IF(C189&lt;&gt;"",IFERROR(AVERAGE(出来高!E140:AC140),""),"")</f>
        <v>62163580</v>
      </c>
      <c r="O189" s="186">
        <f t="shared" si="45"/>
        <v>0.62436643569171713</v>
      </c>
      <c r="P189" s="181" t="str">
        <f t="shared" si="46"/>
        <v>減少↓</v>
      </c>
      <c r="Q189" s="181" t="str">
        <f t="shared" si="47"/>
        <v>中立→</v>
      </c>
      <c r="R189" s="184">
        <f t="shared" si="61"/>
        <v>55</v>
      </c>
      <c r="S189" s="184">
        <f t="shared" si="62"/>
        <v>49</v>
      </c>
      <c r="T189" s="181">
        <f t="shared" si="51"/>
        <v>2</v>
      </c>
      <c r="U189" s="181" t="str">
        <f t="shared" si="63"/>
        <v>除外</v>
      </c>
      <c r="V189" s="181" t="str">
        <f t="shared" si="48"/>
        <v>通常</v>
      </c>
      <c r="W189" s="187">
        <f t="array" ref="W189">IF(C189&lt;&gt;"",IFERROR(100-100/(1+SUMPRODUCT((終値!F140:R140&gt;終値!G140:S140)*( 終値!F140:R140-終値!G140:S140))/SUMPRODUCT((終値!F140:R140&lt;終値!G140:S140)*(終値!G140:S140-終値!F140:R140))),50),"")</f>
        <v>26.31578947368422</v>
      </c>
      <c r="X189" s="188">
        <f>IF(C189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-2.7159676642559276</v>
      </c>
      <c r="Y189" s="1" t="str">
        <f>IF(T189="","",IF(銘柄管理!$F$5="下落▼",IF(AND(AD189="パーフェクト▲",OR(AE189="25日線押し目●",AE189="5日線押し目○")),"★逆張り候補",IF(AND(AD189="上昇トレンド▲",OR(AE189="25日線押し目●",AE189="5日線押し目○")),"○逆張り候補",IF(W189&lt;=30,IF(Z189&gt;0,"◎反発確認",IF(Z189&lt;-5,"△要注意・様子見","△売られ過ぎ注目")),"相場下落・見送り"))),IF(AND(T189&gt;=12,AD189="パーフェクト▲"),"★強い買い",IF(AND(T189&gt;=12,AD189="上昇トレンド▲"),"★強い買い",IF(AND(T189&gt;=8,OR(AE189="25日線押し目●",AE189="5日線押し目○")),"◎押し目買い",IF(T189&gt;=10,"○買い候補",IF(T189&gt;=6,"△注目",IF(T189&gt;=3,"様子見","見送り"))))))))</f>
        <v>見送り</v>
      </c>
      <c r="Z189" s="189">
        <f t="shared" si="64"/>
        <v>13.333333333333334</v>
      </c>
      <c r="AA189" s="181" t="str">
        <f t="shared" si="65"/>
        <v>上昇▲</v>
      </c>
      <c r="AB189" s="499">
        <f>IF(C189="","",IFERROR(((終値!E191*0.333)+(終値!F191*0.222)+(終値!G191*0.148)+(終値!H191*0.099)+(終値!I191*0.066)+(終値!J191*0.044)+(終値!K191*0.029)+(終値!L191*0.019)+(終値!M191*0.013)+(終値!N191*0.009))/(0.333+0.222+0.148+0.099+0.066+0.044+0.029+0.019+0.013+0.009),""))</f>
        <v>1438.0264765784109</v>
      </c>
      <c r="AC189" s="499">
        <f>IF(C189="","",IFERROR(SUMPRODUCT((終値!E191:AC191)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1432.8760429082233</v>
      </c>
      <c r="AD189" s="500" t="str">
        <f t="shared" si="59"/>
        <v>もみ合い→</v>
      </c>
      <c r="AE189" s="500" t="str">
        <f t="shared" si="60"/>
        <v>なし</v>
      </c>
      <c r="AF189" s="403" cm="1">
        <f t="array" ref="AF189">IF(C189="","",IFERROR((INDEX(終値!$E:$E,MATCH(TEXT(C189,"0"),終値!$A:$A,0))-INDEX(終値!$E:$BL,MATCH(TEXT(C189,"0"),終値!$A:$A,0),$AL$2))/INDEX(終値!$E:$BL,MATCH(TEXT(C189,"0"),終値!$A:$A,0),$AL$2)*100,""))</f>
        <v>-32</v>
      </c>
      <c r="AG189" s="403" cm="1">
        <f t="array" ref="AG189">IFERROR((終値!$E$5-INDEX(終値!$E$5:$BL$5,1,$AL$2))/INDEX(終値!$E$5:$BL$5,1,$AL$2)*100,"")</f>
        <v>3.4532270246721688</v>
      </c>
      <c r="AH189" s="404">
        <f t="shared" si="52"/>
        <v>-35.453227024672167</v>
      </c>
      <c r="AI189" s="402">
        <f t="shared" si="53"/>
        <v>-2</v>
      </c>
    </row>
    <row r="190" spans="1:35" ht="18" customHeight="1">
      <c r="A190" s="181" t="str">
        <f>IF(銘柄管理!B149&lt;&gt;"",HYPERLINK("https://kabutan.jp/stock/?code="&amp;銘柄管理!B149,"株探"),"")</f>
        <v>株探</v>
      </c>
      <c r="B190" s="182"/>
      <c r="C190" s="183">
        <f>IF(銘柄管理!B149="","",銘柄管理!B149)</f>
        <v>7375</v>
      </c>
      <c r="D190" s="111" t="str">
        <f>IF(銘柄管理!C149="","",銘柄管理!C149)</f>
        <v>リファインバースグループ</v>
      </c>
      <c r="E190" s="184">
        <f>IF(C190&lt;&gt;"",_xll.RssMarket(C190,"現在値"),"")</f>
        <v>1329</v>
      </c>
      <c r="F190" s="184">
        <f>IF(C190&lt;&gt;"",_xll.RssMarket(C190,"始値"),"")</f>
        <v>1312</v>
      </c>
      <c r="G190" s="183">
        <f>IF(C190&lt;&gt;"",終値!F149,"")</f>
        <v>1325</v>
      </c>
      <c r="H190" s="184">
        <f>IF(C190&lt;&gt;"",_xll.RssMarket(C190,"高値"),"")</f>
        <v>1369</v>
      </c>
      <c r="I190" s="184">
        <f>IF(C190&lt;&gt;"",_xll.RssMarket(C190,"安値"),"")</f>
        <v>1312</v>
      </c>
      <c r="J190" s="184">
        <f>IF(C190&lt;&gt;"",_xll.RssMarket(C190,"出来高"),"")</f>
        <v>59600</v>
      </c>
      <c r="K190" s="184">
        <f>IF(C190&lt;&gt;"",_xll.RssMarket(C190,"年初来高値"),"")</f>
        <v>2660</v>
      </c>
      <c r="L190" s="185">
        <f t="shared" si="44"/>
        <v>-50.037593984962406</v>
      </c>
      <c r="M190" s="184">
        <f>IF(C190&lt;&gt;"",IFERROR(AVERAGE(出来高!E149:I149),""),"")</f>
        <v>84340</v>
      </c>
      <c r="N190" s="184">
        <f>IF(C190&lt;&gt;"",IFERROR(AVERAGE(出来高!E149:AC149),""),"")</f>
        <v>211364</v>
      </c>
      <c r="O190" s="186">
        <f t="shared" si="45"/>
        <v>0.70666350486127583</v>
      </c>
      <c r="P190" s="181" t="str">
        <f t="shared" si="46"/>
        <v>減少↓</v>
      </c>
      <c r="Q190" s="181" t="str">
        <f t="shared" si="47"/>
        <v>中立→</v>
      </c>
      <c r="R190" s="184">
        <f t="shared" si="61"/>
        <v>1435</v>
      </c>
      <c r="S190" s="184">
        <f t="shared" si="62"/>
        <v>1276</v>
      </c>
      <c r="T190" s="181">
        <f t="shared" si="51"/>
        <v>2</v>
      </c>
      <c r="U190" s="181" t="str">
        <f t="shared" si="63"/>
        <v>除外</v>
      </c>
      <c r="V190" s="181" t="str">
        <f t="shared" si="48"/>
        <v>通常</v>
      </c>
      <c r="W190" s="187">
        <f t="array" ref="W190">IF(C190&lt;&gt;"",IFERROR(100-100/(1+SUMPRODUCT((終値!F149:R149&gt;終値!G149:S149)*( 終値!F149:R149-終値!G149:S149))/SUMPRODUCT((終値!F149:R149&lt;終値!G149:S149)*(終値!G149:S149-終値!F149:R149))),50),"")</f>
        <v>11.668928086838534</v>
      </c>
      <c r="X190" s="188">
        <f>IF(C190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-65.305468100095368</v>
      </c>
      <c r="Y190" s="1" t="str">
        <f>IF(T190="","",IF(銘柄管理!$F$5="下落▼",IF(AND(AD190="パーフェクト▲",OR(AE190="25日線押し目●",AE190="5日線押し目○")),"★逆張り候補",IF(AND(AD190="上昇トレンド▲",OR(AE190="25日線押し目●",AE190="5日線押し目○")),"○逆張り候補",IF(W190&lt;=30,IF(Z190&gt;0,"◎反発確認",IF(Z190&lt;-5,"△要注意・様子見","△売られ過ぎ注目")),"相場下落・見送り"))),IF(AND(T190&gt;=12,AD190="パーフェクト▲"),"★強い買い",IF(AND(T190&gt;=12,AD190="上昇トレンド▲"),"★強い買い",IF(AND(T190&gt;=8,OR(AE190="25日線押し目●",AE190="5日線押し目○")),"◎押し目買い",IF(T190&gt;=10,"○買い候補",IF(T190&gt;=6,"△注目",IF(T190&gt;=3,"様子見","見送り"))))))))</f>
        <v>見送り</v>
      </c>
      <c r="Z190" s="189">
        <f t="shared" si="64"/>
        <v>0.30188679245283018</v>
      </c>
      <c r="AA190" s="181" t="str">
        <f t="shared" si="65"/>
        <v>上昇▲</v>
      </c>
      <c r="AB190" s="497">
        <f>IF(C190="","",IFERROR(((終値!E192*0.333)+(終値!F192*0.222)+(終値!G192*0.148)+(終値!H192*0.099)+(終値!I192*0.066)+(終値!J192*0.044)+(終値!K192*0.029)+(終値!L192*0.019)+(終値!M192*0.013)+(終値!N192*0.009))/(0.333+0.222+0.148+0.099+0.066+0.044+0.029+0.019+0.013+0.009),""))</f>
        <v>1685.5402240325859</v>
      </c>
      <c r="AC190" s="497">
        <f>IF(C190="","",IFERROR(SUMPRODUCT((終値!E192:AC192)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1750.6901072705589</v>
      </c>
      <c r="AD190" s="498" t="str">
        <f t="shared" si="59"/>
        <v>下降トレンド▼</v>
      </c>
      <c r="AE190" s="498" t="str">
        <f t="shared" si="60"/>
        <v>なし</v>
      </c>
      <c r="AF190" s="403" cm="1">
        <f t="array" ref="AF190">IF(C190="","",IFERROR((INDEX(終値!$E:$E,MATCH(TEXT(C190,"0"),終値!$A:$A,0))-INDEX(終値!$E:$BL,MATCH(TEXT(C190,"0"),終値!$A:$A,0),$AL$2))/INDEX(終値!$E:$BL,MATCH(TEXT(C190,"0"),終値!$A:$A,0),$AL$2)*100,""))</f>
        <v>-13.137254901960786</v>
      </c>
      <c r="AG190" s="403" cm="1">
        <f t="array" ref="AG190">IFERROR((終値!$E$5-INDEX(終値!$E$5:$BL$5,1,$AL$2))/INDEX(終値!$E$5:$BL$5,1,$AL$2)*100,"")</f>
        <v>3.4532270246721688</v>
      </c>
      <c r="AH190" s="404">
        <f t="shared" si="52"/>
        <v>-16.590481926632954</v>
      </c>
      <c r="AI190" s="402">
        <f t="shared" si="53"/>
        <v>-2</v>
      </c>
    </row>
    <row r="191" spans="1:35" ht="18" customHeight="1">
      <c r="A191" s="181" t="str">
        <f>IF(銘柄管理!B172&lt;&gt;"",HYPERLINK("https://kabutan.jp/stock/?code="&amp;銘柄管理!B172,"株探"),"")</f>
        <v>株探</v>
      </c>
      <c r="B191" s="182"/>
      <c r="C191" s="183">
        <f>IF(銘柄管理!B172="","",銘柄管理!B172)</f>
        <v>8303</v>
      </c>
      <c r="D191" s="111" t="str">
        <f>IF(銘柄管理!C172="","",銘柄管理!C172)</f>
        <v>ＳＢＩ新生銀行</v>
      </c>
      <c r="E191" s="184">
        <f>IF(C191&lt;&gt;"",_xll.RssMarket(C191,"現在値"),"")</f>
        <v>1445</v>
      </c>
      <c r="F191" s="184">
        <f>IF(C191&lt;&gt;"",_xll.RssMarket(C191,"始値"),"")</f>
        <v>1470</v>
      </c>
      <c r="G191" s="183">
        <f>IF(C191&lt;&gt;"",終値!F172,"")</f>
        <v>1449</v>
      </c>
      <c r="H191" s="184">
        <f>IF(C191&lt;&gt;"",_xll.RssMarket(C191,"高値"),"")</f>
        <v>1496</v>
      </c>
      <c r="I191" s="184">
        <f>IF(C191&lt;&gt;"",_xll.RssMarket(C191,"安値"),"")</f>
        <v>1445</v>
      </c>
      <c r="J191" s="184">
        <f>IF(C191&lt;&gt;"",_xll.RssMarket(C191,"出来高"),"")</f>
        <v>5468800</v>
      </c>
      <c r="K191" s="184">
        <f>IF(C191&lt;&gt;"",_xll.RssMarket(C191,"年初来高値"),"")</f>
        <v>2200</v>
      </c>
      <c r="L191" s="185">
        <f t="shared" si="44"/>
        <v>-34.31818181818182</v>
      </c>
      <c r="M191" s="184">
        <f>IF(C191&lt;&gt;"",IFERROR(AVERAGE(出来高!E172:I172),""),"")</f>
        <v>6897500</v>
      </c>
      <c r="N191" s="184">
        <f>IF(C191&lt;&gt;"",IFERROR(AVERAGE(出来高!E172:AC172),""),"")</f>
        <v>6529920</v>
      </c>
      <c r="O191" s="186">
        <f t="shared" si="45"/>
        <v>0.7928669807901414</v>
      </c>
      <c r="P191" s="181" t="str">
        <f t="shared" si="46"/>
        <v>減少↓</v>
      </c>
      <c r="Q191" s="181" t="str">
        <f t="shared" si="47"/>
        <v>様子見▼</v>
      </c>
      <c r="R191" s="184">
        <f t="shared" si="61"/>
        <v>1561</v>
      </c>
      <c r="S191" s="184">
        <f t="shared" si="62"/>
        <v>1387</v>
      </c>
      <c r="T191" s="181">
        <f t="shared" si="51"/>
        <v>-1</v>
      </c>
      <c r="U191" s="181" t="str">
        <f t="shared" si="63"/>
        <v>除外</v>
      </c>
      <c r="V191" s="181" t="str">
        <f t="shared" si="48"/>
        <v>通常</v>
      </c>
      <c r="W191" s="187">
        <f t="array" ref="W191">IF(C191&lt;&gt;"",IFERROR(100-100/(1+SUMPRODUCT((終値!F172:R172&gt;終値!G172:S172)*( 終値!F172:R172-終値!G172:S172))/SUMPRODUCT((終値!F172:R172&lt;終値!G172:S172)*(終値!G172:S172-終値!F172:R172))),50),"")</f>
        <v>45.789473684210527</v>
      </c>
      <c r="X191" s="188">
        <f>IF(C191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-16.208410119446853</v>
      </c>
      <c r="Y191" s="1" t="str">
        <f>IF(T191="","",IF(銘柄管理!$F$5="下落▼",IF(AND(AD191="パーフェクト▲",OR(AE191="25日線押し目●",AE191="5日線押し目○")),"★逆張り候補",IF(AND(AD191="上昇トレンド▲",OR(AE191="25日線押し目●",AE191="5日線押し目○")),"○逆張り候補",IF(W191&lt;=30,IF(Z191&gt;0,"◎反発確認",IF(Z191&lt;-5,"△要注意・様子見","△売られ過ぎ注目")),"相場下落・見送り"))),IF(AND(T191&gt;=12,AD191="パーフェクト▲"),"★強い買い",IF(AND(T191&gt;=12,AD191="上昇トレンド▲"),"★強い買い",IF(AND(T191&gt;=8,OR(AE191="25日線押し目●",AE191="5日線押し目○")),"◎押し目買い",IF(T191&gt;=10,"○買い候補",IF(T191&gt;=6,"△注目",IF(T191&gt;=3,"様子見","見送り"))))))))</f>
        <v>見送り</v>
      </c>
      <c r="Z191" s="189">
        <f t="shared" si="64"/>
        <v>-0.27605244996549344</v>
      </c>
      <c r="AA191" s="181" t="str">
        <f t="shared" si="65"/>
        <v>下落▼</v>
      </c>
      <c r="AB191" s="499">
        <f>IF(C191="","",IFERROR(((終値!E193*0.333)+(終値!F193*0.222)+(終値!G193*0.148)+(終値!H193*0.099)+(終値!I193*0.066)+(終値!J193*0.044)+(終値!K193*0.029)+(終値!L193*0.019)+(終値!M193*0.013)+(終値!N193*0.009))/(0.333+0.222+0.148+0.099+0.066+0.044+0.029+0.019+0.013+0.009),""))</f>
        <v>1751.24032586558</v>
      </c>
      <c r="AC191" s="499">
        <f>IF(C191="","",IFERROR(SUMPRODUCT((終値!E193:AC193)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1905.5685339690094</v>
      </c>
      <c r="AD191" s="500" t="str">
        <f t="shared" si="59"/>
        <v>下降トレンド▼</v>
      </c>
      <c r="AE191" s="500" t="str">
        <f t="shared" si="60"/>
        <v>なし</v>
      </c>
      <c r="AF191" s="403" cm="1">
        <f t="array" ref="AF191">IF(C191="","",IFERROR((INDEX(終値!$E:$E,MATCH(TEXT(C191,"0"),終値!$A:$A,0))-INDEX(終値!$E:$BL,MATCH(TEXT(C191,"0"),終値!$A:$A,0),$AL$2))/INDEX(終値!$E:$BL,MATCH(TEXT(C191,"0"),終値!$A:$A,0),$AL$2)*100,""))</f>
        <v>-12.767884092967099</v>
      </c>
      <c r="AG191" s="403" cm="1">
        <f t="array" ref="AG191">IFERROR((終値!$E$5-INDEX(終値!$E$5:$BL$5,1,$AL$2))/INDEX(終値!$E$5:$BL$5,1,$AL$2)*100,"")</f>
        <v>3.4532270246721688</v>
      </c>
      <c r="AH191" s="404">
        <f t="shared" si="52"/>
        <v>-16.221111117639268</v>
      </c>
      <c r="AI191" s="402">
        <f t="shared" si="53"/>
        <v>-2</v>
      </c>
    </row>
    <row r="192" spans="1:35" ht="18" customHeight="1">
      <c r="A192" s="181" t="str">
        <f>IF(銘柄管理!B173&lt;&gt;"",HYPERLINK("https://kabutan.jp/stock/?code="&amp;銘柄管理!B173,"株探"),"")</f>
        <v>株探</v>
      </c>
      <c r="B192" s="182"/>
      <c r="C192" s="183">
        <f>IF(銘柄管理!B173="","",銘柄管理!B173)</f>
        <v>4382</v>
      </c>
      <c r="D192" s="111" t="str">
        <f>IF(銘柄管理!C173="","",銘柄管理!C173)</f>
        <v>ＨＥＲＯＺ</v>
      </c>
      <c r="E192" s="184">
        <f>IF(C192&lt;&gt;"",_xll.RssMarket(C192,"現在値"),"")</f>
        <v>787</v>
      </c>
      <c r="F192" s="184">
        <f>IF(C192&lt;&gt;"",_xll.RssMarket(C192,"始値"),"")</f>
        <v>792</v>
      </c>
      <c r="G192" s="183">
        <f>IF(C192&lt;&gt;"",終値!F173,"")</f>
        <v>792</v>
      </c>
      <c r="H192" s="184">
        <f>IF(C192&lt;&gt;"",_xll.RssMarket(C192,"高値"),"")</f>
        <v>800</v>
      </c>
      <c r="I192" s="184">
        <f>IF(C192&lt;&gt;"",_xll.RssMarket(C192,"安値"),"")</f>
        <v>781</v>
      </c>
      <c r="J192" s="184">
        <f>IF(C192&lt;&gt;"",_xll.RssMarket(C192,"出来高"),"")</f>
        <v>27300</v>
      </c>
      <c r="K192" s="184">
        <f>IF(C192&lt;&gt;"",_xll.RssMarket(C192,"年初来高値"),"")</f>
        <v>995</v>
      </c>
      <c r="L192" s="185">
        <f t="shared" si="44"/>
        <v>-20.904522613065328</v>
      </c>
      <c r="M192" s="184">
        <f>IF(C192&lt;&gt;"",IFERROR(AVERAGE(出来高!E173:I173),""),"")</f>
        <v>66340</v>
      </c>
      <c r="N192" s="184">
        <f>IF(C192&lt;&gt;"",IFERROR(AVERAGE(出来高!E173:AC173),""),"")</f>
        <v>45892</v>
      </c>
      <c r="O192" s="186">
        <f t="shared" si="45"/>
        <v>0.41151643050949654</v>
      </c>
      <c r="P192" s="181" t="str">
        <f t="shared" si="46"/>
        <v>減少↓</v>
      </c>
      <c r="Q192" s="181" t="str">
        <f t="shared" si="47"/>
        <v>様子見▼</v>
      </c>
      <c r="R192" s="184">
        <f t="shared" si="61"/>
        <v>850</v>
      </c>
      <c r="S192" s="184">
        <f t="shared" si="62"/>
        <v>756</v>
      </c>
      <c r="T192" s="181">
        <f t="shared" si="51"/>
        <v>1</v>
      </c>
      <c r="U192" s="181" t="str">
        <f t="shared" si="63"/>
        <v>除外</v>
      </c>
      <c r="V192" s="181" t="str">
        <f t="shared" si="48"/>
        <v>通常</v>
      </c>
      <c r="W192" s="187">
        <f t="array" ref="W192">IF(C192&lt;&gt;"",IFERROR(100-100/(1+SUMPRODUCT((終値!F173:R173&gt;終値!G173:S173)*( 終値!F173:R173-終値!G173:S173))/SUMPRODUCT((終値!F173:R173&lt;終値!G173:S173)*(終値!G173:S173-終値!F173:R173))),50),"")</f>
        <v>58.82352941176471</v>
      </c>
      <c r="X192" s="188">
        <f>IF(C192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0.77487770608877327</v>
      </c>
      <c r="Y192" s="1" t="str">
        <f>IF(T192="","",IF(銘柄管理!$F$5="下落▼",IF(AND(AD192="パーフェクト▲",OR(AE192="25日線押し目●",AE192="5日線押し目○")),"★逆張り候補",IF(AND(AD192="上昇トレンド▲",OR(AE192="25日線押し目●",AE192="5日線押し目○")),"○逆張り候補",IF(W192&lt;=30,IF(Z192&gt;0,"◎反発確認",IF(Z192&lt;-5,"△要注意・様子見","△売られ過ぎ注目")),"相場下落・見送り"))),IF(AND(T192&gt;=12,AD192="パーフェクト▲"),"★強い買い",IF(AND(T192&gt;=12,AD192="上昇トレンド▲"),"★強い買い",IF(AND(T192&gt;=8,OR(AE192="25日線押し目●",AE192="5日線押し目○")),"◎押し目買い",IF(T192&gt;=10,"○買い候補",IF(T192&gt;=6,"△注目",IF(T192&gt;=3,"様子見","見送り"))))))))</f>
        <v>見送り</v>
      </c>
      <c r="Z192" s="189">
        <f t="shared" si="64"/>
        <v>-0.63131313131313127</v>
      </c>
      <c r="AA192" s="181" t="str">
        <f t="shared" si="65"/>
        <v>下落▼</v>
      </c>
      <c r="AB192" s="497">
        <f>IF(C192="","",IFERROR(((終値!E194*0.333)+(終値!F194*0.222)+(終値!G194*0.148)+(終値!H194*0.099)+(終値!I194*0.066)+(終値!J194*0.044)+(終値!K194*0.029)+(終値!L194*0.019)+(終値!M194*0.013)+(終値!N194*0.009))/(0.333+0.222+0.148+0.099+0.066+0.044+0.029+0.019+0.013+0.009),""))</f>
        <v>7414.1038696537662</v>
      </c>
      <c r="AC192" s="497">
        <f>IF(C192="","",IFERROR(SUMPRODUCT((終値!E194:AC194)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7604.0286054827138</v>
      </c>
      <c r="AD192" s="498" t="str">
        <f t="shared" si="59"/>
        <v>下降トレンド▼</v>
      </c>
      <c r="AE192" s="498" t="str">
        <f t="shared" si="60"/>
        <v>なし</v>
      </c>
      <c r="AF192" s="403" cm="1">
        <f t="array" ref="AF192">IF(C192="","",IFERROR((INDEX(終値!$E:$E,MATCH(TEXT(C192,"0"),終値!$A:$A,0))-INDEX(終値!$E:$BL,MATCH(TEXT(C192,"0"),終値!$A:$A,0),$AL$2))/INDEX(終値!$E:$BL,MATCH(TEXT(C192,"0"),終値!$A:$A,0),$AL$2)*100,""))</f>
        <v>2.2077922077922079</v>
      </c>
      <c r="AG192" s="403" cm="1">
        <f t="array" ref="AG192">IFERROR((終値!$E$5-INDEX(終値!$E$5:$BL$5,1,$AL$2))/INDEX(終値!$E$5:$BL$5,1,$AL$2)*100,"")</f>
        <v>3.4532270246721688</v>
      </c>
      <c r="AH192" s="404">
        <f t="shared" si="52"/>
        <v>-1.2454348168799609</v>
      </c>
      <c r="AI192" s="402">
        <f t="shared" si="53"/>
        <v>-1</v>
      </c>
    </row>
    <row r="193" spans="1:35" ht="18" customHeight="1">
      <c r="A193" s="181" t="str">
        <f>IF(銘柄管理!B186&lt;&gt;"",HYPERLINK("https://kabutan.jp/stock/?code="&amp;銘柄管理!B186,"株探"),"")</f>
        <v>株探</v>
      </c>
      <c r="B193" s="182"/>
      <c r="C193" s="183">
        <f>IF(銘柄管理!B186="","",銘柄管理!B186)</f>
        <v>9506</v>
      </c>
      <c r="D193" s="111" t="str">
        <f>IF(銘柄管理!C186="","",銘柄管理!C186)</f>
        <v>東北電力</v>
      </c>
      <c r="E193" s="184">
        <f>IF(C193&lt;&gt;"",_xll.RssMarket(C193,"現在値"),"")</f>
        <v>1046</v>
      </c>
      <c r="F193" s="184">
        <f>IF(C193&lt;&gt;"",_xll.RssMarket(C193,"始値"),"")</f>
        <v>1043.5</v>
      </c>
      <c r="G193" s="183">
        <f>IF(C193&lt;&gt;"",終値!F186,"")</f>
        <v>1043.5</v>
      </c>
      <c r="H193" s="184">
        <f>IF(C193&lt;&gt;"",_xll.RssMarket(C193,"高値"),"")</f>
        <v>1053</v>
      </c>
      <c r="I193" s="184">
        <f>IF(C193&lt;&gt;"",_xll.RssMarket(C193,"安値"),"")</f>
        <v>1032.5</v>
      </c>
      <c r="J193" s="184">
        <f>IF(C193&lt;&gt;"",_xll.RssMarket(C193,"出来高"),"")</f>
        <v>1967700</v>
      </c>
      <c r="K193" s="184">
        <f>IF(C193&lt;&gt;"",_xll.RssMarket(C193,"年初来高値"),"")</f>
        <v>1323</v>
      </c>
      <c r="L193" s="185">
        <f t="shared" si="44"/>
        <v>-20.93726379440665</v>
      </c>
      <c r="M193" s="184">
        <f>IF(C193&lt;&gt;"",IFERROR(AVERAGE(出来高!E186:I186),""),"")</f>
        <v>2126880</v>
      </c>
      <c r="N193" s="184">
        <f>IF(C193&lt;&gt;"",IFERROR(AVERAGE(出来高!E186:AC186),""),"")</f>
        <v>2616836</v>
      </c>
      <c r="O193" s="186">
        <f t="shared" si="45"/>
        <v>0.92515797788309639</v>
      </c>
      <c r="P193" s="181" t="str">
        <f t="shared" si="46"/>
        <v>減少↓</v>
      </c>
      <c r="Q193" s="181" t="str">
        <f t="shared" si="47"/>
        <v>中立→</v>
      </c>
      <c r="R193" s="184">
        <f t="shared" si="61"/>
        <v>1130</v>
      </c>
      <c r="S193" s="184">
        <f t="shared" si="62"/>
        <v>1004</v>
      </c>
      <c r="T193" s="181">
        <f t="shared" si="51"/>
        <v>0</v>
      </c>
      <c r="U193" s="181" t="str">
        <f t="shared" si="63"/>
        <v>除外</v>
      </c>
      <c r="V193" s="181" t="str">
        <f t="shared" si="48"/>
        <v>通常</v>
      </c>
      <c r="W193" s="187">
        <f t="array" ref="W193">IF(C193&lt;&gt;"",IFERROR(100-100/(1+SUMPRODUCT((終値!F186:R186&gt;終値!G186:S186)*( 終値!F186:R186-終値!G186:S186))/SUMPRODUCT((終値!F186:R186&lt;終値!G186:S186)*(終値!G186:S186-終値!F186:R186))),50),"")</f>
        <v>61.569416498993967</v>
      </c>
      <c r="X193" s="188">
        <f>IF(C193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0.86969817584099474</v>
      </c>
      <c r="Y193" s="1" t="str">
        <f>IF(T193="","",IF(銘柄管理!$F$5="下落▼",IF(AND(AD193="パーフェクト▲",OR(AE193="25日線押し目●",AE193="5日線押し目○")),"★逆張り候補",IF(AND(AD193="上昇トレンド▲",OR(AE193="25日線押し目●",AE193="5日線押し目○")),"○逆張り候補",IF(W193&lt;=30,IF(Z193&gt;0,"◎反発確認",IF(Z193&lt;-5,"△要注意・様子見","△売られ過ぎ注目")),"相場下落・見送り"))),IF(AND(T193&gt;=12,AD193="パーフェクト▲"),"★強い買い",IF(AND(T193&gt;=12,AD193="上昇トレンド▲"),"★強い買い",IF(AND(T193&gt;=8,OR(AE193="25日線押し目●",AE193="5日線押し目○")),"◎押し目買い",IF(T193&gt;=10,"○買い候補",IF(T193&gt;=6,"△注目",IF(T193&gt;=3,"様子見","見送り"))))))))</f>
        <v>見送り</v>
      </c>
      <c r="Z193" s="189">
        <f t="shared" si="64"/>
        <v>0.23957834211787254</v>
      </c>
      <c r="AA193" s="181" t="str">
        <f t="shared" si="65"/>
        <v>上昇▲</v>
      </c>
      <c r="AB193" s="499">
        <f>IF(C193="","",IFERROR(((終値!E195*0.333)+(終値!F195*0.222)+(終値!G195*0.148)+(終値!H195*0.099)+(終値!I195*0.066)+(終値!J195*0.044)+(終値!K195*0.029)+(終値!L195*0.019)+(終値!M195*0.013)+(終値!N195*0.009))/(0.333+0.222+0.148+0.099+0.066+0.044+0.029+0.019+0.013+0.009),""))</f>
        <v>8995.8248472505074</v>
      </c>
      <c r="AC193" s="499">
        <f>IF(C193="","",IFERROR(SUMPRODUCT((終値!E195:AC195)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8745.7926102502934</v>
      </c>
      <c r="AD193" s="500" t="str">
        <f t="shared" si="59"/>
        <v>もみ合い→</v>
      </c>
      <c r="AE193" s="500" t="str">
        <f t="shared" si="60"/>
        <v>なし</v>
      </c>
      <c r="AF193" s="403" cm="1">
        <f t="array" ref="AF193">IF(C193="","",IFERROR((INDEX(終値!$E:$E,MATCH(TEXT(C193,"0"),終値!$A:$A,0))-INDEX(終値!$E:$BL,MATCH(TEXT(C193,"0"),終値!$A:$A,0),$AL$2))/INDEX(終値!$E:$BL,MATCH(TEXT(C193,"0"),終値!$A:$A,0),$AL$2)*100,""))</f>
        <v>-0.61757719714964376</v>
      </c>
      <c r="AG193" s="403" cm="1">
        <f t="array" ref="AG193">IFERROR((終値!$E$5-INDEX(終値!$E$5:$BL$5,1,$AL$2))/INDEX(終値!$E$5:$BL$5,1,$AL$2)*100,"")</f>
        <v>3.4532270246721688</v>
      </c>
      <c r="AH193" s="404">
        <f t="shared" si="52"/>
        <v>-4.0708042218218123</v>
      </c>
      <c r="AI193" s="402">
        <f t="shared" si="53"/>
        <v>-2</v>
      </c>
    </row>
    <row r="194" spans="1:35" ht="18" customHeight="1">
      <c r="A194" s="181" t="str">
        <f>IF(銘柄管理!B191&lt;&gt;"",HYPERLINK("https://kabutan.jp/stock/?code="&amp;銘柄管理!B191,"株探"),"")</f>
        <v>株探</v>
      </c>
      <c r="B194" s="182"/>
      <c r="C194" s="183" t="str">
        <f>IF(銘柄管理!B191="","",銘柄管理!B191)</f>
        <v>6485</v>
      </c>
      <c r="D194" s="111" t="str">
        <f>IF(銘柄管理!C191="","",銘柄管理!C191)</f>
        <v>前澤給装工業</v>
      </c>
      <c r="E194" s="184">
        <f>IF(C194&lt;&gt;"",_xll.RssMarket(C194,"現在値"),"")</f>
        <v>1454</v>
      </c>
      <c r="F194" s="184">
        <f>IF(C194&lt;&gt;"",_xll.RssMarket(C194,"始値"),"")</f>
        <v>1458</v>
      </c>
      <c r="G194" s="183">
        <f>IF(C194&lt;&gt;"",終値!F191,"")</f>
        <v>1449</v>
      </c>
      <c r="H194" s="184">
        <f>IF(C194&lt;&gt;"",_xll.RssMarket(C194,"高値"),"")</f>
        <v>1469</v>
      </c>
      <c r="I194" s="184">
        <f>IF(C194&lt;&gt;"",_xll.RssMarket(C194,"安値"),"")</f>
        <v>1454</v>
      </c>
      <c r="J194" s="184">
        <f>IF(C194&lt;&gt;"",_xll.RssMarket(C194,"出来高"),"")</f>
        <v>17700</v>
      </c>
      <c r="K194" s="184">
        <f>IF(C194&lt;&gt;"",_xll.RssMarket(C194,"年初来高値"),"")</f>
        <v>1787</v>
      </c>
      <c r="L194" s="185">
        <f t="shared" si="44"/>
        <v>-18.63458310016788</v>
      </c>
      <c r="M194" s="184">
        <f>IF(C194&lt;&gt;"",IFERROR(AVERAGE(出来高!E191:I191),""),"")</f>
        <v>19220</v>
      </c>
      <c r="N194" s="184">
        <f>IF(C194&lt;&gt;"",IFERROR(AVERAGE(出来高!E191:AC191),""),"")</f>
        <v>22828</v>
      </c>
      <c r="O194" s="186">
        <f t="shared" si="45"/>
        <v>0.92091571279916751</v>
      </c>
      <c r="P194" s="181" t="str">
        <f t="shared" si="46"/>
        <v>減少↓</v>
      </c>
      <c r="Q194" s="181" t="str">
        <f t="shared" si="47"/>
        <v>中立→</v>
      </c>
      <c r="R194" s="184">
        <f t="shared" si="61"/>
        <v>1570</v>
      </c>
      <c r="S194" s="184">
        <f t="shared" si="62"/>
        <v>1396</v>
      </c>
      <c r="T194" s="181">
        <f t="shared" si="51"/>
        <v>0</v>
      </c>
      <c r="U194" s="181" t="str">
        <f t="shared" si="63"/>
        <v>除外</v>
      </c>
      <c r="V194" s="181" t="str">
        <f t="shared" si="48"/>
        <v>通常</v>
      </c>
      <c r="W194" s="187">
        <f t="array" ref="W194">IF(C194&lt;&gt;"",IFERROR(100-100/(1+SUMPRODUCT((終値!F191:R191&gt;終値!G191:S191)*( 終値!F191:R191-終値!G191:S191))/SUMPRODUCT((終値!F191:R191&lt;終値!G191:S191)*(終値!G191:S191-終値!F191:R191))),50),"")</f>
        <v>59.313725490196077</v>
      </c>
      <c r="X194" s="188">
        <f>IF(C194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-3.5016776853910869</v>
      </c>
      <c r="Y194" s="1" t="str">
        <f>IF(T194="","",IF(銘柄管理!$F$5="下落▼",IF(AND(AD194="パーフェクト▲",OR(AE194="25日線押し目●",AE194="5日線押し目○")),"★逆張り候補",IF(AND(AD194="上昇トレンド▲",OR(AE194="25日線押し目●",AE194="5日線押し目○")),"○逆張り候補",IF(W194&lt;=30,IF(Z194&gt;0,"◎反発確認",IF(Z194&lt;-5,"△要注意・様子見","△売られ過ぎ注目")),"相場下落・見送り"))),IF(AND(T194&gt;=12,AD194="パーフェクト▲"),"★強い買い",IF(AND(T194&gt;=12,AD194="上昇トレンド▲"),"★強い買い",IF(AND(T194&gt;=8,OR(AE194="25日線押し目●",AE194="5日線押し目○")),"◎押し目買い",IF(T194&gt;=10,"○買い候補",IF(T194&gt;=6,"△注目",IF(T194&gt;=3,"様子見","見送り"))))))))</f>
        <v>見送り</v>
      </c>
      <c r="Z194" s="189">
        <f t="shared" si="64"/>
        <v>0.34506556245686681</v>
      </c>
      <c r="AA194" s="181" t="str">
        <f t="shared" si="65"/>
        <v>上昇▲</v>
      </c>
      <c r="AB194" s="497">
        <f>IF(C194="","",IFERROR(((終値!E196*0.333)+(終値!F196*0.222)+(終値!G196*0.148)+(終値!H196*0.099)+(終値!I196*0.066)+(終値!J196*0.044)+(終値!K196*0.029)+(終値!L196*0.019)+(終値!M196*0.013)+(終値!N196*0.009))/(0.333+0.222+0.148+0.099+0.066+0.044+0.029+0.019+0.013+0.009),""))</f>
        <v>25005.916496945007</v>
      </c>
      <c r="AC194" s="497">
        <f>IF(C194="","",IFERROR(SUMPRODUCT((終値!E196:AC196)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23863.635280095343</v>
      </c>
      <c r="AD194" s="498" t="str">
        <f t="shared" si="59"/>
        <v>もみ合い→</v>
      </c>
      <c r="AE194" s="498" t="str">
        <f t="shared" si="60"/>
        <v>なし</v>
      </c>
      <c r="AF194" s="403" cm="1">
        <f t="array" ref="AF194">IF(C194="","",IFERROR((INDEX(終値!$E:$E,MATCH(TEXT(C194,"0"),終値!$A:$A,0))-INDEX(終値!$E:$BL,MATCH(TEXT(C194,"0"),終値!$A:$A,0),$AL$2))/INDEX(終値!$E:$BL,MATCH(TEXT(C194,"0"),終値!$A:$A,0),$AL$2)*100,""))</f>
        <v>-4.5931758530183728</v>
      </c>
      <c r="AG194" s="403" cm="1">
        <f t="array" ref="AG194">IFERROR((終値!$E$5-INDEX(終値!$E$5:$BL$5,1,$AL$2))/INDEX(終値!$E$5:$BL$5,1,$AL$2)*100,"")</f>
        <v>3.4532270246721688</v>
      </c>
      <c r="AH194" s="404">
        <f t="shared" si="52"/>
        <v>-8.0464028776905412</v>
      </c>
      <c r="AI194" s="402">
        <f t="shared" si="53"/>
        <v>-2</v>
      </c>
    </row>
    <row r="195" spans="1:35" ht="18" customHeight="1">
      <c r="A195" s="181" t="str">
        <f>IF(銘柄管理!B192&lt;&gt;"",HYPERLINK("https://kabutan.jp/stock/?code="&amp;銘柄管理!B192,"株探"),"")</f>
        <v>株探</v>
      </c>
      <c r="B195" s="182"/>
      <c r="C195" s="183">
        <f>IF(銘柄管理!B192="","",銘柄管理!B192)</f>
        <v>4887</v>
      </c>
      <c r="D195" s="111" t="str">
        <f>IF(銘柄管理!C192="","",銘柄管理!C192)</f>
        <v>サワイグループＨＤ</v>
      </c>
      <c r="E195" s="184">
        <f>IF(C195&lt;&gt;"",_xll.RssMarket(C195,"現在値"),"")</f>
        <v>1676.5</v>
      </c>
      <c r="F195" s="184">
        <f>IF(C195&lt;&gt;"",_xll.RssMarket(C195,"始値"),"")</f>
        <v>1662.5</v>
      </c>
      <c r="G195" s="183">
        <f>IF(C195&lt;&gt;"",終値!F192,"")</f>
        <v>1650.5</v>
      </c>
      <c r="H195" s="184">
        <f>IF(C195&lt;&gt;"",_xll.RssMarket(C195,"高値"),"")</f>
        <v>1683</v>
      </c>
      <c r="I195" s="184">
        <f>IF(C195&lt;&gt;"",_xll.RssMarket(C195,"安値"),"")</f>
        <v>1646.5</v>
      </c>
      <c r="J195" s="184">
        <f>IF(C195&lt;&gt;"",_xll.RssMarket(C195,"出来高"),"")</f>
        <v>653900</v>
      </c>
      <c r="K195" s="184">
        <f>IF(C195&lt;&gt;"",_xll.RssMarket(C195,"年初来高値"),"")</f>
        <v>2447</v>
      </c>
      <c r="L195" s="185">
        <f t="shared" ref="L195:L206" si="66">IF(AND(E195&lt;&gt;"",K195&lt;&gt;"",K195&lt;&gt;0),(E195-K195)/K195*100,"")</f>
        <v>-31.487535758071104</v>
      </c>
      <c r="M195" s="184">
        <f>IF(C195&lt;&gt;"",IFERROR(AVERAGE(出来高!E192:I192),""),"")</f>
        <v>479460</v>
      </c>
      <c r="N195" s="184">
        <f>IF(C195&lt;&gt;"",IFERROR(AVERAGE(出来高!E192:AC192),""),"")</f>
        <v>596512</v>
      </c>
      <c r="O195" s="186">
        <f t="shared" ref="O195:O206" si="67">IF(AND(J195&lt;&gt;"",M195&lt;&gt;"",M195&lt;&gt;0),J195/M195,"")</f>
        <v>1.3638259708839111</v>
      </c>
      <c r="P195" s="181" t="str">
        <f t="shared" ref="P195:P206" si="68">IF(O195="","",IF(O195&gt;=2,"急増↑↑",IF(O195&gt;=1.5,"増加↑",IF(O195&gt;=1,"普通→","減少↓"))))</f>
        <v>普通→</v>
      </c>
      <c r="Q195" s="181" t="str">
        <f t="shared" ref="Q195:Q206" si="69">IF(E195="","",IF(AND(E195&gt;G195,O195&gt;=1.5),"買い▲",IF(E195&lt;G195,"様子見▼","中立→")))</f>
        <v>中立→</v>
      </c>
      <c r="R195" s="184">
        <f t="shared" si="61"/>
        <v>1811</v>
      </c>
      <c r="S195" s="184">
        <f t="shared" si="62"/>
        <v>1609</v>
      </c>
      <c r="T195" s="181">
        <f t="shared" si="51"/>
        <v>3</v>
      </c>
      <c r="U195" s="181" t="str">
        <f t="shared" si="63"/>
        <v>要確認</v>
      </c>
      <c r="V195" s="181" t="str">
        <f t="shared" ref="V195:V206" si="70">IF(AND(H195&lt;&gt;"",K195&lt;&gt;""),IF(H195&gt;=K195,"年初来高値更新●",IF(H195&gt;=K195*0.95,"高値圏","通常")),"")</f>
        <v>通常</v>
      </c>
      <c r="W195" s="187">
        <f t="array" ref="W195">IF(C195&lt;&gt;"",IFERROR(100-100/(1+SUMPRODUCT((終値!F192:R192&gt;終値!G192:S192)*( 終値!F192:R192-終値!G192:S192))/SUMPRODUCT((終値!F192:R192&lt;終値!G192:S192)*(終値!G192:S192-終値!F192:R192))),50),"")</f>
        <v>28.675136116152444</v>
      </c>
      <c r="X195" s="188">
        <f>IF(C195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-25.619543542203473</v>
      </c>
      <c r="Y195" s="1" t="str">
        <f>IF(T195="","",IF(銘柄管理!$F$5="下落▼",IF(AND(AD195="パーフェクト▲",OR(AE195="25日線押し目●",AE195="5日線押し目○")),"★逆張り候補",IF(AND(AD195="上昇トレンド▲",OR(AE195="25日線押し目●",AE195="5日線押し目○")),"○逆張り候補",IF(W195&lt;=30,IF(Z195&gt;0,"◎反発確認",IF(Z195&lt;-5,"△要注意・様子見","△売られ過ぎ注目")),"相場下落・見送り"))),IF(AND(T195&gt;=12,AD195="パーフェクト▲"),"★強い買い",IF(AND(T195&gt;=12,AD195="上昇トレンド▲"),"★強い買い",IF(AND(T195&gt;=8,OR(AE195="25日線押し目●",AE195="5日線押し目○")),"◎押し目買い",IF(T195&gt;=10,"○買い候補",IF(T195&gt;=6,"△注目",IF(T195&gt;=3,"様子見","見送り"))))))))</f>
        <v>様子見</v>
      </c>
      <c r="Z195" s="189">
        <f t="shared" si="64"/>
        <v>1.5752802181157224</v>
      </c>
      <c r="AA195" s="181" t="str">
        <f t="shared" si="65"/>
        <v>上昇▲</v>
      </c>
      <c r="AB195" s="499">
        <f>IF(C195="","",IFERROR(((終値!E197*0.333)+(終値!F197*0.222)+(終値!G197*0.148)+(終値!H197*0.099)+(終値!I197*0.066)+(終値!J197*0.044)+(終値!K197*0.029)+(終値!L197*0.019)+(終値!M197*0.013)+(終値!N197*0.009))/(0.333+0.222+0.148+0.099+0.066+0.044+0.029+0.019+0.013+0.009),""))</f>
        <v>80550.896130346213</v>
      </c>
      <c r="AC195" s="499">
        <f>IF(C195="","",IFERROR(SUMPRODUCT((終値!E197:AC197)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72714.469606674567</v>
      </c>
      <c r="AD195" s="500" t="str">
        <f t="shared" ref="AD195:AD202" si="71">IF(OR(C195="",AB195="",AC195=""),"",IF(AND(E195&gt;AB195,AB195&gt;AC195),"パーフェクト▲",IF(E195&gt;AC195,"上昇トレンド▲",IF(AND(E195&lt;AB195,AB195&lt;AC195),"下降トレンド▼","もみ合い→"))))</f>
        <v>もみ合い→</v>
      </c>
      <c r="AE195" s="500" t="str">
        <f t="shared" ref="AE195:AE202" si="72">IF(OR(C195="",AB195="",AC195=""),"",IF(AND(ABS(E195-AC195)/AC195&lt;=0.02,E195&gt;AC195),"25日押し目★",IF(AND(ABS(E195-AB195)/AB195&lt;=0.01,E195&gt;AB195),"5日押し目○","なし")))</f>
        <v>なし</v>
      </c>
      <c r="AF195" s="403" cm="1">
        <f t="array" ref="AF195">IF(C195="","",IFERROR((INDEX(終値!$E:$E,MATCH(TEXT(C195,"0"),終値!$A:$A,0))-INDEX(終値!$E:$BL,MATCH(TEXT(C195,"0"),終値!$A:$A,0),$AL$2))/INDEX(終値!$E:$BL,MATCH(TEXT(C195,"0"),終値!$A:$A,0),$AL$2)*100,""))</f>
        <v>-19.418409036289354</v>
      </c>
      <c r="AG195" s="403" cm="1">
        <f t="array" ref="AG195">IFERROR((終値!$E$5-INDEX(終値!$E$5:$BL$5,1,$AL$2))/INDEX(終値!$E$5:$BL$5,1,$AL$2)*100,"")</f>
        <v>3.4532270246721688</v>
      </c>
      <c r="AH195" s="404">
        <f t="shared" si="52"/>
        <v>-22.871636060961524</v>
      </c>
      <c r="AI195" s="402">
        <f t="shared" si="53"/>
        <v>-2</v>
      </c>
    </row>
    <row r="196" spans="1:35" ht="18" customHeight="1">
      <c r="A196" s="181" t="str">
        <f>IF(銘柄管理!B194&lt;&gt;"",HYPERLINK("https://kabutan.jp/stock/?code="&amp;銘柄管理!B194,"株探"),"")</f>
        <v>株探</v>
      </c>
      <c r="B196" s="182"/>
      <c r="C196" s="183">
        <f>IF(銘柄管理!B194="","",銘柄管理!B194)</f>
        <v>2702</v>
      </c>
      <c r="D196" s="111" t="str">
        <f>IF(銘柄管理!C194="","",銘柄管理!C194)</f>
        <v>日本マクドナルドＨＬＤＧ</v>
      </c>
      <c r="E196" s="184">
        <f>IF(C196&lt;&gt;"",_xll.RssMarket(C196,"現在値"),"")</f>
        <v>7410</v>
      </c>
      <c r="F196" s="184">
        <f>IF(C196&lt;&gt;"",_xll.RssMarket(C196,"始値"),"")</f>
        <v>7380</v>
      </c>
      <c r="G196" s="183">
        <f>IF(C196&lt;&gt;"",終値!F194,"")</f>
        <v>7380</v>
      </c>
      <c r="H196" s="184">
        <f>IF(C196&lt;&gt;"",_xll.RssMarket(C196,"高値"),"")</f>
        <v>7490</v>
      </c>
      <c r="I196" s="184">
        <f>IF(C196&lt;&gt;"",_xll.RssMarket(C196,"安値"),"")</f>
        <v>7350</v>
      </c>
      <c r="J196" s="184">
        <f>IF(C196&lt;&gt;"",_xll.RssMarket(C196,"出来高"),"")</f>
        <v>918600</v>
      </c>
      <c r="K196" s="184">
        <f>IF(C196&lt;&gt;"",_xll.RssMarket(C196,"年初来高値"),"")</f>
        <v>8780</v>
      </c>
      <c r="L196" s="185">
        <f t="shared" si="66"/>
        <v>-15.603644646924831</v>
      </c>
      <c r="M196" s="184">
        <f>IF(C196&lt;&gt;"",IFERROR(AVERAGE(出来高!E194:I194),""),"")</f>
        <v>849200</v>
      </c>
      <c r="N196" s="184">
        <f>IF(C196&lt;&gt;"",IFERROR(AVERAGE(出来高!E194:AC194),""),"")</f>
        <v>707332</v>
      </c>
      <c r="O196" s="186">
        <f t="shared" si="67"/>
        <v>1.081723975506359</v>
      </c>
      <c r="P196" s="181" t="str">
        <f t="shared" si="68"/>
        <v>普通→</v>
      </c>
      <c r="Q196" s="181" t="str">
        <f t="shared" si="69"/>
        <v>中立→</v>
      </c>
      <c r="R196" s="184">
        <f t="shared" si="61"/>
        <v>8003</v>
      </c>
      <c r="S196" s="184">
        <f t="shared" si="62"/>
        <v>7114</v>
      </c>
      <c r="T196" s="181">
        <f t="shared" ref="T196:T206" si="73">IF(C196="","",IFERROR(IF(O196&gt;=2,3,IF(O196&gt;=1.5,2,IF(O196&gt;=1,1,0)))+IF(E196&gt;G196,1,0)+IF(L196&gt;=-5,1,0)+IF(Q196="買い▲",2,0)+IF(W196&lt;=30,3,IF(W196&lt;=40,2,IF(AND(W196&gt;=40,W196&lt;=60),1,0)))+IF(X196&gt;0,1,0)+IF(V196="年初来高値更新●",3,IF(V196="高値圏",2,0))+IF(AD196="パーフェクト▲",3,IF(AD196="上昇トレンド▲",2,0))+IF(AE196="25日線押し目●",2,IF(AE196="5日線押し目○",1,0))+IF(P196="急増↑↑",2,IF(P196="増加↑",1,0))+N(AI196),0))</f>
        <v>3</v>
      </c>
      <c r="U196" s="181" t="str">
        <f t="shared" si="63"/>
        <v>要確認</v>
      </c>
      <c r="V196" s="181" t="str">
        <f t="shared" si="70"/>
        <v>通常</v>
      </c>
      <c r="W196" s="187">
        <f t="array" ref="W196">IF(C196&lt;&gt;"",IFERROR(100-100/(1+SUMPRODUCT((終値!F194:R194&gt;終値!G194:S194)*( 終値!F194:R194-終値!G194:S194))/SUMPRODUCT((終値!F194:R194&lt;終値!G194:S194)*(終値!G194:S194-終値!F194:R194))),50),"")</f>
        <v>25</v>
      </c>
      <c r="X196" s="188">
        <f>IF(C196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-89.475837748116646</v>
      </c>
      <c r="Y196" s="1" t="str">
        <f>IF(T196="","",IF(銘柄管理!$F$5="下落▼",IF(AND(AD196="パーフェクト▲",OR(AE196="25日線押し目●",AE196="5日線押し目○")),"★逆張り候補",IF(AND(AD196="上昇トレンド▲",OR(AE196="25日線押し目●",AE196="5日線押し目○")),"○逆張り候補",IF(W196&lt;=30,IF(Z196&gt;0,"◎反発確認",IF(Z196&lt;-5,"△要注意・様子見","△売られ過ぎ注目")),"相場下落・見送り"))),IF(AND(T196&gt;=12,AD196="パーフェクト▲"),"★強い買い",IF(AND(T196&gt;=12,AD196="上昇トレンド▲"),"★強い買い",IF(AND(T196&gt;=8,OR(AE196="25日線押し目●",AE196="5日線押し目○")),"◎押し目買い",IF(T196&gt;=10,"○買い候補",IF(T196&gt;=6,"△注目",IF(T196&gt;=3,"様子見","見送り"))))))))</f>
        <v>様子見</v>
      </c>
      <c r="Z196" s="189">
        <f t="shared" si="64"/>
        <v>0.40650406504065045</v>
      </c>
      <c r="AA196" s="181" t="str">
        <f t="shared" si="65"/>
        <v>上昇▲</v>
      </c>
      <c r="AB196" s="497">
        <f>IF(C196="","",IFERROR(((終値!E198*0.333)+(終値!F198*0.222)+(終値!G198*0.148)+(終値!H198*0.099)+(終値!I198*0.066)+(終値!J198*0.044)+(終値!K198*0.029)+(終値!L198*0.019)+(終値!M198*0.013)+(終値!N198*0.009))/(0.333+0.222+0.148+0.099+0.066+0.044+0.029+0.019+0.013+0.009),""))</f>
        <v>68198.553971486748</v>
      </c>
      <c r="AC196" s="497">
        <f>IF(C196="","",IFERROR(SUMPRODUCT((終値!E198:AC198)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59506.221692491061</v>
      </c>
      <c r="AD196" s="498" t="str">
        <f t="shared" si="71"/>
        <v>もみ合い→</v>
      </c>
      <c r="AE196" s="498" t="str">
        <f t="shared" si="72"/>
        <v>なし</v>
      </c>
      <c r="AF196" s="403" cm="1">
        <f t="array" ref="AF196">IF(C196="","",IFERROR((INDEX(終値!$E:$E,MATCH(TEXT(C196,"0"),終値!$A:$A,0))-INDEX(終値!$E:$BL,MATCH(TEXT(C196,"0"),終値!$A:$A,0),$AL$2))/INDEX(終値!$E:$BL,MATCH(TEXT(C196,"0"),終値!$A:$A,0),$AL$2)*100,""))</f>
        <v>-11.044417767106843</v>
      </c>
      <c r="AG196" s="403" cm="1">
        <f t="array" ref="AG196">IFERROR((終値!$E$5-INDEX(終値!$E$5:$BL$5,1,$AL$2))/INDEX(終値!$E$5:$BL$5,1,$AL$2)*100,"")</f>
        <v>3.4532270246721688</v>
      </c>
      <c r="AH196" s="404">
        <f t="shared" ref="AH196:AH206" si="74">IF(OR(AF196="",AG196=""),"",AF196-AG196)</f>
        <v>-14.497644791779011</v>
      </c>
      <c r="AI196" s="402">
        <f t="shared" ref="AI196:AI206" si="75">IF(AH196="","",IF(AH196&gt;5,3,IF(AH196&gt;0,1,IF(AH196&gt;-3,-1,-2))))</f>
        <v>-2</v>
      </c>
    </row>
    <row r="197" spans="1:35" ht="18" customHeight="1">
      <c r="A197" s="181" t="str">
        <f>IF(銘柄管理!B207&lt;&gt;"",HYPERLINK("https://kabutan.jp/stock/?code="&amp;銘柄管理!B207,"株探"),"")</f>
        <v>株探</v>
      </c>
      <c r="B197" s="182"/>
      <c r="C197" s="183">
        <f>IF(銘柄管理!B207="","",銘柄管理!B207)</f>
        <v>7011</v>
      </c>
      <c r="D197" s="111" t="str">
        <f>IF(銘柄管理!C207="","",銘柄管理!C207)</f>
        <v>三菱重工業</v>
      </c>
      <c r="E197" s="184">
        <f>IF(C197&lt;&gt;"",_xll.RssMarket(C197,"現在値"),"")</f>
        <v>3860</v>
      </c>
      <c r="F197" s="184">
        <f>IF(C197&lt;&gt;"",_xll.RssMarket(C197,"始値"),"")</f>
        <v>3810</v>
      </c>
      <c r="G197" s="183">
        <f>IF(C197&lt;&gt;"",終値!F207,"")</f>
        <v>3810</v>
      </c>
      <c r="H197" s="184">
        <f>IF(C197&lt;&gt;"",_xll.RssMarket(C197,"高値"),"")</f>
        <v>3905</v>
      </c>
      <c r="I197" s="184">
        <f>IF(C197&lt;&gt;"",_xll.RssMarket(C197,"安値"),"")</f>
        <v>3796</v>
      </c>
      <c r="J197" s="184">
        <f>IF(C197&lt;&gt;"",_xll.RssMarket(C197,"出来高"),"")</f>
        <v>23776900</v>
      </c>
      <c r="K197" s="184">
        <f>IF(C197&lt;&gt;"",_xll.RssMarket(C197,"年初来高値"),"")</f>
        <v>5208</v>
      </c>
      <c r="L197" s="185">
        <f t="shared" si="66"/>
        <v>-25.883256528417821</v>
      </c>
      <c r="M197" s="184">
        <f>IF(C197&lt;&gt;"",IFERROR(AVERAGE(出来高!E207:I207),""),"")</f>
        <v>21287960</v>
      </c>
      <c r="N197" s="184">
        <f>IF(C197&lt;&gt;"",IFERROR(AVERAGE(出来高!E207:AC207),""),"")</f>
        <v>26752716</v>
      </c>
      <c r="O197" s="186">
        <f t="shared" si="67"/>
        <v>1.116917731901037</v>
      </c>
      <c r="P197" s="181" t="str">
        <f t="shared" si="68"/>
        <v>普通→</v>
      </c>
      <c r="Q197" s="181" t="str">
        <f t="shared" si="69"/>
        <v>中立→</v>
      </c>
      <c r="R197" s="184">
        <f t="shared" ref="R197:R206" si="76">IF(E197&lt;&gt;"",ROUND(E197*1.08,0),"")</f>
        <v>4169</v>
      </c>
      <c r="S197" s="184">
        <f t="shared" ref="S197:S206" si="77">IF(E197&lt;&gt;"",ROUND(E197*0.96,0),"")</f>
        <v>3706</v>
      </c>
      <c r="T197" s="181">
        <f t="shared" si="73"/>
        <v>1</v>
      </c>
      <c r="U197" s="181" t="str">
        <f t="shared" ref="U197:U206" si="78">IF(T197="","",IF(AND(T197&gt;=3,O197&gt;=1.5),"有効",IF(T197&gt;=3,"要確認","除外")))</f>
        <v>除外</v>
      </c>
      <c r="V197" s="181" t="str">
        <f t="shared" si="70"/>
        <v>通常</v>
      </c>
      <c r="W197" s="187">
        <f t="array" ref="W197">IF(C197&lt;&gt;"",IFERROR(100-100/(1+SUMPRODUCT((終値!F207:R207&gt;終値!G207:S207)*( 終値!F207:R207-終値!G207:S207))/SUMPRODUCT((終値!F207:R207&lt;終値!G207:S207)*(終値!G207:S207-終値!F207:R207))),50),"")</f>
        <v>46.17784711388456</v>
      </c>
      <c r="X197" s="188">
        <f>IF(C197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-50.738774632918648</v>
      </c>
      <c r="Y197" s="1" t="str">
        <f>IF(T197="","",IF(銘柄管理!$F$5="下落▼",IF(AND(AD197="パーフェクト▲",OR(AE197="25日線押し目●",AE197="5日線押し目○")),"★逆張り候補",IF(AND(AD197="上昇トレンド▲",OR(AE197="25日線押し目●",AE197="5日線押し目○")),"○逆張り候補",IF(W197&lt;=30,IF(Z197&gt;0,"◎反発確認",IF(Z197&lt;-5,"△要注意・様子見","△売られ過ぎ注目")),"相場下落・見送り"))),IF(AND(T197&gt;=12,AD197="パーフェクト▲"),"★強い買い",IF(AND(T197&gt;=12,AD197="上昇トレンド▲"),"★強い買い",IF(AND(T197&gt;=8,OR(AE197="25日線押し目●",AE197="5日線押し目○")),"◎押し目買い",IF(T197&gt;=10,"○買い候補",IF(T197&gt;=6,"△注目",IF(T197&gt;=3,"様子見","見送り"))))))))</f>
        <v>見送り</v>
      </c>
      <c r="Z197" s="189">
        <f t="shared" ref="Z197:Z206" si="79">IF(AND(E197&lt;&gt;"",G197&lt;&gt;"",G197&lt;&gt;0),(E197-G197)/G197*100,"")</f>
        <v>1.3123359580052494</v>
      </c>
      <c r="AA197" s="181" t="str">
        <f t="shared" ref="AA197:AA206" si="80">IF(OR(C197="",E197="",E197=0),"",IF(E197&gt;G197,"上昇▲",IF(E197&lt;G197,"下落▼","横ばい→")))</f>
        <v>上昇▲</v>
      </c>
      <c r="AB197" s="499">
        <f>IF(C197="","",IFERROR(((終値!E199*0.333)+(終値!F199*0.222)+(終値!G199*0.148)+(終値!H199*0.099)+(終値!I199*0.066)+(終値!J199*0.044)+(終値!K199*0.029)+(終値!L199*0.019)+(終値!M199*0.013)+(終値!N199*0.009))/(0.333+0.222+0.148+0.099+0.066+0.044+0.029+0.019+0.013+0.009),""))</f>
        <v>47556.863543788175</v>
      </c>
      <c r="AC197" s="499">
        <f>IF(C197="","",IFERROR(SUMPRODUCT((終値!E199:AC199)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42787.616209773529</v>
      </c>
      <c r="AD197" s="500" t="str">
        <f t="shared" si="71"/>
        <v>もみ合い→</v>
      </c>
      <c r="AE197" s="500" t="str">
        <f t="shared" si="72"/>
        <v>なし</v>
      </c>
      <c r="AF197" s="403" cm="1">
        <f t="array" ref="AF197">IF(C197="","",IFERROR((INDEX(終値!$E:$E,MATCH(TEXT(C197,"0"),終値!$A:$A,0))-INDEX(終値!$E:$BL,MATCH(TEXT(C197,"0"),終値!$A:$A,0),$AL$2))/INDEX(終値!$E:$BL,MATCH(TEXT(C197,"0"),終値!$A:$A,0),$AL$2)*100,""))</f>
        <v>-7.2561268620855355</v>
      </c>
      <c r="AG197" s="403" cm="1">
        <f t="array" ref="AG197">IFERROR((終値!$E$5-INDEX(終値!$E$5:$BL$5,1,$AL$2))/INDEX(終値!$E$5:$BL$5,1,$AL$2)*100,"")</f>
        <v>3.4532270246721688</v>
      </c>
      <c r="AH197" s="404">
        <f t="shared" si="74"/>
        <v>-10.709353886757704</v>
      </c>
      <c r="AI197" s="402">
        <f t="shared" si="75"/>
        <v>-2</v>
      </c>
    </row>
    <row r="198" spans="1:35" ht="18" customHeight="1">
      <c r="A198" s="181" t="str">
        <f>IF(銘柄管理!B33&lt;&gt;"",HYPERLINK("https://kabutan.jp/stock/?code="&amp;銘柄管理!B33,"株探"),"")</f>
        <v>株探</v>
      </c>
      <c r="B198" s="182"/>
      <c r="C198" s="183">
        <f>IF(銘柄管理!B33="","",銘柄管理!B33)</f>
        <v>8601</v>
      </c>
      <c r="D198" s="111" t="str">
        <f>IF(銘柄管理!C33="","",銘柄管理!C33)</f>
        <v>大和証券Ｇ本社</v>
      </c>
      <c r="E198" s="184">
        <f>IF(C198&lt;&gt;"",_xll.RssMarket(C198,"現在値"),"")</f>
        <v>1607.5</v>
      </c>
      <c r="F198" s="184">
        <f>IF(C198&lt;&gt;"",_xll.RssMarket(C198,"始値"),"")</f>
        <v>1614</v>
      </c>
      <c r="G198" s="183">
        <f>IF(C198&lt;&gt;"",終値!F33,"")</f>
        <v>1602.5</v>
      </c>
      <c r="H198" s="184">
        <f>IF(C198&lt;&gt;"",_xll.RssMarket(C198,"高値"),"")</f>
        <v>1625.5</v>
      </c>
      <c r="I198" s="184">
        <f>IF(C198&lt;&gt;"",_xll.RssMarket(C198,"安値"),"")</f>
        <v>1593</v>
      </c>
      <c r="J198" s="184">
        <f>IF(C198&lt;&gt;"",_xll.RssMarket(C198,"出来高"),"")</f>
        <v>4357200</v>
      </c>
      <c r="K198" s="184">
        <f>IF(C198&lt;&gt;"",_xll.RssMarket(C198,"年初来高値"),"")</f>
        <v>1686.5</v>
      </c>
      <c r="L198" s="185">
        <f t="shared" si="66"/>
        <v>-4.684257337681589</v>
      </c>
      <c r="M198" s="184">
        <f>IF(C198&lt;&gt;"",IFERROR(AVERAGE(出来高!E33:I33),""),"")</f>
        <v>4202900</v>
      </c>
      <c r="N198" s="184">
        <f>IF(C198&lt;&gt;"",IFERROR(AVERAGE(出来高!E33:AC33),""),"")</f>
        <v>4267996</v>
      </c>
      <c r="O198" s="186">
        <f t="shared" si="67"/>
        <v>1.0367127459611221</v>
      </c>
      <c r="P198" s="181" t="str">
        <f t="shared" si="68"/>
        <v>普通→</v>
      </c>
      <c r="Q198" s="181" t="str">
        <f t="shared" si="69"/>
        <v>中立→</v>
      </c>
      <c r="R198" s="184">
        <f t="shared" si="76"/>
        <v>1736</v>
      </c>
      <c r="S198" s="184">
        <f t="shared" si="77"/>
        <v>1543</v>
      </c>
      <c r="T198" s="181">
        <f t="shared" si="73"/>
        <v>7</v>
      </c>
      <c r="U198" s="181" t="str">
        <f t="shared" si="78"/>
        <v>要確認</v>
      </c>
      <c r="V198" s="181" t="str">
        <f t="shared" si="70"/>
        <v>高値圏</v>
      </c>
      <c r="W198" s="187">
        <f t="array" ref="W198">IF(C198&lt;&gt;"",IFERROR(100-100/(1+SUMPRODUCT((終値!F33:R33&gt;終値!G33:S33)*( 終値!F33:R33-終値!G33:S33))/SUMPRODUCT((終値!F33:R33&lt;終値!G33:S33)*(終値!G33:S33-終値!F33:R33))),50),"")</f>
        <v>69.841269841269849</v>
      </c>
      <c r="X198" s="188">
        <f>IF(C198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13.516257428185781</v>
      </c>
      <c r="Y198" s="1" t="str">
        <f>IF(T198="","",IF(銘柄管理!$F$5="下落▼",IF(AND(AD198="パーフェクト▲",OR(AE198="25日線押し目●",AE198="5日線押し目○")),"★逆張り候補",IF(AND(AD198="上昇トレンド▲",OR(AE198="25日線押し目●",AE198="5日線押し目○")),"○逆張り候補",IF(W198&lt;=30,IF(Z198&gt;0,"◎反発確認",IF(Z198&lt;-5,"△要注意・様子見","△売られ過ぎ注目")),"相場下落・見送り"))),IF(AND(T198&gt;=12,AD198="パーフェクト▲"),"★強い買い",IF(AND(T198&gt;=12,AD198="上昇トレンド▲"),"★強い買い",IF(AND(T198&gt;=8,OR(AE198="25日線押し目●",AE198="5日線押し目○")),"◎押し目買い",IF(T198&gt;=10,"○買い候補",IF(T198&gt;=6,"△注目",IF(T198&gt;=3,"様子見","見送り"))))))))</f>
        <v>△注目</v>
      </c>
      <c r="Z198" s="189">
        <f t="shared" si="79"/>
        <v>0.31201248049921998</v>
      </c>
      <c r="AA198" s="181" t="str">
        <f t="shared" si="80"/>
        <v>上昇▲</v>
      </c>
      <c r="AB198" s="497">
        <f>IF(C198="","",IFERROR(((終値!E200*0.333)+(終値!F200*0.222)+(終値!G200*0.148)+(終値!H200*0.099)+(終値!I200*0.066)+(終値!J200*0.044)+(終値!K200*0.029)+(終値!L200*0.019)+(終値!M200*0.013)+(終値!N200*0.009))/(0.333+0.222+0.148+0.099+0.066+0.044+0.029+0.019+0.013+0.009),""))</f>
        <v>45363.380855397139</v>
      </c>
      <c r="AC198" s="497">
        <f>IF(C198="","",IFERROR(SUMPRODUCT((終値!E200:AC200)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48547.914183551846</v>
      </c>
      <c r="AD198" s="498" t="str">
        <f t="shared" si="71"/>
        <v>下降トレンド▼</v>
      </c>
      <c r="AE198" s="498" t="str">
        <f t="shared" si="72"/>
        <v>なし</v>
      </c>
      <c r="AF198" s="403" cm="1">
        <f t="array" ref="AF198">IF(C198="","",IFERROR((INDEX(終値!$E:$E,MATCH(TEXT(C198,"0"),終値!$A:$A,0))-INDEX(終値!$E:$BL,MATCH(TEXT(C198,"0"),終値!$A:$A,0),$AL$2))/INDEX(終値!$E:$BL,MATCH(TEXT(C198,"0"),終値!$A:$A,0),$AL$2)*100,""))</f>
        <v>7.5250836120401345</v>
      </c>
      <c r="AG198" s="403" cm="1">
        <f t="array" ref="AG198">IFERROR((終値!$E$5-INDEX(終値!$E$5:$BL$5,1,$AL$2))/INDEX(終値!$E$5:$BL$5,1,$AL$2)*100,"")</f>
        <v>3.4532270246721688</v>
      </c>
      <c r="AH198" s="404">
        <f t="shared" si="74"/>
        <v>4.0718565873679662</v>
      </c>
      <c r="AI198" s="402">
        <f t="shared" si="75"/>
        <v>1</v>
      </c>
    </row>
    <row r="199" spans="1:35" ht="18" customHeight="1">
      <c r="A199" s="181" t="str">
        <f>IF(銘柄管理!B40&lt;&gt;"",HYPERLINK("https://kabutan.jp/stock/?code="&amp;銘柄管理!B40,"株探"),"")</f>
        <v>株探</v>
      </c>
      <c r="B199" s="182"/>
      <c r="C199" s="183">
        <f>IF(銘柄管理!B40="","",銘柄管理!B40)</f>
        <v>8604</v>
      </c>
      <c r="D199" s="111" t="str">
        <f>IF(銘柄管理!C40="","",銘柄管理!C40)</f>
        <v>野村ホールディングス</v>
      </c>
      <c r="E199" s="184">
        <f>IF(C199&lt;&gt;"",_xll.RssMarket(C199,"現在値"),"")</f>
        <v>1451</v>
      </c>
      <c r="F199" s="184">
        <f>IF(C199&lt;&gt;"",_xll.RssMarket(C199,"始値"),"")</f>
        <v>1430</v>
      </c>
      <c r="G199" s="183">
        <f>IF(C199&lt;&gt;"",終値!F40,"")</f>
        <v>1415</v>
      </c>
      <c r="H199" s="184">
        <f>IF(C199&lt;&gt;"",_xll.RssMarket(C199,"高値"),"")</f>
        <v>1478</v>
      </c>
      <c r="I199" s="184">
        <f>IF(C199&lt;&gt;"",_xll.RssMarket(C199,"安値"),"")</f>
        <v>1428.5</v>
      </c>
      <c r="J199" s="184">
        <f>IF(C199&lt;&gt;"",_xll.RssMarket(C199,"出来高"),"")</f>
        <v>14384100</v>
      </c>
      <c r="K199" s="184">
        <f>IF(C199&lt;&gt;"",_xll.RssMarket(C199,"年初来高値"),"")</f>
        <v>1506.5</v>
      </c>
      <c r="L199" s="185">
        <f t="shared" si="66"/>
        <v>-3.6840358446730836</v>
      </c>
      <c r="M199" s="184">
        <f>IF(C199&lt;&gt;"",IFERROR(AVERAGE(出来高!E40:I40),""),"")</f>
        <v>9561740</v>
      </c>
      <c r="N199" s="184">
        <f>IF(C199&lt;&gt;"",IFERROR(AVERAGE(出来高!E40:AC40),""),"")</f>
        <v>10507100</v>
      </c>
      <c r="O199" s="186">
        <f t="shared" si="67"/>
        <v>1.504339168394037</v>
      </c>
      <c r="P199" s="181" t="str">
        <f t="shared" si="68"/>
        <v>増加↑</v>
      </c>
      <c r="Q199" s="181" t="str">
        <f t="shared" si="69"/>
        <v>買い▲</v>
      </c>
      <c r="R199" s="184">
        <f t="shared" si="76"/>
        <v>1567</v>
      </c>
      <c r="S199" s="184">
        <f t="shared" si="77"/>
        <v>1393</v>
      </c>
      <c r="T199" s="181">
        <f t="shared" si="73"/>
        <v>13</v>
      </c>
      <c r="U199" s="181" t="str">
        <f t="shared" si="78"/>
        <v>有効</v>
      </c>
      <c r="V199" s="181" t="str">
        <f t="shared" si="70"/>
        <v>高値圏</v>
      </c>
      <c r="W199" s="187">
        <f t="array" ref="W199">IF(C199&lt;&gt;"",IFERROR(100-100/(1+SUMPRODUCT((終値!F40:R40&gt;終値!G40:S40)*( 終値!F40:R40-終値!G40:S40))/SUMPRODUCT((終値!F40:R40&lt;終値!G40:S40)*(終値!G40:S40-終値!F40:R40))),50),"")</f>
        <v>77.203065134099617</v>
      </c>
      <c r="X199" s="188">
        <f>IF(C199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19.68387571197195</v>
      </c>
      <c r="Y199" s="1" t="str">
        <f>IF(T199="","",IF(銘柄管理!$F$5="下落▼",IF(AND(AD199="パーフェクト▲",OR(AE199="25日線押し目●",AE199="5日線押し目○")),"★逆張り候補",IF(AND(AD199="上昇トレンド▲",OR(AE199="25日線押し目●",AE199="5日線押し目○")),"○逆張り候補",IF(W199&lt;=30,IF(Z199&gt;0,"◎反発確認",IF(Z199&lt;-5,"△要注意・様子見","△売られ過ぎ注目")),"相場下落・見送り"))),IF(AND(T199&gt;=12,AD199="パーフェクト▲"),"★強い買い",IF(AND(T199&gt;=12,AD199="上昇トレンド▲"),"★強い買い",IF(AND(T199&gt;=8,OR(AE199="25日線押し目●",AE199="5日線押し目○")),"◎押し目買い",IF(T199&gt;=10,"○買い候補",IF(T199&gt;=6,"△注目",IF(T199&gt;=3,"様子見","見送り"))))))))</f>
        <v>○買い候補</v>
      </c>
      <c r="Z199" s="189">
        <f t="shared" si="79"/>
        <v>2.5441696113074208</v>
      </c>
      <c r="AA199" s="181" t="str">
        <f t="shared" si="80"/>
        <v>上昇▲</v>
      </c>
      <c r="AB199" s="499">
        <f>IF(C199="","",IFERROR(((終値!E201*0.333)+(終値!F201*0.222)+(終値!G201*0.148)+(終値!H201*0.099)+(終値!I201*0.066)+(終値!J201*0.044)+(終値!K201*0.029)+(終値!L201*0.019)+(終値!M201*0.013)+(終値!N201*0.009))/(0.333+0.222+0.148+0.099+0.066+0.044+0.029+0.019+0.013+0.009),""))</f>
        <v>6680.7026476578385</v>
      </c>
      <c r="AC199" s="499">
        <f>IF(C199="","",IFERROR(SUMPRODUCT((終値!E201:AC201)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6731.8533969010723</v>
      </c>
      <c r="AD199" s="500" t="str">
        <f t="shared" si="71"/>
        <v>下降トレンド▼</v>
      </c>
      <c r="AE199" s="500" t="str">
        <f t="shared" si="72"/>
        <v>なし</v>
      </c>
      <c r="AF199" s="403" cm="1">
        <f t="array" ref="AF199">IF(C199="","",IFERROR((INDEX(終値!$E:$E,MATCH(TEXT(C199,"0"),終値!$A:$A,0))-INDEX(終値!$E:$BL,MATCH(TEXT(C199,"0"),終値!$A:$A,0),$AL$2))/INDEX(終値!$E:$BL,MATCH(TEXT(C199,"0"),終値!$A:$A,0),$AL$2)*100,""))</f>
        <v>14.703557312252965</v>
      </c>
      <c r="AG199" s="403" cm="1">
        <f t="array" ref="AG199">IFERROR((終値!$E$5-INDEX(終値!$E$5:$BL$5,1,$AL$2))/INDEX(終値!$E$5:$BL$5,1,$AL$2)*100,"")</f>
        <v>3.4532270246721688</v>
      </c>
      <c r="AH199" s="404">
        <f t="shared" si="74"/>
        <v>11.250330287580796</v>
      </c>
      <c r="AI199" s="402">
        <f t="shared" si="75"/>
        <v>3</v>
      </c>
    </row>
    <row r="200" spans="1:35" ht="18" customHeight="1">
      <c r="A200" s="181" t="str">
        <f>IF(銘柄管理!B43&lt;&gt;"",HYPERLINK("https://kabutan.jp/stock/?code="&amp;銘柄管理!B43,"株探"),"")</f>
        <v>株探</v>
      </c>
      <c r="B200" s="182"/>
      <c r="C200" s="183">
        <f>IF(銘柄管理!B43="","",銘柄管理!B43)</f>
        <v>8750</v>
      </c>
      <c r="D200" s="111" t="str">
        <f>IF(銘柄管理!C43="","",銘柄管理!C43)</f>
        <v>第一ライフグループ</v>
      </c>
      <c r="E200" s="184">
        <f>IF(C200&lt;&gt;"",_xll.RssMarket(C200,"現在値"),"")</f>
        <v>1793</v>
      </c>
      <c r="F200" s="184">
        <f>IF(C200&lt;&gt;"",_xll.RssMarket(C200,"始値"),"")</f>
        <v>1820</v>
      </c>
      <c r="G200" s="183">
        <f>IF(C200&lt;&gt;"",終値!F43,"")</f>
        <v>1789.5</v>
      </c>
      <c r="H200" s="184">
        <f>IF(C200&lt;&gt;"",_xll.RssMarket(C200,"高値"),"")</f>
        <v>1834</v>
      </c>
      <c r="I200" s="184">
        <f>IF(C200&lt;&gt;"",_xll.RssMarket(C200,"安値"),"")</f>
        <v>1788.5</v>
      </c>
      <c r="J200" s="184">
        <f>IF(C200&lt;&gt;"",_xll.RssMarket(C200,"出来高"),"")</f>
        <v>7912400</v>
      </c>
      <c r="K200" s="184">
        <f>IF(C200&lt;&gt;"",_xll.RssMarket(C200,"年初来高値"),"")</f>
        <v>1816</v>
      </c>
      <c r="L200" s="185">
        <f t="shared" si="66"/>
        <v>-1.2665198237885462</v>
      </c>
      <c r="M200" s="184">
        <f>IF(C200&lt;&gt;"",IFERROR(AVERAGE(出来高!E43:I43),""),"")</f>
        <v>10645800</v>
      </c>
      <c r="N200" s="184">
        <f>IF(C200&lt;&gt;"",IFERROR(AVERAGE(出来高!E43:AC43),""),"")</f>
        <v>9131896</v>
      </c>
      <c r="O200" s="186">
        <f t="shared" si="67"/>
        <v>0.7432414661180935</v>
      </c>
      <c r="P200" s="181" t="str">
        <f t="shared" si="68"/>
        <v>減少↓</v>
      </c>
      <c r="Q200" s="181" t="str">
        <f t="shared" si="69"/>
        <v>中立→</v>
      </c>
      <c r="R200" s="184">
        <f t="shared" si="76"/>
        <v>1936</v>
      </c>
      <c r="S200" s="184">
        <f t="shared" si="77"/>
        <v>1721</v>
      </c>
      <c r="T200" s="181">
        <f t="shared" si="73"/>
        <v>9</v>
      </c>
      <c r="U200" s="181" t="str">
        <f t="shared" si="78"/>
        <v>要確認</v>
      </c>
      <c r="V200" s="181" t="str">
        <f t="shared" si="70"/>
        <v>年初来高値更新●</v>
      </c>
      <c r="W200" s="187">
        <f t="array" ref="W200">IF(C200&lt;&gt;"",IFERROR(100-100/(1+SUMPRODUCT((終値!F43:R43&gt;終値!G43:S43)*( 終値!F43:R43-終値!G43:S43))/SUMPRODUCT((終値!F43:R43&lt;終値!G43:S43)*(終値!G43:S43-終値!F43:R43))),50),"")</f>
        <v>76.109936575052856</v>
      </c>
      <c r="X200" s="188">
        <f>IF(C200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18.190940697901397</v>
      </c>
      <c r="Y200" s="1" t="str">
        <f>IF(T200="","",IF(銘柄管理!$F$5="下落▼",IF(AND(AD200="パーフェクト▲",OR(AE200="25日線押し目●",AE200="5日線押し目○")),"★逆張り候補",IF(AND(AD200="上昇トレンド▲",OR(AE200="25日線押し目●",AE200="5日線押し目○")),"○逆張り候補",IF(W200&lt;=30,IF(Z200&gt;0,"◎反発確認",IF(Z200&lt;-5,"△要注意・様子見","△売られ過ぎ注目")),"相場下落・見送り"))),IF(AND(T200&gt;=12,AD200="パーフェクト▲"),"★強い買い",IF(AND(T200&gt;=12,AD200="上昇トレンド▲"),"★強い買い",IF(AND(T200&gt;=8,OR(AE200="25日線押し目●",AE200="5日線押し目○")),"◎押し目買い",IF(T200&gt;=10,"○買い候補",IF(T200&gt;=6,"△注目",IF(T200&gt;=3,"様子見","見送り"))))))))</f>
        <v>△注目</v>
      </c>
      <c r="Z200" s="189">
        <f t="shared" si="79"/>
        <v>0.19558535903883767</v>
      </c>
      <c r="AA200" s="181" t="str">
        <f t="shared" si="80"/>
        <v>上昇▲</v>
      </c>
      <c r="AB200" s="497">
        <f>IF(C200="","",IFERROR(((終値!E202*0.333)+(終値!F202*0.222)+(終値!G202*0.148)+(終値!H202*0.099)+(終値!I202*0.066)+(終値!J202*0.044)+(終値!K202*0.029)+(終値!L202*0.019)+(終値!M202*0.013)+(終値!N202*0.009))/(0.333+0.222+0.148+0.099+0.066+0.044+0.029+0.019+0.013+0.009),""))</f>
        <v>5203.1221995926662</v>
      </c>
      <c r="AC200" s="497">
        <f>IF(C200="","",IFERROR(SUMPRODUCT((終値!E202:AC202)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5298.4183551847427</v>
      </c>
      <c r="AD200" s="498" t="str">
        <f t="shared" si="71"/>
        <v>下降トレンド▼</v>
      </c>
      <c r="AE200" s="498" t="str">
        <f t="shared" si="72"/>
        <v>なし</v>
      </c>
      <c r="AF200" s="403" cm="1">
        <f t="array" ref="AF200">IF(C200="","",IFERROR((INDEX(終値!$E:$E,MATCH(TEXT(C200,"0"),終値!$A:$A,0))-INDEX(終値!$E:$BL,MATCH(TEXT(C200,"0"),終値!$A:$A,0),$AL$2))/INDEX(終値!$E:$BL,MATCH(TEXT(C200,"0"),終値!$A:$A,0),$AL$2)*100,""))</f>
        <v>19.533333333333331</v>
      </c>
      <c r="AG200" s="403" cm="1">
        <f t="array" ref="AG200">IFERROR((終値!$E$5-INDEX(終値!$E$5:$BL$5,1,$AL$2))/INDEX(終値!$E$5:$BL$5,1,$AL$2)*100,"")</f>
        <v>3.4532270246721688</v>
      </c>
      <c r="AH200" s="404">
        <f t="shared" si="74"/>
        <v>16.080106308661161</v>
      </c>
      <c r="AI200" s="402">
        <f t="shared" si="75"/>
        <v>3</v>
      </c>
    </row>
    <row r="201" spans="1:35" ht="18" customHeight="1">
      <c r="A201" s="181" t="str">
        <f>IF(銘柄管理!B45&lt;&gt;"",HYPERLINK("https://kabutan.jp/stock/?code="&amp;銘柄管理!B45,"株探"),"")</f>
        <v>株探</v>
      </c>
      <c r="B201" s="182"/>
      <c r="C201" s="183">
        <f>IF(銘柄管理!B45="","",銘柄管理!B45)</f>
        <v>8306</v>
      </c>
      <c r="D201" s="111" t="str">
        <f>IF(銘柄管理!C45="","",銘柄管理!C45)</f>
        <v>三菱ＵＦＪフィナンシャルＧ</v>
      </c>
      <c r="E201" s="184">
        <f>IF(C201&lt;&gt;"",_xll.RssMarket(C201,"現在値"),"")</f>
        <v>3272</v>
      </c>
      <c r="F201" s="184">
        <f>IF(C201&lt;&gt;"",_xll.RssMarket(C201,"始値"),"")</f>
        <v>3266</v>
      </c>
      <c r="G201" s="183">
        <f>IF(C201&lt;&gt;"",終値!F45,"")</f>
        <v>3228</v>
      </c>
      <c r="H201" s="184">
        <f>IF(C201&lt;&gt;"",_xll.RssMarket(C201,"高値"),"")</f>
        <v>3312</v>
      </c>
      <c r="I201" s="184">
        <f>IF(C201&lt;&gt;"",_xll.RssMarket(C201,"安値"),"")</f>
        <v>3260</v>
      </c>
      <c r="J201" s="184">
        <f>IF(C201&lt;&gt;"",_xll.RssMarket(C201,"出来高"),"")</f>
        <v>42080800</v>
      </c>
      <c r="K201" s="184">
        <f>IF(C201&lt;&gt;"",_xll.RssMarket(C201,"年初来高値"),"")</f>
        <v>3327</v>
      </c>
      <c r="L201" s="185">
        <f t="shared" si="66"/>
        <v>-1.653140967838894</v>
      </c>
      <c r="M201" s="184">
        <f>IF(C201&lt;&gt;"",IFERROR(AVERAGE(出来高!E45:I45),""),"")</f>
        <v>47836200</v>
      </c>
      <c r="N201" s="184">
        <f>IF(C201&lt;&gt;"",IFERROR(AVERAGE(出来高!E45:AC45),""),"")</f>
        <v>44708120</v>
      </c>
      <c r="O201" s="186">
        <f t="shared" si="67"/>
        <v>0.87968525928062846</v>
      </c>
      <c r="P201" s="181" t="str">
        <f t="shared" si="68"/>
        <v>減少↓</v>
      </c>
      <c r="Q201" s="181" t="str">
        <f t="shared" si="69"/>
        <v>中立→</v>
      </c>
      <c r="R201" s="184">
        <f t="shared" si="76"/>
        <v>3534</v>
      </c>
      <c r="S201" s="184">
        <f t="shared" si="77"/>
        <v>3141</v>
      </c>
      <c r="T201" s="181">
        <f t="shared" si="73"/>
        <v>8</v>
      </c>
      <c r="U201" s="181" t="str">
        <f t="shared" si="78"/>
        <v>要確認</v>
      </c>
      <c r="V201" s="181" t="str">
        <f t="shared" si="70"/>
        <v>高値圏</v>
      </c>
      <c r="W201" s="187">
        <f t="array" ref="W201">IF(C201&lt;&gt;"",IFERROR(100-100/(1+SUMPRODUCT((終値!F45:R45&gt;終値!G45:S45)*( 終値!F45:R45-終値!G45:S45))/SUMPRODUCT((終値!F45:R45&lt;終値!G45:S45)*(終値!G45:S45-終値!F45:R45))),50),"")</f>
        <v>65.697674418604663</v>
      </c>
      <c r="X201" s="188">
        <f>IF(C201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29.022626861277331</v>
      </c>
      <c r="Y201" s="1" t="str">
        <f>IF(T201="","",IF(銘柄管理!$F$5="下落▼",IF(AND(AD201="パーフェクト▲",OR(AE201="25日線押し目●",AE201="5日線押し目○")),"★逆張り候補",IF(AND(AD201="上昇トレンド▲",OR(AE201="25日線押し目●",AE201="5日線押し目○")),"○逆張り候補",IF(W201&lt;=30,IF(Z201&gt;0,"◎反発確認",IF(Z201&lt;-5,"△要注意・様子見","△売られ過ぎ注目")),"相場下落・見送り"))),IF(AND(T201&gt;=12,AD201="パーフェクト▲"),"★強い買い",IF(AND(T201&gt;=12,AD201="上昇トレンド▲"),"★強い買い",IF(AND(T201&gt;=8,OR(AE201="25日線押し目●",AE201="5日線押し目○")),"◎押し目買い",IF(T201&gt;=10,"○買い候補",IF(T201&gt;=6,"△注目",IF(T201&gt;=3,"様子見","見送り"))))))))</f>
        <v>△注目</v>
      </c>
      <c r="Z201" s="189">
        <f t="shared" si="79"/>
        <v>1.3630731102850062</v>
      </c>
      <c r="AA201" s="181" t="str">
        <f t="shared" si="80"/>
        <v>上昇▲</v>
      </c>
      <c r="AB201" s="499">
        <f>IF(C201="","",IFERROR(((終値!E203*0.333)+(終値!F203*0.222)+(終値!G203*0.148)+(終値!H203*0.099)+(終値!I203*0.066)+(終値!J203*0.044)+(終値!K203*0.029)+(終値!L203*0.019)+(終値!M203*0.013)+(終値!N203*0.009))/(0.333+0.222+0.148+0.099+0.066+0.044+0.029+0.019+0.013+0.009),""))</f>
        <v>5350.7026476578403</v>
      </c>
      <c r="AC201" s="499">
        <f>IF(C201="","",IFERROR(SUMPRODUCT((終値!E203:AC203)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5256.0560190703181</v>
      </c>
      <c r="AD201" s="500" t="str">
        <f t="shared" si="71"/>
        <v>もみ合い→</v>
      </c>
      <c r="AE201" s="500" t="str">
        <f t="shared" si="72"/>
        <v>なし</v>
      </c>
      <c r="AF201" s="403" cm="1">
        <f t="array" ref="AF201">IF(C201="","",IFERROR((INDEX(終値!$E:$E,MATCH(TEXT(C201,"0"),終値!$A:$A,0))-INDEX(終値!$E:$BL,MATCH(TEXT(C201,"0"),終値!$A:$A,0),$AL$2))/INDEX(終値!$E:$BL,MATCH(TEXT(C201,"0"),終値!$A:$A,0),$AL$2)*100,""))</f>
        <v>13.72957942301008</v>
      </c>
      <c r="AG201" s="403" cm="1">
        <f t="array" ref="AG201">IFERROR((終値!$E$5-INDEX(終値!$E$5:$BL$5,1,$AL$2))/INDEX(終値!$E$5:$BL$5,1,$AL$2)*100,"")</f>
        <v>3.4532270246721688</v>
      </c>
      <c r="AH201" s="404">
        <f t="shared" si="74"/>
        <v>10.276352398337911</v>
      </c>
      <c r="AI201" s="402">
        <f t="shared" si="75"/>
        <v>3</v>
      </c>
    </row>
    <row r="202" spans="1:35" ht="18" customHeight="1">
      <c r="A202" s="181" t="str">
        <f>IF(銘柄管理!B75&lt;&gt;"",HYPERLINK("https://kabutan.jp/stock/?code="&amp;銘柄管理!B75,"株探"),"")</f>
        <v>株探</v>
      </c>
      <c r="B202" s="182"/>
      <c r="C202" s="183">
        <f>IF(銘柄管理!B75="","",銘柄管理!B75)</f>
        <v>7846</v>
      </c>
      <c r="D202" s="111" t="str">
        <f>IF(銘柄管理!C75="","",銘柄管理!C75)</f>
        <v>パイロットコーポレーション</v>
      </c>
      <c r="E202" s="184">
        <f>IF(C202&lt;&gt;"",_xll.RssMarket(C202,"現在値"),"")</f>
        <v>5003</v>
      </c>
      <c r="F202" s="184">
        <f>IF(C202&lt;&gt;"",_xll.RssMarket(C202,"始値"),"")</f>
        <v>4981</v>
      </c>
      <c r="G202" s="183">
        <f>IF(C202&lt;&gt;"",終値!F75,"")</f>
        <v>4950</v>
      </c>
      <c r="H202" s="184">
        <f>IF(C202&lt;&gt;"",_xll.RssMarket(C202,"高値"),"")</f>
        <v>5009</v>
      </c>
      <c r="I202" s="184">
        <f>IF(C202&lt;&gt;"",_xll.RssMarket(C202,"安値"),"")</f>
        <v>4964</v>
      </c>
      <c r="J202" s="184">
        <f>IF(C202&lt;&gt;"",_xll.RssMarket(C202,"出来高"),"")</f>
        <v>66000</v>
      </c>
      <c r="K202" s="184">
        <f>IF(C202&lt;&gt;"",_xll.RssMarket(C202,"年初来高値"),"")</f>
        <v>5134</v>
      </c>
      <c r="L202" s="185">
        <f t="shared" si="66"/>
        <v>-2.5516166731593302</v>
      </c>
      <c r="M202" s="184">
        <f>IF(C202&lt;&gt;"",IFERROR(AVERAGE(出来高!E75:I75),""),"")</f>
        <v>71700</v>
      </c>
      <c r="N202" s="184">
        <f>IF(C202&lt;&gt;"",IFERROR(AVERAGE(出来高!E75:AC75),""),"")</f>
        <v>92408</v>
      </c>
      <c r="O202" s="186">
        <f t="shared" si="67"/>
        <v>0.92050209205020916</v>
      </c>
      <c r="P202" s="181" t="str">
        <f t="shared" si="68"/>
        <v>減少↓</v>
      </c>
      <c r="Q202" s="181" t="str">
        <f t="shared" si="69"/>
        <v>中立→</v>
      </c>
      <c r="R202" s="184">
        <f t="shared" si="76"/>
        <v>5403</v>
      </c>
      <c r="S202" s="184">
        <f t="shared" si="77"/>
        <v>4803</v>
      </c>
      <c r="T202" s="181">
        <f t="shared" si="73"/>
        <v>9</v>
      </c>
      <c r="U202" s="181" t="str">
        <f t="shared" si="78"/>
        <v>要確認</v>
      </c>
      <c r="V202" s="181" t="str">
        <f t="shared" si="70"/>
        <v>高値圏</v>
      </c>
      <c r="W202" s="187">
        <f t="array" ref="W202">IF(C202&lt;&gt;"",IFERROR(100-100/(1+SUMPRODUCT((終値!F75:R75&gt;終値!G75:S75)*( 終値!F75:R75-終値!G75:S75))/SUMPRODUCT((終値!F75:R75&lt;終値!G75:S75)*(終値!G75:S75-終値!F75:R75))),50),"")</f>
        <v>50.163398692810453</v>
      </c>
      <c r="X202" s="188">
        <f>IF(C202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17.096250980142941</v>
      </c>
      <c r="Y202" s="1" t="str">
        <f>IF(T202="","",IF(銘柄管理!$F$5="下落▼",IF(AND(AD202="パーフェクト▲",OR(AE202="25日線押し目●",AE202="5日線押し目○")),"★逆張り候補",IF(AND(AD202="上昇トレンド▲",OR(AE202="25日線押し目●",AE202="5日線押し目○")),"○逆張り候補",IF(W202&lt;=30,IF(Z202&gt;0,"◎反発確認",IF(Z202&lt;-5,"△要注意・様子見","△売られ過ぎ注目")),"相場下落・見送り"))),IF(AND(T202&gt;=12,AD202="パーフェクト▲"),"★強い買い",IF(AND(T202&gt;=12,AD202="上昇トレンド▲"),"★強い買い",IF(AND(T202&gt;=8,OR(AE202="25日線押し目●",AE202="5日線押し目○")),"◎押し目買い",IF(T202&gt;=10,"○買い候補",IF(T202&gt;=6,"△注目",IF(T202&gt;=3,"様子見","見送り"))))))))</f>
        <v>△注目</v>
      </c>
      <c r="Z202" s="189">
        <f t="shared" si="79"/>
        <v>1.0707070707070707</v>
      </c>
      <c r="AA202" s="181" t="str">
        <f t="shared" si="80"/>
        <v>上昇▲</v>
      </c>
      <c r="AB202" s="497">
        <f>IF(C202="","",IFERROR(((終値!E204*0.333)+(終値!F204*0.222)+(終値!G204*0.148)+(終値!H204*0.099)+(終値!I204*0.066)+(終値!J204*0.044)+(終値!K204*0.029)+(終値!L204*0.019)+(終値!M204*0.013)+(終値!N204*0.009))/(0.333+0.222+0.148+0.099+0.066+0.044+0.029+0.019+0.013+0.009),""))</f>
        <v>6280.1731160896134</v>
      </c>
      <c r="AC202" s="497">
        <f>IF(C202="","",IFERROR(SUMPRODUCT((終値!E204:AC204)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6519.5911799761607</v>
      </c>
      <c r="AD202" s="498" t="str">
        <f t="shared" si="71"/>
        <v>下降トレンド▼</v>
      </c>
      <c r="AE202" s="498" t="str">
        <f t="shared" si="72"/>
        <v>なし</v>
      </c>
      <c r="AF202" s="403" cm="1">
        <f t="array" ref="AF202">IF(C202="","",IFERROR((INDEX(終値!$E:$E,MATCH(TEXT(C202,"0"),終値!$A:$A,0))-INDEX(終値!$E:$BL,MATCH(TEXT(C202,"0"),終値!$A:$A,0),$AL$2))/INDEX(終値!$E:$BL,MATCH(TEXT(C202,"0"),終値!$A:$A,0),$AL$2)*100,""))</f>
        <v>9.8835932352295188</v>
      </c>
      <c r="AG202" s="403" cm="1">
        <f t="array" ref="AG202">IFERROR((終値!$E$5-INDEX(終値!$E$5:$BL$5,1,$AL$2))/INDEX(終値!$E$5:$BL$5,1,$AL$2)*100,"")</f>
        <v>3.4532270246721688</v>
      </c>
      <c r="AH202" s="404">
        <f t="shared" si="74"/>
        <v>6.4303662105573505</v>
      </c>
      <c r="AI202" s="402">
        <f t="shared" si="75"/>
        <v>3</v>
      </c>
    </row>
    <row r="203" spans="1:35" ht="23.25" customHeight="1">
      <c r="A203" s="181" t="str">
        <f>IF(銘柄管理!B115&lt;&gt;"",HYPERLINK("https://kabutan.jp/stock/?code="&amp;銘柄管理!B115,"株探"),"")</f>
        <v>株探</v>
      </c>
      <c r="B203" s="182"/>
      <c r="C203" s="183">
        <f>IF(銘柄管理!B115="","",銘柄管理!B115)</f>
        <v>9531</v>
      </c>
      <c r="D203" s="111" t="str">
        <f>IF(銘柄管理!C115="","",銘柄管理!C115)</f>
        <v>東京瓦斯</v>
      </c>
      <c r="E203" s="184">
        <f>IF(C203&lt;&gt;"",_xll.RssMarket(C203,"現在値"),"")</f>
        <v>6151</v>
      </c>
      <c r="F203" s="184">
        <f>IF(C203&lt;&gt;"",_xll.RssMarket(C203,"始値"),"")</f>
        <v>6300</v>
      </c>
      <c r="G203" s="183">
        <f>IF(C203&lt;&gt;"",終値!F115,"")</f>
        <v>6223</v>
      </c>
      <c r="H203" s="184">
        <f>IF(C203&lt;&gt;"",_xll.RssMarket(C203,"高値"),"")</f>
        <v>6300</v>
      </c>
      <c r="I203" s="184">
        <f>IF(C203&lt;&gt;"",_xll.RssMarket(C203,"安値"),"")</f>
        <v>6138</v>
      </c>
      <c r="J203" s="184">
        <f>IF(C203&lt;&gt;"",_xll.RssMarket(C203,"出来高"),"")</f>
        <v>833700</v>
      </c>
      <c r="K203" s="184">
        <f>IF(C203&lt;&gt;"",_xll.RssMarket(C203,"年初来高値"),"")</f>
        <v>7967</v>
      </c>
      <c r="L203" s="185">
        <f t="shared" si="66"/>
        <v>-22.794025354587674</v>
      </c>
      <c r="M203" s="184">
        <f>IF(C203&lt;&gt;"",IFERROR(AVERAGE(出来高!E115:I115),""),"")</f>
        <v>1032140</v>
      </c>
      <c r="N203" s="184">
        <f>IF(C203&lt;&gt;"",IFERROR(AVERAGE(出来高!E115:AC115),""),"")</f>
        <v>1346168</v>
      </c>
      <c r="O203" s="186">
        <f t="shared" si="67"/>
        <v>0.80773926017788289</v>
      </c>
      <c r="P203" s="181" t="str">
        <f t="shared" si="68"/>
        <v>減少↓</v>
      </c>
      <c r="Q203" s="181" t="str">
        <f t="shared" si="69"/>
        <v>様子見▼</v>
      </c>
      <c r="R203" s="184">
        <f t="shared" si="76"/>
        <v>6643</v>
      </c>
      <c r="S203" s="184">
        <f t="shared" si="77"/>
        <v>5905</v>
      </c>
      <c r="T203" s="181">
        <f t="shared" si="73"/>
        <v>-1</v>
      </c>
      <c r="U203" s="181" t="str">
        <f t="shared" si="78"/>
        <v>除外</v>
      </c>
      <c r="V203" s="181" t="str">
        <f t="shared" si="70"/>
        <v>通常</v>
      </c>
      <c r="W203" s="187">
        <f t="array" ref="W203">IF(C203&lt;&gt;"",IFERROR(100-100/(1+SUMPRODUCT((終値!F115:R115&gt;終値!G115:S115)*( 終値!F115:R115-終値!G115:S115))/SUMPRODUCT((終値!F115:R115&lt;終値!G115:S115)*(終値!G115:S115-終値!F115:R115))),50),"")</f>
        <v>40.414041404140413</v>
      </c>
      <c r="X203" s="188">
        <f>IF(C203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-45.072040964973894</v>
      </c>
      <c r="Y203" s="1" t="str">
        <f>IF(T203="","",IF(銘柄管理!$F$5="下落▼",IF(AND(AD203="パーフェクト▲",OR(AE203="25日線押し目●",AE203="5日線押し目○")),"★逆張り候補",IF(AND(AD203="上昇トレンド▲",OR(AE203="25日線押し目●",AE203="5日線押し目○")),"○逆張り候補",IF(W203&lt;=30,IF(Z203&gt;0,"◎反発確認",IF(Z203&lt;-5,"△要注意・様子見","△売られ過ぎ注目")),"相場下落・見送り"))),IF(AND(T203&gt;=12,AD203="パーフェクト▲"),"★強い買い",IF(AND(T203&gt;=12,AD203="上昇トレンド▲"),"★強い買い",IF(AND(T203&gt;=8,OR(AE203="25日線押し目●",AE203="5日線押し目○")),"◎押し目買い",IF(T203&gt;=10,"○買い候補",IF(T203&gt;=6,"△注目",IF(T203&gt;=3,"様子見","見送り"))))))))</f>
        <v>見送り</v>
      </c>
      <c r="Z203" s="189">
        <f t="shared" si="79"/>
        <v>-1.1569982323638117</v>
      </c>
      <c r="AA203" s="181" t="str">
        <f t="shared" si="80"/>
        <v>下落▼</v>
      </c>
      <c r="AB203" s="190">
        <f>IF(OR(C203="",C203="TOPX",終値!E115=""),"",IFERROR(((終値!E115*0.333)+(終値!F115*0.222)+(終値!G115*0.148)+(終値!H115*0.099)+(終値!I115*0.066))/(0.333+0.222+0.148+0.099+0.066),""))</f>
        <v>6234.8709677419338</v>
      </c>
      <c r="AC203" s="190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6342.0846245530374</v>
      </c>
      <c r="AD203" s="191" t="str">
        <f t="shared" ref="AD203:AD206" si="81">IF(OR(C203="",AB203="",AC203="",AB203=0,AC203=0),"",IF(AND(E203&gt;AB203,AB203&gt;AC203),"パーフェクト▲",IF(E203&gt;AC203,"上昇トレンド▲",IF(AND(E203&lt;AB203,AB203&lt;AC203),"下降トレンド▼","もみ合い→"))))</f>
        <v>下降トレンド▼</v>
      </c>
      <c r="AE203" s="191" t="str">
        <f t="shared" ref="AE203:AE206" si="82">IF(OR(C203="",AB203="",AC203=""),"",IF(AND(ABS(E203-AC203)/AC203&lt;=0.02,E203&gt;AC203),"25日線押し目●",IF(AND(ABS(E203-AB203)/AB203&lt;=0.01,E203&gt;AB203),"5日線押し目○","なし")))</f>
        <v>なし</v>
      </c>
      <c r="AF203" s="403" cm="1">
        <f t="array" ref="AF203">IF(C203="","",IFERROR((INDEX(終値!$E:$E,MATCH(TEXT(C203,"0"),終値!$A:$A,0))-INDEX(終値!$E:$BL,MATCH(TEXT(C203,"0"),終値!$A:$A,0),$AL$2))/INDEX(終値!$E:$BL,MATCH(TEXT(C203,"0"),終値!$A:$A,0),$AL$2)*100,""))</f>
        <v>-7.1547169811320757</v>
      </c>
      <c r="AG203" s="403" cm="1">
        <f t="array" ref="AG203">IFERROR((終値!$E$5-INDEX(終値!$E$5:$BL$5,1,$AL$2))/INDEX(終値!$E$5:$BL$5,1,$AL$2)*100,"")</f>
        <v>3.4532270246721688</v>
      </c>
      <c r="AH203" s="404">
        <f t="shared" si="74"/>
        <v>-10.607944005804244</v>
      </c>
      <c r="AI203" s="402">
        <f t="shared" si="75"/>
        <v>-2</v>
      </c>
    </row>
    <row r="204" spans="1:35" ht="23.25" customHeight="1">
      <c r="A204" s="181" t="str">
        <f>IF(銘柄管理!B122&lt;&gt;"",HYPERLINK("https://kabutan.jp/stock/?code="&amp;銘柄管理!B122,"株探"),"")</f>
        <v>株探</v>
      </c>
      <c r="B204" s="182"/>
      <c r="C204" s="183">
        <f>IF(銘柄管理!B122="","",銘柄管理!B122)</f>
        <v>8334</v>
      </c>
      <c r="D204" s="111" t="str">
        <f>IF(銘柄管理!C122="","",銘柄管理!C122)</f>
        <v>群馬銀行</v>
      </c>
      <c r="E204" s="184">
        <f>IF(C204&lt;&gt;"",_xll.RssMarket(C204,"現在値"),"")</f>
        <v>2307</v>
      </c>
      <c r="F204" s="184">
        <f>IF(C204&lt;&gt;"",_xll.RssMarket(C204,"始値"),"")</f>
        <v>2360</v>
      </c>
      <c r="G204" s="183">
        <f>IF(C204&lt;&gt;"",終値!F122,"")</f>
        <v>2333</v>
      </c>
      <c r="H204" s="184">
        <f>IF(C204&lt;&gt;"",_xll.RssMarket(C204,"高値"),"")</f>
        <v>2384</v>
      </c>
      <c r="I204" s="184">
        <f>IF(C204&lt;&gt;"",_xll.RssMarket(C204,"安値"),"")</f>
        <v>2307</v>
      </c>
      <c r="J204" s="184">
        <f>IF(C204&lt;&gt;"",_xll.RssMarket(C204,"出来高"),"")</f>
        <v>881500</v>
      </c>
      <c r="K204" s="184">
        <f>IF(C204&lt;&gt;"",_xll.RssMarket(C204,"年初来高値"),"")</f>
        <v>2425</v>
      </c>
      <c r="L204" s="185">
        <f t="shared" si="66"/>
        <v>-4.8659793814432994</v>
      </c>
      <c r="M204" s="184">
        <f>IF(C204&lt;&gt;"",IFERROR(AVERAGE(出来高!E122:I122),""),"")</f>
        <v>1001920</v>
      </c>
      <c r="N204" s="184">
        <f>IF(C204&lt;&gt;"",IFERROR(AVERAGE(出来高!E122:AC122),""),"")</f>
        <v>1076364</v>
      </c>
      <c r="O204" s="186">
        <f t="shared" si="67"/>
        <v>0.879810763334398</v>
      </c>
      <c r="P204" s="181" t="str">
        <f t="shared" si="68"/>
        <v>減少↓</v>
      </c>
      <c r="Q204" s="181" t="str">
        <f t="shared" si="69"/>
        <v>様子見▼</v>
      </c>
      <c r="R204" s="184">
        <f t="shared" si="76"/>
        <v>2492</v>
      </c>
      <c r="S204" s="184">
        <f t="shared" si="77"/>
        <v>2215</v>
      </c>
      <c r="T204" s="181">
        <f t="shared" si="73"/>
        <v>8</v>
      </c>
      <c r="U204" s="181" t="str">
        <f t="shared" si="78"/>
        <v>要確認</v>
      </c>
      <c r="V204" s="181" t="str">
        <f t="shared" si="70"/>
        <v>高値圏</v>
      </c>
      <c r="W204" s="187">
        <f t="array" ref="W204">IF(C204&lt;&gt;"",IFERROR(100-100/(1+SUMPRODUCT((終値!F122:R122&gt;終値!G122:S122)*( 終値!F122:R122-終値!G122:S122))/SUMPRODUCT((終値!F122:R122&lt;終値!G122:S122)*(終値!G122:S122-終値!F122:R122))),50),"")</f>
        <v>57.9656862745098</v>
      </c>
      <c r="X204" s="188">
        <f>IF(C204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6.21210878884267</v>
      </c>
      <c r="Y204" s="1" t="str">
        <f>IF(T204="","",IF(銘柄管理!$F$5="下落▼",IF(AND(AD204="パーフェクト▲",OR(AE204="25日線押し目●",AE204="5日線押し目○")),"★逆張り候補",IF(AND(AD204="上昇トレンド▲",OR(AE204="25日線押し目●",AE204="5日線押し目○")),"○逆張り候補",IF(W204&lt;=30,IF(Z204&gt;0,"◎反発確認",IF(Z204&lt;-5,"△要注意・様子見","△売られ過ぎ注目")),"相場下落・見送り"))),IF(AND(T204&gt;=12,AD204="パーフェクト▲"),"★強い買い",IF(AND(T204&gt;=12,AD204="上昇トレンド▲"),"★強い買い",IF(AND(T204&gt;=8,OR(AE204="25日線押し目●",AE204="5日線押し目○")),"◎押し目買い",IF(T204&gt;=10,"○買い候補",IF(T204&gt;=6,"△注目",IF(T204&gt;=3,"様子見","見送り"))))))))</f>
        <v>◎押し目買い</v>
      </c>
      <c r="Z204" s="189">
        <f t="shared" si="79"/>
        <v>-1.1144449207029576</v>
      </c>
      <c r="AA204" s="181" t="str">
        <f t="shared" si="80"/>
        <v>下落▼</v>
      </c>
      <c r="AB204" s="190">
        <f>IF(OR(C204="",C204="TOPX",終値!E122=""),"",IFERROR(((終値!E122*0.333)+(終値!F122*0.222)+(終値!G122*0.148)+(終値!H122*0.099)+(終値!I122*0.066))/(0.333+0.222+0.148+0.099+0.066),""))</f>
        <v>2325.9383640552992</v>
      </c>
      <c r="AC204" s="190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2279.8033373063163</v>
      </c>
      <c r="AD204" s="191" t="str">
        <f t="shared" si="81"/>
        <v>上昇トレンド▲</v>
      </c>
      <c r="AE204" s="191" t="str">
        <f t="shared" si="82"/>
        <v>25日線押し目●</v>
      </c>
      <c r="AF204" s="403" cm="1">
        <f t="array" ref="AF204">IF(C204="","",IFERROR((INDEX(終値!$E:$E,MATCH(TEXT(C204,"0"),終値!$A:$A,0))-INDEX(終値!$E:$BL,MATCH(TEXT(C204,"0"),終値!$A:$A,0),$AL$2))/INDEX(終値!$E:$BL,MATCH(TEXT(C204,"0"),終値!$A:$A,0),$AL$2)*100,""))</f>
        <v>3.3602150537634405</v>
      </c>
      <c r="AG204" s="403" cm="1">
        <f t="array" ref="AG204">IFERROR((終値!$E$5-INDEX(終値!$E$5:$BL$5,1,$AL$2))/INDEX(終値!$E$5:$BL$5,1,$AL$2)*100,"")</f>
        <v>3.4532270246721688</v>
      </c>
      <c r="AH204" s="404">
        <f t="shared" si="74"/>
        <v>-9.3011970908728259E-2</v>
      </c>
      <c r="AI204" s="402">
        <f t="shared" si="75"/>
        <v>-1</v>
      </c>
    </row>
    <row r="205" spans="1:35" ht="14.25">
      <c r="A205" s="181" t="str">
        <f>IF(銘柄管理!B130&lt;&gt;"",HYPERLINK("https://kabutan.jp/stock/?code="&amp;銘柄管理!B130,"株探"),"")</f>
        <v>株探</v>
      </c>
      <c r="B205" s="182"/>
      <c r="C205" s="183">
        <f>IF(銘柄管理!B130="","",銘柄管理!B130)</f>
        <v>4519</v>
      </c>
      <c r="D205" s="111" t="str">
        <f>IF(銘柄管理!C130="","",銘柄管理!C130)</f>
        <v>中外製薬</v>
      </c>
      <c r="E205" s="184">
        <f>IF(C205&lt;&gt;"",_xll.RssMarket(C205,"現在値"),"")</f>
        <v>7650</v>
      </c>
      <c r="F205" s="184">
        <f>IF(C205&lt;&gt;"",_xll.RssMarket(C205,"始値"),"")</f>
        <v>7532</v>
      </c>
      <c r="G205" s="183">
        <f>IF(C205&lt;&gt;"",終値!F130,"")</f>
        <v>7523</v>
      </c>
      <c r="H205" s="184">
        <f>IF(C205&lt;&gt;"",_xll.RssMarket(C205,"高値"),"")</f>
        <v>7689</v>
      </c>
      <c r="I205" s="184">
        <f>IF(C205&lt;&gt;"",_xll.RssMarket(C205,"安値"),"")</f>
        <v>7532</v>
      </c>
      <c r="J205" s="184">
        <f>IF(C205&lt;&gt;"",_xll.RssMarket(C205,"出来高"),"")</f>
        <v>1745000</v>
      </c>
      <c r="K205" s="184">
        <f>IF(C205&lt;&gt;"",_xll.RssMarket(C205,"年初来高値"),"")</f>
        <v>10700</v>
      </c>
      <c r="L205" s="185">
        <f t="shared" si="66"/>
        <v>-28.504672897196258</v>
      </c>
      <c r="M205" s="184">
        <f>IF(C205&lt;&gt;"",IFERROR(AVERAGE(出来高!E130:I130),""),"")</f>
        <v>2307380</v>
      </c>
      <c r="N205" s="184">
        <f>IF(C205&lt;&gt;"",IFERROR(AVERAGE(出来高!E130:AC130),""),"")</f>
        <v>2484520</v>
      </c>
      <c r="O205" s="186">
        <f t="shared" si="67"/>
        <v>0.7562690150733733</v>
      </c>
      <c r="P205" s="181" t="str">
        <f t="shared" si="68"/>
        <v>減少↓</v>
      </c>
      <c r="Q205" s="181" t="str">
        <f t="shared" si="69"/>
        <v>中立→</v>
      </c>
      <c r="R205" s="184">
        <f t="shared" si="76"/>
        <v>8262</v>
      </c>
      <c r="S205" s="184">
        <f t="shared" si="77"/>
        <v>7344</v>
      </c>
      <c r="T205" s="181">
        <f t="shared" si="73"/>
        <v>1</v>
      </c>
      <c r="U205" s="181" t="str">
        <f t="shared" si="78"/>
        <v>除外</v>
      </c>
      <c r="V205" s="181" t="str">
        <f t="shared" si="70"/>
        <v>通常</v>
      </c>
      <c r="W205" s="187">
        <f t="array" ref="W205">IF(C205&lt;&gt;"",IFERROR(100-100/(1+SUMPRODUCT((終値!F130:R130&gt;終値!G130:S130)*( 終値!F130:R130-終値!G130:S130))/SUMPRODUCT((終値!F130:R130&lt;終値!G130:S130)*(終値!G130:S130-終値!F130:R130))),50),"")</f>
        <v>30.961538461538453</v>
      </c>
      <c r="X205" s="188">
        <f>IF(C205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-60.732201210798848</v>
      </c>
      <c r="Y205" s="1" t="str">
        <f>IF(T205="","",IF(銘柄管理!$F$5="下落▼",IF(AND(AD205="パーフェクト▲",OR(AE205="25日線押し目●",AE205="5日線押し目○")),"★逆張り候補",IF(AND(AD205="上昇トレンド▲",OR(AE205="25日線押し目●",AE205="5日線押し目○")),"○逆張り候補",IF(W205&lt;=30,IF(Z205&gt;0,"◎反発確認",IF(Z205&lt;-5,"△要注意・様子見","△売られ過ぎ注目")),"相場下落・見送り"))),IF(AND(T205&gt;=12,AD205="パーフェクト▲"),"★強い買い",IF(AND(T205&gt;=12,AD205="上昇トレンド▲"),"★強い買い",IF(AND(T205&gt;=8,OR(AE205="25日線押し目●",AE205="5日線押し目○")),"◎押し目買い",IF(T205&gt;=10,"○買い候補",IF(T205&gt;=6,"△注目",IF(T205&gt;=3,"様子見","見送り"))))))))</f>
        <v>見送り</v>
      </c>
      <c r="Z205" s="189">
        <f t="shared" si="79"/>
        <v>1.6881563206167751</v>
      </c>
      <c r="AA205" s="181" t="str">
        <f t="shared" si="80"/>
        <v>上昇▲</v>
      </c>
      <c r="AB205" s="190">
        <f>IF(OR(C205="",C205="TOPX",終値!E130=""),"",IFERROR(((終値!E130*0.333)+(終値!F130*0.222)+(終値!G130*0.148)+(終値!H130*0.099)+(終値!I130*0.066))/(0.333+0.222+0.148+0.099+0.066),""))</f>
        <v>7551.2534562211986</v>
      </c>
      <c r="AC205" s="190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7653.2228843861703</v>
      </c>
      <c r="AD205" s="191" t="str">
        <f t="shared" si="81"/>
        <v>もみ合い→</v>
      </c>
      <c r="AE205" s="191" t="str">
        <f t="shared" si="82"/>
        <v>なし</v>
      </c>
      <c r="AF205" s="403" cm="1">
        <f t="array" ref="AF205">IF(C205="","",IFERROR((INDEX(終値!$E:$E,MATCH(TEXT(C205,"0"),終値!$A:$A,0))-INDEX(終値!$E:$BL,MATCH(TEXT(C205,"0"),終値!$A:$A,0),$AL$2))/INDEX(終値!$E:$BL,MATCH(TEXT(C205,"0"),終値!$A:$A,0),$AL$2)*100,""))</f>
        <v>-5.5088932806324111</v>
      </c>
      <c r="AG205" s="403" cm="1">
        <f t="array" ref="AG205">IFERROR((終値!$E$5-INDEX(終値!$E$5:$BL$5,1,$AL$2))/INDEX(終値!$E$5:$BL$5,1,$AL$2)*100,"")</f>
        <v>3.4532270246721688</v>
      </c>
      <c r="AH205" s="404">
        <f t="shared" si="74"/>
        <v>-8.9621203053045804</v>
      </c>
      <c r="AI205" s="402">
        <f t="shared" si="75"/>
        <v>-2</v>
      </c>
    </row>
    <row r="206" spans="1:35" ht="14.25">
      <c r="A206" s="181" t="str">
        <f>IF(銘柄管理!B202&lt;&gt;"",HYPERLINK("https://kabutan.jp/stock/?code="&amp;銘柄管理!B202,"株探"),"")</f>
        <v>株探</v>
      </c>
      <c r="B206" s="182"/>
      <c r="C206" s="183">
        <f>IF(銘柄管理!B202="","",銘柄管理!B202)</f>
        <v>2768</v>
      </c>
      <c r="D206" s="111" t="str">
        <f>IF(銘柄管理!C202="","",銘柄管理!C202)</f>
        <v>双日</v>
      </c>
      <c r="E206" s="184">
        <f>IF(C206&lt;&gt;"",_xll.RssMarket(C206,"現在値"),"")</f>
        <v>5296</v>
      </c>
      <c r="F206" s="184">
        <f>IF(C206&lt;&gt;"",_xll.RssMarket(C206,"始値"),"")</f>
        <v>5366</v>
      </c>
      <c r="G206" s="183">
        <f>IF(C206&lt;&gt;"",終値!F202,"")</f>
        <v>5291</v>
      </c>
      <c r="H206" s="184">
        <f>IF(C206&lt;&gt;"",_xll.RssMarket(C206,"高値"),"")</f>
        <v>5372</v>
      </c>
      <c r="I206" s="184">
        <f>IF(C206&lt;&gt;"",_xll.RssMarket(C206,"安値"),"")</f>
        <v>5239</v>
      </c>
      <c r="J206" s="184">
        <f>IF(C206&lt;&gt;"",_xll.RssMarket(C206,"出来高"),"")</f>
        <v>845400</v>
      </c>
      <c r="K206" s="184">
        <f>IF(C206&lt;&gt;"",_xll.RssMarket(C206,"年初来高値"),"")</f>
        <v>7257</v>
      </c>
      <c r="L206" s="185">
        <f t="shared" si="66"/>
        <v>-27.022185476092048</v>
      </c>
      <c r="M206" s="184">
        <f>IF(C206&lt;&gt;"",IFERROR(AVERAGE(出来高!E202:I202),""),"")</f>
        <v>1167000</v>
      </c>
      <c r="N206" s="184">
        <f>IF(C206&lt;&gt;"",IFERROR(AVERAGE(出来高!E202:AC202),""),"")</f>
        <v>1260244</v>
      </c>
      <c r="O206" s="186">
        <f t="shared" si="67"/>
        <v>0.72442159383033422</v>
      </c>
      <c r="P206" s="181" t="str">
        <f t="shared" si="68"/>
        <v>減少↓</v>
      </c>
      <c r="Q206" s="181" t="str">
        <f t="shared" si="69"/>
        <v>中立→</v>
      </c>
      <c r="R206" s="184">
        <f t="shared" si="76"/>
        <v>5720</v>
      </c>
      <c r="S206" s="184">
        <f t="shared" si="77"/>
        <v>5084</v>
      </c>
      <c r="T206" s="181">
        <f t="shared" si="73"/>
        <v>1</v>
      </c>
      <c r="U206" s="181" t="str">
        <f t="shared" si="78"/>
        <v>除外</v>
      </c>
      <c r="V206" s="181" t="str">
        <f t="shared" si="70"/>
        <v>通常</v>
      </c>
      <c r="W206" s="187">
        <f t="array" ref="W206">IF(C206&lt;&gt;"",IFERROR(100-100/(1+SUMPRODUCT((終値!F202:R202&gt;終値!G202:S202)*( 終値!F202:R202-終値!G202:S202))/SUMPRODUCT((終値!F202:R202&lt;終値!G202:S202)*(終値!G202:S202-終値!F202:R202))),50),"")</f>
        <v>34.429599177800625</v>
      </c>
      <c r="X206" s="188">
        <f>IF(C206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-69.286153821658445</v>
      </c>
      <c r="Y206" s="1" t="str">
        <f>IF(T206="","",IF(銘柄管理!$F$5="下落▼",IF(AND(AD206="パーフェクト▲",OR(AE206="25日線押し目●",AE206="5日線押し目○")),"★逆張り候補",IF(AND(AD206="上昇トレンド▲",OR(AE206="25日線押し目●",AE206="5日線押し目○")),"○逆張り候補",IF(W206&lt;=30,IF(Z206&gt;0,"◎反発確認",IF(Z206&lt;-5,"△要注意・様子見","△売られ過ぎ注目")),"相場下落・見送り"))),IF(AND(T206&gt;=12,AD206="パーフェクト▲"),"★強い買い",IF(AND(T206&gt;=12,AD206="上昇トレンド▲"),"★強い買い",IF(AND(T206&gt;=8,OR(AE206="25日線押し目●",AE206="5日線押し目○")),"◎押し目買い",IF(T206&gt;=10,"○買い候補",IF(T206&gt;=6,"△注目",IF(T206&gt;=3,"様子見","見送り"))))))))</f>
        <v>見送り</v>
      </c>
      <c r="Z206" s="189">
        <f t="shared" si="79"/>
        <v>9.45000945000945E-2</v>
      </c>
      <c r="AA206" s="181" t="str">
        <f t="shared" si="80"/>
        <v>上昇▲</v>
      </c>
      <c r="AB206" s="190">
        <f>IF(OR(C206="",C206="TOPX",終値!E202=""),"",IFERROR(((終値!E202*0.333)+(終値!F202*0.222)+(終値!G202*0.148)+(終値!H202*0.099)+(終値!I202*0.066))/(0.333+0.222+0.148+0.099+0.066),""))</f>
        <v>5211.7557603686628</v>
      </c>
      <c r="AC206" s="190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5298.4183551847427</v>
      </c>
      <c r="AD206" s="191" t="str">
        <f t="shared" si="81"/>
        <v>もみ合い→</v>
      </c>
      <c r="AE206" s="191" t="str">
        <f t="shared" si="82"/>
        <v>なし</v>
      </c>
      <c r="AF206" s="403" cm="1">
        <f t="array" ref="AF206">IF(C206="","",IFERROR((INDEX(終値!$E:$E,MATCH(TEXT(C206,"0"),終値!$A:$A,0))-INDEX(終値!$E:$BL,MATCH(TEXT(C206,"0"),終値!$A:$A,0),$AL$2))/INDEX(終値!$E:$BL,MATCH(TEXT(C206,"0"),終値!$A:$A,0),$AL$2)*100,""))</f>
        <v>-9.6708169878901593</v>
      </c>
      <c r="AG206" s="403" cm="1">
        <f t="array" ref="AG206">IFERROR((終値!$E$5-INDEX(終値!$E$5:$BL$5,1,$AL$2))/INDEX(終値!$E$5:$BL$5,1,$AL$2)*100,"")</f>
        <v>3.4532270246721688</v>
      </c>
      <c r="AH206" s="404">
        <f t="shared" si="74"/>
        <v>-13.124044012562328</v>
      </c>
      <c r="AI206" s="402">
        <f t="shared" si="75"/>
        <v>-2</v>
      </c>
    </row>
  </sheetData>
  <sheetProtection sort="0" autoFilter="0"/>
  <autoFilter ref="A2:AA204" xr:uid="{00000000-0009-0000-0000-000003000000}">
    <sortState xmlns:xlrd2="http://schemas.microsoft.com/office/spreadsheetml/2017/richdata2" ref="A3:AA206">
      <sortCondition descending="1" ref="T2:T204"/>
    </sortState>
  </autoFilter>
  <mergeCells count="1">
    <mergeCell ref="A1:AA1"/>
  </mergeCells>
  <phoneticPr fontId="16"/>
  <conditionalFormatting sqref="Q3:Q206">
    <cfRule type="cellIs" dxfId="23" priority="1" stopIfTrue="1" operator="equal">
      <formula>"""買い▲"""</formula>
    </cfRule>
    <cfRule type="cellIs" dxfId="22" priority="2" stopIfTrue="1" operator="equal">
      <formula>"""様子見▼"""</formula>
    </cfRule>
  </conditionalFormatting>
  <conditionalFormatting sqref="T3:T206">
    <cfRule type="cellIs" dxfId="21" priority="6" stopIfTrue="1" operator="greaterThanOrEqual">
      <formula>AND(T3&gt;=5,T3&lt;&gt;"")</formula>
    </cfRule>
    <cfRule type="cellIs" dxfId="20" priority="7" stopIfTrue="1" operator="greaterThanOrEqual">
      <formula>AND(T3&gt;=3,T3&lt;&gt;"")</formula>
    </cfRule>
  </conditionalFormatting>
  <conditionalFormatting sqref="AA3:AA206">
    <cfRule type="cellIs" dxfId="19" priority="8" stopIfTrue="1" operator="equal">
      <formula>"""上昇▲"""</formula>
    </cfRule>
    <cfRule type="cellIs" dxfId="18" priority="9" stopIfTrue="1" operator="equal">
      <formula>"""下落▼"""</formula>
    </cfRule>
  </conditionalFormatting>
  <conditionalFormatting sqref="Z3:Z206">
    <cfRule type="cellIs" dxfId="17" priority="10" stopIfTrue="1" operator="greaterThan">
      <formula>0</formula>
    </cfRule>
    <cfRule type="cellIs" dxfId="16" priority="11" stopIfTrue="1" operator="lessThan">
      <formula>0</formula>
    </cfRule>
  </conditionalFormatting>
  <conditionalFormatting sqref="AD203:AD206">
    <cfRule type="cellIs" dxfId="15" priority="12" stopIfTrue="1" operator="equal">
      <formula>"""パーフェクト▲"""</formula>
    </cfRule>
    <cfRule type="cellIs" dxfId="14" priority="13" stopIfTrue="1" operator="equal">
      <formula>"""上昇トレンド▲"""</formula>
    </cfRule>
    <cfRule type="cellIs" dxfId="13" priority="14" stopIfTrue="1" operator="equal">
      <formula>"""下降トレンド▼"""</formula>
    </cfRule>
  </conditionalFormatting>
  <conditionalFormatting sqref="AE203:AE206">
    <cfRule type="cellIs" dxfId="12" priority="15" stopIfTrue="1" operator="equal">
      <formula>"""25日押し目★"""</formula>
    </cfRule>
    <cfRule type="cellIs" dxfId="11" priority="16" stopIfTrue="1" operator="equal">
      <formula>"""5日押し目○"""</formula>
    </cfRule>
  </conditionalFormatting>
  <conditionalFormatting sqref="AD3:AD202">
    <cfRule type="cellIs" dxfId="10" priority="17" stopIfTrue="1" operator="equal">
      <formula>"""パーフェクト▲"""</formula>
    </cfRule>
    <cfRule type="cellIs" dxfId="9" priority="18" stopIfTrue="1" operator="equal">
      <formula>"""上昇トレンド▲"""</formula>
    </cfRule>
    <cfRule type="cellIs" dxfId="8" priority="19" stopIfTrue="1" operator="equal">
      <formula>"""下降トレンド▼"""</formula>
    </cfRule>
  </conditionalFormatting>
  <conditionalFormatting sqref="AE3:AE202">
    <cfRule type="cellIs" dxfId="7" priority="20" stopIfTrue="1" operator="equal">
      <formula>"""25日押し目★"""</formula>
    </cfRule>
    <cfRule type="cellIs" dxfId="6" priority="21" stopIfTrue="1" operator="equal">
      <formula>"""5日押し目○"""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A6DCE-FB5A-41DB-8041-6D2EAAF1072D}">
  <sheetPr codeName="Sheet14"/>
  <dimension ref="A1:AU206"/>
  <sheetViews>
    <sheetView topLeftCell="A154" workbookViewId="0">
      <selection activeCell="D152" sqref="D152"/>
    </sheetView>
  </sheetViews>
  <sheetFormatPr defaultRowHeight="13.5"/>
  <cols>
    <col min="1" max="1" width="7.5" customWidth="1"/>
    <col min="4" max="4" width="20" customWidth="1"/>
    <col min="25" max="25" width="16.625" customWidth="1"/>
  </cols>
  <sheetData>
    <row r="1" spans="1:47" ht="27.95" customHeight="1">
      <c r="A1" s="340" t="s">
        <v>774</v>
      </c>
      <c r="AM1" s="409" t="s">
        <v>798</v>
      </c>
      <c r="AN1" s="409" t="s">
        <v>799</v>
      </c>
    </row>
    <row r="2" spans="1:47" ht="18" customHeight="1">
      <c r="A2" s="341" t="s">
        <v>23</v>
      </c>
      <c r="B2" s="341" t="s">
        <v>6</v>
      </c>
      <c r="C2" s="341" t="s">
        <v>7</v>
      </c>
      <c r="D2" s="341" t="s">
        <v>8</v>
      </c>
      <c r="E2" s="342" t="s">
        <v>9</v>
      </c>
      <c r="F2" s="343" t="s">
        <v>24</v>
      </c>
      <c r="G2" s="343" t="s">
        <v>25</v>
      </c>
      <c r="H2" s="343" t="s">
        <v>10</v>
      </c>
      <c r="I2" s="343" t="s">
        <v>11</v>
      </c>
      <c r="J2" s="343" t="s">
        <v>12</v>
      </c>
      <c r="K2" s="343" t="s">
        <v>26</v>
      </c>
      <c r="L2" s="343" t="s">
        <v>27</v>
      </c>
      <c r="M2" s="344" t="s">
        <v>28</v>
      </c>
      <c r="N2" s="344" t="s">
        <v>29</v>
      </c>
      <c r="O2" s="344" t="s">
        <v>16</v>
      </c>
      <c r="P2" s="344" t="s">
        <v>30</v>
      </c>
      <c r="Q2" s="344" t="s">
        <v>31</v>
      </c>
      <c r="R2" s="345" t="s">
        <v>19</v>
      </c>
      <c r="S2" s="345" t="s">
        <v>20</v>
      </c>
      <c r="T2" s="414" t="s">
        <v>21</v>
      </c>
      <c r="U2" s="346" t="s">
        <v>32</v>
      </c>
      <c r="V2" s="346" t="s">
        <v>775</v>
      </c>
      <c r="W2" s="346" t="s">
        <v>13</v>
      </c>
      <c r="X2" s="346" t="s">
        <v>17</v>
      </c>
      <c r="Y2" s="347" t="s">
        <v>33</v>
      </c>
      <c r="Z2" s="346" t="s">
        <v>34</v>
      </c>
      <c r="AA2" s="346" t="s">
        <v>35</v>
      </c>
      <c r="AB2" s="348" t="s">
        <v>36</v>
      </c>
      <c r="AC2" s="348" t="s">
        <v>37</v>
      </c>
      <c r="AD2" s="348" t="s">
        <v>14</v>
      </c>
      <c r="AE2" s="348" t="s">
        <v>776</v>
      </c>
      <c r="AF2" s="348" t="s">
        <v>778</v>
      </c>
      <c r="AI2" s="407" t="s">
        <v>800</v>
      </c>
      <c r="AJ2" s="407" t="s">
        <v>801</v>
      </c>
      <c r="AK2" s="408" t="s">
        <v>796</v>
      </c>
      <c r="AL2" s="408" t="s">
        <v>797</v>
      </c>
      <c r="AM2" s="410">
        <f>COUNT(終値!$E$5:$BL$5)</f>
        <v>22</v>
      </c>
      <c r="AN2" s="410">
        <f>MIN(25,AM2)</f>
        <v>22</v>
      </c>
      <c r="AO2" s="408" t="s">
        <v>804</v>
      </c>
      <c r="AP2" s="408" t="s">
        <v>805</v>
      </c>
      <c r="AQ2" s="408" t="s">
        <v>806</v>
      </c>
      <c r="AR2" s="408" t="s">
        <v>807</v>
      </c>
      <c r="AS2" s="408" t="s">
        <v>808</v>
      </c>
      <c r="AT2" s="408" t="s">
        <v>809</v>
      </c>
      <c r="AU2" s="408" t="s">
        <v>810</v>
      </c>
    </row>
    <row r="3" spans="1:47" ht="14.25">
      <c r="A3" s="349" t="str">
        <f>IF(銘柄管理!B141&lt;&gt;"",HYPERLINK("https://kabutan.jp/stock/?code="&amp;銘柄管理!B141,"株探"),"")</f>
        <v>株探</v>
      </c>
      <c r="B3" s="350"/>
      <c r="C3" s="350">
        <f>IF(銘柄管理!B141="","",銘柄管理!B141)</f>
        <v>6613</v>
      </c>
      <c r="D3" s="350" t="str">
        <f>IF(銘柄管理!C141="","",銘柄管理!C141)</f>
        <v>ＱＤレーザ</v>
      </c>
      <c r="E3" s="351">
        <f>IF(C3&lt;&gt;"",_xll.RssMarket(C3,"現在値"),"")</f>
        <v>2377</v>
      </c>
      <c r="F3" s="351">
        <f>IF(C3&lt;&gt;"",_xll.RssMarket(C3,"始値"),"")</f>
        <v>2520</v>
      </c>
      <c r="G3" s="350">
        <f>IF(C3&lt;&gt;"",終値!F141,"")</f>
        <v>2620</v>
      </c>
      <c r="H3" s="351">
        <f>IF(C3&lt;&gt;"",_xll.RssMarket(C3,"高値"),"")</f>
        <v>2530</v>
      </c>
      <c r="I3" s="351">
        <f>IF(C3&lt;&gt;"",_xll.RssMarket(C3,"安値"),"")</f>
        <v>2335</v>
      </c>
      <c r="J3" s="351">
        <f>IF(C3&lt;&gt;"",_xll.RssMarket(C3,"出来高"),"")</f>
        <v>4464000</v>
      </c>
      <c r="K3" s="351">
        <f>IF(C3&lt;&gt;"",_xll.RssMarket(C3,"年初来高値"),"")</f>
        <v>3620</v>
      </c>
      <c r="L3" s="352">
        <f t="shared" ref="L3:L66" si="0">IF(AND(E3&lt;&gt;"",K3&lt;&gt;"",K3&lt;&gt;0),(E3-K3)/K3*100,"")</f>
        <v>-34.337016574585633</v>
      </c>
      <c r="M3" s="351">
        <f>IF(C3&lt;&gt;"",IFERROR(AVERAGE(出来高!E141:I141),""),"")</f>
        <v>5048380</v>
      </c>
      <c r="N3" s="351">
        <f>IF(C3&lt;&gt;"",IFERROR(AVERAGE(出来高!E141:AC141),""),"")</f>
        <v>10867256</v>
      </c>
      <c r="O3" s="353">
        <f t="shared" ref="O3:O66" si="1">IF(AND(J3&lt;&gt;"",M3&lt;&gt;"",M3&lt;&gt;0),J3/M3,"")</f>
        <v>0.88424405452838339</v>
      </c>
      <c r="P3" s="350" t="str">
        <f t="shared" ref="P3:P66" si="2">IF(O3="","",IF(O3&gt;=2,"急増↑↑",IF(O3&gt;=1.5,"増加↑",IF(O3&gt;=1,"普通→","減少↓"))))</f>
        <v>減少↓</v>
      </c>
      <c r="Q3" s="350" t="str">
        <f t="shared" ref="Q3:Q66" si="3">IF(E3="","",IF(AND(E3&lt;G3,O3&gt;=1.5),"売り▼",IF(E3&gt;G3,"様子見▲","中立→")))</f>
        <v>中立→</v>
      </c>
      <c r="R3" s="351">
        <f t="shared" ref="R3:R66" si="4">IF(E3&lt;&gt;"",ROUND(E3*0.92,0),"")</f>
        <v>2187</v>
      </c>
      <c r="S3" s="351">
        <f t="shared" ref="S3:S66" si="5">IF(E3&lt;&gt;"",ROUND(E3*1.04,0),"")</f>
        <v>2472</v>
      </c>
      <c r="T3" s="350">
        <f t="shared" ref="T3:T66" si="6">IF(C3="","",IFERROR(IF(W3&gt;=70,3,IF(W3&gt;=60,2,IF(W3&gt;=50,1,0)))+IF(X3&lt;0,2,0)+IF(AD3="下降トレンド▼",3,IF(AD3="もみ合い→",1,0))+IF(V3="年初来安値圏●",3,IF(V3="安値圏",2,0))+IF(Q3="売り▼",2,0)+IF(P3="急増↑↑",2,IF(P3="増加↑",1,0))+IF(Z3&lt;0,1,0)+IF(L3&lt;=-30,2,IF(L3&lt;=-15,1,0))+IF(AE3="25日戻り売り★",2,IF(AE3="5日戻り売り○",1,0))+N(AL3)+N(AP3)+N(AU3),0))</f>
        <v>10</v>
      </c>
      <c r="U3" s="350" t="str">
        <f t="shared" ref="U3:U66" si="7">IF(T3="","",IF(AND(T3&gt;=3,O3&gt;=1.5),"有効",IF(T3&gt;=3,"要確認","除外")))</f>
        <v>要確認</v>
      </c>
      <c r="V3" s="350" t="str">
        <f t="shared" ref="V3:V66" si="8">IF(AND(I3&lt;&gt;"",K3&lt;&gt;""),IF(I3&lt;=K3*0.6,"年初来安値圏●",IF(I3&lt;=K3*0.75,"安値圏","通常")),"")</f>
        <v>安値圏</v>
      </c>
      <c r="W3" s="354" cm="1">
        <f t="array" ref="W3">IFERROR(100-100/(1+SUMPRODUCT((終値!F141:R141&gt;終値!G141:S141)*(終値!F141:R141-終値!G141:S141))/SUMPRODUCT((終値!F141:R141&lt;終値!G141:S141)*(終値!G141:S141-終値!F141:R141))),50)</f>
        <v>39.352262644188102</v>
      </c>
      <c r="X3" s="355">
        <f>IF(C3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2.3930719354884786</v>
      </c>
      <c r="Y3" s="350" t="str">
        <f t="shared" ref="Y3:Y66" si="9">IF(AF3="","",AF3&amp;" | "&amp;AD3&amp;IF(AE3&lt;&gt;"なし"," "&amp;AE3,"")&amp;IF(X3&lt;0," MACD-"," MACD+")&amp;" RSI:"&amp;TEXT(W3,"0.0")&amp;IF(W3&gt;=70," [過熱]",IF(W3&lt;=30," [売られ過ぎ]",""))&amp;" 前日比:"&amp;TEXT(Z3,"+0.0;-0.0;0.0")&amp;"%"&amp;IF(V3="年初来安値圏●"," [年初来安値圏]",IF(V3="安値圏"," [安値圏]",""))&amp;IF(OR(AO3="通常",AO3="-"),""," ["&amp;AO3&amp;"]")&amp;IF(OR(AT3="通常",AT3="-"),"","前日["&amp;AT3&amp;"]")&amp;" ["&amp;T3&amp;"点]")</f>
        <v>相場上昇・見送り | 下降トレンド▼ MACD+ RSI:39.4 前日比:-9.3% [安値圏] [大陰線▼]前日[大陰線▼] [10点]</v>
      </c>
      <c r="Z3" s="356">
        <f t="shared" ref="Z3:Z66" si="10">IF(AND(E3&lt;&gt;"",G3&lt;&gt;"",G3&lt;&gt;0),(E3-G3)/G3*100,"")</f>
        <v>-9.2748091603053435</v>
      </c>
      <c r="AA3" s="350" t="str">
        <f t="shared" ref="AA3:AA66" si="11">IF(OR(C3="",E3="",E3=0),"",IF(E3&gt;G3,"上昇▲",IF(E3&lt;G3,"下落▼","横ばい→")))</f>
        <v>下落▼</v>
      </c>
      <c r="AB3" s="351">
        <f>IF(OR(C3="",C3="TOPX",終値!E141=""),"",IFERROR(((終値!E141*0.333)+(終値!F141*0.222)+(終値!G141*0.148)+(終値!H141*0.099)+(終値!I141*0.066))/(0.333+0.222+0.148+0.099+0.066),""))</f>
        <v>2457.190092165898</v>
      </c>
      <c r="AC3" s="351">
        <f>IF(OR(C3="",C3="TOPX",終値!E141=""),"",IFERROR(SUMPRODUCT((終値!E141:AC141)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2476.2240762812871</v>
      </c>
      <c r="AD3" s="350" t="str">
        <f t="shared" ref="AD3:AD66" si="12">IF(OR(C3="",AB3="",AC3="",AB3=0,AC3=0),"",IF(AND(E3&gt;AB3,AB3&gt;AC3),"パーフェクト▲",IF(E3&gt;AC3,"上昇トレンド▲",IF(AND(E3&lt;AB3,AB3&lt;AC3),"下降トレンド▼","もみ合い→"))))</f>
        <v>下降トレンド▼</v>
      </c>
      <c r="AE3" s="350" t="str">
        <f t="shared" ref="AE3:AE66" si="13">IF(OR(C3="",AB3="",AC3=""),"",IF(AND(ABS(E3-AC3)/AC3&lt;=0.02,E3&lt;AC3),"25日戻り売り★",IF(AND(ABS(E3-AB3)/AB3&lt;=0.01,E3&lt;AB3),"5日戻り売り○","なし")))</f>
        <v>なし</v>
      </c>
      <c r="AF3" t="str">
        <f>IF(T3="","",IF(銘柄管理!$F$5="上昇▲",IF(AND(AD3="下降トレンド▼",OR(AE3="25日戻り売り★",AE3="5日戻り売り○")),"★逆張り売り",IF(AND(AD3="もみ合い→",OR(AE3="25日戻り売り★",AE3="5日戻り売り○")),"○逆張り売り",IF(W3&gt;=70,IF(Z3&lt;0,"◎反落確認","△過熱・様子見"),"相場上昇・見送り"))),IF(AND(T3&gt;=12,AD3="下降トレンド▼"),"★強い売り",IF(T3&gt;=12,"★強い売り",IF(AND(T3&gt;=8,OR(AE3="25日戻り売り★",AE3="5日戻り売り○")),"◎戻り売り",IF(T3&gt;=10,"○売り候補",IF(T3&gt;=6,"△注目",IF(T3&gt;=3,"様子見","見送り"))))))))</f>
        <v>相場上昇・見送り</v>
      </c>
      <c r="AG3">
        <f>IF(AND(T3&gt;=7,C3&lt;&gt;""),T3,0)</f>
        <v>10</v>
      </c>
      <c r="AH3">
        <f>IF(AG3&gt;0,AG3*10000-ROW(A3),0)</f>
        <v>99997</v>
      </c>
      <c r="AI3" s="412" cm="1">
        <f t="array" ref="AI3">IF(C3="","",IFERROR((INDEX(終値!$E:$E,MATCH(TEXT(C3,"0"),終値!$A:$A,0))-INDEX(終値!$E:$BL,MATCH(TEXT(C3,"0"),終値!$A:$A,0),$AN$2))/INDEX(終値!$E:$BL,MATCH(TEXT(C3,"0"),終値!$A:$A,0),$AN$2)*100,""))</f>
        <v>44.850700792199873</v>
      </c>
      <c r="AJ3" s="412" cm="1">
        <f t="array" ref="AJ3">IFERROR((終値!$E$5-INDEX(終値!$E$5:$BL$5,1,$AN$2))/INDEX(終値!$E$5:$BL$5,1,$AN$2)*100,"")</f>
        <v>3.4532270246721688</v>
      </c>
      <c r="AK3" s="413">
        <f>IF(OR(AI3="",AJ3=""),"",AI3-AJ3)</f>
        <v>41.397473767527707</v>
      </c>
      <c r="AL3" s="411">
        <f>IF(AK3="","",IF(AK3&lt;-5,3,IF(AK3&lt;0,1,IF(AK3&lt;3,-1,-2))))</f>
        <v>-2</v>
      </c>
      <c r="AO3" s="415" t="str">
        <f>IF(OR($C3="",$E3="",$F3="",$H3="",$I3="",$H3-$I3&lt;=0),"-",IF(AND($H3-MAX($F3,$E3)&gt;=ABS($E3-$F3)*2,MIN($F3,$E3)-$I3&lt;=ABS($E3-$F3)*0.5,ABS($E3-$F3)&gt;0),"上ヒゲ陰線▼",IF(AND($E3&lt;$F3,ABS($E3-$F3)&gt;=($H3-$I3)*0.7),"大陰線▼",IF(AND(MIN($F3,$E3)-$I3&gt;=($H3-$I3)*0.5,$H3-MAX($F3,$E3)&lt;=($H3-$I3)*0.2),"長い下ヒゲ(反発警戒)","通常"))))</f>
        <v>大陰線▼</v>
      </c>
      <c r="AP3" s="416">
        <f>IF($AO3="上ヒゲ陰線▼",2,IF($AO3="大陰線▼",2,IF($AO3="長い下ヒゲ(反発警戒)",-2,0)))</f>
        <v>2</v>
      </c>
      <c r="AQ3">
        <f>IF(C3&lt;&gt;"",始値!F141,"")</f>
        <v>2798</v>
      </c>
      <c r="AR3">
        <f>IF(C3&lt;&gt;"",高値!F141,"")</f>
        <v>2838</v>
      </c>
      <c r="AS3">
        <f>IF(C3&lt;&gt;"",安値!F141,"")</f>
        <v>2613</v>
      </c>
      <c r="AT3" t="str">
        <f t="shared" ref="AT3:AT66" si="14">IF(OR(C3="",AQ3="",AR3="",AS3="",AR3-AS3&lt;=0),"-",IF(AND(AR3-MAX(G3,AQ3)&gt;=ABS(G3-AQ3)*2,MIN(G3,AQ3)-AS3&lt;=ABS(G3-AQ3)*0.5,ABS(G3-AQ3)&gt;0),"上ヒゲ陰線▼",IF(AND(G3&lt;AQ3,ABS(G3-AQ3)&gt;=(AR3-AS3)*0.7),"大陰線▼",IF(AND(MIN(G3,AQ3)-AS3&gt;=(AR3-AS3)*0.5,AR3-MAX(G3,AQ3)&lt;=(AR3-AS3)*0.2),"長い下ヒゲ(反発)","通常"))))</f>
        <v>大陰線▼</v>
      </c>
      <c r="AU3">
        <f>IF(AT3="上ヒゲ陰線▼",2,IF(AT3="大陰線▼",2,IF(AT3="長い下ヒゲ(反発)",-2,0)))</f>
        <v>2</v>
      </c>
    </row>
    <row r="4" spans="1:47" ht="14.25">
      <c r="A4" s="357" t="str">
        <f>IF(銘柄管理!B28&lt;&gt;"",HYPERLINK("https://kabutan.jp/stock/?code="&amp;銘柄管理!B28,"株探"),"")</f>
        <v>株探</v>
      </c>
      <c r="B4" s="230"/>
      <c r="C4" s="230">
        <f>IF(銘柄管理!B28="","",銘柄管理!B28)</f>
        <v>3436</v>
      </c>
      <c r="D4" s="230" t="str">
        <f>IF(銘柄管理!C28="","",銘柄管理!C28)</f>
        <v>ＳＵＭＣＯ</v>
      </c>
      <c r="E4" s="358">
        <f>IF(C4&lt;&gt;"",_xll.RssMarket(C4,"現在値"),"")</f>
        <v>4152</v>
      </c>
      <c r="F4" s="358">
        <f>IF(C4&lt;&gt;"",_xll.RssMarket(C4,"始値"),"")</f>
        <v>4015</v>
      </c>
      <c r="G4" s="230">
        <f>IF(C4&lt;&gt;"",終値!F28,"")</f>
        <v>4155</v>
      </c>
      <c r="H4" s="358">
        <f>IF(C4&lt;&gt;"",_xll.RssMarket(C4,"高値"),"")</f>
        <v>4212</v>
      </c>
      <c r="I4" s="358">
        <f>IF(C4&lt;&gt;"",_xll.RssMarket(C4,"安値"),"")</f>
        <v>3978</v>
      </c>
      <c r="J4" s="358">
        <f>IF(C4&lt;&gt;"",_xll.RssMarket(C4,"出来高"),"")</f>
        <v>8223600</v>
      </c>
      <c r="K4" s="358">
        <f>IF(C4&lt;&gt;"",_xll.RssMarket(C4,"年初来高値"),"")</f>
        <v>4564</v>
      </c>
      <c r="L4" s="359">
        <f t="shared" si="0"/>
        <v>-9.027169149868536</v>
      </c>
      <c r="M4" s="358">
        <f>IF(C4&lt;&gt;"",IFERROR(AVERAGE(出来高!E28:I28),""),"")</f>
        <v>15097760</v>
      </c>
      <c r="N4" s="358">
        <f>IF(C4&lt;&gt;"",IFERROR(AVERAGE(出来高!E28:AC28),""),"")</f>
        <v>15242248</v>
      </c>
      <c r="O4" s="360">
        <f t="shared" si="1"/>
        <v>0.54469007322940621</v>
      </c>
      <c r="P4" s="230" t="str">
        <f t="shared" si="2"/>
        <v>減少↓</v>
      </c>
      <c r="Q4" s="230" t="str">
        <f t="shared" si="3"/>
        <v>中立→</v>
      </c>
      <c r="R4" s="358">
        <f t="shared" si="4"/>
        <v>3820</v>
      </c>
      <c r="S4" s="358">
        <f t="shared" si="5"/>
        <v>4318</v>
      </c>
      <c r="T4" s="350">
        <f t="shared" si="6"/>
        <v>0</v>
      </c>
      <c r="U4" s="230" t="str">
        <f t="shared" si="7"/>
        <v>除外</v>
      </c>
      <c r="V4" s="230" t="str">
        <f t="shared" si="8"/>
        <v>通常</v>
      </c>
      <c r="W4" s="361" cm="1">
        <f t="array" ref="W4">IFERROR(100-100/(1+SUMPRODUCT((終値!F28:R28&gt;終値!G28:S28)*(終値!F28:R28-終値!G28:S28))/SUMPRODUCT((終値!F28:R28&lt;終値!G28:S28)*(終値!G28:S28-終値!F28:R28))),50)</f>
        <v>59.827213822894166</v>
      </c>
      <c r="X4" s="362">
        <f>IF(C4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102.19314079422429</v>
      </c>
      <c r="Y4" s="230" t="str">
        <f t="shared" si="9"/>
        <v>相場上昇・見送り | パーフェクト▲ MACD+ RSI:59.8 前日比:-0.1% [0点]</v>
      </c>
      <c r="Z4" s="363">
        <f t="shared" si="10"/>
        <v>-7.2202166064981949E-2</v>
      </c>
      <c r="AA4" s="230" t="str">
        <f t="shared" si="11"/>
        <v>下落▼</v>
      </c>
      <c r="AB4" s="358">
        <f>IF(OR(C4="",C4="TOPX",終値!E28=""),"",IFERROR(((終値!E28*0.333)+(終値!F28*0.222)+(終値!G28*0.148)+(終値!H28*0.099)+(終値!I28*0.066))/(0.333+0.222+0.148+0.099+0.066),""))</f>
        <v>3910.440092165898</v>
      </c>
      <c r="AC4" s="358">
        <f>IF(OR(C4="",C4="TOPX",終値!E28=""),"",IFERROR(SUMPRODUCT((終値!E28:AC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3741.2884386174005</v>
      </c>
      <c r="AD4" s="230" t="str">
        <f t="shared" si="12"/>
        <v>パーフェクト▲</v>
      </c>
      <c r="AE4" s="230" t="str">
        <f t="shared" si="13"/>
        <v>なし</v>
      </c>
      <c r="AF4" t="str">
        <f>IF(T4="","",IF(銘柄管理!$F$5="上昇▲",IF(AND(AD4="下降トレンド▼",OR(AE4="25日戻り売り★",AE4="5日戻り売り○")),"★逆張り売り",IF(AND(AD4="もみ合い→",OR(AE4="25日戻り売り★",AE4="5日戻り売り○")),"○逆張り売り",IF(W4&gt;=70,IF(Z4&lt;0,"◎反落確認","△過熱・様子見"),"相場上昇・見送り"))),IF(AND(T4&gt;=12,AD4="下降トレンド▼"),"★強い売り",IF(T4&gt;=12,"★強い売り",IF(AND(T4&gt;=8,OR(AE4="25日戻り売り★",AE4="5日戻り売り○")),"◎戻り売り",IF(T4&gt;=10,"○売り候補",IF(T4&gt;=6,"△注目",IF(T4&gt;=3,"様子見","見送り"))))))))</f>
        <v>相場上昇・見送り</v>
      </c>
      <c r="AG4">
        <f t="shared" ref="AG4:AG67" si="15">IF(AND(T4&gt;=7,C4&lt;&gt;""),T4,0)</f>
        <v>0</v>
      </c>
      <c r="AH4">
        <f t="shared" ref="AH4:AH67" si="16">IF(AG4&gt;0,AG4*10000-ROW(A4),0)</f>
        <v>0</v>
      </c>
      <c r="AI4" s="412" cm="1">
        <f t="array" ref="AI4">IF(C4="","",IFERROR((INDEX(終値!$E:$E,MATCH(TEXT(C4,"0"),終値!$A:$A,0))-INDEX(終値!$E:$BL,MATCH(TEXT(C4,"0"),終値!$A:$A,0),$AN$2))/INDEX(終値!$E:$BL,MATCH(TEXT(C4,"0"),終値!$A:$A,0),$AN$2)*100,""))</f>
        <v>21.155529617741465</v>
      </c>
      <c r="AJ4" s="412" cm="1">
        <f t="array" ref="AJ4">IFERROR((終値!$E$5-INDEX(終値!$E$5:$BL$5,1,$AN$2))/INDEX(終値!$E$5:$BL$5,1,$AN$2)*100,"")</f>
        <v>3.4532270246721688</v>
      </c>
      <c r="AK4" s="413">
        <f t="shared" ref="AK4:AK67" si="17">IF(OR(AI4="",AJ4=""),"",AI4-AJ4)</f>
        <v>17.702302593069295</v>
      </c>
      <c r="AL4" s="411">
        <f t="shared" ref="AL4:AL67" si="18">IF(AK4="","",IF(AK4&lt;-5,3,IF(AK4&lt;0,1,IF(AK4&lt;3,-1,-2))))</f>
        <v>-2</v>
      </c>
      <c r="AO4" s="415" t="str">
        <f t="shared" ref="AO4:AO67" si="19">IF(OR($C4="",$E4="",$F4="",$H4="",$I4="",$H4-$I4&lt;=0),"-",IF(AND($H4-MAX($F4,$E4)&gt;=ABS($E4-$F4)*2,MIN($F4,$E4)-$I4&lt;=ABS($E4-$F4)*0.5,ABS($E4-$F4)&gt;0),"上ヒゲ陰線▼",IF(AND($E4&lt;$F4,ABS($E4-$F4)&gt;=($H4-$I4)*0.7),"大陰線▼",IF(AND(MIN($F4,$E4)-$I4&gt;=($H4-$I4)*0.5,$H4-MAX($F4,$E4)&lt;=($H4-$I4)*0.2),"長い下ヒゲ(反発警戒)","通常"))))</f>
        <v>通常</v>
      </c>
      <c r="AP4" s="416">
        <f t="shared" ref="AP4:AP67" si="20">IF($AO4="上ヒゲ陰線▼",2,IF($AO4="大陰線▼",2,IF($AO4="長い下ヒゲ(反発警戒)",-2,0)))</f>
        <v>0</v>
      </c>
      <c r="AQ4">
        <f>IF(C4&lt;&gt;"",始値!F28,"")</f>
        <v>4315</v>
      </c>
      <c r="AR4">
        <f>IF(C4&lt;&gt;"",高値!F28,"")</f>
        <v>4434</v>
      </c>
      <c r="AS4">
        <f>IF(C4&lt;&gt;"",安値!F28,"")</f>
        <v>4108</v>
      </c>
      <c r="AT4" t="str">
        <f t="shared" si="14"/>
        <v>通常</v>
      </c>
      <c r="AU4">
        <f t="shared" ref="AU4:AU67" si="21">IF(AT4="上ヒゲ陰線▼",2,IF(AT4="大陰線▼",2,IF(AT4="長い下ヒゲ(反発)",-2,0)))</f>
        <v>0</v>
      </c>
    </row>
    <row r="5" spans="1:47" ht="14.25">
      <c r="A5" s="349" t="str">
        <f>IF(銘柄管理!B30&lt;&gt;"",HYPERLINK("https://kabutan.jp/stock/?code="&amp;銘柄管理!B30,"株探"),"")</f>
        <v>株探</v>
      </c>
      <c r="B5" s="350"/>
      <c r="C5" s="350">
        <f>IF(銘柄管理!B30="","",銘柄管理!B30)</f>
        <v>6254</v>
      </c>
      <c r="D5" s="350" t="str">
        <f>IF(銘柄管理!C30="","",銘柄管理!C30)</f>
        <v>野村マイクロ・サイエンス</v>
      </c>
      <c r="E5" s="351">
        <f>IF(C5&lt;&gt;"",_xll.RssMarket(C5,"現在値"),"")</f>
        <v>4900</v>
      </c>
      <c r="F5" s="351">
        <f>IF(C5&lt;&gt;"",_xll.RssMarket(C5,"始値"),"")</f>
        <v>4500</v>
      </c>
      <c r="G5" s="350">
        <f>IF(C5&lt;&gt;"",終値!F30,"")</f>
        <v>4600</v>
      </c>
      <c r="H5" s="351">
        <f>IF(C5&lt;&gt;"",_xll.RssMarket(C5,"高値"),"")</f>
        <v>4990</v>
      </c>
      <c r="I5" s="351">
        <f>IF(C5&lt;&gt;"",_xll.RssMarket(C5,"安値"),"")</f>
        <v>4495</v>
      </c>
      <c r="J5" s="351">
        <f>IF(C5&lt;&gt;"",_xll.RssMarket(C5,"出来高"),"")</f>
        <v>1015700</v>
      </c>
      <c r="K5" s="351">
        <f>IF(C5&lt;&gt;"",_xll.RssMarket(C5,"年初来高値"),"")</f>
        <v>5290</v>
      </c>
      <c r="L5" s="352">
        <f t="shared" si="0"/>
        <v>-7.3724007561436666</v>
      </c>
      <c r="M5" s="351">
        <f>IF(C5&lt;&gt;"",IFERROR(AVERAGE(出来高!E30:I30),""),"")</f>
        <v>787780</v>
      </c>
      <c r="N5" s="351">
        <f>IF(C5&lt;&gt;"",IFERROR(AVERAGE(出来高!E30:AC30),""),"")</f>
        <v>1002436</v>
      </c>
      <c r="O5" s="353">
        <f t="shared" si="1"/>
        <v>1.2893193531188911</v>
      </c>
      <c r="P5" s="350" t="str">
        <f t="shared" si="2"/>
        <v>普通→</v>
      </c>
      <c r="Q5" s="350" t="str">
        <f t="shared" si="3"/>
        <v>様子見▲</v>
      </c>
      <c r="R5" s="351">
        <f t="shared" si="4"/>
        <v>4508</v>
      </c>
      <c r="S5" s="351">
        <f t="shared" si="5"/>
        <v>5096</v>
      </c>
      <c r="T5" s="350">
        <f t="shared" si="6"/>
        <v>0</v>
      </c>
      <c r="U5" s="350" t="str">
        <f t="shared" si="7"/>
        <v>除外</v>
      </c>
      <c r="V5" s="350" t="str">
        <f t="shared" si="8"/>
        <v>通常</v>
      </c>
      <c r="W5" s="354" cm="1">
        <f t="array" ref="W5">IFERROR(100-100/(1+SUMPRODUCT((終値!F30:R30&gt;終値!G30:S30)*(終値!F30:R30-終値!G30:S30))/SUMPRODUCT((終値!F30:R30&lt;終値!G30:S30)*(終値!G30:S30-終値!F30:R30))),50)</f>
        <v>37.674418604651166</v>
      </c>
      <c r="X5" s="355">
        <f>IF(C5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-49.948137032865816</v>
      </c>
      <c r="Y5" s="350" t="str">
        <f t="shared" si="9"/>
        <v>相場上昇・見送り | パーフェクト▲ MACD- RSI:37.7 前日比:+6.5% [0点]</v>
      </c>
      <c r="Z5" s="356">
        <f t="shared" si="10"/>
        <v>6.5217391304347823</v>
      </c>
      <c r="AA5" s="350" t="str">
        <f t="shared" si="11"/>
        <v>上昇▲</v>
      </c>
      <c r="AB5" s="351">
        <f>IF(OR(C5="",C5="TOPX",終値!E30=""),"",IFERROR(((終値!E30*0.333)+(終値!F30*0.222)+(終値!G30*0.148)+(終値!H30*0.099)+(終値!I30*0.066))/(0.333+0.222+0.148+0.099+0.066),""))</f>
        <v>4543.7903225806449</v>
      </c>
      <c r="AC5" s="351">
        <f>IF(OR(C5="",C5="TOPX",終値!E30=""),"",IFERROR(SUMPRODUCT((終値!E30:AC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4466.0429082240753</v>
      </c>
      <c r="AD5" s="350" t="str">
        <f t="shared" si="12"/>
        <v>パーフェクト▲</v>
      </c>
      <c r="AE5" s="350" t="str">
        <f t="shared" si="13"/>
        <v>なし</v>
      </c>
      <c r="AF5" t="str">
        <f>IF(T5="","",IF(銘柄管理!$F$5="上昇▲",IF(AND(AD5="下降トレンド▼",OR(AE5="25日戻り売り★",AE5="5日戻り売り○")),"★逆張り売り",IF(AND(AD5="もみ合い→",OR(AE5="25日戻り売り★",AE5="5日戻り売り○")),"○逆張り売り",IF(W5&gt;=70,IF(Z5&lt;0,"◎反落確認","△過熱・様子見"),"相場上昇・見送り"))),IF(AND(T5&gt;=12,AD5="下降トレンド▼"),"★強い売り",IF(T5&gt;=12,"★強い売り",IF(AND(T5&gt;=8,OR(AE5="25日戻り売り★",AE5="5日戻り売り○")),"◎戻り売り",IF(T5&gt;=10,"○売り候補",IF(T5&gt;=6,"△注目",IF(T5&gt;=3,"様子見","見送り"))))))))</f>
        <v>相場上昇・見送り</v>
      </c>
      <c r="AG5">
        <f t="shared" si="15"/>
        <v>0</v>
      </c>
      <c r="AH5">
        <f t="shared" si="16"/>
        <v>0</v>
      </c>
      <c r="AI5" s="412" cm="1">
        <f t="array" ref="AI5">IF(C5="","",IFERROR((INDEX(終値!$E:$E,MATCH(TEXT(C5,"0"),終値!$A:$A,0))-INDEX(終値!$E:$BL,MATCH(TEXT(C5,"0"),終値!$A:$A,0),$AN$2))/INDEX(終値!$E:$BL,MATCH(TEXT(C5,"0"),終値!$A:$A,0),$AN$2)*100,""))</f>
        <v>12.51435132032147</v>
      </c>
      <c r="AJ5" s="412" cm="1">
        <f t="array" ref="AJ5">IFERROR((終値!$E$5-INDEX(終値!$E$5:$BL$5,1,$AN$2))/INDEX(終値!$E$5:$BL$5,1,$AN$2)*100,"")</f>
        <v>3.4532270246721688</v>
      </c>
      <c r="AK5" s="413">
        <f t="shared" si="17"/>
        <v>9.0611242956493019</v>
      </c>
      <c r="AL5" s="411">
        <f t="shared" si="18"/>
        <v>-2</v>
      </c>
      <c r="AO5" s="415" t="str">
        <f t="shared" si="19"/>
        <v>通常</v>
      </c>
      <c r="AP5" s="416">
        <f t="shared" si="20"/>
        <v>0</v>
      </c>
      <c r="AQ5">
        <f>IF(C5&lt;&gt;"",始値!F30,"")</f>
        <v>4615</v>
      </c>
      <c r="AR5">
        <f>IF(C5&lt;&gt;"",高値!F30,"")</f>
        <v>4655</v>
      </c>
      <c r="AS5">
        <f>IF(C5&lt;&gt;"",安値!F30,"")</f>
        <v>4485</v>
      </c>
      <c r="AT5" t="str">
        <f t="shared" si="14"/>
        <v>通常</v>
      </c>
      <c r="AU5">
        <f t="shared" si="21"/>
        <v>0</v>
      </c>
    </row>
    <row r="6" spans="1:47" ht="14.25">
      <c r="A6" s="357" t="str">
        <f>IF(銘柄管理!B148&lt;&gt;"",HYPERLINK("https://kabutan.jp/stock/?code="&amp;銘柄管理!B148,"株探"),"")</f>
        <v>株探</v>
      </c>
      <c r="B6" s="230"/>
      <c r="C6" s="230">
        <f>IF(銘柄管理!B148="","",銘柄管理!B148)</f>
        <v>6838</v>
      </c>
      <c r="D6" s="230" t="str">
        <f>IF(銘柄管理!C148="","",銘柄管理!C148)</f>
        <v>多摩川ホールディングス</v>
      </c>
      <c r="E6" s="358">
        <f>IF(C6&lt;&gt;"",_xll.RssMarket(C6,"現在値"),"")</f>
        <v>2153</v>
      </c>
      <c r="F6" s="358">
        <f>IF(C6&lt;&gt;"",_xll.RssMarket(C6,"始値"),"")</f>
        <v>2230</v>
      </c>
      <c r="G6" s="230">
        <f>IF(C6&lt;&gt;"",終値!F148,"")</f>
        <v>2280</v>
      </c>
      <c r="H6" s="358">
        <f>IF(C6&lt;&gt;"",_xll.RssMarket(C6,"高値"),"")</f>
        <v>2490</v>
      </c>
      <c r="I6" s="358">
        <f>IF(C6&lt;&gt;"",_xll.RssMarket(C6,"安値"),"")</f>
        <v>2122</v>
      </c>
      <c r="J6" s="358">
        <f>IF(C6&lt;&gt;"",_xll.RssMarket(C6,"出来高"),"")</f>
        <v>1705200</v>
      </c>
      <c r="K6" s="358">
        <f>IF(C6&lt;&gt;"",_xll.RssMarket(C6,"年初来高値"),"")</f>
        <v>2496</v>
      </c>
      <c r="L6" s="359">
        <f t="shared" si="0"/>
        <v>-13.741987179487181</v>
      </c>
      <c r="M6" s="358">
        <f>IF(C6&lt;&gt;"",IFERROR(AVERAGE(出来高!E148:I148),""),"")</f>
        <v>611260</v>
      </c>
      <c r="N6" s="358">
        <f>IF(C6&lt;&gt;"",IFERROR(AVERAGE(出来高!E148:AC148),""),"")</f>
        <v>593616</v>
      </c>
      <c r="O6" s="360">
        <f t="shared" si="1"/>
        <v>2.7896476131269834</v>
      </c>
      <c r="P6" s="230" t="str">
        <f t="shared" si="2"/>
        <v>急増↑↑</v>
      </c>
      <c r="Q6" s="230" t="str">
        <f t="shared" si="3"/>
        <v>売り▼</v>
      </c>
      <c r="R6" s="358">
        <f t="shared" si="4"/>
        <v>1981</v>
      </c>
      <c r="S6" s="358">
        <f t="shared" si="5"/>
        <v>2239</v>
      </c>
      <c r="T6" s="350">
        <f t="shared" si="6"/>
        <v>6</v>
      </c>
      <c r="U6" s="230" t="str">
        <f t="shared" si="7"/>
        <v>有効</v>
      </c>
      <c r="V6" s="230" t="str">
        <f t="shared" si="8"/>
        <v>通常</v>
      </c>
      <c r="W6" s="361" cm="1">
        <f t="array" ref="W6">IFERROR(100-100/(1+SUMPRODUCT((終値!F148:R148&gt;終値!G148:S148)*(終値!F148:R148-終値!G148:S148))/SUMPRODUCT((終値!F148:R148&lt;終値!G148:S148)*(終値!G148:S148-終値!F148:R148))),50)</f>
        <v>52.445961319681459</v>
      </c>
      <c r="X6" s="362">
        <f>IF(C6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0.58639980257885327</v>
      </c>
      <c r="Y6" s="230" t="str">
        <f t="shared" si="9"/>
        <v>相場上昇・見送り | 上昇トレンド▲ MACD+ RSI:52.4 前日比:-5.6% [上ヒゲ陰線▼] [6点]</v>
      </c>
      <c r="Z6" s="363">
        <f t="shared" si="10"/>
        <v>-5.5701754385964914</v>
      </c>
      <c r="AA6" s="230" t="str">
        <f t="shared" si="11"/>
        <v>下落▼</v>
      </c>
      <c r="AB6" s="358">
        <f>IF(OR(C6="",C6="TOPX",終値!E148=""),"",IFERROR(((終値!E148*0.333)+(終値!F148*0.222)+(終値!G148*0.148)+(終値!H148*0.099)+(終値!I148*0.066))/(0.333+0.222+0.148+0.099+0.066),""))</f>
        <v>2054.3721198156682</v>
      </c>
      <c r="AC6" s="358">
        <f>IF(OR(C6="",C6="TOPX",終値!E148=""),"",IFERROR(SUMPRODUCT((終値!E148:AC148)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2113.8271752085816</v>
      </c>
      <c r="AD6" s="230" t="str">
        <f t="shared" si="12"/>
        <v>上昇トレンド▲</v>
      </c>
      <c r="AE6" s="230" t="str">
        <f t="shared" si="13"/>
        <v>なし</v>
      </c>
      <c r="AF6" t="str">
        <f>IF(T6="","",IF(銘柄管理!$F$5="上昇▲",IF(AND(AD6="下降トレンド▼",OR(AE6="25日戻り売り★",AE6="5日戻り売り○")),"★逆張り売り",IF(AND(AD6="もみ合い→",OR(AE6="25日戻り売り★",AE6="5日戻り売り○")),"○逆張り売り",IF(W6&gt;=70,IF(Z6&lt;0,"◎反落確認","△過熱・様子見"),"相場上昇・見送り"))),IF(AND(T6&gt;=12,AD6="下降トレンド▼"),"★強い売り",IF(T6&gt;=12,"★強い売り",IF(AND(T6&gt;=8,OR(AE6="25日戻り売り★",AE6="5日戻り売り○")),"◎戻り売り",IF(T6&gt;=10,"○売り候補",IF(T6&gt;=6,"△注目",IF(T6&gt;=3,"様子見","見送り"))))))))</f>
        <v>相場上昇・見送り</v>
      </c>
      <c r="AG6">
        <f t="shared" si="15"/>
        <v>0</v>
      </c>
      <c r="AH6">
        <f t="shared" si="16"/>
        <v>0</v>
      </c>
      <c r="AI6" s="412" cm="1">
        <f t="array" ref="AI6">IF(C6="","",IFERROR((INDEX(終値!$E:$E,MATCH(TEXT(C6,"0"),終値!$A:$A,0))-INDEX(終値!$E:$BL,MATCH(TEXT(C6,"0"),終値!$A:$A,0),$AN$2))/INDEX(終値!$E:$BL,MATCH(TEXT(C6,"0"),終値!$A:$A,0),$AN$2)*100,""))</f>
        <v>12.722513089005236</v>
      </c>
      <c r="AJ6" s="412" cm="1">
        <f t="array" ref="AJ6">IFERROR((終値!$E$5-INDEX(終値!$E$5:$BL$5,1,$AN$2))/INDEX(終値!$E$5:$BL$5,1,$AN$2)*100,"")</f>
        <v>3.4532270246721688</v>
      </c>
      <c r="AK6" s="413">
        <f t="shared" si="17"/>
        <v>9.2692860643330679</v>
      </c>
      <c r="AL6" s="411">
        <f t="shared" si="18"/>
        <v>-2</v>
      </c>
      <c r="AO6" s="415" t="str">
        <f t="shared" si="19"/>
        <v>上ヒゲ陰線▼</v>
      </c>
      <c r="AP6" s="416">
        <f t="shared" si="20"/>
        <v>2</v>
      </c>
      <c r="AQ6">
        <f>IF(C6&lt;&gt;"",始値!F148,"")</f>
        <v>2280</v>
      </c>
      <c r="AR6">
        <f>IF(C6&lt;&gt;"",高値!F148,"")</f>
        <v>2280</v>
      </c>
      <c r="AS6">
        <f>IF(C6&lt;&gt;"",安値!F148,"")</f>
        <v>2280</v>
      </c>
      <c r="AT6" t="str">
        <f t="shared" si="14"/>
        <v>-</v>
      </c>
      <c r="AU6">
        <f t="shared" si="21"/>
        <v>0</v>
      </c>
    </row>
    <row r="7" spans="1:47" ht="14.25">
      <c r="A7" s="349" t="str">
        <f>IF(銘柄管理!B84&lt;&gt;"",HYPERLINK("https://kabutan.jp/stock/?code="&amp;銘柄管理!B84,"株探"),"")</f>
        <v>株探</v>
      </c>
      <c r="B7" s="350"/>
      <c r="C7" s="350">
        <f>IF(銘柄管理!B84="","",銘柄管理!B84)</f>
        <v>5411</v>
      </c>
      <c r="D7" s="350" t="str">
        <f>IF(銘柄管理!C84="","",銘柄管理!C84)</f>
        <v>ＪＦＥホールディングス</v>
      </c>
      <c r="E7" s="351">
        <f>IF(C7&lt;&gt;"",_xll.RssMarket(C7,"現在値"),"")</f>
        <v>1637</v>
      </c>
      <c r="F7" s="351">
        <f>IF(C7&lt;&gt;"",_xll.RssMarket(C7,"始値"),"")</f>
        <v>1652</v>
      </c>
      <c r="G7" s="350">
        <f>IF(C7&lt;&gt;"",終値!F84,"")</f>
        <v>1647</v>
      </c>
      <c r="H7" s="351">
        <f>IF(C7&lt;&gt;"",_xll.RssMarket(C7,"高値"),"")</f>
        <v>1653</v>
      </c>
      <c r="I7" s="351">
        <f>IF(C7&lt;&gt;"",_xll.RssMarket(C7,"安値"),"")</f>
        <v>1630.5</v>
      </c>
      <c r="J7" s="351">
        <f>IF(C7&lt;&gt;"",_xll.RssMarket(C7,"出来高"),"")</f>
        <v>2749000</v>
      </c>
      <c r="K7" s="351">
        <f>IF(C7&lt;&gt;"",_xll.RssMarket(C7,"年初来高値"),"")</f>
        <v>2359</v>
      </c>
      <c r="L7" s="352">
        <f t="shared" si="0"/>
        <v>-30.606189063162358</v>
      </c>
      <c r="M7" s="351">
        <f>IF(C7&lt;&gt;"",IFERROR(AVERAGE(出来高!E84:I84),""),"")</f>
        <v>4892100</v>
      </c>
      <c r="N7" s="351">
        <f>IF(C7&lt;&gt;"",IFERROR(AVERAGE(出来高!E84:AC84),""),"")</f>
        <v>5792740</v>
      </c>
      <c r="O7" s="353">
        <f t="shared" si="1"/>
        <v>0.56192637108808074</v>
      </c>
      <c r="P7" s="350" t="str">
        <f t="shared" si="2"/>
        <v>減少↓</v>
      </c>
      <c r="Q7" s="350" t="str">
        <f t="shared" si="3"/>
        <v>中立→</v>
      </c>
      <c r="R7" s="351">
        <f t="shared" si="4"/>
        <v>1506</v>
      </c>
      <c r="S7" s="351">
        <f t="shared" si="5"/>
        <v>1702</v>
      </c>
      <c r="T7" s="350">
        <f t="shared" si="6"/>
        <v>11</v>
      </c>
      <c r="U7" s="350" t="str">
        <f t="shared" si="7"/>
        <v>要確認</v>
      </c>
      <c r="V7" s="350" t="str">
        <f t="shared" si="8"/>
        <v>安値圏</v>
      </c>
      <c r="W7" s="354" cm="1">
        <f t="array" ref="W7">IFERROR(100-100/(1+SUMPRODUCT((終値!F84:R84&gt;終値!G84:S84)*(終値!F84:R84-終値!G84:S84))/SUMPRODUCT((終値!F84:R84&lt;終値!G84:S84)*(終値!G84:S84-終値!F84:R84))),50)</f>
        <v>52.689873417721515</v>
      </c>
      <c r="X7" s="355">
        <f>IF(C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-8.0933414000210178</v>
      </c>
      <c r="Y7" s="350" t="str">
        <f t="shared" si="9"/>
        <v>相場上昇・見送り | 上昇トレンド▲ MACD- RSI:52.7 前日比:-0.6% [安値圏] [11点]</v>
      </c>
      <c r="Z7" s="356">
        <f t="shared" si="10"/>
        <v>-0.60716454159077105</v>
      </c>
      <c r="AA7" s="350" t="str">
        <f t="shared" si="11"/>
        <v>下落▼</v>
      </c>
      <c r="AB7" s="351">
        <f>IF(OR(C7="",C7="TOPX",終値!E84=""),"",IFERROR(((終値!E84*0.333)+(終値!F84*0.222)+(終値!G84*0.148)+(終値!H84*0.099)+(終値!I84*0.066))/(0.333+0.222+0.148+0.099+0.066),""))</f>
        <v>1624.0218894009215</v>
      </c>
      <c r="AC7" s="351">
        <f>IF(OR(C7="",C7="TOPX",終値!E84=""),"",IFERROR(SUMPRODUCT((終値!E84:AC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1627.2640047675795</v>
      </c>
      <c r="AD7" s="350" t="str">
        <f t="shared" si="12"/>
        <v>上昇トレンド▲</v>
      </c>
      <c r="AE7" s="350" t="str">
        <f t="shared" si="13"/>
        <v>なし</v>
      </c>
      <c r="AF7" t="str">
        <f>IF(T7="","",IF(銘柄管理!$F$5="上昇▲",IF(AND(AD7="下降トレンド▼",OR(AE7="25日戻り売り★",AE7="5日戻り売り○")),"★逆張り売り",IF(AND(AD7="もみ合い→",OR(AE7="25日戻り売り★",AE7="5日戻り売り○")),"○逆張り売り",IF(W7&gt;=70,IF(Z7&lt;0,"◎反落確認","△過熱・様子見"),"相場上昇・見送り"))),IF(AND(T7&gt;=12,AD7="下降トレンド▼"),"★強い売り",IF(T7&gt;=12,"★強い売り",IF(AND(T7&gt;=8,OR(AE7="25日戻り売り★",AE7="5日戻り売り○")),"◎戻り売り",IF(T7&gt;=10,"○売り候補",IF(T7&gt;=6,"△注目",IF(T7&gt;=3,"様子見","見送り"))))))))</f>
        <v>相場上昇・見送り</v>
      </c>
      <c r="AG7">
        <f t="shared" si="15"/>
        <v>11</v>
      </c>
      <c r="AH7">
        <f t="shared" si="16"/>
        <v>109993</v>
      </c>
      <c r="AI7" s="412" cm="1">
        <f t="array" ref="AI7">IF(C7="","",IFERROR((INDEX(終値!$E:$E,MATCH(TEXT(C7,"0"),終値!$A:$A,0))-INDEX(終値!$E:$BL,MATCH(TEXT(C7,"0"),終値!$A:$A,0),$AN$2))/INDEX(終値!$E:$BL,MATCH(TEXT(C7,"0"),終値!$A:$A,0),$AN$2)*100,""))</f>
        <v>-3.1647441585329785</v>
      </c>
      <c r="AJ7" s="412" cm="1">
        <f t="array" ref="AJ7">IFERROR((終値!$E$5-INDEX(終値!$E$5:$BL$5,1,$AN$2))/INDEX(終値!$E$5:$BL$5,1,$AN$2)*100,"")</f>
        <v>3.4532270246721688</v>
      </c>
      <c r="AK7" s="413">
        <f t="shared" si="17"/>
        <v>-6.6179711832051478</v>
      </c>
      <c r="AL7" s="411">
        <f t="shared" si="18"/>
        <v>3</v>
      </c>
      <c r="AO7" s="415" t="str">
        <f t="shared" si="19"/>
        <v>通常</v>
      </c>
      <c r="AP7" s="416">
        <f t="shared" si="20"/>
        <v>0</v>
      </c>
      <c r="AQ7">
        <f>IF(C7&lt;&gt;"",始値!F84,"")</f>
        <v>1656.5</v>
      </c>
      <c r="AR7">
        <f>IF(C7&lt;&gt;"",高値!F84,"")</f>
        <v>1659</v>
      </c>
      <c r="AS7">
        <f>IF(C7&lt;&gt;"",安値!F84,"")</f>
        <v>1641.5</v>
      </c>
      <c r="AT7" t="str">
        <f t="shared" si="14"/>
        <v>通常</v>
      </c>
      <c r="AU7">
        <f t="shared" si="21"/>
        <v>0</v>
      </c>
    </row>
    <row r="8" spans="1:47" ht="14.25">
      <c r="A8" s="357" t="str">
        <f>IF(銘柄管理!B112&lt;&gt;"",HYPERLINK("https://kabutan.jp/stock/?code="&amp;銘柄管理!B112,"株探"),"")</f>
        <v>株探</v>
      </c>
      <c r="B8" s="230"/>
      <c r="C8" s="230">
        <f>IF(銘柄管理!B112="","",銘柄管理!B112)</f>
        <v>9348</v>
      </c>
      <c r="D8" s="230" t="str">
        <f>IF(銘柄管理!C112="","",銘柄管理!C112)</f>
        <v>ｉｓｐａｃｅ</v>
      </c>
      <c r="E8" s="358">
        <f>IF(C8&lt;&gt;"",_xll.RssMarket(C8,"現在値"),"")</f>
        <v>473</v>
      </c>
      <c r="F8" s="358">
        <f>IF(C8&lt;&gt;"",_xll.RssMarket(C8,"始値"),"")</f>
        <v>471</v>
      </c>
      <c r="G8" s="230">
        <f>IF(C8&lt;&gt;"",終値!F112,"")</f>
        <v>468</v>
      </c>
      <c r="H8" s="358">
        <f>IF(C8&lt;&gt;"",_xll.RssMarket(C8,"高値"),"")</f>
        <v>494</v>
      </c>
      <c r="I8" s="358">
        <f>IF(C8&lt;&gt;"",_xll.RssMarket(C8,"安値"),"")</f>
        <v>468</v>
      </c>
      <c r="J8" s="358">
        <f>IF(C8&lt;&gt;"",_xll.RssMarket(C8,"出来高"),"")</f>
        <v>2625000</v>
      </c>
      <c r="K8" s="358">
        <f>IF(C8&lt;&gt;"",_xll.RssMarket(C8,"年初来高値"),"")</f>
        <v>710</v>
      </c>
      <c r="L8" s="359">
        <f t="shared" si="0"/>
        <v>-33.380281690140848</v>
      </c>
      <c r="M8" s="358">
        <f>IF(C8&lt;&gt;"",IFERROR(AVERAGE(出来高!E112:I112),""),"")</f>
        <v>2939240</v>
      </c>
      <c r="N8" s="358">
        <f>IF(C8&lt;&gt;"",IFERROR(AVERAGE(出来高!E112:AC112),""),"")</f>
        <v>3455836</v>
      </c>
      <c r="O8" s="360">
        <f t="shared" si="1"/>
        <v>0.89308800914522124</v>
      </c>
      <c r="P8" s="230" t="str">
        <f t="shared" si="2"/>
        <v>減少↓</v>
      </c>
      <c r="Q8" s="230" t="str">
        <f t="shared" si="3"/>
        <v>様子見▲</v>
      </c>
      <c r="R8" s="358">
        <f t="shared" si="4"/>
        <v>435</v>
      </c>
      <c r="S8" s="358">
        <f t="shared" si="5"/>
        <v>492</v>
      </c>
      <c r="T8" s="350">
        <f t="shared" si="6"/>
        <v>14</v>
      </c>
      <c r="U8" s="230" t="str">
        <f t="shared" si="7"/>
        <v>要確認</v>
      </c>
      <c r="V8" s="230" t="str">
        <f t="shared" si="8"/>
        <v>安値圏</v>
      </c>
      <c r="W8" s="361" cm="1">
        <f t="array" ref="W8">IFERROR(100-100/(1+SUMPRODUCT((終値!F112:R112&gt;終値!G112:S112)*(終値!F112:R112-終値!G112:S112))/SUMPRODUCT((終値!F112:R112&lt;終値!G112:S112)*(終値!G112:S112-終値!F112:R112))),50)</f>
        <v>38.28451882845188</v>
      </c>
      <c r="X8" s="362">
        <f>IF(C8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-4.2534698036529335</v>
      </c>
      <c r="Y8" s="230" t="str">
        <f t="shared" si="9"/>
        <v>相場上昇・見送り | 下降トレンド▼ MACD- RSI:38.3 前日比:+1.1% [安値圏]前日[大陰線▼] [14点]</v>
      </c>
      <c r="Z8" s="363">
        <f t="shared" si="10"/>
        <v>1.0683760683760684</v>
      </c>
      <c r="AA8" s="230" t="str">
        <f t="shared" si="11"/>
        <v>上昇▲</v>
      </c>
      <c r="AB8" s="358">
        <f>IF(OR(C8="",C8="TOPX",終値!E112=""),"",IFERROR(((終値!E112*0.333)+(終値!F112*0.222)+(終値!G112*0.148)+(終値!H112*0.099)+(終値!I112*0.066))/(0.333+0.222+0.148+0.099+0.066),""))</f>
        <v>504.67626728110594</v>
      </c>
      <c r="AC8" s="358">
        <f>IF(OR(C8="",C8="TOPX",終値!E112=""),"",IFERROR(SUMPRODUCT((終値!E112:AC112)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556.44934445768752</v>
      </c>
      <c r="AD8" s="230" t="str">
        <f t="shared" si="12"/>
        <v>下降トレンド▼</v>
      </c>
      <c r="AE8" s="230" t="str">
        <f t="shared" si="13"/>
        <v>なし</v>
      </c>
      <c r="AF8" t="str">
        <f>IF(T8="","",IF(銘柄管理!$F$5="上昇▲",IF(AND(AD8="下降トレンド▼",OR(AE8="25日戻り売り★",AE8="5日戻り売り○")),"★逆張り売り",IF(AND(AD8="もみ合い→",OR(AE8="25日戻り売り★",AE8="5日戻り売り○")),"○逆張り売り",IF(W8&gt;=70,IF(Z8&lt;0,"◎反落確認","△過熱・様子見"),"相場上昇・見送り"))),IF(AND(T8&gt;=12,AD8="下降トレンド▼"),"★強い売り",IF(T8&gt;=12,"★強い売り",IF(AND(T8&gt;=8,OR(AE8="25日戻り売り★",AE8="5日戻り売り○")),"◎戻り売り",IF(T8&gt;=10,"○売り候補",IF(T8&gt;=6,"△注目",IF(T8&gt;=3,"様子見","見送り"))))))))</f>
        <v>相場上昇・見送り</v>
      </c>
      <c r="AG8">
        <f t="shared" si="15"/>
        <v>14</v>
      </c>
      <c r="AH8">
        <f t="shared" si="16"/>
        <v>139992</v>
      </c>
      <c r="AI8" s="412" cm="1">
        <f t="array" ref="AI8">IF(C8="","",IFERROR((INDEX(終値!$E:$E,MATCH(TEXT(C8,"0"),終値!$A:$A,0))-INDEX(終値!$E:$BL,MATCH(TEXT(C8,"0"),終値!$A:$A,0),$AN$2))/INDEX(終値!$E:$BL,MATCH(TEXT(C8,"0"),終値!$A:$A,0),$AN$2)*100,""))</f>
        <v>-5.2104208416833666</v>
      </c>
      <c r="AJ8" s="412" cm="1">
        <f t="array" ref="AJ8">IFERROR((終値!$E$5-INDEX(終値!$E$5:$BL$5,1,$AN$2))/INDEX(終値!$E$5:$BL$5,1,$AN$2)*100,"")</f>
        <v>3.4532270246721688</v>
      </c>
      <c r="AK8" s="413">
        <f t="shared" si="17"/>
        <v>-8.6636478663555359</v>
      </c>
      <c r="AL8" s="411">
        <f t="shared" si="18"/>
        <v>3</v>
      </c>
      <c r="AO8" s="415" t="str">
        <f t="shared" si="19"/>
        <v>通常</v>
      </c>
      <c r="AP8" s="416">
        <f t="shared" si="20"/>
        <v>0</v>
      </c>
      <c r="AQ8">
        <f>IF(C8&lt;&gt;"",始値!F112,"")</f>
        <v>510</v>
      </c>
      <c r="AR8">
        <f>IF(C8&lt;&gt;"",高値!F112,"")</f>
        <v>512</v>
      </c>
      <c r="AS8">
        <f>IF(C8&lt;&gt;"",安値!F112,"")</f>
        <v>466</v>
      </c>
      <c r="AT8" t="str">
        <f t="shared" si="14"/>
        <v>大陰線▼</v>
      </c>
      <c r="AU8">
        <f t="shared" si="21"/>
        <v>2</v>
      </c>
    </row>
    <row r="9" spans="1:47" ht="14.25">
      <c r="A9" s="349" t="str">
        <f>IF(銘柄管理!B129&lt;&gt;"",HYPERLINK("https://kabutan.jp/stock/?code="&amp;銘柄管理!B129,"株探"),"")</f>
        <v>株探</v>
      </c>
      <c r="B9" s="350"/>
      <c r="C9" s="350">
        <f>IF(銘柄管理!B129="","",銘柄管理!B129)</f>
        <v>4082</v>
      </c>
      <c r="D9" s="350" t="str">
        <f>IF(銘柄管理!C129="","",銘柄管理!C129)</f>
        <v>第一稀元素化学工</v>
      </c>
      <c r="E9" s="351">
        <f>IF(C9&lt;&gt;"",_xll.RssMarket(C9,"現在値"),"")</f>
        <v>2065</v>
      </c>
      <c r="F9" s="351">
        <f>IF(C9&lt;&gt;"",_xll.RssMarket(C9,"始値"),"")</f>
        <v>1990</v>
      </c>
      <c r="G9" s="350">
        <f>IF(C9&lt;&gt;"",終値!F129,"")</f>
        <v>2015</v>
      </c>
      <c r="H9" s="351">
        <f>IF(C9&lt;&gt;"",_xll.RssMarket(C9,"高値"),"")</f>
        <v>2130</v>
      </c>
      <c r="I9" s="351">
        <f>IF(C9&lt;&gt;"",_xll.RssMarket(C9,"安値"),"")</f>
        <v>1941</v>
      </c>
      <c r="J9" s="351">
        <f>IF(C9&lt;&gt;"",_xll.RssMarket(C9,"出来高"),"")</f>
        <v>270500</v>
      </c>
      <c r="K9" s="351">
        <f>IF(C9&lt;&gt;"",_xll.RssMarket(C9,"年初来高値"),"")</f>
        <v>4400</v>
      </c>
      <c r="L9" s="352">
        <f t="shared" si="0"/>
        <v>-53.068181818181813</v>
      </c>
      <c r="M9" s="351">
        <f>IF(C9&lt;&gt;"",IFERROR(AVERAGE(出来高!E129:I129),""),"")</f>
        <v>289460</v>
      </c>
      <c r="N9" s="351">
        <f>IF(C9&lt;&gt;"",IFERROR(AVERAGE(出来高!E129:AC129),""),"")</f>
        <v>466188</v>
      </c>
      <c r="O9" s="353">
        <f t="shared" si="1"/>
        <v>0.93449872175775583</v>
      </c>
      <c r="P9" s="350" t="str">
        <f t="shared" si="2"/>
        <v>減少↓</v>
      </c>
      <c r="Q9" s="350" t="str">
        <f t="shared" si="3"/>
        <v>様子見▲</v>
      </c>
      <c r="R9" s="351">
        <f t="shared" si="4"/>
        <v>1900</v>
      </c>
      <c r="S9" s="351">
        <f t="shared" si="5"/>
        <v>2148</v>
      </c>
      <c r="T9" s="350">
        <f t="shared" si="6"/>
        <v>13</v>
      </c>
      <c r="U9" s="350" t="str">
        <f t="shared" si="7"/>
        <v>要確認</v>
      </c>
      <c r="V9" s="350" t="str">
        <f t="shared" si="8"/>
        <v>年初来安値圏●</v>
      </c>
      <c r="W9" s="354" cm="1">
        <f t="array" ref="W9">IFERROR(100-100/(1+SUMPRODUCT((終値!F129:R129&gt;終値!G129:S129)*(終値!F129:R129-終値!G129:S129))/SUMPRODUCT((終値!F129:R129&lt;終値!G129:S129)*(終値!G129:S129-終値!F129:R129))),50)</f>
        <v>49.489795918367342</v>
      </c>
      <c r="X9" s="355">
        <f>IF(C9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-28.58063039575768</v>
      </c>
      <c r="Y9" s="350" t="str">
        <f t="shared" si="9"/>
        <v>○逆張り売り | もみ合い→ 25日戻り売り★ MACD- RSI:49.5 前日比:+2.5% [年初来安値圏] [13点]</v>
      </c>
      <c r="Z9" s="356">
        <f t="shared" si="10"/>
        <v>2.481389578163772</v>
      </c>
      <c r="AA9" s="350" t="str">
        <f t="shared" si="11"/>
        <v>上昇▲</v>
      </c>
      <c r="AB9" s="351">
        <f>IF(OR(C9="",C9="TOPX",終値!E129=""),"",IFERROR(((終値!E129*0.333)+(終値!F129*0.222)+(終値!G129*0.148)+(終値!H129*0.099)+(終値!I129*0.066))/(0.333+0.222+0.148+0.099+0.066),""))</f>
        <v>1979.6497695852529</v>
      </c>
      <c r="AC9" s="351">
        <f>IF(OR(C9="",C9="TOPX",終値!E129=""),"",IFERROR(SUMPRODUCT((終値!E129:AC129)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2079.8116805721088</v>
      </c>
      <c r="AD9" s="350" t="str">
        <f t="shared" si="12"/>
        <v>もみ合い→</v>
      </c>
      <c r="AE9" s="350" t="str">
        <f t="shared" si="13"/>
        <v>25日戻り売り★</v>
      </c>
      <c r="AF9" t="str">
        <f>IF(T9="","",IF(銘柄管理!$F$5="上昇▲",IF(AND(AD9="下降トレンド▼",OR(AE9="25日戻り売り★",AE9="5日戻り売り○")),"★逆張り売り",IF(AND(AD9="もみ合い→",OR(AE9="25日戻り売り★",AE9="5日戻り売り○")),"○逆張り売り",IF(W9&gt;=70,IF(Z9&lt;0,"◎反落確認","△過熱・様子見"),"相場上昇・見送り"))),IF(AND(T9&gt;=12,AD9="下降トレンド▼"),"★強い売り",IF(T9&gt;=12,"★強い売り",IF(AND(T9&gt;=8,OR(AE9="25日戻り売り★",AE9="5日戻り売り○")),"◎戻り売り",IF(T9&gt;=10,"○売り候補",IF(T9&gt;=6,"△注目",IF(T9&gt;=3,"様子見","見送り"))))))))</f>
        <v>○逆張り売り</v>
      </c>
      <c r="AG9">
        <f t="shared" si="15"/>
        <v>13</v>
      </c>
      <c r="AH9">
        <f t="shared" si="16"/>
        <v>129991</v>
      </c>
      <c r="AI9" s="412" cm="1">
        <f t="array" ref="AI9">IF(C9="","",IFERROR((INDEX(終値!$E:$E,MATCH(TEXT(C9,"0"),終値!$A:$A,0))-INDEX(終値!$E:$BL,MATCH(TEXT(C9,"0"),終値!$A:$A,0),$AN$2))/INDEX(終値!$E:$BL,MATCH(TEXT(C9,"0"),終値!$A:$A,0),$AN$2)*100,""))</f>
        <v>-18.379446640316203</v>
      </c>
      <c r="AJ9" s="412" cm="1">
        <f t="array" ref="AJ9">IFERROR((終値!$E$5-INDEX(終値!$E$5:$BL$5,1,$AN$2))/INDEX(終値!$E$5:$BL$5,1,$AN$2)*100,"")</f>
        <v>3.4532270246721688</v>
      </c>
      <c r="AK9" s="413">
        <f t="shared" si="17"/>
        <v>-21.832673664988373</v>
      </c>
      <c r="AL9" s="411">
        <f t="shared" si="18"/>
        <v>3</v>
      </c>
      <c r="AO9" s="415" t="str">
        <f t="shared" si="19"/>
        <v>通常</v>
      </c>
      <c r="AP9" s="416">
        <f t="shared" si="20"/>
        <v>0</v>
      </c>
      <c r="AQ9">
        <f>IF(C9&lt;&gt;"",始値!F129,"")</f>
        <v>1948</v>
      </c>
      <c r="AR9">
        <f>IF(C9&lt;&gt;"",高値!F129,"")</f>
        <v>2026</v>
      </c>
      <c r="AS9">
        <f>IF(C9&lt;&gt;"",安値!F129,"")</f>
        <v>1919</v>
      </c>
      <c r="AT9" t="str">
        <f t="shared" si="14"/>
        <v>通常</v>
      </c>
      <c r="AU9">
        <f t="shared" si="21"/>
        <v>0</v>
      </c>
    </row>
    <row r="10" spans="1:47" ht="14.25">
      <c r="A10" s="357" t="str">
        <f>IF(銘柄管理!B145&lt;&gt;"",HYPERLINK("https://kabutan.jp/stock/?code="&amp;銘柄管理!B145,"株探"),"")</f>
        <v>株探</v>
      </c>
      <c r="B10" s="230"/>
      <c r="C10" s="230">
        <f>IF(銘柄管理!B145="","",銘柄管理!B145)</f>
        <v>6787</v>
      </c>
      <c r="D10" s="230" t="str">
        <f>IF(銘柄管理!C145="","",銘柄管理!C145)</f>
        <v>メイコー</v>
      </c>
      <c r="E10" s="358">
        <f>IF(C10&lt;&gt;"",_xll.RssMarket(C10,"現在値"),"")</f>
        <v>35750</v>
      </c>
      <c r="F10" s="358">
        <f>IF(C10&lt;&gt;"",_xll.RssMarket(C10,"始値"),"")</f>
        <v>33850</v>
      </c>
      <c r="G10" s="230">
        <f>IF(C10&lt;&gt;"",終値!F145,"")</f>
        <v>34850</v>
      </c>
      <c r="H10" s="358">
        <f>IF(C10&lt;&gt;"",_xll.RssMarket(C10,"高値"),"")</f>
        <v>36600</v>
      </c>
      <c r="I10" s="358">
        <f>IF(C10&lt;&gt;"",_xll.RssMarket(C10,"安値"),"")</f>
        <v>33600</v>
      </c>
      <c r="J10" s="358">
        <f>IF(C10&lt;&gt;"",_xll.RssMarket(C10,"出来高"),"")</f>
        <v>512700</v>
      </c>
      <c r="K10" s="358">
        <f>IF(C10&lt;&gt;"",_xll.RssMarket(C10,"年初来高値"),"")</f>
        <v>45300</v>
      </c>
      <c r="L10" s="359">
        <f t="shared" si="0"/>
        <v>-21.081677704194259</v>
      </c>
      <c r="M10" s="358">
        <f>IF(C10&lt;&gt;"",IFERROR(AVERAGE(出来高!E145:I145),""),"")</f>
        <v>610040</v>
      </c>
      <c r="N10" s="358">
        <f>IF(C10&lt;&gt;"",IFERROR(AVERAGE(出来高!E145:AC145),""),"")</f>
        <v>543748</v>
      </c>
      <c r="O10" s="360">
        <f t="shared" si="1"/>
        <v>0.84043669267589005</v>
      </c>
      <c r="P10" s="230" t="str">
        <f t="shared" si="2"/>
        <v>減少↓</v>
      </c>
      <c r="Q10" s="230" t="str">
        <f t="shared" si="3"/>
        <v>様子見▲</v>
      </c>
      <c r="R10" s="358">
        <f t="shared" si="4"/>
        <v>32890</v>
      </c>
      <c r="S10" s="358">
        <f t="shared" si="5"/>
        <v>37180</v>
      </c>
      <c r="T10" s="350">
        <f t="shared" si="6"/>
        <v>8</v>
      </c>
      <c r="U10" s="230" t="str">
        <f t="shared" si="7"/>
        <v>要確認</v>
      </c>
      <c r="V10" s="230" t="str">
        <f t="shared" si="8"/>
        <v>安値圏</v>
      </c>
      <c r="W10" s="361" cm="1">
        <f t="array" ref="W10">IFERROR(100-100/(1+SUMPRODUCT((終値!F145:R145&gt;終値!G145:S145)*(終値!F145:R145-終値!G145:S145))/SUMPRODUCT((終値!F145:R145&lt;終値!G145:S145)*(終値!G145:S145-終値!F145:R145))),50)</f>
        <v>32.781168265039241</v>
      </c>
      <c r="X10" s="362">
        <f>IF(C10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-696.2983454001951</v>
      </c>
      <c r="Y10" s="230" t="str">
        <f t="shared" si="9"/>
        <v>相場上昇・見送り | 上昇トレンド▲ MACD- RSI:32.8 前日比:+2.6% [安値圏] [8点]</v>
      </c>
      <c r="Z10" s="363">
        <f t="shared" si="10"/>
        <v>2.5824964131994261</v>
      </c>
      <c r="AA10" s="230" t="str">
        <f t="shared" si="11"/>
        <v>上昇▲</v>
      </c>
      <c r="AB10" s="358">
        <f>IF(OR(C10="",C10="TOPX",終値!E145=""),"",IFERROR(((終値!E145*0.333)+(終値!F145*0.222)+(終値!G145*0.148)+(終値!H145*0.099)+(終値!I145*0.066))/(0.333+0.222+0.148+0.099+0.066),""))</f>
        <v>33566.209677419349</v>
      </c>
      <c r="AC10" s="358">
        <f>IF(OR(C10="",C10="TOPX",終値!E145=""),"",IFERROR(SUMPRODUCT((終値!E145:AC145)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35493.861740166853</v>
      </c>
      <c r="AD10" s="230" t="str">
        <f t="shared" si="12"/>
        <v>上昇トレンド▲</v>
      </c>
      <c r="AE10" s="230" t="str">
        <f t="shared" si="13"/>
        <v>なし</v>
      </c>
      <c r="AF10" t="str">
        <f>IF(T10="","",IF(銘柄管理!$F$5="上昇▲",IF(AND(AD10="下降トレンド▼",OR(AE10="25日戻り売り★",AE10="5日戻り売り○")),"★逆張り売り",IF(AND(AD10="もみ合い→",OR(AE10="25日戻り売り★",AE10="5日戻り売り○")),"○逆張り売り",IF(W10&gt;=70,IF(Z10&lt;0,"◎反落確認","△過熱・様子見"),"相場上昇・見送り"))),IF(AND(T10&gt;=12,AD10="下降トレンド▼"),"★強い売り",IF(T10&gt;=12,"★強い売り",IF(AND(T10&gt;=8,OR(AE10="25日戻り売り★",AE10="5日戻り売り○")),"◎戻り売り",IF(T10&gt;=10,"○売り候補",IF(T10&gt;=6,"△注目",IF(T10&gt;=3,"様子見","見送り"))))))))</f>
        <v>相場上昇・見送り</v>
      </c>
      <c r="AG10">
        <f t="shared" si="15"/>
        <v>8</v>
      </c>
      <c r="AH10">
        <f t="shared" si="16"/>
        <v>79990</v>
      </c>
      <c r="AI10" s="412" cm="1">
        <f t="array" ref="AI10">IF(C10="","",IFERROR((INDEX(終値!$E:$E,MATCH(TEXT(C10,"0"),終値!$A:$A,0))-INDEX(終値!$E:$BL,MATCH(TEXT(C10,"0"),終値!$A:$A,0),$AN$2))/INDEX(終値!$E:$BL,MATCH(TEXT(C10,"0"),終値!$A:$A,0),$AN$2)*100,""))</f>
        <v>-7.5032341526520057</v>
      </c>
      <c r="AJ10" s="412" cm="1">
        <f t="array" ref="AJ10">IFERROR((終値!$E$5-INDEX(終値!$E$5:$BL$5,1,$AN$2))/INDEX(終値!$E$5:$BL$5,1,$AN$2)*100,"")</f>
        <v>3.4532270246721688</v>
      </c>
      <c r="AK10" s="413">
        <f t="shared" si="17"/>
        <v>-10.956461177324174</v>
      </c>
      <c r="AL10" s="411">
        <f t="shared" si="18"/>
        <v>3</v>
      </c>
      <c r="AO10" s="415" t="str">
        <f t="shared" si="19"/>
        <v>通常</v>
      </c>
      <c r="AP10" s="416">
        <f t="shared" si="20"/>
        <v>0</v>
      </c>
      <c r="AQ10">
        <f>IF(C10&lt;&gt;"",始値!F145,"")</f>
        <v>30600</v>
      </c>
      <c r="AR10">
        <f>IF(C10&lt;&gt;"",高値!F145,"")</f>
        <v>37250</v>
      </c>
      <c r="AS10">
        <f>IF(C10&lt;&gt;"",安値!F145,"")</f>
        <v>30150</v>
      </c>
      <c r="AT10" t="str">
        <f t="shared" si="14"/>
        <v>通常</v>
      </c>
      <c r="AU10">
        <f t="shared" si="21"/>
        <v>0</v>
      </c>
    </row>
    <row r="11" spans="1:47" ht="14.25">
      <c r="A11" s="349" t="str">
        <f>IF(銘柄管理!B6&lt;&gt;"",HYPERLINK("https://kabutan.jp/stock/?code="&amp;銘柄管理!B6,"株探"),"")</f>
        <v>株探</v>
      </c>
      <c r="B11" s="350"/>
      <c r="C11" s="350">
        <f>IF(銘柄管理!B6="","",銘柄管理!B6)</f>
        <v>5706</v>
      </c>
      <c r="D11" s="350" t="str">
        <f>IF(銘柄管理!C6="","",銘柄管理!C6)</f>
        <v>三井金属</v>
      </c>
      <c r="E11" s="351">
        <f>IF(C11&lt;&gt;"",_xll.RssMarket(C11,"現在値"),"")</f>
        <v>47600</v>
      </c>
      <c r="F11" s="351">
        <f>IF(C11&lt;&gt;"",_xll.RssMarket(C11,"始値"),"")</f>
        <v>47100</v>
      </c>
      <c r="G11" s="350">
        <f>IF(C11&lt;&gt;"",終値!F6,"")</f>
        <v>53840</v>
      </c>
      <c r="H11" s="351">
        <f>IF(C11&lt;&gt;"",_xll.RssMarket(C11,"高値"),"")</f>
        <v>48750</v>
      </c>
      <c r="I11" s="351">
        <f>IF(C11&lt;&gt;"",_xll.RssMarket(C11,"安値"),"")</f>
        <v>46090</v>
      </c>
      <c r="J11" s="351">
        <f>IF(C11&lt;&gt;"",_xll.RssMarket(C11,"出来高"),"")</f>
        <v>1716800</v>
      </c>
      <c r="K11" s="351">
        <f>IF(C11&lt;&gt;"",_xll.RssMarket(C11,"年初来高値"),"")</f>
        <v>57700</v>
      </c>
      <c r="L11" s="352">
        <f t="shared" si="0"/>
        <v>-17.504332755632582</v>
      </c>
      <c r="M11" s="351">
        <f>IF(C11&lt;&gt;"",IFERROR(AVERAGE(出来高!E6:I6),""),"")</f>
        <v>2490740</v>
      </c>
      <c r="N11" s="351">
        <f>IF(C11&lt;&gt;"",IFERROR(AVERAGE(出来高!E6:AC6),""),"")</f>
        <v>2519720</v>
      </c>
      <c r="O11" s="353">
        <f t="shared" si="1"/>
        <v>0.6892730674418045</v>
      </c>
      <c r="P11" s="350" t="str">
        <f t="shared" si="2"/>
        <v>減少↓</v>
      </c>
      <c r="Q11" s="350" t="str">
        <f t="shared" si="3"/>
        <v>中立→</v>
      </c>
      <c r="R11" s="351">
        <f t="shared" si="4"/>
        <v>43792</v>
      </c>
      <c r="S11" s="351">
        <f t="shared" si="5"/>
        <v>49504</v>
      </c>
      <c r="T11" s="350">
        <f t="shared" si="6"/>
        <v>2</v>
      </c>
      <c r="U11" s="350" t="str">
        <f t="shared" si="7"/>
        <v>除外</v>
      </c>
      <c r="V11" s="350" t="str">
        <f t="shared" si="8"/>
        <v>通常</v>
      </c>
      <c r="W11" s="354" cm="1">
        <f t="array" ref="W11">IFERROR(100-100/(1+SUMPRODUCT((終値!F6:R6&gt;終値!G6:S6)*(終値!F6:R6-終値!G6:S6))/SUMPRODUCT((終値!F6:R6&lt;終値!G6:S6)*(終値!G6:S6-終値!F6:R6))),50)</f>
        <v>54.322058398381031</v>
      </c>
      <c r="X11" s="355">
        <f>IF(C11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460.74972436604003</v>
      </c>
      <c r="Y11" s="350" t="str">
        <f t="shared" si="9"/>
        <v>相場上昇・見送り | もみ合い→ MACD+ RSI:54.3 前日比:-11.6% [2点]</v>
      </c>
      <c r="Z11" s="356">
        <f t="shared" si="10"/>
        <v>-11.589895988112927</v>
      </c>
      <c r="AA11" s="350" t="str">
        <f t="shared" si="11"/>
        <v>下落▼</v>
      </c>
      <c r="AB11" s="351">
        <f>IF(OR(C11="",C11="TOPX",終値!E6=""),"",IFERROR(((終値!E6*0.333)+(終値!F6*0.222)+(終値!G6*0.148)+(終値!H6*0.099)+(終値!I6*0.066))/(0.333+0.222+0.148+0.099+0.066),""))</f>
        <v>51081.705069124422</v>
      </c>
      <c r="AC11" s="351">
        <f>IF(OR(C11="",C11="TOPX",終値!E6=""),"",IFERROR(SUMPRODUCT((終値!E6:AC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48810.8939213349</v>
      </c>
      <c r="AD11" s="350" t="str">
        <f t="shared" si="12"/>
        <v>もみ合い→</v>
      </c>
      <c r="AE11" s="350" t="str">
        <f t="shared" si="13"/>
        <v>なし</v>
      </c>
      <c r="AF11" t="str">
        <f>IF(T11="","",IF(銘柄管理!$F$5="上昇▲",IF(AND(AD11="下降トレンド▼",OR(AE11="25日戻り売り★",AE11="5日戻り売り○")),"★逆張り売り",IF(AND(AD11="もみ合い→",OR(AE11="25日戻り売り★",AE11="5日戻り売り○")),"○逆張り売り",IF(W11&gt;=70,IF(Z11&lt;0,"◎反落確認","△過熱・様子見"),"相場上昇・見送り"))),IF(AND(T11&gt;=12,AD11="下降トレンド▼"),"★強い売り",IF(T11&gt;=12,"★強い売り",IF(AND(T11&gt;=8,OR(AE11="25日戻り売り★",AE11="5日戻り売り○")),"◎戻り売り",IF(T11&gt;=10,"○売り候補",IF(T11&gt;=6,"△注目",IF(T11&gt;=3,"様子見","見送り"))))))))</f>
        <v>相場上昇・見送り</v>
      </c>
      <c r="AG11">
        <f t="shared" si="15"/>
        <v>0</v>
      </c>
      <c r="AH11">
        <f t="shared" si="16"/>
        <v>0</v>
      </c>
      <c r="AI11" s="412" cm="1">
        <f t="array" ref="AI11">IF(C11="","",IFERROR((INDEX(終値!$E:$E,MATCH(TEXT(C11,"0"),終値!$A:$A,0))-INDEX(終値!$E:$BL,MATCH(TEXT(C11,"0"),終値!$A:$A,0),$AN$2))/INDEX(終値!$E:$BL,MATCH(TEXT(C11,"0"),終値!$A:$A,0),$AN$2)*100,""))</f>
        <v>26.081424936386771</v>
      </c>
      <c r="AJ11" s="412" cm="1">
        <f t="array" ref="AJ11">IFERROR((終値!$E$5-INDEX(終値!$E$5:$BL$5,1,$AN$2))/INDEX(終値!$E$5:$BL$5,1,$AN$2)*100,"")</f>
        <v>3.4532270246721688</v>
      </c>
      <c r="AK11" s="413">
        <f t="shared" si="17"/>
        <v>22.628197911714601</v>
      </c>
      <c r="AL11" s="411">
        <f t="shared" si="18"/>
        <v>-2</v>
      </c>
      <c r="AO11" s="415" t="str">
        <f t="shared" si="19"/>
        <v>通常</v>
      </c>
      <c r="AP11" s="416">
        <f t="shared" si="20"/>
        <v>0</v>
      </c>
      <c r="AQ11">
        <f>IF(C11&lt;&gt;"",始値!F6,"")</f>
        <v>45000</v>
      </c>
      <c r="AR11">
        <f>IF(C11&lt;&gt;"",高値!F6,"")</f>
        <v>46950</v>
      </c>
      <c r="AS11">
        <f>IF(C11&lt;&gt;"",安値!F6,"")</f>
        <v>44990</v>
      </c>
      <c r="AT11" t="str">
        <f t="shared" si="14"/>
        <v>通常</v>
      </c>
      <c r="AU11">
        <f t="shared" si="21"/>
        <v>0</v>
      </c>
    </row>
    <row r="12" spans="1:47" ht="14.25">
      <c r="A12" s="357" t="str">
        <f>IF(銘柄管理!B21&lt;&gt;"",HYPERLINK("https://kabutan.jp/stock/?code="&amp;銘柄管理!B21,"株探"),"")</f>
        <v>株探</v>
      </c>
      <c r="B12" s="230"/>
      <c r="C12" s="230">
        <f>IF(銘柄管理!B21="","",銘柄管理!B21)</f>
        <v>5332</v>
      </c>
      <c r="D12" s="230" t="str">
        <f>IF(銘柄管理!C21="","",銘柄管理!C21)</f>
        <v>ＴＯＴＯ</v>
      </c>
      <c r="E12" s="358">
        <f>IF(C12&lt;&gt;"",_xll.RssMarket(C12,"現在値"),"")</f>
        <v>8297</v>
      </c>
      <c r="F12" s="358">
        <f>IF(C12&lt;&gt;"",_xll.RssMarket(C12,"始値"),"")</f>
        <v>8102</v>
      </c>
      <c r="G12" s="230">
        <f>IF(C12&lt;&gt;"",終値!F21,"")</f>
        <v>8144</v>
      </c>
      <c r="H12" s="358">
        <f>IF(C12&lt;&gt;"",_xll.RssMarket(C12,"高値"),"")</f>
        <v>8297</v>
      </c>
      <c r="I12" s="358">
        <f>IF(C12&lt;&gt;"",_xll.RssMarket(C12,"安値"),"")</f>
        <v>7938</v>
      </c>
      <c r="J12" s="358">
        <f>IF(C12&lt;&gt;"",_xll.RssMarket(C12,"出来高"),"")</f>
        <v>1293200</v>
      </c>
      <c r="K12" s="358">
        <f>IF(C12&lt;&gt;"",_xll.RssMarket(C12,"年初来高値"),"")</f>
        <v>8362</v>
      </c>
      <c r="L12" s="359">
        <f t="shared" si="0"/>
        <v>-0.77732599856493667</v>
      </c>
      <c r="M12" s="358">
        <f>IF(C12&lt;&gt;"",IFERROR(AVERAGE(出来高!E21:I21),""),"")</f>
        <v>1410580</v>
      </c>
      <c r="N12" s="358">
        <f>IF(C12&lt;&gt;"",IFERROR(AVERAGE(出来高!E21:AC21),""),"")</f>
        <v>1572840</v>
      </c>
      <c r="O12" s="360">
        <f t="shared" si="1"/>
        <v>0.91678600292078438</v>
      </c>
      <c r="P12" s="230" t="str">
        <f t="shared" si="2"/>
        <v>減少↓</v>
      </c>
      <c r="Q12" s="230" t="str">
        <f t="shared" si="3"/>
        <v>様子見▲</v>
      </c>
      <c r="R12" s="358">
        <f t="shared" si="4"/>
        <v>7633</v>
      </c>
      <c r="S12" s="358">
        <f t="shared" si="5"/>
        <v>8629</v>
      </c>
      <c r="T12" s="350">
        <f t="shared" si="6"/>
        <v>0</v>
      </c>
      <c r="U12" s="230" t="str">
        <f t="shared" si="7"/>
        <v>除外</v>
      </c>
      <c r="V12" s="230" t="str">
        <f t="shared" si="8"/>
        <v>通常</v>
      </c>
      <c r="W12" s="361" cm="1">
        <f t="array" ref="W12">IFERROR(100-100/(1+SUMPRODUCT((終値!F21:R21&gt;終値!G21:S21)*(終値!F21:R21-終値!G21:S21))/SUMPRODUCT((終値!F21:R21&lt;終値!G21:S21)*(終値!G21:S21-終値!F21:R21))),50)</f>
        <v>67.955071027419891</v>
      </c>
      <c r="X12" s="362">
        <f>IF(C12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142.94742456386393</v>
      </c>
      <c r="Y12" s="230" t="str">
        <f t="shared" si="9"/>
        <v>相場上昇・見送り | パーフェクト▲ MACD+ RSI:68.0 前日比:+1.9% [0点]</v>
      </c>
      <c r="Z12" s="363">
        <f t="shared" si="10"/>
        <v>1.8786836935166993</v>
      </c>
      <c r="AA12" s="230" t="str">
        <f t="shared" si="11"/>
        <v>上昇▲</v>
      </c>
      <c r="AB12" s="358">
        <f>IF(OR(C12="",C12="TOPX",終値!E21=""),"",IFERROR(((終値!E21*0.333)+(終値!F21*0.222)+(終値!G21*0.148)+(終値!H21*0.099)+(終値!I21*0.066))/(0.333+0.222+0.148+0.099+0.066),""))</f>
        <v>7995.6301843317979</v>
      </c>
      <c r="AC12" s="358">
        <f>IF(OR(C12="",C12="TOPX",終値!E21=""),"",IFERROR(SUMPRODUCT((終値!E21:AC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7578.6221692491035</v>
      </c>
      <c r="AD12" s="230" t="str">
        <f t="shared" si="12"/>
        <v>パーフェクト▲</v>
      </c>
      <c r="AE12" s="230" t="str">
        <f t="shared" si="13"/>
        <v>なし</v>
      </c>
      <c r="AF12" t="str">
        <f>IF(T12="","",IF(銘柄管理!$F$5="上昇▲",IF(AND(AD12="下降トレンド▼",OR(AE12="25日戻り売り★",AE12="5日戻り売り○")),"★逆張り売り",IF(AND(AD12="もみ合い→",OR(AE12="25日戻り売り★",AE12="5日戻り売り○")),"○逆張り売り",IF(W12&gt;=70,IF(Z12&lt;0,"◎反落確認","△過熱・様子見"),"相場上昇・見送り"))),IF(AND(T12&gt;=12,AD12="下降トレンド▼"),"★強い売り",IF(T12&gt;=12,"★強い売り",IF(AND(T12&gt;=8,OR(AE12="25日戻り売り★",AE12="5日戻り売り○")),"◎戻り売り",IF(T12&gt;=10,"○売り候補",IF(T12&gt;=6,"△注目",IF(T12&gt;=3,"様子見","見送り"))))))))</f>
        <v>相場上昇・見送り</v>
      </c>
      <c r="AG12">
        <f t="shared" si="15"/>
        <v>0</v>
      </c>
      <c r="AH12">
        <f t="shared" si="16"/>
        <v>0</v>
      </c>
      <c r="AI12" s="412" cm="1">
        <f t="array" ref="AI12">IF(C12="","",IFERROR((INDEX(終値!$E:$E,MATCH(TEXT(C12,"0"),終値!$A:$A,0))-INDEX(終値!$E:$BL,MATCH(TEXT(C12,"0"),終値!$A:$A,0),$AN$2))/INDEX(終値!$E:$BL,MATCH(TEXT(C12,"0"),終値!$A:$A,0),$AN$2)*100,""))</f>
        <v>14.678645473393228</v>
      </c>
      <c r="AJ12" s="412" cm="1">
        <f t="array" ref="AJ12">IFERROR((終値!$E$5-INDEX(終値!$E$5:$BL$5,1,$AN$2))/INDEX(終値!$E$5:$BL$5,1,$AN$2)*100,"")</f>
        <v>3.4532270246721688</v>
      </c>
      <c r="AK12" s="413">
        <f t="shared" si="17"/>
        <v>11.22541844872106</v>
      </c>
      <c r="AL12" s="411">
        <f t="shared" si="18"/>
        <v>-2</v>
      </c>
      <c r="AO12" s="415" t="str">
        <f t="shared" si="19"/>
        <v>通常</v>
      </c>
      <c r="AP12" s="416">
        <f t="shared" si="20"/>
        <v>0</v>
      </c>
      <c r="AQ12">
        <f>IF(C12&lt;&gt;"",始値!F21,"")</f>
        <v>8280</v>
      </c>
      <c r="AR12">
        <f>IF(C12&lt;&gt;"",高値!F21,"")</f>
        <v>8362</v>
      </c>
      <c r="AS12">
        <f>IF(C12&lt;&gt;"",安値!F21,"")</f>
        <v>8105</v>
      </c>
      <c r="AT12" t="str">
        <f t="shared" si="14"/>
        <v>通常</v>
      </c>
      <c r="AU12">
        <f t="shared" si="21"/>
        <v>0</v>
      </c>
    </row>
    <row r="13" spans="1:47" ht="14.25">
      <c r="A13" s="349" t="str">
        <f>IF(銘柄管理!B60&lt;&gt;"",HYPERLINK("https://kabutan.jp/stock/?code="&amp;銘柄管理!B60,"株探"),"")</f>
        <v>株探</v>
      </c>
      <c r="B13" s="350"/>
      <c r="C13" s="350">
        <f>IF(銘柄管理!B60="","",銘柄管理!B60)</f>
        <v>3107</v>
      </c>
      <c r="D13" s="350" t="str">
        <f>IF(銘柄管理!C60="","",銘柄管理!C60)</f>
        <v>ダイワボウＨＤ</v>
      </c>
      <c r="E13" s="351">
        <f>IF(C13&lt;&gt;"",_xll.RssMarket(C13,"現在値"),"")</f>
        <v>3330</v>
      </c>
      <c r="F13" s="351">
        <f>IF(C13&lt;&gt;"",_xll.RssMarket(C13,"始値"),"")</f>
        <v>3419</v>
      </c>
      <c r="G13" s="350">
        <f>IF(C13&lt;&gt;"",終値!F60,"")</f>
        <v>3409</v>
      </c>
      <c r="H13" s="351">
        <f>IF(C13&lt;&gt;"",_xll.RssMarket(C13,"高値"),"")</f>
        <v>3441</v>
      </c>
      <c r="I13" s="351">
        <f>IF(C13&lt;&gt;"",_xll.RssMarket(C13,"安値"),"")</f>
        <v>3325</v>
      </c>
      <c r="J13" s="351">
        <f>IF(C13&lt;&gt;"",_xll.RssMarket(C13,"出来高"),"")</f>
        <v>294100</v>
      </c>
      <c r="K13" s="351">
        <f>IF(C13&lt;&gt;"",_xll.RssMarket(C13,"年初来高値"),"")</f>
        <v>3622</v>
      </c>
      <c r="L13" s="352">
        <f t="shared" si="0"/>
        <v>-8.0618442849254546</v>
      </c>
      <c r="M13" s="351">
        <f>IF(C13&lt;&gt;"",IFERROR(AVERAGE(出来高!E60:I60),""),"")</f>
        <v>326520</v>
      </c>
      <c r="N13" s="351">
        <f>IF(C13&lt;&gt;"",IFERROR(AVERAGE(出来高!E60:AC60),""),"")</f>
        <v>312512</v>
      </c>
      <c r="O13" s="353">
        <f t="shared" si="1"/>
        <v>0.9007105230920005</v>
      </c>
      <c r="P13" s="350" t="str">
        <f t="shared" si="2"/>
        <v>減少↓</v>
      </c>
      <c r="Q13" s="350" t="str">
        <f t="shared" si="3"/>
        <v>中立→</v>
      </c>
      <c r="R13" s="351">
        <f t="shared" si="4"/>
        <v>3064</v>
      </c>
      <c r="S13" s="351">
        <f t="shared" si="5"/>
        <v>3463</v>
      </c>
      <c r="T13" s="350">
        <f t="shared" si="6"/>
        <v>12</v>
      </c>
      <c r="U13" s="350" t="str">
        <f t="shared" si="7"/>
        <v>要確認</v>
      </c>
      <c r="V13" s="350" t="str">
        <f t="shared" si="8"/>
        <v>通常</v>
      </c>
      <c r="W13" s="354" cm="1">
        <f t="array" ref="W13">IFERROR(100-100/(1+SUMPRODUCT((終値!F60:R60&gt;終値!G60:S60)*(終値!F60:R60-終値!G60:S60))/SUMPRODUCT((終値!F60:R60&lt;終値!G60:S60)*(終値!G60:S60-終値!F60:R60))),50)</f>
        <v>55.341880341880334</v>
      </c>
      <c r="X13" s="355">
        <f>IF(C13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-1.5960121637153861</v>
      </c>
      <c r="Y13" s="350" t="str">
        <f t="shared" si="9"/>
        <v>相場上昇・見送り | 下降トレンド▼ MACD- RSI:55.3 前日比:-2.3% [大陰線▼] [12点]</v>
      </c>
      <c r="Z13" s="356">
        <f t="shared" si="10"/>
        <v>-2.3173951305368141</v>
      </c>
      <c r="AA13" s="350" t="str">
        <f t="shared" si="11"/>
        <v>下落▼</v>
      </c>
      <c r="AB13" s="351">
        <f>IF(OR(C13="",C13="TOPX",終値!E60=""),"",IFERROR(((終値!E60*0.333)+(終値!F60*0.222)+(終値!G60*0.148)+(終値!H60*0.099)+(終値!I60*0.066))/(0.333+0.222+0.148+0.099+0.066),""))</f>
        <v>3387.0933179723497</v>
      </c>
      <c r="AC13" s="351">
        <f>IF(OR(C13="",C13="TOPX",終値!E60=""),"",IFERROR(SUMPRODUCT((終値!E60:AC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3449.6829558998797</v>
      </c>
      <c r="AD13" s="350" t="str">
        <f t="shared" si="12"/>
        <v>下降トレンド▼</v>
      </c>
      <c r="AE13" s="350" t="str">
        <f t="shared" si="13"/>
        <v>なし</v>
      </c>
      <c r="AF13" t="str">
        <f>IF(T13="","",IF(銘柄管理!$F$5="上昇▲",IF(AND(AD13="下降トレンド▼",OR(AE13="25日戻り売り★",AE13="5日戻り売り○")),"★逆張り売り",IF(AND(AD13="もみ合い→",OR(AE13="25日戻り売り★",AE13="5日戻り売り○")),"○逆張り売り",IF(W13&gt;=70,IF(Z13&lt;0,"◎反落確認","△過熱・様子見"),"相場上昇・見送り"))),IF(AND(T13&gt;=12,AD13="下降トレンド▼"),"★強い売り",IF(T13&gt;=12,"★強い売り",IF(AND(T13&gt;=8,OR(AE13="25日戻り売り★",AE13="5日戻り売り○")),"◎戻り売り",IF(T13&gt;=10,"○売り候補",IF(T13&gt;=6,"△注目",IF(T13&gt;=3,"様子見","見送り"))))))))</f>
        <v>相場上昇・見送り</v>
      </c>
      <c r="AG13">
        <f t="shared" si="15"/>
        <v>12</v>
      </c>
      <c r="AH13">
        <f t="shared" si="16"/>
        <v>119987</v>
      </c>
      <c r="AI13" s="412" cm="1">
        <f t="array" ref="AI13">IF(C13="","",IFERROR((INDEX(終値!$E:$E,MATCH(TEXT(C13,"0"),終値!$A:$A,0))-INDEX(終値!$E:$BL,MATCH(TEXT(C13,"0"),終値!$A:$A,0),$AN$2))/INDEX(終値!$E:$BL,MATCH(TEXT(C13,"0"),終値!$A:$A,0),$AN$2)*100,""))</f>
        <v>-2.8021015761821366</v>
      </c>
      <c r="AJ13" s="412" cm="1">
        <f t="array" ref="AJ13">IFERROR((終値!$E$5-INDEX(終値!$E$5:$BL$5,1,$AN$2))/INDEX(終値!$E$5:$BL$5,1,$AN$2)*100,"")</f>
        <v>3.4532270246721688</v>
      </c>
      <c r="AK13" s="413">
        <f t="shared" si="17"/>
        <v>-6.2553286008543054</v>
      </c>
      <c r="AL13" s="411">
        <f t="shared" si="18"/>
        <v>3</v>
      </c>
      <c r="AO13" s="415" t="str">
        <f t="shared" si="19"/>
        <v>大陰線▼</v>
      </c>
      <c r="AP13" s="416">
        <f t="shared" si="20"/>
        <v>2</v>
      </c>
      <c r="AQ13">
        <f>IF(C13&lt;&gt;"",始値!F60,"")</f>
        <v>3449</v>
      </c>
      <c r="AR13">
        <f>IF(C13&lt;&gt;"",高値!F60,"")</f>
        <v>3488</v>
      </c>
      <c r="AS13">
        <f>IF(C13&lt;&gt;"",安値!F60,"")</f>
        <v>3394</v>
      </c>
      <c r="AT13" t="str">
        <f t="shared" si="14"/>
        <v>通常</v>
      </c>
      <c r="AU13">
        <f t="shared" si="21"/>
        <v>0</v>
      </c>
    </row>
    <row r="14" spans="1:47" ht="14.25">
      <c r="A14" s="357" t="str">
        <f>IF(銘柄管理!B66&lt;&gt;"",HYPERLINK("https://kabutan.jp/stock/?code="&amp;銘柄管理!B66,"株探"),"")</f>
        <v>株探</v>
      </c>
      <c r="B14" s="230"/>
      <c r="C14" s="230">
        <f>IF(銘柄管理!B66="","",銘柄管理!B66)</f>
        <v>4063</v>
      </c>
      <c r="D14" s="230" t="str">
        <f>IF(銘柄管理!C66="","",銘柄管理!C66)</f>
        <v>信越化学</v>
      </c>
      <c r="E14" s="358">
        <f>IF(C14&lt;&gt;"",_xll.RssMarket(C14,"現在値"),"")</f>
        <v>7549</v>
      </c>
      <c r="F14" s="358">
        <f>IF(C14&lt;&gt;"",_xll.RssMarket(C14,"始値"),"")</f>
        <v>7447</v>
      </c>
      <c r="G14" s="230">
        <f>IF(C14&lt;&gt;"",終値!F66,"")</f>
        <v>7454</v>
      </c>
      <c r="H14" s="358">
        <f>IF(C14&lt;&gt;"",_xll.RssMarket(C14,"高値"),"")</f>
        <v>7595</v>
      </c>
      <c r="I14" s="358">
        <f>IF(C14&lt;&gt;"",_xll.RssMarket(C14,"安値"),"")</f>
        <v>7372</v>
      </c>
      <c r="J14" s="358">
        <f>IF(C14&lt;&gt;"",_xll.RssMarket(C14,"出来高"),"")</f>
        <v>4866300</v>
      </c>
      <c r="K14" s="358">
        <f>IF(C14&lt;&gt;"",_xll.RssMarket(C14,"年初来高値"),"")</f>
        <v>7930</v>
      </c>
      <c r="L14" s="359">
        <f t="shared" si="0"/>
        <v>-4.8045397225725095</v>
      </c>
      <c r="M14" s="358">
        <f>IF(C14&lt;&gt;"",IFERROR(AVERAGE(出来高!E66:I66),""),"")</f>
        <v>7154240</v>
      </c>
      <c r="N14" s="358">
        <f>IF(C14&lt;&gt;"",IFERROR(AVERAGE(出来高!E66:AC66),""),"")</f>
        <v>7538084</v>
      </c>
      <c r="O14" s="360">
        <f t="shared" si="1"/>
        <v>0.68019803640917831</v>
      </c>
      <c r="P14" s="230" t="str">
        <f t="shared" si="2"/>
        <v>減少↓</v>
      </c>
      <c r="Q14" s="230" t="str">
        <f t="shared" si="3"/>
        <v>様子見▲</v>
      </c>
      <c r="R14" s="358">
        <f t="shared" si="4"/>
        <v>6945</v>
      </c>
      <c r="S14" s="358">
        <f t="shared" si="5"/>
        <v>7851</v>
      </c>
      <c r="T14" s="350">
        <f t="shared" si="6"/>
        <v>2</v>
      </c>
      <c r="U14" s="230" t="str">
        <f t="shared" si="7"/>
        <v>除外</v>
      </c>
      <c r="V14" s="230" t="str">
        <f t="shared" si="8"/>
        <v>通常</v>
      </c>
      <c r="W14" s="361" cm="1">
        <f t="array" ref="W14">IFERROR(100-100/(1+SUMPRODUCT((終値!F66:R66&gt;終値!G66:S66)*(終値!F66:R66-終値!G66:S66))/SUMPRODUCT((終値!F66:R66&lt;終値!G66:S66)*(終値!G66:S66-終値!F66:R66))),50)</f>
        <v>56.075316269491026</v>
      </c>
      <c r="X14" s="362">
        <f>IF(C14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18.273848805324633</v>
      </c>
      <c r="Y14" s="230" t="str">
        <f t="shared" si="9"/>
        <v>相場上昇・見送り | パーフェクト▲ MACD+ RSI:56.1 前日比:+1.3% [2点]</v>
      </c>
      <c r="Z14" s="363">
        <f t="shared" si="10"/>
        <v>1.2744834987925946</v>
      </c>
      <c r="AA14" s="230" t="str">
        <f t="shared" si="11"/>
        <v>上昇▲</v>
      </c>
      <c r="AB14" s="358">
        <f>IF(OR(C14="",C14="TOPX",終値!E66=""),"",IFERROR(((終値!E66*0.333)+(終値!F66*0.222)+(終値!G66*0.148)+(終値!H66*0.099)+(終値!I66*0.066))/(0.333+0.222+0.148+0.099+0.066),""))</f>
        <v>7319.4020737327173</v>
      </c>
      <c r="AC14" s="358">
        <f>IF(OR(C14="",C14="TOPX",終値!E66=""),"",IFERROR(SUMPRODUCT((終値!E66:AC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7283.3504171632858</v>
      </c>
      <c r="AD14" s="230" t="str">
        <f t="shared" si="12"/>
        <v>パーフェクト▲</v>
      </c>
      <c r="AE14" s="230" t="str">
        <f t="shared" si="13"/>
        <v>なし</v>
      </c>
      <c r="AF14" t="str">
        <f>IF(T14="","",IF(銘柄管理!$F$5="上昇▲",IF(AND(AD14="下降トレンド▼",OR(AE14="25日戻り売り★",AE14="5日戻り売り○")),"★逆張り売り",IF(AND(AD14="もみ合い→",OR(AE14="25日戻り売り★",AE14="5日戻り売り○")),"○逆張り売り",IF(W14&gt;=70,IF(Z14&lt;0,"◎反落確認","△過熱・様子見"),"相場上昇・見送り"))),IF(AND(T14&gt;=12,AD14="下降トレンド▼"),"★強い売り",IF(T14&gt;=12,"★強い売り",IF(AND(T14&gt;=8,OR(AE14="25日戻り売り★",AE14="5日戻り売り○")),"◎戻り売り",IF(T14&gt;=10,"○売り候補",IF(T14&gt;=6,"△注目",IF(T14&gt;=3,"様子見","見送り"))))))))</f>
        <v>相場上昇・見送り</v>
      </c>
      <c r="AG14">
        <f t="shared" si="15"/>
        <v>0</v>
      </c>
      <c r="AH14">
        <f t="shared" si="16"/>
        <v>0</v>
      </c>
      <c r="AI14" s="412" cm="1">
        <f t="array" ref="AI14">IF(C14="","",IFERROR((INDEX(終値!$E:$E,MATCH(TEXT(C14,"0"),終値!$A:$A,0))-INDEX(終値!$E:$BL,MATCH(TEXT(C14,"0"),終値!$A:$A,0),$AN$2))/INDEX(終値!$E:$BL,MATCH(TEXT(C14,"0"),終値!$A:$A,0),$AN$2)*100,""))</f>
        <v>0.97645799892990914</v>
      </c>
      <c r="AJ14" s="412" cm="1">
        <f t="array" ref="AJ14">IFERROR((終値!$E$5-INDEX(終値!$E$5:$BL$5,1,$AN$2))/INDEX(終値!$E$5:$BL$5,1,$AN$2)*100,"")</f>
        <v>3.4532270246721688</v>
      </c>
      <c r="AK14" s="413">
        <f t="shared" si="17"/>
        <v>-2.4767690257422599</v>
      </c>
      <c r="AL14" s="411">
        <f t="shared" si="18"/>
        <v>1</v>
      </c>
      <c r="AO14" s="415" t="str">
        <f t="shared" si="19"/>
        <v>通常</v>
      </c>
      <c r="AP14" s="416">
        <f t="shared" si="20"/>
        <v>0</v>
      </c>
      <c r="AQ14">
        <f>IF(C14&lt;&gt;"",始値!F66,"")</f>
        <v>7510</v>
      </c>
      <c r="AR14">
        <f>IF(C14&lt;&gt;"",高値!F66,"")</f>
        <v>7589</v>
      </c>
      <c r="AS14">
        <f>IF(C14&lt;&gt;"",安値!F66,"")</f>
        <v>7435</v>
      </c>
      <c r="AT14" t="str">
        <f t="shared" si="14"/>
        <v>通常</v>
      </c>
      <c r="AU14">
        <f t="shared" si="21"/>
        <v>0</v>
      </c>
    </row>
    <row r="15" spans="1:47" ht="14.25">
      <c r="A15" s="349" t="str">
        <f>IF(銘柄管理!B70&lt;&gt;"",HYPERLINK("https://kabutan.jp/stock/?code="&amp;銘柄管理!B70,"株探"),"")</f>
        <v>株探</v>
      </c>
      <c r="B15" s="350"/>
      <c r="C15" s="350">
        <f>IF(銘柄管理!B70="","",銘柄管理!B70)</f>
        <v>9424</v>
      </c>
      <c r="D15" s="350" t="str">
        <f>IF(銘柄管理!C70="","",銘柄管理!C70)</f>
        <v>日本通信</v>
      </c>
      <c r="E15" s="351">
        <f>IF(C15&lt;&gt;"",_xll.RssMarket(C15,"現在値"),"")</f>
        <v>115</v>
      </c>
      <c r="F15" s="351">
        <f>IF(C15&lt;&gt;"",_xll.RssMarket(C15,"始値"),"")</f>
        <v>113</v>
      </c>
      <c r="G15" s="350">
        <f>IF(C15&lt;&gt;"",終値!F70,"")</f>
        <v>112</v>
      </c>
      <c r="H15" s="351">
        <f>IF(C15&lt;&gt;"",_xll.RssMarket(C15,"高値"),"")</f>
        <v>117</v>
      </c>
      <c r="I15" s="351">
        <f>IF(C15&lt;&gt;"",_xll.RssMarket(C15,"安値"),"")</f>
        <v>113</v>
      </c>
      <c r="J15" s="351">
        <f>IF(C15&lt;&gt;"",_xll.RssMarket(C15,"出来高"),"")</f>
        <v>1549700</v>
      </c>
      <c r="K15" s="351">
        <f>IF(C15&lt;&gt;"",_xll.RssMarket(C15,"年初来高値"),"")</f>
        <v>155</v>
      </c>
      <c r="L15" s="352">
        <f t="shared" si="0"/>
        <v>-25.806451612903224</v>
      </c>
      <c r="M15" s="351">
        <f>IF(C15&lt;&gt;"",IFERROR(AVERAGE(出来高!E70:I70),""),"")</f>
        <v>1708740</v>
      </c>
      <c r="N15" s="351">
        <f>IF(C15&lt;&gt;"",IFERROR(AVERAGE(出来高!E70:AC70),""),"")</f>
        <v>2171348</v>
      </c>
      <c r="O15" s="353">
        <f t="shared" si="1"/>
        <v>0.90692557088849091</v>
      </c>
      <c r="P15" s="350" t="str">
        <f t="shared" si="2"/>
        <v>減少↓</v>
      </c>
      <c r="Q15" s="350" t="str">
        <f t="shared" si="3"/>
        <v>様子見▲</v>
      </c>
      <c r="R15" s="351">
        <f t="shared" si="4"/>
        <v>106</v>
      </c>
      <c r="S15" s="351">
        <f t="shared" si="5"/>
        <v>120</v>
      </c>
      <c r="T15" s="350">
        <f t="shared" si="6"/>
        <v>13</v>
      </c>
      <c r="U15" s="350" t="str">
        <f t="shared" si="7"/>
        <v>要確認</v>
      </c>
      <c r="V15" s="350" t="str">
        <f t="shared" si="8"/>
        <v>安値圏</v>
      </c>
      <c r="W15" s="354" cm="1">
        <f t="array" ref="W15">IFERROR(100-100/(1+SUMPRODUCT((終値!F70:R70&gt;終値!G70:S70)*(終値!F70:R70-終値!G70:S70))/SUMPRODUCT((終値!F70:R70&lt;終値!G70:S70)*(終値!G70:S70-終値!F70:R70))),50)</f>
        <v>32.142857142857139</v>
      </c>
      <c r="X15" s="355">
        <f>IF(C15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-1.5282082001599946</v>
      </c>
      <c r="Y15" s="350" t="str">
        <f t="shared" si="9"/>
        <v>○逆張り売り | もみ合い→ 25日戻り売り★ MACD- RSI:32.1 前日比:+2.7% [安値圏]前日[大陰線▼] [13点]</v>
      </c>
      <c r="Z15" s="356">
        <f t="shared" si="10"/>
        <v>2.6785714285714284</v>
      </c>
      <c r="AA15" s="350" t="str">
        <f t="shared" si="11"/>
        <v>上昇▲</v>
      </c>
      <c r="AB15" s="351">
        <f>IF(OR(C15="",C15="TOPX",終値!E70=""),"",IFERROR(((終値!E70*0.333)+(終値!F70*0.222)+(終値!G70*0.148)+(終値!H70*0.099)+(終値!I70*0.066))/(0.333+0.222+0.148+0.099+0.066),""))</f>
        <v>113.62557603686636</v>
      </c>
      <c r="AC15" s="351">
        <f>IF(OR(C15="",C15="TOPX",終値!E70=""),"",IFERROR(SUMPRODUCT((終値!E70:AC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116.86293206197851</v>
      </c>
      <c r="AD15" s="350" t="str">
        <f t="shared" si="12"/>
        <v>もみ合い→</v>
      </c>
      <c r="AE15" s="350" t="str">
        <f t="shared" si="13"/>
        <v>25日戻り売り★</v>
      </c>
      <c r="AF15" t="str">
        <f>IF(T15="","",IF(銘柄管理!$F$5="上昇▲",IF(AND(AD15="下降トレンド▼",OR(AE15="25日戻り売り★",AE15="5日戻り売り○")),"★逆張り売り",IF(AND(AD15="もみ合い→",OR(AE15="25日戻り売り★",AE15="5日戻り売り○")),"○逆張り売り",IF(W15&gt;=70,IF(Z15&lt;0,"◎反落確認","△過熱・様子見"),"相場上昇・見送り"))),IF(AND(T15&gt;=12,AD15="下降トレンド▼"),"★強い売り",IF(T15&gt;=12,"★強い売り",IF(AND(T15&gt;=8,OR(AE15="25日戻り売り★",AE15="5日戻り売り○")),"◎戻り売り",IF(T15&gt;=10,"○売り候補",IF(T15&gt;=6,"△注目",IF(T15&gt;=3,"様子見","見送り"))))))))</f>
        <v>○逆張り売り</v>
      </c>
      <c r="AG15">
        <f t="shared" si="15"/>
        <v>13</v>
      </c>
      <c r="AH15">
        <f t="shared" si="16"/>
        <v>129985</v>
      </c>
      <c r="AI15" s="412" cm="1">
        <f t="array" ref="AI15">IF(C15="","",IFERROR((INDEX(終値!$E:$E,MATCH(TEXT(C15,"0"),終値!$A:$A,0))-INDEX(終値!$E:$BL,MATCH(TEXT(C15,"0"),終値!$A:$A,0),$AN$2))/INDEX(終値!$E:$BL,MATCH(TEXT(C15,"0"),終値!$A:$A,0),$AN$2)*100,""))</f>
        <v>-9.4488188976377945</v>
      </c>
      <c r="AJ15" s="412" cm="1">
        <f t="array" ref="AJ15">IFERROR((終値!$E$5-INDEX(終値!$E$5:$BL$5,1,$AN$2))/INDEX(終値!$E$5:$BL$5,1,$AN$2)*100,"")</f>
        <v>3.4532270246721688</v>
      </c>
      <c r="AK15" s="413">
        <f t="shared" si="17"/>
        <v>-12.902045922309963</v>
      </c>
      <c r="AL15" s="411">
        <f t="shared" si="18"/>
        <v>3</v>
      </c>
      <c r="AO15" s="415" t="str">
        <f t="shared" si="19"/>
        <v>通常</v>
      </c>
      <c r="AP15" s="416">
        <f t="shared" si="20"/>
        <v>0</v>
      </c>
      <c r="AQ15">
        <f>IF(C15&lt;&gt;"",始値!F70,"")</f>
        <v>115</v>
      </c>
      <c r="AR15">
        <f>IF(C15&lt;&gt;"",高値!F70,"")</f>
        <v>115</v>
      </c>
      <c r="AS15">
        <f>IF(C15&lt;&gt;"",安値!F70,"")</f>
        <v>112</v>
      </c>
      <c r="AT15" t="str">
        <f t="shared" si="14"/>
        <v>大陰線▼</v>
      </c>
      <c r="AU15">
        <f t="shared" si="21"/>
        <v>2</v>
      </c>
    </row>
    <row r="16" spans="1:47" ht="14.25">
      <c r="A16" s="357" t="str">
        <f>IF(銘柄管理!B78&lt;&gt;"",HYPERLINK("https://kabutan.jp/stock/?code="&amp;銘柄管理!B78,"株探"),"")</f>
        <v>株探</v>
      </c>
      <c r="B16" s="230"/>
      <c r="C16" s="230">
        <f>IF(銘柄管理!B78="","",銘柄管理!B78)</f>
        <v>6954</v>
      </c>
      <c r="D16" s="230" t="str">
        <f>IF(銘柄管理!C78="","",銘柄管理!C78)</f>
        <v>ファナック</v>
      </c>
      <c r="E16" s="358">
        <f>IF(C16&lt;&gt;"",_xll.RssMarket(C16,"現在値"),"")</f>
        <v>7515</v>
      </c>
      <c r="F16" s="358">
        <f>IF(C16&lt;&gt;"",_xll.RssMarket(C16,"始値"),"")</f>
        <v>7270</v>
      </c>
      <c r="G16" s="230">
        <f>IF(C16&lt;&gt;"",終値!F78,"")</f>
        <v>7400</v>
      </c>
      <c r="H16" s="358">
        <f>IF(C16&lt;&gt;"",_xll.RssMarket(C16,"高値"),"")</f>
        <v>7515</v>
      </c>
      <c r="I16" s="358">
        <f>IF(C16&lt;&gt;"",_xll.RssMarket(C16,"安値"),"")</f>
        <v>7223</v>
      </c>
      <c r="J16" s="358">
        <f>IF(C16&lt;&gt;"",_xll.RssMarket(C16,"出来高"),"")</f>
        <v>5209500</v>
      </c>
      <c r="K16" s="358">
        <f>IF(C16&lt;&gt;"",_xll.RssMarket(C16,"年初来高値"),"")</f>
        <v>8880</v>
      </c>
      <c r="L16" s="359">
        <f t="shared" si="0"/>
        <v>-15.371621621621623</v>
      </c>
      <c r="M16" s="358">
        <f>IF(C16&lt;&gt;"",IFERROR(AVERAGE(出来高!E78:I78),""),"")</f>
        <v>6438080</v>
      </c>
      <c r="N16" s="358">
        <f>IF(C16&lt;&gt;"",IFERROR(AVERAGE(出来高!E78:AC78),""),"")</f>
        <v>7672644</v>
      </c>
      <c r="O16" s="360">
        <f t="shared" si="1"/>
        <v>0.80916981460311144</v>
      </c>
      <c r="P16" s="230" t="str">
        <f t="shared" si="2"/>
        <v>減少↓</v>
      </c>
      <c r="Q16" s="230" t="str">
        <f t="shared" si="3"/>
        <v>様子見▲</v>
      </c>
      <c r="R16" s="358">
        <f t="shared" si="4"/>
        <v>6914</v>
      </c>
      <c r="S16" s="358">
        <f t="shared" si="5"/>
        <v>7816</v>
      </c>
      <c r="T16" s="350">
        <f t="shared" si="6"/>
        <v>7</v>
      </c>
      <c r="U16" s="230" t="str">
        <f t="shared" si="7"/>
        <v>要確認</v>
      </c>
      <c r="V16" s="230" t="str">
        <f t="shared" si="8"/>
        <v>通常</v>
      </c>
      <c r="W16" s="361" cm="1">
        <f t="array" ref="W16">IFERROR(100-100/(1+SUMPRODUCT((終値!F78:R78&gt;終値!G78:S78)*(終値!F78:R78-終値!G78:S78))/SUMPRODUCT((終値!F78:R78&lt;終値!G78:S78)*(終値!G78:S78-終値!F78:R78))),50)</f>
        <v>35.075493612078972</v>
      </c>
      <c r="X16" s="362">
        <f>IF(C16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-104.22530538650153</v>
      </c>
      <c r="Y16" s="230" t="str">
        <f t="shared" si="9"/>
        <v>○逆張り売り | もみ合い→ 25日戻り売り★ MACD- RSI:35.1 前日比:+1.6%前日[長い下ヒゲ(反発)] [7点]</v>
      </c>
      <c r="Z16" s="363">
        <f t="shared" si="10"/>
        <v>1.5540540540540542</v>
      </c>
      <c r="AA16" s="230" t="str">
        <f t="shared" si="11"/>
        <v>上昇▲</v>
      </c>
      <c r="AB16" s="358">
        <f>IF(OR(C16="",C16="TOPX",終値!E78=""),"",IFERROR(((終値!E78*0.333)+(終値!F78*0.222)+(終値!G78*0.148)+(終値!H78*0.099)+(終値!I78*0.066))/(0.333+0.222+0.148+0.099+0.066),""))</f>
        <v>7248.0126728110599</v>
      </c>
      <c r="AC16" s="358">
        <f>IF(OR(C16="",C16="TOPX",終値!E78=""),"",IFERROR(SUMPRODUCT((終値!E78:AC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7534.8557806912968</v>
      </c>
      <c r="AD16" s="230" t="str">
        <f t="shared" si="12"/>
        <v>もみ合い→</v>
      </c>
      <c r="AE16" s="230" t="str">
        <f t="shared" si="13"/>
        <v>25日戻り売り★</v>
      </c>
      <c r="AF16" t="str">
        <f>IF(T16="","",IF(銘柄管理!$F$5="上昇▲",IF(AND(AD16="下降トレンド▼",OR(AE16="25日戻り売り★",AE16="5日戻り売り○")),"★逆張り売り",IF(AND(AD16="もみ合い→",OR(AE16="25日戻り売り★",AE16="5日戻り売り○")),"○逆張り売り",IF(W16&gt;=70,IF(Z16&lt;0,"◎反落確認","△過熱・様子見"),"相場上昇・見送り"))),IF(AND(T16&gt;=12,AD16="下降トレンド▼"),"★強い売り",IF(T16&gt;=12,"★強い売り",IF(AND(T16&gt;=8,OR(AE16="25日戻り売り★",AE16="5日戻り売り○")),"◎戻り売り",IF(T16&gt;=10,"○売り候補",IF(T16&gt;=6,"△注目",IF(T16&gt;=3,"様子見","見送り"))))))))</f>
        <v>○逆張り売り</v>
      </c>
      <c r="AG16">
        <f t="shared" si="15"/>
        <v>7</v>
      </c>
      <c r="AH16">
        <f t="shared" si="16"/>
        <v>69984</v>
      </c>
      <c r="AI16" s="412" cm="1">
        <f t="array" ref="AI16">IF(C16="","",IFERROR((INDEX(終値!$E:$E,MATCH(TEXT(C16,"0"),終値!$A:$A,0))-INDEX(終値!$E:$BL,MATCH(TEXT(C16,"0"),終値!$A:$A,0),$AN$2))/INDEX(終値!$E:$BL,MATCH(TEXT(C16,"0"),終値!$A:$A,0),$AN$2)*100,""))</f>
        <v>-6.4833250373320066</v>
      </c>
      <c r="AJ16" s="412" cm="1">
        <f t="array" ref="AJ16">IFERROR((終値!$E$5-INDEX(終値!$E$5:$BL$5,1,$AN$2))/INDEX(終値!$E$5:$BL$5,1,$AN$2)*100,"")</f>
        <v>3.4532270246721688</v>
      </c>
      <c r="AK16" s="413">
        <f t="shared" si="17"/>
        <v>-9.936552062004175</v>
      </c>
      <c r="AL16" s="411">
        <f t="shared" si="18"/>
        <v>3</v>
      </c>
      <c r="AO16" s="415" t="str">
        <f t="shared" si="19"/>
        <v>通常</v>
      </c>
      <c r="AP16" s="416">
        <f t="shared" si="20"/>
        <v>0</v>
      </c>
      <c r="AQ16">
        <f>IF(C16&lt;&gt;"",始値!F78,"")</f>
        <v>7487</v>
      </c>
      <c r="AR16">
        <f>IF(C16&lt;&gt;"",高値!F78,"")</f>
        <v>7490</v>
      </c>
      <c r="AS16">
        <f>IF(C16&lt;&gt;"",安値!F78,"")</f>
        <v>7275</v>
      </c>
      <c r="AT16" t="str">
        <f t="shared" si="14"/>
        <v>長い下ヒゲ(反発)</v>
      </c>
      <c r="AU16">
        <f t="shared" si="21"/>
        <v>-2</v>
      </c>
    </row>
    <row r="17" spans="1:47" ht="14.25">
      <c r="A17" s="349" t="str">
        <f>IF(銘柄管理!B100&lt;&gt;"",HYPERLINK("https://kabutan.jp/stock/?code="&amp;銘柄管理!B100,"株探"),"")</f>
        <v>株探</v>
      </c>
      <c r="B17" s="350"/>
      <c r="C17" s="350">
        <f>IF(銘柄管理!B100="","",銘柄管理!B100)</f>
        <v>4528</v>
      </c>
      <c r="D17" s="350" t="str">
        <f>IF(銘柄管理!C100="","",銘柄管理!C100)</f>
        <v>小野薬品</v>
      </c>
      <c r="E17" s="351">
        <f>IF(C17&lt;&gt;"",_xll.RssMarket(C17,"現在値"),"")</f>
        <v>2249.5</v>
      </c>
      <c r="F17" s="351">
        <f>IF(C17&lt;&gt;"",_xll.RssMarket(C17,"始値"),"")</f>
        <v>2259</v>
      </c>
      <c r="G17" s="350">
        <f>IF(C17&lt;&gt;"",終値!F100,"")</f>
        <v>2259</v>
      </c>
      <c r="H17" s="351">
        <f>IF(C17&lt;&gt;"",_xll.RssMarket(C17,"高値"),"")</f>
        <v>2277</v>
      </c>
      <c r="I17" s="351">
        <f>IF(C17&lt;&gt;"",_xll.RssMarket(C17,"安値"),"")</f>
        <v>2240</v>
      </c>
      <c r="J17" s="351">
        <f>IF(C17&lt;&gt;"",_xll.RssMarket(C17,"出来高"),"")</f>
        <v>1121900</v>
      </c>
      <c r="K17" s="351">
        <f>IF(C17&lt;&gt;"",_xll.RssMarket(C17,"年初来高値"),"")</f>
        <v>2674.5</v>
      </c>
      <c r="L17" s="352">
        <f t="shared" si="0"/>
        <v>-15.890820714152179</v>
      </c>
      <c r="M17" s="351">
        <f>IF(C17&lt;&gt;"",IFERROR(AVERAGE(出来高!E100:I100),""),"")</f>
        <v>1609180</v>
      </c>
      <c r="N17" s="351">
        <f>IF(C17&lt;&gt;"",IFERROR(AVERAGE(出来高!E100:AC100),""),"")</f>
        <v>1963368</v>
      </c>
      <c r="O17" s="353">
        <f t="shared" si="1"/>
        <v>0.69718738736499331</v>
      </c>
      <c r="P17" s="350" t="str">
        <f t="shared" si="2"/>
        <v>減少↓</v>
      </c>
      <c r="Q17" s="350" t="str">
        <f t="shared" si="3"/>
        <v>中立→</v>
      </c>
      <c r="R17" s="351">
        <f t="shared" si="4"/>
        <v>2070</v>
      </c>
      <c r="S17" s="351">
        <f t="shared" si="5"/>
        <v>2339</v>
      </c>
      <c r="T17" s="350">
        <f t="shared" si="6"/>
        <v>8</v>
      </c>
      <c r="U17" s="350" t="str">
        <f t="shared" si="7"/>
        <v>要確認</v>
      </c>
      <c r="V17" s="350" t="str">
        <f t="shared" si="8"/>
        <v>通常</v>
      </c>
      <c r="W17" s="354" cm="1">
        <f t="array" ref="W17">IFERROR(100-100/(1+SUMPRODUCT((終値!F100:R100&gt;終値!G100:S100)*(終値!F100:R100-終値!G100:S100))/SUMPRODUCT((終値!F100:R100&lt;終値!G100:S100)*(終値!G100:S100-終値!F100:R100))),50)</f>
        <v>33.547794117647058</v>
      </c>
      <c r="X17" s="355">
        <f>IF(C17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-32.97659698534062</v>
      </c>
      <c r="Y17" s="350" t="str">
        <f t="shared" si="9"/>
        <v>相場上昇・見送り | もみ合い→ MACD- RSI:33.5 前日比:-0.4% [8点]</v>
      </c>
      <c r="Z17" s="356">
        <f t="shared" si="10"/>
        <v>-0.42054006197432497</v>
      </c>
      <c r="AA17" s="350" t="str">
        <f t="shared" si="11"/>
        <v>下落▼</v>
      </c>
      <c r="AB17" s="351">
        <f>IF(OR(C17="",C17="TOPX",終値!E100=""),"",IFERROR(((終値!E100*0.333)+(終値!F100*0.222)+(終値!G100*0.148)+(終値!H100*0.099)+(終値!I100*0.066))/(0.333+0.222+0.148+0.099+0.066),""))</f>
        <v>2242.3133640552996</v>
      </c>
      <c r="AC17" s="351">
        <f>IF(OR(C17="",C17="TOPX",終値!E100=""),"",IFERROR(SUMPRODUCT((終値!E100:AC100)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2298.6323003575676</v>
      </c>
      <c r="AD17" s="350" t="str">
        <f t="shared" si="12"/>
        <v>もみ合い→</v>
      </c>
      <c r="AE17" s="350" t="str">
        <f t="shared" si="13"/>
        <v>なし</v>
      </c>
      <c r="AF17" t="str">
        <f>IF(T17="","",IF(銘柄管理!$F$5="上昇▲",IF(AND(AD17="下降トレンド▼",OR(AE17="25日戻り売り★",AE17="5日戻り売り○")),"★逆張り売り",IF(AND(AD17="もみ合い→",OR(AE17="25日戻り売り★",AE17="5日戻り売り○")),"○逆張り売り",IF(W17&gt;=70,IF(Z17&lt;0,"◎反落確認","△過熱・様子見"),"相場上昇・見送り"))),IF(AND(T17&gt;=12,AD17="下降トレンド▼"),"★強い売り",IF(T17&gt;=12,"★強い売り",IF(AND(T17&gt;=8,OR(AE17="25日戻り売り★",AE17="5日戻り売り○")),"◎戻り売り",IF(T17&gt;=10,"○売り候補",IF(T17&gt;=6,"△注目",IF(T17&gt;=3,"様子見","見送り"))))))))</f>
        <v>相場上昇・見送り</v>
      </c>
      <c r="AG17">
        <f t="shared" si="15"/>
        <v>8</v>
      </c>
      <c r="AH17">
        <f t="shared" si="16"/>
        <v>79983</v>
      </c>
      <c r="AI17" s="412" cm="1">
        <f t="array" ref="AI17">IF(C17="","",IFERROR((INDEX(終値!$E:$E,MATCH(TEXT(C17,"0"),終値!$A:$A,0))-INDEX(終値!$E:$BL,MATCH(TEXT(C17,"0"),終値!$A:$A,0),$AN$2))/INDEX(終値!$E:$BL,MATCH(TEXT(C17,"0"),終値!$A:$A,0),$AN$2)*100,""))</f>
        <v>-12.589858169807655</v>
      </c>
      <c r="AJ17" s="412" cm="1">
        <f t="array" ref="AJ17">IFERROR((終値!$E$5-INDEX(終値!$E$5:$BL$5,1,$AN$2))/INDEX(終値!$E$5:$BL$5,1,$AN$2)*100,"")</f>
        <v>3.4532270246721688</v>
      </c>
      <c r="AK17" s="413">
        <f t="shared" si="17"/>
        <v>-16.043085194479826</v>
      </c>
      <c r="AL17" s="411">
        <f t="shared" si="18"/>
        <v>3</v>
      </c>
      <c r="AO17" s="415" t="str">
        <f t="shared" si="19"/>
        <v>通常</v>
      </c>
      <c r="AP17" s="416">
        <f t="shared" si="20"/>
        <v>0</v>
      </c>
      <c r="AQ17">
        <f>IF(C17&lt;&gt;"",始値!F100,"")</f>
        <v>2266.5</v>
      </c>
      <c r="AR17">
        <f>IF(C17&lt;&gt;"",高値!F100,"")</f>
        <v>2289.5</v>
      </c>
      <c r="AS17">
        <f>IF(C17&lt;&gt;"",安値!F100,"")</f>
        <v>2245.5</v>
      </c>
      <c r="AT17" t="str">
        <f t="shared" si="14"/>
        <v>通常</v>
      </c>
      <c r="AU17">
        <f t="shared" si="21"/>
        <v>0</v>
      </c>
    </row>
    <row r="18" spans="1:47" ht="14.25">
      <c r="A18" s="357" t="str">
        <f>IF(銘柄管理!B107&lt;&gt;"",HYPERLINK("https://kabutan.jp/stock/?code="&amp;銘柄管理!B107,"株探"),"")</f>
        <v>株探</v>
      </c>
      <c r="B18" s="230"/>
      <c r="C18" s="230">
        <f>IF(銘柄管理!B107="","",銘柄管理!B107)</f>
        <v>7729</v>
      </c>
      <c r="D18" s="230" t="str">
        <f>IF(銘柄管理!C107="","",銘柄管理!C107)</f>
        <v>東京精密</v>
      </c>
      <c r="E18" s="358">
        <f>IF(C18&lt;&gt;"",_xll.RssMarket(C18,"現在値"),"")</f>
        <v>19255</v>
      </c>
      <c r="F18" s="358">
        <f>IF(C18&lt;&gt;"",_xll.RssMarket(C18,"始値"),"")</f>
        <v>18490</v>
      </c>
      <c r="G18" s="230">
        <f>IF(C18&lt;&gt;"",終値!F107,"")</f>
        <v>19190</v>
      </c>
      <c r="H18" s="358">
        <f>IF(C18&lt;&gt;"",_xll.RssMarket(C18,"高値"),"")</f>
        <v>19530</v>
      </c>
      <c r="I18" s="358">
        <f>IF(C18&lt;&gt;"",_xll.RssMarket(C18,"安値"),"")</f>
        <v>18485</v>
      </c>
      <c r="J18" s="358">
        <f>IF(C18&lt;&gt;"",_xll.RssMarket(C18,"出来高"),"")</f>
        <v>346200</v>
      </c>
      <c r="K18" s="358">
        <f>IF(C18&lt;&gt;"",_xll.RssMarket(C18,"年初来高値"),"")</f>
        <v>19880</v>
      </c>
      <c r="L18" s="359">
        <f t="shared" si="0"/>
        <v>-3.1438631790744465</v>
      </c>
      <c r="M18" s="358">
        <f>IF(C18&lt;&gt;"",IFERROR(AVERAGE(出来高!E107:I107),""),"")</f>
        <v>471860</v>
      </c>
      <c r="N18" s="358">
        <f>IF(C18&lt;&gt;"",IFERROR(AVERAGE(出来高!E107:AC107),""),"")</f>
        <v>455092</v>
      </c>
      <c r="O18" s="360">
        <f t="shared" si="1"/>
        <v>0.73369219683804521</v>
      </c>
      <c r="P18" s="230" t="str">
        <f t="shared" si="2"/>
        <v>減少↓</v>
      </c>
      <c r="Q18" s="230" t="str">
        <f t="shared" si="3"/>
        <v>様子見▲</v>
      </c>
      <c r="R18" s="358">
        <f t="shared" si="4"/>
        <v>17715</v>
      </c>
      <c r="S18" s="358">
        <f t="shared" si="5"/>
        <v>20025</v>
      </c>
      <c r="T18" s="350">
        <f t="shared" si="6"/>
        <v>1</v>
      </c>
      <c r="U18" s="230" t="str">
        <f t="shared" si="7"/>
        <v>除外</v>
      </c>
      <c r="V18" s="230" t="str">
        <f t="shared" si="8"/>
        <v>通常</v>
      </c>
      <c r="W18" s="361" cm="1">
        <f t="array" ref="W18">IFERROR(100-100/(1+SUMPRODUCT((終値!F107:R107&gt;終値!G107:S107)*(終値!F107:R107-終値!G107:S107))/SUMPRODUCT((終値!F107:R107&lt;終値!G107:S107)*(終値!G107:S107-終値!F107:R107))),50)</f>
        <v>55.777166437414024</v>
      </c>
      <c r="X18" s="362">
        <f>IF(C18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156.40830046291376</v>
      </c>
      <c r="Y18" s="230" t="str">
        <f t="shared" si="9"/>
        <v>相場上昇・見送り | パーフェクト▲ MACD+ RSI:55.8 前日比:+0.3%前日[大陰線▼] [1点]</v>
      </c>
      <c r="Z18" s="363">
        <f t="shared" si="10"/>
        <v>0.33871808233454925</v>
      </c>
      <c r="AA18" s="230" t="str">
        <f t="shared" si="11"/>
        <v>上昇▲</v>
      </c>
      <c r="AB18" s="358">
        <f>IF(OR(C18="",C18="TOPX",終値!E107=""),"",IFERROR(((終値!E107*0.333)+(終値!F107*0.222)+(終値!G107*0.148)+(終値!H107*0.099)+(終値!I107*0.066))/(0.333+0.222+0.148+0.099+0.066),""))</f>
        <v>18756.457373271889</v>
      </c>
      <c r="AC18" s="358">
        <f>IF(OR(C18="",C18="TOPX",終値!E107=""),"",IFERROR(SUMPRODUCT((終値!E107:AC107)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17759.481525625735</v>
      </c>
      <c r="AD18" s="230" t="str">
        <f t="shared" si="12"/>
        <v>パーフェクト▲</v>
      </c>
      <c r="AE18" s="230" t="str">
        <f t="shared" si="13"/>
        <v>なし</v>
      </c>
      <c r="AF18" t="str">
        <f>IF(T18="","",IF(銘柄管理!$F$5="上昇▲",IF(AND(AD18="下降トレンド▼",OR(AE18="25日戻り売り★",AE18="5日戻り売り○")),"★逆張り売り",IF(AND(AD18="もみ合い→",OR(AE18="25日戻り売り★",AE18="5日戻り売り○")),"○逆張り売り",IF(W18&gt;=70,IF(Z18&lt;0,"◎反落確認","△過熱・様子見"),"相場上昇・見送り"))),IF(AND(T18&gt;=12,AD18="下降トレンド▼"),"★強い売り",IF(T18&gt;=12,"★強い売り",IF(AND(T18&gt;=8,OR(AE18="25日戻り売り★",AE18="5日戻り売り○")),"◎戻り売り",IF(T18&gt;=10,"○売り候補",IF(T18&gt;=6,"△注目",IF(T18&gt;=3,"様子見","見送り"))))))))</f>
        <v>相場上昇・見送り</v>
      </c>
      <c r="AG18">
        <f t="shared" si="15"/>
        <v>0</v>
      </c>
      <c r="AH18">
        <f t="shared" si="16"/>
        <v>0</v>
      </c>
      <c r="AI18" s="412" cm="1">
        <f t="array" ref="AI18">IF(C18="","",IFERROR((INDEX(終値!$E:$E,MATCH(TEXT(C18,"0"),終値!$A:$A,0))-INDEX(終値!$E:$BL,MATCH(TEXT(C18,"0"),終値!$A:$A,0),$AN$2))/INDEX(終値!$E:$BL,MATCH(TEXT(C18,"0"),終値!$A:$A,0),$AN$2)*100,""))</f>
        <v>8.3872783563186051</v>
      </c>
      <c r="AJ18" s="412" cm="1">
        <f t="array" ref="AJ18">IFERROR((終値!$E$5-INDEX(終値!$E$5:$BL$5,1,$AN$2))/INDEX(終値!$E$5:$BL$5,1,$AN$2)*100,"")</f>
        <v>3.4532270246721688</v>
      </c>
      <c r="AK18" s="413">
        <f t="shared" si="17"/>
        <v>4.9340513316464367</v>
      </c>
      <c r="AL18" s="411">
        <f t="shared" si="18"/>
        <v>-2</v>
      </c>
      <c r="AO18" s="415" t="str">
        <f t="shared" si="19"/>
        <v>通常</v>
      </c>
      <c r="AP18" s="416">
        <f t="shared" si="20"/>
        <v>0</v>
      </c>
      <c r="AQ18">
        <f>IF(C18&lt;&gt;"",始値!F107,"")</f>
        <v>19775</v>
      </c>
      <c r="AR18">
        <f>IF(C18&lt;&gt;"",高値!F107,"")</f>
        <v>19880</v>
      </c>
      <c r="AS18">
        <f>IF(C18&lt;&gt;"",安値!F107,"")</f>
        <v>19190</v>
      </c>
      <c r="AT18" t="str">
        <f t="shared" si="14"/>
        <v>大陰線▼</v>
      </c>
      <c r="AU18">
        <f t="shared" si="21"/>
        <v>2</v>
      </c>
    </row>
    <row r="19" spans="1:47" ht="14.25">
      <c r="A19" s="349" t="str">
        <f>IF(銘柄管理!B164&lt;&gt;"",HYPERLINK("https://kabutan.jp/stock/?code="&amp;銘柄管理!B164,"株探"),"")</f>
        <v>株探</v>
      </c>
      <c r="B19" s="350"/>
      <c r="C19" s="350">
        <f>IF(銘柄管理!B164="","",銘柄管理!B164)</f>
        <v>8704</v>
      </c>
      <c r="D19" s="350" t="str">
        <f>IF(銘柄管理!C164="","",銘柄管理!C164)</f>
        <v>トレイダーズＨＬＤＧＳ</v>
      </c>
      <c r="E19" s="351">
        <f>IF(C19&lt;&gt;"",_xll.RssMarket(C19,"現在値"),"")</f>
        <v>1157</v>
      </c>
      <c r="F19" s="351">
        <f>IF(C19&lt;&gt;"",_xll.RssMarket(C19,"始値"),"")</f>
        <v>1146</v>
      </c>
      <c r="G19" s="350">
        <f>IF(C19&lt;&gt;"",終値!F164,"")</f>
        <v>1153</v>
      </c>
      <c r="H19" s="351">
        <f>IF(C19&lt;&gt;"",_xll.RssMarket(C19,"高値"),"")</f>
        <v>1175</v>
      </c>
      <c r="I19" s="351">
        <f>IF(C19&lt;&gt;"",_xll.RssMarket(C19,"安値"),"")</f>
        <v>1145</v>
      </c>
      <c r="J19" s="351">
        <f>IF(C19&lt;&gt;"",_xll.RssMarket(C19,"出来高"),"")</f>
        <v>87800</v>
      </c>
      <c r="K19" s="351">
        <f>IF(C19&lt;&gt;"",_xll.RssMarket(C19,"年初来高値"),"")</f>
        <v>1243</v>
      </c>
      <c r="L19" s="352">
        <f t="shared" si="0"/>
        <v>-6.9187449718423171</v>
      </c>
      <c r="M19" s="351">
        <f>IF(C19&lt;&gt;"",IFERROR(AVERAGE(出来高!E164:I164),""),"")</f>
        <v>106740</v>
      </c>
      <c r="N19" s="351">
        <f>IF(C19&lt;&gt;"",IFERROR(AVERAGE(出来高!E164:AC164),""),"")</f>
        <v>108716</v>
      </c>
      <c r="O19" s="353">
        <f t="shared" si="1"/>
        <v>0.82255949035038411</v>
      </c>
      <c r="P19" s="350" t="str">
        <f t="shared" si="2"/>
        <v>減少↓</v>
      </c>
      <c r="Q19" s="350" t="str">
        <f t="shared" si="3"/>
        <v>様子見▲</v>
      </c>
      <c r="R19" s="351">
        <f t="shared" si="4"/>
        <v>1064</v>
      </c>
      <c r="S19" s="351">
        <f t="shared" si="5"/>
        <v>1203</v>
      </c>
      <c r="T19" s="350">
        <f t="shared" si="6"/>
        <v>4</v>
      </c>
      <c r="U19" s="350" t="str">
        <f t="shared" si="7"/>
        <v>要確認</v>
      </c>
      <c r="V19" s="350" t="str">
        <f t="shared" si="8"/>
        <v>通常</v>
      </c>
      <c r="W19" s="354" cm="1">
        <f t="array" ref="W19">IFERROR(100-100/(1+SUMPRODUCT((終値!F164:R164&gt;終値!G164:S164)*(終値!F164:R164-終値!G164:S164))/SUMPRODUCT((終値!F164:R164&lt;終値!G164:S164)*(終値!G164:S164-終値!F164:R164))),50)</f>
        <v>53.135313531353134</v>
      </c>
      <c r="X19" s="355">
        <f>IF(C19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-1.690127726984656</v>
      </c>
      <c r="Y19" s="350" t="str">
        <f t="shared" si="9"/>
        <v>相場上昇・見送り | 上昇トレンド▲ MACD- RSI:53.1 前日比:+0.3%前日[長い下ヒゲ(反発)] [4点]</v>
      </c>
      <c r="Z19" s="356">
        <f t="shared" si="10"/>
        <v>0.3469210754553339</v>
      </c>
      <c r="AA19" s="350" t="str">
        <f t="shared" si="11"/>
        <v>上昇▲</v>
      </c>
      <c r="AB19" s="351">
        <f>IF(OR(C19="",C19="TOPX",終値!E164=""),"",IFERROR(((終値!E164*0.333)+(終値!F164*0.222)+(終値!G164*0.148)+(終値!H164*0.099)+(終値!I164*0.066))/(0.333+0.222+0.148+0.099+0.066),""))</f>
        <v>1145.2384792626729</v>
      </c>
      <c r="AC19" s="351">
        <f>IF(OR(C19="",C19="TOPX",終値!E164=""),"",IFERROR(SUMPRODUCT((終値!E164:AC164)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1149.7890345649578</v>
      </c>
      <c r="AD19" s="350" t="str">
        <f t="shared" si="12"/>
        <v>上昇トレンド▲</v>
      </c>
      <c r="AE19" s="350" t="str">
        <f t="shared" si="13"/>
        <v>なし</v>
      </c>
      <c r="AF19" t="str">
        <f>IF(T19="","",IF(銘柄管理!$F$5="上昇▲",IF(AND(AD19="下降トレンド▼",OR(AE19="25日戻り売り★",AE19="5日戻り売り○")),"★逆張り売り",IF(AND(AD19="もみ合い→",OR(AE19="25日戻り売り★",AE19="5日戻り売り○")),"○逆張り売り",IF(W19&gt;=70,IF(Z19&lt;0,"◎反落確認","△過熱・様子見"),"相場上昇・見送り"))),IF(AND(T19&gt;=12,AD19="下降トレンド▼"),"★強い売り",IF(T19&gt;=12,"★強い売り",IF(AND(T19&gt;=8,OR(AE19="25日戻り売り★",AE19="5日戻り売り○")),"◎戻り売り",IF(T19&gt;=10,"○売り候補",IF(T19&gt;=6,"△注目",IF(T19&gt;=3,"様子見","見送り"))))))))</f>
        <v>相場上昇・見送り</v>
      </c>
      <c r="AG19">
        <f t="shared" si="15"/>
        <v>0</v>
      </c>
      <c r="AH19">
        <f t="shared" si="16"/>
        <v>0</v>
      </c>
      <c r="AI19" s="412" cm="1">
        <f t="array" ref="AI19">IF(C19="","",IFERROR((INDEX(終値!$E:$E,MATCH(TEXT(C19,"0"),終値!$A:$A,0))-INDEX(終値!$E:$BL,MATCH(TEXT(C19,"0"),終値!$A:$A,0),$AN$2))/INDEX(終値!$E:$BL,MATCH(TEXT(C19,"0"),終値!$A:$A,0),$AN$2)*100,""))</f>
        <v>-4.9301561216105174</v>
      </c>
      <c r="AJ19" s="412" cm="1">
        <f t="array" ref="AJ19">IFERROR((終値!$E$5-INDEX(終値!$E$5:$BL$5,1,$AN$2))/INDEX(終値!$E$5:$BL$5,1,$AN$2)*100,"")</f>
        <v>3.4532270246721688</v>
      </c>
      <c r="AK19" s="413">
        <f t="shared" si="17"/>
        <v>-8.3833831462826858</v>
      </c>
      <c r="AL19" s="411">
        <f t="shared" si="18"/>
        <v>3</v>
      </c>
      <c r="AO19" s="415" t="str">
        <f t="shared" si="19"/>
        <v>通常</v>
      </c>
      <c r="AP19" s="416">
        <f t="shared" si="20"/>
        <v>0</v>
      </c>
      <c r="AQ19">
        <f>IF(C19&lt;&gt;"",始値!F164,"")</f>
        <v>1166</v>
      </c>
      <c r="AR19">
        <f>IF(C19&lt;&gt;"",高値!F164,"")</f>
        <v>1166</v>
      </c>
      <c r="AS19">
        <f>IF(C19&lt;&gt;"",安値!F164,"")</f>
        <v>1137</v>
      </c>
      <c r="AT19" t="str">
        <f t="shared" si="14"/>
        <v>長い下ヒゲ(反発)</v>
      </c>
      <c r="AU19">
        <f t="shared" si="21"/>
        <v>-2</v>
      </c>
    </row>
    <row r="20" spans="1:47" ht="14.25">
      <c r="A20" s="357" t="str">
        <f>IF(銘柄管理!B201&lt;&gt;"",HYPERLINK("https://kabutan.jp/stock/?code="&amp;銘柄管理!B201,"株探"),"")</f>
        <v>株探</v>
      </c>
      <c r="B20" s="230"/>
      <c r="C20" s="230">
        <f>IF(銘柄管理!B201="","",銘柄管理!B201)</f>
        <v>6506</v>
      </c>
      <c r="D20" s="230" t="str">
        <f>IF(銘柄管理!C201="","",銘柄管理!C201)</f>
        <v>安川電機</v>
      </c>
      <c r="E20" s="358">
        <f>IF(C20&lt;&gt;"",_xll.RssMarket(C20,"現在値"),"")</f>
        <v>7046</v>
      </c>
      <c r="F20" s="358">
        <f>IF(C20&lt;&gt;"",_xll.RssMarket(C20,"始値"),"")</f>
        <v>6745</v>
      </c>
      <c r="G20" s="230">
        <f>IF(C20&lt;&gt;"",終値!F201,"")</f>
        <v>6845</v>
      </c>
      <c r="H20" s="358">
        <f>IF(C20&lt;&gt;"",_xll.RssMarket(C20,"高値"),"")</f>
        <v>7060</v>
      </c>
      <c r="I20" s="358">
        <f>IF(C20&lt;&gt;"",_xll.RssMarket(C20,"安値"),"")</f>
        <v>6718</v>
      </c>
      <c r="J20" s="358">
        <f>IF(C20&lt;&gt;"",_xll.RssMarket(C20,"出来高"),"")</f>
        <v>3737200</v>
      </c>
      <c r="K20" s="358">
        <f>IF(C20&lt;&gt;"",_xll.RssMarket(C20,"年初来高値"),"")</f>
        <v>7700</v>
      </c>
      <c r="L20" s="359">
        <f t="shared" si="0"/>
        <v>-8.4935064935064926</v>
      </c>
      <c r="M20" s="358">
        <f>IF(C20&lt;&gt;"",IFERROR(AVERAGE(出来高!E201:I201),""),"")</f>
        <v>4771340</v>
      </c>
      <c r="N20" s="358">
        <f>IF(C20&lt;&gt;"",IFERROR(AVERAGE(出来高!E201:AC201),""),"")</f>
        <v>5469532</v>
      </c>
      <c r="O20" s="360">
        <f t="shared" si="1"/>
        <v>0.78326004853982323</v>
      </c>
      <c r="P20" s="230" t="str">
        <f t="shared" si="2"/>
        <v>減少↓</v>
      </c>
      <c r="Q20" s="230" t="str">
        <f t="shared" si="3"/>
        <v>様子見▲</v>
      </c>
      <c r="R20" s="358">
        <f t="shared" si="4"/>
        <v>6482</v>
      </c>
      <c r="S20" s="358">
        <f t="shared" si="5"/>
        <v>7328</v>
      </c>
      <c r="T20" s="350">
        <f t="shared" si="6"/>
        <v>3</v>
      </c>
      <c r="U20" s="230" t="str">
        <f t="shared" si="7"/>
        <v>要確認</v>
      </c>
      <c r="V20" s="230" t="str">
        <f t="shared" si="8"/>
        <v>通常</v>
      </c>
      <c r="W20" s="361" cm="1">
        <f t="array" ref="W20">IFERROR(100-100/(1+SUMPRODUCT((終値!F201:R201&gt;終値!G201:S201)*(終値!F201:R201-終値!G201:S201))/SUMPRODUCT((終値!F201:R201&lt;終値!G201:S201)*(終値!G201:S201-終値!F201:R201))),50)</f>
        <v>41.196013289036543</v>
      </c>
      <c r="X20" s="362">
        <f>IF(C20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-42.447333017560595</v>
      </c>
      <c r="Y20" s="230" t="str">
        <f t="shared" si="9"/>
        <v>相場上昇・見送り | 上昇トレンド▲ MACD- RSI:41.2 前日比:+2.9% [3点]</v>
      </c>
      <c r="Z20" s="363">
        <f t="shared" si="10"/>
        <v>2.9364499634769907</v>
      </c>
      <c r="AA20" s="230" t="str">
        <f t="shared" si="11"/>
        <v>上昇▲</v>
      </c>
      <c r="AB20" s="358">
        <f>IF(OR(C20="",C20="TOPX",終値!E201=""),"",IFERROR(((終値!E201*0.333)+(終値!F201*0.222)+(終値!G201*0.148)+(終値!H201*0.099)+(終値!I201*0.066))/(0.333+0.222+0.148+0.099+0.066),""))</f>
        <v>6675.437788018432</v>
      </c>
      <c r="AC20" s="358">
        <f>IF(OR(C20="",C20="TOPX",終値!E201=""),"",IFERROR(SUMPRODUCT((終値!E201:AC201)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6731.8533969010723</v>
      </c>
      <c r="AD20" s="230" t="str">
        <f t="shared" si="12"/>
        <v>上昇トレンド▲</v>
      </c>
      <c r="AE20" s="230" t="str">
        <f t="shared" si="13"/>
        <v>なし</v>
      </c>
      <c r="AF20" t="str">
        <f>IF(T20="","",IF(銘柄管理!$F$5="上昇▲",IF(AND(AD20="下降トレンド▼",OR(AE20="25日戻り売り★",AE20="5日戻り売り○")),"★逆張り売り",IF(AND(AD20="もみ合い→",OR(AE20="25日戻り売り★",AE20="5日戻り売り○")),"○逆張り売り",IF(W20&gt;=70,IF(Z20&lt;0,"◎反落確認","△過熱・様子見"),"相場上昇・見送り"))),IF(AND(T20&gt;=12,AD20="下降トレンド▼"),"★強い売り",IF(T20&gt;=12,"★強い売り",IF(AND(T20&gt;=8,OR(AE20="25日戻り売り★",AE20="5日戻り売り○")),"◎戻り売り",IF(T20&gt;=10,"○売り候補",IF(T20&gt;=6,"△注目",IF(T20&gt;=3,"様子見","見送り"))))))))</f>
        <v>相場上昇・見送り</v>
      </c>
      <c r="AG20">
        <f t="shared" si="15"/>
        <v>0</v>
      </c>
      <c r="AH20">
        <f t="shared" si="16"/>
        <v>0</v>
      </c>
      <c r="AI20" s="412" cm="1">
        <f t="array" ref="AI20">IF(C20="","",IFERROR((INDEX(終値!$E:$E,MATCH(TEXT(C20,"0"),終値!$A:$A,0))-INDEX(終値!$E:$BL,MATCH(TEXT(C20,"0"),終値!$A:$A,0),$AN$2))/INDEX(終値!$E:$BL,MATCH(TEXT(C20,"0"),終値!$A:$A,0),$AN$2)*100,""))</f>
        <v>0.57093919497573509</v>
      </c>
      <c r="AJ20" s="412" cm="1">
        <f t="array" ref="AJ20">IFERROR((終値!$E$5-INDEX(終値!$E$5:$BL$5,1,$AN$2))/INDEX(終値!$E$5:$BL$5,1,$AN$2)*100,"")</f>
        <v>3.4532270246721688</v>
      </c>
      <c r="AK20" s="413">
        <f t="shared" si="17"/>
        <v>-2.8822878296964336</v>
      </c>
      <c r="AL20" s="411">
        <f t="shared" si="18"/>
        <v>1</v>
      </c>
      <c r="AO20" s="415" t="str">
        <f t="shared" si="19"/>
        <v>通常</v>
      </c>
      <c r="AP20" s="416">
        <f t="shared" si="20"/>
        <v>0</v>
      </c>
      <c r="AQ20">
        <f>IF(C20&lt;&gt;"",始値!F201,"")</f>
        <v>6770</v>
      </c>
      <c r="AR20">
        <f>IF(C20&lt;&gt;"",高値!F201,"")</f>
        <v>6943</v>
      </c>
      <c r="AS20">
        <f>IF(C20&lt;&gt;"",安値!F201,"")</f>
        <v>6655</v>
      </c>
      <c r="AT20" t="str">
        <f t="shared" si="14"/>
        <v>通常</v>
      </c>
      <c r="AU20">
        <f t="shared" si="21"/>
        <v>0</v>
      </c>
    </row>
    <row r="21" spans="1:47" ht="14.25">
      <c r="A21" s="349" t="str">
        <f>IF(銘柄管理!B32&lt;&gt;"",HYPERLINK("https://kabutan.jp/stock/?code="&amp;銘柄管理!B32,"株探"),"")</f>
        <v>株探</v>
      </c>
      <c r="B21" s="350"/>
      <c r="C21" s="350">
        <f>IF(銘柄管理!B32="","",銘柄管理!B32)</f>
        <v>3863</v>
      </c>
      <c r="D21" s="350" t="str">
        <f>IF(銘柄管理!C32="","",銘柄管理!C32)</f>
        <v>日本製紙</v>
      </c>
      <c r="E21" s="351">
        <f>IF(C21&lt;&gt;"",_xll.RssMarket(C21,"現在値"),"")</f>
        <v>1242</v>
      </c>
      <c r="F21" s="351">
        <f>IF(C21&lt;&gt;"",_xll.RssMarket(C21,"始値"),"")</f>
        <v>1245</v>
      </c>
      <c r="G21" s="350">
        <f>IF(C21&lt;&gt;"",終値!F32,"")</f>
        <v>1231</v>
      </c>
      <c r="H21" s="351">
        <f>IF(C21&lt;&gt;"",_xll.RssMarket(C21,"高値"),"")</f>
        <v>1259</v>
      </c>
      <c r="I21" s="351">
        <f>IF(C21&lt;&gt;"",_xll.RssMarket(C21,"安値"),"")</f>
        <v>1241</v>
      </c>
      <c r="J21" s="351">
        <f>IF(C21&lt;&gt;"",_xll.RssMarket(C21,"出来高"),"")</f>
        <v>606200</v>
      </c>
      <c r="K21" s="351">
        <f>IF(C21&lt;&gt;"",_xll.RssMarket(C21,"年初来高値"),"")</f>
        <v>1612</v>
      </c>
      <c r="L21" s="352">
        <f t="shared" si="0"/>
        <v>-22.95285359801489</v>
      </c>
      <c r="M21" s="351">
        <f>IF(C21&lt;&gt;"",IFERROR(AVERAGE(出来高!E32:I32),""),"")</f>
        <v>768880</v>
      </c>
      <c r="N21" s="351">
        <f>IF(C21&lt;&gt;"",IFERROR(AVERAGE(出来高!E32:AC32),""),"")</f>
        <v>1345600</v>
      </c>
      <c r="O21" s="353">
        <f t="shared" si="1"/>
        <v>0.78841951930080112</v>
      </c>
      <c r="P21" s="350" t="str">
        <f t="shared" si="2"/>
        <v>減少↓</v>
      </c>
      <c r="Q21" s="350" t="str">
        <f t="shared" si="3"/>
        <v>様子見▲</v>
      </c>
      <c r="R21" s="351">
        <f t="shared" si="4"/>
        <v>1143</v>
      </c>
      <c r="S21" s="351">
        <f t="shared" si="5"/>
        <v>1292</v>
      </c>
      <c r="T21" s="350">
        <f t="shared" si="6"/>
        <v>9</v>
      </c>
      <c r="U21" s="350" t="str">
        <f t="shared" si="7"/>
        <v>要確認</v>
      </c>
      <c r="V21" s="350" t="str">
        <f t="shared" si="8"/>
        <v>通常</v>
      </c>
      <c r="W21" s="354" cm="1">
        <f t="array" ref="W21">IFERROR(100-100/(1+SUMPRODUCT((終値!F32:R32&gt;終値!G32:S32)*(終値!F32:R32-終値!G32:S32))/SUMPRODUCT((終値!F32:R32&lt;終値!G32:S32)*(終値!G32:S32-終値!F32:R32))),50)</f>
        <v>30.630630630630634</v>
      </c>
      <c r="X21" s="355">
        <f>IF(C21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-27.691916860041374</v>
      </c>
      <c r="Y21" s="350" t="str">
        <f t="shared" si="9"/>
        <v>相場上昇・見送り | もみ合い→ MACD- RSI:30.6 前日比:+0.9% [上ヒゲ陰線▼] [9点]</v>
      </c>
      <c r="Z21" s="356">
        <f t="shared" si="10"/>
        <v>0.89358245329000818</v>
      </c>
      <c r="AA21" s="350" t="str">
        <f t="shared" si="11"/>
        <v>上昇▲</v>
      </c>
      <c r="AB21" s="351">
        <f>IF(OR(C21="",C21="TOPX",終値!E32=""),"",IFERROR(((終値!E32*0.333)+(終値!F32*0.222)+(終値!G32*0.148)+(終値!H32*0.099)+(終値!I32*0.066))/(0.333+0.222+0.148+0.099+0.066),""))</f>
        <v>1229.3156682027645</v>
      </c>
      <c r="AC21" s="351">
        <f>IF(OR(C21="",C21="TOPX",終値!E32=""),"",IFERROR(SUMPRODUCT((終値!E32:AC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1273.9952324195463</v>
      </c>
      <c r="AD21" s="350" t="str">
        <f t="shared" si="12"/>
        <v>もみ合い→</v>
      </c>
      <c r="AE21" s="350" t="str">
        <f t="shared" si="13"/>
        <v>なし</v>
      </c>
      <c r="AF21" t="str">
        <f>IF(T21="","",IF(銘柄管理!$F$5="上昇▲",IF(AND(AD21="下降トレンド▼",OR(AE21="25日戻り売り★",AE21="5日戻り売り○")),"★逆張り売り",IF(AND(AD21="もみ合い→",OR(AE21="25日戻り売り★",AE21="5日戻り売り○")),"○逆張り売り",IF(W21&gt;=70,IF(Z21&lt;0,"◎反落確認","△過熱・様子見"),"相場上昇・見送り"))),IF(AND(T21&gt;=12,AD21="下降トレンド▼"),"★強い売り",IF(T21&gt;=12,"★強い売り",IF(AND(T21&gt;=8,OR(AE21="25日戻り売り★",AE21="5日戻り売り○")),"◎戻り売り",IF(T21&gt;=10,"○売り候補",IF(T21&gt;=6,"△注目",IF(T21&gt;=3,"様子見","見送り"))))))))</f>
        <v>相場上昇・見送り</v>
      </c>
      <c r="AG21">
        <f t="shared" si="15"/>
        <v>9</v>
      </c>
      <c r="AH21">
        <f t="shared" si="16"/>
        <v>89979</v>
      </c>
      <c r="AI21" s="412" cm="1">
        <f t="array" ref="AI21">IF(C21="","",IFERROR((INDEX(終値!$E:$E,MATCH(TEXT(C21,"0"),終値!$A:$A,0))-INDEX(終値!$E:$BL,MATCH(TEXT(C21,"0"),終値!$A:$A,0),$AN$2))/INDEX(終値!$E:$BL,MATCH(TEXT(C21,"0"),終値!$A:$A,0),$AN$2)*100,""))</f>
        <v>-15.853658536585366</v>
      </c>
      <c r="AJ21" s="412" cm="1">
        <f t="array" ref="AJ21">IFERROR((終値!$E$5-INDEX(終値!$E$5:$BL$5,1,$AN$2))/INDEX(終値!$E$5:$BL$5,1,$AN$2)*100,"")</f>
        <v>3.4532270246721688</v>
      </c>
      <c r="AK21" s="413">
        <f t="shared" si="17"/>
        <v>-19.306885561257534</v>
      </c>
      <c r="AL21" s="411">
        <f t="shared" si="18"/>
        <v>3</v>
      </c>
      <c r="AO21" s="415" t="str">
        <f t="shared" si="19"/>
        <v>上ヒゲ陰線▼</v>
      </c>
      <c r="AP21" s="416">
        <f t="shared" si="20"/>
        <v>2</v>
      </c>
      <c r="AQ21">
        <f>IF(C21&lt;&gt;"",始値!F32,"")</f>
        <v>1246</v>
      </c>
      <c r="AR21">
        <f>IF(C21&lt;&gt;"",高値!F32,"")</f>
        <v>1253</v>
      </c>
      <c r="AS21">
        <f>IF(C21&lt;&gt;"",安値!F32,"")</f>
        <v>1219</v>
      </c>
      <c r="AT21" t="str">
        <f t="shared" si="14"/>
        <v>通常</v>
      </c>
      <c r="AU21">
        <f t="shared" si="21"/>
        <v>0</v>
      </c>
    </row>
    <row r="22" spans="1:47" ht="14.25">
      <c r="A22" s="357" t="str">
        <f>IF(銘柄管理!B56&lt;&gt;"",HYPERLINK("https://kabutan.jp/stock/?code="&amp;銘柄管理!B56,"株探"),"")</f>
        <v>株探</v>
      </c>
      <c r="B22" s="230"/>
      <c r="C22" s="230">
        <f>IF(銘柄管理!B56="","",銘柄管理!B56)</f>
        <v>9412</v>
      </c>
      <c r="D22" s="230" t="str">
        <f>IF(銘柄管理!C56="","",銘柄管理!C56)</f>
        <v>スカパーＪＳＡＴ</v>
      </c>
      <c r="E22" s="358">
        <f>IF(C22&lt;&gt;"",_xll.RssMarket(C22,"現在値"),"")</f>
        <v>3355</v>
      </c>
      <c r="F22" s="358">
        <f>IF(C22&lt;&gt;"",_xll.RssMarket(C22,"始値"),"")</f>
        <v>3300</v>
      </c>
      <c r="G22" s="230">
        <f>IF(C22&lt;&gt;"",終値!F56,"")</f>
        <v>3270</v>
      </c>
      <c r="H22" s="358">
        <f>IF(C22&lt;&gt;"",_xll.RssMarket(C22,"高値"),"")</f>
        <v>3420</v>
      </c>
      <c r="I22" s="358">
        <f>IF(C22&lt;&gt;"",_xll.RssMarket(C22,"安値"),"")</f>
        <v>3295</v>
      </c>
      <c r="J22" s="358">
        <f>IF(C22&lt;&gt;"",_xll.RssMarket(C22,"出来高"),"")</f>
        <v>1970700</v>
      </c>
      <c r="K22" s="358">
        <f>IF(C22&lt;&gt;"",_xll.RssMarket(C22,"年初来高値"),"")</f>
        <v>4720</v>
      </c>
      <c r="L22" s="359">
        <f t="shared" si="0"/>
        <v>-28.91949152542373</v>
      </c>
      <c r="M22" s="358">
        <f>IF(C22&lt;&gt;"",IFERROR(AVERAGE(出来高!E56:I56),""),"")</f>
        <v>3124820</v>
      </c>
      <c r="N22" s="358">
        <f>IF(C22&lt;&gt;"",IFERROR(AVERAGE(出来高!E56:AC56),""),"")</f>
        <v>3332700</v>
      </c>
      <c r="O22" s="360">
        <f t="shared" si="1"/>
        <v>0.63066032603477962</v>
      </c>
      <c r="P22" s="230" t="str">
        <f t="shared" si="2"/>
        <v>減少↓</v>
      </c>
      <c r="Q22" s="230" t="str">
        <f t="shared" si="3"/>
        <v>様子見▲</v>
      </c>
      <c r="R22" s="358">
        <f t="shared" si="4"/>
        <v>3087</v>
      </c>
      <c r="S22" s="358">
        <f t="shared" si="5"/>
        <v>3489</v>
      </c>
      <c r="T22" s="350">
        <f t="shared" si="6"/>
        <v>9</v>
      </c>
      <c r="U22" s="230" t="str">
        <f t="shared" si="7"/>
        <v>要確認</v>
      </c>
      <c r="V22" s="230" t="str">
        <f t="shared" si="8"/>
        <v>安値圏</v>
      </c>
      <c r="W22" s="361" cm="1">
        <f t="array" ref="W22">IFERROR(100-100/(1+SUMPRODUCT((終値!F56:R56&gt;終値!G56:S56)*(終値!F56:R56-終値!G56:S56))/SUMPRODUCT((終値!F56:R56&lt;終値!G56:S56)*(終値!G56:S56-終値!F56:R56))),50)</f>
        <v>31.25</v>
      </c>
      <c r="X22" s="362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-128.42959293740205</v>
      </c>
      <c r="Y22" s="230" t="str">
        <f t="shared" si="9"/>
        <v>相場上昇・見送り | もみ合い→ MACD- RSI:31.3 前日比:+2.6% [安値圏] [9点]</v>
      </c>
      <c r="Z22" s="363">
        <f t="shared" si="10"/>
        <v>2.5993883792048931</v>
      </c>
      <c r="AA22" s="230" t="str">
        <f t="shared" si="11"/>
        <v>上昇▲</v>
      </c>
      <c r="AB22" s="358">
        <f>IF(OR(C22="",C22="TOPX",終値!E56=""),"",IFERROR(((終値!E56*0.333)+(終値!F56*0.222)+(終値!G56*0.148)+(終値!H56*0.099)+(終値!I56*0.066))/(0.333+0.222+0.148+0.099+0.066),""))</f>
        <v>3327.8629032258068</v>
      </c>
      <c r="AC22" s="358">
        <f>IF(OR(C22="",C22="TOPX",終値!E56=""),"",IFERROR(SUMPRODUCT((終値!E56:AC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3692.544696066745</v>
      </c>
      <c r="AD22" s="230" t="str">
        <f t="shared" si="12"/>
        <v>もみ合い→</v>
      </c>
      <c r="AE22" s="230" t="str">
        <f t="shared" si="13"/>
        <v>なし</v>
      </c>
      <c r="AF22" t="str">
        <f>IF(T22="","",IF(銘柄管理!$F$5="上昇▲",IF(AND(AD22="下降トレンド▼",OR(AE22="25日戻り売り★",AE22="5日戻り売り○")),"★逆張り売り",IF(AND(AD22="もみ合い→",OR(AE22="25日戻り売り★",AE22="5日戻り売り○")),"○逆張り売り",IF(W22&gt;=70,IF(Z22&lt;0,"◎反落確認","△過熱・様子見"),"相場上昇・見送り"))),IF(AND(T22&gt;=12,AD22="下降トレンド▼"),"★強い売り",IF(T22&gt;=12,"★強い売り",IF(AND(T22&gt;=8,OR(AE22="25日戻り売り★",AE22="5日戻り売り○")),"◎戻り売り",IF(T22&gt;=10,"○売り候補",IF(T22&gt;=6,"△注目",IF(T22&gt;=3,"様子見","見送り"))))))))</f>
        <v>相場上昇・見送り</v>
      </c>
      <c r="AG22">
        <f t="shared" si="15"/>
        <v>9</v>
      </c>
      <c r="AH22">
        <f t="shared" si="16"/>
        <v>89978</v>
      </c>
      <c r="AI22" s="412" cm="1">
        <f t="array" ref="AI22">IF(C22="","",IFERROR((INDEX(終値!$E:$E,MATCH(TEXT(C22,"0"),終値!$A:$A,0))-INDEX(終値!$E:$BL,MATCH(TEXT(C22,"0"),終値!$A:$A,0),$AN$2))/INDEX(終値!$E:$BL,MATCH(TEXT(C22,"0"),終値!$A:$A,0),$AN$2)*100,""))</f>
        <v>-20.214030915576693</v>
      </c>
      <c r="AJ22" s="412" cm="1">
        <f t="array" ref="AJ22">IFERROR((終値!$E$5-INDEX(終値!$E$5:$BL$5,1,$AN$2))/INDEX(終値!$E$5:$BL$5,1,$AN$2)*100,"")</f>
        <v>3.4532270246721688</v>
      </c>
      <c r="AK22" s="413">
        <f t="shared" si="17"/>
        <v>-23.667257940248863</v>
      </c>
      <c r="AL22" s="411">
        <f t="shared" si="18"/>
        <v>3</v>
      </c>
      <c r="AO22" s="415" t="str">
        <f t="shared" si="19"/>
        <v>通常</v>
      </c>
      <c r="AP22" s="416">
        <f t="shared" si="20"/>
        <v>0</v>
      </c>
      <c r="AQ22">
        <f>IF(C22&lt;&gt;"",始値!F56,"")</f>
        <v>3315</v>
      </c>
      <c r="AR22">
        <f>IF(C22&lt;&gt;"",高値!F56,"")</f>
        <v>3345</v>
      </c>
      <c r="AS22">
        <f>IF(C22&lt;&gt;"",安値!F56,"")</f>
        <v>3240</v>
      </c>
      <c r="AT22" t="str">
        <f t="shared" si="14"/>
        <v>通常</v>
      </c>
      <c r="AU22">
        <f t="shared" si="21"/>
        <v>0</v>
      </c>
    </row>
    <row r="23" spans="1:47" ht="14.25">
      <c r="A23" s="349" t="str">
        <f>IF(銘柄管理!B76&lt;&gt;"",HYPERLINK("https://kabutan.jp/stock/?code="&amp;銘柄管理!B76,"株探"),"")</f>
        <v>株探</v>
      </c>
      <c r="B23" s="350"/>
      <c r="C23" s="350">
        <f>IF(銘柄管理!B76="","",銘柄管理!B76)</f>
        <v>2802</v>
      </c>
      <c r="D23" s="350" t="str">
        <f>IF(銘柄管理!C76="","",銘柄管理!C76)</f>
        <v>味の素</v>
      </c>
      <c r="E23" s="351">
        <f>IF(C23&lt;&gt;"",_xll.RssMarket(C23,"現在値"),"")</f>
        <v>5340</v>
      </c>
      <c r="F23" s="351">
        <f>IF(C23&lt;&gt;"",_xll.RssMarket(C23,"始値"),"")</f>
        <v>5187</v>
      </c>
      <c r="G23" s="350">
        <f>IF(C23&lt;&gt;"",終値!F76,"")</f>
        <v>5146</v>
      </c>
      <c r="H23" s="351">
        <f>IF(C23&lt;&gt;"",_xll.RssMarket(C23,"高値"),"")</f>
        <v>5350</v>
      </c>
      <c r="I23" s="351">
        <f>IF(C23&lt;&gt;"",_xll.RssMarket(C23,"安値"),"")</f>
        <v>5084</v>
      </c>
      <c r="J23" s="351">
        <f>IF(C23&lt;&gt;"",_xll.RssMarket(C23,"出来高"),"")</f>
        <v>7021300</v>
      </c>
      <c r="K23" s="351">
        <f>IF(C23&lt;&gt;"",_xll.RssMarket(C23,"年初来高値"),"")</f>
        <v>5739</v>
      </c>
      <c r="L23" s="352">
        <f t="shared" si="0"/>
        <v>-6.9524307370622056</v>
      </c>
      <c r="M23" s="351">
        <f>IF(C23&lt;&gt;"",IFERROR(AVERAGE(出来高!E76:I76),""),"")</f>
        <v>6057200</v>
      </c>
      <c r="N23" s="351">
        <f>IF(C23&lt;&gt;"",IFERROR(AVERAGE(出来高!E76:AC76),""),"")</f>
        <v>5795364</v>
      </c>
      <c r="O23" s="353">
        <f t="shared" si="1"/>
        <v>1.1591659512646106</v>
      </c>
      <c r="P23" s="350" t="str">
        <f t="shared" si="2"/>
        <v>普通→</v>
      </c>
      <c r="Q23" s="350" t="str">
        <f t="shared" si="3"/>
        <v>様子見▲</v>
      </c>
      <c r="R23" s="351">
        <f t="shared" si="4"/>
        <v>4913</v>
      </c>
      <c r="S23" s="351">
        <f t="shared" si="5"/>
        <v>5554</v>
      </c>
      <c r="T23" s="350">
        <f t="shared" si="6"/>
        <v>5</v>
      </c>
      <c r="U23" s="350" t="str">
        <f t="shared" si="7"/>
        <v>要確認</v>
      </c>
      <c r="V23" s="350" t="str">
        <f t="shared" si="8"/>
        <v>通常</v>
      </c>
      <c r="W23" s="354" cm="1">
        <f t="array" ref="W23">IFERROR(100-100/(1+SUMPRODUCT((終値!F76:R76&gt;終値!G76:S76)*(終値!F76:R76-終値!G76:S76))/SUMPRODUCT((終値!F76:R76&lt;終値!G76:S76)*(終値!G76:S76-終値!F76:R76))),50)</f>
        <v>40.108238123872518</v>
      </c>
      <c r="X23" s="355">
        <f>IF(C23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-23.812716178616938</v>
      </c>
      <c r="Y23" s="350" t="str">
        <f t="shared" si="9"/>
        <v>相場上昇・見送り | パーフェクト▲ MACD- RSI:40.1 前日比:+3.8% [5点]</v>
      </c>
      <c r="Z23" s="356">
        <f t="shared" si="10"/>
        <v>3.7699183832102605</v>
      </c>
      <c r="AA23" s="350" t="str">
        <f t="shared" si="11"/>
        <v>上昇▲</v>
      </c>
      <c r="AB23" s="351">
        <f>IF(OR(C23="",C23="TOPX",終値!E76=""),"",IFERROR(((終値!E76*0.333)+(終値!F76*0.222)+(終値!G76*0.148)+(終値!H76*0.099)+(終値!I76*0.066))/(0.333+0.222+0.148+0.099+0.066),""))</f>
        <v>5183.6935483870957</v>
      </c>
      <c r="AC23" s="351">
        <f>IF(OR(C23="",C23="TOPX",終値!E76=""),"",IFERROR(SUMPRODUCT((終値!E76:AC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5156.9928486293193</v>
      </c>
      <c r="AD23" s="350" t="str">
        <f t="shared" si="12"/>
        <v>パーフェクト▲</v>
      </c>
      <c r="AE23" s="350" t="str">
        <f t="shared" si="13"/>
        <v>なし</v>
      </c>
      <c r="AF23" t="str">
        <f>IF(T23="","",IF(銘柄管理!$F$5="上昇▲",IF(AND(AD23="下降トレンド▼",OR(AE23="25日戻り売り★",AE23="5日戻り売り○")),"★逆張り売り",IF(AND(AD23="もみ合い→",OR(AE23="25日戻り売り★",AE23="5日戻り売り○")),"○逆張り売り",IF(W23&gt;=70,IF(Z23&lt;0,"◎反落確認","△過熱・様子見"),"相場上昇・見送り"))),IF(AND(T23&gt;=12,AD23="下降トレンド▼"),"★強い売り",IF(T23&gt;=12,"★強い売り",IF(AND(T23&gt;=8,OR(AE23="25日戻り売り★",AE23="5日戻り売り○")),"◎戻り売り",IF(T23&gt;=10,"○売り候補",IF(T23&gt;=6,"△注目",IF(T23&gt;=3,"様子見","見送り"))))))))</f>
        <v>相場上昇・見送り</v>
      </c>
      <c r="AG23">
        <f t="shared" si="15"/>
        <v>0</v>
      </c>
      <c r="AH23">
        <f t="shared" si="16"/>
        <v>0</v>
      </c>
      <c r="AI23" s="412" cm="1">
        <f t="array" ref="AI23">IF(C23="","",IFERROR((INDEX(終値!$E:$E,MATCH(TEXT(C23,"0"),終値!$A:$A,0))-INDEX(終値!$E:$BL,MATCH(TEXT(C23,"0"),終値!$A:$A,0),$AN$2))/INDEX(終値!$E:$BL,MATCH(TEXT(C23,"0"),終値!$A:$A,0),$AN$2)*100,""))</f>
        <v>-3.644893540238181</v>
      </c>
      <c r="AJ23" s="412" cm="1">
        <f t="array" ref="AJ23">IFERROR((終値!$E$5-INDEX(終値!$E$5:$BL$5,1,$AN$2))/INDEX(終値!$E$5:$BL$5,1,$AN$2)*100,"")</f>
        <v>3.4532270246721688</v>
      </c>
      <c r="AK23" s="413">
        <f t="shared" si="17"/>
        <v>-7.0981205649103494</v>
      </c>
      <c r="AL23" s="411">
        <f t="shared" si="18"/>
        <v>3</v>
      </c>
      <c r="AO23" s="415" t="str">
        <f t="shared" si="19"/>
        <v>通常</v>
      </c>
      <c r="AP23" s="416">
        <f t="shared" si="20"/>
        <v>0</v>
      </c>
      <c r="AQ23">
        <f>IF(C23&lt;&gt;"",始値!F76,"")</f>
        <v>4996</v>
      </c>
      <c r="AR23">
        <f>IF(C23&lt;&gt;"",高値!F76,"")</f>
        <v>5175</v>
      </c>
      <c r="AS23">
        <f>IF(C23&lt;&gt;"",安値!F76,"")</f>
        <v>4979</v>
      </c>
      <c r="AT23" t="str">
        <f t="shared" si="14"/>
        <v>通常</v>
      </c>
      <c r="AU23">
        <f t="shared" si="21"/>
        <v>0</v>
      </c>
    </row>
    <row r="24" spans="1:47" ht="14.25">
      <c r="A24" s="357" t="str">
        <f>IF(銘柄管理!B79&lt;&gt;"",HYPERLINK("https://kabutan.jp/stock/?code="&amp;銘柄管理!B79,"株探"),"")</f>
        <v>株探</v>
      </c>
      <c r="B24" s="230"/>
      <c r="C24" s="230">
        <f>IF(銘柄管理!B79="","",銘柄管理!B79)</f>
        <v>6479</v>
      </c>
      <c r="D24" s="230" t="str">
        <f>IF(銘柄管理!C79="","",銘柄管理!C79)</f>
        <v>ミネベアミツミ</v>
      </c>
      <c r="E24" s="358">
        <f>IF(C24&lt;&gt;"",_xll.RssMarket(C24,"現在値"),"")</f>
        <v>4718</v>
      </c>
      <c r="F24" s="358">
        <f>IF(C24&lt;&gt;"",_xll.RssMarket(C24,"始値"),"")</f>
        <v>4618</v>
      </c>
      <c r="G24" s="230">
        <f>IF(C24&lt;&gt;"",終値!F79,"")</f>
        <v>4618</v>
      </c>
      <c r="H24" s="358">
        <f>IF(C24&lt;&gt;"",_xll.RssMarket(C24,"高値"),"")</f>
        <v>4720</v>
      </c>
      <c r="I24" s="358">
        <f>IF(C24&lt;&gt;"",_xll.RssMarket(C24,"安値"),"")</f>
        <v>4553</v>
      </c>
      <c r="J24" s="358">
        <f>IF(C24&lt;&gt;"",_xll.RssMarket(C24,"出来高"),"")</f>
        <v>3190800</v>
      </c>
      <c r="K24" s="358">
        <f>IF(C24&lt;&gt;"",_xll.RssMarket(C24,"年初来高値"),"")</f>
        <v>5088</v>
      </c>
      <c r="L24" s="359">
        <f t="shared" si="0"/>
        <v>-7.2720125786163523</v>
      </c>
      <c r="M24" s="358">
        <f>IF(C24&lt;&gt;"",IFERROR(AVERAGE(出来高!E79:I79),""),"")</f>
        <v>3715140</v>
      </c>
      <c r="N24" s="358">
        <f>IF(C24&lt;&gt;"",IFERROR(AVERAGE(出来高!E79:AC79),""),"")</f>
        <v>3380556</v>
      </c>
      <c r="O24" s="360">
        <f t="shared" si="1"/>
        <v>0.85886399974159788</v>
      </c>
      <c r="P24" s="230" t="str">
        <f t="shared" si="2"/>
        <v>減少↓</v>
      </c>
      <c r="Q24" s="230" t="str">
        <f t="shared" si="3"/>
        <v>様子見▲</v>
      </c>
      <c r="R24" s="358">
        <f t="shared" si="4"/>
        <v>4341</v>
      </c>
      <c r="S24" s="358">
        <f t="shared" si="5"/>
        <v>4907</v>
      </c>
      <c r="T24" s="350">
        <f t="shared" si="6"/>
        <v>-1</v>
      </c>
      <c r="U24" s="230" t="str">
        <f t="shared" si="7"/>
        <v>除外</v>
      </c>
      <c r="V24" s="230" t="str">
        <f t="shared" si="8"/>
        <v>通常</v>
      </c>
      <c r="W24" s="361" cm="1">
        <f t="array" ref="W24">IFERROR(100-100/(1+SUMPRODUCT((終値!F79:R79&gt;終値!G79:S79)*(終値!F79:R79-終値!G79:S79))/SUMPRODUCT((終値!F79:R79&lt;終値!G79:S79)*(終値!G79:S79-終値!F79:R79))),50)</f>
        <v>59.870711089010442</v>
      </c>
      <c r="X24" s="362">
        <f>IF(C24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92.931185046909377</v>
      </c>
      <c r="Y24" s="230" t="str">
        <f t="shared" si="9"/>
        <v>相場上昇・見送り | パーフェクト▲ MACD+ RSI:59.9 前日比:+2.2% [-1点]</v>
      </c>
      <c r="Z24" s="363">
        <f t="shared" si="10"/>
        <v>2.1654395842355996</v>
      </c>
      <c r="AA24" s="230" t="str">
        <f t="shared" si="11"/>
        <v>上昇▲</v>
      </c>
      <c r="AB24" s="358">
        <f>IF(OR(C24="",C24="TOPX",終値!E79=""),"",IFERROR(((終値!E79*0.333)+(終値!F79*0.222)+(終値!G79*0.148)+(終値!H79*0.099)+(終値!I79*0.066))/(0.333+0.222+0.148+0.099+0.066),""))</f>
        <v>4539.7361751152066</v>
      </c>
      <c r="AC24" s="358">
        <f>IF(OR(C24="",C24="TOPX",終値!E79=""),"",IFERROR(SUMPRODUCT((終値!E79:AC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4435.6257449344448</v>
      </c>
      <c r="AD24" s="230" t="str">
        <f t="shared" si="12"/>
        <v>パーフェクト▲</v>
      </c>
      <c r="AE24" s="230" t="str">
        <f t="shared" si="13"/>
        <v>なし</v>
      </c>
      <c r="AF24" t="str">
        <f>IF(T24="","",IF(銘柄管理!$F$5="上昇▲",IF(AND(AD24="下降トレンド▼",OR(AE24="25日戻り売り★",AE24="5日戻り売り○")),"★逆張り売り",IF(AND(AD24="もみ合い→",OR(AE24="25日戻り売り★",AE24="5日戻り売り○")),"○逆張り売り",IF(W24&gt;=70,IF(Z24&lt;0,"◎反落確認","△過熱・様子見"),"相場上昇・見送り"))),IF(AND(T24&gt;=12,AD24="下降トレンド▼"),"★強い売り",IF(T24&gt;=12,"★強い売り",IF(AND(T24&gt;=8,OR(AE24="25日戻り売り★",AE24="5日戻り売り○")),"◎戻り売り",IF(T24&gt;=10,"○売り候補",IF(T24&gt;=6,"△注目",IF(T24&gt;=3,"様子見","見送り"))))))))</f>
        <v>相場上昇・見送り</v>
      </c>
      <c r="AG24">
        <f t="shared" si="15"/>
        <v>0</v>
      </c>
      <c r="AH24">
        <f t="shared" si="16"/>
        <v>0</v>
      </c>
      <c r="AI24" s="412" cm="1">
        <f t="array" ref="AI24">IF(C24="","",IFERROR((INDEX(終値!$E:$E,MATCH(TEXT(C24,"0"),終値!$A:$A,0))-INDEX(終値!$E:$BL,MATCH(TEXT(C24,"0"),終値!$A:$A,0),$AN$2))/INDEX(終値!$E:$BL,MATCH(TEXT(C24,"0"),終値!$A:$A,0),$AN$2)*100,""))</f>
        <v>18.60231271995978</v>
      </c>
      <c r="AJ24" s="412" cm="1">
        <f t="array" ref="AJ24">IFERROR((終値!$E$5-INDEX(終値!$E$5:$BL$5,1,$AN$2))/INDEX(終値!$E$5:$BL$5,1,$AN$2)*100,"")</f>
        <v>3.4532270246721688</v>
      </c>
      <c r="AK24" s="413">
        <f t="shared" si="17"/>
        <v>15.149085695287612</v>
      </c>
      <c r="AL24" s="411">
        <f t="shared" si="18"/>
        <v>-2</v>
      </c>
      <c r="AO24" s="415" t="str">
        <f t="shared" si="19"/>
        <v>通常</v>
      </c>
      <c r="AP24" s="416">
        <f t="shared" si="20"/>
        <v>0</v>
      </c>
      <c r="AQ24">
        <f>IF(C24&lt;&gt;"",始値!F79,"")</f>
        <v>4570</v>
      </c>
      <c r="AR24">
        <f>IF(C24&lt;&gt;"",高値!F79,"")</f>
        <v>4723</v>
      </c>
      <c r="AS24">
        <f>IF(C24&lt;&gt;"",安値!F79,"")</f>
        <v>4516</v>
      </c>
      <c r="AT24" t="str">
        <f t="shared" si="14"/>
        <v>通常</v>
      </c>
      <c r="AU24">
        <f t="shared" si="21"/>
        <v>0</v>
      </c>
    </row>
    <row r="25" spans="1:47" ht="14.25">
      <c r="A25" s="349" t="str">
        <f>IF(銘柄管理!B92&lt;&gt;"",HYPERLINK("https://kabutan.jp/stock/?code="&amp;銘柄管理!B92,"株探"),"")</f>
        <v>株探</v>
      </c>
      <c r="B25" s="350"/>
      <c r="C25" s="350">
        <f>IF(銘柄管理!B92="","",銘柄管理!B92)</f>
        <v>6134</v>
      </c>
      <c r="D25" s="350" t="str">
        <f>IF(銘柄管理!C92="","",銘柄管理!C92)</f>
        <v>ＦＵＪＩ</v>
      </c>
      <c r="E25" s="351">
        <f>IF(C25&lt;&gt;"",_xll.RssMarket(C25,"現在値"),"")</f>
        <v>8323</v>
      </c>
      <c r="F25" s="351">
        <f>IF(C25&lt;&gt;"",_xll.RssMarket(C25,"始値"),"")</f>
        <v>8217</v>
      </c>
      <c r="G25" s="350">
        <f>IF(C25&lt;&gt;"",終値!F92,"")</f>
        <v>8239</v>
      </c>
      <c r="H25" s="351">
        <f>IF(C25&lt;&gt;"",_xll.RssMarket(C25,"高値"),"")</f>
        <v>8377</v>
      </c>
      <c r="I25" s="351">
        <f>IF(C25&lt;&gt;"",_xll.RssMarket(C25,"安値"),"")</f>
        <v>8162</v>
      </c>
      <c r="J25" s="351">
        <f>IF(C25&lt;&gt;"",_xll.RssMarket(C25,"出来高"),"")</f>
        <v>460000</v>
      </c>
      <c r="K25" s="351">
        <f>IF(C25&lt;&gt;"",_xll.RssMarket(C25,"年初来高値"),"")</f>
        <v>8701</v>
      </c>
      <c r="L25" s="352">
        <f t="shared" si="0"/>
        <v>-4.3443282381335475</v>
      </c>
      <c r="M25" s="351">
        <f>IF(C25&lt;&gt;"",IFERROR(AVERAGE(出来高!E92:I92),""),"")</f>
        <v>635060</v>
      </c>
      <c r="N25" s="351">
        <f>IF(C25&lt;&gt;"",IFERROR(AVERAGE(出来高!E92:AC92),""),"")</f>
        <v>975964</v>
      </c>
      <c r="O25" s="353">
        <f t="shared" si="1"/>
        <v>0.72434100714893079</v>
      </c>
      <c r="P25" s="350" t="str">
        <f t="shared" si="2"/>
        <v>減少↓</v>
      </c>
      <c r="Q25" s="350" t="str">
        <f t="shared" si="3"/>
        <v>様子見▲</v>
      </c>
      <c r="R25" s="351">
        <f t="shared" si="4"/>
        <v>7657</v>
      </c>
      <c r="S25" s="351">
        <f t="shared" si="5"/>
        <v>8656</v>
      </c>
      <c r="T25" s="350">
        <f t="shared" si="6"/>
        <v>-2</v>
      </c>
      <c r="U25" s="350" t="str">
        <f t="shared" si="7"/>
        <v>除外</v>
      </c>
      <c r="V25" s="350" t="str">
        <f t="shared" si="8"/>
        <v>通常</v>
      </c>
      <c r="W25" s="354" cm="1">
        <f t="array" ref="W25">IFERROR(100-100/(1+SUMPRODUCT((終値!F92:R92&gt;終値!G92:S92)*(終値!F92:R92-終値!G92:S92))/SUMPRODUCT((終値!F92:R92&lt;終値!G92:S92)*(終値!G92:S92-終値!F92:R92))),50)</f>
        <v>48.549723756906083</v>
      </c>
      <c r="X25" s="355">
        <f>IF(C25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27.916617244935878</v>
      </c>
      <c r="Y25" s="350" t="str">
        <f t="shared" si="9"/>
        <v>相場上昇・見送り | パーフェクト▲ MACD+ RSI:48.5 前日比:+1.0% [-2点]</v>
      </c>
      <c r="Z25" s="356">
        <f t="shared" si="10"/>
        <v>1.0195412064570943</v>
      </c>
      <c r="AA25" s="350" t="str">
        <f t="shared" si="11"/>
        <v>上昇▲</v>
      </c>
      <c r="AB25" s="351">
        <f>IF(OR(C25="",C25="TOPX",終値!E92=""),"",IFERROR(((終値!E92*0.333)+(終値!F92*0.222)+(終値!G92*0.148)+(終値!H92*0.099)+(終値!I92*0.066))/(0.333+0.222+0.148+0.099+0.066),""))</f>
        <v>8014.4343317972343</v>
      </c>
      <c r="AC25" s="351">
        <f>IF(OR(C25="",C25="TOPX",終値!E92=""),"",IFERROR(SUMPRODUCT((終値!E92:AC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7761.5435041716319</v>
      </c>
      <c r="AD25" s="350" t="str">
        <f t="shared" si="12"/>
        <v>パーフェクト▲</v>
      </c>
      <c r="AE25" s="350" t="str">
        <f t="shared" si="13"/>
        <v>なし</v>
      </c>
      <c r="AF25" t="str">
        <f>IF(T25="","",IF(銘柄管理!$F$5="上昇▲",IF(AND(AD25="下降トレンド▼",OR(AE25="25日戻り売り★",AE25="5日戻り売り○")),"★逆張り売り",IF(AND(AD25="もみ合い→",OR(AE25="25日戻り売り★",AE25="5日戻り売り○")),"○逆張り売り",IF(W25&gt;=70,IF(Z25&lt;0,"◎反落確認","△過熱・様子見"),"相場上昇・見送り"))),IF(AND(T25&gt;=12,AD25="下降トレンド▼"),"★強い売り",IF(T25&gt;=12,"★強い売り",IF(AND(T25&gt;=8,OR(AE25="25日戻り売り★",AE25="5日戻り売り○")),"◎戻り売り",IF(T25&gt;=10,"○売り候補",IF(T25&gt;=6,"△注目",IF(T25&gt;=3,"様子見","見送り"))))))))</f>
        <v>相場上昇・見送り</v>
      </c>
      <c r="AG25">
        <f t="shared" si="15"/>
        <v>0</v>
      </c>
      <c r="AH25">
        <f t="shared" si="16"/>
        <v>0</v>
      </c>
      <c r="AI25" s="412" cm="1">
        <f t="array" ref="AI25">IF(C25="","",IFERROR((INDEX(終値!$E:$E,MATCH(TEXT(C25,"0"),終値!$A:$A,0))-INDEX(終値!$E:$BL,MATCH(TEXT(C25,"0"),終値!$A:$A,0),$AN$2))/INDEX(終値!$E:$BL,MATCH(TEXT(C25,"0"),終値!$A:$A,0),$AN$2)*100,""))</f>
        <v>15.581169282044161</v>
      </c>
      <c r="AJ25" s="412" cm="1">
        <f t="array" ref="AJ25">IFERROR((終値!$E$5-INDEX(終値!$E$5:$BL$5,1,$AN$2))/INDEX(終値!$E$5:$BL$5,1,$AN$2)*100,"")</f>
        <v>3.4532270246721688</v>
      </c>
      <c r="AK25" s="413">
        <f t="shared" si="17"/>
        <v>12.127942257371993</v>
      </c>
      <c r="AL25" s="411">
        <f t="shared" si="18"/>
        <v>-2</v>
      </c>
      <c r="AO25" s="415" t="str">
        <f t="shared" si="19"/>
        <v>通常</v>
      </c>
      <c r="AP25" s="416">
        <f t="shared" si="20"/>
        <v>0</v>
      </c>
      <c r="AQ25">
        <f>IF(C25&lt;&gt;"",始値!F92,"")</f>
        <v>8300</v>
      </c>
      <c r="AR25">
        <f>IF(C25&lt;&gt;"",高値!F92,"")</f>
        <v>8382</v>
      </c>
      <c r="AS25">
        <f>IF(C25&lt;&gt;"",安値!F92,"")</f>
        <v>8135</v>
      </c>
      <c r="AT25" t="str">
        <f t="shared" si="14"/>
        <v>通常</v>
      </c>
      <c r="AU25">
        <f t="shared" si="21"/>
        <v>0</v>
      </c>
    </row>
    <row r="26" spans="1:47" ht="14.25">
      <c r="A26" s="357" t="str">
        <f>IF(銘柄管理!B123&lt;&gt;"",HYPERLINK("https://kabutan.jp/stock/?code="&amp;銘柄管理!B123,"株探"),"")</f>
        <v>株探</v>
      </c>
      <c r="B26" s="230"/>
      <c r="C26" s="230">
        <f>IF(銘柄管理!B123="","",銘柄管理!B123)</f>
        <v>8359</v>
      </c>
      <c r="D26" s="230" t="str">
        <f>IF(銘柄管理!C123="","",銘柄管理!C123)</f>
        <v>八十二長野銀行</v>
      </c>
      <c r="E26" s="358">
        <f>IF(C26&lt;&gt;"",_xll.RssMarket(C26,"現在値"),"")</f>
        <v>2287</v>
      </c>
      <c r="F26" s="358">
        <f>IF(C26&lt;&gt;"",_xll.RssMarket(C26,"始値"),"")</f>
        <v>2372</v>
      </c>
      <c r="G26" s="230">
        <f>IF(C26&lt;&gt;"",終値!F123,"")</f>
        <v>2346</v>
      </c>
      <c r="H26" s="358">
        <f>IF(C26&lt;&gt;"",_xll.RssMarket(C26,"高値"),"")</f>
        <v>2397</v>
      </c>
      <c r="I26" s="358">
        <f>IF(C26&lt;&gt;"",_xll.RssMarket(C26,"安値"),"")</f>
        <v>2287</v>
      </c>
      <c r="J26" s="358">
        <f>IF(C26&lt;&gt;"",_xll.RssMarket(C26,"出来高"),"")</f>
        <v>1905900</v>
      </c>
      <c r="K26" s="358">
        <f>IF(C26&lt;&gt;"",_xll.RssMarket(C26,"年初来高値"),"")</f>
        <v>2470.5</v>
      </c>
      <c r="L26" s="359">
        <f t="shared" si="0"/>
        <v>-7.4276462254604327</v>
      </c>
      <c r="M26" s="358">
        <f>IF(C26&lt;&gt;"",IFERROR(AVERAGE(出来高!E123:I123),""),"")</f>
        <v>1710340</v>
      </c>
      <c r="N26" s="358">
        <f>IF(C26&lt;&gt;"",IFERROR(AVERAGE(出来高!E123:AC123),""),"")</f>
        <v>1565552</v>
      </c>
      <c r="O26" s="360">
        <f t="shared" si="1"/>
        <v>1.1143398388624484</v>
      </c>
      <c r="P26" s="230" t="str">
        <f t="shared" si="2"/>
        <v>普通→</v>
      </c>
      <c r="Q26" s="230" t="str">
        <f t="shared" si="3"/>
        <v>中立→</v>
      </c>
      <c r="R26" s="358">
        <f t="shared" si="4"/>
        <v>2104</v>
      </c>
      <c r="S26" s="358">
        <f t="shared" si="5"/>
        <v>2378</v>
      </c>
      <c r="T26" s="350">
        <f t="shared" si="6"/>
        <v>10</v>
      </c>
      <c r="U26" s="230" t="str">
        <f t="shared" si="7"/>
        <v>要確認</v>
      </c>
      <c r="V26" s="230" t="str">
        <f t="shared" si="8"/>
        <v>通常</v>
      </c>
      <c r="W26" s="361" cm="1">
        <f t="array" ref="W26">IFERROR(100-100/(1+SUMPRODUCT((終値!F123:R123&gt;終値!G123:S123)*(終値!F123:R123-終値!G123:S123))/SUMPRODUCT((終値!F123:R123&lt;終値!G123:S123)*(終値!G123:S123-終値!F123:R123))),50)</f>
        <v>50</v>
      </c>
      <c r="X26" s="362">
        <f>IF(C26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2.5687741552874286</v>
      </c>
      <c r="Y26" s="230" t="str">
        <f t="shared" si="9"/>
        <v>★逆張り売り | 下降トレンド▼ 25日戻り売り★ MACD+ RSI:50.0 前日比:-2.5% [大陰線▼]前日[長い下ヒゲ(反発)] [10点]</v>
      </c>
      <c r="Z26" s="363">
        <f t="shared" si="10"/>
        <v>-2.5149190110826938</v>
      </c>
      <c r="AA26" s="230" t="str">
        <f t="shared" si="11"/>
        <v>下落▼</v>
      </c>
      <c r="AB26" s="358">
        <f>IF(OR(C26="",C26="TOPX",終値!E123=""),"",IFERROR(((終値!E123*0.333)+(終値!F123*0.222)+(終値!G123*0.148)+(終値!H123*0.099)+(終値!I123*0.066))/(0.333+0.222+0.148+0.099+0.066),""))</f>
        <v>2316.8945852534562</v>
      </c>
      <c r="AC26" s="358">
        <f>IF(OR(C26="",C26="TOPX",終値!E123=""),"",IFERROR(SUMPRODUCT((終値!E123:AC123)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2325.6323003575676</v>
      </c>
      <c r="AD26" s="230" t="str">
        <f t="shared" si="12"/>
        <v>下降トレンド▼</v>
      </c>
      <c r="AE26" s="230" t="str">
        <f t="shared" si="13"/>
        <v>25日戻り売り★</v>
      </c>
      <c r="AF26" t="str">
        <f>IF(T26="","",IF(銘柄管理!$F$5="上昇▲",IF(AND(AD26="下降トレンド▼",OR(AE26="25日戻り売り★",AE26="5日戻り売り○")),"★逆張り売り",IF(AND(AD26="もみ合い→",OR(AE26="25日戻り売り★",AE26="5日戻り売り○")),"○逆張り売り",IF(W26&gt;=70,IF(Z26&lt;0,"◎反落確認","△過熱・様子見"),"相場上昇・見送り"))),IF(AND(T26&gt;=12,AD26="下降トレンド▼"),"★強い売り",IF(T26&gt;=12,"★強い売り",IF(AND(T26&gt;=8,OR(AE26="25日戻り売り★",AE26="5日戻り売り○")),"◎戻り売り",IF(T26&gt;=10,"○売り候補",IF(T26&gt;=6,"△注目",IF(T26&gt;=3,"様子見","見送り"))))))))</f>
        <v>★逆張り売り</v>
      </c>
      <c r="AG26">
        <f t="shared" si="15"/>
        <v>10</v>
      </c>
      <c r="AH26">
        <f t="shared" si="16"/>
        <v>99974</v>
      </c>
      <c r="AI26" s="412" cm="1">
        <f t="array" ref="AI26">IF(C26="","",IFERROR((INDEX(終値!$E:$E,MATCH(TEXT(C26,"0"),終値!$A:$A,0))-INDEX(終値!$E:$BL,MATCH(TEXT(C26,"0"),終値!$A:$A,0),$AN$2))/INDEX(終値!$E:$BL,MATCH(TEXT(C26,"0"),終値!$A:$A,0),$AN$2)*100,""))</f>
        <v>-1.6344086021505377</v>
      </c>
      <c r="AJ26" s="412" cm="1">
        <f t="array" ref="AJ26">IFERROR((終値!$E$5-INDEX(終値!$E$5:$BL$5,1,$AN$2))/INDEX(終値!$E$5:$BL$5,1,$AN$2)*100,"")</f>
        <v>3.4532270246721688</v>
      </c>
      <c r="AK26" s="413">
        <f t="shared" si="17"/>
        <v>-5.0876356268227063</v>
      </c>
      <c r="AL26" s="411">
        <f t="shared" si="18"/>
        <v>3</v>
      </c>
      <c r="AO26" s="415" t="str">
        <f t="shared" si="19"/>
        <v>大陰線▼</v>
      </c>
      <c r="AP26" s="416">
        <f t="shared" si="20"/>
        <v>2</v>
      </c>
      <c r="AQ26">
        <f>IF(C26&lt;&gt;"",始値!F123,"")</f>
        <v>2356.5</v>
      </c>
      <c r="AR26">
        <f>IF(C26&lt;&gt;"",高値!F123,"")</f>
        <v>2360.5</v>
      </c>
      <c r="AS26">
        <f>IF(C26&lt;&gt;"",安値!F123,"")</f>
        <v>2313.5</v>
      </c>
      <c r="AT26" t="str">
        <f t="shared" si="14"/>
        <v>長い下ヒゲ(反発)</v>
      </c>
      <c r="AU26">
        <f t="shared" si="21"/>
        <v>-2</v>
      </c>
    </row>
    <row r="27" spans="1:47" ht="14.25">
      <c r="A27" s="349" t="str">
        <f>IF(銘柄管理!B133&lt;&gt;"",HYPERLINK("https://kabutan.jp/stock/?code="&amp;銘柄管理!B133,"株探"),"")</f>
        <v>株探</v>
      </c>
      <c r="B27" s="350"/>
      <c r="C27" s="350">
        <f>IF(銘柄管理!B133="","",銘柄管理!B133)</f>
        <v>6327</v>
      </c>
      <c r="D27" s="350" t="str">
        <f>IF(銘柄管理!C133="","",銘柄管理!C133)</f>
        <v>北川精機</v>
      </c>
      <c r="E27" s="351">
        <f>IF(C27&lt;&gt;"",_xll.RssMarket(C27,"現在値"),"")</f>
        <v>5150</v>
      </c>
      <c r="F27" s="351">
        <f>IF(C27&lt;&gt;"",_xll.RssMarket(C27,"始値"),"")</f>
        <v>4720</v>
      </c>
      <c r="G27" s="350">
        <f>IF(C27&lt;&gt;"",終値!F133,"")</f>
        <v>4445</v>
      </c>
      <c r="H27" s="351">
        <f>IF(C27&lt;&gt;"",_xll.RssMarket(C27,"高値"),"")</f>
        <v>5150</v>
      </c>
      <c r="I27" s="351">
        <f>IF(C27&lt;&gt;"",_xll.RssMarket(C27,"安値"),"")</f>
        <v>4450</v>
      </c>
      <c r="J27" s="351">
        <f>IF(C27&lt;&gt;"",_xll.RssMarket(C27,"出来高"),"")</f>
        <v>918200</v>
      </c>
      <c r="K27" s="351">
        <f>IF(C27&lt;&gt;"",_xll.RssMarket(C27,"年初来高値"),"")</f>
        <v>6910</v>
      </c>
      <c r="L27" s="352">
        <f t="shared" si="0"/>
        <v>-25.470332850940665</v>
      </c>
      <c r="M27" s="351">
        <f>IF(C27&lt;&gt;"",IFERROR(AVERAGE(出来高!E133:I133),""),"")</f>
        <v>723380</v>
      </c>
      <c r="N27" s="351">
        <f>IF(C27&lt;&gt;"",IFERROR(AVERAGE(出来高!E133:AC133),""),"")</f>
        <v>781848</v>
      </c>
      <c r="O27" s="353">
        <f t="shared" si="1"/>
        <v>1.2693190301086565</v>
      </c>
      <c r="P27" s="350" t="str">
        <f t="shared" si="2"/>
        <v>普通→</v>
      </c>
      <c r="Q27" s="350" t="str">
        <f t="shared" si="3"/>
        <v>様子見▲</v>
      </c>
      <c r="R27" s="351">
        <f t="shared" si="4"/>
        <v>4738</v>
      </c>
      <c r="S27" s="351">
        <f t="shared" si="5"/>
        <v>5356</v>
      </c>
      <c r="T27" s="350">
        <f t="shared" si="6"/>
        <v>2</v>
      </c>
      <c r="U27" s="350" t="str">
        <f t="shared" si="7"/>
        <v>除外</v>
      </c>
      <c r="V27" s="350" t="str">
        <f t="shared" si="8"/>
        <v>安値圏</v>
      </c>
      <c r="W27" s="354" cm="1">
        <f t="array" ref="W27">IFERROR(100-100/(1+SUMPRODUCT((終値!F133:R133&gt;終値!G133:S133)*(終値!F133:R133-終値!G133:S133))/SUMPRODUCT((終値!F133:R133&lt;終値!G133:S133)*(終値!G133:S133-終値!F133:R133))),50)</f>
        <v>57.315340909090907</v>
      </c>
      <c r="X27" s="355">
        <f>IF(C27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116.13106444461528</v>
      </c>
      <c r="Y27" s="350" t="str">
        <f t="shared" si="9"/>
        <v>相場上昇・見送り | パーフェクト▲ MACD+ RSI:57.3 前日比:+15.9% [安値圏] [2点]</v>
      </c>
      <c r="Z27" s="356">
        <f t="shared" si="10"/>
        <v>15.860517435320585</v>
      </c>
      <c r="AA27" s="350" t="str">
        <f t="shared" si="11"/>
        <v>上昇▲</v>
      </c>
      <c r="AB27" s="351">
        <f>IF(OR(C27="",C27="TOPX",終値!E133=""),"",IFERROR(((終値!E133*0.333)+(終値!F133*0.222)+(終値!G133*0.148)+(終値!H133*0.099)+(終値!I133*0.066))/(0.333+0.222+0.148+0.099+0.066),""))</f>
        <v>4215.380184331796</v>
      </c>
      <c r="AC27" s="351">
        <f>IF(OR(C27="",C27="TOPX",終値!E133=""),"",IFERROR(SUMPRODUCT((終値!E133:AC133)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3861.5053635280087</v>
      </c>
      <c r="AD27" s="350" t="str">
        <f t="shared" si="12"/>
        <v>パーフェクト▲</v>
      </c>
      <c r="AE27" s="350" t="str">
        <f t="shared" si="13"/>
        <v>なし</v>
      </c>
      <c r="AF27" t="str">
        <f>IF(T27="","",IF(銘柄管理!$F$5="上昇▲",IF(AND(AD27="下降トレンド▼",OR(AE27="25日戻り売り★",AE27="5日戻り売り○")),"★逆張り売り",IF(AND(AD27="もみ合い→",OR(AE27="25日戻り売り★",AE27="5日戻り売り○")),"○逆張り売り",IF(W27&gt;=70,IF(Z27&lt;0,"◎反落確認","△過熱・様子見"),"相場上昇・見送り"))),IF(AND(T27&gt;=12,AD27="下降トレンド▼"),"★強い売り",IF(T27&gt;=12,"★強い売り",IF(AND(T27&gt;=8,OR(AE27="25日戻り売り★",AE27="5日戻り売り○")),"◎戻り売り",IF(T27&gt;=10,"○売り候補",IF(T27&gt;=6,"△注目",IF(T27&gt;=3,"様子見","見送り"))))))))</f>
        <v>相場上昇・見送り</v>
      </c>
      <c r="AG27">
        <f t="shared" si="15"/>
        <v>0</v>
      </c>
      <c r="AH27">
        <f t="shared" si="16"/>
        <v>0</v>
      </c>
      <c r="AI27" s="412" cm="1">
        <f t="array" ref="AI27">IF(C27="","",IFERROR((INDEX(終値!$E:$E,MATCH(TEXT(C27,"0"),終値!$A:$A,0))-INDEX(終値!$E:$BL,MATCH(TEXT(C27,"0"),終値!$A:$A,0),$AN$2))/INDEX(終値!$E:$BL,MATCH(TEXT(C27,"0"),終値!$A:$A,0),$AN$2)*100,""))</f>
        <v>92.73952095808383</v>
      </c>
      <c r="AJ27" s="412" cm="1">
        <f t="array" ref="AJ27">IFERROR((終値!$E$5-INDEX(終値!$E$5:$BL$5,1,$AN$2))/INDEX(終値!$E$5:$BL$5,1,$AN$2)*100,"")</f>
        <v>3.4532270246721688</v>
      </c>
      <c r="AK27" s="413">
        <f t="shared" si="17"/>
        <v>89.286293933411656</v>
      </c>
      <c r="AL27" s="411">
        <f t="shared" si="18"/>
        <v>-2</v>
      </c>
      <c r="AO27" s="415" t="str">
        <f t="shared" si="19"/>
        <v>通常</v>
      </c>
      <c r="AP27" s="416">
        <f t="shared" si="20"/>
        <v>0</v>
      </c>
      <c r="AQ27">
        <f>IF(C27&lt;&gt;"",始値!F133,"")</f>
        <v>3975</v>
      </c>
      <c r="AR27">
        <f>IF(C27&lt;&gt;"",高値!F133,"")</f>
        <v>4445</v>
      </c>
      <c r="AS27">
        <f>IF(C27&lt;&gt;"",安値!F133,"")</f>
        <v>3920</v>
      </c>
      <c r="AT27" t="str">
        <f t="shared" si="14"/>
        <v>通常</v>
      </c>
      <c r="AU27">
        <f t="shared" si="21"/>
        <v>0</v>
      </c>
    </row>
    <row r="28" spans="1:47" ht="14.25">
      <c r="A28" s="357" t="str">
        <f>IF(銘柄管理!B135&lt;&gt;"",HYPERLINK("https://kabutan.jp/stock/?code="&amp;銘柄管理!B135,"株探"),"")</f>
        <v>株探</v>
      </c>
      <c r="B28" s="230"/>
      <c r="C28" s="230">
        <f>IF(銘柄管理!B135="","",銘柄管理!B135)</f>
        <v>6232</v>
      </c>
      <c r="D28" s="230" t="str">
        <f>IF(銘柄管理!C135="","",銘柄管理!C135)</f>
        <v>ＡＣＳＬ</v>
      </c>
      <c r="E28" s="358">
        <f>IF(C28&lt;&gt;"",_xll.RssMarket(C28,"現在値"),"")</f>
        <v>1764</v>
      </c>
      <c r="F28" s="358">
        <f>IF(C28&lt;&gt;"",_xll.RssMarket(C28,"始値"),"")</f>
        <v>1865</v>
      </c>
      <c r="G28" s="230">
        <f>IF(C28&lt;&gt;"",終値!F135,"")</f>
        <v>1834</v>
      </c>
      <c r="H28" s="358">
        <f>IF(C28&lt;&gt;"",_xll.RssMarket(C28,"高値"),"")</f>
        <v>1895</v>
      </c>
      <c r="I28" s="358">
        <f>IF(C28&lt;&gt;"",_xll.RssMarket(C28,"安値"),"")</f>
        <v>1761</v>
      </c>
      <c r="J28" s="358">
        <f>IF(C28&lt;&gt;"",_xll.RssMarket(C28,"出来高"),"")</f>
        <v>921600</v>
      </c>
      <c r="K28" s="358">
        <f>IF(C28&lt;&gt;"",_xll.RssMarket(C28,"年初来高値"),"")</f>
        <v>4130</v>
      </c>
      <c r="L28" s="359">
        <f t="shared" si="0"/>
        <v>-57.288135593220332</v>
      </c>
      <c r="M28" s="358">
        <f>IF(C28&lt;&gt;"",IFERROR(AVERAGE(出来高!E135:I135),""),"")</f>
        <v>841720</v>
      </c>
      <c r="N28" s="358">
        <f>IF(C28&lt;&gt;"",IFERROR(AVERAGE(出来高!E135:AC135),""),"")</f>
        <v>1988984</v>
      </c>
      <c r="O28" s="360">
        <f t="shared" si="1"/>
        <v>1.0949009171696051</v>
      </c>
      <c r="P28" s="230" t="str">
        <f t="shared" si="2"/>
        <v>普通→</v>
      </c>
      <c r="Q28" s="230" t="str">
        <f t="shared" si="3"/>
        <v>中立→</v>
      </c>
      <c r="R28" s="358">
        <f t="shared" si="4"/>
        <v>1623</v>
      </c>
      <c r="S28" s="358">
        <f t="shared" si="5"/>
        <v>1835</v>
      </c>
      <c r="T28" s="350">
        <f t="shared" si="6"/>
        <v>16</v>
      </c>
      <c r="U28" s="230" t="str">
        <f t="shared" si="7"/>
        <v>要確認</v>
      </c>
      <c r="V28" s="230" t="str">
        <f t="shared" si="8"/>
        <v>年初来安値圏●</v>
      </c>
      <c r="W28" s="361" cm="1">
        <f t="array" ref="W28">IFERROR(100-100/(1+SUMPRODUCT((終値!F135:R135&gt;終値!G135:S135)*(終値!F135:R135-終値!G135:S135))/SUMPRODUCT((終値!F135:R135&lt;終値!G135:S135)*(終値!G135:S135-終値!F135:R135))),50)</f>
        <v>22.810218978102199</v>
      </c>
      <c r="X28" s="362">
        <f>IF(C28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-146.38499795015787</v>
      </c>
      <c r="Y28" s="230" t="str">
        <f t="shared" si="9"/>
        <v>相場上昇・見送り | 下降トレンド▼ MACD- RSI:22.8 [売られ過ぎ] 前日比:-3.8% [年初来安値圏] [大陰線▼] [16点]</v>
      </c>
      <c r="Z28" s="363">
        <f t="shared" si="10"/>
        <v>-3.8167938931297711</v>
      </c>
      <c r="AA28" s="230" t="str">
        <f t="shared" si="11"/>
        <v>下落▼</v>
      </c>
      <c r="AB28" s="358">
        <f>IF(OR(C28="",C28="TOPX",終値!E135=""),"",IFERROR(((終値!E135*0.333)+(終値!F135*0.222)+(終値!G135*0.148)+(終値!H135*0.099)+(終値!I135*0.066))/(0.333+0.222+0.148+0.099+0.066),""))</f>
        <v>1800.3778801843316</v>
      </c>
      <c r="AC28" s="358">
        <f>IF(OR(C28="",C28="TOPX",終値!E135=""),"",IFERROR(SUMPRODUCT((終値!E135:AC135)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2183.0786650774721</v>
      </c>
      <c r="AD28" s="230" t="str">
        <f t="shared" si="12"/>
        <v>下降トレンド▼</v>
      </c>
      <c r="AE28" s="230" t="str">
        <f t="shared" si="13"/>
        <v>なし</v>
      </c>
      <c r="AF28" t="str">
        <f>IF(T28="","",IF(銘柄管理!$F$5="上昇▲",IF(AND(AD28="下降トレンド▼",OR(AE28="25日戻り売り★",AE28="5日戻り売り○")),"★逆張り売り",IF(AND(AD28="もみ合い→",OR(AE28="25日戻り売り★",AE28="5日戻り売り○")),"○逆張り売り",IF(W28&gt;=70,IF(Z28&lt;0,"◎反落確認","△過熱・様子見"),"相場上昇・見送り"))),IF(AND(T28&gt;=12,AD28="下降トレンド▼"),"★強い売り",IF(T28&gt;=12,"★強い売り",IF(AND(T28&gt;=8,OR(AE28="25日戻り売り★",AE28="5日戻り売り○")),"◎戻り売り",IF(T28&gt;=10,"○売り候補",IF(T28&gt;=6,"△注目",IF(T28&gt;=3,"様子見","見送り"))))))))</f>
        <v>相場上昇・見送り</v>
      </c>
      <c r="AG28">
        <f t="shared" si="15"/>
        <v>16</v>
      </c>
      <c r="AH28">
        <f t="shared" si="16"/>
        <v>159972</v>
      </c>
      <c r="AI28" s="412" cm="1">
        <f t="array" ref="AI28">IF(C28="","",IFERROR((INDEX(終値!$E:$E,MATCH(TEXT(C28,"0"),終値!$A:$A,0))-INDEX(終値!$E:$BL,MATCH(TEXT(C28,"0"),終値!$A:$A,0),$AN$2))/INDEX(終値!$E:$BL,MATCH(TEXT(C28,"0"),終値!$A:$A,0),$AN$2)*100,""))</f>
        <v>-39.815762538382806</v>
      </c>
      <c r="AJ28" s="412" cm="1">
        <f t="array" ref="AJ28">IFERROR((終値!$E$5-INDEX(終値!$E$5:$BL$5,1,$AN$2))/INDEX(終値!$E$5:$BL$5,1,$AN$2)*100,"")</f>
        <v>3.4532270246721688</v>
      </c>
      <c r="AK28" s="413">
        <f t="shared" si="17"/>
        <v>-43.268989563054973</v>
      </c>
      <c r="AL28" s="411">
        <f t="shared" si="18"/>
        <v>3</v>
      </c>
      <c r="AO28" s="415" t="str">
        <f t="shared" si="19"/>
        <v>大陰線▼</v>
      </c>
      <c r="AP28" s="416">
        <f t="shared" si="20"/>
        <v>2</v>
      </c>
      <c r="AQ28">
        <f>IF(C28&lt;&gt;"",始値!F135,"")</f>
        <v>1834</v>
      </c>
      <c r="AR28">
        <f>IF(C28&lt;&gt;"",高値!F135,"")</f>
        <v>1879</v>
      </c>
      <c r="AS28">
        <f>IF(C28&lt;&gt;"",安値!F135,"")</f>
        <v>1782</v>
      </c>
      <c r="AT28" t="str">
        <f t="shared" si="14"/>
        <v>通常</v>
      </c>
      <c r="AU28">
        <f t="shared" si="21"/>
        <v>0</v>
      </c>
    </row>
    <row r="29" spans="1:47" ht="14.25">
      <c r="A29" s="349" t="str">
        <f>IF(銘柄管理!B151&lt;&gt;"",HYPERLINK("https://kabutan.jp/stock/?code="&amp;銘柄管理!B151,"株探"),"")</f>
        <v>株探</v>
      </c>
      <c r="B29" s="350"/>
      <c r="C29" s="350">
        <f>IF(銘柄管理!B151="","",銘柄管理!B151)</f>
        <v>6516</v>
      </c>
      <c r="D29" s="350" t="str">
        <f>IF(銘柄管理!C151="","",銘柄管理!C151)</f>
        <v>山洋電気</v>
      </c>
      <c r="E29" s="351">
        <f>IF(C29&lt;&gt;"",_xll.RssMarket(C29,"現在値"),"")</f>
        <v>6780</v>
      </c>
      <c r="F29" s="351">
        <f>IF(C29&lt;&gt;"",_xll.RssMarket(C29,"始値"),"")</f>
        <v>6450</v>
      </c>
      <c r="G29" s="350">
        <f>IF(C29&lt;&gt;"",終値!F151,"")</f>
        <v>6580</v>
      </c>
      <c r="H29" s="351">
        <f>IF(C29&lt;&gt;"",_xll.RssMarket(C29,"高値"),"")</f>
        <v>6810</v>
      </c>
      <c r="I29" s="351">
        <f>IF(C29&lt;&gt;"",_xll.RssMarket(C29,"安値"),"")</f>
        <v>6430</v>
      </c>
      <c r="J29" s="351">
        <f>IF(C29&lt;&gt;"",_xll.RssMarket(C29,"出来高"),"")</f>
        <v>107700</v>
      </c>
      <c r="K29" s="351">
        <f>IF(C29&lt;&gt;"",_xll.RssMarket(C29,"年初来高値"),"")</f>
        <v>7880</v>
      </c>
      <c r="L29" s="352">
        <f t="shared" si="0"/>
        <v>-13.959390862944163</v>
      </c>
      <c r="M29" s="351">
        <f>IF(C29&lt;&gt;"",IFERROR(AVERAGE(出来高!E151:I151),""),"")</f>
        <v>114380</v>
      </c>
      <c r="N29" s="351">
        <f>IF(C29&lt;&gt;"",IFERROR(AVERAGE(出来高!E151:AC151),""),"")</f>
        <v>166768</v>
      </c>
      <c r="O29" s="353">
        <f t="shared" si="1"/>
        <v>0.94159818150026231</v>
      </c>
      <c r="P29" s="350" t="str">
        <f t="shared" si="2"/>
        <v>減少↓</v>
      </c>
      <c r="Q29" s="350" t="str">
        <f t="shared" si="3"/>
        <v>様子見▲</v>
      </c>
      <c r="R29" s="351">
        <f t="shared" si="4"/>
        <v>6238</v>
      </c>
      <c r="S29" s="351">
        <f t="shared" si="5"/>
        <v>7051</v>
      </c>
      <c r="T29" s="350">
        <f t="shared" si="6"/>
        <v>5</v>
      </c>
      <c r="U29" s="350" t="str">
        <f t="shared" si="7"/>
        <v>要確認</v>
      </c>
      <c r="V29" s="350" t="str">
        <f t="shared" si="8"/>
        <v>通常</v>
      </c>
      <c r="W29" s="354" cm="1">
        <f t="array" ref="W29">IFERROR(100-100/(1+SUMPRODUCT((終値!F151:R151&gt;終値!G151:S151)*(終値!F151:R151-終値!G151:S151))/SUMPRODUCT((終値!F151:R151&lt;終値!G151:S151)*(終値!G151:S151-終値!F151:R151))),50)</f>
        <v>38.048780487804876</v>
      </c>
      <c r="X29" s="355">
        <f>IF(C29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-86.109202790966265</v>
      </c>
      <c r="Y29" s="350" t="str">
        <f t="shared" si="9"/>
        <v>相場上昇・見送り | 上昇トレンド▲ MACD- RSI:38.0 前日比:+3.0% [5点]</v>
      </c>
      <c r="Z29" s="356">
        <f t="shared" si="10"/>
        <v>3.0395136778115504</v>
      </c>
      <c r="AA29" s="350" t="str">
        <f t="shared" si="11"/>
        <v>上昇▲</v>
      </c>
      <c r="AB29" s="351">
        <f>IF(OR(C29="",C29="TOPX",終値!E151=""),"",IFERROR(((終値!E151*0.333)+(終値!F151*0.222)+(終値!G151*0.148)+(終値!H151*0.099)+(終値!I151*0.066))/(0.333+0.222+0.148+0.099+0.066),""))</f>
        <v>6543.6059907834087</v>
      </c>
      <c r="AC29" s="351">
        <f>IF(OR(C29="",C29="TOPX",終値!E151=""),"",IFERROR(SUMPRODUCT((終値!E151:AC151)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6723.6233611442167</v>
      </c>
      <c r="AD29" s="350" t="str">
        <f t="shared" si="12"/>
        <v>上昇トレンド▲</v>
      </c>
      <c r="AE29" s="350" t="str">
        <f t="shared" si="13"/>
        <v>なし</v>
      </c>
      <c r="AF29" t="str">
        <f>IF(T29="","",IF(銘柄管理!$F$5="上昇▲",IF(AND(AD29="下降トレンド▼",OR(AE29="25日戻り売り★",AE29="5日戻り売り○")),"★逆張り売り",IF(AND(AD29="もみ合い→",OR(AE29="25日戻り売り★",AE29="5日戻り売り○")),"○逆張り売り",IF(W29&gt;=70,IF(Z29&lt;0,"◎反落確認","△過熱・様子見"),"相場上昇・見送り"))),IF(AND(T29&gt;=12,AD29="下降トレンド▼"),"★強い売り",IF(T29&gt;=12,"★強い売り",IF(AND(T29&gt;=8,OR(AE29="25日戻り売り★",AE29="5日戻り売り○")),"◎戻り売り",IF(T29&gt;=10,"○売り候補",IF(T29&gt;=6,"△注目",IF(T29&gt;=3,"様子見","見送り"))))))))</f>
        <v>相場上昇・見送り</v>
      </c>
      <c r="AG29">
        <f t="shared" si="15"/>
        <v>0</v>
      </c>
      <c r="AH29">
        <f t="shared" si="16"/>
        <v>0</v>
      </c>
      <c r="AI29" s="412" cm="1">
        <f t="array" ref="AI29">IF(C29="","",IFERROR((INDEX(終値!$E:$E,MATCH(TEXT(C29,"0"),終値!$A:$A,0))-INDEX(終値!$E:$BL,MATCH(TEXT(C29,"0"),終値!$A:$A,0),$AN$2))/INDEX(終値!$E:$BL,MATCH(TEXT(C29,"0"),終値!$A:$A,0),$AN$2)*100,""))</f>
        <v>-9.479305740987984</v>
      </c>
      <c r="AJ29" s="412" cm="1">
        <f t="array" ref="AJ29">IFERROR((終値!$E$5-INDEX(終値!$E$5:$BL$5,1,$AN$2))/INDEX(終値!$E$5:$BL$5,1,$AN$2)*100,"")</f>
        <v>3.4532270246721688</v>
      </c>
      <c r="AK29" s="413">
        <f t="shared" si="17"/>
        <v>-12.932532765660152</v>
      </c>
      <c r="AL29" s="411">
        <f t="shared" si="18"/>
        <v>3</v>
      </c>
      <c r="AO29" s="415" t="str">
        <f t="shared" si="19"/>
        <v>通常</v>
      </c>
      <c r="AP29" s="416">
        <f t="shared" si="20"/>
        <v>0</v>
      </c>
      <c r="AQ29">
        <f>IF(C29&lt;&gt;"",始値!F151,"")</f>
        <v>6600</v>
      </c>
      <c r="AR29">
        <f>IF(C29&lt;&gt;"",高値!F151,"")</f>
        <v>6720</v>
      </c>
      <c r="AS29">
        <f>IF(C29&lt;&gt;"",安値!F151,"")</f>
        <v>6500</v>
      </c>
      <c r="AT29" t="str">
        <f t="shared" si="14"/>
        <v>通常</v>
      </c>
      <c r="AU29">
        <f t="shared" si="21"/>
        <v>0</v>
      </c>
    </row>
    <row r="30" spans="1:47" ht="14.25">
      <c r="A30" s="357" t="str">
        <f>IF(銘柄管理!B154&lt;&gt;"",HYPERLINK("https://kabutan.jp/stock/?code="&amp;銘柄管理!B154,"株探"),"")</f>
        <v>株探</v>
      </c>
      <c r="B30" s="230"/>
      <c r="C30" s="230">
        <f>IF(銘柄管理!B154="","",銘柄管理!B154)</f>
        <v>6981</v>
      </c>
      <c r="D30" s="230" t="str">
        <f>IF(銘柄管理!C154="","",銘柄管理!C154)</f>
        <v>村田製作所</v>
      </c>
      <c r="E30" s="358">
        <f>IF(C30&lt;&gt;"",_xll.RssMarket(C30,"現在値"),"")</f>
        <v>10865</v>
      </c>
      <c r="F30" s="358">
        <f>IF(C30&lt;&gt;"",_xll.RssMarket(C30,"始値"),"")</f>
        <v>10230</v>
      </c>
      <c r="G30" s="230">
        <f>IF(C30&lt;&gt;"",終値!F154,"")</f>
        <v>10530</v>
      </c>
      <c r="H30" s="358">
        <f>IF(C30&lt;&gt;"",_xll.RssMarket(C30,"高値"),"")</f>
        <v>11095</v>
      </c>
      <c r="I30" s="358">
        <f>IF(C30&lt;&gt;"",_xll.RssMarket(C30,"安値"),"")</f>
        <v>10200</v>
      </c>
      <c r="J30" s="358">
        <f>IF(C30&lt;&gt;"",_xll.RssMarket(C30,"出来高"),"")</f>
        <v>31784100</v>
      </c>
      <c r="K30" s="358">
        <f>IF(C30&lt;&gt;"",_xll.RssMarket(C30,"年初来高値"),"")</f>
        <v>11125</v>
      </c>
      <c r="L30" s="359">
        <f t="shared" si="0"/>
        <v>-2.3370786516853932</v>
      </c>
      <c r="M30" s="358">
        <f>IF(C30&lt;&gt;"",IFERROR(AVERAGE(出来高!E154:I154),""),"")</f>
        <v>44834700</v>
      </c>
      <c r="N30" s="358">
        <f>IF(C30&lt;&gt;"",IFERROR(AVERAGE(出来高!E154:AC154),""),"")</f>
        <v>30116508</v>
      </c>
      <c r="O30" s="360">
        <f t="shared" si="1"/>
        <v>0.7089174233350507</v>
      </c>
      <c r="P30" s="230" t="str">
        <f t="shared" si="2"/>
        <v>減少↓</v>
      </c>
      <c r="Q30" s="230" t="str">
        <f t="shared" si="3"/>
        <v>様子見▲</v>
      </c>
      <c r="R30" s="358">
        <f t="shared" si="4"/>
        <v>9996</v>
      </c>
      <c r="S30" s="358">
        <f t="shared" si="5"/>
        <v>11300</v>
      </c>
      <c r="T30" s="350">
        <f t="shared" si="6"/>
        <v>0</v>
      </c>
      <c r="U30" s="230" t="str">
        <f t="shared" si="7"/>
        <v>除外</v>
      </c>
      <c r="V30" s="230" t="str">
        <f t="shared" si="8"/>
        <v>通常</v>
      </c>
      <c r="W30" s="361" cm="1">
        <f t="array" ref="W30">IFERROR(100-100/(1+SUMPRODUCT((終値!F154:R154&gt;終値!G154:S154)*(終値!F154:R154-終値!G154:S154))/SUMPRODUCT((終値!F154:R154&lt;終値!G154:S154)*(終値!G154:S154-終値!F154:R154))),50)</f>
        <v>66.896103896103895</v>
      </c>
      <c r="X30" s="362">
        <f>IF(C30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427.93958541468783</v>
      </c>
      <c r="Y30" s="230" t="str">
        <f t="shared" si="9"/>
        <v>相場上昇・見送り | パーフェクト▲ MACD+ RSI:66.9 前日比:+3.2% [0点]</v>
      </c>
      <c r="Z30" s="363">
        <f t="shared" si="10"/>
        <v>3.1813865147198479</v>
      </c>
      <c r="AA30" s="230" t="str">
        <f t="shared" si="11"/>
        <v>上昇▲</v>
      </c>
      <c r="AB30" s="358">
        <f>IF(OR(C30="",C30="TOPX",終値!E154=""),"",IFERROR(((終値!E154*0.333)+(終値!F154*0.222)+(終値!G154*0.148)+(終値!H154*0.099)+(終値!I154*0.066))/(0.333+0.222+0.148+0.099+0.066),""))</f>
        <v>10000.721198156682</v>
      </c>
      <c r="AC30" s="358">
        <f>IF(OR(C30="",C30="TOPX",終値!E154=""),"",IFERROR(SUMPRODUCT((終値!E154:AC154)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8946.3635280095332</v>
      </c>
      <c r="AD30" s="230" t="str">
        <f t="shared" si="12"/>
        <v>パーフェクト▲</v>
      </c>
      <c r="AE30" s="230" t="str">
        <f t="shared" si="13"/>
        <v>なし</v>
      </c>
      <c r="AF30" t="str">
        <f>IF(T30="","",IF(銘柄管理!$F$5="上昇▲",IF(AND(AD30="下降トレンド▼",OR(AE30="25日戻り売り★",AE30="5日戻り売り○")),"★逆張り売り",IF(AND(AD30="もみ合い→",OR(AE30="25日戻り売り★",AE30="5日戻り売り○")),"○逆張り売り",IF(W30&gt;=70,IF(Z30&lt;0,"◎反落確認","△過熱・様子見"),"相場上昇・見送り"))),IF(AND(T30&gt;=12,AD30="下降トレンド▼"),"★強い売り",IF(T30&gt;=12,"★強い売り",IF(AND(T30&gt;=8,OR(AE30="25日戻り売り★",AE30="5日戻り売り○")),"◎戻り売り",IF(T30&gt;=10,"○売り候補",IF(T30&gt;=6,"△注目",IF(T30&gt;=3,"様子見","見送り"))))))))</f>
        <v>相場上昇・見送り</v>
      </c>
      <c r="AG30">
        <f t="shared" si="15"/>
        <v>0</v>
      </c>
      <c r="AH30">
        <f t="shared" si="16"/>
        <v>0</v>
      </c>
      <c r="AI30" s="412" cm="1">
        <f t="array" ref="AI30">IF(C30="","",IFERROR((INDEX(終値!$E:$E,MATCH(TEXT(C30,"0"),終値!$A:$A,0))-INDEX(終値!$E:$BL,MATCH(TEXT(C30,"0"),終値!$A:$A,0),$AN$2))/INDEX(終値!$E:$BL,MATCH(TEXT(C30,"0"),終値!$A:$A,0),$AN$2)*100,""))</f>
        <v>71.399274333491093</v>
      </c>
      <c r="AJ30" s="412" cm="1">
        <f t="array" ref="AJ30">IFERROR((終値!$E$5-INDEX(終値!$E$5:$BL$5,1,$AN$2))/INDEX(終値!$E$5:$BL$5,1,$AN$2)*100,"")</f>
        <v>3.4532270246721688</v>
      </c>
      <c r="AK30" s="413">
        <f t="shared" si="17"/>
        <v>67.946047308818919</v>
      </c>
      <c r="AL30" s="411">
        <f t="shared" si="18"/>
        <v>-2</v>
      </c>
      <c r="AO30" s="415" t="str">
        <f t="shared" si="19"/>
        <v>通常</v>
      </c>
      <c r="AP30" s="416">
        <f t="shared" si="20"/>
        <v>0</v>
      </c>
      <c r="AQ30">
        <f>IF(C30&lt;&gt;"",始値!F154,"")</f>
        <v>10560</v>
      </c>
      <c r="AR30">
        <f>IF(C30&lt;&gt;"",高値!F154,"")</f>
        <v>10995</v>
      </c>
      <c r="AS30">
        <f>IF(C30&lt;&gt;"",安値!F154,"")</f>
        <v>10320</v>
      </c>
      <c r="AT30" t="str">
        <f t="shared" si="14"/>
        <v>通常</v>
      </c>
      <c r="AU30">
        <f t="shared" si="21"/>
        <v>0</v>
      </c>
    </row>
    <row r="31" spans="1:47" ht="14.25">
      <c r="A31" s="349" t="str">
        <f>IF(銘柄管理!B155&lt;&gt;"",HYPERLINK("https://kabutan.jp/stock/?code="&amp;銘柄管理!B155,"株探"),"")</f>
        <v>株探</v>
      </c>
      <c r="B31" s="350"/>
      <c r="C31" s="350">
        <f>IF(銘柄管理!B155="","",銘柄管理!B155)</f>
        <v>6754</v>
      </c>
      <c r="D31" s="350" t="str">
        <f>IF(銘柄管理!C155="","",銘柄管理!C155)</f>
        <v>アンリツ</v>
      </c>
      <c r="E31" s="351">
        <f>IF(C31&lt;&gt;"",_xll.RssMarket(C31,"現在値"),"")</f>
        <v>4122</v>
      </c>
      <c r="F31" s="351">
        <f>IF(C31&lt;&gt;"",_xll.RssMarket(C31,"始値"),"")</f>
        <v>4001</v>
      </c>
      <c r="G31" s="350">
        <f>IF(C31&lt;&gt;"",終値!F155,"")</f>
        <v>4096</v>
      </c>
      <c r="H31" s="351">
        <f>IF(C31&lt;&gt;"",_xll.RssMarket(C31,"高値"),"")</f>
        <v>4123</v>
      </c>
      <c r="I31" s="351">
        <f>IF(C31&lt;&gt;"",_xll.RssMarket(C31,"安値"),"")</f>
        <v>3968</v>
      </c>
      <c r="J31" s="351">
        <f>IF(C31&lt;&gt;"",_xll.RssMarket(C31,"出来高"),"")</f>
        <v>1091000</v>
      </c>
      <c r="K31" s="351">
        <f>IF(C31&lt;&gt;"",_xll.RssMarket(C31,"年初来高値"),"")</f>
        <v>4855</v>
      </c>
      <c r="L31" s="352">
        <f t="shared" si="0"/>
        <v>-15.097837281153451</v>
      </c>
      <c r="M31" s="351">
        <f>IF(C31&lt;&gt;"",IFERROR(AVERAGE(出来高!E155:I155),""),"")</f>
        <v>1952260</v>
      </c>
      <c r="N31" s="351">
        <f>IF(C31&lt;&gt;"",IFERROR(AVERAGE(出来高!E155:AC155),""),"")</f>
        <v>1911028</v>
      </c>
      <c r="O31" s="353">
        <f t="shared" si="1"/>
        <v>0.55883949883724504</v>
      </c>
      <c r="P31" s="350" t="str">
        <f t="shared" si="2"/>
        <v>減少↓</v>
      </c>
      <c r="Q31" s="350" t="str">
        <f t="shared" si="3"/>
        <v>様子見▲</v>
      </c>
      <c r="R31" s="351">
        <f t="shared" si="4"/>
        <v>3792</v>
      </c>
      <c r="S31" s="351">
        <f t="shared" si="5"/>
        <v>4287</v>
      </c>
      <c r="T31" s="350">
        <f t="shared" si="6"/>
        <v>5</v>
      </c>
      <c r="U31" s="350" t="str">
        <f t="shared" si="7"/>
        <v>要確認</v>
      </c>
      <c r="V31" s="350" t="str">
        <f t="shared" si="8"/>
        <v>通常</v>
      </c>
      <c r="W31" s="354" cm="1">
        <f t="array" ref="W31">IFERROR(100-100/(1+SUMPRODUCT((終値!F155:R155&gt;終値!G155:S155)*(終値!F155:R155-終値!G155:S155))/SUMPRODUCT((終値!F155:R155&lt;終値!G155:S155)*(終値!G155:S155-終値!F155:R155))),50)</f>
        <v>34.857142857142861</v>
      </c>
      <c r="X31" s="355">
        <f>IF(C31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-46.1278981368323</v>
      </c>
      <c r="Y31" s="350" t="str">
        <f t="shared" si="9"/>
        <v>相場上昇・見送り | もみ合い→ MACD- RSI:34.9 前日比:+0.6% [5点]</v>
      </c>
      <c r="Z31" s="356">
        <f t="shared" si="10"/>
        <v>0.634765625</v>
      </c>
      <c r="AA31" s="350" t="str">
        <f t="shared" si="11"/>
        <v>上昇▲</v>
      </c>
      <c r="AB31" s="351">
        <f>IF(OR(C31="",C31="TOPX",終値!E155=""),"",IFERROR(((終値!E155*0.333)+(終値!F155*0.222)+(終値!G155*0.148)+(終値!H155*0.099)+(終値!I155*0.066))/(0.333+0.222+0.148+0.099+0.066),""))</f>
        <v>4024.8145161290322</v>
      </c>
      <c r="AC31" s="351">
        <f>IF(OR(C31="",C31="TOPX",終値!E155=""),"",IFERROR(SUMPRODUCT((終値!E155:AC155)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4301.5959475566133</v>
      </c>
      <c r="AD31" s="350" t="str">
        <f t="shared" si="12"/>
        <v>もみ合い→</v>
      </c>
      <c r="AE31" s="350" t="str">
        <f t="shared" si="13"/>
        <v>なし</v>
      </c>
      <c r="AF31" t="str">
        <f>IF(T31="","",IF(銘柄管理!$F$5="上昇▲",IF(AND(AD31="下降トレンド▼",OR(AE31="25日戻り売り★",AE31="5日戻り売り○")),"★逆張り売り",IF(AND(AD31="もみ合い→",OR(AE31="25日戻り売り★",AE31="5日戻り売り○")),"○逆張り売り",IF(W31&gt;=70,IF(Z31&lt;0,"◎反落確認","△過熱・様子見"),"相場上昇・見送り"))),IF(AND(T31&gt;=12,AD31="下降トレンド▼"),"★強い売り",IF(T31&gt;=12,"★強い売り",IF(AND(T31&gt;=8,OR(AE31="25日戻り売り★",AE31="5日戻り売り○")),"◎戻り売り",IF(T31&gt;=10,"○売り候補",IF(T31&gt;=6,"△注目",IF(T31&gt;=3,"様子見","見送り"))))))))</f>
        <v>相場上昇・見送り</v>
      </c>
      <c r="AG31">
        <f t="shared" si="15"/>
        <v>0</v>
      </c>
      <c r="AH31">
        <f t="shared" si="16"/>
        <v>0</v>
      </c>
      <c r="AI31" s="412" cm="1">
        <f t="array" ref="AI31">IF(C31="","",IFERROR((INDEX(終値!$E:$E,MATCH(TEXT(C31,"0"),終値!$A:$A,0))-INDEX(終値!$E:$BL,MATCH(TEXT(C31,"0"),終値!$A:$A,0),$AN$2))/INDEX(終値!$E:$BL,MATCH(TEXT(C31,"0"),終値!$A:$A,0),$AN$2)*100,""))</f>
        <v>-0.53088803088803083</v>
      </c>
      <c r="AJ31" s="412" cm="1">
        <f t="array" ref="AJ31">IFERROR((終値!$E$5-INDEX(終値!$E$5:$BL$5,1,$AN$2))/INDEX(終値!$E$5:$BL$5,1,$AN$2)*100,"")</f>
        <v>3.4532270246721688</v>
      </c>
      <c r="AK31" s="413">
        <f t="shared" si="17"/>
        <v>-3.9841150555601996</v>
      </c>
      <c r="AL31" s="411">
        <f t="shared" si="18"/>
        <v>1</v>
      </c>
      <c r="AO31" s="415" t="str">
        <f t="shared" si="19"/>
        <v>通常</v>
      </c>
      <c r="AP31" s="416">
        <f t="shared" si="20"/>
        <v>0</v>
      </c>
      <c r="AQ31">
        <f>IF(C31&lt;&gt;"",始値!F155,"")</f>
        <v>3947</v>
      </c>
      <c r="AR31">
        <f>IF(C31&lt;&gt;"",高値!F155,"")</f>
        <v>4156</v>
      </c>
      <c r="AS31">
        <f>IF(C31&lt;&gt;"",安値!F155,"")</f>
        <v>3935</v>
      </c>
      <c r="AT31" t="str">
        <f t="shared" si="14"/>
        <v>通常</v>
      </c>
      <c r="AU31">
        <f t="shared" si="21"/>
        <v>0</v>
      </c>
    </row>
    <row r="32" spans="1:47" ht="14.25">
      <c r="A32" s="357" t="str">
        <f>IF(銘柄管理!B175&lt;&gt;"",HYPERLINK("https://kabutan.jp/stock/?code="&amp;銘柄管理!B175,"株探"),"")</f>
        <v>株探</v>
      </c>
      <c r="B32" s="230"/>
      <c r="C32" s="230">
        <f>IF(銘柄管理!B175="","",銘柄管理!B175)</f>
        <v>1942</v>
      </c>
      <c r="D32" s="230" t="str">
        <f>IF(銘柄管理!C175="","",銘柄管理!C175)</f>
        <v>関電工</v>
      </c>
      <c r="E32" s="358">
        <f>IF(C32&lt;&gt;"",_xll.RssMarket(C32,"現在値"),"")</f>
        <v>6467</v>
      </c>
      <c r="F32" s="358">
        <f>IF(C32&lt;&gt;"",_xll.RssMarket(C32,"始値"),"")</f>
        <v>6400</v>
      </c>
      <c r="G32" s="230">
        <f>IF(C32&lt;&gt;"",終値!F175,"")</f>
        <v>6237</v>
      </c>
      <c r="H32" s="358">
        <f>IF(C32&lt;&gt;"",_xll.RssMarket(C32,"高値"),"")</f>
        <v>6500</v>
      </c>
      <c r="I32" s="358">
        <f>IF(C32&lt;&gt;"",_xll.RssMarket(C32,"安値"),"")</f>
        <v>6388</v>
      </c>
      <c r="J32" s="358">
        <f>IF(C32&lt;&gt;"",_xll.RssMarket(C32,"出来高"),"")</f>
        <v>836500</v>
      </c>
      <c r="K32" s="358">
        <f>IF(C32&lt;&gt;"",_xll.RssMarket(C32,"年初来高値"),"")</f>
        <v>7460</v>
      </c>
      <c r="L32" s="359">
        <f t="shared" si="0"/>
        <v>-13.310991957104557</v>
      </c>
      <c r="M32" s="358">
        <f>IF(C32&lt;&gt;"",IFERROR(AVERAGE(出来高!E175:I175),""),"")</f>
        <v>976260</v>
      </c>
      <c r="N32" s="358">
        <f>IF(C32&lt;&gt;"",IFERROR(AVERAGE(出来高!E175:AC175),""),"")</f>
        <v>1128220</v>
      </c>
      <c r="O32" s="360">
        <f t="shared" si="1"/>
        <v>0.85684141519677137</v>
      </c>
      <c r="P32" s="230" t="str">
        <f t="shared" si="2"/>
        <v>減少↓</v>
      </c>
      <c r="Q32" s="230" t="str">
        <f t="shared" si="3"/>
        <v>様子見▲</v>
      </c>
      <c r="R32" s="358">
        <f t="shared" si="4"/>
        <v>5950</v>
      </c>
      <c r="S32" s="358">
        <f t="shared" si="5"/>
        <v>6726</v>
      </c>
      <c r="T32" s="350">
        <f t="shared" si="6"/>
        <v>5</v>
      </c>
      <c r="U32" s="230" t="str">
        <f t="shared" si="7"/>
        <v>要確認</v>
      </c>
      <c r="V32" s="230" t="str">
        <f t="shared" si="8"/>
        <v>通常</v>
      </c>
      <c r="W32" s="361" cm="1">
        <f t="array" ref="W32">IFERROR(100-100/(1+SUMPRODUCT((終値!F175:R175&gt;終値!G175:S175)*(終値!F175:R175-終値!G175:S175))/SUMPRODUCT((終値!F175:R175&lt;終値!G175:S175)*(終値!G175:S175-終値!F175:R175))),50)</f>
        <v>44.608100999473955</v>
      </c>
      <c r="X32" s="362">
        <f>IF(C32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-70.312264417544611</v>
      </c>
      <c r="Y32" s="230" t="str">
        <f t="shared" si="9"/>
        <v>相場上昇・見送り | パーフェクト▲ MACD- RSI:44.6 前日比:+3.7% [5点]</v>
      </c>
      <c r="Z32" s="363">
        <f t="shared" si="10"/>
        <v>3.6876703543370208</v>
      </c>
      <c r="AA32" s="230" t="str">
        <f t="shared" si="11"/>
        <v>上昇▲</v>
      </c>
      <c r="AB32" s="358">
        <f>IF(OR(C32="",C32="TOPX",終値!E175=""),"",IFERROR(((終値!E175*0.333)+(終値!F175*0.222)+(終値!G175*0.148)+(終値!H175*0.099)+(終値!I175*0.066))/(0.333+0.222+0.148+0.099+0.066),""))</f>
        <v>6173.4308755760367</v>
      </c>
      <c r="AC32" s="358">
        <f>IF(OR(C32="",C32="TOPX",終値!E175=""),"",IFERROR(SUMPRODUCT((終値!E175:AC175)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6154.261025029793</v>
      </c>
      <c r="AD32" s="230" t="str">
        <f t="shared" si="12"/>
        <v>パーフェクト▲</v>
      </c>
      <c r="AE32" s="230" t="str">
        <f t="shared" si="13"/>
        <v>なし</v>
      </c>
      <c r="AF32" t="str">
        <f>IF(T32="","",IF(銘柄管理!$F$5="上昇▲",IF(AND(AD32="下降トレンド▼",OR(AE32="25日戻り売り★",AE32="5日戻り売り○")),"★逆張り売り",IF(AND(AD32="もみ合い→",OR(AE32="25日戻り売り★",AE32="5日戻り売り○")),"○逆張り売り",IF(W32&gt;=70,IF(Z32&lt;0,"◎反落確認","△過熱・様子見"),"相場上昇・見送り"))),IF(AND(T32&gt;=12,AD32="下降トレンド▼"),"★強い売り",IF(T32&gt;=12,"★強い売り",IF(AND(T32&gt;=8,OR(AE32="25日戻り売り★",AE32="5日戻り売り○")),"◎戻り売り",IF(T32&gt;=10,"○売り候補",IF(T32&gt;=6,"△注目",IF(T32&gt;=3,"様子見","見送り"))))))))</f>
        <v>相場上昇・見送り</v>
      </c>
      <c r="AG32">
        <f t="shared" si="15"/>
        <v>0</v>
      </c>
      <c r="AH32">
        <f t="shared" si="16"/>
        <v>0</v>
      </c>
      <c r="AI32" s="412" cm="1">
        <f t="array" ref="AI32">IF(C32="","",IFERROR((INDEX(終値!$E:$E,MATCH(TEXT(C32,"0"),終値!$A:$A,0))-INDEX(終値!$E:$BL,MATCH(TEXT(C32,"0"),終値!$A:$A,0),$AN$2))/INDEX(終値!$E:$BL,MATCH(TEXT(C32,"0"),終値!$A:$A,0),$AN$2)*100,""))</f>
        <v>-6.6676288064655793</v>
      </c>
      <c r="AJ32" s="412" cm="1">
        <f t="array" ref="AJ32">IFERROR((終値!$E$5-INDEX(終値!$E$5:$BL$5,1,$AN$2))/INDEX(終値!$E$5:$BL$5,1,$AN$2)*100,"")</f>
        <v>3.4532270246721688</v>
      </c>
      <c r="AK32" s="413">
        <f t="shared" si="17"/>
        <v>-10.120855831137748</v>
      </c>
      <c r="AL32" s="411">
        <f t="shared" si="18"/>
        <v>3</v>
      </c>
      <c r="AO32" s="415" t="str">
        <f t="shared" si="19"/>
        <v>通常</v>
      </c>
      <c r="AP32" s="416">
        <f t="shared" si="20"/>
        <v>0</v>
      </c>
      <c r="AQ32">
        <f>IF(C32&lt;&gt;"",始値!F175,"")</f>
        <v>6320</v>
      </c>
      <c r="AR32">
        <f>IF(C32&lt;&gt;"",高値!F175,"")</f>
        <v>6320</v>
      </c>
      <c r="AS32">
        <f>IF(C32&lt;&gt;"",安値!F175,"")</f>
        <v>6185</v>
      </c>
      <c r="AT32" t="str">
        <f t="shared" si="14"/>
        <v>通常</v>
      </c>
      <c r="AU32">
        <f t="shared" si="21"/>
        <v>0</v>
      </c>
    </row>
    <row r="33" spans="1:47" ht="14.25">
      <c r="A33" s="349" t="str">
        <f>IF(銘柄管理!B195&lt;&gt;"",HYPERLINK("https://kabutan.jp/stock/?code="&amp;銘柄管理!B195,"株探"),"")</f>
        <v>株探</v>
      </c>
      <c r="B33" s="350"/>
      <c r="C33" s="350">
        <f>IF(銘柄管理!B195="","",銘柄管理!B195)</f>
        <v>6890</v>
      </c>
      <c r="D33" s="350" t="str">
        <f>IF(銘柄管理!C195="","",銘柄管理!C195)</f>
        <v>フェローテック</v>
      </c>
      <c r="E33" s="351">
        <f>IF(C33&lt;&gt;"",_xll.RssMarket(C33,"現在値"),"")</f>
        <v>9440</v>
      </c>
      <c r="F33" s="351">
        <f>IF(C33&lt;&gt;"",_xll.RssMarket(C33,"始値"),"")</f>
        <v>9020</v>
      </c>
      <c r="G33" s="350">
        <f>IF(C33&lt;&gt;"",終値!F195,"")</f>
        <v>9300</v>
      </c>
      <c r="H33" s="351">
        <f>IF(C33&lt;&gt;"",_xll.RssMarket(C33,"高値"),"")</f>
        <v>9500</v>
      </c>
      <c r="I33" s="351">
        <f>IF(C33&lt;&gt;"",_xll.RssMarket(C33,"安値"),"")</f>
        <v>8990</v>
      </c>
      <c r="J33" s="351">
        <f>IF(C33&lt;&gt;"",_xll.RssMarket(C33,"出来高"),"")</f>
        <v>602200</v>
      </c>
      <c r="K33" s="351">
        <f>IF(C33&lt;&gt;"",_xll.RssMarket(C33,"年初来高値"),"")</f>
        <v>10430</v>
      </c>
      <c r="L33" s="352">
        <f t="shared" si="0"/>
        <v>-9.4918504314477481</v>
      </c>
      <c r="M33" s="351">
        <f>IF(C33&lt;&gt;"",IFERROR(AVERAGE(出来高!E195:I195),""),"")</f>
        <v>835560</v>
      </c>
      <c r="N33" s="351">
        <f>IF(C33&lt;&gt;"",IFERROR(AVERAGE(出来高!E195:AC195),""),"")</f>
        <v>1167128</v>
      </c>
      <c r="O33" s="353">
        <f t="shared" si="1"/>
        <v>0.72071425151993873</v>
      </c>
      <c r="P33" s="350" t="str">
        <f t="shared" si="2"/>
        <v>減少↓</v>
      </c>
      <c r="Q33" s="350" t="str">
        <f t="shared" si="3"/>
        <v>様子見▲</v>
      </c>
      <c r="R33" s="351">
        <f t="shared" si="4"/>
        <v>8685</v>
      </c>
      <c r="S33" s="351">
        <f t="shared" si="5"/>
        <v>9818</v>
      </c>
      <c r="T33" s="350">
        <f t="shared" si="6"/>
        <v>6</v>
      </c>
      <c r="U33" s="350" t="str">
        <f t="shared" si="7"/>
        <v>要確認</v>
      </c>
      <c r="V33" s="350" t="str">
        <f t="shared" si="8"/>
        <v>通常</v>
      </c>
      <c r="W33" s="354" cm="1">
        <f t="array" ref="W33">IFERROR(100-100/(1+SUMPRODUCT((終値!F195:R195&gt;終値!G195:S195)*(終値!F195:R195-終値!G195:S195))/SUMPRODUCT((終値!F195:R195&lt;終値!G195:S195)*(終値!G195:S195-終値!F195:R195))),50)</f>
        <v>50.743494423791823</v>
      </c>
      <c r="X33" s="355">
        <f>IF(C33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-21.724533213391624</v>
      </c>
      <c r="Y33" s="350" t="str">
        <f t="shared" si="9"/>
        <v>相場上昇・見送り | パーフェクト▲ MACD- RSI:50.7 前日比:+1.5% [6点]</v>
      </c>
      <c r="Z33" s="356">
        <f t="shared" si="10"/>
        <v>1.5053763440860215</v>
      </c>
      <c r="AA33" s="350" t="str">
        <f t="shared" si="11"/>
        <v>上昇▲</v>
      </c>
      <c r="AB33" s="351">
        <f>IF(OR(C33="",C33="TOPX",終値!E195=""),"",IFERROR(((終値!E195*0.333)+(終値!F195*0.222)+(終値!G195*0.148)+(終値!H195*0.099)+(終値!I195*0.066))/(0.333+0.222+0.148+0.099+0.066),""))</f>
        <v>9056.5207373271878</v>
      </c>
      <c r="AC33" s="351">
        <f>IF(OR(C33="",C33="TOPX",終値!E195=""),"",IFERROR(SUMPRODUCT((終値!E195:AC195)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8745.7926102502934</v>
      </c>
      <c r="AD33" s="350" t="str">
        <f t="shared" si="12"/>
        <v>パーフェクト▲</v>
      </c>
      <c r="AE33" s="350" t="str">
        <f t="shared" si="13"/>
        <v>なし</v>
      </c>
      <c r="AF33" t="str">
        <f>IF(T33="","",IF(銘柄管理!$F$5="上昇▲",IF(AND(AD33="下降トレンド▼",OR(AE33="25日戻り売り★",AE33="5日戻り売り○")),"★逆張り売り",IF(AND(AD33="もみ合い→",OR(AE33="25日戻り売り★",AE33="5日戻り売り○")),"○逆張り売り",IF(W33&gt;=70,IF(Z33&lt;0,"◎反落確認","△過熱・様子見"),"相場上昇・見送り"))),IF(AND(T33&gt;=12,AD33="下降トレンド▼"),"★強い売り",IF(T33&gt;=12,"★強い売り",IF(AND(T33&gt;=8,OR(AE33="25日戻り売り★",AE33="5日戻り売り○")),"◎戻り売り",IF(T33&gt;=10,"○売り候補",IF(T33&gt;=6,"△注目",IF(T33&gt;=3,"様子見","見送り"))))))))</f>
        <v>相場上昇・見送り</v>
      </c>
      <c r="AG33">
        <f t="shared" si="15"/>
        <v>0</v>
      </c>
      <c r="AH33">
        <f t="shared" si="16"/>
        <v>0</v>
      </c>
      <c r="AI33" s="412" cm="1">
        <f t="array" ref="AI33">IF(C33="","",IFERROR((INDEX(終値!$E:$E,MATCH(TEXT(C33,"0"),終値!$A:$A,0))-INDEX(終値!$E:$BL,MATCH(TEXT(C33,"0"),終値!$A:$A,0),$AN$2))/INDEX(終値!$E:$BL,MATCH(TEXT(C33,"0"),終値!$A:$A,0),$AN$2)*100,""))</f>
        <v>-3.6734693877551026</v>
      </c>
      <c r="AJ33" s="412" cm="1">
        <f t="array" ref="AJ33">IFERROR((終値!$E$5-INDEX(終値!$E$5:$BL$5,1,$AN$2))/INDEX(終値!$E$5:$BL$5,1,$AN$2)*100,"")</f>
        <v>3.4532270246721688</v>
      </c>
      <c r="AK33" s="413">
        <f t="shared" si="17"/>
        <v>-7.1266964124272718</v>
      </c>
      <c r="AL33" s="411">
        <f t="shared" si="18"/>
        <v>3</v>
      </c>
      <c r="AO33" s="415" t="str">
        <f t="shared" si="19"/>
        <v>通常</v>
      </c>
      <c r="AP33" s="416">
        <f t="shared" si="20"/>
        <v>0</v>
      </c>
      <c r="AQ33">
        <f>IF(C33&lt;&gt;"",始値!F195,"")</f>
        <v>9210</v>
      </c>
      <c r="AR33">
        <f>IF(C33&lt;&gt;"",高値!F195,"")</f>
        <v>9600</v>
      </c>
      <c r="AS33">
        <f>IF(C33&lt;&gt;"",安値!F195,"")</f>
        <v>9010</v>
      </c>
      <c r="AT33" t="str">
        <f t="shared" si="14"/>
        <v>通常</v>
      </c>
      <c r="AU33">
        <f t="shared" si="21"/>
        <v>0</v>
      </c>
    </row>
    <row r="34" spans="1:47" ht="14.25">
      <c r="A34" s="357" t="str">
        <f>IF(銘柄管理!B196&lt;&gt;"",HYPERLINK("https://kabutan.jp/stock/?code="&amp;銘柄管理!B196,"株探"),"")</f>
        <v>株探</v>
      </c>
      <c r="B34" s="230"/>
      <c r="C34" s="230">
        <f>IF(銘柄管理!B196="","",銘柄管理!B196)</f>
        <v>4966</v>
      </c>
      <c r="D34" s="230" t="str">
        <f>IF(銘柄管理!C196="","",銘柄管理!C196)</f>
        <v>上村工業</v>
      </c>
      <c r="E34" s="358">
        <f>IF(C34&lt;&gt;"",_xll.RssMarket(C34,"現在値"),"")</f>
        <v>26340</v>
      </c>
      <c r="F34" s="358">
        <f>IF(C34&lt;&gt;"",_xll.RssMarket(C34,"始値"),"")</f>
        <v>26000</v>
      </c>
      <c r="G34" s="230">
        <f>IF(C34&lt;&gt;"",終値!F196,"")</f>
        <v>26410</v>
      </c>
      <c r="H34" s="358">
        <f>IF(C34&lt;&gt;"",_xll.RssMarket(C34,"高値"),"")</f>
        <v>26440</v>
      </c>
      <c r="I34" s="358">
        <f>IF(C34&lt;&gt;"",_xll.RssMarket(C34,"安値"),"")</f>
        <v>25750</v>
      </c>
      <c r="J34" s="358">
        <f>IF(C34&lt;&gt;"",_xll.RssMarket(C34,"出来高"),"")</f>
        <v>32600</v>
      </c>
      <c r="K34" s="358">
        <f>IF(C34&lt;&gt;"",_xll.RssMarket(C34,"年初来高値"),"")</f>
        <v>26960</v>
      </c>
      <c r="L34" s="359">
        <f t="shared" si="0"/>
        <v>-2.2997032640949553</v>
      </c>
      <c r="M34" s="358">
        <f>IF(C34&lt;&gt;"",IFERROR(AVERAGE(出来高!E196:I196),""),"")</f>
        <v>42660</v>
      </c>
      <c r="N34" s="358">
        <f>IF(C34&lt;&gt;"",IFERROR(AVERAGE(出来高!E196:AC196),""),"")</f>
        <v>54956</v>
      </c>
      <c r="O34" s="360">
        <f t="shared" si="1"/>
        <v>0.76418190342240977</v>
      </c>
      <c r="P34" s="230" t="str">
        <f t="shared" si="2"/>
        <v>減少↓</v>
      </c>
      <c r="Q34" s="230" t="str">
        <f t="shared" si="3"/>
        <v>中立→</v>
      </c>
      <c r="R34" s="358">
        <f t="shared" si="4"/>
        <v>24233</v>
      </c>
      <c r="S34" s="358">
        <f t="shared" si="5"/>
        <v>27394</v>
      </c>
      <c r="T34" s="350">
        <f t="shared" si="6"/>
        <v>4</v>
      </c>
      <c r="U34" s="230" t="str">
        <f t="shared" si="7"/>
        <v>要確認</v>
      </c>
      <c r="V34" s="230" t="str">
        <f t="shared" si="8"/>
        <v>通常</v>
      </c>
      <c r="W34" s="361" cm="1">
        <f t="array" ref="W34">IFERROR(100-100/(1+SUMPRODUCT((終値!F196:R196&gt;終値!G196:S196)*(終値!F196:R196-終値!G196:S196))/SUMPRODUCT((終値!F196:R196&lt;終値!G196:S196)*(終値!G196:S196-終値!F196:R196))),50)</f>
        <v>66.710875331564978</v>
      </c>
      <c r="X34" s="362">
        <f>IF(C34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96.776256870954967</v>
      </c>
      <c r="Y34" s="230" t="str">
        <f t="shared" si="9"/>
        <v>相場上昇・見送り | パーフェクト▲ MACD+ RSI:66.7 前日比:-0.3% [4点]</v>
      </c>
      <c r="Z34" s="363">
        <f t="shared" si="10"/>
        <v>-0.26505111700113593</v>
      </c>
      <c r="AA34" s="230" t="str">
        <f t="shared" si="11"/>
        <v>下落▼</v>
      </c>
      <c r="AB34" s="358">
        <f>IF(OR(C34="",C34="TOPX",終値!E196=""),"",IFERROR(((終値!E196*0.333)+(終値!F196*0.222)+(終値!G196*0.148)+(終値!H196*0.099)+(終値!I196*0.066))/(0.333+0.222+0.148+0.099+0.066),""))</f>
        <v>25328.099078341013</v>
      </c>
      <c r="AC34" s="358">
        <f>IF(OR(C34="",C34="TOPX",終値!E196=""),"",IFERROR(SUMPRODUCT((終値!E196:AC196)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23863.635280095343</v>
      </c>
      <c r="AD34" s="230" t="str">
        <f t="shared" si="12"/>
        <v>パーフェクト▲</v>
      </c>
      <c r="AE34" s="230" t="str">
        <f t="shared" si="13"/>
        <v>なし</v>
      </c>
      <c r="AF34" t="str">
        <f>IF(T34="","",IF(銘柄管理!$F$5="上昇▲",IF(AND(AD34="下降トレンド▼",OR(AE34="25日戻り売り★",AE34="5日戻り売り○")),"★逆張り売り",IF(AND(AD34="もみ合い→",OR(AE34="25日戻り売り★",AE34="5日戻り売り○")),"○逆張り売り",IF(W34&gt;=70,IF(Z34&lt;0,"◎反落確認","△過熱・様子見"),"相場上昇・見送り"))),IF(AND(T34&gt;=12,AD34="下降トレンド▼"),"★強い売り",IF(T34&gt;=12,"★強い売り",IF(AND(T34&gt;=8,OR(AE34="25日戻り売り★",AE34="5日戻り売り○")),"◎戻り売り",IF(T34&gt;=10,"○売り候補",IF(T34&gt;=6,"△注目",IF(T34&gt;=3,"様子見","見送り"))))))))</f>
        <v>相場上昇・見送り</v>
      </c>
      <c r="AG34">
        <f t="shared" si="15"/>
        <v>0</v>
      </c>
      <c r="AH34">
        <f t="shared" si="16"/>
        <v>0</v>
      </c>
      <c r="AI34" s="412" cm="1">
        <f t="array" ref="AI34">IF(C34="","",IFERROR((INDEX(終値!$E:$E,MATCH(TEXT(C34,"0"),終値!$A:$A,0))-INDEX(終値!$E:$BL,MATCH(TEXT(C34,"0"),終値!$A:$A,0),$AN$2))/INDEX(終値!$E:$BL,MATCH(TEXT(C34,"0"),終値!$A:$A,0),$AN$2)*100,""))</f>
        <v>2.570093457943925</v>
      </c>
      <c r="AJ34" s="412" cm="1">
        <f t="array" ref="AJ34">IFERROR((終値!$E$5-INDEX(終値!$E$5:$BL$5,1,$AN$2))/INDEX(終値!$E$5:$BL$5,1,$AN$2)*100,"")</f>
        <v>3.4532270246721688</v>
      </c>
      <c r="AK34" s="413">
        <f t="shared" si="17"/>
        <v>-0.88313356672824384</v>
      </c>
      <c r="AL34" s="411">
        <f t="shared" si="18"/>
        <v>1</v>
      </c>
      <c r="AO34" s="415" t="str">
        <f t="shared" si="19"/>
        <v>通常</v>
      </c>
      <c r="AP34" s="416">
        <f t="shared" si="20"/>
        <v>0</v>
      </c>
      <c r="AQ34">
        <f>IF(C34&lt;&gt;"",始値!F196,"")</f>
        <v>26190</v>
      </c>
      <c r="AR34">
        <f>IF(C34&lt;&gt;"",高値!F196,"")</f>
        <v>26620</v>
      </c>
      <c r="AS34">
        <f>IF(C34&lt;&gt;"",安値!F196,"")</f>
        <v>25890</v>
      </c>
      <c r="AT34" t="str">
        <f t="shared" si="14"/>
        <v>通常</v>
      </c>
      <c r="AU34">
        <f t="shared" si="21"/>
        <v>0</v>
      </c>
    </row>
    <row r="35" spans="1:47" ht="14.25">
      <c r="A35" s="349" t="str">
        <f>IF(銘柄管理!B198&lt;&gt;"",HYPERLINK("https://kabutan.jp/stock/?code="&amp;銘柄管理!B198,"株探"),"")</f>
        <v>株探</v>
      </c>
      <c r="B35" s="350"/>
      <c r="C35" s="350">
        <f>IF(銘柄管理!B198="","",銘柄管理!B198)</f>
        <v>8035</v>
      </c>
      <c r="D35" s="350" t="str">
        <f>IF(銘柄管理!C198="","",銘柄管理!C198)</f>
        <v>東京エレクトロン</v>
      </c>
      <c r="E35" s="351">
        <f>IF(C35&lt;&gt;"",_xll.RssMarket(C35,"現在値"),"")</f>
        <v>72640</v>
      </c>
      <c r="F35" s="351">
        <f>IF(C35&lt;&gt;"",_xll.RssMarket(C35,"始値"),"")</f>
        <v>69970</v>
      </c>
      <c r="G35" s="350">
        <f>IF(C35&lt;&gt;"",終値!F198,"")</f>
        <v>70860</v>
      </c>
      <c r="H35" s="351">
        <f>IF(C35&lt;&gt;"",_xll.RssMarket(C35,"高値"),"")</f>
        <v>73220</v>
      </c>
      <c r="I35" s="351">
        <f>IF(C35&lt;&gt;"",_xll.RssMarket(C35,"安値"),"")</f>
        <v>69850</v>
      </c>
      <c r="J35" s="351">
        <f>IF(C35&lt;&gt;"",_xll.RssMarket(C35,"出来高"),"")</f>
        <v>4608500</v>
      </c>
      <c r="K35" s="351">
        <f>IF(C35&lt;&gt;"",_xll.RssMarket(C35,"年初来高値"),"")</f>
        <v>74800</v>
      </c>
      <c r="L35" s="352">
        <f t="shared" si="0"/>
        <v>-2.8877005347593583</v>
      </c>
      <c r="M35" s="351">
        <f>IF(C35&lt;&gt;"",IFERROR(AVERAGE(出来高!E198:I198),""),"")</f>
        <v>6009980</v>
      </c>
      <c r="N35" s="351">
        <f>IF(C35&lt;&gt;"",IFERROR(AVERAGE(出来高!E198:AC198),""),"")</f>
        <v>3741400</v>
      </c>
      <c r="O35" s="353">
        <f t="shared" si="1"/>
        <v>0.76680787623253321</v>
      </c>
      <c r="P35" s="350" t="str">
        <f t="shared" si="2"/>
        <v>減少↓</v>
      </c>
      <c r="Q35" s="350" t="str">
        <f t="shared" si="3"/>
        <v>様子見▲</v>
      </c>
      <c r="R35" s="351">
        <f t="shared" si="4"/>
        <v>66829</v>
      </c>
      <c r="S35" s="351">
        <f t="shared" si="5"/>
        <v>75546</v>
      </c>
      <c r="T35" s="350">
        <f t="shared" si="6"/>
        <v>3</v>
      </c>
      <c r="U35" s="350" t="str">
        <f t="shared" si="7"/>
        <v>要確認</v>
      </c>
      <c r="V35" s="350" t="str">
        <f t="shared" si="8"/>
        <v>通常</v>
      </c>
      <c r="W35" s="354" cm="1">
        <f t="array" ref="W35">IFERROR(100-100/(1+SUMPRODUCT((終値!F198:R198&gt;終値!G198:S198)*(終値!F198:R198-終値!G198:S198))/SUMPRODUCT((終値!F198:R198&lt;終値!G198:S198)*(終値!G198:S198-終値!F198:R198))),50)</f>
        <v>75.715859030837009</v>
      </c>
      <c r="X35" s="355">
        <f>IF(C35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2419.1556048224957</v>
      </c>
      <c r="Y35" s="350" t="str">
        <f t="shared" si="9"/>
        <v>△過熱・様子見 | パーフェクト▲ MACD+ RSI:75.7 [過熱] 前日比:+2.5%前日[上ヒゲ陰線▼] [3点]</v>
      </c>
      <c r="Z35" s="356">
        <f t="shared" si="10"/>
        <v>2.5119954840530623</v>
      </c>
      <c r="AA35" s="350" t="str">
        <f t="shared" si="11"/>
        <v>上昇▲</v>
      </c>
      <c r="AB35" s="351">
        <f>IF(OR(C35="",C35="TOPX",終値!E198=""),"",IFERROR(((終値!E198*0.333)+(終値!F198*0.222)+(終値!G198*0.148)+(終値!H198*0.099)+(終値!I198*0.066))/(0.333+0.222+0.148+0.099+0.066),""))</f>
        <v>69517.764976958511</v>
      </c>
      <c r="AC35" s="351">
        <f>IF(OR(C35="",C35="TOPX",終値!E198=""),"",IFERROR(SUMPRODUCT((終値!E198:AC198)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59506.221692491061</v>
      </c>
      <c r="AD35" s="350" t="str">
        <f t="shared" si="12"/>
        <v>パーフェクト▲</v>
      </c>
      <c r="AE35" s="350" t="str">
        <f t="shared" si="13"/>
        <v>なし</v>
      </c>
      <c r="AF35" t="str">
        <f>IF(T35="","",IF(銘柄管理!$F$5="上昇▲",IF(AND(AD35="下降トレンド▼",OR(AE35="25日戻り売り★",AE35="5日戻り売り○")),"★逆張り売り",IF(AND(AD35="もみ合い→",OR(AE35="25日戻り売り★",AE35="5日戻り売り○")),"○逆張り売り",IF(W35&gt;=70,IF(Z35&lt;0,"◎反落確認","△過熱・様子見"),"相場上昇・見送り"))),IF(AND(T35&gt;=12,AD35="下降トレンド▼"),"★強い売り",IF(T35&gt;=12,"★強い売り",IF(AND(T35&gt;=8,OR(AE35="25日戻り売り★",AE35="5日戻り売り○")),"◎戻り売り",IF(T35&gt;=10,"○売り候補",IF(T35&gt;=6,"△注目",IF(T35&gt;=3,"様子見","見送り"))))))))</f>
        <v>△過熱・様子見</v>
      </c>
      <c r="AG35">
        <f t="shared" si="15"/>
        <v>0</v>
      </c>
      <c r="AH35">
        <f t="shared" si="16"/>
        <v>0</v>
      </c>
      <c r="AI35" s="412" cm="1">
        <f t="array" ref="AI35">IF(C35="","",IFERROR((INDEX(終値!$E:$E,MATCH(TEXT(C35,"0"),終値!$A:$A,0))-INDEX(終値!$E:$BL,MATCH(TEXT(C35,"0"),終値!$A:$A,0),$AN$2))/INDEX(終値!$E:$BL,MATCH(TEXT(C35,"0"),終値!$A:$A,0),$AN$2)*100,""))</f>
        <v>41.875</v>
      </c>
      <c r="AJ35" s="412" cm="1">
        <f t="array" ref="AJ35">IFERROR((終値!$E$5-INDEX(終値!$E$5:$BL$5,1,$AN$2))/INDEX(終値!$E$5:$BL$5,1,$AN$2)*100,"")</f>
        <v>3.4532270246721688</v>
      </c>
      <c r="AK35" s="413">
        <f t="shared" si="17"/>
        <v>38.421772975327833</v>
      </c>
      <c r="AL35" s="411">
        <f t="shared" si="18"/>
        <v>-2</v>
      </c>
      <c r="AO35" s="415" t="str">
        <f t="shared" si="19"/>
        <v>通常</v>
      </c>
      <c r="AP35" s="416">
        <f t="shared" si="20"/>
        <v>0</v>
      </c>
      <c r="AQ35">
        <f>IF(C35&lt;&gt;"",始値!F198,"")</f>
        <v>71510</v>
      </c>
      <c r="AR35">
        <f>IF(C35&lt;&gt;"",高値!F198,"")</f>
        <v>73130</v>
      </c>
      <c r="AS35">
        <f>IF(C35&lt;&gt;"",安値!F198,"")</f>
        <v>70820</v>
      </c>
      <c r="AT35" t="str">
        <f t="shared" si="14"/>
        <v>上ヒゲ陰線▼</v>
      </c>
      <c r="AU35">
        <f t="shared" si="21"/>
        <v>2</v>
      </c>
    </row>
    <row r="36" spans="1:47" ht="14.25">
      <c r="A36" s="357" t="str">
        <f>IF(銘柄管理!B5&lt;&gt;"",HYPERLINK("https://kabutan.jp/stock/?code="&amp;銘柄管理!B5,"株探"),"")</f>
        <v>株探</v>
      </c>
      <c r="B36" s="230"/>
      <c r="C36" s="230" t="str">
        <f>IF(銘柄管理!B5="","",銘柄管理!B5)</f>
        <v>TOPX</v>
      </c>
      <c r="D36" s="230">
        <f>IF(銘柄管理!C5="","",銘柄管理!C5)</f>
        <v>4013.23</v>
      </c>
      <c r="E36" s="358" t="str">
        <f>IF(C36&lt;&gt;"",_xll.RssMarket(C36,"現在値"),"")</f>
        <v/>
      </c>
      <c r="F36" s="358" t="str">
        <f>IF(C36&lt;&gt;"",_xll.RssMarket(C36,"始値"),"")</f>
        <v/>
      </c>
      <c r="G36" s="230">
        <f>IF(C36&lt;&gt;"",終値!F5,"")</f>
        <v>3991.14</v>
      </c>
      <c r="H36" s="358" t="str">
        <f>IF(C36&lt;&gt;"",_xll.RssMarket(C36,"高値"),"")</f>
        <v/>
      </c>
      <c r="I36" s="358" t="str">
        <f>IF(C36&lt;&gt;"",_xll.RssMarket(C36,"安値"),"")</f>
        <v/>
      </c>
      <c r="J36" s="358" t="str">
        <f>IF(C36&lt;&gt;"",_xll.RssMarket(C36,"出来高"),"")</f>
        <v/>
      </c>
      <c r="K36" s="358" t="str">
        <f>IF(C36&lt;&gt;"",_xll.RssMarket(C36,"年初来高値"),"")</f>
        <v/>
      </c>
      <c r="L36" s="359" t="str">
        <f t="shared" si="0"/>
        <v/>
      </c>
      <c r="M36" s="358">
        <f>IF(C36&lt;&gt;"",IFERROR(AVERAGE(出来高!E5:I5),""),"")</f>
        <v>264229.8</v>
      </c>
      <c r="N36" s="358">
        <f>IF(C36&lt;&gt;"",IFERROR(AVERAGE(出来高!E5:AC5),""),"")</f>
        <v>289152.04761904763</v>
      </c>
      <c r="O36" s="360" t="str">
        <f t="shared" si="1"/>
        <v/>
      </c>
      <c r="P36" s="230" t="str">
        <f t="shared" si="2"/>
        <v/>
      </c>
      <c r="Q36" s="230" t="str">
        <f t="shared" si="3"/>
        <v/>
      </c>
      <c r="R36" s="358" t="str">
        <f t="shared" si="4"/>
        <v/>
      </c>
      <c r="S36" s="358" t="str">
        <f t="shared" si="5"/>
        <v/>
      </c>
      <c r="T36" s="350">
        <f t="shared" si="6"/>
        <v>0</v>
      </c>
      <c r="U36" s="230" t="str">
        <f t="shared" si="7"/>
        <v>除外</v>
      </c>
      <c r="V36" s="230" t="str">
        <f t="shared" si="8"/>
        <v/>
      </c>
      <c r="W36" s="361" cm="1">
        <f t="array" ref="W36">IFERROR(100-100/(1+SUMPRODUCT((終値!F5:R5&gt;終値!G5:S5)*(終値!F5:R5-終値!G5:S5))/SUMPRODUCT((終値!F5:R5&lt;終値!G5:S5)*(終値!G5:S5-終値!F5:R5))),50)</f>
        <v>54.605974395448058</v>
      </c>
      <c r="X36" s="362">
        <f>IF(C36&lt;&gt;"",IFERROR(SUMPRODUCT(終値!E5:P5,{0.154,0.132,0.113,0.097,0.083,0.071,0.061,0.052,0.045,0.038,0.033,0.028})/SUMPRODUCT({0.154,0.132,0.113,0.097,0.083,0.071,0.061,0.052,0.045,0.038,0.033,0.028})-SUMPRODUCT(終値!E5:AD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78.258047237889514</v>
      </c>
      <c r="Y36" s="230" t="e">
        <f t="shared" si="9"/>
        <v>#VALUE!</v>
      </c>
      <c r="Z36" s="363" t="str">
        <f t="shared" si="10"/>
        <v/>
      </c>
      <c r="AA36" s="230" t="str">
        <f t="shared" si="11"/>
        <v/>
      </c>
      <c r="AB36" s="358" t="str">
        <f>IF(OR(C36="",C36="TOPX",終値!E5=""),"",IFERROR(((終値!E5*0.333)+(終値!F5*0.222)+(終値!G5*0.148)+(終値!H5*0.099)+(終値!I5*0.066))/(0.333+0.222+0.148+0.099+0.066),""))</f>
        <v/>
      </c>
      <c r="AC36" s="358" t="str">
        <f>IF(OR(C36="",C36="TOPX",終値!E5=""),"",IFERROR(SUMPRODUCT((終値!E5:AC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6" s="230" t="str">
        <f t="shared" si="12"/>
        <v/>
      </c>
      <c r="AE36" s="230" t="str">
        <f t="shared" si="13"/>
        <v/>
      </c>
      <c r="AF36" t="str">
        <f>IF(T36="","",IF(銘柄管理!$F$5="上昇▲",IF(AND(AD36="下降トレンド▼",OR(AE36="25日戻り売り★",AE36="5日戻り売り○")),"★逆張り売り",IF(AND(AD36="もみ合い→",OR(AE36="25日戻り売り★",AE36="5日戻り売り○")),"○逆張り売り",IF(W36&gt;=70,IF(Z36&lt;0,"◎反落確認","△過熱・様子見"),"相場上昇・見送り"))),IF(AND(T36&gt;=12,AD36="下降トレンド▼"),"★強い売り",IF(T36&gt;=12,"★強い売り",IF(AND(T36&gt;=8,OR(AE36="25日戻り売り★",AE36="5日戻り売り○")),"◎戻り売り",IF(T36&gt;=10,"○売り候補",IF(T36&gt;=6,"△注目",IF(T36&gt;=3,"様子見","見送り"))))))))</f>
        <v>相場上昇・見送り</v>
      </c>
      <c r="AG36">
        <f t="shared" si="15"/>
        <v>0</v>
      </c>
      <c r="AH36">
        <f t="shared" si="16"/>
        <v>0</v>
      </c>
      <c r="AI36" s="412" cm="1">
        <f t="array" ref="AI36">IF(C36="","",IFERROR((INDEX(終値!$E:$E,MATCH(TEXT(C36,"0"),終値!$A:$A,0))-INDEX(終値!$E:$BL,MATCH(TEXT(C36,"0"),終値!$A:$A,0),$AN$2))/INDEX(終値!$E:$BL,MATCH(TEXT(C36,"0"),終値!$A:$A,0),$AN$2)*100,""))</f>
        <v>3.4532270246721688</v>
      </c>
      <c r="AJ36" s="412" cm="1">
        <f t="array" ref="AJ36">IFERROR((終値!$E$5-INDEX(終値!$E$5:$BL$5,1,$AN$2))/INDEX(終値!$E$5:$BL$5,1,$AN$2)*100,"")</f>
        <v>3.4532270246721688</v>
      </c>
      <c r="AK36" s="413">
        <f t="shared" si="17"/>
        <v>0</v>
      </c>
      <c r="AL36" s="411">
        <f t="shared" si="18"/>
        <v>-1</v>
      </c>
      <c r="AO36" s="415" t="e">
        <f t="shared" si="19"/>
        <v>#VALUE!</v>
      </c>
      <c r="AP36" s="416" t="e">
        <f t="shared" si="20"/>
        <v>#VALUE!</v>
      </c>
      <c r="AQ36">
        <f>IF(C36&lt;&gt;"",始値!F5,"")</f>
        <v>3984.4</v>
      </c>
      <c r="AR36">
        <f>IF(C36&lt;&gt;"",高値!F5,"")</f>
        <v>4008.81</v>
      </c>
      <c r="AS36">
        <f>IF(C36&lt;&gt;"",安値!F5,"")</f>
        <v>3980.34</v>
      </c>
      <c r="AT36" t="str">
        <f t="shared" si="14"/>
        <v>通常</v>
      </c>
      <c r="AU36">
        <f t="shared" si="21"/>
        <v>0</v>
      </c>
    </row>
    <row r="37" spans="1:47" ht="14.25">
      <c r="A37" s="349" t="str">
        <f>IF(銘柄管理!B17&lt;&gt;"",HYPERLINK("https://kabutan.jp/stock/?code="&amp;銘柄管理!B17,"株探"),"")</f>
        <v>株探</v>
      </c>
      <c r="B37" s="350"/>
      <c r="C37" s="350">
        <f>IF(銘柄管理!B17="","",銘柄管理!B17)</f>
        <v>5333</v>
      </c>
      <c r="D37" s="350" t="str">
        <f>IF(銘柄管理!C17="","",銘柄管理!C17)</f>
        <v>ＮＧＫ</v>
      </c>
      <c r="E37" s="351">
        <f>IF(C37&lt;&gt;"",_xll.RssMarket(C37,"現在値"),"")</f>
        <v>6972</v>
      </c>
      <c r="F37" s="351">
        <f>IF(C37&lt;&gt;"",_xll.RssMarket(C37,"始値"),"")</f>
        <v>6735</v>
      </c>
      <c r="G37" s="350">
        <f>IF(C37&lt;&gt;"",終値!F17,"")</f>
        <v>6747</v>
      </c>
      <c r="H37" s="351">
        <f>IF(C37&lt;&gt;"",_xll.RssMarket(C37,"高値"),"")</f>
        <v>6974</v>
      </c>
      <c r="I37" s="351">
        <f>IF(C37&lt;&gt;"",_xll.RssMarket(C37,"安値"),"")</f>
        <v>6706</v>
      </c>
      <c r="J37" s="351">
        <f>IF(C37&lt;&gt;"",_xll.RssMarket(C37,"出来高"),"")</f>
        <v>1474400</v>
      </c>
      <c r="K37" s="351">
        <f>IF(C37&lt;&gt;"",_xll.RssMarket(C37,"年初来高値"),"")</f>
        <v>6807</v>
      </c>
      <c r="L37" s="352">
        <f t="shared" si="0"/>
        <v>2.4239753195240197</v>
      </c>
      <c r="M37" s="351">
        <f>IF(C37&lt;&gt;"",IFERROR(AVERAGE(出来高!E17:I17),""),"")</f>
        <v>1715360</v>
      </c>
      <c r="N37" s="351">
        <f>IF(C37&lt;&gt;"",IFERROR(AVERAGE(出来高!E17:AC17),""),"")</f>
        <v>1811768</v>
      </c>
      <c r="O37" s="353">
        <f t="shared" si="1"/>
        <v>0.85952802910176285</v>
      </c>
      <c r="P37" s="350" t="str">
        <f t="shared" si="2"/>
        <v>減少↓</v>
      </c>
      <c r="Q37" s="350" t="str">
        <f t="shared" si="3"/>
        <v>様子見▲</v>
      </c>
      <c r="R37" s="351">
        <f t="shared" si="4"/>
        <v>6414</v>
      </c>
      <c r="S37" s="351">
        <f t="shared" si="5"/>
        <v>7251</v>
      </c>
      <c r="T37" s="350">
        <f t="shared" si="6"/>
        <v>-1</v>
      </c>
      <c r="U37" s="350" t="str">
        <f t="shared" si="7"/>
        <v>除外</v>
      </c>
      <c r="V37" s="350" t="str">
        <f t="shared" si="8"/>
        <v>通常</v>
      </c>
      <c r="W37" s="354" cm="1">
        <f t="array" ref="W37">IFERROR(100-100/(1+SUMPRODUCT((終値!F17:R17&gt;終値!G17:S17)*(終値!F17:R17-終値!G17:S17))/SUMPRODUCT((終値!F17:R17&lt;終値!G17:S17)*(終値!G17:S17-終値!F17:R17))),50)</f>
        <v>59.84598459845985</v>
      </c>
      <c r="X37" s="355">
        <f>IF(C37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95.322483770433792</v>
      </c>
      <c r="Y37" s="350" t="str">
        <f t="shared" si="9"/>
        <v>相場上昇・見送り | パーフェクト▲ MACD+ RSI:59.8 前日比:+3.3% [-1点]</v>
      </c>
      <c r="Z37" s="356">
        <f t="shared" si="10"/>
        <v>3.3348154735437974</v>
      </c>
      <c r="AA37" s="350" t="str">
        <f t="shared" si="11"/>
        <v>上昇▲</v>
      </c>
      <c r="AB37" s="351">
        <f>IF(OR(C37="",C37="TOPX",終値!E17=""),"",IFERROR(((終値!E17*0.333)+(終値!F17*0.222)+(終値!G17*0.148)+(終値!H17*0.099)+(終値!I17*0.066))/(0.333+0.222+0.148+0.099+0.066),""))</f>
        <v>6573.9020737327191</v>
      </c>
      <c r="AC37" s="351">
        <f>IF(OR(C37="",C37="TOPX",終値!E17=""),"",IFERROR(SUMPRODUCT((終値!E17:AC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6214.7604290822374</v>
      </c>
      <c r="AD37" s="350" t="str">
        <f t="shared" si="12"/>
        <v>パーフェクト▲</v>
      </c>
      <c r="AE37" s="350" t="str">
        <f t="shared" si="13"/>
        <v>なし</v>
      </c>
      <c r="AF37" t="str">
        <f>IF(T37="","",IF(銘柄管理!$F$5="上昇▲",IF(AND(AD37="下降トレンド▼",OR(AE37="25日戻り売り★",AE37="5日戻り売り○")),"★逆張り売り",IF(AND(AD37="もみ合い→",OR(AE37="25日戻り売り★",AE37="5日戻り売り○")),"○逆張り売り",IF(W37&gt;=70,IF(Z37&lt;0,"◎反落確認","△過熱・様子見"),"相場上昇・見送り"))),IF(AND(T37&gt;=12,AD37="下降トレンド▼"),"★強い売り",IF(T37&gt;=12,"★強い売り",IF(AND(T37&gt;=8,OR(AE37="25日戻り売り★",AE37="5日戻り売り○")),"◎戻り売り",IF(T37&gt;=10,"○売り候補",IF(T37&gt;=6,"△注目",IF(T37&gt;=3,"様子見","見送り"))))))))</f>
        <v>相場上昇・見送り</v>
      </c>
      <c r="AG37">
        <f t="shared" si="15"/>
        <v>0</v>
      </c>
      <c r="AH37">
        <f t="shared" si="16"/>
        <v>0</v>
      </c>
      <c r="AI37" s="412" cm="1">
        <f t="array" ref="AI37">IF(C37="","",IFERROR((INDEX(終値!$E:$E,MATCH(TEXT(C37,"0"),終値!$A:$A,0))-INDEX(終値!$E:$BL,MATCH(TEXT(C37,"0"),終値!$A:$A,0),$AN$2))/INDEX(終値!$E:$BL,MATCH(TEXT(C37,"0"),終値!$A:$A,0),$AN$2)*100,""))</f>
        <v>20.476931052358736</v>
      </c>
      <c r="AJ37" s="412" cm="1">
        <f t="array" ref="AJ37">IFERROR((終値!$E$5-INDEX(終値!$E$5:$BL$5,1,$AN$2))/INDEX(終値!$E$5:$BL$5,1,$AN$2)*100,"")</f>
        <v>3.4532270246721688</v>
      </c>
      <c r="AK37" s="413">
        <f t="shared" si="17"/>
        <v>17.023704027686566</v>
      </c>
      <c r="AL37" s="411">
        <f t="shared" si="18"/>
        <v>-2</v>
      </c>
      <c r="AO37" s="415" t="str">
        <f t="shared" si="19"/>
        <v>通常</v>
      </c>
      <c r="AP37" s="416">
        <f t="shared" si="20"/>
        <v>0</v>
      </c>
      <c r="AQ37">
        <f>IF(C37&lt;&gt;"",始値!F17,"")</f>
        <v>6669</v>
      </c>
      <c r="AR37">
        <f>IF(C37&lt;&gt;"",高値!F17,"")</f>
        <v>6807</v>
      </c>
      <c r="AS37">
        <f>IF(C37&lt;&gt;"",安値!F17,"")</f>
        <v>6619</v>
      </c>
      <c r="AT37" t="str">
        <f t="shared" si="14"/>
        <v>通常</v>
      </c>
      <c r="AU37">
        <f t="shared" si="21"/>
        <v>0</v>
      </c>
    </row>
    <row r="38" spans="1:47" ht="14.25">
      <c r="A38" s="357" t="str">
        <f>IF(銘柄管理!B47&lt;&gt;"",HYPERLINK("https://kabutan.jp/stock/?code="&amp;銘柄管理!B47,"株探"),"")</f>
        <v>株探</v>
      </c>
      <c r="B38" s="230"/>
      <c r="C38" s="230">
        <f>IF(銘柄管理!B47="","",銘柄管理!B47)</f>
        <v>8572</v>
      </c>
      <c r="D38" s="230" t="str">
        <f>IF(銘柄管理!C47="","",銘柄管理!C47)</f>
        <v>アコム</v>
      </c>
      <c r="E38" s="358">
        <f>IF(C38&lt;&gt;"",_xll.RssMarket(C38,"現在値"),"")</f>
        <v>450.6</v>
      </c>
      <c r="F38" s="358">
        <f>IF(C38&lt;&gt;"",_xll.RssMarket(C38,"始値"),"")</f>
        <v>453.3</v>
      </c>
      <c r="G38" s="230">
        <f>IF(C38&lt;&gt;"",終値!F47,"")</f>
        <v>449.3</v>
      </c>
      <c r="H38" s="358">
        <f>IF(C38&lt;&gt;"",_xll.RssMarket(C38,"高値"),"")</f>
        <v>453.7</v>
      </c>
      <c r="I38" s="358">
        <f>IF(C38&lt;&gt;"",_xll.RssMarket(C38,"安値"),"")</f>
        <v>449</v>
      </c>
      <c r="J38" s="358">
        <f>IF(C38&lt;&gt;"",_xll.RssMarket(C38,"出来高"),"")</f>
        <v>1330300</v>
      </c>
      <c r="K38" s="358">
        <f>IF(C38&lt;&gt;"",_xll.RssMarket(C38,"年初来高値"),"")</f>
        <v>539.9</v>
      </c>
      <c r="L38" s="359">
        <f t="shared" si="0"/>
        <v>-16.54010001852194</v>
      </c>
      <c r="M38" s="358">
        <f>IF(C38&lt;&gt;"",IFERROR(AVERAGE(出来高!E47:I47),""),"")</f>
        <v>1189700</v>
      </c>
      <c r="N38" s="358">
        <f>IF(C38&lt;&gt;"",IFERROR(AVERAGE(出来高!E47:AC47),""),"")</f>
        <v>1801148</v>
      </c>
      <c r="O38" s="360">
        <f t="shared" si="1"/>
        <v>1.1181810540472388</v>
      </c>
      <c r="P38" s="230" t="str">
        <f t="shared" si="2"/>
        <v>普通→</v>
      </c>
      <c r="Q38" s="230" t="str">
        <f t="shared" si="3"/>
        <v>様子見▲</v>
      </c>
      <c r="R38" s="358">
        <f t="shared" si="4"/>
        <v>415</v>
      </c>
      <c r="S38" s="358">
        <f t="shared" si="5"/>
        <v>469</v>
      </c>
      <c r="T38" s="350">
        <f t="shared" si="6"/>
        <v>9</v>
      </c>
      <c r="U38" s="230" t="str">
        <f t="shared" si="7"/>
        <v>要確認</v>
      </c>
      <c r="V38" s="230" t="str">
        <f t="shared" si="8"/>
        <v>通常</v>
      </c>
      <c r="W38" s="361" cm="1">
        <f t="array" ref="W38">IFERROR(100-100/(1+SUMPRODUCT((終値!F47:R47&gt;終値!G47:S47)*(終値!F47:R47-終値!G47:S47))/SUMPRODUCT((終値!F47:R47&lt;終値!G47:S47)*(終値!G47:S47-終値!F47:R47))),50)</f>
        <v>37.12121212121216</v>
      </c>
      <c r="X38" s="362">
        <f>IF(C38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-2.5449609734157548</v>
      </c>
      <c r="Y38" s="230" t="str">
        <f t="shared" si="9"/>
        <v>○逆張り売り | もみ合い→ 25日戻り売り★ MACD- RSI:37.1 前日比:+0.3% [9点]</v>
      </c>
      <c r="Z38" s="363">
        <f t="shared" si="10"/>
        <v>0.28933897173381068</v>
      </c>
      <c r="AA38" s="230" t="str">
        <f t="shared" si="11"/>
        <v>上昇▲</v>
      </c>
      <c r="AB38" s="358">
        <f>IF(OR(C38="",C38="TOPX",終値!E47=""),"",IFERROR(((終値!E47*0.333)+(終値!F47*0.222)+(終値!G47*0.148)+(終値!H47*0.099)+(終値!I47*0.066))/(0.333+0.222+0.148+0.099+0.066),""))</f>
        <v>450.30334101382482</v>
      </c>
      <c r="AC38" s="358">
        <f>IF(OR(C38="",C38="TOPX",終値!E47=""),"",IFERROR(SUMPRODUCT((終値!E47:AC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454.4082240762811</v>
      </c>
      <c r="AD38" s="230" t="str">
        <f t="shared" si="12"/>
        <v>もみ合い→</v>
      </c>
      <c r="AE38" s="230" t="str">
        <f t="shared" si="13"/>
        <v>25日戻り売り★</v>
      </c>
      <c r="AF38" t="str">
        <f>IF(T38="","",IF(銘柄管理!$F$5="上昇▲",IF(AND(AD38="下降トレンド▼",OR(AE38="25日戻り売り★",AE38="5日戻り売り○")),"★逆張り売り",IF(AND(AD38="もみ合い→",OR(AE38="25日戻り売り★",AE38="5日戻り売り○")),"○逆張り売り",IF(W38&gt;=70,IF(Z38&lt;0,"◎反落確認","△過熱・様子見"),"相場上昇・見送り"))),IF(AND(T38&gt;=12,AD38="下降トレンド▼"),"★強い売り",IF(T38&gt;=12,"★強い売り",IF(AND(T38&gt;=8,OR(AE38="25日戻り売り★",AE38="5日戻り売り○")),"◎戻り売り",IF(T38&gt;=10,"○売り候補",IF(T38&gt;=6,"△注目",IF(T38&gt;=3,"様子見","見送り"))))))))</f>
        <v>○逆張り売り</v>
      </c>
      <c r="AG38">
        <f t="shared" si="15"/>
        <v>9</v>
      </c>
      <c r="AH38">
        <f t="shared" si="16"/>
        <v>89962</v>
      </c>
      <c r="AI38" s="412" cm="1">
        <f t="array" ref="AI38">IF(C38="","",IFERROR((INDEX(終値!$E:$E,MATCH(TEXT(C38,"0"),終値!$A:$A,0))-INDEX(終値!$E:$BL,MATCH(TEXT(C38,"0"),終値!$A:$A,0),$AN$2))/INDEX(終値!$E:$BL,MATCH(TEXT(C38,"0"),終値!$A:$A,0),$AN$2)*100,""))</f>
        <v>-1.8086729134887676</v>
      </c>
      <c r="AJ38" s="412" cm="1">
        <f t="array" ref="AJ38">IFERROR((終値!$E$5-INDEX(終値!$E$5:$BL$5,1,$AN$2))/INDEX(終値!$E$5:$BL$5,1,$AN$2)*100,"")</f>
        <v>3.4532270246721688</v>
      </c>
      <c r="AK38" s="413">
        <f t="shared" si="17"/>
        <v>-5.2618999381609362</v>
      </c>
      <c r="AL38" s="411">
        <f t="shared" si="18"/>
        <v>3</v>
      </c>
      <c r="AO38" s="415" t="str">
        <f t="shared" si="19"/>
        <v>通常</v>
      </c>
      <c r="AP38" s="416">
        <f t="shared" si="20"/>
        <v>0</v>
      </c>
      <c r="AQ38">
        <f>IF(C38&lt;&gt;"",始値!F47,"")</f>
        <v>451.1</v>
      </c>
      <c r="AR38">
        <f>IF(C38&lt;&gt;"",高値!F47,"")</f>
        <v>453.9</v>
      </c>
      <c r="AS38">
        <f>IF(C38&lt;&gt;"",安値!F47,"")</f>
        <v>446.3</v>
      </c>
      <c r="AT38" t="str">
        <f t="shared" si="14"/>
        <v>通常</v>
      </c>
      <c r="AU38">
        <f t="shared" si="21"/>
        <v>0</v>
      </c>
    </row>
    <row r="39" spans="1:47" ht="14.25">
      <c r="A39" s="349" t="str">
        <f>IF(銘柄管理!B68&lt;&gt;"",HYPERLINK("https://kabutan.jp/stock/?code="&amp;銘柄管理!B68,"株探"),"")</f>
        <v>株探</v>
      </c>
      <c r="B39" s="350"/>
      <c r="C39" s="350">
        <f>IF(銘柄管理!B68="","",銘柄管理!B68)</f>
        <v>6503</v>
      </c>
      <c r="D39" s="350" t="str">
        <f>IF(銘柄管理!C68="","",銘柄管理!C68)</f>
        <v>三菱電機</v>
      </c>
      <c r="E39" s="351">
        <f>IF(C39&lt;&gt;"",_xll.RssMarket(C39,"現在値"),"")</f>
        <v>5863</v>
      </c>
      <c r="F39" s="351">
        <f>IF(C39&lt;&gt;"",_xll.RssMarket(C39,"始値"),"")</f>
        <v>5853</v>
      </c>
      <c r="G39" s="350">
        <f>IF(C39&lt;&gt;"",終値!F68,"")</f>
        <v>5872</v>
      </c>
      <c r="H39" s="351">
        <f>IF(C39&lt;&gt;"",_xll.RssMarket(C39,"高値"),"")</f>
        <v>5925</v>
      </c>
      <c r="I39" s="351">
        <f>IF(C39&lt;&gt;"",_xll.RssMarket(C39,"安値"),"")</f>
        <v>5790</v>
      </c>
      <c r="J39" s="351">
        <f>IF(C39&lt;&gt;"",_xll.RssMarket(C39,"出来高"),"")</f>
        <v>4255000</v>
      </c>
      <c r="K39" s="351">
        <f>IF(C39&lt;&gt;"",_xll.RssMarket(C39,"年初来高値"),"")</f>
        <v>6686</v>
      </c>
      <c r="L39" s="352">
        <f t="shared" si="0"/>
        <v>-12.309303021238408</v>
      </c>
      <c r="M39" s="351">
        <f>IF(C39&lt;&gt;"",IFERROR(AVERAGE(出来高!E68:I68),""),"")</f>
        <v>7132800</v>
      </c>
      <c r="N39" s="351">
        <f>IF(C39&lt;&gt;"",IFERROR(AVERAGE(出来高!E68:AC68),""),"")</f>
        <v>7496384</v>
      </c>
      <c r="O39" s="353">
        <f t="shared" si="1"/>
        <v>0.5965399282189322</v>
      </c>
      <c r="P39" s="350" t="str">
        <f t="shared" si="2"/>
        <v>減少↓</v>
      </c>
      <c r="Q39" s="350" t="str">
        <f t="shared" si="3"/>
        <v>中立→</v>
      </c>
      <c r="R39" s="351">
        <f t="shared" si="4"/>
        <v>5394</v>
      </c>
      <c r="S39" s="351">
        <f t="shared" si="5"/>
        <v>6098</v>
      </c>
      <c r="T39" s="350">
        <f t="shared" si="6"/>
        <v>9</v>
      </c>
      <c r="U39" s="350" t="str">
        <f t="shared" si="7"/>
        <v>要確認</v>
      </c>
      <c r="V39" s="350" t="str">
        <f t="shared" si="8"/>
        <v>通常</v>
      </c>
      <c r="W39" s="354" cm="1">
        <f t="array" ref="W39">IFERROR(100-100/(1+SUMPRODUCT((終値!F68:R68&gt;終値!G68:S68)*(終値!F68:R68-終値!G68:S68))/SUMPRODUCT((終値!F68:R68&lt;終値!G68:S68)*(終値!G68:S68-終値!F68:R68))),50)</f>
        <v>32.340862422997958</v>
      </c>
      <c r="X39" s="355">
        <f>IF(C39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-91.468259306873733</v>
      </c>
      <c r="Y39" s="350" t="str">
        <f t="shared" si="9"/>
        <v>○逆張り売り | もみ合い→ 25日戻り売り★ MACD- RSI:32.3 前日比:-0.2% [9点]</v>
      </c>
      <c r="Z39" s="356">
        <f t="shared" si="10"/>
        <v>-0.15326975476839239</v>
      </c>
      <c r="AA39" s="350" t="str">
        <f t="shared" si="11"/>
        <v>下落▼</v>
      </c>
      <c r="AB39" s="351">
        <f>IF(OR(C39="",C39="TOPX",終値!E68=""),"",IFERROR(((終値!E68*0.333)+(終値!F68*0.222)+(終値!G68*0.148)+(終値!H68*0.099)+(終値!I68*0.066))/(0.333+0.222+0.148+0.099+0.066),""))</f>
        <v>5741.3928571428569</v>
      </c>
      <c r="AC39" s="351">
        <f>IF(OR(C39="",C39="TOPX",終値!E68=""),"",IFERROR(SUMPRODUCT((終値!E68:AC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5971.7854588796172</v>
      </c>
      <c r="AD39" s="350" t="str">
        <f t="shared" si="12"/>
        <v>もみ合い→</v>
      </c>
      <c r="AE39" s="350" t="str">
        <f t="shared" si="13"/>
        <v>25日戻り売り★</v>
      </c>
      <c r="AF39" t="str">
        <f>IF(T39="","",IF(銘柄管理!$F$5="上昇▲",IF(AND(AD39="下降トレンド▼",OR(AE39="25日戻り売り★",AE39="5日戻り売り○")),"★逆張り売り",IF(AND(AD39="もみ合い→",OR(AE39="25日戻り売り★",AE39="5日戻り売り○")),"○逆張り売り",IF(W39&gt;=70,IF(Z39&lt;0,"◎反落確認","△過熱・様子見"),"相場上昇・見送り"))),IF(AND(T39&gt;=12,AD39="下降トレンド▼"),"★強い売り",IF(T39&gt;=12,"★強い売り",IF(AND(T39&gt;=8,OR(AE39="25日戻り売り★",AE39="5日戻り売り○")),"◎戻り売り",IF(T39&gt;=10,"○売り候補",IF(T39&gt;=6,"△注目",IF(T39&gt;=3,"様子見","見送り"))))))))</f>
        <v>○逆張り売り</v>
      </c>
      <c r="AG39">
        <f t="shared" si="15"/>
        <v>9</v>
      </c>
      <c r="AH39">
        <f t="shared" si="16"/>
        <v>89961</v>
      </c>
      <c r="AI39" s="412" cm="1">
        <f t="array" ref="AI39">IF(C39="","",IFERROR((INDEX(終値!$E:$E,MATCH(TEXT(C39,"0"),終値!$A:$A,0))-INDEX(終値!$E:$BL,MATCH(TEXT(C39,"0"),終値!$A:$A,0),$AN$2))/INDEX(終値!$E:$BL,MATCH(TEXT(C39,"0"),終値!$A:$A,0),$AN$2)*100,""))</f>
        <v>-8.9030453697949046</v>
      </c>
      <c r="AJ39" s="412" cm="1">
        <f t="array" ref="AJ39">IFERROR((終値!$E$5-INDEX(終値!$E$5:$BL$5,1,$AN$2))/INDEX(終値!$E$5:$BL$5,1,$AN$2)*100,"")</f>
        <v>3.4532270246721688</v>
      </c>
      <c r="AK39" s="413">
        <f t="shared" si="17"/>
        <v>-12.356272394467073</v>
      </c>
      <c r="AL39" s="411">
        <f t="shared" si="18"/>
        <v>3</v>
      </c>
      <c r="AO39" s="415" t="str">
        <f t="shared" si="19"/>
        <v>通常</v>
      </c>
      <c r="AP39" s="416">
        <f t="shared" si="20"/>
        <v>0</v>
      </c>
      <c r="AQ39">
        <f>IF(C39&lt;&gt;"",始値!F68,"")</f>
        <v>5958</v>
      </c>
      <c r="AR39">
        <f>IF(C39&lt;&gt;"",高値!F68,"")</f>
        <v>6009</v>
      </c>
      <c r="AS39">
        <f>IF(C39&lt;&gt;"",安値!F68,"")</f>
        <v>5820</v>
      </c>
      <c r="AT39" t="str">
        <f t="shared" si="14"/>
        <v>通常</v>
      </c>
      <c r="AU39">
        <f t="shared" si="21"/>
        <v>0</v>
      </c>
    </row>
    <row r="40" spans="1:47" ht="14.25">
      <c r="A40" s="357" t="str">
        <f>IF(銘柄管理!B86&lt;&gt;"",HYPERLINK("https://kabutan.jp/stock/?code="&amp;銘柄管理!B86,"株探"),"")</f>
        <v>株探</v>
      </c>
      <c r="B40" s="230"/>
      <c r="C40" s="230">
        <f>IF(銘柄管理!B86="","",銘柄管理!B86)</f>
        <v>1963</v>
      </c>
      <c r="D40" s="230" t="str">
        <f>IF(銘柄管理!C86="","",銘柄管理!C86)</f>
        <v>日揮ホールディングス</v>
      </c>
      <c r="E40" s="358">
        <f>IF(C40&lt;&gt;"",_xll.RssMarket(C40,"現在値"),"")</f>
        <v>2760</v>
      </c>
      <c r="F40" s="358">
        <f>IF(C40&lt;&gt;"",_xll.RssMarket(C40,"始値"),"")</f>
        <v>2680</v>
      </c>
      <c r="G40" s="230">
        <f>IF(C40&lt;&gt;"",終値!F86,"")</f>
        <v>2664</v>
      </c>
      <c r="H40" s="358">
        <f>IF(C40&lt;&gt;"",_xll.RssMarket(C40,"高値"),"")</f>
        <v>2806.5</v>
      </c>
      <c r="I40" s="358">
        <f>IF(C40&lt;&gt;"",_xll.RssMarket(C40,"安値"),"")</f>
        <v>2673.5</v>
      </c>
      <c r="J40" s="358">
        <f>IF(C40&lt;&gt;"",_xll.RssMarket(C40,"出来高"),"")</f>
        <v>1864000</v>
      </c>
      <c r="K40" s="358">
        <f>IF(C40&lt;&gt;"",_xll.RssMarket(C40,"年初来高値"),"")</f>
        <v>2927.5</v>
      </c>
      <c r="L40" s="359">
        <f t="shared" si="0"/>
        <v>-5.7216054654141759</v>
      </c>
      <c r="M40" s="358">
        <f>IF(C40&lt;&gt;"",IFERROR(AVERAGE(出来高!E86:I86),""),"")</f>
        <v>1511860</v>
      </c>
      <c r="N40" s="358">
        <f>IF(C40&lt;&gt;"",IFERROR(AVERAGE(出来高!E86:AC86),""),"")</f>
        <v>2360364</v>
      </c>
      <c r="O40" s="360">
        <f t="shared" si="1"/>
        <v>1.2329183919145952</v>
      </c>
      <c r="P40" s="230" t="str">
        <f t="shared" si="2"/>
        <v>普通→</v>
      </c>
      <c r="Q40" s="230" t="str">
        <f t="shared" si="3"/>
        <v>様子見▲</v>
      </c>
      <c r="R40" s="358">
        <f t="shared" si="4"/>
        <v>2539</v>
      </c>
      <c r="S40" s="358">
        <f t="shared" si="5"/>
        <v>2870</v>
      </c>
      <c r="T40" s="350">
        <f t="shared" si="6"/>
        <v>-2</v>
      </c>
      <c r="U40" s="230" t="str">
        <f t="shared" si="7"/>
        <v>除外</v>
      </c>
      <c r="V40" s="230" t="str">
        <f t="shared" si="8"/>
        <v>通常</v>
      </c>
      <c r="W40" s="361" cm="1">
        <f t="array" ref="W40">IFERROR(100-100/(1+SUMPRODUCT((終値!F86:R86&gt;終値!G86:S86)*(終値!F86:R86-終値!G86:S86))/SUMPRODUCT((終値!F86:R86&lt;終値!G86:S86)*(終値!G86:S86-終値!F86:R86))),50)</f>
        <v>38.416763678696157</v>
      </c>
      <c r="X40" s="362">
        <f>IF(C40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-6.2286707079701955</v>
      </c>
      <c r="Y40" s="230" t="str">
        <f t="shared" si="9"/>
        <v>相場上昇・見送り | パーフェクト▲ MACD- RSI:38.4 前日比:+3.6%前日[長い下ヒゲ(反発)] [-2点]</v>
      </c>
      <c r="Z40" s="363">
        <f t="shared" si="10"/>
        <v>3.6036036036036037</v>
      </c>
      <c r="AA40" s="230" t="str">
        <f t="shared" si="11"/>
        <v>上昇▲</v>
      </c>
      <c r="AB40" s="358">
        <f>IF(OR(C40="",C40="TOPX",終値!E86=""),"",IFERROR(((終値!E86*0.333)+(終値!F86*0.222)+(終値!G86*0.148)+(終値!H86*0.099)+(終値!I86*0.066))/(0.333+0.222+0.148+0.099+0.066),""))</f>
        <v>2647.6284562211981</v>
      </c>
      <c r="AC40" s="358">
        <f>IF(OR(C40="",C40="TOPX",終値!E86=""),"",IFERROR(SUMPRODUCT((終値!E86:AC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2624.731227651966</v>
      </c>
      <c r="AD40" s="230" t="str">
        <f t="shared" si="12"/>
        <v>パーフェクト▲</v>
      </c>
      <c r="AE40" s="230" t="str">
        <f t="shared" si="13"/>
        <v>なし</v>
      </c>
      <c r="AF40" t="str">
        <f>IF(T40="","",IF(銘柄管理!$F$5="上昇▲",IF(AND(AD40="下降トレンド▼",OR(AE40="25日戻り売り★",AE40="5日戻り売り○")),"★逆張り売り",IF(AND(AD40="もみ合い→",OR(AE40="25日戻り売り★",AE40="5日戻り売り○")),"○逆張り売り",IF(W40&gt;=70,IF(Z40&lt;0,"◎反落確認","△過熱・様子見"),"相場上昇・見送り"))),IF(AND(T40&gt;=12,AD40="下降トレンド▼"),"★強い売り",IF(T40&gt;=12,"★強い売り",IF(AND(T40&gt;=8,OR(AE40="25日戻り売り★",AE40="5日戻り売り○")),"◎戻り売り",IF(T40&gt;=10,"○売り候補",IF(T40&gt;=6,"△注目",IF(T40&gt;=3,"様子見","見送り"))))))))</f>
        <v>相場上昇・見送り</v>
      </c>
      <c r="AG40">
        <f t="shared" si="15"/>
        <v>0</v>
      </c>
      <c r="AH40">
        <f t="shared" si="16"/>
        <v>0</v>
      </c>
      <c r="AI40" s="412" cm="1">
        <f t="array" ref="AI40">IF(C40="","",IFERROR((INDEX(終値!$E:$E,MATCH(TEXT(C40,"0"),終値!$A:$A,0))-INDEX(終値!$E:$BL,MATCH(TEXT(C40,"0"),終値!$A:$A,0),$AN$2))/INDEX(終値!$E:$BL,MATCH(TEXT(C40,"0"),終値!$A:$A,0),$AN$2)*100,""))</f>
        <v>15.360501567398119</v>
      </c>
      <c r="AJ40" s="412" cm="1">
        <f t="array" ref="AJ40">IFERROR((終値!$E$5-INDEX(終値!$E$5:$BL$5,1,$AN$2))/INDEX(終値!$E$5:$BL$5,1,$AN$2)*100,"")</f>
        <v>3.4532270246721688</v>
      </c>
      <c r="AK40" s="413">
        <f t="shared" si="17"/>
        <v>11.907274542725951</v>
      </c>
      <c r="AL40" s="411">
        <f t="shared" si="18"/>
        <v>-2</v>
      </c>
      <c r="AO40" s="415" t="str">
        <f t="shared" si="19"/>
        <v>通常</v>
      </c>
      <c r="AP40" s="416">
        <f t="shared" si="20"/>
        <v>0</v>
      </c>
      <c r="AQ40">
        <f>IF(C40&lt;&gt;"",始値!F86,"")</f>
        <v>2698</v>
      </c>
      <c r="AR40">
        <f>IF(C40&lt;&gt;"",高値!F86,"")</f>
        <v>2704.5</v>
      </c>
      <c r="AS40">
        <f>IF(C40&lt;&gt;"",安値!F86,"")</f>
        <v>2622.5</v>
      </c>
      <c r="AT40" t="str">
        <f t="shared" si="14"/>
        <v>長い下ヒゲ(反発)</v>
      </c>
      <c r="AU40">
        <f t="shared" si="21"/>
        <v>-2</v>
      </c>
    </row>
    <row r="41" spans="1:47" ht="14.25">
      <c r="A41" s="349" t="str">
        <f>IF(銘柄管理!B90&lt;&gt;"",HYPERLINK("https://kabutan.jp/stock/?code="&amp;銘柄管理!B90,"株探"),"")</f>
        <v>株探</v>
      </c>
      <c r="B41" s="350"/>
      <c r="C41" s="350">
        <f>IF(銘柄管理!B90="","",銘柄管理!B90)</f>
        <v>6323</v>
      </c>
      <c r="D41" s="350" t="str">
        <f>IF(銘柄管理!C90="","",銘柄管理!C90)</f>
        <v>ローツェ</v>
      </c>
      <c r="E41" s="351">
        <f>IF(C41&lt;&gt;"",_xll.RssMarket(C41,"現在値"),"")</f>
        <v>4554</v>
      </c>
      <c r="F41" s="351">
        <f>IF(C41&lt;&gt;"",_xll.RssMarket(C41,"始値"),"")</f>
        <v>4309</v>
      </c>
      <c r="G41" s="350">
        <f>IF(C41&lt;&gt;"",終値!F90,"")</f>
        <v>4410</v>
      </c>
      <c r="H41" s="351">
        <f>IF(C41&lt;&gt;"",_xll.RssMarket(C41,"高値"),"")</f>
        <v>4580</v>
      </c>
      <c r="I41" s="351">
        <f>IF(C41&lt;&gt;"",_xll.RssMarket(C41,"安値"),"")</f>
        <v>4305</v>
      </c>
      <c r="J41" s="351">
        <f>IF(C41&lt;&gt;"",_xll.RssMarket(C41,"出来高"),"")</f>
        <v>1602600</v>
      </c>
      <c r="K41" s="351">
        <f>IF(C41&lt;&gt;"",_xll.RssMarket(C41,"年初来高値"),"")</f>
        <v>4590</v>
      </c>
      <c r="L41" s="352">
        <f t="shared" si="0"/>
        <v>-0.78431372549019607</v>
      </c>
      <c r="M41" s="351">
        <f>IF(C41&lt;&gt;"",IFERROR(AVERAGE(出来高!E90:I90),""),"")</f>
        <v>1561320</v>
      </c>
      <c r="N41" s="351">
        <f>IF(C41&lt;&gt;"",IFERROR(AVERAGE(出来高!E90:AC90),""),"")</f>
        <v>1775408</v>
      </c>
      <c r="O41" s="353">
        <f t="shared" si="1"/>
        <v>1.0264391668588118</v>
      </c>
      <c r="P41" s="350" t="str">
        <f t="shared" si="2"/>
        <v>普通→</v>
      </c>
      <c r="Q41" s="350" t="str">
        <f t="shared" si="3"/>
        <v>様子見▲</v>
      </c>
      <c r="R41" s="351">
        <f t="shared" si="4"/>
        <v>4190</v>
      </c>
      <c r="S41" s="351">
        <f t="shared" si="5"/>
        <v>4736</v>
      </c>
      <c r="T41" s="350">
        <f t="shared" si="6"/>
        <v>0</v>
      </c>
      <c r="U41" s="350" t="str">
        <f t="shared" si="7"/>
        <v>除外</v>
      </c>
      <c r="V41" s="350" t="str">
        <f t="shared" si="8"/>
        <v>通常</v>
      </c>
      <c r="W41" s="354" cm="1">
        <f t="array" ref="W41">IFERROR(100-100/(1+SUMPRODUCT((終値!F90:R90&gt;終値!G90:S90)*(終値!F90:R90-終値!G90:S90))/SUMPRODUCT((終値!F90:R90&lt;終値!G90:S90)*(終値!G90:S90-終値!F90:R90))),50)</f>
        <v>60.058881256133468</v>
      </c>
      <c r="X41" s="355">
        <f>IF(C41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61.079892054975971</v>
      </c>
      <c r="Y41" s="350" t="str">
        <f t="shared" si="9"/>
        <v>相場上昇・見送り | パーフェクト▲ MACD+ RSI:60.1 前日比:+3.3% [0点]</v>
      </c>
      <c r="Z41" s="356">
        <f t="shared" si="10"/>
        <v>3.2653061224489797</v>
      </c>
      <c r="AA41" s="350" t="str">
        <f t="shared" si="11"/>
        <v>上昇▲</v>
      </c>
      <c r="AB41" s="351">
        <f>IF(OR(C41="",C41="TOPX",終値!E90=""),"",IFERROR(((終値!E90*0.333)+(終値!F90*0.222)+(終値!G90*0.148)+(終値!H90*0.099)+(終値!I90*0.066))/(0.333+0.222+0.148+0.099+0.066),""))</f>
        <v>4317.7960829493086</v>
      </c>
      <c r="AC41" s="351">
        <f>IF(OR(C41="",C41="TOPX",終値!E90=""),"",IFERROR(SUMPRODUCT((終値!E90:AC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4057.2824791418334</v>
      </c>
      <c r="AD41" s="350" t="str">
        <f t="shared" si="12"/>
        <v>パーフェクト▲</v>
      </c>
      <c r="AE41" s="350" t="str">
        <f t="shared" si="13"/>
        <v>なし</v>
      </c>
      <c r="AF41" t="str">
        <f>IF(T41="","",IF(銘柄管理!$F$5="上昇▲",IF(AND(AD41="下降トレンド▼",OR(AE41="25日戻り売り★",AE41="5日戻り売り○")),"★逆張り売り",IF(AND(AD41="もみ合い→",OR(AE41="25日戻り売り★",AE41="5日戻り売り○")),"○逆張り売り",IF(W41&gt;=70,IF(Z41&lt;0,"◎反落確認","△過熱・様子見"),"相場上昇・見送り"))),IF(AND(T41&gt;=12,AD41="下降トレンド▼"),"★強い売り",IF(T41&gt;=12,"★強い売り",IF(AND(T41&gt;=8,OR(AE41="25日戻り売り★",AE41="5日戻り売り○")),"◎戻り売り",IF(T41&gt;=10,"○売り候補",IF(T41&gt;=6,"△注目",IF(T41&gt;=3,"様子見","見送り"))))))))</f>
        <v>相場上昇・見送り</v>
      </c>
      <c r="AG41">
        <f t="shared" si="15"/>
        <v>0</v>
      </c>
      <c r="AH41">
        <f t="shared" si="16"/>
        <v>0</v>
      </c>
      <c r="AI41" s="412" cm="1">
        <f t="array" ref="AI41">IF(C41="","",IFERROR((INDEX(終値!$E:$E,MATCH(TEXT(C41,"0"),終値!$A:$A,0))-INDEX(終値!$E:$BL,MATCH(TEXT(C41,"0"),終値!$A:$A,0),$AN$2))/INDEX(終値!$E:$BL,MATCH(TEXT(C41,"0"),終値!$A:$A,0),$AN$2)*100,""))</f>
        <v>13.935451588691519</v>
      </c>
      <c r="AJ41" s="412" cm="1">
        <f t="array" ref="AJ41">IFERROR((終値!$E$5-INDEX(終値!$E$5:$BL$5,1,$AN$2))/INDEX(終値!$E$5:$BL$5,1,$AN$2)*100,"")</f>
        <v>3.4532270246721688</v>
      </c>
      <c r="AK41" s="413">
        <f t="shared" si="17"/>
        <v>10.482224564019351</v>
      </c>
      <c r="AL41" s="411">
        <f t="shared" si="18"/>
        <v>-2</v>
      </c>
      <c r="AO41" s="415" t="str">
        <f t="shared" si="19"/>
        <v>通常</v>
      </c>
      <c r="AP41" s="416">
        <f t="shared" si="20"/>
        <v>0</v>
      </c>
      <c r="AQ41">
        <f>IF(C41&lt;&gt;"",始値!F90,"")</f>
        <v>4482</v>
      </c>
      <c r="AR41">
        <f>IF(C41&lt;&gt;"",高値!F90,"")</f>
        <v>4555</v>
      </c>
      <c r="AS41">
        <f>IF(C41&lt;&gt;"",安値!F90,"")</f>
        <v>4375</v>
      </c>
      <c r="AT41" t="str">
        <f t="shared" si="14"/>
        <v>通常</v>
      </c>
      <c r="AU41">
        <f t="shared" si="21"/>
        <v>0</v>
      </c>
    </row>
    <row r="42" spans="1:47" ht="14.25">
      <c r="A42" s="357" t="str">
        <f>IF(銘柄管理!B105&lt;&gt;"",HYPERLINK("https://kabutan.jp/stock/?code="&amp;銘柄管理!B105,"株探"),"")</f>
        <v>株探</v>
      </c>
      <c r="B42" s="230"/>
      <c r="C42" s="230">
        <f>IF(銘柄管理!B105="","",銘柄管理!B105)</f>
        <v>6925</v>
      </c>
      <c r="D42" s="230" t="str">
        <f>IF(銘柄管理!C105="","",銘柄管理!C105)</f>
        <v>ウシオ電機</v>
      </c>
      <c r="E42" s="358">
        <f>IF(C42&lt;&gt;"",_xll.RssMarket(C42,"現在値"),"")</f>
        <v>4596</v>
      </c>
      <c r="F42" s="358">
        <f>IF(C42&lt;&gt;"",_xll.RssMarket(C42,"始値"),"")</f>
        <v>4478</v>
      </c>
      <c r="G42" s="230">
        <f>IF(C42&lt;&gt;"",終値!F105,"")</f>
        <v>4302</v>
      </c>
      <c r="H42" s="358">
        <f>IF(C42&lt;&gt;"",_xll.RssMarket(C42,"高値"),"")</f>
        <v>4620</v>
      </c>
      <c r="I42" s="358">
        <f>IF(C42&lt;&gt;"",_xll.RssMarket(C42,"安値"),"")</f>
        <v>4405</v>
      </c>
      <c r="J42" s="358">
        <f>IF(C42&lt;&gt;"",_xll.RssMarket(C42,"出来高"),"")</f>
        <v>591100</v>
      </c>
      <c r="K42" s="358">
        <f>IF(C42&lt;&gt;"",_xll.RssMarket(C42,"年初来高値"),"")</f>
        <v>4416</v>
      </c>
      <c r="L42" s="359">
        <f t="shared" si="0"/>
        <v>4.0760869565217392</v>
      </c>
      <c r="M42" s="358">
        <f>IF(C42&lt;&gt;"",IFERROR(AVERAGE(出来高!E105:I105),""),"")</f>
        <v>451140</v>
      </c>
      <c r="N42" s="358">
        <f>IF(C42&lt;&gt;"",IFERROR(AVERAGE(出来高!E105:AC105),""),"")</f>
        <v>555696</v>
      </c>
      <c r="O42" s="360">
        <f t="shared" si="1"/>
        <v>1.310236290286829</v>
      </c>
      <c r="P42" s="230" t="str">
        <f t="shared" si="2"/>
        <v>普通→</v>
      </c>
      <c r="Q42" s="230" t="str">
        <f t="shared" si="3"/>
        <v>様子見▲</v>
      </c>
      <c r="R42" s="358">
        <f t="shared" si="4"/>
        <v>4228</v>
      </c>
      <c r="S42" s="358">
        <f t="shared" si="5"/>
        <v>4780</v>
      </c>
      <c r="T42" s="350">
        <f t="shared" si="6"/>
        <v>-1</v>
      </c>
      <c r="U42" s="230" t="str">
        <f t="shared" si="7"/>
        <v>除外</v>
      </c>
      <c r="V42" s="230" t="str">
        <f t="shared" si="8"/>
        <v>通常</v>
      </c>
      <c r="W42" s="361" cm="1">
        <f t="array" ref="W42">IFERROR(100-100/(1+SUMPRODUCT((終値!F105:R105&gt;終値!G105:S105)*(終値!F105:R105-終値!G105:S105))/SUMPRODUCT((終値!F105:R105&lt;終値!G105:S105)*(終値!G105:S105-終値!F105:R105))),50)</f>
        <v>53.470031545741328</v>
      </c>
      <c r="X42" s="362">
        <f>IF(C42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35.771108386834385</v>
      </c>
      <c r="Y42" s="230" t="str">
        <f t="shared" si="9"/>
        <v>相場上昇・見送り | パーフェクト▲ MACD+ RSI:53.5 前日比:+6.8% [-1点]</v>
      </c>
      <c r="Z42" s="363">
        <f t="shared" si="10"/>
        <v>6.8340306834030677</v>
      </c>
      <c r="AA42" s="230" t="str">
        <f t="shared" si="11"/>
        <v>上昇▲</v>
      </c>
      <c r="AB42" s="358">
        <f>IF(OR(C42="",C42="TOPX",終値!E105=""),"",IFERROR(((終値!E105*0.333)+(終値!F105*0.222)+(終値!G105*0.148)+(終値!H105*0.099)+(終値!I105*0.066))/(0.333+0.222+0.148+0.099+0.066),""))</f>
        <v>4309.8686635944696</v>
      </c>
      <c r="AC42" s="358">
        <f>IF(OR(C42="",C42="TOPX",終値!E105=""),"",IFERROR(SUMPRODUCT((終値!E105:AC105)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4116.4445768772339</v>
      </c>
      <c r="AD42" s="230" t="str">
        <f t="shared" si="12"/>
        <v>パーフェクト▲</v>
      </c>
      <c r="AE42" s="230" t="str">
        <f t="shared" si="13"/>
        <v>なし</v>
      </c>
      <c r="AF42" t="str">
        <f>IF(T42="","",IF(銘柄管理!$F$5="上昇▲",IF(AND(AD42="下降トレンド▼",OR(AE42="25日戻り売り★",AE42="5日戻り売り○")),"★逆張り売り",IF(AND(AD42="もみ合い→",OR(AE42="25日戻り売り★",AE42="5日戻り売り○")),"○逆張り売り",IF(W42&gt;=70,IF(Z42&lt;0,"◎反落確認","△過熱・様子見"),"相場上昇・見送り"))),IF(AND(T42&gt;=12,AD42="下降トレンド▼"),"★強い売り",IF(T42&gt;=12,"★強い売り",IF(AND(T42&gt;=8,OR(AE42="25日戻り売り★",AE42="5日戻り売り○")),"◎戻り売り",IF(T42&gt;=10,"○売り候補",IF(T42&gt;=6,"△注目",IF(T42&gt;=3,"様子見","見送り"))))))))</f>
        <v>相場上昇・見送り</v>
      </c>
      <c r="AG42">
        <f t="shared" si="15"/>
        <v>0</v>
      </c>
      <c r="AH42">
        <f t="shared" si="16"/>
        <v>0</v>
      </c>
      <c r="AI42" s="412" cm="1">
        <f t="array" ref="AI42">IF(C42="","",IFERROR((INDEX(終値!$E:$E,MATCH(TEXT(C42,"0"),終値!$A:$A,0))-INDEX(終値!$E:$BL,MATCH(TEXT(C42,"0"),終値!$A:$A,0),$AN$2))/INDEX(終値!$E:$BL,MATCH(TEXT(C42,"0"),終値!$A:$A,0),$AN$2)*100,""))</f>
        <v>29.86719412263351</v>
      </c>
      <c r="AJ42" s="412" cm="1">
        <f t="array" ref="AJ42">IFERROR((終値!$E$5-INDEX(終値!$E$5:$BL$5,1,$AN$2))/INDEX(終値!$E$5:$BL$5,1,$AN$2)*100,"")</f>
        <v>3.4532270246721688</v>
      </c>
      <c r="AK42" s="413">
        <f t="shared" si="17"/>
        <v>26.41396709796134</v>
      </c>
      <c r="AL42" s="411">
        <f t="shared" si="18"/>
        <v>-2</v>
      </c>
      <c r="AO42" s="415" t="str">
        <f t="shared" si="19"/>
        <v>通常</v>
      </c>
      <c r="AP42" s="416">
        <f t="shared" si="20"/>
        <v>0</v>
      </c>
      <c r="AQ42">
        <f>IF(C42&lt;&gt;"",始値!F105,"")</f>
        <v>4274</v>
      </c>
      <c r="AR42">
        <f>IF(C42&lt;&gt;"",高値!F105,"")</f>
        <v>4340</v>
      </c>
      <c r="AS42">
        <f>IF(C42&lt;&gt;"",安値!F105,"")</f>
        <v>4235</v>
      </c>
      <c r="AT42" t="str">
        <f t="shared" si="14"/>
        <v>通常</v>
      </c>
      <c r="AU42">
        <f t="shared" si="21"/>
        <v>0</v>
      </c>
    </row>
    <row r="43" spans="1:47" ht="14.25">
      <c r="A43" s="349" t="str">
        <f>IF(銘柄管理!B159&lt;&gt;"",HYPERLINK("https://kabutan.jp/stock/?code="&amp;銘柄管理!B159,"株探"),"")</f>
        <v>株探</v>
      </c>
      <c r="B43" s="350"/>
      <c r="C43" s="350">
        <f>IF(銘柄管理!B159="","",銘柄管理!B159)</f>
        <v>3891</v>
      </c>
      <c r="D43" s="350" t="str">
        <f>IF(銘柄管理!C159="","",銘柄管理!C159)</f>
        <v>ニッポン高度紙工業</v>
      </c>
      <c r="E43" s="351">
        <f>IF(C43&lt;&gt;"",_xll.RssMarket(C43,"現在値"),"")</f>
        <v>9980</v>
      </c>
      <c r="F43" s="351">
        <f>IF(C43&lt;&gt;"",_xll.RssMarket(C43,"始値"),"")</f>
        <v>8830</v>
      </c>
      <c r="G43" s="350">
        <f>IF(C43&lt;&gt;"",終値!F159,"")</f>
        <v>8920</v>
      </c>
      <c r="H43" s="351">
        <f>IF(C43&lt;&gt;"",_xll.RssMarket(C43,"高値"),"")</f>
        <v>10110</v>
      </c>
      <c r="I43" s="351">
        <f>IF(C43&lt;&gt;"",_xll.RssMarket(C43,"安値"),"")</f>
        <v>8780</v>
      </c>
      <c r="J43" s="351">
        <f>IF(C43&lt;&gt;"",_xll.RssMarket(C43,"出来高"),"")</f>
        <v>456000</v>
      </c>
      <c r="K43" s="351">
        <f>IF(C43&lt;&gt;"",_xll.RssMarket(C43,"年初来高値"),"")</f>
        <v>10470</v>
      </c>
      <c r="L43" s="352">
        <f t="shared" si="0"/>
        <v>-4.6800382043935054</v>
      </c>
      <c r="M43" s="351">
        <f>IF(C43&lt;&gt;"",IFERROR(AVERAGE(出来高!E159:I159),""),"")</f>
        <v>440020</v>
      </c>
      <c r="N43" s="351">
        <f>IF(C43&lt;&gt;"",IFERROR(AVERAGE(出来高!E159:AC159),""),"")</f>
        <v>254656</v>
      </c>
      <c r="O43" s="353">
        <f t="shared" si="1"/>
        <v>1.0363165310667697</v>
      </c>
      <c r="P43" s="350" t="str">
        <f t="shared" si="2"/>
        <v>普通→</v>
      </c>
      <c r="Q43" s="350" t="str">
        <f t="shared" si="3"/>
        <v>様子見▲</v>
      </c>
      <c r="R43" s="351">
        <f t="shared" si="4"/>
        <v>9182</v>
      </c>
      <c r="S43" s="351">
        <f t="shared" si="5"/>
        <v>10379</v>
      </c>
      <c r="T43" s="350">
        <f t="shared" si="6"/>
        <v>0</v>
      </c>
      <c r="U43" s="350" t="str">
        <f t="shared" si="7"/>
        <v>除外</v>
      </c>
      <c r="V43" s="350" t="str">
        <f t="shared" si="8"/>
        <v>通常</v>
      </c>
      <c r="W43" s="354" cm="1">
        <f t="array" ref="W43">IFERROR(100-100/(1+SUMPRODUCT((終値!F159:R159&gt;終値!G159:S159)*(終値!F159:R159-終値!G159:S159))/SUMPRODUCT((終値!F159:R159&lt;終値!G159:S159)*(終値!G159:S159-終値!F159:R159))),50)</f>
        <v>61.368209255533202</v>
      </c>
      <c r="X43" s="355">
        <f>IF(C43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341.33414796269972</v>
      </c>
      <c r="Y43" s="350" t="str">
        <f t="shared" si="9"/>
        <v>相場上昇・見送り | パーフェクト▲ MACD+ RSI:61.4 前日比:+11.9% [0点]</v>
      </c>
      <c r="Z43" s="356">
        <f t="shared" si="10"/>
        <v>11.883408071748878</v>
      </c>
      <c r="AA43" s="350" t="str">
        <f t="shared" si="11"/>
        <v>上昇▲</v>
      </c>
      <c r="AB43" s="351">
        <f>IF(OR(C43="",C43="TOPX",終値!E159=""),"",IFERROR(((終値!E159*0.333)+(終値!F159*0.222)+(終値!G159*0.148)+(終値!H159*0.099)+(終値!I159*0.066))/(0.333+0.222+0.148+0.099+0.066),""))</f>
        <v>9270.2764976958515</v>
      </c>
      <c r="AC43" s="351">
        <f>IF(OR(C43="",C43="TOPX",終値!E159=""),"",IFERROR(SUMPRODUCT((終値!E159:AC159)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8269.1179976162039</v>
      </c>
      <c r="AD43" s="350" t="str">
        <f t="shared" si="12"/>
        <v>パーフェクト▲</v>
      </c>
      <c r="AE43" s="350" t="str">
        <f t="shared" si="13"/>
        <v>なし</v>
      </c>
      <c r="AF43" t="str">
        <f>IF(T43="","",IF(銘柄管理!$F$5="上昇▲",IF(AND(AD43="下降トレンド▼",OR(AE43="25日戻り売り★",AE43="5日戻り売り○")),"★逆張り売り",IF(AND(AD43="もみ合い→",OR(AE43="25日戻り売り★",AE43="5日戻り売り○")),"○逆張り売り",IF(W43&gt;=70,IF(Z43&lt;0,"◎反落確認","△過熱・様子見"),"相場上昇・見送り"))),IF(AND(T43&gt;=12,AD43="下降トレンド▼"),"★強い売り",IF(T43&gt;=12,"★強い売り",IF(AND(T43&gt;=8,OR(AE43="25日戻り売り★",AE43="5日戻り売り○")),"◎戻り売り",IF(T43&gt;=10,"○売り候補",IF(T43&gt;=6,"△注目",IF(T43&gt;=3,"様子見","見送り"))))))))</f>
        <v>相場上昇・見送り</v>
      </c>
      <c r="AG43">
        <f t="shared" si="15"/>
        <v>0</v>
      </c>
      <c r="AH43">
        <f t="shared" si="16"/>
        <v>0</v>
      </c>
      <c r="AI43" s="412" cm="1">
        <f t="array" ref="AI43">IF(C43="","",IFERROR((INDEX(終値!$E:$E,MATCH(TEXT(C43,"0"),終値!$A:$A,0))-INDEX(終値!$E:$BL,MATCH(TEXT(C43,"0"),終値!$A:$A,0),$AN$2))/INDEX(終値!$E:$BL,MATCH(TEXT(C43,"0"),終値!$A:$A,0),$AN$2)*100,""))</f>
        <v>60.708534621578103</v>
      </c>
      <c r="AJ43" s="412" cm="1">
        <f t="array" ref="AJ43">IFERROR((終値!$E$5-INDEX(終値!$E$5:$BL$5,1,$AN$2))/INDEX(終値!$E$5:$BL$5,1,$AN$2)*100,"")</f>
        <v>3.4532270246721688</v>
      </c>
      <c r="AK43" s="413">
        <f t="shared" si="17"/>
        <v>57.255307596905936</v>
      </c>
      <c r="AL43" s="411">
        <f t="shared" si="18"/>
        <v>-2</v>
      </c>
      <c r="AO43" s="415" t="str">
        <f t="shared" si="19"/>
        <v>通常</v>
      </c>
      <c r="AP43" s="416">
        <f t="shared" si="20"/>
        <v>0</v>
      </c>
      <c r="AQ43">
        <f>IF(C43&lt;&gt;"",始値!F159,"")</f>
        <v>8770</v>
      </c>
      <c r="AR43">
        <f>IF(C43&lt;&gt;"",高値!F159,"")</f>
        <v>9140</v>
      </c>
      <c r="AS43">
        <f>IF(C43&lt;&gt;"",安値!F159,"")</f>
        <v>8300</v>
      </c>
      <c r="AT43" t="str">
        <f t="shared" si="14"/>
        <v>通常</v>
      </c>
      <c r="AU43">
        <f t="shared" si="21"/>
        <v>0</v>
      </c>
    </row>
    <row r="44" spans="1:47" ht="14.25">
      <c r="A44" s="357" t="str">
        <f>IF(銘柄管理!B162&lt;&gt;"",HYPERLINK("https://kabutan.jp/stock/?code="&amp;銘柄管理!B162,"株探"),"")</f>
        <v>株探</v>
      </c>
      <c r="B44" s="230"/>
      <c r="C44" s="230">
        <f>IF(銘柄管理!B162="","",銘柄管理!B162)</f>
        <v>9687</v>
      </c>
      <c r="D44" s="230" t="str">
        <f>IF(銘柄管理!C162="","",銘柄管理!C162)</f>
        <v>ＫＳＫ</v>
      </c>
      <c r="E44" s="358">
        <f>IF(C44&lt;&gt;"",_xll.RssMarket(C44,"現在値"),"")</f>
        <v>4345</v>
      </c>
      <c r="F44" s="358">
        <f>IF(C44&lt;&gt;"",_xll.RssMarket(C44,"始値"),"")</f>
        <v>4325</v>
      </c>
      <c r="G44" s="230">
        <f>IF(C44&lt;&gt;"",終値!F162,"")</f>
        <v>4300</v>
      </c>
      <c r="H44" s="358">
        <f>IF(C44&lt;&gt;"",_xll.RssMarket(C44,"高値"),"")</f>
        <v>4350</v>
      </c>
      <c r="I44" s="358">
        <f>IF(C44&lt;&gt;"",_xll.RssMarket(C44,"安値"),"")</f>
        <v>4325</v>
      </c>
      <c r="J44" s="358">
        <f>IF(C44&lt;&gt;"",_xll.RssMarket(C44,"出来高"),"")</f>
        <v>1700</v>
      </c>
      <c r="K44" s="358">
        <f>IF(C44&lt;&gt;"",_xll.RssMarket(C44,"年初来高値"),"")</f>
        <v>5320</v>
      </c>
      <c r="L44" s="359">
        <f t="shared" si="0"/>
        <v>-18.327067669172934</v>
      </c>
      <c r="M44" s="358">
        <f>IF(C44&lt;&gt;"",IFERROR(AVERAGE(出来高!E162:I162),""),"")</f>
        <v>1500</v>
      </c>
      <c r="N44" s="358">
        <f>IF(C44&lt;&gt;"",IFERROR(AVERAGE(出来高!E162:AC162),""),"")</f>
        <v>1668</v>
      </c>
      <c r="O44" s="360">
        <f t="shared" si="1"/>
        <v>1.1333333333333333</v>
      </c>
      <c r="P44" s="230" t="str">
        <f t="shared" si="2"/>
        <v>普通→</v>
      </c>
      <c r="Q44" s="230" t="str">
        <f t="shared" si="3"/>
        <v>様子見▲</v>
      </c>
      <c r="R44" s="358">
        <f t="shared" si="4"/>
        <v>3997</v>
      </c>
      <c r="S44" s="358">
        <f t="shared" si="5"/>
        <v>4519</v>
      </c>
      <c r="T44" s="350">
        <f t="shared" si="6"/>
        <v>6</v>
      </c>
      <c r="U44" s="230" t="str">
        <f t="shared" si="7"/>
        <v>要確認</v>
      </c>
      <c r="V44" s="230" t="str">
        <f t="shared" si="8"/>
        <v>通常</v>
      </c>
      <c r="W44" s="361" cm="1">
        <f t="array" ref="W44">IFERROR(100-100/(1+SUMPRODUCT((終値!F162:R162&gt;終値!G162:S162)*(終値!F162:R162-終値!G162:S162))/SUMPRODUCT((終値!F162:R162&lt;終値!G162:S162)*(終値!G162:S162-終値!F162:R162))),50)</f>
        <v>49.152542372881356</v>
      </c>
      <c r="X44" s="362">
        <f>IF(C44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-4.3045267653478732</v>
      </c>
      <c r="Y44" s="230" t="str">
        <f t="shared" si="9"/>
        <v>相場上昇・見送り | 上昇トレンド▲ MACD- RSI:49.2 前日比:+1.0%前日[大陰線▼] [6点]</v>
      </c>
      <c r="Z44" s="363">
        <f t="shared" si="10"/>
        <v>1.0465116279069768</v>
      </c>
      <c r="AA44" s="230" t="str">
        <f t="shared" si="11"/>
        <v>上昇▲</v>
      </c>
      <c r="AB44" s="358">
        <f>IF(OR(C44="",C44="TOPX",終値!E162=""),"",IFERROR(((終値!E162*0.333)+(終値!F162*0.222)+(終値!G162*0.148)+(終値!H162*0.099)+(終値!I162*0.066))/(0.333+0.222+0.148+0.099+0.066),""))</f>
        <v>4330.0691244239633</v>
      </c>
      <c r="AC44" s="358">
        <f>IF(OR(C44="",C44="TOPX",終値!E162=""),"",IFERROR(SUMPRODUCT((終値!E162:AC162)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4339.9106078665063</v>
      </c>
      <c r="AD44" s="230" t="str">
        <f t="shared" si="12"/>
        <v>上昇トレンド▲</v>
      </c>
      <c r="AE44" s="230" t="str">
        <f t="shared" si="13"/>
        <v>なし</v>
      </c>
      <c r="AF44" t="str">
        <f>IF(T44="","",IF(銘柄管理!$F$5="上昇▲",IF(AND(AD44="下降トレンド▼",OR(AE44="25日戻り売り★",AE44="5日戻り売り○")),"★逆張り売り",IF(AND(AD44="もみ合い→",OR(AE44="25日戻り売り★",AE44="5日戻り売り○")),"○逆張り売り",IF(W44&gt;=70,IF(Z44&lt;0,"◎反落確認","△過熱・様子見"),"相場上昇・見送り"))),IF(AND(T44&gt;=12,AD44="下降トレンド▼"),"★強い売り",IF(T44&gt;=12,"★強い売り",IF(AND(T44&gt;=8,OR(AE44="25日戻り売り★",AE44="5日戻り売り○")),"◎戻り売り",IF(T44&gt;=10,"○売り候補",IF(T44&gt;=6,"△注目",IF(T44&gt;=3,"様子見","見送り"))))))))</f>
        <v>相場上昇・見送り</v>
      </c>
      <c r="AG44">
        <f t="shared" si="15"/>
        <v>0</v>
      </c>
      <c r="AH44">
        <f t="shared" si="16"/>
        <v>0</v>
      </c>
      <c r="AI44" s="412" cm="1">
        <f t="array" ref="AI44">IF(C44="","",IFERROR((INDEX(終値!$E:$E,MATCH(TEXT(C44,"0"),終値!$A:$A,0))-INDEX(終値!$E:$BL,MATCH(TEXT(C44,"0"),終値!$A:$A,0),$AN$2))/INDEX(終値!$E:$BL,MATCH(TEXT(C44,"0"),終値!$A:$A,0),$AN$2)*100,""))</f>
        <v>-0.68571428571428572</v>
      </c>
      <c r="AJ44" s="412" cm="1">
        <f t="array" ref="AJ44">IFERROR((終値!$E$5-INDEX(終値!$E$5:$BL$5,1,$AN$2))/INDEX(終値!$E$5:$BL$5,1,$AN$2)*100,"")</f>
        <v>3.4532270246721688</v>
      </c>
      <c r="AK44" s="413">
        <f t="shared" si="17"/>
        <v>-4.1389413103864543</v>
      </c>
      <c r="AL44" s="411">
        <f t="shared" si="18"/>
        <v>1</v>
      </c>
      <c r="AO44" s="415" t="str">
        <f t="shared" si="19"/>
        <v>通常</v>
      </c>
      <c r="AP44" s="416">
        <f t="shared" si="20"/>
        <v>0</v>
      </c>
      <c r="AQ44">
        <f>IF(C44&lt;&gt;"",始値!F162,"")</f>
        <v>4335</v>
      </c>
      <c r="AR44">
        <f>IF(C44&lt;&gt;"",高値!F162,"")</f>
        <v>4335</v>
      </c>
      <c r="AS44">
        <f>IF(C44&lt;&gt;"",安値!F162,"")</f>
        <v>4295</v>
      </c>
      <c r="AT44" t="str">
        <f t="shared" si="14"/>
        <v>大陰線▼</v>
      </c>
      <c r="AU44">
        <f t="shared" si="21"/>
        <v>2</v>
      </c>
    </row>
    <row r="45" spans="1:47" ht="14.25">
      <c r="A45" s="349" t="str">
        <f>IF(銘柄管理!B200&lt;&gt;"",HYPERLINK("https://kabutan.jp/stock/?code="&amp;銘柄管理!B200,"株探"),"")</f>
        <v>株探</v>
      </c>
      <c r="B45" s="350"/>
      <c r="C45" s="350">
        <f>IF(銘柄管理!B200="","",銘柄管理!B200)</f>
        <v>5801</v>
      </c>
      <c r="D45" s="350" t="str">
        <f>IF(銘柄管理!C200="","",銘柄管理!C200)</f>
        <v>古河電工</v>
      </c>
      <c r="E45" s="351">
        <f>IF(C45&lt;&gt;"",_xll.RssMarket(C45,"現在値"),"")</f>
        <v>47440</v>
      </c>
      <c r="F45" s="351">
        <f>IF(C45&lt;&gt;"",_xll.RssMarket(C45,"始値"),"")</f>
        <v>44900</v>
      </c>
      <c r="G45" s="350">
        <f>IF(C45&lt;&gt;"",終値!F200,"")</f>
        <v>46130</v>
      </c>
      <c r="H45" s="351">
        <f>IF(C45&lt;&gt;"",_xll.RssMarket(C45,"高値"),"")</f>
        <v>47660</v>
      </c>
      <c r="I45" s="351">
        <f>IF(C45&lt;&gt;"",_xll.RssMarket(C45,"安値"),"")</f>
        <v>44900</v>
      </c>
      <c r="J45" s="351">
        <f>IF(C45&lt;&gt;"",_xll.RssMarket(C45,"出来高"),"")</f>
        <v>2674600</v>
      </c>
      <c r="K45" s="351">
        <f>IF(C45&lt;&gt;"",_xll.RssMarket(C45,"年初来高値"),"")</f>
        <v>62410</v>
      </c>
      <c r="L45" s="352">
        <f t="shared" si="0"/>
        <v>-23.986540618490626</v>
      </c>
      <c r="M45" s="351">
        <f>IF(C45&lt;&gt;"",IFERROR(AVERAGE(出来高!E200:I200),""),"")</f>
        <v>3589300</v>
      </c>
      <c r="N45" s="351">
        <f>IF(C45&lt;&gt;"",IFERROR(AVERAGE(出来高!E200:AC200),""),"")</f>
        <v>5211876</v>
      </c>
      <c r="O45" s="353">
        <f t="shared" si="1"/>
        <v>0.74515922324687267</v>
      </c>
      <c r="P45" s="350" t="str">
        <f t="shared" si="2"/>
        <v>減少↓</v>
      </c>
      <c r="Q45" s="350" t="str">
        <f t="shared" si="3"/>
        <v>様子見▲</v>
      </c>
      <c r="R45" s="351">
        <f t="shared" si="4"/>
        <v>43645</v>
      </c>
      <c r="S45" s="351">
        <f t="shared" si="5"/>
        <v>49338</v>
      </c>
      <c r="T45" s="350">
        <f t="shared" si="6"/>
        <v>9</v>
      </c>
      <c r="U45" s="350" t="str">
        <f t="shared" si="7"/>
        <v>要確認</v>
      </c>
      <c r="V45" s="350" t="str">
        <f t="shared" si="8"/>
        <v>安値圏</v>
      </c>
      <c r="W45" s="354" cm="1">
        <f t="array" ref="W45">IFERROR(100-100/(1+SUMPRODUCT((終値!F200:R200&gt;終値!G200:S200)*(終値!F200:R200-終値!G200:S200))/SUMPRODUCT((終値!F200:R200&lt;終値!G200:S200)*(終値!G200:S200-終値!F200:R200))),50)</f>
        <v>28.105533162330531</v>
      </c>
      <c r="X45" s="355">
        <f>IF(C45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-1207.9030325705753</v>
      </c>
      <c r="Y45" s="350" t="str">
        <f t="shared" si="9"/>
        <v>相場上昇・見送り | もみ合い→ MACD- RSI:28.1 [売られ過ぎ] 前日比:+2.8% [安値圏] [9点]</v>
      </c>
      <c r="Z45" s="356">
        <f t="shared" si="10"/>
        <v>2.8398005636245394</v>
      </c>
      <c r="AA45" s="350" t="str">
        <f t="shared" si="11"/>
        <v>上昇▲</v>
      </c>
      <c r="AB45" s="351">
        <f>IF(OR(C45="",C45="TOPX",終値!E200=""),"",IFERROR(((終値!E200*0.333)+(終値!F200*0.222)+(終値!G200*0.148)+(終値!H200*0.099)+(終値!I200*0.066))/(0.333+0.222+0.148+0.099+0.066),""))</f>
        <v>44946.497695852529</v>
      </c>
      <c r="AC45" s="351">
        <f>IF(OR(C45="",C45="TOPX",終値!E200=""),"",IFERROR(SUMPRODUCT((終値!E200:AC200)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48547.914183551846</v>
      </c>
      <c r="AD45" s="350" t="str">
        <f t="shared" si="12"/>
        <v>もみ合い→</v>
      </c>
      <c r="AE45" s="350" t="str">
        <f t="shared" si="13"/>
        <v>なし</v>
      </c>
      <c r="AF45" t="str">
        <f>IF(T45="","",IF(銘柄管理!$F$5="上昇▲",IF(AND(AD45="下降トレンド▼",OR(AE45="25日戻り売り★",AE45="5日戻り売り○")),"★逆張り売り",IF(AND(AD45="もみ合い→",OR(AE45="25日戻り売り★",AE45="5日戻り売り○")),"○逆張り売り",IF(W45&gt;=70,IF(Z45&lt;0,"◎反落確認","△過熱・様子見"),"相場上昇・見送り"))),IF(AND(T45&gt;=12,AD45="下降トレンド▼"),"★強い売り",IF(T45&gt;=12,"★強い売り",IF(AND(T45&gt;=8,OR(AE45="25日戻り売り★",AE45="5日戻り売り○")),"◎戻り売り",IF(T45&gt;=10,"○売り候補",IF(T45&gt;=6,"△注目",IF(T45&gt;=3,"様子見","見送り"))))))))</f>
        <v>相場上昇・見送り</v>
      </c>
      <c r="AG45">
        <f t="shared" si="15"/>
        <v>9</v>
      </c>
      <c r="AH45">
        <f t="shared" si="16"/>
        <v>89955</v>
      </c>
      <c r="AI45" s="412" cm="1">
        <f t="array" ref="AI45">IF(C45="","",IFERROR((INDEX(終値!$E:$E,MATCH(TEXT(C45,"0"),終値!$A:$A,0))-INDEX(終値!$E:$BL,MATCH(TEXT(C45,"0"),終値!$A:$A,0),$AN$2))/INDEX(終値!$E:$BL,MATCH(TEXT(C45,"0"),終値!$A:$A,0),$AN$2)*100,""))</f>
        <v>-17.091925900034951</v>
      </c>
      <c r="AJ45" s="412" cm="1">
        <f t="array" ref="AJ45">IFERROR((終値!$E$5-INDEX(終値!$E$5:$BL$5,1,$AN$2))/INDEX(終値!$E$5:$BL$5,1,$AN$2)*100,"")</f>
        <v>3.4532270246721688</v>
      </c>
      <c r="AK45" s="413">
        <f t="shared" si="17"/>
        <v>-20.545152924707121</v>
      </c>
      <c r="AL45" s="411">
        <f t="shared" si="18"/>
        <v>3</v>
      </c>
      <c r="AO45" s="415" t="str">
        <f t="shared" si="19"/>
        <v>通常</v>
      </c>
      <c r="AP45" s="416">
        <f t="shared" si="20"/>
        <v>0</v>
      </c>
      <c r="AQ45">
        <f>IF(C45&lt;&gt;"",始値!F200,"")</f>
        <v>45000</v>
      </c>
      <c r="AR45">
        <f>IF(C45&lt;&gt;"",高値!F200,"")</f>
        <v>48310</v>
      </c>
      <c r="AS45">
        <f>IF(C45&lt;&gt;"",安値!F200,"")</f>
        <v>43580</v>
      </c>
      <c r="AT45" t="str">
        <f t="shared" si="14"/>
        <v>通常</v>
      </c>
      <c r="AU45">
        <f t="shared" si="21"/>
        <v>0</v>
      </c>
    </row>
    <row r="46" spans="1:47" ht="14.25">
      <c r="A46" s="357" t="str">
        <f>IF(銘柄管理!B8&lt;&gt;"",HYPERLINK("https://kabutan.jp/stock/?code="&amp;銘柄管理!B8,"株探"),"")</f>
        <v>株探</v>
      </c>
      <c r="B46" s="230"/>
      <c r="C46" s="230">
        <f>IF(銘柄管理!B8="","",銘柄管理!B8)</f>
        <v>5713</v>
      </c>
      <c r="D46" s="230" t="str">
        <f>IF(銘柄管理!C8="","",銘柄管理!C8)</f>
        <v>住友鉱山</v>
      </c>
      <c r="E46" s="358">
        <f>IF(C46&lt;&gt;"",_xll.RssMarket(C46,"現在値"),"")</f>
        <v>9155</v>
      </c>
      <c r="F46" s="358">
        <f>IF(C46&lt;&gt;"",_xll.RssMarket(C46,"始値"),"")</f>
        <v>8899</v>
      </c>
      <c r="G46" s="230">
        <f>IF(C46&lt;&gt;"",終値!F8,"")</f>
        <v>8863</v>
      </c>
      <c r="H46" s="358">
        <f>IF(C46&lt;&gt;"",_xll.RssMarket(C46,"高値"),"")</f>
        <v>9255</v>
      </c>
      <c r="I46" s="358">
        <f>IF(C46&lt;&gt;"",_xll.RssMarket(C46,"安値"),"")</f>
        <v>8779</v>
      </c>
      <c r="J46" s="358">
        <f>IF(C46&lt;&gt;"",_xll.RssMarket(C46,"出来高"),"")</f>
        <v>2551700</v>
      </c>
      <c r="K46" s="358">
        <f>IF(C46&lt;&gt;"",_xll.RssMarket(C46,"年初来高値"),"")</f>
        <v>13300</v>
      </c>
      <c r="L46" s="359">
        <f t="shared" si="0"/>
        <v>-31.165413533834585</v>
      </c>
      <c r="M46" s="358">
        <f>IF(C46&lt;&gt;"",IFERROR(AVERAGE(出来高!E8:I8),""),"")</f>
        <v>3290620</v>
      </c>
      <c r="N46" s="358">
        <f>IF(C46&lt;&gt;"",IFERROR(AVERAGE(出来高!E8:AC8),""),"")</f>
        <v>3597300</v>
      </c>
      <c r="O46" s="360">
        <f t="shared" si="1"/>
        <v>0.7754465723784576</v>
      </c>
      <c r="P46" s="230" t="str">
        <f t="shared" si="2"/>
        <v>減少↓</v>
      </c>
      <c r="Q46" s="230" t="str">
        <f t="shared" si="3"/>
        <v>様子見▲</v>
      </c>
      <c r="R46" s="358">
        <f t="shared" si="4"/>
        <v>8423</v>
      </c>
      <c r="S46" s="358">
        <f t="shared" si="5"/>
        <v>9521</v>
      </c>
      <c r="T46" s="350">
        <f t="shared" si="6"/>
        <v>11</v>
      </c>
      <c r="U46" s="230" t="str">
        <f t="shared" si="7"/>
        <v>要確認</v>
      </c>
      <c r="V46" s="230" t="str">
        <f t="shared" si="8"/>
        <v>安値圏</v>
      </c>
      <c r="W46" s="361" cm="1">
        <f t="array" ref="W46">IFERROR(100-100/(1+SUMPRODUCT((終値!F8:R8&gt;終値!G8:S8)*(終値!F8:R8-終値!G8:S8))/SUMPRODUCT((終値!F8:R8&lt;終値!G8:S8)*(終値!G8:S8-終値!F8:R8))),50)</f>
        <v>38.842581567039772</v>
      </c>
      <c r="X46" s="362">
        <f>IF(C46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-157.70382981941657</v>
      </c>
      <c r="Y46" s="230" t="str">
        <f t="shared" si="9"/>
        <v>相場上昇・見送り | 上昇トレンド▲ MACD- RSI:38.8 前日比:+3.3% [安値圏]前日[大陰線▼] [11点]</v>
      </c>
      <c r="Z46" s="363">
        <f t="shared" si="10"/>
        <v>3.2945955094211894</v>
      </c>
      <c r="AA46" s="230" t="str">
        <f t="shared" si="11"/>
        <v>上昇▲</v>
      </c>
      <c r="AB46" s="358">
        <f>IF(OR(C46="",C46="TOPX",終値!E8=""),"",IFERROR(((終値!E8*0.333)+(終値!F8*0.222)+(終値!G8*0.148)+(終値!H8*0.099)+(終値!I8*0.066))/(0.333+0.222+0.148+0.099+0.066),""))</f>
        <v>8730.5230414746529</v>
      </c>
      <c r="AC46" s="358">
        <f>IF(OR(C46="",C46="TOPX",終値!E8=""),"",IFERROR(SUMPRODUCT((終値!E8:AC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8884.4612634088189</v>
      </c>
      <c r="AD46" s="230" t="str">
        <f t="shared" si="12"/>
        <v>上昇トレンド▲</v>
      </c>
      <c r="AE46" s="230" t="str">
        <f t="shared" si="13"/>
        <v>なし</v>
      </c>
      <c r="AF46" t="str">
        <f>IF(T46="","",IF(銘柄管理!$F$5="上昇▲",IF(AND(AD46="下降トレンド▼",OR(AE46="25日戻り売り★",AE46="5日戻り売り○")),"★逆張り売り",IF(AND(AD46="もみ合い→",OR(AE46="25日戻り売り★",AE46="5日戻り売り○")),"○逆張り売り",IF(W46&gt;=70,IF(Z46&lt;0,"◎反落確認","△過熱・様子見"),"相場上昇・見送り"))),IF(AND(T46&gt;=12,AD46="下降トレンド▼"),"★強い売り",IF(T46&gt;=12,"★強い売り",IF(AND(T46&gt;=8,OR(AE46="25日戻り売り★",AE46="5日戻り売り○")),"◎戻り売り",IF(T46&gt;=10,"○売り候補",IF(T46&gt;=6,"△注目",IF(T46&gt;=3,"様子見","見送り"))))))))</f>
        <v>相場上昇・見送り</v>
      </c>
      <c r="AG46">
        <f t="shared" si="15"/>
        <v>11</v>
      </c>
      <c r="AH46">
        <f t="shared" si="16"/>
        <v>109954</v>
      </c>
      <c r="AI46" s="412" cm="1">
        <f t="array" ref="AI46">IF(C46="","",IFERROR((INDEX(終値!$E:$E,MATCH(TEXT(C46,"0"),終値!$A:$A,0))-INDEX(終値!$E:$BL,MATCH(TEXT(C46,"0"),終値!$A:$A,0),$AN$2))/INDEX(終値!$E:$BL,MATCH(TEXT(C46,"0"),終値!$A:$A,0),$AN$2)*100,""))</f>
        <v>-13.345953620444865</v>
      </c>
      <c r="AJ46" s="412" cm="1">
        <f t="array" ref="AJ46">IFERROR((終値!$E$5-INDEX(終値!$E$5:$BL$5,1,$AN$2))/INDEX(終値!$E$5:$BL$5,1,$AN$2)*100,"")</f>
        <v>3.4532270246721688</v>
      </c>
      <c r="AK46" s="413">
        <f t="shared" si="17"/>
        <v>-16.799180645117033</v>
      </c>
      <c r="AL46" s="411">
        <f t="shared" si="18"/>
        <v>3</v>
      </c>
      <c r="AO46" s="415" t="str">
        <f t="shared" si="19"/>
        <v>通常</v>
      </c>
      <c r="AP46" s="416">
        <f t="shared" si="20"/>
        <v>0</v>
      </c>
      <c r="AQ46">
        <f>IF(C46&lt;&gt;"",始値!F8,"")</f>
        <v>9340</v>
      </c>
      <c r="AR46">
        <f>IF(C46&lt;&gt;"",高値!F8,"")</f>
        <v>9340</v>
      </c>
      <c r="AS46">
        <f>IF(C46&lt;&gt;"",安値!F8,"")</f>
        <v>8863</v>
      </c>
      <c r="AT46" t="str">
        <f t="shared" si="14"/>
        <v>大陰線▼</v>
      </c>
      <c r="AU46">
        <f t="shared" si="21"/>
        <v>2</v>
      </c>
    </row>
    <row r="47" spans="1:47" ht="14.25">
      <c r="A47" s="349" t="str">
        <f>IF(銘柄管理!B10&lt;&gt;"",HYPERLINK("https://kabutan.jp/stock/?code="&amp;銘柄管理!B10,"株探"),"")</f>
        <v>株探</v>
      </c>
      <c r="B47" s="350"/>
      <c r="C47" s="350">
        <f>IF(銘柄管理!B10="","",銘柄管理!B10)</f>
        <v>5714</v>
      </c>
      <c r="D47" s="350" t="str">
        <f>IF(銘柄管理!C10="","",銘柄管理!C10)</f>
        <v>ＤＯＷＡホールディングス</v>
      </c>
      <c r="E47" s="351">
        <f>IF(C47&lt;&gt;"",_xll.RssMarket(C47,"現在値"),"")</f>
        <v>9839</v>
      </c>
      <c r="F47" s="351">
        <f>IF(C47&lt;&gt;"",_xll.RssMarket(C47,"始値"),"")</f>
        <v>9770</v>
      </c>
      <c r="G47" s="350">
        <f>IF(C47&lt;&gt;"",終値!F10,"")</f>
        <v>9685</v>
      </c>
      <c r="H47" s="351">
        <f>IF(C47&lt;&gt;"",_xll.RssMarket(C47,"高値"),"")</f>
        <v>9927</v>
      </c>
      <c r="I47" s="351">
        <f>IF(C47&lt;&gt;"",_xll.RssMarket(C47,"安値"),"")</f>
        <v>9615</v>
      </c>
      <c r="J47" s="351">
        <f>IF(C47&lt;&gt;"",_xll.RssMarket(C47,"出来高"),"")</f>
        <v>365500</v>
      </c>
      <c r="K47" s="351">
        <f>IF(C47&lt;&gt;"",_xll.RssMarket(C47,"年初来高値"),"")</f>
        <v>12380</v>
      </c>
      <c r="L47" s="352">
        <f t="shared" si="0"/>
        <v>-20.525040387722132</v>
      </c>
      <c r="M47" s="351">
        <f>IF(C47&lt;&gt;"",IFERROR(AVERAGE(出来高!E10:I10),""),"")</f>
        <v>445140</v>
      </c>
      <c r="N47" s="351">
        <f>IF(C47&lt;&gt;"",IFERROR(AVERAGE(出来高!E10:AC10),""),"")</f>
        <v>546228</v>
      </c>
      <c r="O47" s="353">
        <f t="shared" si="1"/>
        <v>0.82108999415914097</v>
      </c>
      <c r="P47" s="350" t="str">
        <f t="shared" si="2"/>
        <v>減少↓</v>
      </c>
      <c r="Q47" s="350" t="str">
        <f t="shared" si="3"/>
        <v>様子見▲</v>
      </c>
      <c r="R47" s="351">
        <f t="shared" si="4"/>
        <v>9052</v>
      </c>
      <c r="S47" s="351">
        <f t="shared" si="5"/>
        <v>10233</v>
      </c>
      <c r="T47" s="350">
        <f t="shared" si="6"/>
        <v>11</v>
      </c>
      <c r="U47" s="350" t="str">
        <f t="shared" si="7"/>
        <v>要確認</v>
      </c>
      <c r="V47" s="350" t="str">
        <f t="shared" si="8"/>
        <v>通常</v>
      </c>
      <c r="W47" s="354" cm="1">
        <f t="array" ref="W47">IFERROR(100-100/(1+SUMPRODUCT((終値!F10:R10&gt;終値!G10:S10)*(終値!F10:R10-終値!G10:S10))/SUMPRODUCT((終値!F10:R10&lt;終値!G10:S10)*(終値!G10:S10-終値!F10:R10))),50)</f>
        <v>33.774662512980271</v>
      </c>
      <c r="X47" s="355">
        <f>IF(C47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-159.00096123611183</v>
      </c>
      <c r="Y47" s="350" t="str">
        <f t="shared" si="9"/>
        <v>○逆張り売り | もみ合い→ 25日戻り売り★ MACD- RSI:33.8 前日比:+1.6%前日[大陰線▼] [11点]</v>
      </c>
      <c r="Z47" s="356">
        <f t="shared" si="10"/>
        <v>1.5900877645844087</v>
      </c>
      <c r="AA47" s="350" t="str">
        <f t="shared" si="11"/>
        <v>上昇▲</v>
      </c>
      <c r="AB47" s="351">
        <f>IF(OR(C47="",C47="TOPX",終値!E10=""),"",IFERROR(((終値!E10*0.333)+(終値!F10*0.222)+(終値!G10*0.148)+(終値!H10*0.099)+(終値!I10*0.066))/(0.333+0.222+0.148+0.099+0.066),""))</f>
        <v>9550.2880184331807</v>
      </c>
      <c r="AC47" s="351">
        <f>IF(OR(C47="",C47="TOPX",終値!E10=""),"",IFERROR(SUMPRODUCT((終値!E10:AC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9926.897497020258</v>
      </c>
      <c r="AD47" s="350" t="str">
        <f t="shared" si="12"/>
        <v>もみ合い→</v>
      </c>
      <c r="AE47" s="350" t="str">
        <f t="shared" si="13"/>
        <v>25日戻り売り★</v>
      </c>
      <c r="AF47" t="str">
        <f>IF(T47="","",IF(銘柄管理!$F$5="上昇▲",IF(AND(AD47="下降トレンド▼",OR(AE47="25日戻り売り★",AE47="5日戻り売り○")),"★逆張り売り",IF(AND(AD47="もみ合い→",OR(AE47="25日戻り売り★",AE47="5日戻り売り○")),"○逆張り売り",IF(W47&gt;=70,IF(Z47&lt;0,"◎反落確認","△過熱・様子見"),"相場上昇・見送り"))),IF(AND(T47&gt;=12,AD47="下降トレンド▼"),"★強い売り",IF(T47&gt;=12,"★強い売り",IF(AND(T47&gt;=8,OR(AE47="25日戻り売り★",AE47="5日戻り売り○")),"◎戻り売り",IF(T47&gt;=10,"○売り候補",IF(T47&gt;=6,"△注目",IF(T47&gt;=3,"様子見","見送り"))))))))</f>
        <v>○逆張り売り</v>
      </c>
      <c r="AG47">
        <f t="shared" si="15"/>
        <v>11</v>
      </c>
      <c r="AH47">
        <f t="shared" si="16"/>
        <v>109953</v>
      </c>
      <c r="AI47" s="412" cm="1">
        <f t="array" ref="AI47">IF(C47="","",IFERROR((INDEX(終値!$E:$E,MATCH(TEXT(C47,"0"),終値!$A:$A,0))-INDEX(終値!$E:$BL,MATCH(TEXT(C47,"0"),終値!$A:$A,0),$AN$2))/INDEX(終値!$E:$BL,MATCH(TEXT(C47,"0"),終値!$A:$A,0),$AN$2)*100,""))</f>
        <v>-1.8553615960099752</v>
      </c>
      <c r="AJ47" s="412" cm="1">
        <f t="array" ref="AJ47">IFERROR((終値!$E$5-INDEX(終値!$E$5:$BL$5,1,$AN$2))/INDEX(終値!$E$5:$BL$5,1,$AN$2)*100,"")</f>
        <v>3.4532270246721688</v>
      </c>
      <c r="AK47" s="413">
        <f t="shared" si="17"/>
        <v>-5.3085886206821442</v>
      </c>
      <c r="AL47" s="411">
        <f t="shared" si="18"/>
        <v>3</v>
      </c>
      <c r="AO47" s="415" t="str">
        <f t="shared" si="19"/>
        <v>通常</v>
      </c>
      <c r="AP47" s="416">
        <f t="shared" si="20"/>
        <v>0</v>
      </c>
      <c r="AQ47">
        <f>IF(C47&lt;&gt;"",始値!F10,"")</f>
        <v>9904</v>
      </c>
      <c r="AR47">
        <f>IF(C47&lt;&gt;"",高値!F10,"")</f>
        <v>9915</v>
      </c>
      <c r="AS47">
        <f>IF(C47&lt;&gt;"",安値!F10,"")</f>
        <v>9685</v>
      </c>
      <c r="AT47" t="str">
        <f t="shared" si="14"/>
        <v>大陰線▼</v>
      </c>
      <c r="AU47">
        <f t="shared" si="21"/>
        <v>2</v>
      </c>
    </row>
    <row r="48" spans="1:47" ht="14.25">
      <c r="A48" s="357" t="str">
        <f>IF(銘柄管理!B13&lt;&gt;"",HYPERLINK("https://kabutan.jp/stock/?code="&amp;銘柄管理!B13,"株探"),"")</f>
        <v>株探</v>
      </c>
      <c r="B48" s="230"/>
      <c r="C48" s="230">
        <f>IF(銘柄管理!B13="","",銘柄管理!B13)</f>
        <v>5703</v>
      </c>
      <c r="D48" s="230" t="str">
        <f>IF(銘柄管理!C13="","",銘柄管理!C13)</f>
        <v>日本軽金属ＨＤ</v>
      </c>
      <c r="E48" s="358">
        <f>IF(C48&lt;&gt;"",_xll.RssMarket(C48,"現在値"),"")</f>
        <v>2958</v>
      </c>
      <c r="F48" s="358">
        <f>IF(C48&lt;&gt;"",_xll.RssMarket(C48,"始値"),"")</f>
        <v>3035</v>
      </c>
      <c r="G48" s="230">
        <f>IF(C48&lt;&gt;"",終値!F13,"")</f>
        <v>3010</v>
      </c>
      <c r="H48" s="358">
        <f>IF(C48&lt;&gt;"",_xll.RssMarket(C48,"高値"),"")</f>
        <v>3065</v>
      </c>
      <c r="I48" s="358">
        <f>IF(C48&lt;&gt;"",_xll.RssMarket(C48,"安値"),"")</f>
        <v>2945</v>
      </c>
      <c r="J48" s="358">
        <f>IF(C48&lt;&gt;"",_xll.RssMarket(C48,"出来高"),"")</f>
        <v>315700</v>
      </c>
      <c r="K48" s="358">
        <f>IF(C48&lt;&gt;"",_xll.RssMarket(C48,"年初来高値"),"")</f>
        <v>3330</v>
      </c>
      <c r="L48" s="359">
        <f t="shared" si="0"/>
        <v>-11.171171171171171</v>
      </c>
      <c r="M48" s="358">
        <f>IF(C48&lt;&gt;"",IFERROR(AVERAGE(出来高!E13:I13),""),"")</f>
        <v>308920</v>
      </c>
      <c r="N48" s="358">
        <f>IF(C48&lt;&gt;"",IFERROR(AVERAGE(出来高!E13:AC13),""),"")</f>
        <v>341184</v>
      </c>
      <c r="O48" s="360">
        <f t="shared" si="1"/>
        <v>1.0219474297552764</v>
      </c>
      <c r="P48" s="230" t="str">
        <f t="shared" si="2"/>
        <v>普通→</v>
      </c>
      <c r="Q48" s="230" t="str">
        <f t="shared" si="3"/>
        <v>中立→</v>
      </c>
      <c r="R48" s="358">
        <f t="shared" si="4"/>
        <v>2721</v>
      </c>
      <c r="S48" s="358">
        <f t="shared" si="5"/>
        <v>3076</v>
      </c>
      <c r="T48" s="350">
        <f t="shared" si="6"/>
        <v>9</v>
      </c>
      <c r="U48" s="230" t="str">
        <f t="shared" si="7"/>
        <v>要確認</v>
      </c>
      <c r="V48" s="230" t="str">
        <f t="shared" si="8"/>
        <v>通常</v>
      </c>
      <c r="W48" s="361" cm="1">
        <f t="array" ref="W48">IFERROR(100-100/(1+SUMPRODUCT((終値!F13:R13&gt;終値!G13:S13)*(終値!F13:R13-終値!G13:S13))/SUMPRODUCT((終値!F13:R13&lt;終値!G13:S13)*(終値!G13:S13-終値!F13:R13))),50)</f>
        <v>34.993614303959134</v>
      </c>
      <c r="X48" s="362">
        <f>IF(C48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-9.5713205354263664</v>
      </c>
      <c r="Y48" s="230" t="str">
        <f t="shared" si="9"/>
        <v>相場上昇・見送り | 下降トレンド▼ MACD- RSI:35.0 前日比:-1.7% [9点]</v>
      </c>
      <c r="Z48" s="363">
        <f t="shared" si="10"/>
        <v>-1.7275747508305648</v>
      </c>
      <c r="AA48" s="230" t="str">
        <f t="shared" si="11"/>
        <v>下落▼</v>
      </c>
      <c r="AB48" s="358">
        <f>IF(OR(C48="",C48="TOPX",終値!E13=""),"",IFERROR(((終値!E13*0.333)+(終値!F13*0.222)+(終値!G13*0.148)+(終値!H13*0.099)+(終値!I13*0.066))/(0.333+0.222+0.148+0.099+0.066),""))</f>
        <v>2996.6105990783408</v>
      </c>
      <c r="AC48" s="358">
        <f>IF(OR(C48="",C48="TOPX",終値!E13=""),"",IFERROR(SUMPRODUCT((終値!E13:AC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3093.9427890345642</v>
      </c>
      <c r="AD48" s="230" t="str">
        <f t="shared" si="12"/>
        <v>下降トレンド▼</v>
      </c>
      <c r="AE48" s="230" t="str">
        <f t="shared" si="13"/>
        <v>なし</v>
      </c>
      <c r="AF48" t="str">
        <f>IF(T48="","",IF(銘柄管理!$F$5="上昇▲",IF(AND(AD48="下降トレンド▼",OR(AE48="25日戻り売り★",AE48="5日戻り売り○")),"★逆張り売り",IF(AND(AD48="もみ合い→",OR(AE48="25日戻り売り★",AE48="5日戻り売り○")),"○逆張り売り",IF(W48&gt;=70,IF(Z48&lt;0,"◎反落確認","△過熱・様子見"),"相場上昇・見送り"))),IF(AND(T48&gt;=12,AD48="下降トレンド▼"),"★強い売り",IF(T48&gt;=12,"★強い売り",IF(AND(T48&gt;=8,OR(AE48="25日戻り売り★",AE48="5日戻り売り○")),"◎戻り売り",IF(T48&gt;=10,"○売り候補",IF(T48&gt;=6,"△注目",IF(T48&gt;=3,"様子見","見送り"))))))))</f>
        <v>相場上昇・見送り</v>
      </c>
      <c r="AG48">
        <f t="shared" si="15"/>
        <v>9</v>
      </c>
      <c r="AH48">
        <f t="shared" si="16"/>
        <v>89952</v>
      </c>
      <c r="AI48" s="412" cm="1">
        <f t="array" ref="AI48">IF(C48="","",IFERROR((INDEX(終値!$E:$E,MATCH(TEXT(C48,"0"),終値!$A:$A,0))-INDEX(終値!$E:$BL,MATCH(TEXT(C48,"0"),終値!$A:$A,0),$AN$2))/INDEX(終値!$E:$BL,MATCH(TEXT(C48,"0"),終値!$A:$A,0),$AN$2)*100,""))</f>
        <v>-2.6973684210526319</v>
      </c>
      <c r="AJ48" s="412" cm="1">
        <f t="array" ref="AJ48">IFERROR((終値!$E$5-INDEX(終値!$E$5:$BL$5,1,$AN$2))/INDEX(終値!$E$5:$BL$5,1,$AN$2)*100,"")</f>
        <v>3.4532270246721688</v>
      </c>
      <c r="AK48" s="413">
        <f t="shared" si="17"/>
        <v>-6.1505954457248002</v>
      </c>
      <c r="AL48" s="411">
        <f t="shared" si="18"/>
        <v>3</v>
      </c>
      <c r="AO48" s="415" t="str">
        <f t="shared" si="19"/>
        <v>通常</v>
      </c>
      <c r="AP48" s="416">
        <f t="shared" si="20"/>
        <v>0</v>
      </c>
      <c r="AQ48">
        <f>IF(C48&lt;&gt;"",始値!F13,"")</f>
        <v>3060</v>
      </c>
      <c r="AR48">
        <f>IF(C48&lt;&gt;"",高値!F13,"")</f>
        <v>3085</v>
      </c>
      <c r="AS48">
        <f>IF(C48&lt;&gt;"",安値!F13,"")</f>
        <v>2999</v>
      </c>
      <c r="AT48" t="str">
        <f t="shared" si="14"/>
        <v>通常</v>
      </c>
      <c r="AU48">
        <f t="shared" si="21"/>
        <v>0</v>
      </c>
    </row>
    <row r="49" spans="1:47" ht="14.25">
      <c r="A49" s="349" t="str">
        <f>IF(銘柄管理!B25&lt;&gt;"",HYPERLINK("https://kabutan.jp/stock/?code="&amp;銘柄管理!B25,"株探"),"")</f>
        <v>株探</v>
      </c>
      <c r="B49" s="350"/>
      <c r="C49" s="350">
        <f>IF(銘柄管理!B25="","",銘柄管理!B25)</f>
        <v>8053</v>
      </c>
      <c r="D49" s="350" t="str">
        <f>IF(銘柄管理!C25="","",銘柄管理!C25)</f>
        <v>住友商事</v>
      </c>
      <c r="E49" s="351">
        <f>IF(C49&lt;&gt;"",_xll.RssMarket(C49,"現在値"),"")</f>
        <v>6547</v>
      </c>
      <c r="F49" s="351">
        <f>IF(C49&lt;&gt;"",_xll.RssMarket(C49,"始値"),"")</f>
        <v>6601</v>
      </c>
      <c r="G49" s="350">
        <f>IF(C49&lt;&gt;"",終値!F25,"")</f>
        <v>6529</v>
      </c>
      <c r="H49" s="351">
        <f>IF(C49&lt;&gt;"",_xll.RssMarket(C49,"高値"),"")</f>
        <v>6645</v>
      </c>
      <c r="I49" s="351">
        <f>IF(C49&lt;&gt;"",_xll.RssMarket(C49,"安値"),"")</f>
        <v>6478</v>
      </c>
      <c r="J49" s="351">
        <f>IF(C49&lt;&gt;"",_xll.RssMarket(C49,"出来高"),"")</f>
        <v>2278500</v>
      </c>
      <c r="K49" s="351">
        <f>IF(C49&lt;&gt;"",_xll.RssMarket(C49,"年初来高値"),"")</f>
        <v>7775</v>
      </c>
      <c r="L49" s="352">
        <f t="shared" si="0"/>
        <v>-15.794212218649516</v>
      </c>
      <c r="M49" s="351">
        <f>IF(C49&lt;&gt;"",IFERROR(AVERAGE(出来高!E25:I25),""),"")</f>
        <v>3667040</v>
      </c>
      <c r="N49" s="351">
        <f>IF(C49&lt;&gt;"",IFERROR(AVERAGE(出来高!E25:AC25),""),"")</f>
        <v>3553280</v>
      </c>
      <c r="O49" s="353">
        <f t="shared" si="1"/>
        <v>0.62134582660674553</v>
      </c>
      <c r="P49" s="350" t="str">
        <f t="shared" si="2"/>
        <v>減少↓</v>
      </c>
      <c r="Q49" s="350" t="str">
        <f t="shared" si="3"/>
        <v>様子見▲</v>
      </c>
      <c r="R49" s="351">
        <f t="shared" si="4"/>
        <v>6023</v>
      </c>
      <c r="S49" s="351">
        <f t="shared" si="5"/>
        <v>6809</v>
      </c>
      <c r="T49" s="350">
        <f t="shared" si="6"/>
        <v>7</v>
      </c>
      <c r="U49" s="350" t="str">
        <f t="shared" si="7"/>
        <v>要確認</v>
      </c>
      <c r="V49" s="350" t="str">
        <f t="shared" si="8"/>
        <v>通常</v>
      </c>
      <c r="W49" s="354" cm="1">
        <f t="array" ref="W49">IFERROR(100-100/(1+SUMPRODUCT((終値!F25:R25&gt;終値!G25:S25)*(終値!F25:R25-終値!G25:S25))/SUMPRODUCT((終値!F25:R25&lt;終値!G25:S25)*(終値!G25:S25-終値!F25:R25))),50)</f>
        <v>25.471698113207552</v>
      </c>
      <c r="X49" s="355">
        <f>IF(C49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-115.25456238879906</v>
      </c>
      <c r="Y49" s="350" t="str">
        <f t="shared" si="9"/>
        <v>相場上昇・見送り | もみ合い→ MACD- RSI:25.5 [売られ過ぎ] 前日比:+0.3% [7点]</v>
      </c>
      <c r="Z49" s="356">
        <f t="shared" si="10"/>
        <v>0.27569306172461328</v>
      </c>
      <c r="AA49" s="350" t="str">
        <f t="shared" si="11"/>
        <v>上昇▲</v>
      </c>
      <c r="AB49" s="351">
        <f>IF(OR(C49="",C49="TOPX",終値!E25=""),"",IFERROR(((終値!E25*0.333)+(終値!F25*0.222)+(終値!G25*0.148)+(終値!H25*0.099)+(終値!I25*0.066))/(0.333+0.222+0.148+0.099+0.066),""))</f>
        <v>6436.2246543778792</v>
      </c>
      <c r="AC49" s="351">
        <f>IF(OR(C49="",C49="TOPX",終値!E25=""),"",IFERROR(SUMPRODUCT((終値!E25:AC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6774.2586412395685</v>
      </c>
      <c r="AD49" s="350" t="str">
        <f t="shared" si="12"/>
        <v>もみ合い→</v>
      </c>
      <c r="AE49" s="350" t="str">
        <f t="shared" si="13"/>
        <v>なし</v>
      </c>
      <c r="AF49" t="str">
        <f>IF(T49="","",IF(銘柄管理!$F$5="上昇▲",IF(AND(AD49="下降トレンド▼",OR(AE49="25日戻り売り★",AE49="5日戻り売り○")),"★逆張り売り",IF(AND(AD49="もみ合い→",OR(AE49="25日戻り売り★",AE49="5日戻り売り○")),"○逆張り売り",IF(W49&gt;=70,IF(Z49&lt;0,"◎反落確認","△過熱・様子見"),"相場上昇・見送り"))),IF(AND(T49&gt;=12,AD49="下降トレンド▼"),"★強い売り",IF(T49&gt;=12,"★強い売り",IF(AND(T49&gt;=8,OR(AE49="25日戻り売り★",AE49="5日戻り売り○")),"◎戻り売り",IF(T49&gt;=10,"○売り候補",IF(T49&gt;=6,"△注目",IF(T49&gt;=3,"様子見","見送り"))))))))</f>
        <v>相場上昇・見送り</v>
      </c>
      <c r="AG49">
        <f t="shared" si="15"/>
        <v>7</v>
      </c>
      <c r="AH49">
        <f t="shared" si="16"/>
        <v>69951</v>
      </c>
      <c r="AI49" s="412" cm="1">
        <f t="array" ref="AI49">IF(C49="","",IFERROR((INDEX(終値!$E:$E,MATCH(TEXT(C49,"0"),終値!$A:$A,0))-INDEX(終値!$E:$BL,MATCH(TEXT(C49,"0"),終値!$A:$A,0),$AN$2))/INDEX(終値!$E:$BL,MATCH(TEXT(C49,"0"),終値!$A:$A,0),$AN$2)*100,""))</f>
        <v>-13.169761273209549</v>
      </c>
      <c r="AJ49" s="412" cm="1">
        <f t="array" ref="AJ49">IFERROR((終値!$E$5-INDEX(終値!$E$5:$BL$5,1,$AN$2))/INDEX(終値!$E$5:$BL$5,1,$AN$2)*100,"")</f>
        <v>3.4532270246721688</v>
      </c>
      <c r="AK49" s="413">
        <f t="shared" si="17"/>
        <v>-16.622988297881719</v>
      </c>
      <c r="AL49" s="411">
        <f t="shared" si="18"/>
        <v>3</v>
      </c>
      <c r="AO49" s="415" t="str">
        <f t="shared" si="19"/>
        <v>通常</v>
      </c>
      <c r="AP49" s="416">
        <f t="shared" si="20"/>
        <v>0</v>
      </c>
      <c r="AQ49">
        <f>IF(C49&lt;&gt;"",始値!F25,"")</f>
        <v>6530</v>
      </c>
      <c r="AR49">
        <f>IF(C49&lt;&gt;"",高値!F25,"")</f>
        <v>6565</v>
      </c>
      <c r="AS49">
        <f>IF(C49&lt;&gt;"",安値!F25,"")</f>
        <v>6470</v>
      </c>
      <c r="AT49" t="str">
        <f t="shared" si="14"/>
        <v>通常</v>
      </c>
      <c r="AU49">
        <f t="shared" si="21"/>
        <v>0</v>
      </c>
    </row>
    <row r="50" spans="1:47" ht="14.25">
      <c r="A50" s="357" t="str">
        <f>IF(銘柄管理!B57&lt;&gt;"",HYPERLINK("https://kabutan.jp/stock/?code="&amp;銘柄管理!B57,"株探"),"")</f>
        <v>株探</v>
      </c>
      <c r="B50" s="230"/>
      <c r="C50" s="230">
        <f>IF(銘柄管理!B57="","",銘柄管理!B57)</f>
        <v>6203</v>
      </c>
      <c r="D50" s="230" t="str">
        <f>IF(銘柄管理!C57="","",銘柄管理!C57)</f>
        <v>豊和工業</v>
      </c>
      <c r="E50" s="358">
        <f>IF(C50&lt;&gt;"",_xll.RssMarket(C50,"現在値"),"")</f>
        <v>1630</v>
      </c>
      <c r="F50" s="358">
        <f>IF(C50&lt;&gt;"",_xll.RssMarket(C50,"始値"),"")</f>
        <v>1573</v>
      </c>
      <c r="G50" s="230">
        <f>IF(C50&lt;&gt;"",終値!F57,"")</f>
        <v>1556</v>
      </c>
      <c r="H50" s="358">
        <f>IF(C50&lt;&gt;"",_xll.RssMarket(C50,"高値"),"")</f>
        <v>1679</v>
      </c>
      <c r="I50" s="358">
        <f>IF(C50&lt;&gt;"",_xll.RssMarket(C50,"安値"),"")</f>
        <v>1570</v>
      </c>
      <c r="J50" s="358">
        <f>IF(C50&lt;&gt;"",_xll.RssMarket(C50,"出来高"),"")</f>
        <v>533500</v>
      </c>
      <c r="K50" s="358">
        <f>IF(C50&lt;&gt;"",_xll.RssMarket(C50,"年初来高値"),"")</f>
        <v>2030</v>
      </c>
      <c r="L50" s="359">
        <f t="shared" si="0"/>
        <v>-19.704433497536947</v>
      </c>
      <c r="M50" s="358">
        <f>IF(C50&lt;&gt;"",IFERROR(AVERAGE(出来高!E57:I57),""),"")</f>
        <v>635520</v>
      </c>
      <c r="N50" s="358">
        <f>IF(C50&lt;&gt;"",IFERROR(AVERAGE(出来高!E57:AC57),""),"")</f>
        <v>1148020</v>
      </c>
      <c r="O50" s="360">
        <f t="shared" si="1"/>
        <v>0.83947004028197381</v>
      </c>
      <c r="P50" s="230" t="str">
        <f t="shared" si="2"/>
        <v>減少↓</v>
      </c>
      <c r="Q50" s="230" t="str">
        <f t="shared" si="3"/>
        <v>様子見▲</v>
      </c>
      <c r="R50" s="358">
        <f t="shared" si="4"/>
        <v>1500</v>
      </c>
      <c r="S50" s="358">
        <f t="shared" si="5"/>
        <v>1695</v>
      </c>
      <c r="T50" s="350">
        <f t="shared" si="6"/>
        <v>-2</v>
      </c>
      <c r="U50" s="230" t="str">
        <f t="shared" si="7"/>
        <v>除外</v>
      </c>
      <c r="V50" s="230" t="str">
        <f t="shared" si="8"/>
        <v>通常</v>
      </c>
      <c r="W50" s="361" cm="1">
        <f t="array" ref="W50">IFERROR(100-100/(1+SUMPRODUCT((終値!F57:R57&gt;終値!G57:S57)*(終値!F57:R57-終値!G57:S57))/SUMPRODUCT((終値!F57:R57&lt;終値!G57:S57)*(終値!G57:S57-終値!F57:R57))),50)</f>
        <v>57.620211898940504</v>
      </c>
      <c r="X50" s="362">
        <f>IF(C50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38.972989862243139</v>
      </c>
      <c r="Y50" s="230" t="str">
        <f t="shared" si="9"/>
        <v>相場上昇・見送り | 上昇トレンド▲ MACD+ RSI:57.6 前日比:+4.8%前日[長い下ヒゲ(反発)] [-2点]</v>
      </c>
      <c r="Z50" s="363">
        <f t="shared" si="10"/>
        <v>4.7557840616966578</v>
      </c>
      <c r="AA50" s="230" t="str">
        <f t="shared" si="11"/>
        <v>上昇▲</v>
      </c>
      <c r="AB50" s="358">
        <f>IF(OR(C50="",C50="TOPX",終値!E57=""),"",IFERROR(((終値!E57*0.333)+(終値!F57*0.222)+(終値!G57*0.148)+(終値!H57*0.099)+(終値!I57*0.066))/(0.333+0.222+0.148+0.099+0.066),""))</f>
        <v>1596.5449308755758</v>
      </c>
      <c r="AC50" s="358">
        <f>IF(OR(C50="",C50="TOPX",終値!E57=""),"",IFERROR(SUMPRODUCT((終値!E57:AC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1613.2133492252676</v>
      </c>
      <c r="AD50" s="230" t="str">
        <f t="shared" si="12"/>
        <v>上昇トレンド▲</v>
      </c>
      <c r="AE50" s="230" t="str">
        <f t="shared" si="13"/>
        <v>なし</v>
      </c>
      <c r="AF50" t="str">
        <f>IF(T50="","",IF(銘柄管理!$F$5="上昇▲",IF(AND(AD50="下降トレンド▼",OR(AE50="25日戻り売り★",AE50="5日戻り売り○")),"★逆張り売り",IF(AND(AD50="もみ合い→",OR(AE50="25日戻り売り★",AE50="5日戻り売り○")),"○逆張り売り",IF(W50&gt;=70,IF(Z50&lt;0,"◎反落確認","△過熱・様子見"),"相場上昇・見送り"))),IF(AND(T50&gt;=12,AD50="下降トレンド▼"),"★強い売り",IF(T50&gt;=12,"★強い売り",IF(AND(T50&gt;=8,OR(AE50="25日戻り売り★",AE50="5日戻り売り○")),"◎戻り売り",IF(T50&gt;=10,"○売り候補",IF(T50&gt;=6,"△注目",IF(T50&gt;=3,"様子見","見送り"))))))))</f>
        <v>相場上昇・見送り</v>
      </c>
      <c r="AG50">
        <f t="shared" si="15"/>
        <v>0</v>
      </c>
      <c r="AH50">
        <f t="shared" si="16"/>
        <v>0</v>
      </c>
      <c r="AI50" s="412" cm="1">
        <f t="array" ref="AI50">IF(C50="","",IFERROR((INDEX(終値!$E:$E,MATCH(TEXT(C50,"0"),終値!$A:$A,0))-INDEX(終値!$E:$BL,MATCH(TEXT(C50,"0"),終値!$A:$A,0),$AN$2))/INDEX(終値!$E:$BL,MATCH(TEXT(C50,"0"),終値!$A:$A,0),$AN$2)*100,""))</f>
        <v>17.266187050359711</v>
      </c>
      <c r="AJ50" s="412" cm="1">
        <f t="array" ref="AJ50">IFERROR((終値!$E$5-INDEX(終値!$E$5:$BL$5,1,$AN$2))/INDEX(終値!$E$5:$BL$5,1,$AN$2)*100,"")</f>
        <v>3.4532270246721688</v>
      </c>
      <c r="AK50" s="413">
        <f t="shared" si="17"/>
        <v>13.812960025687543</v>
      </c>
      <c r="AL50" s="411">
        <f t="shared" si="18"/>
        <v>-2</v>
      </c>
      <c r="AO50" s="415" t="str">
        <f t="shared" si="19"/>
        <v>通常</v>
      </c>
      <c r="AP50" s="416">
        <f t="shared" si="20"/>
        <v>0</v>
      </c>
      <c r="AQ50">
        <f>IF(C50&lt;&gt;"",始値!F57,"")</f>
        <v>1586</v>
      </c>
      <c r="AR50">
        <f>IF(C50&lt;&gt;"",高値!F57,"")</f>
        <v>1592</v>
      </c>
      <c r="AS50">
        <f>IF(C50&lt;&gt;"",安値!F57,"")</f>
        <v>1480</v>
      </c>
      <c r="AT50" t="str">
        <f t="shared" si="14"/>
        <v>長い下ヒゲ(反発)</v>
      </c>
      <c r="AU50">
        <f t="shared" si="21"/>
        <v>-2</v>
      </c>
    </row>
    <row r="51" spans="1:47" ht="14.25">
      <c r="A51" s="349" t="str">
        <f>IF(銘柄管理!B59&lt;&gt;"",HYPERLINK("https://kabutan.jp/stock/?code="&amp;銘柄管理!B59,"株探"),"")</f>
        <v>株探</v>
      </c>
      <c r="B51" s="350"/>
      <c r="C51" s="350">
        <f>IF(銘柄管理!B59="","",銘柄管理!B59)</f>
        <v>1961</v>
      </c>
      <c r="D51" s="350" t="str">
        <f>IF(銘柄管理!C59="","",銘柄管理!C59)</f>
        <v>三機工業</v>
      </c>
      <c r="E51" s="351">
        <f>IF(C51&lt;&gt;"",_xll.RssMarket(C51,"現在値"),"")</f>
        <v>2700</v>
      </c>
      <c r="F51" s="351">
        <f>IF(C51&lt;&gt;"",_xll.RssMarket(C51,"始値"),"")</f>
        <v>2650</v>
      </c>
      <c r="G51" s="350">
        <f>IF(C51&lt;&gt;"",終値!F59,"")</f>
        <v>2590</v>
      </c>
      <c r="H51" s="351">
        <f>IF(C51&lt;&gt;"",_xll.RssMarket(C51,"高値"),"")</f>
        <v>2700</v>
      </c>
      <c r="I51" s="351">
        <f>IF(C51&lt;&gt;"",_xll.RssMarket(C51,"安値"),"")</f>
        <v>2639</v>
      </c>
      <c r="J51" s="351">
        <f>IF(C51&lt;&gt;"",_xll.RssMarket(C51,"出来高"),"")</f>
        <v>376500</v>
      </c>
      <c r="K51" s="351">
        <f>IF(C51&lt;&gt;"",_xll.RssMarket(C51,"年初来高値"),"")</f>
        <v>2730</v>
      </c>
      <c r="L51" s="352">
        <f t="shared" si="0"/>
        <v>-1.098901098901099</v>
      </c>
      <c r="M51" s="351">
        <f>IF(C51&lt;&gt;"",IFERROR(AVERAGE(出来高!E59:I59),""),"")</f>
        <v>614400</v>
      </c>
      <c r="N51" s="351">
        <f>IF(C51&lt;&gt;"",IFERROR(AVERAGE(出来高!E59:AC59),""),"")</f>
        <v>629376</v>
      </c>
      <c r="O51" s="353">
        <f t="shared" si="1"/>
        <v>0.61279296875</v>
      </c>
      <c r="P51" s="350" t="str">
        <f t="shared" si="2"/>
        <v>減少↓</v>
      </c>
      <c r="Q51" s="350" t="str">
        <f t="shared" si="3"/>
        <v>様子見▲</v>
      </c>
      <c r="R51" s="351">
        <f t="shared" si="4"/>
        <v>2484</v>
      </c>
      <c r="S51" s="351">
        <f t="shared" si="5"/>
        <v>2808</v>
      </c>
      <c r="T51" s="350">
        <f t="shared" si="6"/>
        <v>2</v>
      </c>
      <c r="U51" s="350" t="str">
        <f t="shared" si="7"/>
        <v>除外</v>
      </c>
      <c r="V51" s="350" t="str">
        <f t="shared" si="8"/>
        <v>通常</v>
      </c>
      <c r="W51" s="354" cm="1">
        <f t="array" ref="W51">IFERROR(100-100/(1+SUMPRODUCT((終値!F59:R59&gt;終値!G59:S59)*(終値!F59:R59-終値!G59:S59))/SUMPRODUCT((終値!F59:R59&lt;終値!G59:S59)*(終値!G59:S59-終値!F59:R59))),50)</f>
        <v>76.556291390728475</v>
      </c>
      <c r="X51" s="355">
        <f>IF(C51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22.375142792320275</v>
      </c>
      <c r="Y51" s="350" t="str">
        <f t="shared" si="9"/>
        <v>△過熱・様子見 | パーフェクト▲ MACD+ RSI:76.6 [過熱] 前日比:+4.2% [2点]</v>
      </c>
      <c r="Z51" s="356">
        <f t="shared" si="10"/>
        <v>4.2471042471042466</v>
      </c>
      <c r="AA51" s="350" t="str">
        <f t="shared" si="11"/>
        <v>上昇▲</v>
      </c>
      <c r="AB51" s="351">
        <f>IF(OR(C51="",C51="TOPX",終値!E59=""),"",IFERROR(((終値!E59*0.333)+(終値!F59*0.222)+(終値!G59*0.148)+(終値!H59*0.099)+(終値!I59*0.066))/(0.333+0.222+0.148+0.099+0.066),""))</f>
        <v>2586.4573732718891</v>
      </c>
      <c r="AC51" s="351">
        <f>IF(OR(C51="",C51="TOPX",終値!E59=""),"",IFERROR(SUMPRODUCT((終値!E59:AC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2404.0560190703213</v>
      </c>
      <c r="AD51" s="350" t="str">
        <f t="shared" si="12"/>
        <v>パーフェクト▲</v>
      </c>
      <c r="AE51" s="350" t="str">
        <f t="shared" si="13"/>
        <v>なし</v>
      </c>
      <c r="AF51" t="str">
        <f>IF(T51="","",IF(銘柄管理!$F$5="上昇▲",IF(AND(AD51="下降トレンド▼",OR(AE51="25日戻り売り★",AE51="5日戻り売り○")),"★逆張り売り",IF(AND(AD51="もみ合い→",OR(AE51="25日戻り売り★",AE51="5日戻り売り○")),"○逆張り売り",IF(W51&gt;=70,IF(Z51&lt;0,"◎反落確認","△過熱・様子見"),"相場上昇・見送り"))),IF(AND(T51&gt;=12,AD51="下降トレンド▼"),"★強い売り",IF(T51&gt;=12,"★強い売り",IF(AND(T51&gt;=8,OR(AE51="25日戻り売り★",AE51="5日戻り売り○")),"◎戻り売り",IF(T51&gt;=10,"○売り候補",IF(T51&gt;=6,"△注目",IF(T51&gt;=3,"様子見","見送り"))))))))</f>
        <v>△過熱・様子見</v>
      </c>
      <c r="AG51">
        <f t="shared" si="15"/>
        <v>0</v>
      </c>
      <c r="AH51">
        <f t="shared" si="16"/>
        <v>0</v>
      </c>
      <c r="AI51" s="412" cm="1">
        <f t="array" ref="AI51">IF(C51="","",IFERROR((INDEX(終値!$E:$E,MATCH(TEXT(C51,"0"),終値!$A:$A,0))-INDEX(終値!$E:$BL,MATCH(TEXT(C51,"0"),終値!$A:$A,0),$AN$2))/INDEX(終値!$E:$BL,MATCH(TEXT(C51,"0"),終値!$A:$A,0),$AN$2)*100,""))</f>
        <v>4.0061633281972266</v>
      </c>
      <c r="AJ51" s="412" cm="1">
        <f t="array" ref="AJ51">IFERROR((終値!$E$5-INDEX(終値!$E$5:$BL$5,1,$AN$2))/INDEX(終値!$E$5:$BL$5,1,$AN$2)*100,"")</f>
        <v>3.4532270246721688</v>
      </c>
      <c r="AK51" s="413">
        <f t="shared" si="17"/>
        <v>0.55293630352505785</v>
      </c>
      <c r="AL51" s="411">
        <f t="shared" si="18"/>
        <v>-1</v>
      </c>
      <c r="AO51" s="415" t="str">
        <f t="shared" si="19"/>
        <v>通常</v>
      </c>
      <c r="AP51" s="416">
        <f t="shared" si="20"/>
        <v>0</v>
      </c>
      <c r="AQ51">
        <f>IF(C51&lt;&gt;"",始値!F59,"")</f>
        <v>2606</v>
      </c>
      <c r="AR51">
        <f>IF(C51&lt;&gt;"",高値!F59,"")</f>
        <v>2626</v>
      </c>
      <c r="AS51">
        <f>IF(C51&lt;&gt;"",安値!F59,"")</f>
        <v>2556</v>
      </c>
      <c r="AT51" t="str">
        <f t="shared" si="14"/>
        <v>通常</v>
      </c>
      <c r="AU51">
        <f t="shared" si="21"/>
        <v>0</v>
      </c>
    </row>
    <row r="52" spans="1:47" ht="14.25">
      <c r="A52" s="357" t="str">
        <f>IF(銘柄管理!B62&lt;&gt;"",HYPERLINK("https://kabutan.jp/stock/?code="&amp;銘柄管理!B62,"株探"),"")</f>
        <v>株探</v>
      </c>
      <c r="B52" s="230"/>
      <c r="C52" s="230">
        <f>IF(銘柄管理!B62="","",銘柄管理!B62)</f>
        <v>5857</v>
      </c>
      <c r="D52" s="230" t="str">
        <f>IF(銘柄管理!C62="","",銘柄管理!C62)</f>
        <v>ＡＲＥホールディングス</v>
      </c>
      <c r="E52" s="358">
        <f>IF(C52&lt;&gt;"",_xll.RssMarket(C52,"現在値"),"")</f>
        <v>3305</v>
      </c>
      <c r="F52" s="358">
        <f>IF(C52&lt;&gt;"",_xll.RssMarket(C52,"始値"),"")</f>
        <v>3205</v>
      </c>
      <c r="G52" s="230">
        <f>IF(C52&lt;&gt;"",終値!F62,"")</f>
        <v>3180</v>
      </c>
      <c r="H52" s="358">
        <f>IF(C52&lt;&gt;"",_xll.RssMarket(C52,"高値"),"")</f>
        <v>3320</v>
      </c>
      <c r="I52" s="358">
        <f>IF(C52&lt;&gt;"",_xll.RssMarket(C52,"安値"),"")</f>
        <v>3190</v>
      </c>
      <c r="J52" s="358">
        <f>IF(C52&lt;&gt;"",_xll.RssMarket(C52,"出来高"),"")</f>
        <v>574600</v>
      </c>
      <c r="K52" s="358">
        <f>IF(C52&lt;&gt;"",_xll.RssMarket(C52,"年初来高値"),"")</f>
        <v>4720</v>
      </c>
      <c r="L52" s="359">
        <f t="shared" si="0"/>
        <v>-29.978813559322031</v>
      </c>
      <c r="M52" s="358">
        <f>IF(C52&lt;&gt;"",IFERROR(AVERAGE(出来高!E62:I62),""),"")</f>
        <v>622340</v>
      </c>
      <c r="N52" s="358">
        <f>IF(C52&lt;&gt;"",IFERROR(AVERAGE(出来高!E62:AC62),""),"")</f>
        <v>708440</v>
      </c>
      <c r="O52" s="360">
        <f t="shared" si="1"/>
        <v>0.92328952019796251</v>
      </c>
      <c r="P52" s="230" t="str">
        <f t="shared" si="2"/>
        <v>減少↓</v>
      </c>
      <c r="Q52" s="230" t="str">
        <f t="shared" si="3"/>
        <v>様子見▲</v>
      </c>
      <c r="R52" s="358">
        <f t="shared" si="4"/>
        <v>3041</v>
      </c>
      <c r="S52" s="358">
        <f t="shared" si="5"/>
        <v>3437</v>
      </c>
      <c r="T52" s="350">
        <f t="shared" si="6"/>
        <v>8</v>
      </c>
      <c r="U52" s="230" t="str">
        <f t="shared" si="7"/>
        <v>要確認</v>
      </c>
      <c r="V52" s="230" t="str">
        <f t="shared" si="8"/>
        <v>安値圏</v>
      </c>
      <c r="W52" s="361" cm="1">
        <f t="array" ref="W52">IFERROR(100-100/(1+SUMPRODUCT((終値!F62:R62&gt;終値!G62:S62)*(終値!F62:R62-終値!G62:S62))/SUMPRODUCT((終値!F62:R62&lt;終値!G62:S62)*(終値!G62:S62-終値!F62:R62))),50)</f>
        <v>37.043330501274426</v>
      </c>
      <c r="X52" s="362">
        <f>IF(C52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-62.935431999013417</v>
      </c>
      <c r="Y52" s="230" t="str">
        <f t="shared" si="9"/>
        <v>相場上昇・見送り | 上昇トレンド▲ MACD- RSI:37.0 前日比:+3.9% [安値圏] [8点]</v>
      </c>
      <c r="Z52" s="363">
        <f t="shared" si="10"/>
        <v>3.9308176100628929</v>
      </c>
      <c r="AA52" s="230" t="str">
        <f t="shared" si="11"/>
        <v>上昇▲</v>
      </c>
      <c r="AB52" s="358">
        <f>IF(OR(C52="",C52="TOPX",終値!E62=""),"",IFERROR(((終値!E62*0.333)+(終値!F62*0.222)+(終値!G62*0.148)+(終値!H62*0.099)+(終値!I62*0.066))/(0.333+0.222+0.148+0.099+0.066),""))</f>
        <v>3168.3133640552992</v>
      </c>
      <c r="AC52" s="358">
        <f>IF(OR(C52="",C52="TOPX",終値!E62=""),"",IFERROR(SUMPRODUCT((終値!E62:AC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3278.20023837902</v>
      </c>
      <c r="AD52" s="230" t="str">
        <f t="shared" si="12"/>
        <v>上昇トレンド▲</v>
      </c>
      <c r="AE52" s="230" t="str">
        <f t="shared" si="13"/>
        <v>なし</v>
      </c>
      <c r="AF52" t="str">
        <f>IF(T52="","",IF(銘柄管理!$F$5="上昇▲",IF(AND(AD52="下降トレンド▼",OR(AE52="25日戻り売り★",AE52="5日戻り売り○")),"★逆張り売り",IF(AND(AD52="もみ合い→",OR(AE52="25日戻り売り★",AE52="5日戻り売り○")),"○逆張り売り",IF(W52&gt;=70,IF(Z52&lt;0,"◎反落確認","△過熱・様子見"),"相場上昇・見送り"))),IF(AND(T52&gt;=12,AD52="下降トレンド▼"),"★強い売り",IF(T52&gt;=12,"★強い売り",IF(AND(T52&gt;=8,OR(AE52="25日戻り売り★",AE52="5日戻り売り○")),"◎戻り売り",IF(T52&gt;=10,"○売り候補",IF(T52&gt;=6,"△注目",IF(T52&gt;=3,"様子見","見送り"))))))))</f>
        <v>相場上昇・見送り</v>
      </c>
      <c r="AG52">
        <f t="shared" si="15"/>
        <v>8</v>
      </c>
      <c r="AH52">
        <f t="shared" si="16"/>
        <v>79948</v>
      </c>
      <c r="AI52" s="412" cm="1">
        <f t="array" ref="AI52">IF(C52="","",IFERROR((INDEX(終値!$E:$E,MATCH(TEXT(C52,"0"),終値!$A:$A,0))-INDEX(終値!$E:$BL,MATCH(TEXT(C52,"0"),終値!$A:$A,0),$AN$2))/INDEX(終値!$E:$BL,MATCH(TEXT(C52,"0"),終値!$A:$A,0),$AN$2)*100,""))</f>
        <v>-14.378238341968913</v>
      </c>
      <c r="AJ52" s="412" cm="1">
        <f t="array" ref="AJ52">IFERROR((終値!$E$5-INDEX(終値!$E$5:$BL$5,1,$AN$2))/INDEX(終値!$E$5:$BL$5,1,$AN$2)*100,"")</f>
        <v>3.4532270246721688</v>
      </c>
      <c r="AK52" s="413">
        <f t="shared" si="17"/>
        <v>-17.831465366641083</v>
      </c>
      <c r="AL52" s="411">
        <f t="shared" si="18"/>
        <v>3</v>
      </c>
      <c r="AO52" s="415" t="str">
        <f t="shared" si="19"/>
        <v>通常</v>
      </c>
      <c r="AP52" s="416">
        <f t="shared" si="20"/>
        <v>0</v>
      </c>
      <c r="AQ52">
        <f>IF(C52&lt;&gt;"",始値!F62,"")</f>
        <v>3220</v>
      </c>
      <c r="AR52">
        <f>IF(C52&lt;&gt;"",高値!F62,"")</f>
        <v>3245</v>
      </c>
      <c r="AS52">
        <f>IF(C52&lt;&gt;"",安値!F62,"")</f>
        <v>3155</v>
      </c>
      <c r="AT52" t="str">
        <f t="shared" si="14"/>
        <v>通常</v>
      </c>
      <c r="AU52">
        <f t="shared" si="21"/>
        <v>0</v>
      </c>
    </row>
    <row r="53" spans="1:47" ht="14.25">
      <c r="A53" s="349" t="str">
        <f>IF(銘柄管理!B65&lt;&gt;"",HYPERLINK("https://kabutan.jp/stock/?code="&amp;銘柄管理!B65,"株探"),"")</f>
        <v>株探</v>
      </c>
      <c r="B53" s="350"/>
      <c r="C53" s="350">
        <f>IF(銘柄管理!B65="","",銘柄管理!B65)</f>
        <v>9984</v>
      </c>
      <c r="D53" s="350" t="str">
        <f>IF(銘柄管理!C65="","",銘柄管理!C65)</f>
        <v>ソフトバンクグループ</v>
      </c>
      <c r="E53" s="351">
        <f>IF(C53&lt;&gt;"",_xll.RssMarket(C53,"現在値"),"")</f>
        <v>6880</v>
      </c>
      <c r="F53" s="351">
        <f>IF(C53&lt;&gt;"",_xll.RssMarket(C53,"始値"),"")</f>
        <v>6920</v>
      </c>
      <c r="G53" s="350">
        <f>IF(C53&lt;&gt;"",終値!F65,"")</f>
        <v>7102</v>
      </c>
      <c r="H53" s="351">
        <f>IF(C53&lt;&gt;"",_xll.RssMarket(C53,"高値"),"")</f>
        <v>6948</v>
      </c>
      <c r="I53" s="351">
        <f>IF(C53&lt;&gt;"",_xll.RssMarket(C53,"安値"),"")</f>
        <v>6730</v>
      </c>
      <c r="J53" s="351">
        <f>IF(C53&lt;&gt;"",_xll.RssMarket(C53,"出来高"),"")</f>
        <v>48833800</v>
      </c>
      <c r="K53" s="351">
        <f>IF(C53&lt;&gt;"",_xll.RssMarket(C53,"年初来高値"),"")</f>
        <v>9074</v>
      </c>
      <c r="L53" s="352">
        <f t="shared" si="0"/>
        <v>-24.178972889574609</v>
      </c>
      <c r="M53" s="351">
        <f>IF(C53&lt;&gt;"",IFERROR(AVERAGE(出来高!E65:I65),""),"")</f>
        <v>63323060</v>
      </c>
      <c r="N53" s="351">
        <f>IF(C53&lt;&gt;"",IFERROR(AVERAGE(出来高!E65:AC65),""),"")</f>
        <v>73618932</v>
      </c>
      <c r="O53" s="353">
        <f t="shared" si="1"/>
        <v>0.77118509434003979</v>
      </c>
      <c r="P53" s="350" t="str">
        <f t="shared" si="2"/>
        <v>減少↓</v>
      </c>
      <c r="Q53" s="350" t="str">
        <f t="shared" si="3"/>
        <v>中立→</v>
      </c>
      <c r="R53" s="351">
        <f t="shared" si="4"/>
        <v>6330</v>
      </c>
      <c r="S53" s="351">
        <f t="shared" si="5"/>
        <v>7155</v>
      </c>
      <c r="T53" s="350">
        <f t="shared" si="6"/>
        <v>2</v>
      </c>
      <c r="U53" s="350" t="str">
        <f t="shared" si="7"/>
        <v>除外</v>
      </c>
      <c r="V53" s="350" t="str">
        <f t="shared" si="8"/>
        <v>安値圏</v>
      </c>
      <c r="W53" s="354" cm="1">
        <f t="array" ref="W53">IFERROR(100-100/(1+SUMPRODUCT((終値!F65:R65&gt;終値!G65:S65)*(終値!F65:R65-終値!G65:S65))/SUMPRODUCT((終値!F65:R65&lt;終値!G65:S65)*(終値!G65:S65-終値!F65:R65))),50)</f>
        <v>50.323886639676118</v>
      </c>
      <c r="X53" s="355">
        <f>IF(C53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95.504891756456345</v>
      </c>
      <c r="Y53" s="350" t="str">
        <f t="shared" si="9"/>
        <v>○逆張り売り | もみ合い→ 25日戻り売り★ MACD+ RSI:50.3 前日比:-3.1% [安値圏] [長い下ヒゲ(反発警戒)]前日[長い下ヒゲ(反発)] [2点]</v>
      </c>
      <c r="Z53" s="356">
        <f t="shared" si="10"/>
        <v>-3.1258800337932975</v>
      </c>
      <c r="AA53" s="350" t="str">
        <f t="shared" si="11"/>
        <v>下落▼</v>
      </c>
      <c r="AB53" s="351">
        <f>IF(OR(C53="",C53="TOPX",終値!E65=""),"",IFERROR(((終値!E65*0.333)+(終値!F65*0.222)+(終値!G65*0.148)+(終値!H65*0.099)+(終値!I65*0.066))/(0.333+0.222+0.148+0.099+0.066),""))</f>
        <v>6777.6405529953909</v>
      </c>
      <c r="AC53" s="351">
        <f>IF(OR(C53="",C53="TOPX",終値!E65=""),"",IFERROR(SUMPRODUCT((終値!E65:AC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6929.0595947556612</v>
      </c>
      <c r="AD53" s="350" t="str">
        <f t="shared" si="12"/>
        <v>もみ合い→</v>
      </c>
      <c r="AE53" s="350" t="str">
        <f t="shared" si="13"/>
        <v>25日戻り売り★</v>
      </c>
      <c r="AF53" t="str">
        <f>IF(T53="","",IF(銘柄管理!$F$5="上昇▲",IF(AND(AD53="下降トレンド▼",OR(AE53="25日戻り売り★",AE53="5日戻り売り○")),"★逆張り売り",IF(AND(AD53="もみ合い→",OR(AE53="25日戻り売り★",AE53="5日戻り売り○")),"○逆張り売り",IF(W53&gt;=70,IF(Z53&lt;0,"◎反落確認","△過熱・様子見"),"相場上昇・見送り"))),IF(AND(T53&gt;=12,AD53="下降トレンド▼"),"★強い売り",IF(T53&gt;=12,"★強い売り",IF(AND(T53&gt;=8,OR(AE53="25日戻り売り★",AE53="5日戻り売り○")),"◎戻り売り",IF(T53&gt;=10,"○売り候補",IF(T53&gt;=6,"△注目",IF(T53&gt;=3,"様子見","見送り"))))))))</f>
        <v>○逆張り売り</v>
      </c>
      <c r="AG53">
        <f t="shared" si="15"/>
        <v>0</v>
      </c>
      <c r="AH53">
        <f t="shared" si="16"/>
        <v>0</v>
      </c>
      <c r="AI53" s="412" cm="1">
        <f t="array" ref="AI53">IF(C53="","",IFERROR((INDEX(終値!$E:$E,MATCH(TEXT(C53,"0"),終値!$A:$A,0))-INDEX(終値!$E:$BL,MATCH(TEXT(C53,"0"),終値!$A:$A,0),$AN$2))/INDEX(終値!$E:$BL,MATCH(TEXT(C53,"0"),終値!$A:$A,0),$AN$2)*100,""))</f>
        <v>19.237435008665511</v>
      </c>
      <c r="AJ53" s="412" cm="1">
        <f t="array" ref="AJ53">IFERROR((終値!$E$5-INDEX(終値!$E$5:$BL$5,1,$AN$2))/INDEX(終値!$E$5:$BL$5,1,$AN$2)*100,"")</f>
        <v>3.4532270246721688</v>
      </c>
      <c r="AK53" s="413">
        <f t="shared" si="17"/>
        <v>15.784207983993342</v>
      </c>
      <c r="AL53" s="411">
        <f t="shared" si="18"/>
        <v>-2</v>
      </c>
      <c r="AO53" s="415" t="str">
        <f t="shared" si="19"/>
        <v>長い下ヒゲ(反発警戒)</v>
      </c>
      <c r="AP53" s="416">
        <f t="shared" si="20"/>
        <v>-2</v>
      </c>
      <c r="AQ53">
        <f>IF(C53&lt;&gt;"",始値!F65,"")</f>
        <v>7150</v>
      </c>
      <c r="AR53">
        <f>IF(C53&lt;&gt;"",高値!F65,"")</f>
        <v>7188</v>
      </c>
      <c r="AS53">
        <f>IF(C53&lt;&gt;"",安値!F65,"")</f>
        <v>6854</v>
      </c>
      <c r="AT53" t="str">
        <f t="shared" si="14"/>
        <v>長い下ヒゲ(反発)</v>
      </c>
      <c r="AU53">
        <f t="shared" si="21"/>
        <v>-2</v>
      </c>
    </row>
    <row r="54" spans="1:47" ht="14.25">
      <c r="A54" s="357" t="str">
        <f>IF(銘柄管理!B71&lt;&gt;"",HYPERLINK("https://kabutan.jp/stock/?code="&amp;銘柄管理!B71,"株探"),"")</f>
        <v>株探</v>
      </c>
      <c r="B54" s="230"/>
      <c r="C54" s="230">
        <f>IF(銘柄管理!B71="","",銘柄管理!B71)</f>
        <v>3854</v>
      </c>
      <c r="D54" s="230" t="str">
        <f>IF(銘柄管理!C71="","",銘柄管理!C71)</f>
        <v>アイル</v>
      </c>
      <c r="E54" s="358">
        <f>IF(C54&lt;&gt;"",_xll.RssMarket(C54,"現在値"),"")</f>
        <v>2190</v>
      </c>
      <c r="F54" s="358">
        <f>IF(C54&lt;&gt;"",_xll.RssMarket(C54,"始値"),"")</f>
        <v>2170</v>
      </c>
      <c r="G54" s="230">
        <f>IF(C54&lt;&gt;"",終値!F71,"")</f>
        <v>2182</v>
      </c>
      <c r="H54" s="358">
        <f>IF(C54&lt;&gt;"",_xll.RssMarket(C54,"高値"),"")</f>
        <v>2206</v>
      </c>
      <c r="I54" s="358">
        <f>IF(C54&lt;&gt;"",_xll.RssMarket(C54,"安値"),"")</f>
        <v>2159</v>
      </c>
      <c r="J54" s="358">
        <f>IF(C54&lt;&gt;"",_xll.RssMarket(C54,"出来高"),"")</f>
        <v>125700</v>
      </c>
      <c r="K54" s="358">
        <f>IF(C54&lt;&gt;"",_xll.RssMarket(C54,"年初来高値"),"")</f>
        <v>2653</v>
      </c>
      <c r="L54" s="359">
        <f t="shared" si="0"/>
        <v>-17.451941198643045</v>
      </c>
      <c r="M54" s="358">
        <f>IF(C54&lt;&gt;"",IFERROR(AVERAGE(出来高!E71:I71),""),"")</f>
        <v>110080</v>
      </c>
      <c r="N54" s="358">
        <f>IF(C54&lt;&gt;"",IFERROR(AVERAGE(出来高!E71:AC71),""),"")</f>
        <v>84104</v>
      </c>
      <c r="O54" s="360">
        <f t="shared" si="1"/>
        <v>1.1418968023255813</v>
      </c>
      <c r="P54" s="230" t="str">
        <f t="shared" si="2"/>
        <v>普通→</v>
      </c>
      <c r="Q54" s="230" t="str">
        <f t="shared" si="3"/>
        <v>様子見▲</v>
      </c>
      <c r="R54" s="358">
        <f t="shared" si="4"/>
        <v>2015</v>
      </c>
      <c r="S54" s="358">
        <f t="shared" si="5"/>
        <v>2278</v>
      </c>
      <c r="T54" s="350">
        <f t="shared" si="6"/>
        <v>9</v>
      </c>
      <c r="U54" s="230" t="str">
        <f t="shared" si="7"/>
        <v>要確認</v>
      </c>
      <c r="V54" s="230" t="str">
        <f t="shared" si="8"/>
        <v>通常</v>
      </c>
      <c r="W54" s="361" cm="1">
        <f t="array" ref="W54">IFERROR(100-100/(1+SUMPRODUCT((終値!F71:R71&gt;終値!G71:S71)*(終値!F71:R71-終値!G71:S71))/SUMPRODUCT((終値!F71:R71&lt;終値!G71:S71)*(終値!G71:S71-終値!F71:R71))),50)</f>
        <v>22.72</v>
      </c>
      <c r="X54" s="362">
        <f>IF(C54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-26.050290758997562</v>
      </c>
      <c r="Y54" s="230" t="str">
        <f t="shared" si="9"/>
        <v>相場上昇・見送り | 下降トレンド▼ MACD- RSI:22.7 [売られ過ぎ] 前日比:+0.4% [9点]</v>
      </c>
      <c r="Z54" s="363">
        <f t="shared" si="10"/>
        <v>0.36663611365719523</v>
      </c>
      <c r="AA54" s="230" t="str">
        <f t="shared" si="11"/>
        <v>上昇▲</v>
      </c>
      <c r="AB54" s="358">
        <f>IF(OR(C54="",C54="TOPX",終値!E71=""),"",IFERROR(((終値!E71*0.333)+(終値!F71*0.222)+(終値!G71*0.148)+(終値!H71*0.099)+(終値!I71*0.066))/(0.333+0.222+0.148+0.099+0.066),""))</f>
        <v>2227.7626728110595</v>
      </c>
      <c r="AC54" s="358">
        <f>IF(OR(C54="",C54="TOPX",終値!E71=""),"",IFERROR(SUMPRODUCT((終値!E71:AC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2407.5220500595942</v>
      </c>
      <c r="AD54" s="230" t="str">
        <f t="shared" si="12"/>
        <v>下降トレンド▼</v>
      </c>
      <c r="AE54" s="230" t="str">
        <f t="shared" si="13"/>
        <v>なし</v>
      </c>
      <c r="AF54" t="str">
        <f>IF(T54="","",IF(銘柄管理!$F$5="上昇▲",IF(AND(AD54="下降トレンド▼",OR(AE54="25日戻り売り★",AE54="5日戻り売り○")),"★逆張り売り",IF(AND(AD54="もみ合い→",OR(AE54="25日戻り売り★",AE54="5日戻り売り○")),"○逆張り売り",IF(W54&gt;=70,IF(Z54&lt;0,"◎反落確認","△過熱・様子見"),"相場上昇・見送り"))),IF(AND(T54&gt;=12,AD54="下降トレンド▼"),"★強い売り",IF(T54&gt;=12,"★強い売り",IF(AND(T54&gt;=8,OR(AE54="25日戻り売り★",AE54="5日戻り売り○")),"◎戻り売り",IF(T54&gt;=10,"○売り候補",IF(T54&gt;=6,"△注目",IF(T54&gt;=3,"様子見","見送り"))))))))</f>
        <v>相場上昇・見送り</v>
      </c>
      <c r="AG54">
        <f t="shared" si="15"/>
        <v>9</v>
      </c>
      <c r="AH54">
        <f t="shared" si="16"/>
        <v>89946</v>
      </c>
      <c r="AI54" s="412" cm="1">
        <f t="array" ref="AI54">IF(C54="","",IFERROR((INDEX(終値!$E:$E,MATCH(TEXT(C54,"0"),終値!$A:$A,0))-INDEX(終値!$E:$BL,MATCH(TEXT(C54,"0"),終値!$A:$A,0),$AN$2))/INDEX(終値!$E:$BL,MATCH(TEXT(C54,"0"),終値!$A:$A,0),$AN$2)*100,""))</f>
        <v>-5.2768166089965396</v>
      </c>
      <c r="AJ54" s="412" cm="1">
        <f t="array" ref="AJ54">IFERROR((終値!$E$5-INDEX(終値!$E$5:$BL$5,1,$AN$2))/INDEX(終値!$E$5:$BL$5,1,$AN$2)*100,"")</f>
        <v>3.4532270246721688</v>
      </c>
      <c r="AK54" s="413">
        <f t="shared" si="17"/>
        <v>-8.7300436336687088</v>
      </c>
      <c r="AL54" s="411">
        <f t="shared" si="18"/>
        <v>3</v>
      </c>
      <c r="AO54" s="415" t="str">
        <f t="shared" si="19"/>
        <v>通常</v>
      </c>
      <c r="AP54" s="416">
        <f t="shared" si="20"/>
        <v>0</v>
      </c>
      <c r="AQ54">
        <f>IF(C54&lt;&gt;"",始値!F71,"")</f>
        <v>2200</v>
      </c>
      <c r="AR54">
        <f>IF(C54&lt;&gt;"",高値!F71,"")</f>
        <v>2221</v>
      </c>
      <c r="AS54">
        <f>IF(C54&lt;&gt;"",安値!F71,"")</f>
        <v>2160</v>
      </c>
      <c r="AT54" t="str">
        <f t="shared" si="14"/>
        <v>通常</v>
      </c>
      <c r="AU54">
        <f t="shared" si="21"/>
        <v>0</v>
      </c>
    </row>
    <row r="55" spans="1:47" ht="14.25">
      <c r="A55" s="349" t="str">
        <f>IF(銘柄管理!B73&lt;&gt;"",HYPERLINK("https://kabutan.jp/stock/?code="&amp;銘柄管理!B73,"株探"),"")</f>
        <v>株探</v>
      </c>
      <c r="B55" s="350"/>
      <c r="C55" s="350">
        <f>IF(銘柄管理!B73="","",銘柄管理!B73)</f>
        <v>7806</v>
      </c>
      <c r="D55" s="350" t="str">
        <f>IF(銘柄管理!C73="","",銘柄管理!C73)</f>
        <v>ＭＴＧ</v>
      </c>
      <c r="E55" s="351">
        <f>IF(C55&lt;&gt;"",_xll.RssMarket(C55,"現在値"),"")</f>
        <v>7310</v>
      </c>
      <c r="F55" s="351">
        <f>IF(C55&lt;&gt;"",_xll.RssMarket(C55,"始値"),"")</f>
        <v>7260</v>
      </c>
      <c r="G55" s="350">
        <f>IF(C55&lt;&gt;"",終値!F73,"")</f>
        <v>7260</v>
      </c>
      <c r="H55" s="351">
        <f>IF(C55&lt;&gt;"",_xll.RssMarket(C55,"高値"),"")</f>
        <v>7410</v>
      </c>
      <c r="I55" s="351">
        <f>IF(C55&lt;&gt;"",_xll.RssMarket(C55,"安値"),"")</f>
        <v>7150</v>
      </c>
      <c r="J55" s="351">
        <f>IF(C55&lt;&gt;"",_xll.RssMarket(C55,"出来高"),"")</f>
        <v>101100</v>
      </c>
      <c r="K55" s="351">
        <f>IF(C55&lt;&gt;"",_xll.RssMarket(C55,"年初来高値"),"")</f>
        <v>7600</v>
      </c>
      <c r="L55" s="352">
        <f t="shared" si="0"/>
        <v>-3.8157894736842106</v>
      </c>
      <c r="M55" s="351">
        <f>IF(C55&lt;&gt;"",IFERROR(AVERAGE(出来高!E73:I73),""),"")</f>
        <v>90600</v>
      </c>
      <c r="N55" s="351">
        <f>IF(C55&lt;&gt;"",IFERROR(AVERAGE(出来高!E73:AC73),""),"")</f>
        <v>178712</v>
      </c>
      <c r="O55" s="353">
        <f t="shared" si="1"/>
        <v>1.1158940397350994</v>
      </c>
      <c r="P55" s="350" t="str">
        <f t="shared" si="2"/>
        <v>普通→</v>
      </c>
      <c r="Q55" s="350" t="str">
        <f t="shared" si="3"/>
        <v>様子見▲</v>
      </c>
      <c r="R55" s="351">
        <f t="shared" si="4"/>
        <v>6725</v>
      </c>
      <c r="S55" s="351">
        <f t="shared" si="5"/>
        <v>7602</v>
      </c>
      <c r="T55" s="350">
        <f t="shared" si="6"/>
        <v>3</v>
      </c>
      <c r="U55" s="350" t="str">
        <f t="shared" si="7"/>
        <v>要確認</v>
      </c>
      <c r="V55" s="350" t="str">
        <f t="shared" si="8"/>
        <v>通常</v>
      </c>
      <c r="W55" s="354" cm="1">
        <f t="array" ref="W55">IFERROR(100-100/(1+SUMPRODUCT((終値!F73:R73&gt;終値!G73:S73)*(終値!F73:R73-終値!G73:S73))/SUMPRODUCT((終値!F73:R73&lt;終値!G73:S73)*(終値!G73:S73-終値!F73:R73))),50)</f>
        <v>63.141993957703924</v>
      </c>
      <c r="X55" s="355">
        <f>IF(C55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66.941736752655743</v>
      </c>
      <c r="Y55" s="350" t="str">
        <f t="shared" si="9"/>
        <v>相場上昇・見送り | パーフェクト▲ MACD+ RSI:63.1 前日比:+0.7% [3点]</v>
      </c>
      <c r="Z55" s="356">
        <f t="shared" si="10"/>
        <v>0.68870523415977969</v>
      </c>
      <c r="AA55" s="350" t="str">
        <f t="shared" si="11"/>
        <v>上昇▲</v>
      </c>
      <c r="AB55" s="351">
        <f>IF(OR(C55="",C55="TOPX",終値!E73=""),"",IFERROR(((終値!E73*0.333)+(終値!F73*0.222)+(終値!G73*0.148)+(終値!H73*0.099)+(終値!I73*0.066))/(0.333+0.222+0.148+0.099+0.066),""))</f>
        <v>7213.1451612903211</v>
      </c>
      <c r="AC55" s="351">
        <f>IF(OR(C55="",C55="TOPX",終値!E73=""),"",IFERROR(SUMPRODUCT((終値!E73:AC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6976.9129916567308</v>
      </c>
      <c r="AD55" s="350" t="str">
        <f t="shared" si="12"/>
        <v>パーフェクト▲</v>
      </c>
      <c r="AE55" s="350" t="str">
        <f t="shared" si="13"/>
        <v>なし</v>
      </c>
      <c r="AF55" t="str">
        <f>IF(T55="","",IF(銘柄管理!$F$5="上昇▲",IF(AND(AD55="下降トレンド▼",OR(AE55="25日戻り売り★",AE55="5日戻り売り○")),"★逆張り売り",IF(AND(AD55="もみ合い→",OR(AE55="25日戻り売り★",AE55="5日戻り売り○")),"○逆張り売り",IF(W55&gt;=70,IF(Z55&lt;0,"◎反落確認","△過熱・様子見"),"相場上昇・見送り"))),IF(AND(T55&gt;=12,AD55="下降トレンド▼"),"★強い売り",IF(T55&gt;=12,"★強い売り",IF(AND(T55&gt;=8,OR(AE55="25日戻り売り★",AE55="5日戻り売り○")),"◎戻り売り",IF(T55&gt;=10,"○売り候補",IF(T55&gt;=6,"△注目",IF(T55&gt;=3,"様子見","見送り"))))))))</f>
        <v>相場上昇・見送り</v>
      </c>
      <c r="AG55">
        <f t="shared" si="15"/>
        <v>0</v>
      </c>
      <c r="AH55">
        <f t="shared" si="16"/>
        <v>0</v>
      </c>
      <c r="AI55" s="412" cm="1">
        <f t="array" ref="AI55">IF(C55="","",IFERROR((INDEX(終値!$E:$E,MATCH(TEXT(C55,"0"),終値!$A:$A,0))-INDEX(終値!$E:$BL,MATCH(TEXT(C55,"0"),終値!$A:$A,0),$AN$2))/INDEX(終値!$E:$BL,MATCH(TEXT(C55,"0"),終値!$A:$A,0),$AN$2)*100,""))</f>
        <v>1.8105849582172702</v>
      </c>
      <c r="AJ55" s="412" cm="1">
        <f t="array" ref="AJ55">IFERROR((終値!$E$5-INDEX(終値!$E$5:$BL$5,1,$AN$2))/INDEX(終値!$E$5:$BL$5,1,$AN$2)*100,"")</f>
        <v>3.4532270246721688</v>
      </c>
      <c r="AK55" s="413">
        <f t="shared" si="17"/>
        <v>-1.6426420664548986</v>
      </c>
      <c r="AL55" s="411">
        <f t="shared" si="18"/>
        <v>1</v>
      </c>
      <c r="AO55" s="415" t="str">
        <f t="shared" si="19"/>
        <v>通常</v>
      </c>
      <c r="AP55" s="416">
        <f t="shared" si="20"/>
        <v>0</v>
      </c>
      <c r="AQ55">
        <f>IF(C55&lt;&gt;"",始値!F73,"")</f>
        <v>7110</v>
      </c>
      <c r="AR55">
        <f>IF(C55&lt;&gt;"",高値!F73,"")</f>
        <v>7260</v>
      </c>
      <c r="AS55">
        <f>IF(C55&lt;&gt;"",安値!F73,"")</f>
        <v>7030</v>
      </c>
      <c r="AT55" t="str">
        <f t="shared" si="14"/>
        <v>通常</v>
      </c>
      <c r="AU55">
        <f t="shared" si="21"/>
        <v>0</v>
      </c>
    </row>
    <row r="56" spans="1:47" ht="14.25">
      <c r="A56" s="357" t="str">
        <f>IF(銘柄管理!B96&lt;&gt;"",HYPERLINK("https://kabutan.jp/stock/?code="&amp;銘柄管理!B96,"株探"),"")</f>
        <v>株探</v>
      </c>
      <c r="B56" s="230"/>
      <c r="C56" s="230">
        <f>IF(銘柄管理!B96="","",銘柄管理!B96)</f>
        <v>4062</v>
      </c>
      <c r="D56" s="230" t="str">
        <f>IF(銘柄管理!C96="","",銘柄管理!C96)</f>
        <v>イビデン</v>
      </c>
      <c r="E56" s="358">
        <f>IF(C56&lt;&gt;"",_xll.RssMarket(C56,"現在値"),"")</f>
        <v>24000</v>
      </c>
      <c r="F56" s="358">
        <f>IF(C56&lt;&gt;"",_xll.RssMarket(C56,"始値"),"")</f>
        <v>21945</v>
      </c>
      <c r="G56" s="230">
        <f>IF(C56&lt;&gt;"",終値!F96,"")</f>
        <v>22445</v>
      </c>
      <c r="H56" s="358">
        <f>IF(C56&lt;&gt;"",_xll.RssMarket(C56,"高値"),"")</f>
        <v>24080</v>
      </c>
      <c r="I56" s="358">
        <f>IF(C56&lt;&gt;"",_xll.RssMarket(C56,"安値"),"")</f>
        <v>21860</v>
      </c>
      <c r="J56" s="358">
        <f>IF(C56&lt;&gt;"",_xll.RssMarket(C56,"出来高"),"")</f>
        <v>9058100</v>
      </c>
      <c r="K56" s="358">
        <f>IF(C56&lt;&gt;"",_xll.RssMarket(C56,"年初来高値"),"")</f>
        <v>23640</v>
      </c>
      <c r="L56" s="359">
        <f t="shared" si="0"/>
        <v>1.5228426395939088</v>
      </c>
      <c r="M56" s="358">
        <f>IF(C56&lt;&gt;"",IFERROR(AVERAGE(出来高!E96:I96),""),"")</f>
        <v>8901460</v>
      </c>
      <c r="N56" s="358">
        <f>IF(C56&lt;&gt;"",IFERROR(AVERAGE(出来高!E96:AC96),""),"")</f>
        <v>8752228</v>
      </c>
      <c r="O56" s="360">
        <f t="shared" si="1"/>
        <v>1.0175971132825401</v>
      </c>
      <c r="P56" s="230" t="str">
        <f t="shared" si="2"/>
        <v>普通→</v>
      </c>
      <c r="Q56" s="230" t="str">
        <f t="shared" si="3"/>
        <v>様子見▲</v>
      </c>
      <c r="R56" s="358">
        <f t="shared" si="4"/>
        <v>22080</v>
      </c>
      <c r="S56" s="358">
        <f t="shared" si="5"/>
        <v>24960</v>
      </c>
      <c r="T56" s="350">
        <f t="shared" si="6"/>
        <v>-1</v>
      </c>
      <c r="U56" s="230" t="str">
        <f t="shared" si="7"/>
        <v>除外</v>
      </c>
      <c r="V56" s="230" t="str">
        <f t="shared" si="8"/>
        <v>通常</v>
      </c>
      <c r="W56" s="361" cm="1">
        <f t="array" ref="W56">IFERROR(100-100/(1+SUMPRODUCT((終値!F96:R96&gt;終値!G96:S96)*(終値!F96:R96-終値!G96:S96))/SUMPRODUCT((終値!F96:R96&lt;終値!G96:S96)*(終値!G96:S96-終値!F96:R96))),50)</f>
        <v>54.357204486626408</v>
      </c>
      <c r="X56" s="362">
        <f>IF(C56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391.52667380463754</v>
      </c>
      <c r="Y56" s="230" t="str">
        <f t="shared" si="9"/>
        <v>相場上昇・見送り | パーフェクト▲ MACD+ RSI:54.4 前日比:+6.9% [-1点]</v>
      </c>
      <c r="Z56" s="363">
        <f t="shared" si="10"/>
        <v>6.9280463354867452</v>
      </c>
      <c r="AA56" s="230" t="str">
        <f t="shared" si="11"/>
        <v>上昇▲</v>
      </c>
      <c r="AB56" s="358">
        <f>IF(OR(C56="",C56="TOPX",終値!E96=""),"",IFERROR(((終値!E96*0.333)+(終値!F96*0.222)+(終値!G96*0.148)+(終値!H96*0.099)+(終値!I96*0.066))/(0.333+0.222+0.148+0.099+0.066),""))</f>
        <v>21605.437788018437</v>
      </c>
      <c r="AC56" s="358">
        <f>IF(OR(C56="",C56="TOPX",終値!E96=""),"",IFERROR(SUMPRODUCT((終値!E96:AC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19716.889153754459</v>
      </c>
      <c r="AD56" s="230" t="str">
        <f t="shared" si="12"/>
        <v>パーフェクト▲</v>
      </c>
      <c r="AE56" s="230" t="str">
        <f t="shared" si="13"/>
        <v>なし</v>
      </c>
      <c r="AF56" t="str">
        <f>IF(T56="","",IF(銘柄管理!$F$5="上昇▲",IF(AND(AD56="下降トレンド▼",OR(AE56="25日戻り売り★",AE56="5日戻り売り○")),"★逆張り売り",IF(AND(AD56="もみ合い→",OR(AE56="25日戻り売り★",AE56="5日戻り売り○")),"○逆張り売り",IF(W56&gt;=70,IF(Z56&lt;0,"◎反落確認","△過熱・様子見"),"相場上昇・見送り"))),IF(AND(T56&gt;=12,AD56="下降トレンド▼"),"★強い売り",IF(T56&gt;=12,"★強い売り",IF(AND(T56&gt;=8,OR(AE56="25日戻り売り★",AE56="5日戻り売り○")),"◎戻り売り",IF(T56&gt;=10,"○売り候補",IF(T56&gt;=6,"△注目",IF(T56&gt;=3,"様子見","見送り"))))))))</f>
        <v>相場上昇・見送り</v>
      </c>
      <c r="AG56">
        <f t="shared" si="15"/>
        <v>0</v>
      </c>
      <c r="AH56">
        <f t="shared" si="16"/>
        <v>0</v>
      </c>
      <c r="AI56" s="412" cm="1">
        <f t="array" ref="AI56">IF(C56="","",IFERROR((INDEX(終値!$E:$E,MATCH(TEXT(C56,"0"),終値!$A:$A,0))-INDEX(終値!$E:$BL,MATCH(TEXT(C56,"0"),終値!$A:$A,0),$AN$2))/INDEX(終値!$E:$BL,MATCH(TEXT(C56,"0"),終値!$A:$A,0),$AN$2)*100,""))</f>
        <v>41.509433962264154</v>
      </c>
      <c r="AJ56" s="412" cm="1">
        <f t="array" ref="AJ56">IFERROR((終値!$E$5-INDEX(終値!$E$5:$BL$5,1,$AN$2))/INDEX(終値!$E$5:$BL$5,1,$AN$2)*100,"")</f>
        <v>3.4532270246721688</v>
      </c>
      <c r="AK56" s="413">
        <f t="shared" si="17"/>
        <v>38.056206937591988</v>
      </c>
      <c r="AL56" s="411">
        <f t="shared" si="18"/>
        <v>-2</v>
      </c>
      <c r="AO56" s="415" t="str">
        <f t="shared" si="19"/>
        <v>通常</v>
      </c>
      <c r="AP56" s="416">
        <f t="shared" si="20"/>
        <v>0</v>
      </c>
      <c r="AQ56">
        <f>IF(C56&lt;&gt;"",始値!F96,"")</f>
        <v>22600</v>
      </c>
      <c r="AR56">
        <f>IF(C56&lt;&gt;"",高値!F96,"")</f>
        <v>23640</v>
      </c>
      <c r="AS56">
        <f>IF(C56&lt;&gt;"",安値!F96,"")</f>
        <v>22250</v>
      </c>
      <c r="AT56" t="str">
        <f t="shared" si="14"/>
        <v>通常</v>
      </c>
      <c r="AU56">
        <f t="shared" si="21"/>
        <v>0</v>
      </c>
    </row>
    <row r="57" spans="1:47" ht="14.25">
      <c r="A57" s="349" t="str">
        <f>IF(銘柄管理!B102&lt;&gt;"",HYPERLINK("https://kabutan.jp/stock/?code="&amp;銘柄管理!B102,"株探"),"")</f>
        <v>株探</v>
      </c>
      <c r="B57" s="350"/>
      <c r="C57" s="350">
        <f>IF(銘柄管理!B102="","",銘柄管理!B102)</f>
        <v>5802</v>
      </c>
      <c r="D57" s="350" t="str">
        <f>IF(銘柄管理!C102="","",銘柄管理!C102)</f>
        <v>住友電工</v>
      </c>
      <c r="E57" s="351">
        <f>IF(C57&lt;&gt;"",_xll.RssMarket(C57,"現在値"),"")</f>
        <v>12300</v>
      </c>
      <c r="F57" s="351">
        <f>IF(C57&lt;&gt;"",_xll.RssMarket(C57,"始値"),"")</f>
        <v>12000</v>
      </c>
      <c r="G57" s="350">
        <f>IF(C57&lt;&gt;"",終値!F102,"")</f>
        <v>12320</v>
      </c>
      <c r="H57" s="351">
        <f>IF(C57&lt;&gt;"",_xll.RssMarket(C57,"高値"),"")</f>
        <v>12415</v>
      </c>
      <c r="I57" s="351">
        <f>IF(C57&lt;&gt;"",_xll.RssMarket(C57,"安値"),"")</f>
        <v>11935</v>
      </c>
      <c r="J57" s="351">
        <f>IF(C57&lt;&gt;"",_xll.RssMarket(C57,"出来高"),"")</f>
        <v>4673200</v>
      </c>
      <c r="K57" s="351">
        <f>IF(C57&lt;&gt;"",_xll.RssMarket(C57,"年初来高値"),"")</f>
        <v>14850</v>
      </c>
      <c r="L57" s="352">
        <f t="shared" si="0"/>
        <v>-17.171717171717169</v>
      </c>
      <c r="M57" s="351">
        <f>IF(C57&lt;&gt;"",IFERROR(AVERAGE(出来高!E102:I102),""),"")</f>
        <v>7543100</v>
      </c>
      <c r="N57" s="351">
        <f>IF(C57&lt;&gt;"",IFERROR(AVERAGE(出来高!E102:AC102),""),"")</f>
        <v>7650076</v>
      </c>
      <c r="O57" s="353">
        <f t="shared" si="1"/>
        <v>0.61953308321512379</v>
      </c>
      <c r="P57" s="350" t="str">
        <f t="shared" si="2"/>
        <v>減少↓</v>
      </c>
      <c r="Q57" s="350" t="str">
        <f t="shared" si="3"/>
        <v>中立→</v>
      </c>
      <c r="R57" s="351">
        <f t="shared" si="4"/>
        <v>11316</v>
      </c>
      <c r="S57" s="351">
        <f t="shared" si="5"/>
        <v>12792</v>
      </c>
      <c r="T57" s="350">
        <f t="shared" si="6"/>
        <v>4</v>
      </c>
      <c r="U57" s="350" t="str">
        <f t="shared" si="7"/>
        <v>要確認</v>
      </c>
      <c r="V57" s="350" t="str">
        <f t="shared" si="8"/>
        <v>通常</v>
      </c>
      <c r="W57" s="354" cm="1">
        <f t="array" ref="W57">IFERROR(100-100/(1+SUMPRODUCT((終値!F102:R102&gt;終値!G102:S102)*(終値!F102:R102-終値!G102:S102))/SUMPRODUCT((終値!F102:R102&lt;終値!G102:S102)*(終値!G102:S102-終値!F102:R102))),50)</f>
        <v>50.326022525192656</v>
      </c>
      <c r="X57" s="355">
        <f>IF(C57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52.66669386520698</v>
      </c>
      <c r="Y57" s="350" t="str">
        <f t="shared" si="9"/>
        <v>相場上昇・見送り | 上昇トレンド▲ MACD+ RSI:50.3 前日比:-0.2% [4点]</v>
      </c>
      <c r="Z57" s="356">
        <f t="shared" si="10"/>
        <v>-0.16233766233766234</v>
      </c>
      <c r="AA57" s="350" t="str">
        <f t="shared" si="11"/>
        <v>下落▼</v>
      </c>
      <c r="AB57" s="351">
        <f>IF(OR(C57="",C57="TOPX",終値!E102=""),"",IFERROR(((終値!E102*0.333)+(終値!F102*0.222)+(終値!G102*0.148)+(終値!H102*0.099)+(終値!I102*0.066))/(0.333+0.222+0.148+0.099+0.066),""))</f>
        <v>11717.546082949308</v>
      </c>
      <c r="AC57" s="351">
        <f>IF(OR(C57="",C57="TOPX",終値!E102=""),"",IFERROR(SUMPRODUCT((終値!E102:AC102)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11989.213349225263</v>
      </c>
      <c r="AD57" s="350" t="str">
        <f t="shared" si="12"/>
        <v>上昇トレンド▲</v>
      </c>
      <c r="AE57" s="350" t="str">
        <f t="shared" si="13"/>
        <v>なし</v>
      </c>
      <c r="AF57" t="str">
        <f>IF(T57="","",IF(銘柄管理!$F$5="上昇▲",IF(AND(AD57="下降トレンド▼",OR(AE57="25日戻り売り★",AE57="5日戻り売り○")),"★逆張り売り",IF(AND(AD57="もみ合い→",OR(AE57="25日戻り売り★",AE57="5日戻り売り○")),"○逆張り売り",IF(W57&gt;=70,IF(Z57&lt;0,"◎反落確認","△過熱・様子見"),"相場上昇・見送り"))),IF(AND(T57&gt;=12,AD57="下降トレンド▼"),"★強い売り",IF(T57&gt;=12,"★強い売り",IF(AND(T57&gt;=8,OR(AE57="25日戻り売り★",AE57="5日戻り売り○")),"◎戻り売り",IF(T57&gt;=10,"○売り候補",IF(T57&gt;=6,"△注目",IF(T57&gt;=3,"様子見","見送り"))))))))</f>
        <v>相場上昇・見送り</v>
      </c>
      <c r="AG57">
        <f t="shared" si="15"/>
        <v>0</v>
      </c>
      <c r="AH57">
        <f t="shared" si="16"/>
        <v>0</v>
      </c>
      <c r="AI57" s="412" cm="1">
        <f t="array" ref="AI57">IF(C57="","",IFERROR((INDEX(終値!$E:$E,MATCH(TEXT(C57,"0"),終値!$A:$A,0))-INDEX(終値!$E:$BL,MATCH(TEXT(C57,"0"),終値!$A:$A,0),$AN$2))/INDEX(終値!$E:$BL,MATCH(TEXT(C57,"0"),終値!$A:$A,0),$AN$2)*100,""))</f>
        <v>1.6109045848822798</v>
      </c>
      <c r="AJ57" s="412" cm="1">
        <f t="array" ref="AJ57">IFERROR((終値!$E$5-INDEX(終値!$E$5:$BL$5,1,$AN$2))/INDEX(終値!$E$5:$BL$5,1,$AN$2)*100,"")</f>
        <v>3.4532270246721688</v>
      </c>
      <c r="AK57" s="413">
        <f t="shared" si="17"/>
        <v>-1.842322439789889</v>
      </c>
      <c r="AL57" s="411">
        <f t="shared" si="18"/>
        <v>1</v>
      </c>
      <c r="AO57" s="415" t="str">
        <f t="shared" si="19"/>
        <v>通常</v>
      </c>
      <c r="AP57" s="416">
        <f t="shared" si="20"/>
        <v>0</v>
      </c>
      <c r="AQ57">
        <f>IF(C57&lt;&gt;"",始値!F102,"")</f>
        <v>11510</v>
      </c>
      <c r="AR57">
        <f>IF(C57&lt;&gt;"",高値!F102,"")</f>
        <v>12605</v>
      </c>
      <c r="AS57">
        <f>IF(C57&lt;&gt;"",安値!F102,"")</f>
        <v>11475</v>
      </c>
      <c r="AT57" t="str">
        <f t="shared" si="14"/>
        <v>通常</v>
      </c>
      <c r="AU57">
        <f t="shared" si="21"/>
        <v>0</v>
      </c>
    </row>
    <row r="58" spans="1:47" ht="14.25">
      <c r="A58" s="357" t="str">
        <f>IF(銘柄管理!B103&lt;&gt;"",HYPERLINK("https://kabutan.jp/stock/?code="&amp;銘柄管理!B103,"株探"),"")</f>
        <v>株探</v>
      </c>
      <c r="B58" s="230"/>
      <c r="C58" s="230">
        <f>IF(銘柄管理!B103="","",銘柄管理!B103)</f>
        <v>5803</v>
      </c>
      <c r="D58" s="230" t="str">
        <f>IF(銘柄管理!C103="","",銘柄管理!C103)</f>
        <v>フジクラ</v>
      </c>
      <c r="E58" s="358">
        <f>IF(C58&lt;&gt;"",_xll.RssMarket(C58,"現在値"),"")</f>
        <v>4729</v>
      </c>
      <c r="F58" s="358">
        <f>IF(C58&lt;&gt;"",_xll.RssMarket(C58,"始値"),"")</f>
        <v>4600</v>
      </c>
      <c r="G58" s="230">
        <f>IF(C58&lt;&gt;"",終値!F103,"")</f>
        <v>4738</v>
      </c>
      <c r="H58" s="358">
        <f>IF(C58&lt;&gt;"",_xll.RssMarket(C58,"高値"),"")</f>
        <v>4763</v>
      </c>
      <c r="I58" s="358">
        <f>IF(C58&lt;&gt;"",_xll.RssMarket(C58,"安値"),"")</f>
        <v>4562</v>
      </c>
      <c r="J58" s="358">
        <f>IF(C58&lt;&gt;"",_xll.RssMarket(C58,"出来高"),"")</f>
        <v>35504300</v>
      </c>
      <c r="K58" s="358">
        <f>IF(C58&lt;&gt;"",_xll.RssMarket(C58,"年初来高値"),"")</f>
        <v>7933</v>
      </c>
      <c r="L58" s="359">
        <f t="shared" si="0"/>
        <v>-40.388251607210385</v>
      </c>
      <c r="M58" s="358">
        <f>IF(C58&lt;&gt;"",IFERROR(AVERAGE(出来高!E103:I103),""),"")</f>
        <v>50983020</v>
      </c>
      <c r="N58" s="358">
        <f>IF(C58&lt;&gt;"",IFERROR(AVERAGE(出来高!E103:AC103),""),"")</f>
        <v>69803864</v>
      </c>
      <c r="O58" s="360">
        <f t="shared" si="1"/>
        <v>0.69639460353662852</v>
      </c>
      <c r="P58" s="230" t="str">
        <f t="shared" si="2"/>
        <v>減少↓</v>
      </c>
      <c r="Q58" s="230" t="str">
        <f t="shared" si="3"/>
        <v>中立→</v>
      </c>
      <c r="R58" s="358">
        <f t="shared" si="4"/>
        <v>4351</v>
      </c>
      <c r="S58" s="358">
        <f t="shared" si="5"/>
        <v>4918</v>
      </c>
      <c r="T58" s="350">
        <f t="shared" si="6"/>
        <v>14</v>
      </c>
      <c r="U58" s="230" t="str">
        <f t="shared" si="7"/>
        <v>要確認</v>
      </c>
      <c r="V58" s="230" t="str">
        <f t="shared" si="8"/>
        <v>年初来安値圏●</v>
      </c>
      <c r="W58" s="361" cm="1">
        <f t="array" ref="W58">IFERROR(100-100/(1+SUMPRODUCT((終値!F103:R103&gt;終値!G103:S103)*(終値!F103:R103-終値!G103:S103))/SUMPRODUCT((終値!F103:R103&lt;終値!G103:S103)*(終値!G103:S103-終値!F103:R103))),50)</f>
        <v>35.794261721483565</v>
      </c>
      <c r="X58" s="362">
        <f>IF(C58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-129.06635713404194</v>
      </c>
      <c r="Y58" s="230" t="str">
        <f t="shared" si="9"/>
        <v>○逆張り売り | もみ合い→ 25日戻り売り★ MACD- RSI:35.8 前日比:-0.2% [年初来安値圏] [14点]</v>
      </c>
      <c r="Z58" s="363">
        <f t="shared" si="10"/>
        <v>-0.18995356690586745</v>
      </c>
      <c r="AA58" s="230" t="str">
        <f t="shared" si="11"/>
        <v>下落▼</v>
      </c>
      <c r="AB58" s="358">
        <f>IF(OR(C58="",C58="TOPX",終値!E103=""),"",IFERROR(((終値!E103*0.333)+(終値!F103*0.222)+(終値!G103*0.148)+(終値!H103*0.099)+(終値!I103*0.066))/(0.333+0.222+0.148+0.099+0.066),""))</f>
        <v>4543.0218894009213</v>
      </c>
      <c r="AC58" s="358">
        <f>IF(OR(C58="",C58="TOPX",終値!E103=""),"",IFERROR(SUMPRODUCT((終値!E103:AC103)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4808.8379022645977</v>
      </c>
      <c r="AD58" s="230" t="str">
        <f t="shared" si="12"/>
        <v>もみ合い→</v>
      </c>
      <c r="AE58" s="230" t="str">
        <f t="shared" si="13"/>
        <v>25日戻り売り★</v>
      </c>
      <c r="AF58" t="str">
        <f>IF(T58="","",IF(銘柄管理!$F$5="上昇▲",IF(AND(AD58="下降トレンド▼",OR(AE58="25日戻り売り★",AE58="5日戻り売り○")),"★逆張り売り",IF(AND(AD58="もみ合い→",OR(AE58="25日戻り売り★",AE58="5日戻り売り○")),"○逆張り売り",IF(W58&gt;=70,IF(Z58&lt;0,"◎反落確認","△過熱・様子見"),"相場上昇・見送り"))),IF(AND(T58&gt;=12,AD58="下降トレンド▼"),"★強い売り",IF(T58&gt;=12,"★強い売り",IF(AND(T58&gt;=8,OR(AE58="25日戻り売り★",AE58="5日戻り売り○")),"◎戻り売り",IF(T58&gt;=10,"○売り候補",IF(T58&gt;=6,"△注目",IF(T58&gt;=3,"様子見","見送り"))))))))</f>
        <v>○逆張り売り</v>
      </c>
      <c r="AG58">
        <f t="shared" si="15"/>
        <v>14</v>
      </c>
      <c r="AH58">
        <f t="shared" si="16"/>
        <v>139942</v>
      </c>
      <c r="AI58" s="412" cm="1">
        <f t="array" ref="AI58">IF(C58="","",IFERROR((INDEX(終値!$E:$E,MATCH(TEXT(C58,"0"),終値!$A:$A,0))-INDEX(終値!$E:$BL,MATCH(TEXT(C58,"0"),終値!$A:$A,0),$AN$2))/INDEX(終値!$E:$BL,MATCH(TEXT(C58,"0"),終値!$A:$A,0),$AN$2)*100,""))</f>
        <v>-25.586152635719905</v>
      </c>
      <c r="AJ58" s="412" cm="1">
        <f t="array" ref="AJ58">IFERROR((終値!$E$5-INDEX(終値!$E$5:$BL$5,1,$AN$2))/INDEX(終値!$E$5:$BL$5,1,$AN$2)*100,"")</f>
        <v>3.4532270246721688</v>
      </c>
      <c r="AK58" s="413">
        <f t="shared" si="17"/>
        <v>-29.039379660392076</v>
      </c>
      <c r="AL58" s="411">
        <f t="shared" si="18"/>
        <v>3</v>
      </c>
      <c r="AO58" s="415" t="str">
        <f t="shared" si="19"/>
        <v>通常</v>
      </c>
      <c r="AP58" s="416">
        <f t="shared" si="20"/>
        <v>0</v>
      </c>
      <c r="AQ58">
        <f>IF(C58&lt;&gt;"",始値!F103,"")</f>
        <v>4400</v>
      </c>
      <c r="AR58">
        <f>IF(C58&lt;&gt;"",高値!F103,"")</f>
        <v>4829</v>
      </c>
      <c r="AS58">
        <f>IF(C58&lt;&gt;"",安値!F103,"")</f>
        <v>4308</v>
      </c>
      <c r="AT58" t="str">
        <f t="shared" si="14"/>
        <v>通常</v>
      </c>
      <c r="AU58">
        <f t="shared" si="21"/>
        <v>0</v>
      </c>
    </row>
    <row r="59" spans="1:47" ht="14.25">
      <c r="A59" s="349" t="str">
        <f>IF(銘柄管理!B104&lt;&gt;"",HYPERLINK("https://kabutan.jp/stock/?code="&amp;銘柄管理!B104,"株探"),"")</f>
        <v>株探</v>
      </c>
      <c r="B59" s="350"/>
      <c r="C59" s="350">
        <f>IF(銘柄管理!B104="","",銘柄管理!B104)</f>
        <v>6178</v>
      </c>
      <c r="D59" s="350" t="str">
        <f>IF(銘柄管理!C104="","",銘柄管理!C104)</f>
        <v>日本郵政</v>
      </c>
      <c r="E59" s="351">
        <f>IF(C59&lt;&gt;"",_xll.RssMarket(C59,"現在値"),"")</f>
        <v>2196.5</v>
      </c>
      <c r="F59" s="351">
        <f>IF(C59&lt;&gt;"",_xll.RssMarket(C59,"始値"),"")</f>
        <v>2272</v>
      </c>
      <c r="G59" s="350">
        <f>IF(C59&lt;&gt;"",終値!F104,"")</f>
        <v>2264.5</v>
      </c>
      <c r="H59" s="351">
        <f>IF(C59&lt;&gt;"",_xll.RssMarket(C59,"高値"),"")</f>
        <v>2279.5</v>
      </c>
      <c r="I59" s="351">
        <f>IF(C59&lt;&gt;"",_xll.RssMarket(C59,"安値"),"")</f>
        <v>2196.5</v>
      </c>
      <c r="J59" s="351">
        <f>IF(C59&lt;&gt;"",_xll.RssMarket(C59,"出来高"),"")</f>
        <v>5707300</v>
      </c>
      <c r="K59" s="351">
        <f>IF(C59&lt;&gt;"",_xll.RssMarket(C59,"年初来高値"),"")</f>
        <v>2361</v>
      </c>
      <c r="L59" s="352">
        <f t="shared" si="0"/>
        <v>-6.9673867005506134</v>
      </c>
      <c r="M59" s="351">
        <f>IF(C59&lt;&gt;"",IFERROR(AVERAGE(出来高!E104:I104),""),"")</f>
        <v>6963260</v>
      </c>
      <c r="N59" s="351">
        <f>IF(C59&lt;&gt;"",IFERROR(AVERAGE(出来高!E104:AC104),""),"")</f>
        <v>7380716</v>
      </c>
      <c r="O59" s="353">
        <f t="shared" si="1"/>
        <v>0.81963046044525123</v>
      </c>
      <c r="P59" s="350" t="str">
        <f t="shared" si="2"/>
        <v>減少↓</v>
      </c>
      <c r="Q59" s="350" t="str">
        <f t="shared" si="3"/>
        <v>中立→</v>
      </c>
      <c r="R59" s="351">
        <f t="shared" si="4"/>
        <v>2021</v>
      </c>
      <c r="S59" s="351">
        <f t="shared" si="5"/>
        <v>2284</v>
      </c>
      <c r="T59" s="350">
        <f t="shared" si="6"/>
        <v>2</v>
      </c>
      <c r="U59" s="350" t="str">
        <f t="shared" si="7"/>
        <v>除外</v>
      </c>
      <c r="V59" s="350" t="str">
        <f t="shared" si="8"/>
        <v>通常</v>
      </c>
      <c r="W59" s="354" cm="1">
        <f t="array" ref="W59">IFERROR(100-100/(1+SUMPRODUCT((終値!F104:R104&gt;終値!G104:S104)*(終値!F104:R104-終値!G104:S104))/SUMPRODUCT((終値!F104:R104&lt;終値!G104:S104)*(終値!G104:S104-終値!F104:R104))),50)</f>
        <v>71.17768595041322</v>
      </c>
      <c r="X59" s="355">
        <f>IF(C59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26.38005644028226</v>
      </c>
      <c r="Y59" s="350" t="str">
        <f t="shared" si="9"/>
        <v>◎反落確認 | 上昇トレンド▲ MACD+ RSI:71.2 [過熱] 前日比:-3.0% [大陰線▼]前日[長い下ヒゲ(反発)] [2点]</v>
      </c>
      <c r="Z59" s="356">
        <f t="shared" si="10"/>
        <v>-3.0028703908147496</v>
      </c>
      <c r="AA59" s="350" t="str">
        <f t="shared" si="11"/>
        <v>下落▼</v>
      </c>
      <c r="AB59" s="351">
        <f>IF(OR(C59="",C59="TOPX",終値!E104=""),"",IFERROR(((終値!E104*0.333)+(終値!F104*0.222)+(終値!G104*0.148)+(終値!H104*0.099)+(終値!I104*0.066))/(0.333+0.222+0.148+0.099+0.066),""))</f>
        <v>2243.9130184331793</v>
      </c>
      <c r="AC59" s="351">
        <f>IF(OR(C59="",C59="TOPX",終値!E104=""),"",IFERROR(SUMPRODUCT((終値!E104:AC104)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2155.8849821215731</v>
      </c>
      <c r="AD59" s="350" t="str">
        <f t="shared" si="12"/>
        <v>上昇トレンド▲</v>
      </c>
      <c r="AE59" s="350" t="str">
        <f t="shared" si="13"/>
        <v>なし</v>
      </c>
      <c r="AF59" t="str">
        <f>IF(T59="","",IF(銘柄管理!$F$5="上昇▲",IF(AND(AD59="下降トレンド▼",OR(AE59="25日戻り売り★",AE59="5日戻り売り○")),"★逆張り売り",IF(AND(AD59="もみ合い→",OR(AE59="25日戻り売り★",AE59="5日戻り売り○")),"○逆張り売り",IF(W59&gt;=70,IF(Z59&lt;0,"◎反落確認","△過熱・様子見"),"相場上昇・見送り"))),IF(AND(T59&gt;=12,AD59="下降トレンド▼"),"★強い売り",IF(T59&gt;=12,"★強い売り",IF(AND(T59&gt;=8,OR(AE59="25日戻り売り★",AE59="5日戻り売り○")),"◎戻り売り",IF(T59&gt;=10,"○売り候補",IF(T59&gt;=6,"△注目",IF(T59&gt;=3,"様子見","見送り"))))))))</f>
        <v>◎反落確認</v>
      </c>
      <c r="AG59">
        <f t="shared" si="15"/>
        <v>0</v>
      </c>
      <c r="AH59">
        <f t="shared" si="16"/>
        <v>0</v>
      </c>
      <c r="AI59" s="412" cm="1">
        <f t="array" ref="AI59">IF(C59="","",IFERROR((INDEX(終値!$E:$E,MATCH(TEXT(C59,"0"),終値!$A:$A,0))-INDEX(終値!$E:$BL,MATCH(TEXT(C59,"0"),終値!$A:$A,0),$AN$2))/INDEX(終値!$E:$BL,MATCH(TEXT(C59,"0"),終値!$A:$A,0),$AN$2)*100,""))</f>
        <v>12.238119570771589</v>
      </c>
      <c r="AJ59" s="412" cm="1">
        <f t="array" ref="AJ59">IFERROR((終値!$E$5-INDEX(終値!$E$5:$BL$5,1,$AN$2))/INDEX(終値!$E$5:$BL$5,1,$AN$2)*100,"")</f>
        <v>3.4532270246721688</v>
      </c>
      <c r="AK59" s="413">
        <f t="shared" si="17"/>
        <v>8.7848925460994209</v>
      </c>
      <c r="AL59" s="411">
        <f t="shared" si="18"/>
        <v>-2</v>
      </c>
      <c r="AO59" s="415" t="str">
        <f t="shared" si="19"/>
        <v>大陰線▼</v>
      </c>
      <c r="AP59" s="416">
        <f t="shared" si="20"/>
        <v>2</v>
      </c>
      <c r="AQ59">
        <f>IF(C59&lt;&gt;"",始値!F104,"")</f>
        <v>2250</v>
      </c>
      <c r="AR59">
        <f>IF(C59&lt;&gt;"",高値!F104,"")</f>
        <v>2264.5</v>
      </c>
      <c r="AS59">
        <f>IF(C59&lt;&gt;"",安値!F104,"")</f>
        <v>2213.5</v>
      </c>
      <c r="AT59" t="str">
        <f t="shared" si="14"/>
        <v>長い下ヒゲ(反発)</v>
      </c>
      <c r="AU59">
        <f t="shared" si="21"/>
        <v>-2</v>
      </c>
    </row>
    <row r="60" spans="1:47" ht="14.25">
      <c r="A60" s="357" t="str">
        <f>IF(銘柄管理!B110&lt;&gt;"",HYPERLINK("https://kabutan.jp/stock/?code="&amp;銘柄管理!B110,"株探"),"")</f>
        <v>株探</v>
      </c>
      <c r="B60" s="230"/>
      <c r="C60" s="230">
        <f>IF(銘柄管理!B110="","",銘柄管理!B110)</f>
        <v>9069</v>
      </c>
      <c r="D60" s="230" t="str">
        <f>IF(銘柄管理!C110="","",銘柄管理!C110)</f>
        <v>センコーグループＨＬＤＧＳ</v>
      </c>
      <c r="E60" s="358">
        <f>IF(C60&lt;&gt;"",_xll.RssMarket(C60,"現在値"),"")</f>
        <v>1907.5</v>
      </c>
      <c r="F60" s="358">
        <f>IF(C60&lt;&gt;"",_xll.RssMarket(C60,"始値"),"")</f>
        <v>1940</v>
      </c>
      <c r="G60" s="230">
        <f>IF(C60&lt;&gt;"",終値!F110,"")</f>
        <v>1932.5</v>
      </c>
      <c r="H60" s="358">
        <f>IF(C60&lt;&gt;"",_xll.RssMarket(C60,"高値"),"")</f>
        <v>1952.5</v>
      </c>
      <c r="I60" s="358">
        <f>IF(C60&lt;&gt;"",_xll.RssMarket(C60,"安値"),"")</f>
        <v>1898</v>
      </c>
      <c r="J60" s="358">
        <f>IF(C60&lt;&gt;"",_xll.RssMarket(C60,"出来高"),"")</f>
        <v>267400</v>
      </c>
      <c r="K60" s="358">
        <f>IF(C60&lt;&gt;"",_xll.RssMarket(C60,"年初来高値"),"")</f>
        <v>2145</v>
      </c>
      <c r="L60" s="359">
        <f t="shared" si="0"/>
        <v>-11.072261072261073</v>
      </c>
      <c r="M60" s="358">
        <f>IF(C60&lt;&gt;"",IFERROR(AVERAGE(出来高!E110:I110),""),"")</f>
        <v>327180</v>
      </c>
      <c r="N60" s="358">
        <f>IF(C60&lt;&gt;"",IFERROR(AVERAGE(出来高!E110:AC110),""),"")</f>
        <v>412600</v>
      </c>
      <c r="O60" s="360">
        <f t="shared" si="1"/>
        <v>0.81728712023962347</v>
      </c>
      <c r="P60" s="230" t="str">
        <f t="shared" si="2"/>
        <v>減少↓</v>
      </c>
      <c r="Q60" s="230" t="str">
        <f t="shared" si="3"/>
        <v>中立→</v>
      </c>
      <c r="R60" s="358">
        <f t="shared" si="4"/>
        <v>1755</v>
      </c>
      <c r="S60" s="358">
        <f t="shared" si="5"/>
        <v>1984</v>
      </c>
      <c r="T60" s="350">
        <f t="shared" si="6"/>
        <v>13</v>
      </c>
      <c r="U60" s="230" t="str">
        <f t="shared" si="7"/>
        <v>要確認</v>
      </c>
      <c r="V60" s="230" t="str">
        <f t="shared" si="8"/>
        <v>通常</v>
      </c>
      <c r="W60" s="361" cm="1">
        <f t="array" ref="W60">IFERROR(100-100/(1+SUMPRODUCT((終値!F110:R110&gt;終値!G110:S110)*(終値!F110:R110-終値!G110:S110))/SUMPRODUCT((終値!F110:R110&lt;終値!G110:S110)*(終値!G110:S110-終値!F110:R110))),50)</f>
        <v>49.299719887955185</v>
      </c>
      <c r="X60" s="362">
        <f>IF(C60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-5.0297326450108812</v>
      </c>
      <c r="Y60" s="230" t="str">
        <f t="shared" si="9"/>
        <v>★逆張り売り | 下降トレンド▼ 25日戻り売り★ MACD- RSI:49.3 前日比:-1.3%前日[大陰線▼] [13点]</v>
      </c>
      <c r="Z60" s="363">
        <f t="shared" si="10"/>
        <v>-1.29366106080207</v>
      </c>
      <c r="AA60" s="230" t="str">
        <f t="shared" si="11"/>
        <v>下落▼</v>
      </c>
      <c r="AB60" s="358">
        <f>IF(OR(C60="",C60="TOPX",終値!E110=""),"",IFERROR(((終値!E110*0.333)+(終値!F110*0.222)+(終値!G110*0.148)+(終値!H110*0.099)+(終値!I110*0.066))/(0.333+0.222+0.148+0.099+0.066),""))</f>
        <v>1924.2644009216588</v>
      </c>
      <c r="AC60" s="358">
        <f>IF(OR(C60="",C60="TOPX",終値!E110=""),"",IFERROR(SUMPRODUCT((終値!E110:AC110)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1931.87127532777</v>
      </c>
      <c r="AD60" s="230" t="str">
        <f t="shared" si="12"/>
        <v>下降トレンド▼</v>
      </c>
      <c r="AE60" s="230" t="str">
        <f t="shared" si="13"/>
        <v>25日戻り売り★</v>
      </c>
      <c r="AF60" t="str">
        <f>IF(T60="","",IF(銘柄管理!$F$5="上昇▲",IF(AND(AD60="下降トレンド▼",OR(AE60="25日戻り売り★",AE60="5日戻り売り○")),"★逆張り売り",IF(AND(AD60="もみ合い→",OR(AE60="25日戻り売り★",AE60="5日戻り売り○")),"○逆張り売り",IF(W60&gt;=70,IF(Z60&lt;0,"◎反落確認","△過熱・様子見"),"相場上昇・見送り"))),IF(AND(T60&gt;=12,AD60="下降トレンド▼"),"★強い売り",IF(T60&gt;=12,"★強い売り",IF(AND(T60&gt;=8,OR(AE60="25日戻り売り★",AE60="5日戻り売り○")),"◎戻り売り",IF(T60&gt;=10,"○売り候補",IF(T60&gt;=6,"△注目",IF(T60&gt;=3,"様子見","見送り"))))))))</f>
        <v>★逆張り売り</v>
      </c>
      <c r="AG60">
        <f t="shared" si="15"/>
        <v>13</v>
      </c>
      <c r="AH60">
        <f t="shared" si="16"/>
        <v>129940</v>
      </c>
      <c r="AI60" s="412" cm="1">
        <f t="array" ref="AI60">IF(C60="","",IFERROR((INDEX(終値!$E:$E,MATCH(TEXT(C60,"0"),終値!$A:$A,0))-INDEX(終値!$E:$BL,MATCH(TEXT(C60,"0"),終値!$A:$A,0),$AN$2))/INDEX(終値!$E:$BL,MATCH(TEXT(C60,"0"),終値!$A:$A,0),$AN$2)*100,""))</f>
        <v>-4.9102691924227315</v>
      </c>
      <c r="AJ60" s="412" cm="1">
        <f t="array" ref="AJ60">IFERROR((終値!$E$5-INDEX(終値!$E$5:$BL$5,1,$AN$2))/INDEX(終値!$E$5:$BL$5,1,$AN$2)*100,"")</f>
        <v>3.4532270246721688</v>
      </c>
      <c r="AK60" s="413">
        <f t="shared" si="17"/>
        <v>-8.3634962170948999</v>
      </c>
      <c r="AL60" s="411">
        <f t="shared" si="18"/>
        <v>3</v>
      </c>
      <c r="AO60" s="415" t="str">
        <f t="shared" si="19"/>
        <v>通常</v>
      </c>
      <c r="AP60" s="416">
        <f t="shared" si="20"/>
        <v>0</v>
      </c>
      <c r="AQ60">
        <f>IF(C60&lt;&gt;"",始値!F110,"")</f>
        <v>1952</v>
      </c>
      <c r="AR60">
        <f>IF(C60&lt;&gt;"",高値!F110,"")</f>
        <v>1956.5</v>
      </c>
      <c r="AS60">
        <f>IF(C60&lt;&gt;"",安値!F110,"")</f>
        <v>1932.5</v>
      </c>
      <c r="AT60" t="str">
        <f t="shared" si="14"/>
        <v>大陰線▼</v>
      </c>
      <c r="AU60">
        <f t="shared" si="21"/>
        <v>2</v>
      </c>
    </row>
    <row r="61" spans="1:47" ht="14.25">
      <c r="A61" s="349" t="str">
        <f>IF(銘柄管理!B118&lt;&gt;"",HYPERLINK("https://kabutan.jp/stock/?code="&amp;銘柄管理!B118,"株探"),"")</f>
        <v>株探</v>
      </c>
      <c r="B61" s="350"/>
      <c r="C61" s="350">
        <f>IF(銘柄管理!B118="","",銘柄管理!B118)</f>
        <v>5844</v>
      </c>
      <c r="D61" s="350" t="str">
        <f>IF(銘柄管理!C118="","",銘柄管理!C118)</f>
        <v>京都フィナンシャルＧ</v>
      </c>
      <c r="E61" s="351">
        <f>IF(C61&lt;&gt;"",_xll.RssMarket(C61,"現在値"),"")</f>
        <v>4535</v>
      </c>
      <c r="F61" s="351">
        <f>IF(C61&lt;&gt;"",_xll.RssMarket(C61,"始値"),"")</f>
        <v>4726</v>
      </c>
      <c r="G61" s="350">
        <f>IF(C61&lt;&gt;"",終値!F118,"")</f>
        <v>4656</v>
      </c>
      <c r="H61" s="351">
        <f>IF(C61&lt;&gt;"",_xll.RssMarket(C61,"高値"),"")</f>
        <v>4733</v>
      </c>
      <c r="I61" s="351">
        <f>IF(C61&lt;&gt;"",_xll.RssMarket(C61,"安値"),"")</f>
        <v>4519</v>
      </c>
      <c r="J61" s="351">
        <f>IF(C61&lt;&gt;"",_xll.RssMarket(C61,"出来高"),"")</f>
        <v>1291700</v>
      </c>
      <c r="K61" s="351">
        <f>IF(C61&lt;&gt;"",_xll.RssMarket(C61,"年初来高値"),"")</f>
        <v>4755</v>
      </c>
      <c r="L61" s="352">
        <f t="shared" si="0"/>
        <v>-4.6267087276550996</v>
      </c>
      <c r="M61" s="351">
        <f>IF(C61&lt;&gt;"",IFERROR(AVERAGE(出来高!E118:I118),""),"")</f>
        <v>1236740</v>
      </c>
      <c r="N61" s="351">
        <f>IF(C61&lt;&gt;"",IFERROR(AVERAGE(出来高!E118:AC118),""),"")</f>
        <v>1165524</v>
      </c>
      <c r="O61" s="353">
        <f t="shared" si="1"/>
        <v>1.0444394132962467</v>
      </c>
      <c r="P61" s="350" t="str">
        <f t="shared" si="2"/>
        <v>普通→</v>
      </c>
      <c r="Q61" s="350" t="str">
        <f t="shared" si="3"/>
        <v>中立→</v>
      </c>
      <c r="R61" s="351">
        <f t="shared" si="4"/>
        <v>4172</v>
      </c>
      <c r="S61" s="351">
        <f t="shared" si="5"/>
        <v>4716</v>
      </c>
      <c r="T61" s="350">
        <f t="shared" si="6"/>
        <v>6</v>
      </c>
      <c r="U61" s="350" t="str">
        <f t="shared" si="7"/>
        <v>要確認</v>
      </c>
      <c r="V61" s="350" t="str">
        <f t="shared" si="8"/>
        <v>通常</v>
      </c>
      <c r="W61" s="354" cm="1">
        <f t="array" ref="W61">IFERROR(100-100/(1+SUMPRODUCT((終値!F118:R118&gt;終値!G118:S118)*(終値!F118:R118-終値!G118:S118))/SUMPRODUCT((終値!F118:R118&lt;終値!G118:S118)*(終値!G118:S118-終値!F118:R118))),50)</f>
        <v>54.214360041623308</v>
      </c>
      <c r="X61" s="355">
        <f>IF(C61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10.519250594054938</v>
      </c>
      <c r="Y61" s="350" t="str">
        <f t="shared" si="9"/>
        <v>相場上昇・見送り | 上昇トレンド▲ 5日戻り売り○ MACD+ RSI:54.2 前日比:-2.6% [大陰線▼] [6点]</v>
      </c>
      <c r="Z61" s="356">
        <f t="shared" si="10"/>
        <v>-2.5987972508591066</v>
      </c>
      <c r="AA61" s="350" t="str">
        <f t="shared" si="11"/>
        <v>下落▼</v>
      </c>
      <c r="AB61" s="351">
        <f>IF(OR(C61="",C61="TOPX",終値!E118=""),"",IFERROR(((終値!E118*0.333)+(終値!F118*0.222)+(終値!G118*0.148)+(終値!H118*0.099)+(終値!I118*0.066))/(0.333+0.222+0.148+0.099+0.066),""))</f>
        <v>4539.7753456221199</v>
      </c>
      <c r="AC61" s="351">
        <f>IF(OR(C61="",C61="TOPX",終値!E118=""),"",IFERROR(SUMPRODUCT((終値!E118:AC118)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4484.2324195470783</v>
      </c>
      <c r="AD61" s="350" t="str">
        <f t="shared" si="12"/>
        <v>上昇トレンド▲</v>
      </c>
      <c r="AE61" s="350" t="str">
        <f t="shared" si="13"/>
        <v>5日戻り売り○</v>
      </c>
      <c r="AF61" t="str">
        <f>IF(T61="","",IF(銘柄管理!$F$5="上昇▲",IF(AND(AD61="下降トレンド▼",OR(AE61="25日戻り売り★",AE61="5日戻り売り○")),"★逆張り売り",IF(AND(AD61="もみ合い→",OR(AE61="25日戻り売り★",AE61="5日戻り売り○")),"○逆張り売り",IF(W61&gt;=70,IF(Z61&lt;0,"◎反落確認","△過熱・様子見"),"相場上昇・見送り"))),IF(AND(T61&gt;=12,AD61="下降トレンド▼"),"★強い売り",IF(T61&gt;=12,"★強い売り",IF(AND(T61&gt;=8,OR(AE61="25日戻り売り★",AE61="5日戻り売り○")),"◎戻り売り",IF(T61&gt;=10,"○売り候補",IF(T61&gt;=6,"△注目",IF(T61&gt;=3,"様子見","見送り"))))))))</f>
        <v>相場上昇・見送り</v>
      </c>
      <c r="AG61">
        <f t="shared" si="15"/>
        <v>0</v>
      </c>
      <c r="AH61">
        <f t="shared" si="16"/>
        <v>0</v>
      </c>
      <c r="AI61" s="412" cm="1">
        <f t="array" ref="AI61">IF(C61="","",IFERROR((INDEX(終値!$E:$E,MATCH(TEXT(C61,"0"),終値!$A:$A,0))-INDEX(終値!$E:$BL,MATCH(TEXT(C61,"0"),終値!$A:$A,0),$AN$2))/INDEX(終値!$E:$BL,MATCH(TEXT(C61,"0"),終値!$A:$A,0),$AN$2)*100,""))</f>
        <v>3.0681818181818183</v>
      </c>
      <c r="AJ61" s="412" cm="1">
        <f t="array" ref="AJ61">IFERROR((終値!$E$5-INDEX(終値!$E$5:$BL$5,1,$AN$2))/INDEX(終値!$E$5:$BL$5,1,$AN$2)*100,"")</f>
        <v>3.4532270246721688</v>
      </c>
      <c r="AK61" s="413">
        <f t="shared" si="17"/>
        <v>-0.38504520649035046</v>
      </c>
      <c r="AL61" s="411">
        <f t="shared" si="18"/>
        <v>1</v>
      </c>
      <c r="AO61" s="415" t="str">
        <f t="shared" si="19"/>
        <v>大陰線▼</v>
      </c>
      <c r="AP61" s="416">
        <f t="shared" si="20"/>
        <v>2</v>
      </c>
      <c r="AQ61">
        <f>IF(C61&lt;&gt;"",始値!F118,"")</f>
        <v>4468</v>
      </c>
      <c r="AR61">
        <f>IF(C61&lt;&gt;"",高値!F118,"")</f>
        <v>4669</v>
      </c>
      <c r="AS61">
        <f>IF(C61&lt;&gt;"",安値!F118,"")</f>
        <v>4375</v>
      </c>
      <c r="AT61" t="str">
        <f t="shared" si="14"/>
        <v>通常</v>
      </c>
      <c r="AU61">
        <f t="shared" si="21"/>
        <v>0</v>
      </c>
    </row>
    <row r="62" spans="1:47" ht="14.25">
      <c r="A62" s="357" t="str">
        <f>IF(銘柄管理!B147&lt;&gt;"",HYPERLINK("https://kabutan.jp/stock/?code="&amp;銘柄管理!B147,"株探"),"")</f>
        <v>株探</v>
      </c>
      <c r="B62" s="230"/>
      <c r="C62" s="230">
        <f>IF(銘柄管理!B147="","",銘柄管理!B147)</f>
        <v>6387</v>
      </c>
      <c r="D62" s="230" t="str">
        <f>IF(銘柄管理!C147="","",銘柄管理!C147)</f>
        <v>サムコ</v>
      </c>
      <c r="E62" s="358">
        <f>IF(C62&lt;&gt;"",_xll.RssMarket(C62,"現在値"),"")</f>
        <v>16190</v>
      </c>
      <c r="F62" s="358">
        <f>IF(C62&lt;&gt;"",_xll.RssMarket(C62,"始値"),"")</f>
        <v>15420</v>
      </c>
      <c r="G62" s="230">
        <f>IF(C62&lt;&gt;"",終値!F147,"")</f>
        <v>16220</v>
      </c>
      <c r="H62" s="358">
        <f>IF(C62&lt;&gt;"",_xll.RssMarket(C62,"高値"),"")</f>
        <v>16300</v>
      </c>
      <c r="I62" s="358">
        <f>IF(C62&lt;&gt;"",_xll.RssMarket(C62,"安値"),"")</f>
        <v>14700</v>
      </c>
      <c r="J62" s="358">
        <f>IF(C62&lt;&gt;"",_xll.RssMarket(C62,"出来高"),"")</f>
        <v>321300</v>
      </c>
      <c r="K62" s="358">
        <f>IF(C62&lt;&gt;"",_xll.RssMarket(C62,"年初来高値"),"")</f>
        <v>16930</v>
      </c>
      <c r="L62" s="359">
        <f t="shared" si="0"/>
        <v>-4.370939161252215</v>
      </c>
      <c r="M62" s="358">
        <f>IF(C62&lt;&gt;"",IFERROR(AVERAGE(出来高!E147:I147),""),"")</f>
        <v>219600</v>
      </c>
      <c r="N62" s="358">
        <f>IF(C62&lt;&gt;"",IFERROR(AVERAGE(出来高!E147:AC147),""),"")</f>
        <v>153224</v>
      </c>
      <c r="O62" s="360">
        <f t="shared" si="1"/>
        <v>1.4631147540983607</v>
      </c>
      <c r="P62" s="230" t="str">
        <f t="shared" si="2"/>
        <v>普通→</v>
      </c>
      <c r="Q62" s="230" t="str">
        <f t="shared" si="3"/>
        <v>中立→</v>
      </c>
      <c r="R62" s="358">
        <f t="shared" si="4"/>
        <v>14895</v>
      </c>
      <c r="S62" s="358">
        <f t="shared" si="5"/>
        <v>16838</v>
      </c>
      <c r="T62" s="350">
        <f t="shared" si="6"/>
        <v>1</v>
      </c>
      <c r="U62" s="230" t="str">
        <f t="shared" si="7"/>
        <v>除外</v>
      </c>
      <c r="V62" s="230" t="str">
        <f t="shared" si="8"/>
        <v>通常</v>
      </c>
      <c r="W62" s="361" cm="1">
        <f t="array" ref="W62">IFERROR(100-100/(1+SUMPRODUCT((終値!F147:R147&gt;終値!G147:S147)*(終値!F147:R147-終値!G147:S147))/SUMPRODUCT((終値!F147:R147&lt;終値!G147:S147)*(終値!G147:S147-終値!F147:R147))),50)</f>
        <v>69.108561341571047</v>
      </c>
      <c r="X62" s="362">
        <f>IF(C62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310.15212606323621</v>
      </c>
      <c r="Y62" s="230" t="str">
        <f t="shared" si="9"/>
        <v>相場上昇・見送り | パーフェクト▲ MACD+ RSI:69.1 前日比:-0.2% [1点]</v>
      </c>
      <c r="Z62" s="363">
        <f t="shared" si="10"/>
        <v>-0.18495684340320592</v>
      </c>
      <c r="AA62" s="230" t="str">
        <f t="shared" si="11"/>
        <v>下落▼</v>
      </c>
      <c r="AB62" s="358">
        <f>IF(OR(C62="",C62="TOPX",終値!E147=""),"",IFERROR(((終値!E147*0.333)+(終値!F147*0.222)+(終値!G147*0.148)+(終値!H147*0.099)+(終値!I147*0.066))/(0.333+0.222+0.148+0.099+0.066),""))</f>
        <v>14627.281105990782</v>
      </c>
      <c r="AC62" s="358">
        <f>IF(OR(C62="",C62="TOPX",終値!E147=""),"",IFERROR(SUMPRODUCT((終値!E147:AC147)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12560.989272943976</v>
      </c>
      <c r="AD62" s="230" t="str">
        <f t="shared" si="12"/>
        <v>パーフェクト▲</v>
      </c>
      <c r="AE62" s="230" t="str">
        <f t="shared" si="13"/>
        <v>なし</v>
      </c>
      <c r="AF62" t="str">
        <f>IF(T62="","",IF(銘柄管理!$F$5="上昇▲",IF(AND(AD62="下降トレンド▼",OR(AE62="25日戻り売り★",AE62="5日戻り売り○")),"★逆張り売り",IF(AND(AD62="もみ合い→",OR(AE62="25日戻り売り★",AE62="5日戻り売り○")),"○逆張り売り",IF(W62&gt;=70,IF(Z62&lt;0,"◎反落確認","△過熱・様子見"),"相場上昇・見送り"))),IF(AND(T62&gt;=12,AD62="下降トレンド▼"),"★強い売り",IF(T62&gt;=12,"★強い売り",IF(AND(T62&gt;=8,OR(AE62="25日戻り売り★",AE62="5日戻り売り○")),"◎戻り売り",IF(T62&gt;=10,"○売り候補",IF(T62&gt;=6,"△注目",IF(T62&gt;=3,"様子見","見送り"))))))))</f>
        <v>相場上昇・見送り</v>
      </c>
      <c r="AG62">
        <f t="shared" si="15"/>
        <v>0</v>
      </c>
      <c r="AH62">
        <f t="shared" si="16"/>
        <v>0</v>
      </c>
      <c r="AI62" s="412" cm="1">
        <f t="array" ref="AI62">IF(C62="","",IFERROR((INDEX(終値!$E:$E,MATCH(TEXT(C62,"0"),終値!$A:$A,0))-INDEX(終値!$E:$BL,MATCH(TEXT(C62,"0"),終値!$A:$A,0),$AN$2))/INDEX(終値!$E:$BL,MATCH(TEXT(C62,"0"),終値!$A:$A,0),$AN$2)*100,""))</f>
        <v>22.930903568716783</v>
      </c>
      <c r="AJ62" s="412" cm="1">
        <f t="array" ref="AJ62">IFERROR((終値!$E$5-INDEX(終値!$E$5:$BL$5,1,$AN$2))/INDEX(終値!$E$5:$BL$5,1,$AN$2)*100,"")</f>
        <v>3.4532270246721688</v>
      </c>
      <c r="AK62" s="413">
        <f t="shared" si="17"/>
        <v>19.477676544044613</v>
      </c>
      <c r="AL62" s="411">
        <f t="shared" si="18"/>
        <v>-2</v>
      </c>
      <c r="AO62" s="415" t="str">
        <f t="shared" si="19"/>
        <v>通常</v>
      </c>
      <c r="AP62" s="416">
        <f t="shared" si="20"/>
        <v>0</v>
      </c>
      <c r="AQ62">
        <f>IF(C62&lt;&gt;"",始値!F147,"")</f>
        <v>15600</v>
      </c>
      <c r="AR62">
        <f>IF(C62&lt;&gt;"",高値!F147,"")</f>
        <v>16930</v>
      </c>
      <c r="AS62">
        <f>IF(C62&lt;&gt;"",安値!F147,"")</f>
        <v>15120</v>
      </c>
      <c r="AT62" t="str">
        <f t="shared" si="14"/>
        <v>通常</v>
      </c>
      <c r="AU62">
        <f t="shared" si="21"/>
        <v>0</v>
      </c>
    </row>
    <row r="63" spans="1:47" ht="14.25">
      <c r="A63" s="349" t="str">
        <f>IF(銘柄管理!B152&lt;&gt;"",HYPERLINK("https://kabutan.jp/stock/?code="&amp;銘柄管理!B152,"株探"),"")</f>
        <v>株探</v>
      </c>
      <c r="B63" s="350"/>
      <c r="C63" s="350">
        <f>IF(銘柄管理!B152="","",銘柄管理!B152)</f>
        <v>7381</v>
      </c>
      <c r="D63" s="350" t="str">
        <f>IF(銘柄管理!C152="","",銘柄管理!C152)</f>
        <v>ＣＣＩグループ</v>
      </c>
      <c r="E63" s="351">
        <f>IF(C63&lt;&gt;"",_xll.RssMarket(C63,"現在値"),"")</f>
        <v>975</v>
      </c>
      <c r="F63" s="351">
        <f>IF(C63&lt;&gt;"",_xll.RssMarket(C63,"始値"),"")</f>
        <v>1004</v>
      </c>
      <c r="G63" s="350">
        <f>IF(C63&lt;&gt;"",終値!F152,"")</f>
        <v>1001</v>
      </c>
      <c r="H63" s="351">
        <f>IF(C63&lt;&gt;"",_xll.RssMarket(C63,"高値"),"")</f>
        <v>1019</v>
      </c>
      <c r="I63" s="351">
        <f>IF(C63&lt;&gt;"",_xll.RssMarket(C63,"安値"),"")</f>
        <v>975</v>
      </c>
      <c r="J63" s="351">
        <f>IF(C63&lt;&gt;"",_xll.RssMarket(C63,"出来高"),"")</f>
        <v>444200</v>
      </c>
      <c r="K63" s="351">
        <f>IF(C63&lt;&gt;"",_xll.RssMarket(C63,"年初来高値"),"")</f>
        <v>1094</v>
      </c>
      <c r="L63" s="352">
        <f t="shared" si="0"/>
        <v>-10.877513711151737</v>
      </c>
      <c r="M63" s="351">
        <f>IF(C63&lt;&gt;"",IFERROR(AVERAGE(出来高!E152:I152),""),"")</f>
        <v>573520</v>
      </c>
      <c r="N63" s="351">
        <f>IF(C63&lt;&gt;"",IFERROR(AVERAGE(出来高!E152:AC152),""),"")</f>
        <v>607640</v>
      </c>
      <c r="O63" s="353">
        <f t="shared" si="1"/>
        <v>0.77451527409680565</v>
      </c>
      <c r="P63" s="350" t="str">
        <f t="shared" si="2"/>
        <v>減少↓</v>
      </c>
      <c r="Q63" s="350" t="str">
        <f t="shared" si="3"/>
        <v>中立→</v>
      </c>
      <c r="R63" s="351">
        <f t="shared" si="4"/>
        <v>897</v>
      </c>
      <c r="S63" s="351">
        <f t="shared" si="5"/>
        <v>1014</v>
      </c>
      <c r="T63" s="350">
        <f t="shared" si="6"/>
        <v>9</v>
      </c>
      <c r="U63" s="350" t="str">
        <f t="shared" si="7"/>
        <v>要確認</v>
      </c>
      <c r="V63" s="350" t="str">
        <f t="shared" si="8"/>
        <v>通常</v>
      </c>
      <c r="W63" s="354" cm="1">
        <f t="array" ref="W63">IFERROR(100-100/(1+SUMPRODUCT((終値!F152:R152&gt;終値!G152:S152)*(終値!F152:R152-終値!G152:S152))/SUMPRODUCT((終値!F152:R152&lt;終値!G152:S152)*(終値!G152:S152-終値!F152:R152))),50)</f>
        <v>35.714285714285722</v>
      </c>
      <c r="X63" s="355">
        <f>IF(C63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-7.7115754321580425</v>
      </c>
      <c r="Y63" s="350" t="str">
        <f t="shared" si="9"/>
        <v>相場上昇・見送り | 下降トレンド▼ MACD- RSI:35.7 前日比:-2.6% [9点]</v>
      </c>
      <c r="Z63" s="356">
        <f t="shared" si="10"/>
        <v>-2.5974025974025974</v>
      </c>
      <c r="AA63" s="350" t="str">
        <f t="shared" si="11"/>
        <v>下落▼</v>
      </c>
      <c r="AB63" s="351">
        <f>IF(OR(C63="",C63="TOPX",終値!E152=""),"",IFERROR(((終値!E152*0.333)+(終値!F152*0.222)+(終値!G152*0.148)+(終値!H152*0.099)+(終値!I152*0.066))/(0.333+0.222+0.148+0.099+0.066),""))</f>
        <v>984.9112903225805</v>
      </c>
      <c r="AC63" s="351">
        <f>IF(OR(C63="",C63="TOPX",終値!E152=""),"",IFERROR(SUMPRODUCT((終値!E152:AC152)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1009.9356376638854</v>
      </c>
      <c r="AD63" s="350" t="str">
        <f t="shared" si="12"/>
        <v>下降トレンド▼</v>
      </c>
      <c r="AE63" s="350" t="str">
        <f t="shared" si="13"/>
        <v>なし</v>
      </c>
      <c r="AF63" t="str">
        <f>IF(T63="","",IF(銘柄管理!$F$5="上昇▲",IF(AND(AD63="下降トレンド▼",OR(AE63="25日戻り売り★",AE63="5日戻り売り○")),"★逆張り売り",IF(AND(AD63="もみ合い→",OR(AE63="25日戻り売り★",AE63="5日戻り売り○")),"○逆張り売り",IF(W63&gt;=70,IF(Z63&lt;0,"◎反落確認","△過熱・様子見"),"相場上昇・見送り"))),IF(AND(T63&gt;=12,AD63="下降トレンド▼"),"★強い売り",IF(T63&gt;=12,"★強い売り",IF(AND(T63&gt;=8,OR(AE63="25日戻り売り★",AE63="5日戻り売り○")),"◎戻り売り",IF(T63&gt;=10,"○売り候補",IF(T63&gt;=6,"△注目",IF(T63&gt;=3,"様子見","見送り"))))))))</f>
        <v>相場上昇・見送り</v>
      </c>
      <c r="AG63">
        <f t="shared" si="15"/>
        <v>9</v>
      </c>
      <c r="AH63">
        <f t="shared" si="16"/>
        <v>89937</v>
      </c>
      <c r="AI63" s="412" cm="1">
        <f t="array" ref="AI63">IF(C63="","",IFERROR((INDEX(終値!$E:$E,MATCH(TEXT(C63,"0"),終値!$A:$A,0))-INDEX(終値!$E:$BL,MATCH(TEXT(C63,"0"),終値!$A:$A,0),$AN$2))/INDEX(終値!$E:$BL,MATCH(TEXT(C63,"0"),終値!$A:$A,0),$AN$2)*100,""))</f>
        <v>-6.6985645933014357</v>
      </c>
      <c r="AJ63" s="412" cm="1">
        <f t="array" ref="AJ63">IFERROR((終値!$E$5-INDEX(終値!$E$5:$BL$5,1,$AN$2))/INDEX(終値!$E$5:$BL$5,1,$AN$2)*100,"")</f>
        <v>3.4532270246721688</v>
      </c>
      <c r="AK63" s="413">
        <f t="shared" si="17"/>
        <v>-10.151791617973604</v>
      </c>
      <c r="AL63" s="411">
        <f t="shared" si="18"/>
        <v>3</v>
      </c>
      <c r="AO63" s="415" t="str">
        <f t="shared" si="19"/>
        <v>通常</v>
      </c>
      <c r="AP63" s="416">
        <f t="shared" si="20"/>
        <v>0</v>
      </c>
      <c r="AQ63">
        <f>IF(C63&lt;&gt;"",始値!F152,"")</f>
        <v>997</v>
      </c>
      <c r="AR63">
        <f>IF(C63&lt;&gt;"",高値!F152,"")</f>
        <v>1006</v>
      </c>
      <c r="AS63">
        <f>IF(C63&lt;&gt;"",安値!F152,"")</f>
        <v>1003</v>
      </c>
      <c r="AT63" t="str">
        <f t="shared" si="14"/>
        <v>通常</v>
      </c>
      <c r="AU63">
        <f t="shared" si="21"/>
        <v>0</v>
      </c>
    </row>
    <row r="64" spans="1:47" ht="14.25">
      <c r="A64" s="357" t="str">
        <f>IF(銘柄管理!B183&lt;&gt;"",HYPERLINK("https://kabutan.jp/stock/?code="&amp;銘柄管理!B183,"株探"),"")</f>
        <v>株探</v>
      </c>
      <c r="B64" s="230"/>
      <c r="C64" s="230">
        <f>IF(銘柄管理!B183="","",銘柄管理!B183)</f>
        <v>6507</v>
      </c>
      <c r="D64" s="230" t="str">
        <f>IF(銘柄管理!C183="","",銘柄管理!C183)</f>
        <v>シンフォニアテクノロジー</v>
      </c>
      <c r="E64" s="358">
        <f>IF(C64&lt;&gt;"",_xll.RssMarket(C64,"現在値"),"")</f>
        <v>15680</v>
      </c>
      <c r="F64" s="358">
        <f>IF(C64&lt;&gt;"",_xll.RssMarket(C64,"始値"),"")</f>
        <v>14720</v>
      </c>
      <c r="G64" s="230">
        <f>IF(C64&lt;&gt;"",終値!F183,"")</f>
        <v>14720</v>
      </c>
      <c r="H64" s="358">
        <f>IF(C64&lt;&gt;"",_xll.RssMarket(C64,"高値"),"")</f>
        <v>15880</v>
      </c>
      <c r="I64" s="358">
        <f>IF(C64&lt;&gt;"",_xll.RssMarket(C64,"安値"),"")</f>
        <v>14590</v>
      </c>
      <c r="J64" s="358">
        <f>IF(C64&lt;&gt;"",_xll.RssMarket(C64,"出来高"),"")</f>
        <v>248900</v>
      </c>
      <c r="K64" s="358">
        <f>IF(C64&lt;&gt;"",_xll.RssMarket(C64,"年初来高値"),"")</f>
        <v>16900</v>
      </c>
      <c r="L64" s="359">
        <f t="shared" si="0"/>
        <v>-7.218934911242604</v>
      </c>
      <c r="M64" s="358">
        <f>IF(C64&lt;&gt;"",IFERROR(AVERAGE(出来高!E183:I183),""),"")</f>
        <v>196840</v>
      </c>
      <c r="N64" s="358">
        <f>IF(C64&lt;&gt;"",IFERROR(AVERAGE(出来高!E183:AC183),""),"")</f>
        <v>237892</v>
      </c>
      <c r="O64" s="360">
        <f t="shared" si="1"/>
        <v>1.2644787644787645</v>
      </c>
      <c r="P64" s="230" t="str">
        <f t="shared" si="2"/>
        <v>普通→</v>
      </c>
      <c r="Q64" s="230" t="str">
        <f t="shared" si="3"/>
        <v>様子見▲</v>
      </c>
      <c r="R64" s="358">
        <f t="shared" si="4"/>
        <v>14426</v>
      </c>
      <c r="S64" s="358">
        <f t="shared" si="5"/>
        <v>16307</v>
      </c>
      <c r="T64" s="350">
        <f t="shared" si="6"/>
        <v>2</v>
      </c>
      <c r="U64" s="230" t="str">
        <f t="shared" si="7"/>
        <v>除外</v>
      </c>
      <c r="V64" s="230" t="str">
        <f t="shared" si="8"/>
        <v>通常</v>
      </c>
      <c r="W64" s="361" cm="1">
        <f t="array" ref="W64">IFERROR(100-100/(1+SUMPRODUCT((終値!F183:R183&gt;終値!G183:S183)*(終値!F183:R183-終値!G183:S183))/SUMPRODUCT((終値!F183:R183&lt;終値!G183:S183)*(終値!G183:S183-終値!F183:R183))),50)</f>
        <v>51.856946354883085</v>
      </c>
      <c r="X64" s="362">
        <f>IF(C64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14.029111722307789</v>
      </c>
      <c r="Y64" s="230" t="str">
        <f t="shared" si="9"/>
        <v>相場上昇・見送り | パーフェクト▲ MACD+ RSI:51.9 前日比:+6.5% [2点]</v>
      </c>
      <c r="Z64" s="363">
        <f t="shared" si="10"/>
        <v>6.5217391304347823</v>
      </c>
      <c r="AA64" s="230" t="str">
        <f t="shared" si="11"/>
        <v>上昇▲</v>
      </c>
      <c r="AB64" s="358">
        <f>IF(OR(C64="",C64="TOPX",終値!E183=""),"",IFERROR(((終値!E183*0.333)+(終値!F183*0.222)+(終値!G183*0.148)+(終値!H183*0.099)+(終値!I183*0.066))/(0.333+0.222+0.148+0.099+0.066),""))</f>
        <v>14583.214285714283</v>
      </c>
      <c r="AC64" s="358">
        <f>IF(OR(C64="",C64="TOPX",終値!E183=""),"",IFERROR(SUMPRODUCT((終値!E183:AC183)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14270.7032181168</v>
      </c>
      <c r="AD64" s="230" t="str">
        <f t="shared" si="12"/>
        <v>パーフェクト▲</v>
      </c>
      <c r="AE64" s="230" t="str">
        <f t="shared" si="13"/>
        <v>なし</v>
      </c>
      <c r="AF64" t="str">
        <f>IF(T64="","",IF(銘柄管理!$F$5="上昇▲",IF(AND(AD64="下降トレンド▼",OR(AE64="25日戻り売り★",AE64="5日戻り売り○")),"★逆張り売り",IF(AND(AD64="もみ合い→",OR(AE64="25日戻り売り★",AE64="5日戻り売り○")),"○逆張り売り",IF(W64&gt;=70,IF(Z64&lt;0,"◎反落確認","△過熱・様子見"),"相場上昇・見送り"))),IF(AND(T64&gt;=12,AD64="下降トレンド▼"),"★強い売り",IF(T64&gt;=12,"★強い売り",IF(AND(T64&gt;=8,OR(AE64="25日戻り売り★",AE64="5日戻り売り○")),"◎戻り売り",IF(T64&gt;=10,"○売り候補",IF(T64&gt;=6,"△注目",IF(T64&gt;=3,"様子見","見送り"))))))))</f>
        <v>相場上昇・見送り</v>
      </c>
      <c r="AG64">
        <f t="shared" si="15"/>
        <v>0</v>
      </c>
      <c r="AH64">
        <f t="shared" si="16"/>
        <v>0</v>
      </c>
      <c r="AI64" s="412" cm="1">
        <f t="array" ref="AI64">IF(C64="","",IFERROR((INDEX(終値!$E:$E,MATCH(TEXT(C64,"0"),終値!$A:$A,0))-INDEX(終値!$E:$BL,MATCH(TEXT(C64,"0"),終値!$A:$A,0),$AN$2))/INDEX(終値!$E:$BL,MATCH(TEXT(C64,"0"),終値!$A:$A,0),$AN$2)*100,""))</f>
        <v>0</v>
      </c>
      <c r="AJ64" s="412" cm="1">
        <f t="array" ref="AJ64">IFERROR((終値!$E$5-INDEX(終値!$E$5:$BL$5,1,$AN$2))/INDEX(終値!$E$5:$BL$5,1,$AN$2)*100,"")</f>
        <v>3.4532270246721688</v>
      </c>
      <c r="AK64" s="413">
        <f t="shared" si="17"/>
        <v>-3.4532270246721688</v>
      </c>
      <c r="AL64" s="411">
        <f t="shared" si="18"/>
        <v>1</v>
      </c>
      <c r="AO64" s="415" t="str">
        <f t="shared" si="19"/>
        <v>通常</v>
      </c>
      <c r="AP64" s="416">
        <f t="shared" si="20"/>
        <v>0</v>
      </c>
      <c r="AQ64">
        <f>IF(C64&lt;&gt;"",始値!F183,"")</f>
        <v>13760</v>
      </c>
      <c r="AR64">
        <f>IF(C64&lt;&gt;"",高値!F183,"")</f>
        <v>14800</v>
      </c>
      <c r="AS64">
        <f>IF(C64&lt;&gt;"",安値!F183,"")</f>
        <v>13710</v>
      </c>
      <c r="AT64" t="str">
        <f t="shared" si="14"/>
        <v>通常</v>
      </c>
      <c r="AU64">
        <f t="shared" si="21"/>
        <v>0</v>
      </c>
    </row>
    <row r="65" spans="1:47" ht="14.25">
      <c r="A65" s="349" t="str">
        <f>IF(銘柄管理!B204&lt;&gt;"",HYPERLINK("https://kabutan.jp/stock/?code="&amp;銘柄管理!B204,"株探"),"")</f>
        <v>株探</v>
      </c>
      <c r="B65" s="350"/>
      <c r="C65" s="350">
        <f>IF(銘柄管理!B204="","",銘柄管理!B204)</f>
        <v>8015</v>
      </c>
      <c r="D65" s="350" t="str">
        <f>IF(銘柄管理!C204="","",銘柄管理!C204)</f>
        <v>豊田通商</v>
      </c>
      <c r="E65" s="351">
        <f>IF(C65&lt;&gt;"",_xll.RssMarket(C65,"現在値"),"")</f>
        <v>6344</v>
      </c>
      <c r="F65" s="351">
        <f>IF(C65&lt;&gt;"",_xll.RssMarket(C65,"始値"),"")</f>
        <v>6426</v>
      </c>
      <c r="G65" s="350">
        <f>IF(C65&lt;&gt;"",終値!F204,"")</f>
        <v>6416</v>
      </c>
      <c r="H65" s="351">
        <f>IF(C65&lt;&gt;"",_xll.RssMarket(C65,"高値"),"")</f>
        <v>6456</v>
      </c>
      <c r="I65" s="351">
        <f>IF(C65&lt;&gt;"",_xll.RssMarket(C65,"安値"),"")</f>
        <v>6295</v>
      </c>
      <c r="J65" s="351">
        <f>IF(C65&lt;&gt;"",_xll.RssMarket(C65,"出来高"),"")</f>
        <v>1409400</v>
      </c>
      <c r="K65" s="351">
        <f>IF(C65&lt;&gt;"",_xll.RssMarket(C65,"年初来高値"),"")</f>
        <v>7559</v>
      </c>
      <c r="L65" s="352">
        <f t="shared" si="0"/>
        <v>-16.073554703003044</v>
      </c>
      <c r="M65" s="351">
        <f>IF(C65&lt;&gt;"",IFERROR(AVERAGE(出来高!E204:I204),""),"")</f>
        <v>2153020</v>
      </c>
      <c r="N65" s="351">
        <f>IF(C65&lt;&gt;"",IFERROR(AVERAGE(出来高!E204:AC204),""),"")</f>
        <v>2599272</v>
      </c>
      <c r="O65" s="353">
        <f t="shared" si="1"/>
        <v>0.6546153774697866</v>
      </c>
      <c r="P65" s="350" t="str">
        <f t="shared" si="2"/>
        <v>減少↓</v>
      </c>
      <c r="Q65" s="350" t="str">
        <f t="shared" si="3"/>
        <v>中立→</v>
      </c>
      <c r="R65" s="351">
        <f t="shared" si="4"/>
        <v>5836</v>
      </c>
      <c r="S65" s="351">
        <f t="shared" si="5"/>
        <v>6598</v>
      </c>
      <c r="T65" s="350">
        <f t="shared" si="6"/>
        <v>8</v>
      </c>
      <c r="U65" s="350" t="str">
        <f t="shared" si="7"/>
        <v>要確認</v>
      </c>
      <c r="V65" s="350" t="str">
        <f t="shared" si="8"/>
        <v>通常</v>
      </c>
      <c r="W65" s="354" cm="1">
        <f t="array" ref="W65">IFERROR(100-100/(1+SUMPRODUCT((終値!F204:R204&gt;終値!G204:S204)*(終値!F204:R204-終値!G204:S204))/SUMPRODUCT((終値!F204:R204&lt;終値!G204:S204)*(終値!G204:S204-終値!F204:R204))),50)</f>
        <v>33.669548511047068</v>
      </c>
      <c r="X65" s="355">
        <f>IF(C65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-107.98369480852671</v>
      </c>
      <c r="Y65" s="350" t="str">
        <f t="shared" si="9"/>
        <v>相場上昇・見送り | もみ合い→ MACD- RSI:33.7 前日比:-1.1% [8点]</v>
      </c>
      <c r="Z65" s="356">
        <f t="shared" si="10"/>
        <v>-1.1221945137157108</v>
      </c>
      <c r="AA65" s="350" t="str">
        <f t="shared" si="11"/>
        <v>下落▼</v>
      </c>
      <c r="AB65" s="351">
        <f>IF(OR(C65="",C65="TOPX",終値!E204=""),"",IFERROR(((終値!E204*0.333)+(終値!F204*0.222)+(終値!G204*0.148)+(終値!H204*0.099)+(終値!I204*0.066))/(0.333+0.222+0.148+0.099+0.066),""))</f>
        <v>6271.4965437788023</v>
      </c>
      <c r="AC65" s="351">
        <f>IF(OR(C65="",C65="TOPX",終値!E204=""),"",IFERROR(SUMPRODUCT((終値!E204:AC204)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6519.5911799761607</v>
      </c>
      <c r="AD65" s="350" t="str">
        <f t="shared" si="12"/>
        <v>もみ合い→</v>
      </c>
      <c r="AE65" s="350" t="str">
        <f t="shared" si="13"/>
        <v>なし</v>
      </c>
      <c r="AF65" t="str">
        <f>IF(T65="","",IF(銘柄管理!$F$5="上昇▲",IF(AND(AD65="下降トレンド▼",OR(AE65="25日戻り売り★",AE65="5日戻り売り○")),"★逆張り売り",IF(AND(AD65="もみ合い→",OR(AE65="25日戻り売り★",AE65="5日戻り売り○")),"○逆張り売り",IF(W65&gt;=70,IF(Z65&lt;0,"◎反落確認","△過熱・様子見"),"相場上昇・見送り"))),IF(AND(T65&gt;=12,AD65="下降トレンド▼"),"★強い売り",IF(T65&gt;=12,"★強い売り",IF(AND(T65&gt;=8,OR(AE65="25日戻り売り★",AE65="5日戻り売り○")),"◎戻り売り",IF(T65&gt;=10,"○売り候補",IF(T65&gt;=6,"△注目",IF(T65&gt;=3,"様子見","見送り"))))))))</f>
        <v>相場上昇・見送り</v>
      </c>
      <c r="AG65">
        <f t="shared" si="15"/>
        <v>8</v>
      </c>
      <c r="AH65">
        <f t="shared" si="16"/>
        <v>79935</v>
      </c>
      <c r="AI65" s="412" cm="1">
        <f t="array" ref="AI65">IF(C65="","",IFERROR((INDEX(終値!$E:$E,MATCH(TEXT(C65,"0"),終値!$A:$A,0))-INDEX(終値!$E:$BL,MATCH(TEXT(C65,"0"),終値!$A:$A,0),$AN$2))/INDEX(終値!$E:$BL,MATCH(TEXT(C65,"0"),終値!$A:$A,0),$AN$2)*100,""))</f>
        <v>-13.921302578018995</v>
      </c>
      <c r="AJ65" s="412" cm="1">
        <f t="array" ref="AJ65">IFERROR((終値!$E$5-INDEX(終値!$E$5:$BL$5,1,$AN$2))/INDEX(終値!$E$5:$BL$5,1,$AN$2)*100,"")</f>
        <v>3.4532270246721688</v>
      </c>
      <c r="AK65" s="413">
        <f t="shared" si="17"/>
        <v>-17.374529602691165</v>
      </c>
      <c r="AL65" s="411">
        <f t="shared" si="18"/>
        <v>3</v>
      </c>
      <c r="AO65" s="415" t="str">
        <f t="shared" si="19"/>
        <v>通常</v>
      </c>
      <c r="AP65" s="416">
        <f t="shared" si="20"/>
        <v>0</v>
      </c>
      <c r="AQ65">
        <f>IF(C65&lt;&gt;"",始値!F204,"")</f>
        <v>6490</v>
      </c>
      <c r="AR65">
        <f>IF(C65&lt;&gt;"",高値!F204,"")</f>
        <v>6531</v>
      </c>
      <c r="AS65">
        <f>IF(C65&lt;&gt;"",安値!F204,"")</f>
        <v>6394</v>
      </c>
      <c r="AT65" t="str">
        <f t="shared" si="14"/>
        <v>通常</v>
      </c>
      <c r="AU65">
        <f t="shared" si="21"/>
        <v>0</v>
      </c>
    </row>
    <row r="66" spans="1:47" ht="14.25">
      <c r="A66" s="357" t="str">
        <f>IF(銘柄管理!B19&lt;&gt;"",HYPERLINK("https://kabutan.jp/stock/?code="&amp;銘柄管理!B19,"株探"),"")</f>
        <v>株探</v>
      </c>
      <c r="B66" s="230"/>
      <c r="C66" s="230">
        <f>IF(銘柄管理!B19="","",銘柄管理!B19)</f>
        <v>8411</v>
      </c>
      <c r="D66" s="230" t="str">
        <f>IF(銘柄管理!C19="","",銘柄管理!C19)</f>
        <v>みずほフィナンシャルＧ</v>
      </c>
      <c r="E66" s="358">
        <f>IF(C66&lt;&gt;"",_xll.RssMarket(C66,"現在値"),"")</f>
        <v>8006</v>
      </c>
      <c r="F66" s="358">
        <f>IF(C66&lt;&gt;"",_xll.RssMarket(C66,"始値"),"")</f>
        <v>7907</v>
      </c>
      <c r="G66" s="230">
        <f>IF(C66&lt;&gt;"",終値!F19,"")</f>
        <v>7757</v>
      </c>
      <c r="H66" s="358">
        <f>IF(C66&lt;&gt;"",_xll.RssMarket(C66,"高値"),"")</f>
        <v>8120</v>
      </c>
      <c r="I66" s="358">
        <f>IF(C66&lt;&gt;"",_xll.RssMarket(C66,"安値"),"")</f>
        <v>7902</v>
      </c>
      <c r="J66" s="358">
        <f>IF(C66&lt;&gt;"",_xll.RssMarket(C66,"出来高"),"")</f>
        <v>12922600</v>
      </c>
      <c r="K66" s="358">
        <f>IF(C66&lt;&gt;"",_xll.RssMarket(C66,"年初来高値"),"")</f>
        <v>7966</v>
      </c>
      <c r="L66" s="359">
        <f t="shared" si="0"/>
        <v>0.50213406979663566</v>
      </c>
      <c r="M66" s="358">
        <f>IF(C66&lt;&gt;"",IFERROR(AVERAGE(出来高!E19:I19),""),"")</f>
        <v>11892080</v>
      </c>
      <c r="N66" s="358">
        <f>IF(C66&lt;&gt;"",IFERROR(AVERAGE(出来高!E19:AC19),""),"")</f>
        <v>11972884</v>
      </c>
      <c r="O66" s="360">
        <f t="shared" si="1"/>
        <v>1.0866559928961124</v>
      </c>
      <c r="P66" s="230" t="str">
        <f t="shared" si="2"/>
        <v>普通→</v>
      </c>
      <c r="Q66" s="230" t="str">
        <f t="shared" si="3"/>
        <v>様子見▲</v>
      </c>
      <c r="R66" s="358">
        <f t="shared" si="4"/>
        <v>7366</v>
      </c>
      <c r="S66" s="358">
        <f t="shared" si="5"/>
        <v>8326</v>
      </c>
      <c r="T66" s="350">
        <f t="shared" si="6"/>
        <v>0</v>
      </c>
      <c r="U66" s="230" t="str">
        <f t="shared" si="7"/>
        <v>除外</v>
      </c>
      <c r="V66" s="230" t="str">
        <f t="shared" si="8"/>
        <v>通常</v>
      </c>
      <c r="W66" s="361" cm="1">
        <f t="array" ref="W66">IFERROR(100-100/(1+SUMPRODUCT((終値!F19:R19&gt;終値!G19:S19)*(終値!F19:R19-終値!G19:S19))/SUMPRODUCT((終値!F19:R19&lt;終値!G19:S19)*(終値!G19:S19-終値!F19:R19))),50)</f>
        <v>63.331371394938202</v>
      </c>
      <c r="X66" s="362">
        <f>IF(C66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92.127444385630952</v>
      </c>
      <c r="Y66" s="230" t="str">
        <f t="shared" si="9"/>
        <v>相場上昇・見送り | パーフェクト▲ MACD+ RSI:63.3 前日比:+3.2% [0点]</v>
      </c>
      <c r="Z66" s="363">
        <f t="shared" si="10"/>
        <v>3.2100038674745388</v>
      </c>
      <c r="AA66" s="230" t="str">
        <f t="shared" si="11"/>
        <v>上昇▲</v>
      </c>
      <c r="AB66" s="358">
        <f>IF(OR(C66="",C66="TOPX",終値!E19=""),"",IFERROR(((終値!E19*0.333)+(終値!F19*0.222)+(終値!G19*0.148)+(終値!H19*0.099)+(終値!I19*0.066))/(0.333+0.222+0.148+0.099+0.066),""))</f>
        <v>7767.172811059907</v>
      </c>
      <c r="AC66" s="358">
        <f>IF(OR(C66="",C66="TOPX",終値!E19=""),"",IFERROR(SUMPRODUCT((終値!E19:AC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7456.8009535160891</v>
      </c>
      <c r="AD66" s="230" t="str">
        <f t="shared" si="12"/>
        <v>パーフェクト▲</v>
      </c>
      <c r="AE66" s="230" t="str">
        <f t="shared" si="13"/>
        <v>なし</v>
      </c>
      <c r="AF66" t="str">
        <f>IF(T66="","",IF(銘柄管理!$F$5="上昇▲",IF(AND(AD66="下降トレンド▼",OR(AE66="25日戻り売り★",AE66="5日戻り売り○")),"★逆張り売り",IF(AND(AD66="もみ合い→",OR(AE66="25日戻り売り★",AE66="5日戻り売り○")),"○逆張り売り",IF(W66&gt;=70,IF(Z66&lt;0,"◎反落確認","△過熱・様子見"),"相場上昇・見送り"))),IF(AND(T66&gt;=12,AD66="下降トレンド▼"),"★強い売り",IF(T66&gt;=12,"★強い売り",IF(AND(T66&gt;=8,OR(AE66="25日戻り売り★",AE66="5日戻り売り○")),"◎戻り売り",IF(T66&gt;=10,"○売り候補",IF(T66&gt;=6,"△注目",IF(T66&gt;=3,"様子見","見送り"))))))))</f>
        <v>相場上昇・見送り</v>
      </c>
      <c r="AG66">
        <f t="shared" si="15"/>
        <v>0</v>
      </c>
      <c r="AH66">
        <f t="shared" si="16"/>
        <v>0</v>
      </c>
      <c r="AI66" s="412" cm="1">
        <f t="array" ref="AI66">IF(C66="","",IFERROR((INDEX(終値!$E:$E,MATCH(TEXT(C66,"0"),終値!$A:$A,0))-INDEX(終値!$E:$BL,MATCH(TEXT(C66,"0"),終値!$A:$A,0),$AN$2))/INDEX(終値!$E:$BL,MATCH(TEXT(C66,"0"),終値!$A:$A,0),$AN$2)*100,""))</f>
        <v>14.633447880870563</v>
      </c>
      <c r="AJ66" s="412" cm="1">
        <f t="array" ref="AJ66">IFERROR((終値!$E$5-INDEX(終値!$E$5:$BL$5,1,$AN$2))/INDEX(終値!$E$5:$BL$5,1,$AN$2)*100,"")</f>
        <v>3.4532270246721688</v>
      </c>
      <c r="AK66" s="413">
        <f t="shared" si="17"/>
        <v>11.180220856198394</v>
      </c>
      <c r="AL66" s="411">
        <f t="shared" si="18"/>
        <v>-2</v>
      </c>
      <c r="AO66" s="415" t="str">
        <f t="shared" si="19"/>
        <v>通常</v>
      </c>
      <c r="AP66" s="416">
        <f t="shared" si="20"/>
        <v>0</v>
      </c>
      <c r="AQ66">
        <f>IF(C66&lt;&gt;"",始値!F19,"")</f>
        <v>7820</v>
      </c>
      <c r="AR66">
        <f>IF(C66&lt;&gt;"",高値!F19,"")</f>
        <v>7845</v>
      </c>
      <c r="AS66">
        <f>IF(C66&lt;&gt;"",安値!F19,"")</f>
        <v>7702</v>
      </c>
      <c r="AT66" t="str">
        <f t="shared" si="14"/>
        <v>通常</v>
      </c>
      <c r="AU66">
        <f t="shared" si="21"/>
        <v>0</v>
      </c>
    </row>
    <row r="67" spans="1:47" ht="14.25">
      <c r="A67" s="349" t="str">
        <f>IF(銘柄管理!B26&lt;&gt;"",HYPERLINK("https://kabutan.jp/stock/?code="&amp;銘柄管理!B26,"株探"),"")</f>
        <v>株探</v>
      </c>
      <c r="B67" s="350"/>
      <c r="C67" s="350">
        <f>IF(銘柄管理!B26="","",銘柄管理!B26)</f>
        <v>8591</v>
      </c>
      <c r="D67" s="350" t="str">
        <f>IF(銘柄管理!C26="","",銘柄管理!C26)</f>
        <v>オリックス</v>
      </c>
      <c r="E67" s="351">
        <f>IF(C67&lt;&gt;"",_xll.RssMarket(C67,"現在値"),"")</f>
        <v>6336</v>
      </c>
      <c r="F67" s="351">
        <f>IF(C67&lt;&gt;"",_xll.RssMarket(C67,"始値"),"")</f>
        <v>6403</v>
      </c>
      <c r="G67" s="350">
        <f>IF(C67&lt;&gt;"",終値!F26,"")</f>
        <v>6305</v>
      </c>
      <c r="H67" s="351">
        <f>IF(C67&lt;&gt;"",_xll.RssMarket(C67,"高値"),"")</f>
        <v>6417</v>
      </c>
      <c r="I67" s="351">
        <f>IF(C67&lt;&gt;"",_xll.RssMarket(C67,"安値"),"")</f>
        <v>6280</v>
      </c>
      <c r="J67" s="351">
        <f>IF(C67&lt;&gt;"",_xll.RssMarket(C67,"出来高"),"")</f>
        <v>3297700</v>
      </c>
      <c r="K67" s="351">
        <f>IF(C67&lt;&gt;"",_xll.RssMarket(C67,"年初来高値"),"")</f>
        <v>6438</v>
      </c>
      <c r="L67" s="352">
        <f t="shared" ref="L67:L130" si="22">IF(AND(E67&lt;&gt;"",K67&lt;&gt;"",K67&lt;&gt;0),(E67-K67)/K67*100,"")</f>
        <v>-1.5843429636533086</v>
      </c>
      <c r="M67" s="351">
        <f>IF(C67&lt;&gt;"",IFERROR(AVERAGE(出来高!E26:I26),""),"")</f>
        <v>3576360</v>
      </c>
      <c r="N67" s="351">
        <f>IF(C67&lt;&gt;"",IFERROR(AVERAGE(出来高!E26:AC26),""),"")</f>
        <v>4504200</v>
      </c>
      <c r="O67" s="353">
        <f t="shared" ref="O67:O130" si="23">IF(AND(J67&lt;&gt;"",M67&lt;&gt;"",M67&lt;&gt;0),J67/M67,"")</f>
        <v>0.92208278808621058</v>
      </c>
      <c r="P67" s="350" t="str">
        <f t="shared" ref="P67:P130" si="24">IF(O67="","",IF(O67&gt;=2,"急増↑↑",IF(O67&gt;=1.5,"増加↑",IF(O67&gt;=1,"普通→","減少↓"))))</f>
        <v>減少↓</v>
      </c>
      <c r="Q67" s="350" t="str">
        <f t="shared" ref="Q67:Q130" si="25">IF(E67="","",IF(AND(E67&lt;G67,O67&gt;=1.5),"売り▼",IF(E67&gt;G67,"様子見▲","中立→")))</f>
        <v>様子見▲</v>
      </c>
      <c r="R67" s="351">
        <f t="shared" ref="R67:R130" si="26">IF(E67&lt;&gt;"",ROUND(E67*0.92,0),"")</f>
        <v>5829</v>
      </c>
      <c r="S67" s="351">
        <f t="shared" ref="S67:S130" si="27">IF(E67&lt;&gt;"",ROUND(E67*1.04,0),"")</f>
        <v>6589</v>
      </c>
      <c r="T67" s="350">
        <f t="shared" ref="T67:T130" si="28">IF(C67="","",IFERROR(IF(W67&gt;=70,3,IF(W67&gt;=60,2,IF(W67&gt;=50,1,0)))+IF(X67&lt;0,2,0)+IF(AD67="下降トレンド▼",3,IF(AD67="もみ合い→",1,0))+IF(V67="年初来安値圏●",3,IF(V67="安値圏",2,0))+IF(Q67="売り▼",2,0)+IF(P67="急増↑↑",2,IF(P67="増加↑",1,0))+IF(Z67&lt;0,1,0)+IF(L67&lt;=-30,2,IF(L67&lt;=-15,1,0))+IF(AE67="25日戻り売り★",2,IF(AE67="5日戻り売り○",1,0))+N(AL67)+N(AP67)+N(AU67),0))</f>
        <v>-1</v>
      </c>
      <c r="U67" s="350" t="str">
        <f t="shared" ref="U67:U130" si="29">IF(T67="","",IF(AND(T67&gt;=3,O67&gt;=1.5),"有効",IF(T67&gt;=3,"要確認","除外")))</f>
        <v>除外</v>
      </c>
      <c r="V67" s="350" t="str">
        <f t="shared" ref="V67:V130" si="30">IF(AND(I67&lt;&gt;"",K67&lt;&gt;""),IF(I67&lt;=K67*0.6,"年初来安値圏●",IF(I67&lt;=K67*0.75,"安値圏","通常")),"")</f>
        <v>通常</v>
      </c>
      <c r="W67" s="354" cm="1">
        <f t="array" ref="W67">IFERROR(100-100/(1+SUMPRODUCT((終値!F26:R26&gt;終値!G26:S26)*(終値!F26:R26-終値!G26:S26))/SUMPRODUCT((終値!F26:R26&lt;終値!G26:S26)*(終値!G26:S26-終値!F26:R26))),50)</f>
        <v>50.914340712223286</v>
      </c>
      <c r="X67" s="355">
        <f>IF(C67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24.286279200284298</v>
      </c>
      <c r="Y67" s="350" t="str">
        <f t="shared" ref="Y67:Y130" si="31">IF(AF67="","",AF67&amp;" | "&amp;AD67&amp;IF(AE67&lt;&gt;"なし"," "&amp;AE67,"")&amp;IF(X67&lt;0," MACD-"," MACD+")&amp;" RSI:"&amp;TEXT(W67,"0.0")&amp;IF(W67&gt;=70," [過熱]",IF(W67&lt;=30," [売られ過ぎ]",""))&amp;" 前日比:"&amp;TEXT(Z67,"+0.0;-0.0;0.0")&amp;"%"&amp;IF(V67="年初来安値圏●"," [年初来安値圏]",IF(V67="安値圏"," [安値圏]",""))&amp;IF(OR(AO67="通常",AO67="-"),""," ["&amp;AO67&amp;"]")&amp;IF(OR(AT67="通常",AT67="-"),"","前日["&amp;AT67&amp;"]")&amp;" ["&amp;T67&amp;"点]")</f>
        <v>相場上昇・見送り | パーフェクト▲ MACD+ RSI:50.9 前日比:+0.5% [-1点]</v>
      </c>
      <c r="Z67" s="356">
        <f t="shared" ref="Z67:Z130" si="32">IF(AND(E67&lt;&gt;"",G67&lt;&gt;"",G67&lt;&gt;0),(E67-G67)/G67*100,"")</f>
        <v>0.49167327517842979</v>
      </c>
      <c r="AA67" s="350" t="str">
        <f t="shared" ref="AA67:AA130" si="33">IF(OR(C67="",E67="",E67=0),"",IF(E67&gt;G67,"上昇▲",IF(E67&lt;G67,"下落▼","横ばい→")))</f>
        <v>上昇▲</v>
      </c>
      <c r="AB67" s="351">
        <f>IF(OR(C67="",C67="TOPX",終値!E26=""),"",IFERROR(((終値!E26*0.333)+(終値!F26*0.222)+(終値!G26*0.148)+(終値!H26*0.099)+(終値!I26*0.066))/(0.333+0.222+0.148+0.099+0.066),""))</f>
        <v>6240.9976958525331</v>
      </c>
      <c r="AC67" s="351">
        <f>IF(OR(C67="",C67="TOPX",終値!E26=""),"",IFERROR(SUMPRODUCT((終値!E26:AC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6155.030989272942</v>
      </c>
      <c r="AD67" s="350" t="str">
        <f t="shared" ref="AD67:AD130" si="34">IF(OR(C67="",AB67="",AC67="",AB67=0,AC67=0),"",IF(AND(E67&gt;AB67,AB67&gt;AC67),"パーフェクト▲",IF(E67&gt;AC67,"上昇トレンド▲",IF(AND(E67&lt;AB67,AB67&lt;AC67),"下降トレンド▼","もみ合い→"))))</f>
        <v>パーフェクト▲</v>
      </c>
      <c r="AE67" s="350" t="str">
        <f t="shared" ref="AE67:AE130" si="35">IF(OR(C67="",AB67="",AC67=""),"",IF(AND(ABS(E67-AC67)/AC67&lt;=0.02,E67&lt;AC67),"25日戻り売り★",IF(AND(ABS(E67-AB67)/AB67&lt;=0.01,E67&lt;AB67),"5日戻り売り○","なし")))</f>
        <v>なし</v>
      </c>
      <c r="AF67" t="str">
        <f>IF(T67="","",IF(銘柄管理!$F$5="上昇▲",IF(AND(AD67="下降トレンド▼",OR(AE67="25日戻り売り★",AE67="5日戻り売り○")),"★逆張り売り",IF(AND(AD67="もみ合い→",OR(AE67="25日戻り売り★",AE67="5日戻り売り○")),"○逆張り売り",IF(W67&gt;=70,IF(Z67&lt;0,"◎反落確認","△過熱・様子見"),"相場上昇・見送り"))),IF(AND(T67&gt;=12,AD67="下降トレンド▼"),"★強い売り",IF(T67&gt;=12,"★強い売り",IF(AND(T67&gt;=8,OR(AE67="25日戻り売り★",AE67="5日戻り売り○")),"◎戻り売り",IF(T67&gt;=10,"○売り候補",IF(T67&gt;=6,"△注目",IF(T67&gt;=3,"様子見","見送り"))))))))</f>
        <v>相場上昇・見送り</v>
      </c>
      <c r="AG67">
        <f t="shared" si="15"/>
        <v>0</v>
      </c>
      <c r="AH67">
        <f t="shared" si="16"/>
        <v>0</v>
      </c>
      <c r="AI67" s="412" cm="1">
        <f t="array" ref="AI67">IF(C67="","",IFERROR((INDEX(終値!$E:$E,MATCH(TEXT(C67,"0"),終値!$A:$A,0))-INDEX(終値!$E:$BL,MATCH(TEXT(C67,"0"),終値!$A:$A,0),$AN$2))/INDEX(終値!$E:$BL,MATCH(TEXT(C67,"0"),終値!$A:$A,0),$AN$2)*100,""))</f>
        <v>9.4867807153965789</v>
      </c>
      <c r="AJ67" s="412" cm="1">
        <f t="array" ref="AJ67">IFERROR((終値!$E$5-INDEX(終値!$E$5:$BL$5,1,$AN$2))/INDEX(終値!$E$5:$BL$5,1,$AN$2)*100,"")</f>
        <v>3.4532270246721688</v>
      </c>
      <c r="AK67" s="413">
        <f t="shared" si="17"/>
        <v>6.0335536907244105</v>
      </c>
      <c r="AL67" s="411">
        <f t="shared" si="18"/>
        <v>-2</v>
      </c>
      <c r="AO67" s="415" t="str">
        <f t="shared" si="19"/>
        <v>通常</v>
      </c>
      <c r="AP67" s="416">
        <f t="shared" si="20"/>
        <v>0</v>
      </c>
      <c r="AQ67">
        <f>IF(C67&lt;&gt;"",始値!F26,"")</f>
        <v>6204</v>
      </c>
      <c r="AR67">
        <f>IF(C67&lt;&gt;"",高値!F26,"")</f>
        <v>6305</v>
      </c>
      <c r="AS67">
        <f>IF(C67&lt;&gt;"",安値!F26,"")</f>
        <v>6168</v>
      </c>
      <c r="AT67" t="str">
        <f t="shared" ref="AT67:AT130" si="36">IF(OR(C67="",AQ67="",AR67="",AS67="",AR67-AS67&lt;=0),"-",IF(AND(AR67-MAX(G67,AQ67)&gt;=ABS(G67-AQ67)*2,MIN(G67,AQ67)-AS67&lt;=ABS(G67-AQ67)*0.5,ABS(G67-AQ67)&gt;0),"上ヒゲ陰線▼",IF(AND(G67&lt;AQ67,ABS(G67-AQ67)&gt;=(AR67-AS67)*0.7),"大陰線▼",IF(AND(MIN(G67,AQ67)-AS67&gt;=(AR67-AS67)*0.5,AR67-MAX(G67,AQ67)&lt;=(AR67-AS67)*0.2),"長い下ヒゲ(反発)","通常"))))</f>
        <v>通常</v>
      </c>
      <c r="AU67">
        <f t="shared" si="21"/>
        <v>0</v>
      </c>
    </row>
    <row r="68" spans="1:47" ht="14.25">
      <c r="A68" s="357" t="str">
        <f>IF(銘柄管理!B31&lt;&gt;"",HYPERLINK("https://kabutan.jp/stock/?code="&amp;銘柄管理!B31,"株探"),"")</f>
        <v>株探</v>
      </c>
      <c r="B68" s="230"/>
      <c r="C68" s="230">
        <f>IF(銘柄管理!B31="","",銘柄管理!B31)</f>
        <v>8309</v>
      </c>
      <c r="D68" s="230" t="str">
        <f>IF(銘柄管理!C31="","",銘柄管理!C31)</f>
        <v>三井住友トラストグルー</v>
      </c>
      <c r="E68" s="358">
        <f>IF(C68&lt;&gt;"",_xll.RssMarket(C68,"現在値"),"")</f>
        <v>6033</v>
      </c>
      <c r="F68" s="358">
        <f>IF(C68&lt;&gt;"",_xll.RssMarket(C68,"始値"),"")</f>
        <v>6039</v>
      </c>
      <c r="G68" s="230">
        <f>IF(C68&lt;&gt;"",終値!F31,"")</f>
        <v>5979</v>
      </c>
      <c r="H68" s="358">
        <f>IF(C68&lt;&gt;"",_xll.RssMarket(C68,"高値"),"")</f>
        <v>6081</v>
      </c>
      <c r="I68" s="358">
        <f>IF(C68&lt;&gt;"",_xll.RssMarket(C68,"安値"),"")</f>
        <v>6002</v>
      </c>
      <c r="J68" s="358">
        <f>IF(C68&lt;&gt;"",_xll.RssMarket(C68,"出来高"),"")</f>
        <v>2691100</v>
      </c>
      <c r="K68" s="358">
        <f>IF(C68&lt;&gt;"",_xll.RssMarket(C68,"年初来高値"),"")</f>
        <v>6169</v>
      </c>
      <c r="L68" s="359">
        <f t="shared" si="22"/>
        <v>-2.2045712433133411</v>
      </c>
      <c r="M68" s="358">
        <f>IF(C68&lt;&gt;"",IFERROR(AVERAGE(出来高!E31:I31),""),"")</f>
        <v>3823680</v>
      </c>
      <c r="N68" s="358">
        <f>IF(C68&lt;&gt;"",IFERROR(AVERAGE(出来高!E31:AC31),""),"")</f>
        <v>3084812</v>
      </c>
      <c r="O68" s="360">
        <f t="shared" si="23"/>
        <v>0.70379843501548245</v>
      </c>
      <c r="P68" s="230" t="str">
        <f t="shared" si="24"/>
        <v>減少↓</v>
      </c>
      <c r="Q68" s="230" t="str">
        <f t="shared" si="25"/>
        <v>様子見▲</v>
      </c>
      <c r="R68" s="358">
        <f t="shared" si="26"/>
        <v>5550</v>
      </c>
      <c r="S68" s="358">
        <f t="shared" si="27"/>
        <v>6274</v>
      </c>
      <c r="T68" s="350">
        <f t="shared" si="28"/>
        <v>0</v>
      </c>
      <c r="U68" s="230" t="str">
        <f t="shared" si="29"/>
        <v>除外</v>
      </c>
      <c r="V68" s="230" t="str">
        <f t="shared" si="30"/>
        <v>通常</v>
      </c>
      <c r="W68" s="361" cm="1">
        <f t="array" ref="W68">IFERROR(100-100/(1+SUMPRODUCT((終値!F31:R31&gt;終値!G31:S31)*(終値!F31:R31-終値!G31:S31))/SUMPRODUCT((終値!F31:R31&lt;終値!G31:S31)*(終値!G31:S31-終値!F31:R31))),50)</f>
        <v>68.233944954128447</v>
      </c>
      <c r="X68" s="362">
        <f>IF(C68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45.30327098898033</v>
      </c>
      <c r="Y68" s="230" t="str">
        <f t="shared" si="31"/>
        <v>相場上昇・見送り | パーフェクト▲ MACD+ RSI:68.2 前日比:+0.9% [0点]</v>
      </c>
      <c r="Z68" s="363">
        <f t="shared" si="32"/>
        <v>0.90316106372303051</v>
      </c>
      <c r="AA68" s="230" t="str">
        <f t="shared" si="33"/>
        <v>上昇▲</v>
      </c>
      <c r="AB68" s="358">
        <f>IF(OR(C68="",C68="TOPX",終値!E31=""),"",IFERROR(((終値!E31*0.333)+(終値!F31*0.222)+(終値!G31*0.148)+(終値!H31*0.099)+(終値!I31*0.066))/(0.333+0.222+0.148+0.099+0.066),""))</f>
        <v>5980.2615207373265</v>
      </c>
      <c r="AC68" s="358">
        <f>IF(OR(C68="",C68="TOPX",終値!E31=""),"",IFERROR(SUMPRODUCT((終値!E31:AC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5770.1287246722268</v>
      </c>
      <c r="AD68" s="230" t="str">
        <f t="shared" si="34"/>
        <v>パーフェクト▲</v>
      </c>
      <c r="AE68" s="230" t="str">
        <f t="shared" si="35"/>
        <v>なし</v>
      </c>
      <c r="AF68" t="str">
        <f>IF(T68="","",IF(銘柄管理!$F$5="上昇▲",IF(AND(AD68="下降トレンド▼",OR(AE68="25日戻り売り★",AE68="5日戻り売り○")),"★逆張り売り",IF(AND(AD68="もみ合い→",OR(AE68="25日戻り売り★",AE68="5日戻り売り○")),"○逆張り売り",IF(W68&gt;=70,IF(Z68&lt;0,"◎反落確認","△過熱・様子見"),"相場上昇・見送り"))),IF(AND(T68&gt;=12,AD68="下降トレンド▼"),"★強い売り",IF(T68&gt;=12,"★強い売り",IF(AND(T68&gt;=8,OR(AE68="25日戻り売り★",AE68="5日戻り売り○")),"◎戻り売り",IF(T68&gt;=10,"○売り候補",IF(T68&gt;=6,"△注目",IF(T68&gt;=3,"様子見","見送り"))))))))</f>
        <v>相場上昇・見送り</v>
      </c>
      <c r="AG68">
        <f t="shared" ref="AG68:AG131" si="37">IF(AND(T68&gt;=7,C68&lt;&gt;""),T68,0)</f>
        <v>0</v>
      </c>
      <c r="AH68">
        <f t="shared" ref="AH68:AH131" si="38">IF(AG68&gt;0,AG68*10000-ROW(A68),0)</f>
        <v>0</v>
      </c>
      <c r="AI68" s="412" cm="1">
        <f t="array" ref="AI68">IF(C68="","",IFERROR((INDEX(終値!$E:$E,MATCH(TEXT(C68,"0"),終値!$A:$A,0))-INDEX(終値!$E:$BL,MATCH(TEXT(C68,"0"),終値!$A:$A,0),$AN$2))/INDEX(終値!$E:$BL,MATCH(TEXT(C68,"0"),終値!$A:$A,0),$AN$2)*100,""))</f>
        <v>7.0440028388928324</v>
      </c>
      <c r="AJ68" s="412" cm="1">
        <f t="array" ref="AJ68">IFERROR((終値!$E$5-INDEX(終値!$E$5:$BL$5,1,$AN$2))/INDEX(終値!$E$5:$BL$5,1,$AN$2)*100,"")</f>
        <v>3.4532270246721688</v>
      </c>
      <c r="AK68" s="413">
        <f t="shared" ref="AK68:AK131" si="39">IF(OR(AI68="",AJ68=""),"",AI68-AJ68)</f>
        <v>3.5907758142206636</v>
      </c>
      <c r="AL68" s="411">
        <f t="shared" ref="AL68:AL131" si="40">IF(AK68="","",IF(AK68&lt;-5,3,IF(AK68&lt;0,1,IF(AK68&lt;3,-1,-2))))</f>
        <v>-2</v>
      </c>
      <c r="AO68" s="415" t="str">
        <f t="shared" ref="AO68:AO131" si="41">IF(OR($C68="",$E68="",$F68="",$H68="",$I68="",$H68-$I68&lt;=0),"-",IF(AND($H68-MAX($F68,$E68)&gt;=ABS($E68-$F68)*2,MIN($F68,$E68)-$I68&lt;=ABS($E68-$F68)*0.5,ABS($E68-$F68)&gt;0),"上ヒゲ陰線▼",IF(AND($E68&lt;$F68,ABS($E68-$F68)&gt;=($H68-$I68)*0.7),"大陰線▼",IF(AND(MIN($F68,$E68)-$I68&gt;=($H68-$I68)*0.5,$H68-MAX($F68,$E68)&lt;=($H68-$I68)*0.2),"長い下ヒゲ(反発警戒)","通常"))))</f>
        <v>通常</v>
      </c>
      <c r="AP68" s="416">
        <f t="shared" ref="AP68:AP131" si="42">IF($AO68="上ヒゲ陰線▼",2,IF($AO68="大陰線▼",2,IF($AO68="長い下ヒゲ(反発警戒)",-2,0)))</f>
        <v>0</v>
      </c>
      <c r="AQ68">
        <f>IF(C68&lt;&gt;"",始値!F31,"")</f>
        <v>5971</v>
      </c>
      <c r="AR68">
        <f>IF(C68&lt;&gt;"",高値!F31,"")</f>
        <v>5999</v>
      </c>
      <c r="AS68">
        <f>IF(C68&lt;&gt;"",安値!F31,"")</f>
        <v>5911</v>
      </c>
      <c r="AT68" t="str">
        <f t="shared" si="36"/>
        <v>通常</v>
      </c>
      <c r="AU68">
        <f t="shared" ref="AU68:AU131" si="43">IF(AT68="上ヒゲ陰線▼",2,IF(AT68="大陰線▼",2,IF(AT68="長い下ヒゲ(反発)",-2,0)))</f>
        <v>0</v>
      </c>
    </row>
    <row r="69" spans="1:47" ht="14.25">
      <c r="A69" s="349" t="str">
        <f>IF(銘柄管理!B49&lt;&gt;"",HYPERLINK("https://kabutan.jp/stock/?code="&amp;銘柄管理!B49,"株探"),"")</f>
        <v>株探</v>
      </c>
      <c r="B69" s="350"/>
      <c r="C69" s="350">
        <f>IF(銘柄管理!B49="","",銘柄管理!B49)</f>
        <v>5929</v>
      </c>
      <c r="D69" s="350" t="str">
        <f>IF(銘柄管理!C49="","",銘柄管理!C49)</f>
        <v>三和ホールディングス</v>
      </c>
      <c r="E69" s="351">
        <f>IF(C69&lt;&gt;"",_xll.RssMarket(C69,"現在値"),"")</f>
        <v>3713</v>
      </c>
      <c r="F69" s="351">
        <f>IF(C69&lt;&gt;"",_xll.RssMarket(C69,"始値"),"")</f>
        <v>3750</v>
      </c>
      <c r="G69" s="350">
        <f>IF(C69&lt;&gt;"",終値!F49,"")</f>
        <v>3702</v>
      </c>
      <c r="H69" s="351">
        <f>IF(C69&lt;&gt;"",_xll.RssMarket(C69,"高値"),"")</f>
        <v>3779</v>
      </c>
      <c r="I69" s="351">
        <f>IF(C69&lt;&gt;"",_xll.RssMarket(C69,"安値"),"")</f>
        <v>3698</v>
      </c>
      <c r="J69" s="351">
        <f>IF(C69&lt;&gt;"",_xll.RssMarket(C69,"出来高"),"")</f>
        <v>424400</v>
      </c>
      <c r="K69" s="351">
        <f>IF(C69&lt;&gt;"",_xll.RssMarket(C69,"年初来高値"),"")</f>
        <v>4284</v>
      </c>
      <c r="L69" s="352">
        <f t="shared" si="22"/>
        <v>-13.328664799253035</v>
      </c>
      <c r="M69" s="351">
        <f>IF(C69&lt;&gt;"",IFERROR(AVERAGE(出来高!E49:I49),""),"")</f>
        <v>646080</v>
      </c>
      <c r="N69" s="351">
        <f>IF(C69&lt;&gt;"",IFERROR(AVERAGE(出来高!E49:AC49),""),"")</f>
        <v>913480</v>
      </c>
      <c r="O69" s="353">
        <f t="shared" si="23"/>
        <v>0.65688459633481922</v>
      </c>
      <c r="P69" s="350" t="str">
        <f t="shared" si="24"/>
        <v>減少↓</v>
      </c>
      <c r="Q69" s="350" t="str">
        <f t="shared" si="25"/>
        <v>様子見▲</v>
      </c>
      <c r="R69" s="351">
        <f t="shared" si="26"/>
        <v>3416</v>
      </c>
      <c r="S69" s="351">
        <f t="shared" si="27"/>
        <v>3862</v>
      </c>
      <c r="T69" s="350">
        <f t="shared" si="28"/>
        <v>1</v>
      </c>
      <c r="U69" s="350" t="str">
        <f t="shared" si="29"/>
        <v>除外</v>
      </c>
      <c r="V69" s="350" t="str">
        <f t="shared" si="30"/>
        <v>通常</v>
      </c>
      <c r="W69" s="354" cm="1">
        <f t="array" ref="W69">IFERROR(100-100/(1+SUMPRODUCT((終値!F49:R49&gt;終値!G49:S49)*(終値!F49:R49-終値!G49:S49))/SUMPRODUCT((終値!F49:R49&lt;終値!G49:S49)*(終値!G49:S49-終値!F49:R49))),50)</f>
        <v>67.032967032967036</v>
      </c>
      <c r="X69" s="355">
        <f>IF(C69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34.800249961194368</v>
      </c>
      <c r="Y69" s="350" t="str">
        <f t="shared" si="31"/>
        <v>相場上昇・見送り | パーフェクト▲ MACD+ RSI:67.0 前日比:+0.3%前日[長い下ヒゲ(反発)] [1点]</v>
      </c>
      <c r="Z69" s="356">
        <f t="shared" si="32"/>
        <v>0.29713668287412209</v>
      </c>
      <c r="AA69" s="350" t="str">
        <f t="shared" si="33"/>
        <v>上昇▲</v>
      </c>
      <c r="AB69" s="351">
        <f>IF(OR(C69="",C69="TOPX",終値!E49=""),"",IFERROR(((終値!E49*0.333)+(終値!F49*0.222)+(終値!G49*0.148)+(終値!H49*0.099)+(終値!I49*0.066))/(0.333+0.222+0.148+0.099+0.066),""))</f>
        <v>3675.777649769585</v>
      </c>
      <c r="AC69" s="351">
        <f>IF(OR(C69="",C69="TOPX",終値!E49=""),"",IFERROR(SUMPRODUCT((終値!E49:AC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3535.916567342073</v>
      </c>
      <c r="AD69" s="350" t="str">
        <f t="shared" si="34"/>
        <v>パーフェクト▲</v>
      </c>
      <c r="AE69" s="350" t="str">
        <f t="shared" si="35"/>
        <v>なし</v>
      </c>
      <c r="AF69" t="str">
        <f>IF(T69="","",IF(銘柄管理!$F$5="上昇▲",IF(AND(AD69="下降トレンド▼",OR(AE69="25日戻り売り★",AE69="5日戻り売り○")),"★逆張り売り",IF(AND(AD69="もみ合い→",OR(AE69="25日戻り売り★",AE69="5日戻り売り○")),"○逆張り売り",IF(W69&gt;=70,IF(Z69&lt;0,"◎反落確認","△過熱・様子見"),"相場上昇・見送り"))),IF(AND(T69&gt;=12,AD69="下降トレンド▼"),"★強い売り",IF(T69&gt;=12,"★強い売り",IF(AND(T69&gt;=8,OR(AE69="25日戻り売り★",AE69="5日戻り売り○")),"◎戻り売り",IF(T69&gt;=10,"○売り候補",IF(T69&gt;=6,"△注目",IF(T69&gt;=3,"様子見","見送り"))))))))</f>
        <v>相場上昇・見送り</v>
      </c>
      <c r="AG69">
        <f t="shared" si="37"/>
        <v>0</v>
      </c>
      <c r="AH69">
        <f t="shared" si="38"/>
        <v>0</v>
      </c>
      <c r="AI69" s="412" cm="1">
        <f t="array" ref="AI69">IF(C69="","",IFERROR((INDEX(終値!$E:$E,MATCH(TEXT(C69,"0"),終値!$A:$A,0))-INDEX(終値!$E:$BL,MATCH(TEXT(C69,"0"),終値!$A:$A,0),$AN$2))/INDEX(終値!$E:$BL,MATCH(TEXT(C69,"0"),終値!$A:$A,0),$AN$2)*100,""))</f>
        <v>1.8376302797586397</v>
      </c>
      <c r="AJ69" s="412" cm="1">
        <f t="array" ref="AJ69">IFERROR((終値!$E$5-INDEX(終値!$E$5:$BL$5,1,$AN$2))/INDEX(終値!$E$5:$BL$5,1,$AN$2)*100,"")</f>
        <v>3.4532270246721688</v>
      </c>
      <c r="AK69" s="413">
        <f t="shared" si="39"/>
        <v>-1.6155967449135291</v>
      </c>
      <c r="AL69" s="411">
        <f t="shared" si="40"/>
        <v>1</v>
      </c>
      <c r="AO69" s="415" t="str">
        <f t="shared" si="41"/>
        <v>通常</v>
      </c>
      <c r="AP69" s="416">
        <f t="shared" si="42"/>
        <v>0</v>
      </c>
      <c r="AQ69">
        <f>IF(C69&lt;&gt;"",始値!F49,"")</f>
        <v>3747</v>
      </c>
      <c r="AR69">
        <f>IF(C69&lt;&gt;"",高値!F49,"")</f>
        <v>3747</v>
      </c>
      <c r="AS69">
        <f>IF(C69&lt;&gt;"",安値!F49,"")</f>
        <v>3642</v>
      </c>
      <c r="AT69" t="str">
        <f t="shared" si="36"/>
        <v>長い下ヒゲ(反発)</v>
      </c>
      <c r="AU69">
        <f t="shared" si="43"/>
        <v>-2</v>
      </c>
    </row>
    <row r="70" spans="1:47" ht="14.25">
      <c r="A70" s="357" t="str">
        <f>IF(銘柄管理!B50&lt;&gt;"",HYPERLINK("https://kabutan.jp/stock/?code="&amp;銘柄管理!B50,"株探"),"")</f>
        <v>株探</v>
      </c>
      <c r="B70" s="230"/>
      <c r="C70" s="230">
        <f>IF(銘柄管理!B50="","",銘柄管理!B50)</f>
        <v>8316</v>
      </c>
      <c r="D70" s="230" t="str">
        <f>IF(銘柄管理!C50="","",銘柄管理!C50)</f>
        <v>三井住友フィナンシャルＧ</v>
      </c>
      <c r="E70" s="358">
        <f>IF(C70&lt;&gt;"",_xll.RssMarket(C70,"現在値"),"")</f>
        <v>6450</v>
      </c>
      <c r="F70" s="358">
        <f>IF(C70&lt;&gt;"",_xll.RssMarket(C70,"始値"),"")</f>
        <v>6544</v>
      </c>
      <c r="G70" s="230">
        <f>IF(C70&lt;&gt;"",終値!F50,"")</f>
        <v>6409</v>
      </c>
      <c r="H70" s="358">
        <f>IF(C70&lt;&gt;"",_xll.RssMarket(C70,"高値"),"")</f>
        <v>6578</v>
      </c>
      <c r="I70" s="358">
        <f>IF(C70&lt;&gt;"",_xll.RssMarket(C70,"安値"),"")</f>
        <v>6450</v>
      </c>
      <c r="J70" s="358">
        <f>IF(C70&lt;&gt;"",_xll.RssMarket(C70,"出来高"),"")</f>
        <v>12405700</v>
      </c>
      <c r="K70" s="358">
        <f>IF(C70&lt;&gt;"",_xll.RssMarket(C70,"年初来高値"),"")</f>
        <v>6725</v>
      </c>
      <c r="L70" s="359">
        <f t="shared" si="22"/>
        <v>-4.0892193308550189</v>
      </c>
      <c r="M70" s="358">
        <f>IF(C70&lt;&gt;"",IFERROR(AVERAGE(出来高!E50:I50),""),"")</f>
        <v>16933020</v>
      </c>
      <c r="N70" s="358">
        <f>IF(C70&lt;&gt;"",IFERROR(AVERAGE(出来高!E50:AC50),""),"")</f>
        <v>15706428</v>
      </c>
      <c r="O70" s="360">
        <f t="shared" si="23"/>
        <v>0.73263363534679582</v>
      </c>
      <c r="P70" s="230" t="str">
        <f t="shared" si="24"/>
        <v>減少↓</v>
      </c>
      <c r="Q70" s="230" t="str">
        <f t="shared" si="25"/>
        <v>様子見▲</v>
      </c>
      <c r="R70" s="358">
        <f t="shared" si="26"/>
        <v>5934</v>
      </c>
      <c r="S70" s="358">
        <f t="shared" si="27"/>
        <v>6708</v>
      </c>
      <c r="T70" s="350">
        <f t="shared" si="28"/>
        <v>2</v>
      </c>
      <c r="U70" s="230" t="str">
        <f t="shared" si="29"/>
        <v>除外</v>
      </c>
      <c r="V70" s="230" t="str">
        <f t="shared" si="30"/>
        <v>通常</v>
      </c>
      <c r="W70" s="361" cm="1">
        <f t="array" ref="W70">IFERROR(100-100/(1+SUMPRODUCT((終値!F50:R50&gt;終値!G50:S50)*(終値!F50:R50-終値!G50:S50))/SUMPRODUCT((終値!F50:R50&lt;終値!G50:S50)*(終値!G50:S50-終値!F50:R50))),50)</f>
        <v>67.971808927173058</v>
      </c>
      <c r="X70" s="362">
        <f>IF(C70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72.510263135900459</v>
      </c>
      <c r="Y70" s="230" t="str">
        <f t="shared" si="31"/>
        <v>相場上昇・見送り | パーフェクト▲ MACD+ RSI:68.0 前日比:+0.6% [大陰線▼] [2点]</v>
      </c>
      <c r="Z70" s="363">
        <f t="shared" si="32"/>
        <v>0.63972538617569041</v>
      </c>
      <c r="AA70" s="230" t="str">
        <f t="shared" si="33"/>
        <v>上昇▲</v>
      </c>
      <c r="AB70" s="358">
        <f>IF(OR(C70="",C70="TOPX",終値!E50=""),"",IFERROR(((終値!E50*0.333)+(終値!F50*0.222)+(終値!G50*0.148)+(終値!H50*0.099)+(終値!I50*0.066))/(0.333+0.222+0.148+0.099+0.066),""))</f>
        <v>6427.4792626728113</v>
      </c>
      <c r="AC70" s="358">
        <f>IF(OR(C70="",C70="TOPX",終値!E50=""),"",IFERROR(SUMPRODUCT((終値!E50:AC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6163.6495828367079</v>
      </c>
      <c r="AD70" s="230" t="str">
        <f t="shared" si="34"/>
        <v>パーフェクト▲</v>
      </c>
      <c r="AE70" s="230" t="str">
        <f t="shared" si="35"/>
        <v>なし</v>
      </c>
      <c r="AF70" t="str">
        <f>IF(T70="","",IF(銘柄管理!$F$5="上昇▲",IF(AND(AD70="下降トレンド▼",OR(AE70="25日戻り売り★",AE70="5日戻り売り○")),"★逆張り売り",IF(AND(AD70="もみ合い→",OR(AE70="25日戻り売り★",AE70="5日戻り売り○")),"○逆張り売り",IF(W70&gt;=70,IF(Z70&lt;0,"◎反落確認","△過熱・様子見"),"相場上昇・見送り"))),IF(AND(T70&gt;=12,AD70="下降トレンド▼"),"★強い売り",IF(T70&gt;=12,"★強い売り",IF(AND(T70&gt;=8,OR(AE70="25日戻り売り★",AE70="5日戻り売り○")),"◎戻り売り",IF(T70&gt;=10,"○売り候補",IF(T70&gt;=6,"△注目",IF(T70&gt;=3,"様子見","見送り"))))))))</f>
        <v>相場上昇・見送り</v>
      </c>
      <c r="AG70">
        <f t="shared" si="37"/>
        <v>0</v>
      </c>
      <c r="AH70">
        <f t="shared" si="38"/>
        <v>0</v>
      </c>
      <c r="AI70" s="412" cm="1">
        <f t="array" ref="AI70">IF(C70="","",IFERROR((INDEX(終値!$E:$E,MATCH(TEXT(C70,"0"),終値!$A:$A,0))-INDEX(終値!$E:$BL,MATCH(TEXT(C70,"0"),終値!$A:$A,0),$AN$2))/INDEX(終値!$E:$BL,MATCH(TEXT(C70,"0"),終値!$A:$A,0),$AN$2)*100,""))</f>
        <v>13.118204138898632</v>
      </c>
      <c r="AJ70" s="412" cm="1">
        <f t="array" ref="AJ70">IFERROR((終値!$E$5-INDEX(終値!$E$5:$BL$5,1,$AN$2))/INDEX(終値!$E$5:$BL$5,1,$AN$2)*100,"")</f>
        <v>3.4532270246721688</v>
      </c>
      <c r="AK70" s="413">
        <f t="shared" si="39"/>
        <v>9.6649771142264633</v>
      </c>
      <c r="AL70" s="411">
        <f t="shared" si="40"/>
        <v>-2</v>
      </c>
      <c r="AO70" s="415" t="str">
        <f t="shared" si="41"/>
        <v>大陰線▼</v>
      </c>
      <c r="AP70" s="416">
        <f t="shared" si="42"/>
        <v>2</v>
      </c>
      <c r="AQ70">
        <f>IF(C70&lt;&gt;"",始値!F50,"")</f>
        <v>6455</v>
      </c>
      <c r="AR70">
        <f>IF(C70&lt;&gt;"",高値!F50,"")</f>
        <v>6481</v>
      </c>
      <c r="AS70">
        <f>IF(C70&lt;&gt;"",安値!F50,"")</f>
        <v>6363</v>
      </c>
      <c r="AT70" t="str">
        <f t="shared" si="36"/>
        <v>通常</v>
      </c>
      <c r="AU70">
        <f t="shared" si="43"/>
        <v>0</v>
      </c>
    </row>
    <row r="71" spans="1:47" ht="14.25">
      <c r="A71" s="349" t="str">
        <f>IF(銘柄管理!B55&lt;&gt;"",HYPERLINK("https://kabutan.jp/stock/?code="&amp;銘柄管理!B55,"株探"),"")</f>
        <v>株探</v>
      </c>
      <c r="B71" s="350"/>
      <c r="C71" s="350">
        <f>IF(銘柄管理!B55="","",銘柄管理!B55)</f>
        <v>5901</v>
      </c>
      <c r="D71" s="350" t="str">
        <f>IF(銘柄管理!C55="","",銘柄管理!C55)</f>
        <v>東洋製罐グループＨＤ</v>
      </c>
      <c r="E71" s="351">
        <f>IF(C71&lt;&gt;"",_xll.RssMarket(C71,"現在値"),"")</f>
        <v>4076</v>
      </c>
      <c r="F71" s="351">
        <f>IF(C71&lt;&gt;"",_xll.RssMarket(C71,"始値"),"")</f>
        <v>4004</v>
      </c>
      <c r="G71" s="350">
        <f>IF(C71&lt;&gt;"",終値!F55,"")</f>
        <v>3991</v>
      </c>
      <c r="H71" s="351">
        <f>IF(C71&lt;&gt;"",_xll.RssMarket(C71,"高値"),"")</f>
        <v>4088</v>
      </c>
      <c r="I71" s="351">
        <f>IF(C71&lt;&gt;"",_xll.RssMarket(C71,"安値"),"")</f>
        <v>3964</v>
      </c>
      <c r="J71" s="351">
        <f>IF(C71&lt;&gt;"",_xll.RssMarket(C71,"出来高"),"")</f>
        <v>249600</v>
      </c>
      <c r="K71" s="351">
        <f>IF(C71&lt;&gt;"",_xll.RssMarket(C71,"年初来高値"),"")</f>
        <v>4404</v>
      </c>
      <c r="L71" s="352">
        <f t="shared" si="22"/>
        <v>-7.447774750227067</v>
      </c>
      <c r="M71" s="351">
        <f>IF(C71&lt;&gt;"",IFERROR(AVERAGE(出来高!E55:I55),""),"")</f>
        <v>266200</v>
      </c>
      <c r="N71" s="351">
        <f>IF(C71&lt;&gt;"",IFERROR(AVERAGE(出来高!E55:AC55),""),"")</f>
        <v>487368</v>
      </c>
      <c r="O71" s="353">
        <f t="shared" si="23"/>
        <v>0.93764087152516906</v>
      </c>
      <c r="P71" s="350" t="str">
        <f t="shared" si="24"/>
        <v>減少↓</v>
      </c>
      <c r="Q71" s="350" t="str">
        <f t="shared" si="25"/>
        <v>様子見▲</v>
      </c>
      <c r="R71" s="351">
        <f t="shared" si="26"/>
        <v>3750</v>
      </c>
      <c r="S71" s="351">
        <f t="shared" si="27"/>
        <v>4239</v>
      </c>
      <c r="T71" s="350">
        <f t="shared" si="28"/>
        <v>-1</v>
      </c>
      <c r="U71" s="350" t="str">
        <f t="shared" si="29"/>
        <v>除外</v>
      </c>
      <c r="V71" s="350" t="str">
        <f t="shared" si="30"/>
        <v>通常</v>
      </c>
      <c r="W71" s="354" cm="1">
        <f t="array" ref="W71">IFERROR(100-100/(1+SUMPRODUCT((終値!F55:R55&gt;終値!G55:S55)*(終値!F55:R55-終値!G55:S55))/SUMPRODUCT((終値!F55:R55&lt;終値!G55:S55)*(終値!G55:S55-終値!F55:R55))),50)</f>
        <v>51.165803108808298</v>
      </c>
      <c r="X71" s="355">
        <f>IF(C71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6.2719979780217727</v>
      </c>
      <c r="Y71" s="350" t="str">
        <f t="shared" si="31"/>
        <v>相場上昇・見送り | パーフェクト▲ MACD+ RSI:51.2 前日比:+2.1% [-1点]</v>
      </c>
      <c r="Z71" s="356">
        <f t="shared" si="32"/>
        <v>2.1297920320721624</v>
      </c>
      <c r="AA71" s="350" t="str">
        <f t="shared" si="33"/>
        <v>上昇▲</v>
      </c>
      <c r="AB71" s="351">
        <f>IF(OR(C71="",C71="TOPX",終値!E55=""),"",IFERROR(((終値!E55*0.333)+(終値!F55*0.222)+(終値!G55*0.148)+(終値!H55*0.099)+(終値!I55*0.066))/(0.333+0.222+0.148+0.099+0.066),""))</f>
        <v>3985.1301843317965</v>
      </c>
      <c r="AC71" s="351">
        <f>IF(OR(C71="",C71="TOPX",終値!E55=""),"",IFERROR(SUMPRODUCT((終値!E55:AC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3885.3504171632881</v>
      </c>
      <c r="AD71" s="350" t="str">
        <f t="shared" si="34"/>
        <v>パーフェクト▲</v>
      </c>
      <c r="AE71" s="350" t="str">
        <f t="shared" si="35"/>
        <v>なし</v>
      </c>
      <c r="AF71" t="str">
        <f>IF(T71="","",IF(銘柄管理!$F$5="上昇▲",IF(AND(AD71="下降トレンド▼",OR(AE71="25日戻り売り★",AE71="5日戻り売り○")),"★逆張り売り",IF(AND(AD71="もみ合い→",OR(AE71="25日戻り売り★",AE71="5日戻り売り○")),"○逆張り売り",IF(W71&gt;=70,IF(Z71&lt;0,"◎反落確認","△過熱・様子見"),"相場上昇・見送り"))),IF(AND(T71&gt;=12,AD71="下降トレンド▼"),"★強い売り",IF(T71&gt;=12,"★強い売り",IF(AND(T71&gt;=8,OR(AE71="25日戻り売り★",AE71="5日戻り売り○")),"◎戻り売り",IF(T71&gt;=10,"○売り候補",IF(T71&gt;=6,"△注目",IF(T71&gt;=3,"様子見","見送り"))))))))</f>
        <v>相場上昇・見送り</v>
      </c>
      <c r="AG71">
        <f t="shared" si="37"/>
        <v>0</v>
      </c>
      <c r="AH71">
        <f t="shared" si="38"/>
        <v>0</v>
      </c>
      <c r="AI71" s="412" cm="1">
        <f t="array" ref="AI71">IF(C71="","",IFERROR((INDEX(終値!$E:$E,MATCH(TEXT(C71,"0"),終値!$A:$A,0))-INDEX(終値!$E:$BL,MATCH(TEXT(C71,"0"),終値!$A:$A,0),$AN$2))/INDEX(終値!$E:$BL,MATCH(TEXT(C71,"0"),終値!$A:$A,0),$AN$2)*100,""))</f>
        <v>18.729973783862512</v>
      </c>
      <c r="AJ71" s="412" cm="1">
        <f t="array" ref="AJ71">IFERROR((終値!$E$5-INDEX(終値!$E$5:$BL$5,1,$AN$2))/INDEX(終値!$E$5:$BL$5,1,$AN$2)*100,"")</f>
        <v>3.4532270246721688</v>
      </c>
      <c r="AK71" s="413">
        <f t="shared" si="39"/>
        <v>15.276746759190344</v>
      </c>
      <c r="AL71" s="411">
        <f t="shared" si="40"/>
        <v>-2</v>
      </c>
      <c r="AO71" s="415" t="str">
        <f t="shared" si="41"/>
        <v>通常</v>
      </c>
      <c r="AP71" s="416">
        <f t="shared" si="42"/>
        <v>0</v>
      </c>
      <c r="AQ71">
        <f>IF(C71&lt;&gt;"",始値!F55,"")</f>
        <v>3979</v>
      </c>
      <c r="AR71">
        <f>IF(C71&lt;&gt;"",高値!F55,"")</f>
        <v>4035</v>
      </c>
      <c r="AS71">
        <f>IF(C71&lt;&gt;"",安値!F55,"")</f>
        <v>3958</v>
      </c>
      <c r="AT71" t="str">
        <f t="shared" si="36"/>
        <v>通常</v>
      </c>
      <c r="AU71">
        <f t="shared" si="43"/>
        <v>0</v>
      </c>
    </row>
    <row r="72" spans="1:47" ht="14.25">
      <c r="A72" s="357" t="str">
        <f>IF(銘柄管理!B69&lt;&gt;"",HYPERLINK("https://kabutan.jp/stock/?code="&amp;銘柄管理!B69,"株探"),"")</f>
        <v>株探</v>
      </c>
      <c r="B72" s="230"/>
      <c r="C72" s="230">
        <f>IF(銘柄管理!B69="","",銘柄管理!B69)</f>
        <v>4980</v>
      </c>
      <c r="D72" s="230" t="str">
        <f>IF(銘柄管理!C69="","",銘柄管理!C69)</f>
        <v>デクセリアルズ</v>
      </c>
      <c r="E72" s="358">
        <f>IF(C72&lt;&gt;"",_xll.RssMarket(C72,"現在値"),"")</f>
        <v>4608</v>
      </c>
      <c r="F72" s="358">
        <f>IF(C72&lt;&gt;"",_xll.RssMarket(C72,"始値"),"")</f>
        <v>4428</v>
      </c>
      <c r="G72" s="230">
        <f>IF(C72&lt;&gt;"",終値!F69,"")</f>
        <v>4568</v>
      </c>
      <c r="H72" s="358">
        <f>IF(C72&lt;&gt;"",_xll.RssMarket(C72,"高値"),"")</f>
        <v>4694</v>
      </c>
      <c r="I72" s="358">
        <f>IF(C72&lt;&gt;"",_xll.RssMarket(C72,"安値"),"")</f>
        <v>4361</v>
      </c>
      <c r="J72" s="358">
        <f>IF(C72&lt;&gt;"",_xll.RssMarket(C72,"出来高"),"")</f>
        <v>2442300</v>
      </c>
      <c r="K72" s="358">
        <f>IF(C72&lt;&gt;"",_xll.RssMarket(C72,"年初来高値"),"")</f>
        <v>4859</v>
      </c>
      <c r="L72" s="359">
        <f t="shared" si="22"/>
        <v>-5.165671948960691</v>
      </c>
      <c r="M72" s="358">
        <f>IF(C72&lt;&gt;"",IFERROR(AVERAGE(出来高!E69:I69),""),"")</f>
        <v>2689140</v>
      </c>
      <c r="N72" s="358">
        <f>IF(C72&lt;&gt;"",IFERROR(AVERAGE(出来高!E69:AC69),""),"")</f>
        <v>3377852</v>
      </c>
      <c r="O72" s="360">
        <f t="shared" si="23"/>
        <v>0.90820857225730156</v>
      </c>
      <c r="P72" s="230" t="str">
        <f t="shared" si="24"/>
        <v>減少↓</v>
      </c>
      <c r="Q72" s="230" t="str">
        <f t="shared" si="25"/>
        <v>様子見▲</v>
      </c>
      <c r="R72" s="358">
        <f t="shared" si="26"/>
        <v>4239</v>
      </c>
      <c r="S72" s="358">
        <f t="shared" si="27"/>
        <v>4792</v>
      </c>
      <c r="T72" s="350">
        <f t="shared" si="28"/>
        <v>-1</v>
      </c>
      <c r="U72" s="230" t="str">
        <f t="shared" si="29"/>
        <v>除外</v>
      </c>
      <c r="V72" s="230" t="str">
        <f t="shared" si="30"/>
        <v>通常</v>
      </c>
      <c r="W72" s="361" cm="1">
        <f t="array" ref="W72">IFERROR(100-100/(1+SUMPRODUCT((終値!F69:R69&gt;終値!G69:S69)*(終値!F69:R69-終値!G69:S69))/SUMPRODUCT((終値!F69:R69&lt;終値!G69:S69)*(終値!G69:S69-終値!F69:R69))),50)</f>
        <v>53.703028091937249</v>
      </c>
      <c r="X72" s="362">
        <f>IF(C72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63.526836000781259</v>
      </c>
      <c r="Y72" s="230" t="str">
        <f t="shared" si="31"/>
        <v>相場上昇・見送り | パーフェクト▲ MACD+ RSI:53.7 前日比:+0.9% [-1点]</v>
      </c>
      <c r="Z72" s="363">
        <f t="shared" si="32"/>
        <v>0.87565674255691772</v>
      </c>
      <c r="AA72" s="230" t="str">
        <f t="shared" si="33"/>
        <v>上昇▲</v>
      </c>
      <c r="AB72" s="358">
        <f>IF(OR(C72="",C72="TOPX",終値!E69=""),"",IFERROR(((終値!E69*0.333)+(終値!F69*0.222)+(終値!G69*0.148)+(終値!H69*0.099)+(終値!I69*0.066))/(0.333+0.222+0.148+0.099+0.066),""))</f>
        <v>4333.367511520737</v>
      </c>
      <c r="AC72" s="358">
        <f>IF(OR(C72="",C72="TOPX",終値!E69=""),"",IFERROR(SUMPRODUCT((終値!E69:AC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4113.7771156138242</v>
      </c>
      <c r="AD72" s="230" t="str">
        <f t="shared" si="34"/>
        <v>パーフェクト▲</v>
      </c>
      <c r="AE72" s="230" t="str">
        <f t="shared" si="35"/>
        <v>なし</v>
      </c>
      <c r="AF72" t="str">
        <f>IF(T72="","",IF(銘柄管理!$F$5="上昇▲",IF(AND(AD72="下降トレンド▼",OR(AE72="25日戻り売り★",AE72="5日戻り売り○")),"★逆張り売り",IF(AND(AD72="もみ合い→",OR(AE72="25日戻り売り★",AE72="5日戻り売り○")),"○逆張り売り",IF(W72&gt;=70,IF(Z72&lt;0,"◎反落確認","△過熱・様子見"),"相場上昇・見送り"))),IF(AND(T72&gt;=12,AD72="下降トレンド▼"),"★強い売り",IF(T72&gt;=12,"★強い売り",IF(AND(T72&gt;=8,OR(AE72="25日戻り売り★",AE72="5日戻り売り○")),"◎戻り売り",IF(T72&gt;=10,"○売り候補",IF(T72&gt;=6,"△注目",IF(T72&gt;=3,"様子見","見送り"))))))))</f>
        <v>相場上昇・見送り</v>
      </c>
      <c r="AG72">
        <f t="shared" si="37"/>
        <v>0</v>
      </c>
      <c r="AH72">
        <f t="shared" si="38"/>
        <v>0</v>
      </c>
      <c r="AI72" s="412" cm="1">
        <f t="array" ref="AI72">IF(C72="","",IFERROR((INDEX(終値!$E:$E,MATCH(TEXT(C72,"0"),終値!$A:$A,0))-INDEX(終値!$E:$BL,MATCH(TEXT(C72,"0"),終値!$A:$A,0),$AN$2))/INDEX(終値!$E:$BL,MATCH(TEXT(C72,"0"),終値!$A:$A,0),$AN$2)*100,""))</f>
        <v>46.332168942521434</v>
      </c>
      <c r="AJ72" s="412" cm="1">
        <f t="array" ref="AJ72">IFERROR((終値!$E$5-INDEX(終値!$E$5:$BL$5,1,$AN$2))/INDEX(終値!$E$5:$BL$5,1,$AN$2)*100,"")</f>
        <v>3.4532270246721688</v>
      </c>
      <c r="AK72" s="413">
        <f t="shared" si="39"/>
        <v>42.878941917849268</v>
      </c>
      <c r="AL72" s="411">
        <f t="shared" si="40"/>
        <v>-2</v>
      </c>
      <c r="AO72" s="415" t="str">
        <f t="shared" si="41"/>
        <v>通常</v>
      </c>
      <c r="AP72" s="416">
        <f t="shared" si="42"/>
        <v>0</v>
      </c>
      <c r="AQ72">
        <f>IF(C72&lt;&gt;"",始値!F69,"")</f>
        <v>4310</v>
      </c>
      <c r="AR72">
        <f>IF(C72&lt;&gt;"",高値!F69,"")</f>
        <v>4609</v>
      </c>
      <c r="AS72">
        <f>IF(C72&lt;&gt;"",安値!F69,"")</f>
        <v>4280</v>
      </c>
      <c r="AT72" t="str">
        <f t="shared" si="36"/>
        <v>通常</v>
      </c>
      <c r="AU72">
        <f t="shared" si="43"/>
        <v>0</v>
      </c>
    </row>
    <row r="73" spans="1:47" ht="14.25">
      <c r="A73" s="349" t="str">
        <f>IF(銘柄管理!B77&lt;&gt;"",HYPERLINK("https://kabutan.jp/stock/?code="&amp;銘柄管理!B77,"株探"),"")</f>
        <v>株探</v>
      </c>
      <c r="B73" s="350"/>
      <c r="C73" s="350">
        <f>IF(銘柄管理!B77="","",銘柄管理!B77)</f>
        <v>7203</v>
      </c>
      <c r="D73" s="350" t="str">
        <f>IF(銘柄管理!C77="","",銘柄管理!C77)</f>
        <v>トヨタ自動車</v>
      </c>
      <c r="E73" s="351">
        <f>IF(C73&lt;&gt;"",_xll.RssMarket(C73,"現在値"),"")</f>
        <v>2810</v>
      </c>
      <c r="F73" s="351">
        <f>IF(C73&lt;&gt;"",_xll.RssMarket(C73,"始値"),"")</f>
        <v>2862.5</v>
      </c>
      <c r="G73" s="350">
        <f>IF(C73&lt;&gt;"",終値!F77,"")</f>
        <v>2847.5</v>
      </c>
      <c r="H73" s="351">
        <f>IF(C73&lt;&gt;"",_xll.RssMarket(C73,"高値"),"")</f>
        <v>2863.5</v>
      </c>
      <c r="I73" s="351">
        <f>IF(C73&lt;&gt;"",_xll.RssMarket(C73,"安値"),"")</f>
        <v>2803.5</v>
      </c>
      <c r="J73" s="351">
        <f>IF(C73&lt;&gt;"",_xll.RssMarket(C73,"出来高"),"")</f>
        <v>26726100</v>
      </c>
      <c r="K73" s="351">
        <f>IF(C73&lt;&gt;"",_xll.RssMarket(C73,"年初来高値"),"")</f>
        <v>4000</v>
      </c>
      <c r="L73" s="352">
        <f t="shared" si="22"/>
        <v>-29.75</v>
      </c>
      <c r="M73" s="351">
        <f>IF(C73&lt;&gt;"",IFERROR(AVERAGE(出来高!E77:I77),""),"")</f>
        <v>26032920</v>
      </c>
      <c r="N73" s="351">
        <f>IF(C73&lt;&gt;"",IFERROR(AVERAGE(出来高!E77:AC77),""),"")</f>
        <v>28338488</v>
      </c>
      <c r="O73" s="353">
        <f t="shared" si="23"/>
        <v>1.0266270552823118</v>
      </c>
      <c r="P73" s="350" t="str">
        <f t="shared" si="24"/>
        <v>普通→</v>
      </c>
      <c r="Q73" s="350" t="str">
        <f t="shared" si="25"/>
        <v>中立→</v>
      </c>
      <c r="R73" s="351">
        <f t="shared" si="26"/>
        <v>2585</v>
      </c>
      <c r="S73" s="351">
        <f t="shared" si="27"/>
        <v>2922</v>
      </c>
      <c r="T73" s="350">
        <f t="shared" si="28"/>
        <v>12</v>
      </c>
      <c r="U73" s="350" t="str">
        <f t="shared" si="29"/>
        <v>要確認</v>
      </c>
      <c r="V73" s="350" t="str">
        <f t="shared" si="30"/>
        <v>安値圏</v>
      </c>
      <c r="W73" s="354" cm="1">
        <f t="array" ref="W73">IFERROR(100-100/(1+SUMPRODUCT((終値!F77:R77&gt;終値!G77:S77)*(終値!F77:R77-終値!G77:S77))/SUMPRODUCT((終値!F77:R77&lt;終値!G77:S77)*(終値!G77:S77-終値!F77:R77))),50)</f>
        <v>33.578656853725846</v>
      </c>
      <c r="X73" s="355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-27.15499783075029</v>
      </c>
      <c r="Y73" s="350" t="str">
        <f t="shared" si="31"/>
        <v>相場上昇・見送り | もみ合い→ MACD- RSI:33.6 前日比:-1.3% [安値圏] [大陰線▼] [12点]</v>
      </c>
      <c r="Z73" s="356">
        <f t="shared" si="32"/>
        <v>-1.3169446883230904</v>
      </c>
      <c r="AA73" s="350" t="str">
        <f t="shared" si="33"/>
        <v>下落▼</v>
      </c>
      <c r="AB73" s="351">
        <f>IF(OR(C73="",C73="TOPX",終値!E77=""),"",IFERROR(((終値!E77*0.333)+(終値!F77*0.222)+(終値!G77*0.148)+(終値!H77*0.099)+(終値!I77*0.066))/(0.333+0.222+0.148+0.099+0.066),""))</f>
        <v>2806.8842165898614</v>
      </c>
      <c r="AC73" s="351">
        <f>IF(OR(C73="",C73="TOPX",終値!E77=""),"",IFERROR(SUMPRODUCT((終値!E77:AC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2875.3676996424301</v>
      </c>
      <c r="AD73" s="350" t="str">
        <f t="shared" si="34"/>
        <v>もみ合い→</v>
      </c>
      <c r="AE73" s="350" t="str">
        <f t="shared" si="35"/>
        <v>なし</v>
      </c>
      <c r="AF73" t="str">
        <f>IF(T73="","",IF(銘柄管理!$F$5="上昇▲",IF(AND(AD73="下降トレンド▼",OR(AE73="25日戻り売り★",AE73="5日戻り売り○")),"★逆張り売り",IF(AND(AD73="もみ合い→",OR(AE73="25日戻り売り★",AE73="5日戻り売り○")),"○逆張り売り",IF(W73&gt;=70,IF(Z73&lt;0,"◎反落確認","△過熱・様子見"),"相場上昇・見送り"))),IF(AND(T73&gt;=12,AD73="下降トレンド▼"),"★強い売り",IF(T73&gt;=12,"★強い売り",IF(AND(T73&gt;=8,OR(AE73="25日戻り売り★",AE73="5日戻り売り○")),"◎戻り売り",IF(T73&gt;=10,"○売り候補",IF(T73&gt;=6,"△注目",IF(T73&gt;=3,"様子見","見送り"))))))))</f>
        <v>相場上昇・見送り</v>
      </c>
      <c r="AG73">
        <f t="shared" si="37"/>
        <v>12</v>
      </c>
      <c r="AH73">
        <f t="shared" si="38"/>
        <v>119927</v>
      </c>
      <c r="AI73" s="412" cm="1">
        <f t="array" ref="AI73">IF(C73="","",IFERROR((INDEX(終値!$E:$E,MATCH(TEXT(C73,"0"),終値!$A:$A,0))-INDEX(終値!$E:$BL,MATCH(TEXT(C73,"0"),終値!$A:$A,0),$AN$2))/INDEX(終値!$E:$BL,MATCH(TEXT(C73,"0"),終値!$A:$A,0),$AN$2)*100,""))</f>
        <v>-6.582446808510638</v>
      </c>
      <c r="AJ73" s="412" cm="1">
        <f t="array" ref="AJ73">IFERROR((終値!$E$5-INDEX(終値!$E$5:$BL$5,1,$AN$2))/INDEX(終値!$E$5:$BL$5,1,$AN$2)*100,"")</f>
        <v>3.4532270246721688</v>
      </c>
      <c r="AK73" s="413">
        <f t="shared" si="39"/>
        <v>-10.035673833182807</v>
      </c>
      <c r="AL73" s="411">
        <f t="shared" si="40"/>
        <v>3</v>
      </c>
      <c r="AO73" s="415" t="str">
        <f t="shared" si="41"/>
        <v>大陰線▼</v>
      </c>
      <c r="AP73" s="416">
        <f t="shared" si="42"/>
        <v>2</v>
      </c>
      <c r="AQ73">
        <f>IF(C73&lt;&gt;"",始値!F77,"")</f>
        <v>2867</v>
      </c>
      <c r="AR73">
        <f>IF(C73&lt;&gt;"",高値!F77,"")</f>
        <v>2894</v>
      </c>
      <c r="AS73">
        <f>IF(C73&lt;&gt;"",安値!F77,"")</f>
        <v>2826.5</v>
      </c>
      <c r="AT73" t="str">
        <f t="shared" si="36"/>
        <v>通常</v>
      </c>
      <c r="AU73">
        <f t="shared" si="43"/>
        <v>0</v>
      </c>
    </row>
    <row r="74" spans="1:47" ht="14.25">
      <c r="A74" s="357" t="str">
        <f>IF(銘柄管理!B89&lt;&gt;"",HYPERLINK("https://kabutan.jp/stock/?code="&amp;銘柄管理!B89,"株探"),"")</f>
        <v>株探</v>
      </c>
      <c r="B74" s="230"/>
      <c r="C74" s="230">
        <f>IF(銘柄管理!B89="","",銘柄管理!B89)</f>
        <v>5892</v>
      </c>
      <c r="D74" s="230" t="str">
        <f>IF(銘柄管理!C89="","",銘柄管理!C89)</f>
        <v>ＹＵＴＯＲＩ</v>
      </c>
      <c r="E74" s="358">
        <f>IF(C74&lt;&gt;"",_xll.RssMarket(C74,"現在値"),"")</f>
        <v>2192</v>
      </c>
      <c r="F74" s="358">
        <f>IF(C74&lt;&gt;"",_xll.RssMarket(C74,"始値"),"")</f>
        <v>2046</v>
      </c>
      <c r="G74" s="230">
        <f>IF(C74&lt;&gt;"",終値!F89,"")</f>
        <v>2040</v>
      </c>
      <c r="H74" s="358">
        <f>IF(C74&lt;&gt;"",_xll.RssMarket(C74,"高値"),"")</f>
        <v>2214</v>
      </c>
      <c r="I74" s="358">
        <f>IF(C74&lt;&gt;"",_xll.RssMarket(C74,"安値"),"")</f>
        <v>2046</v>
      </c>
      <c r="J74" s="358">
        <f>IF(C74&lt;&gt;"",_xll.RssMarket(C74,"出来高"),"")</f>
        <v>109600</v>
      </c>
      <c r="K74" s="358">
        <f>IF(C74&lt;&gt;"",_xll.RssMarket(C74,"年初来高値"),"")</f>
        <v>2993</v>
      </c>
      <c r="L74" s="359">
        <f t="shared" si="22"/>
        <v>-26.762445706648847</v>
      </c>
      <c r="M74" s="358">
        <f>IF(C74&lt;&gt;"",IFERROR(AVERAGE(出来高!E89:I89),""),"")</f>
        <v>89480</v>
      </c>
      <c r="N74" s="358">
        <f>IF(C74&lt;&gt;"",IFERROR(AVERAGE(出来高!E89:AC89),""),"")</f>
        <v>93556</v>
      </c>
      <c r="O74" s="360">
        <f t="shared" si="23"/>
        <v>1.2248547161376844</v>
      </c>
      <c r="P74" s="230" t="str">
        <f t="shared" si="24"/>
        <v>普通→</v>
      </c>
      <c r="Q74" s="230" t="str">
        <f t="shared" si="25"/>
        <v>様子見▲</v>
      </c>
      <c r="R74" s="358">
        <f t="shared" si="26"/>
        <v>2017</v>
      </c>
      <c r="S74" s="358">
        <f t="shared" si="27"/>
        <v>2280</v>
      </c>
      <c r="T74" s="350">
        <f t="shared" si="28"/>
        <v>6</v>
      </c>
      <c r="U74" s="230" t="str">
        <f t="shared" si="29"/>
        <v>要確認</v>
      </c>
      <c r="V74" s="230" t="str">
        <f t="shared" si="30"/>
        <v>安値圏</v>
      </c>
      <c r="W74" s="361" cm="1">
        <f t="array" ref="W74">IFERROR(100-100/(1+SUMPRODUCT((終値!F89:R89&gt;終値!G89:S89)*(終値!F89:R89-終値!G89:S89))/SUMPRODUCT((終値!F89:R89&lt;終値!G89:S89)*(終値!G89:S89-終値!F89:R89))),50)</f>
        <v>30.854605993340726</v>
      </c>
      <c r="X74" s="362">
        <f>IF(C74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-35.319950326183061</v>
      </c>
      <c r="Y74" s="230" t="str">
        <f t="shared" si="31"/>
        <v>○逆張り売り | もみ合い→ 25日戻り売り★ MACD- RSI:30.9 前日比:+7.5% [安値圏] [6点]</v>
      </c>
      <c r="Z74" s="363">
        <f t="shared" si="32"/>
        <v>7.4509803921568629</v>
      </c>
      <c r="AA74" s="230" t="str">
        <f t="shared" si="33"/>
        <v>上昇▲</v>
      </c>
      <c r="AB74" s="358">
        <f>IF(OR(C74="",C74="TOPX",終値!E89=""),"",IFERROR(((終値!E89*0.333)+(終値!F89*0.222)+(終値!G89*0.148)+(終値!H89*0.099)+(終値!I89*0.066))/(0.333+0.222+0.148+0.099+0.066),""))</f>
        <v>2112.8398617511516</v>
      </c>
      <c r="AC74" s="358">
        <f>IF(OR(C74="",C74="TOPX",終値!E89=""),"",IFERROR(SUMPRODUCT((終値!E89:AC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2213.3575685339674</v>
      </c>
      <c r="AD74" s="230" t="str">
        <f t="shared" si="34"/>
        <v>もみ合い→</v>
      </c>
      <c r="AE74" s="230" t="str">
        <f t="shared" si="35"/>
        <v>25日戻り売り★</v>
      </c>
      <c r="AF74" t="str">
        <f>IF(T74="","",IF(銘柄管理!$F$5="上昇▲",IF(AND(AD74="下降トレンド▼",OR(AE74="25日戻り売り★",AE74="5日戻り売り○")),"★逆張り売り",IF(AND(AD74="もみ合い→",OR(AE74="25日戻り売り★",AE74="5日戻り売り○")),"○逆張り売り",IF(W74&gt;=70,IF(Z74&lt;0,"◎反落確認","△過熱・様子見"),"相場上昇・見送り"))),IF(AND(T74&gt;=12,AD74="下降トレンド▼"),"★強い売り",IF(T74&gt;=12,"★強い売り",IF(AND(T74&gt;=8,OR(AE74="25日戻り売り★",AE74="5日戻り売り○")),"◎戻り売り",IF(T74&gt;=10,"○売り候補",IF(T74&gt;=6,"△注目",IF(T74&gt;=3,"様子見","見送り"))))))))</f>
        <v>○逆張り売り</v>
      </c>
      <c r="AG74">
        <f t="shared" si="37"/>
        <v>0</v>
      </c>
      <c r="AH74">
        <f t="shared" si="38"/>
        <v>0</v>
      </c>
      <c r="AI74" s="412" cm="1">
        <f t="array" ref="AI74">IF(C74="","",IFERROR((INDEX(終値!$E:$E,MATCH(TEXT(C74,"0"),終値!$A:$A,0))-INDEX(終値!$E:$BL,MATCH(TEXT(C74,"0"),終値!$A:$A,0),$AN$2))/INDEX(終値!$E:$BL,MATCH(TEXT(C74,"0"),終値!$A:$A,0),$AN$2)*100,""))</f>
        <v>10.483870967741936</v>
      </c>
      <c r="AJ74" s="412" cm="1">
        <f t="array" ref="AJ74">IFERROR((終値!$E$5-INDEX(終値!$E$5:$BL$5,1,$AN$2))/INDEX(終値!$E$5:$BL$5,1,$AN$2)*100,"")</f>
        <v>3.4532270246721688</v>
      </c>
      <c r="AK74" s="413">
        <f t="shared" si="39"/>
        <v>7.0306439430697676</v>
      </c>
      <c r="AL74" s="411">
        <f t="shared" si="40"/>
        <v>-2</v>
      </c>
      <c r="AO74" s="415" t="str">
        <f t="shared" si="41"/>
        <v>通常</v>
      </c>
      <c r="AP74" s="416">
        <f t="shared" si="42"/>
        <v>0</v>
      </c>
      <c r="AQ74">
        <f>IF(C74&lt;&gt;"",始値!F89,"")</f>
        <v>1977</v>
      </c>
      <c r="AR74">
        <f>IF(C74&lt;&gt;"",高値!F89,"")</f>
        <v>2040</v>
      </c>
      <c r="AS74">
        <f>IF(C74&lt;&gt;"",安値!F89,"")</f>
        <v>1935</v>
      </c>
      <c r="AT74" t="str">
        <f t="shared" si="36"/>
        <v>通常</v>
      </c>
      <c r="AU74">
        <f t="shared" si="43"/>
        <v>0</v>
      </c>
    </row>
    <row r="75" spans="1:47" ht="14.25">
      <c r="A75" s="349" t="str">
        <f>IF(銘柄管理!B97&lt;&gt;"",HYPERLINK("https://kabutan.jp/stock/?code="&amp;銘柄管理!B97,"株探"),"")</f>
        <v>株探</v>
      </c>
      <c r="B75" s="350"/>
      <c r="C75" s="350">
        <f>IF(銘柄管理!B97="","",銘柄管理!B97)</f>
        <v>4182</v>
      </c>
      <c r="D75" s="350" t="str">
        <f>IF(銘柄管理!C97="","",銘柄管理!C97)</f>
        <v>三菱瓦斯化学</v>
      </c>
      <c r="E75" s="351">
        <f>IF(C75&lt;&gt;"",_xll.RssMarket(C75,"現在値"),"")</f>
        <v>5116</v>
      </c>
      <c r="F75" s="351">
        <f>IF(C75&lt;&gt;"",_xll.RssMarket(C75,"始値"),"")</f>
        <v>5000</v>
      </c>
      <c r="G75" s="350">
        <f>IF(C75&lt;&gt;"",終値!F97,"")</f>
        <v>5090</v>
      </c>
      <c r="H75" s="351">
        <f>IF(C75&lt;&gt;"",_xll.RssMarket(C75,"高値"),"")</f>
        <v>5174</v>
      </c>
      <c r="I75" s="351">
        <f>IF(C75&lt;&gt;"",_xll.RssMarket(C75,"安値"),"")</f>
        <v>4945</v>
      </c>
      <c r="J75" s="351">
        <f>IF(C75&lt;&gt;"",_xll.RssMarket(C75,"出来高"),"")</f>
        <v>1114200</v>
      </c>
      <c r="K75" s="351">
        <f>IF(C75&lt;&gt;"",_xll.RssMarket(C75,"年初来高値"),"")</f>
        <v>5626</v>
      </c>
      <c r="L75" s="352">
        <f t="shared" si="22"/>
        <v>-9.0650551013153216</v>
      </c>
      <c r="M75" s="351">
        <f>IF(C75&lt;&gt;"",IFERROR(AVERAGE(出来高!E97:I97),""),"")</f>
        <v>1480360</v>
      </c>
      <c r="N75" s="351">
        <f>IF(C75&lt;&gt;"",IFERROR(AVERAGE(出来高!E97:AC97),""),"")</f>
        <v>1680064</v>
      </c>
      <c r="O75" s="353">
        <f t="shared" si="23"/>
        <v>0.75265475965305739</v>
      </c>
      <c r="P75" s="350" t="str">
        <f t="shared" si="24"/>
        <v>減少↓</v>
      </c>
      <c r="Q75" s="350" t="str">
        <f t="shared" si="25"/>
        <v>様子見▲</v>
      </c>
      <c r="R75" s="351">
        <f t="shared" si="26"/>
        <v>4707</v>
      </c>
      <c r="S75" s="351">
        <f t="shared" si="27"/>
        <v>5321</v>
      </c>
      <c r="T75" s="350">
        <f t="shared" si="28"/>
        <v>3</v>
      </c>
      <c r="U75" s="350" t="str">
        <f t="shared" si="29"/>
        <v>要確認</v>
      </c>
      <c r="V75" s="350" t="str">
        <f t="shared" si="30"/>
        <v>通常</v>
      </c>
      <c r="W75" s="354" cm="1">
        <f t="array" ref="W75">IFERROR(100-100/(1+SUMPRODUCT((終値!F97:R97&gt;終値!G97:S97)*(終値!F97:R97-終値!G97:S97))/SUMPRODUCT((終値!F97:R97&lt;終値!G97:S97)*(終値!G97:S97-終値!F97:R97))),50)</f>
        <v>46.770789362600254</v>
      </c>
      <c r="X75" s="355">
        <f>IF(C75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-11.330868217112766</v>
      </c>
      <c r="Y75" s="350" t="str">
        <f t="shared" si="31"/>
        <v>相場上昇・見送り | 上昇トレンド▲ MACD- RSI:46.8 前日比:+0.5% [3点]</v>
      </c>
      <c r="Z75" s="356">
        <f t="shared" si="32"/>
        <v>0.51080550098231825</v>
      </c>
      <c r="AA75" s="350" t="str">
        <f t="shared" si="33"/>
        <v>上昇▲</v>
      </c>
      <c r="AB75" s="351">
        <f>IF(OR(C75="",C75="TOPX",終値!E97=""),"",IFERROR(((終値!E97*0.333)+(終値!F97*0.222)+(終値!G97*0.148)+(終値!H97*0.099)+(終値!I97*0.066))/(0.333+0.222+0.148+0.099+0.066),""))</f>
        <v>4946.202764976958</v>
      </c>
      <c r="AC75" s="351">
        <f>IF(OR(C75="",C75="TOPX",終値!E97=""),"",IFERROR(SUMPRODUCT((終値!E97:AC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5002.7723480333716</v>
      </c>
      <c r="AD75" s="350" t="str">
        <f t="shared" si="34"/>
        <v>上昇トレンド▲</v>
      </c>
      <c r="AE75" s="350" t="str">
        <f t="shared" si="35"/>
        <v>なし</v>
      </c>
      <c r="AF75" t="str">
        <f>IF(T75="","",IF(銘柄管理!$F$5="上昇▲",IF(AND(AD75="下降トレンド▼",OR(AE75="25日戻り売り★",AE75="5日戻り売り○")),"★逆張り売り",IF(AND(AD75="もみ合い→",OR(AE75="25日戻り売り★",AE75="5日戻り売り○")),"○逆張り売り",IF(W75&gt;=70,IF(Z75&lt;0,"◎反落確認","△過熱・様子見"),"相場上昇・見送り"))),IF(AND(T75&gt;=12,AD75="下降トレンド▼"),"★強い売り",IF(T75&gt;=12,"★強い売り",IF(AND(T75&gt;=8,OR(AE75="25日戻り売り★",AE75="5日戻り売り○")),"◎戻り売り",IF(T75&gt;=10,"○売り候補",IF(T75&gt;=6,"△注目",IF(T75&gt;=3,"様子見","見送り"))))))))</f>
        <v>相場上昇・見送り</v>
      </c>
      <c r="AG75">
        <f t="shared" si="37"/>
        <v>0</v>
      </c>
      <c r="AH75">
        <f t="shared" si="38"/>
        <v>0</v>
      </c>
      <c r="AI75" s="412" cm="1">
        <f t="array" ref="AI75">IF(C75="","",IFERROR((INDEX(終値!$E:$E,MATCH(TEXT(C75,"0"),終値!$A:$A,0))-INDEX(終値!$E:$BL,MATCH(TEXT(C75,"0"),終値!$A:$A,0),$AN$2))/INDEX(終値!$E:$BL,MATCH(TEXT(C75,"0"),終値!$A:$A,0),$AN$2)*100,""))</f>
        <v>2.2790883646541382</v>
      </c>
      <c r="AJ75" s="412" cm="1">
        <f t="array" ref="AJ75">IFERROR((終値!$E$5-INDEX(終値!$E$5:$BL$5,1,$AN$2))/INDEX(終値!$E$5:$BL$5,1,$AN$2)*100,"")</f>
        <v>3.4532270246721688</v>
      </c>
      <c r="AK75" s="413">
        <f t="shared" si="39"/>
        <v>-1.1741386600180306</v>
      </c>
      <c r="AL75" s="411">
        <f t="shared" si="40"/>
        <v>1</v>
      </c>
      <c r="AO75" s="415" t="str">
        <f t="shared" si="41"/>
        <v>通常</v>
      </c>
      <c r="AP75" s="416">
        <f t="shared" si="42"/>
        <v>0</v>
      </c>
      <c r="AQ75">
        <f>IF(C75&lt;&gt;"",始値!F97,"")</f>
        <v>5020</v>
      </c>
      <c r="AR75">
        <f>IF(C75&lt;&gt;"",高値!F97,"")</f>
        <v>5166</v>
      </c>
      <c r="AS75">
        <f>IF(C75&lt;&gt;"",安値!F97,"")</f>
        <v>5012</v>
      </c>
      <c r="AT75" t="str">
        <f t="shared" si="36"/>
        <v>通常</v>
      </c>
      <c r="AU75">
        <f t="shared" si="43"/>
        <v>0</v>
      </c>
    </row>
    <row r="76" spans="1:47" ht="14.25">
      <c r="A76" s="357" t="str">
        <f>IF(銘柄管理!B106&lt;&gt;"",HYPERLINK("https://kabutan.jp/stock/?code="&amp;銘柄管理!B106,"株探"),"")</f>
        <v>株探</v>
      </c>
      <c r="B76" s="230"/>
      <c r="C76" s="230">
        <f>IF(銘柄管理!B106="","",銘柄管理!B106)</f>
        <v>7021</v>
      </c>
      <c r="D76" s="230" t="str">
        <f>IF(銘柄管理!C106="","",銘柄管理!C106)</f>
        <v>ニッチツ</v>
      </c>
      <c r="E76" s="358">
        <f>IF(C76&lt;&gt;"",_xll.RssMarket(C76,"現在値"),"")</f>
        <v>1800</v>
      </c>
      <c r="F76" s="358">
        <f>IF(C76&lt;&gt;"",_xll.RssMarket(C76,"始値"),"")</f>
        <v>1809</v>
      </c>
      <c r="G76" s="230">
        <f>IF(C76&lt;&gt;"",終値!F106,"")</f>
        <v>1809</v>
      </c>
      <c r="H76" s="358">
        <f>IF(C76&lt;&gt;"",_xll.RssMarket(C76,"高値"),"")</f>
        <v>1810</v>
      </c>
      <c r="I76" s="358">
        <f>IF(C76&lt;&gt;"",_xll.RssMarket(C76,"安値"),"")</f>
        <v>1800</v>
      </c>
      <c r="J76" s="358">
        <f>IF(C76&lt;&gt;"",_xll.RssMarket(C76,"出来高"),"")</f>
        <v>800</v>
      </c>
      <c r="K76" s="358">
        <f>IF(C76&lt;&gt;"",_xll.RssMarket(C76,"年初来高値"),"")</f>
        <v>2539</v>
      </c>
      <c r="L76" s="359">
        <f t="shared" si="22"/>
        <v>-29.105947223316264</v>
      </c>
      <c r="M76" s="358">
        <f>IF(C76&lt;&gt;"",IFERROR(AVERAGE(出来高!E106:I106),""),"")</f>
        <v>760</v>
      </c>
      <c r="N76" s="358">
        <f>IF(C76&lt;&gt;"",IFERROR(AVERAGE(出来高!E106:AC106),""),"")</f>
        <v>2768</v>
      </c>
      <c r="O76" s="360">
        <f t="shared" si="23"/>
        <v>1.0526315789473684</v>
      </c>
      <c r="P76" s="230" t="str">
        <f t="shared" si="24"/>
        <v>普通→</v>
      </c>
      <c r="Q76" s="230" t="str">
        <f t="shared" si="25"/>
        <v>中立→</v>
      </c>
      <c r="R76" s="358">
        <f t="shared" si="26"/>
        <v>1656</v>
      </c>
      <c r="S76" s="358">
        <f t="shared" si="27"/>
        <v>1872</v>
      </c>
      <c r="T76" s="350">
        <f t="shared" si="28"/>
        <v>17</v>
      </c>
      <c r="U76" s="230" t="str">
        <f t="shared" si="29"/>
        <v>要確認</v>
      </c>
      <c r="V76" s="230" t="str">
        <f t="shared" si="30"/>
        <v>安値圏</v>
      </c>
      <c r="W76" s="361" cm="1">
        <f t="array" ref="W76">IFERROR(100-100/(1+SUMPRODUCT((終値!F106:R106&gt;終値!G106:S106)*(終値!F106:R106-終値!G106:S106))/SUMPRODUCT((終値!F106:R106&lt;終値!G106:S106)*(終値!G106:S106-終値!F106:R106))),50)</f>
        <v>50.666666666666671</v>
      </c>
      <c r="X76" s="362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-20.419210393289177</v>
      </c>
      <c r="Y76" s="230" t="str">
        <f t="shared" si="31"/>
        <v>★逆張り売り | 下降トレンド▼ 25日戻り売り★ MACD- RSI:50.7 前日比:-0.5% [安値圏] [大陰線▼] [17点]</v>
      </c>
      <c r="Z76" s="363">
        <f t="shared" si="32"/>
        <v>-0.49751243781094528</v>
      </c>
      <c r="AA76" s="230" t="str">
        <f t="shared" si="33"/>
        <v>下落▼</v>
      </c>
      <c r="AB76" s="358">
        <f>IF(OR(C76="",C76="TOPX",終値!E106=""),"",IFERROR(((終値!E106*0.333)+(終値!F106*0.222)+(終値!G106*0.148)+(終値!H106*0.099)+(終値!I106*0.066))/(0.333+0.222+0.148+0.099+0.066),""))</f>
        <v>1800.0748847926263</v>
      </c>
      <c r="AC76" s="358">
        <f>IF(OR(C76="",C76="TOPX",終値!E106=""),"",IFERROR(SUMPRODUCT((終値!E106:AC106)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1835.1632896305118</v>
      </c>
      <c r="AD76" s="230" t="str">
        <f t="shared" si="34"/>
        <v>下降トレンド▼</v>
      </c>
      <c r="AE76" s="230" t="str">
        <f t="shared" si="35"/>
        <v>25日戻り売り★</v>
      </c>
      <c r="AF76" t="str">
        <f>IF(T76="","",IF(銘柄管理!$F$5="上昇▲",IF(AND(AD76="下降トレンド▼",OR(AE76="25日戻り売り★",AE76="5日戻り売り○")),"★逆張り売り",IF(AND(AD76="もみ合い→",OR(AE76="25日戻り売り★",AE76="5日戻り売り○")),"○逆張り売り",IF(W76&gt;=70,IF(Z76&lt;0,"◎反落確認","△過熱・様子見"),"相場上昇・見送り"))),IF(AND(T76&gt;=12,AD76="下降トレンド▼"),"★強い売り",IF(T76&gt;=12,"★強い売り",IF(AND(T76&gt;=8,OR(AE76="25日戻り売り★",AE76="5日戻り売り○")),"◎戻り売り",IF(T76&gt;=10,"○売り候補",IF(T76&gt;=6,"△注目",IF(T76&gt;=3,"様子見","見送り"))))))))</f>
        <v>★逆張り売り</v>
      </c>
      <c r="AG76">
        <f t="shared" si="37"/>
        <v>17</v>
      </c>
      <c r="AH76">
        <f t="shared" si="38"/>
        <v>169924</v>
      </c>
      <c r="AI76" s="412" cm="1">
        <f t="array" ref="AI76">IF(C76="","",IFERROR((INDEX(終値!$E:$E,MATCH(TEXT(C76,"0"),終値!$A:$A,0))-INDEX(終値!$E:$BL,MATCH(TEXT(C76,"0"),終値!$A:$A,0),$AN$2))/INDEX(終値!$E:$BL,MATCH(TEXT(C76,"0"),終値!$A:$A,0),$AN$2)*100,""))</f>
        <v>-17.80821917808219</v>
      </c>
      <c r="AJ76" s="412" cm="1">
        <f t="array" ref="AJ76">IFERROR((終値!$E$5-INDEX(終値!$E$5:$BL$5,1,$AN$2))/INDEX(終値!$E$5:$BL$5,1,$AN$2)*100,"")</f>
        <v>3.4532270246721688</v>
      </c>
      <c r="AK76" s="413">
        <f t="shared" si="39"/>
        <v>-21.26144620275436</v>
      </c>
      <c r="AL76" s="411">
        <f t="shared" si="40"/>
        <v>3</v>
      </c>
      <c r="AO76" s="415" t="str">
        <f t="shared" si="41"/>
        <v>大陰線▼</v>
      </c>
      <c r="AP76" s="416">
        <f t="shared" si="42"/>
        <v>2</v>
      </c>
      <c r="AQ76">
        <f>IF(C76&lt;&gt;"",始値!F106,"")</f>
        <v>1780</v>
      </c>
      <c r="AR76">
        <f>IF(C76&lt;&gt;"",高値!F106,"")</f>
        <v>1809</v>
      </c>
      <c r="AS76">
        <f>IF(C76&lt;&gt;"",安値!F106,"")</f>
        <v>1780</v>
      </c>
      <c r="AT76" t="str">
        <f t="shared" si="36"/>
        <v>通常</v>
      </c>
      <c r="AU76">
        <f t="shared" si="43"/>
        <v>0</v>
      </c>
    </row>
    <row r="77" spans="1:47" ht="14.25">
      <c r="A77" s="349" t="str">
        <f>IF(銘柄管理!B113&lt;&gt;"",HYPERLINK("https://kabutan.jp/stock/?code="&amp;銘柄管理!B113,"株探"),"")</f>
        <v>株探</v>
      </c>
      <c r="B77" s="350"/>
      <c r="C77" s="350">
        <f>IF(銘柄管理!B113="","",銘柄管理!B113)</f>
        <v>9449</v>
      </c>
      <c r="D77" s="350" t="str">
        <f>IF(銘柄管理!C113="","",銘柄管理!C113)</f>
        <v>ＧＭＯインターネットグループ</v>
      </c>
      <c r="E77" s="351">
        <f>IF(C77&lt;&gt;"",_xll.RssMarket(C77,"現在値"),"")</f>
        <v>3098</v>
      </c>
      <c r="F77" s="351">
        <f>IF(C77&lt;&gt;"",_xll.RssMarket(C77,"始値"),"")</f>
        <v>3100</v>
      </c>
      <c r="G77" s="350">
        <f>IF(C77&lt;&gt;"",終値!F113,"")</f>
        <v>3083</v>
      </c>
      <c r="H77" s="351">
        <f>IF(C77&lt;&gt;"",_xll.RssMarket(C77,"高値"),"")</f>
        <v>3128</v>
      </c>
      <c r="I77" s="351">
        <f>IF(C77&lt;&gt;"",_xll.RssMarket(C77,"安値"),"")</f>
        <v>3063</v>
      </c>
      <c r="J77" s="351">
        <f>IF(C77&lt;&gt;"",_xll.RssMarket(C77,"出来高"),"")</f>
        <v>248200</v>
      </c>
      <c r="K77" s="351">
        <f>IF(C77&lt;&gt;"",_xll.RssMarket(C77,"年初来高値"),"")</f>
        <v>4118</v>
      </c>
      <c r="L77" s="352">
        <f t="shared" si="22"/>
        <v>-24.769305488101022</v>
      </c>
      <c r="M77" s="351">
        <f>IF(C77&lt;&gt;"",IFERROR(AVERAGE(出来高!E113:I113),""),"")</f>
        <v>283840</v>
      </c>
      <c r="N77" s="351">
        <f>IF(C77&lt;&gt;"",IFERROR(AVERAGE(出来高!E113:AC113),""),"")</f>
        <v>409716</v>
      </c>
      <c r="O77" s="353">
        <f t="shared" si="23"/>
        <v>0.87443630214205181</v>
      </c>
      <c r="P77" s="350" t="str">
        <f t="shared" si="24"/>
        <v>減少↓</v>
      </c>
      <c r="Q77" s="350" t="str">
        <f t="shared" si="25"/>
        <v>様子見▲</v>
      </c>
      <c r="R77" s="351">
        <f t="shared" si="26"/>
        <v>2850</v>
      </c>
      <c r="S77" s="351">
        <f t="shared" si="27"/>
        <v>3222</v>
      </c>
      <c r="T77" s="350">
        <f t="shared" si="28"/>
        <v>10</v>
      </c>
      <c r="U77" s="350" t="str">
        <f t="shared" si="29"/>
        <v>要確認</v>
      </c>
      <c r="V77" s="350" t="str">
        <f t="shared" si="30"/>
        <v>安値圏</v>
      </c>
      <c r="W77" s="354" cm="1">
        <f t="array" ref="W77">IFERROR(100-100/(1+SUMPRODUCT((終値!F113:R113&gt;終値!G113:S113)*(終値!F113:R113-終値!G113:S113))/SUMPRODUCT((終値!F113:R113&lt;終値!G113:S113)*(終値!G113:S113-終値!F113:R113))),50)</f>
        <v>22.003577817531294</v>
      </c>
      <c r="X77" s="355">
        <f>IF(C77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-20.772917421258171</v>
      </c>
      <c r="Y77" s="350" t="str">
        <f t="shared" si="31"/>
        <v>★逆張り売り | 下降トレンド▼ 5日戻り売り○ MACD- RSI:22.0 [売られ過ぎ] 前日比:+0.5% [安値圏]前日[長い下ヒゲ(反発)] [10点]</v>
      </c>
      <c r="Z77" s="356">
        <f t="shared" si="32"/>
        <v>0.48653908530651963</v>
      </c>
      <c r="AA77" s="350" t="str">
        <f t="shared" si="33"/>
        <v>上昇▲</v>
      </c>
      <c r="AB77" s="351">
        <f>IF(OR(C77="",C77="TOPX",終値!E113=""),"",IFERROR(((終値!E113*0.333)+(終値!F113*0.222)+(終値!G113*0.148)+(終値!H113*0.099)+(終値!I113*0.066))/(0.333+0.222+0.148+0.099+0.066),""))</f>
        <v>3115.5403225806449</v>
      </c>
      <c r="AC77" s="351">
        <f>IF(OR(C77="",C77="TOPX",終値!E113=""),"",IFERROR(SUMPRODUCT((終値!E113:AC113)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3222.6209773539917</v>
      </c>
      <c r="AD77" s="350" t="str">
        <f t="shared" si="34"/>
        <v>下降トレンド▼</v>
      </c>
      <c r="AE77" s="350" t="str">
        <f t="shared" si="35"/>
        <v>5日戻り売り○</v>
      </c>
      <c r="AF77" t="str">
        <f>IF(T77="","",IF(銘柄管理!$F$5="上昇▲",IF(AND(AD77="下降トレンド▼",OR(AE77="25日戻り売り★",AE77="5日戻り売り○")),"★逆張り売り",IF(AND(AD77="もみ合い→",OR(AE77="25日戻り売り★",AE77="5日戻り売り○")),"○逆張り売り",IF(W77&gt;=70,IF(Z77&lt;0,"◎反落確認","△過熱・様子見"),"相場上昇・見送り"))),IF(AND(T77&gt;=12,AD77="下降トレンド▼"),"★強い売り",IF(T77&gt;=12,"★強い売り",IF(AND(T77&gt;=8,OR(AE77="25日戻り売り★",AE77="5日戻り売り○")),"◎戻り売り",IF(T77&gt;=10,"○売り候補",IF(T77&gt;=6,"△注目",IF(T77&gt;=3,"様子見","見送り"))))))))</f>
        <v>★逆張り売り</v>
      </c>
      <c r="AG77">
        <f t="shared" si="37"/>
        <v>10</v>
      </c>
      <c r="AH77">
        <f t="shared" si="38"/>
        <v>99923</v>
      </c>
      <c r="AI77" s="412" cm="1">
        <f t="array" ref="AI77">IF(C77="","",IFERROR((INDEX(終値!$E:$E,MATCH(TEXT(C77,"0"),終値!$A:$A,0))-INDEX(終値!$E:$BL,MATCH(TEXT(C77,"0"),終値!$A:$A,0),$AN$2))/INDEX(終値!$E:$BL,MATCH(TEXT(C77,"0"),終値!$A:$A,0),$AN$2)*100,""))</f>
        <v>-2.3329129886506936</v>
      </c>
      <c r="AJ77" s="412" cm="1">
        <f t="array" ref="AJ77">IFERROR((終値!$E$5-INDEX(終値!$E$5:$BL$5,1,$AN$2))/INDEX(終値!$E$5:$BL$5,1,$AN$2)*100,"")</f>
        <v>3.4532270246721688</v>
      </c>
      <c r="AK77" s="413">
        <f t="shared" si="39"/>
        <v>-5.7861400133228624</v>
      </c>
      <c r="AL77" s="411">
        <f t="shared" si="40"/>
        <v>3</v>
      </c>
      <c r="AO77" s="415" t="str">
        <f t="shared" si="41"/>
        <v>通常</v>
      </c>
      <c r="AP77" s="416">
        <f t="shared" si="42"/>
        <v>0</v>
      </c>
      <c r="AQ77">
        <f>IF(C77&lt;&gt;"",始値!F113,"")</f>
        <v>3101</v>
      </c>
      <c r="AR77">
        <f>IF(C77&lt;&gt;"",高値!F113,"")</f>
        <v>3101</v>
      </c>
      <c r="AS77">
        <f>IF(C77&lt;&gt;"",安値!F113,"")</f>
        <v>3042</v>
      </c>
      <c r="AT77" t="str">
        <f t="shared" si="36"/>
        <v>長い下ヒゲ(反発)</v>
      </c>
      <c r="AU77">
        <f t="shared" si="43"/>
        <v>-2</v>
      </c>
    </row>
    <row r="78" spans="1:47" ht="14.25">
      <c r="A78" s="357" t="str">
        <f>IF(銘柄管理!B119&lt;&gt;"",HYPERLINK("https://kabutan.jp/stock/?code="&amp;銘柄管理!B119,"株探"),"")</f>
        <v>株探</v>
      </c>
      <c r="B78" s="230"/>
      <c r="C78" s="230">
        <f>IF(銘柄管理!B119="","",銘柄管理!B119)</f>
        <v>9404</v>
      </c>
      <c r="D78" s="230" t="str">
        <f>IF(銘柄管理!C119="","",銘柄管理!C119)</f>
        <v>日本テレビＨＬＤＳ</v>
      </c>
      <c r="E78" s="358">
        <f>IF(C78&lt;&gt;"",_xll.RssMarket(C78,"現在値"),"")</f>
        <v>2834</v>
      </c>
      <c r="F78" s="358">
        <f>IF(C78&lt;&gt;"",_xll.RssMarket(C78,"始値"),"")</f>
        <v>2897.5</v>
      </c>
      <c r="G78" s="230">
        <f>IF(C78&lt;&gt;"",終値!F119,"")</f>
        <v>2884</v>
      </c>
      <c r="H78" s="358">
        <f>IF(C78&lt;&gt;"",_xll.RssMarket(C78,"高値"),"")</f>
        <v>2900</v>
      </c>
      <c r="I78" s="358">
        <f>IF(C78&lt;&gt;"",_xll.RssMarket(C78,"安値"),"")</f>
        <v>2834</v>
      </c>
      <c r="J78" s="358">
        <f>IF(C78&lt;&gt;"",_xll.RssMarket(C78,"出来高"),"")</f>
        <v>431500</v>
      </c>
      <c r="K78" s="358">
        <f>IF(C78&lt;&gt;"",_xll.RssMarket(C78,"年初来高値"),"")</f>
        <v>3953</v>
      </c>
      <c r="L78" s="359">
        <f t="shared" si="22"/>
        <v>-28.30761447002277</v>
      </c>
      <c r="M78" s="358">
        <f>IF(C78&lt;&gt;"",IFERROR(AVERAGE(出来高!E119:I119),""),"")</f>
        <v>581340</v>
      </c>
      <c r="N78" s="358">
        <f>IF(C78&lt;&gt;"",IFERROR(AVERAGE(出来高!E119:AC119),""),"")</f>
        <v>646876</v>
      </c>
      <c r="O78" s="360">
        <f t="shared" si="23"/>
        <v>0.74225066226304748</v>
      </c>
      <c r="P78" s="230" t="str">
        <f t="shared" si="24"/>
        <v>減少↓</v>
      </c>
      <c r="Q78" s="230" t="str">
        <f t="shared" si="25"/>
        <v>中立→</v>
      </c>
      <c r="R78" s="358">
        <f t="shared" si="26"/>
        <v>2607</v>
      </c>
      <c r="S78" s="358">
        <f t="shared" si="27"/>
        <v>2947</v>
      </c>
      <c r="T78" s="350">
        <f t="shared" si="28"/>
        <v>17</v>
      </c>
      <c r="U78" s="230" t="str">
        <f t="shared" si="29"/>
        <v>要確認</v>
      </c>
      <c r="V78" s="230" t="str">
        <f t="shared" si="30"/>
        <v>安値圏</v>
      </c>
      <c r="W78" s="361" cm="1">
        <f t="array" ref="W78">IFERROR(100-100/(1+SUMPRODUCT((終値!F119:R119&gt;終値!G119:S119)*(終値!F119:R119-終値!G119:S119))/SUMPRODUCT((終値!F119:R119&lt;終値!G119:S119)*(終値!G119:S119-終値!F119:R119))),50)</f>
        <v>56.145675265553869</v>
      </c>
      <c r="X78" s="362">
        <f>IF(C78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-7.9414193258194246</v>
      </c>
      <c r="Y78" s="230" t="str">
        <f t="shared" si="31"/>
        <v>★逆張り売り | 下降トレンド▼ 25日戻り売り★ MACD- RSI:56.1 前日比:-1.7% [安値圏] [大陰線▼] [17点]</v>
      </c>
      <c r="Z78" s="363">
        <f t="shared" si="32"/>
        <v>-1.7337031900138695</v>
      </c>
      <c r="AA78" s="230" t="str">
        <f t="shared" si="33"/>
        <v>下落▼</v>
      </c>
      <c r="AB78" s="358">
        <f>IF(OR(C78="",C78="TOPX",終値!E119=""),"",IFERROR(((終値!E119*0.333)+(終値!F119*0.222)+(終値!G119*0.148)+(終値!H119*0.099)+(終値!I119*0.066))/(0.333+0.222+0.148+0.099+0.066),""))</f>
        <v>2854.4976958525344</v>
      </c>
      <c r="AC78" s="358">
        <f>IF(OR(C78="",C78="TOPX",終値!E119=""),"",IFERROR(SUMPRODUCT((終値!E119:AC119)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2862.1579261025013</v>
      </c>
      <c r="AD78" s="230" t="str">
        <f t="shared" si="34"/>
        <v>下降トレンド▼</v>
      </c>
      <c r="AE78" s="230" t="str">
        <f t="shared" si="35"/>
        <v>25日戻り売り★</v>
      </c>
      <c r="AF78" t="str">
        <f>IF(T78="","",IF(銘柄管理!$F$5="上昇▲",IF(AND(AD78="下降トレンド▼",OR(AE78="25日戻り売り★",AE78="5日戻り売り○")),"★逆張り売り",IF(AND(AD78="もみ合い→",OR(AE78="25日戻り売り★",AE78="5日戻り売り○")),"○逆張り売り",IF(W78&gt;=70,IF(Z78&lt;0,"◎反落確認","△過熱・様子見"),"相場上昇・見送り"))),IF(AND(T78&gt;=12,AD78="下降トレンド▼"),"★強い売り",IF(T78&gt;=12,"★強い売り",IF(AND(T78&gt;=8,OR(AE78="25日戻り売り★",AE78="5日戻り売り○")),"◎戻り売り",IF(T78&gt;=10,"○売り候補",IF(T78&gt;=6,"△注目",IF(T78&gt;=3,"様子見","見送り"))))))))</f>
        <v>★逆張り売り</v>
      </c>
      <c r="AG78">
        <f t="shared" si="37"/>
        <v>17</v>
      </c>
      <c r="AH78">
        <f t="shared" si="38"/>
        <v>169922</v>
      </c>
      <c r="AI78" s="412" cm="1">
        <f t="array" ref="AI78">IF(C78="","",IFERROR((INDEX(終値!$E:$E,MATCH(TEXT(C78,"0"),終値!$A:$A,0))-INDEX(終値!$E:$BL,MATCH(TEXT(C78,"0"),終値!$A:$A,0),$AN$2))/INDEX(終値!$E:$BL,MATCH(TEXT(C78,"0"),終値!$A:$A,0),$AN$2)*100,""))</f>
        <v>-2.9784320438206091</v>
      </c>
      <c r="AJ78" s="412" cm="1">
        <f t="array" ref="AJ78">IFERROR((終値!$E$5-INDEX(終値!$E$5:$BL$5,1,$AN$2))/INDEX(終値!$E$5:$BL$5,1,$AN$2)*100,"")</f>
        <v>3.4532270246721688</v>
      </c>
      <c r="AK78" s="413">
        <f t="shared" si="39"/>
        <v>-6.4316590684927775</v>
      </c>
      <c r="AL78" s="411">
        <f t="shared" si="40"/>
        <v>3</v>
      </c>
      <c r="AO78" s="415" t="str">
        <f t="shared" si="41"/>
        <v>大陰線▼</v>
      </c>
      <c r="AP78" s="416">
        <f t="shared" si="42"/>
        <v>2</v>
      </c>
      <c r="AQ78">
        <f>IF(C78&lt;&gt;"",始値!F119,"")</f>
        <v>2817.5</v>
      </c>
      <c r="AR78">
        <f>IF(C78&lt;&gt;"",高値!F119,"")</f>
        <v>2884</v>
      </c>
      <c r="AS78">
        <f>IF(C78&lt;&gt;"",安値!F119,"")</f>
        <v>2812</v>
      </c>
      <c r="AT78" t="str">
        <f t="shared" si="36"/>
        <v>通常</v>
      </c>
      <c r="AU78">
        <f t="shared" si="43"/>
        <v>0</v>
      </c>
    </row>
    <row r="79" spans="1:47" ht="14.25">
      <c r="A79" s="349" t="str">
        <f>IF(銘柄管理!B127&lt;&gt;"",HYPERLINK("https://kabutan.jp/stock/?code="&amp;銘柄管理!B127,"株探"),"")</f>
        <v>株探</v>
      </c>
      <c r="B79" s="350"/>
      <c r="C79" s="350">
        <f>IF(銘柄管理!B127="","",銘柄管理!B127)</f>
        <v>9532</v>
      </c>
      <c r="D79" s="350" t="str">
        <f>IF(銘柄管理!C127="","",銘柄管理!C127)</f>
        <v>大阪瓦斯</v>
      </c>
      <c r="E79" s="351">
        <f>IF(C79&lt;&gt;"",_xll.RssMarket(C79,"現在値"),"")</f>
        <v>5446</v>
      </c>
      <c r="F79" s="351">
        <f>IF(C79&lt;&gt;"",_xll.RssMarket(C79,"始値"),"")</f>
        <v>5527</v>
      </c>
      <c r="G79" s="350">
        <f>IF(C79&lt;&gt;"",終値!F127,"")</f>
        <v>5481</v>
      </c>
      <c r="H79" s="351">
        <f>IF(C79&lt;&gt;"",_xll.RssMarket(C79,"高値"),"")</f>
        <v>5543</v>
      </c>
      <c r="I79" s="351">
        <f>IF(C79&lt;&gt;"",_xll.RssMarket(C79,"安値"),"")</f>
        <v>5420</v>
      </c>
      <c r="J79" s="351">
        <f>IF(C79&lt;&gt;"",_xll.RssMarket(C79,"出来高"),"")</f>
        <v>723500</v>
      </c>
      <c r="K79" s="351">
        <f>IF(C79&lt;&gt;"",_xll.RssMarket(C79,"年初来高値"),"")</f>
        <v>6828</v>
      </c>
      <c r="L79" s="352">
        <f t="shared" si="22"/>
        <v>-20.240187463386057</v>
      </c>
      <c r="M79" s="351">
        <f>IF(C79&lt;&gt;"",IFERROR(AVERAGE(出来高!E127:I127),""),"")</f>
        <v>1050080</v>
      </c>
      <c r="N79" s="351">
        <f>IF(C79&lt;&gt;"",IFERROR(AVERAGE(出来高!E127:AC127),""),"")</f>
        <v>1214172</v>
      </c>
      <c r="O79" s="353">
        <f t="shared" si="23"/>
        <v>0.68899512418101483</v>
      </c>
      <c r="P79" s="350" t="str">
        <f t="shared" si="24"/>
        <v>減少↓</v>
      </c>
      <c r="Q79" s="350" t="str">
        <f t="shared" si="25"/>
        <v>中立→</v>
      </c>
      <c r="R79" s="351">
        <f t="shared" si="26"/>
        <v>5010</v>
      </c>
      <c r="S79" s="351">
        <f t="shared" si="27"/>
        <v>5664</v>
      </c>
      <c r="T79" s="350">
        <f t="shared" si="28"/>
        <v>12</v>
      </c>
      <c r="U79" s="350" t="str">
        <f t="shared" si="29"/>
        <v>要確認</v>
      </c>
      <c r="V79" s="350" t="str">
        <f t="shared" si="30"/>
        <v>通常</v>
      </c>
      <c r="W79" s="354" cm="1">
        <f t="array" ref="W79">IFERROR(100-100/(1+SUMPRODUCT((終値!F127:R127&gt;終値!G127:S127)*(終値!F127:R127-終値!G127:S127))/SUMPRODUCT((終値!F127:R127&lt;終値!G127:S127)*(終値!G127:S127-終値!F127:R127))),50)</f>
        <v>45.742574257425744</v>
      </c>
      <c r="X79" s="355">
        <f>IF(C79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-16.048555359635429</v>
      </c>
      <c r="Y79" s="350" t="str">
        <f t="shared" si="31"/>
        <v>★逆張り売り | 下降トレンド▼ 25日戻り売り★ MACD- RSI:45.7 前日比:-0.6% [12点]</v>
      </c>
      <c r="Z79" s="356">
        <f t="shared" si="32"/>
        <v>-0.63856960408684549</v>
      </c>
      <c r="AA79" s="350" t="str">
        <f t="shared" si="33"/>
        <v>下落▼</v>
      </c>
      <c r="AB79" s="351">
        <f>IF(OR(C79="",C79="TOPX",終値!E127=""),"",IFERROR(((終値!E127*0.333)+(終値!F127*0.222)+(終値!G127*0.148)+(終値!H127*0.099)+(終値!I127*0.066))/(0.333+0.222+0.148+0.099+0.066),""))</f>
        <v>5514.942396313364</v>
      </c>
      <c r="AC79" s="351">
        <f>IF(OR(C79="",C79="TOPX",終値!E127=""),"",IFERROR(SUMPRODUCT((終値!E127:AC127)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5536.2407628128694</v>
      </c>
      <c r="AD79" s="350" t="str">
        <f t="shared" si="34"/>
        <v>下降トレンド▼</v>
      </c>
      <c r="AE79" s="350" t="str">
        <f t="shared" si="35"/>
        <v>25日戻り売り★</v>
      </c>
      <c r="AF79" t="str">
        <f>IF(T79="","",IF(銘柄管理!$F$5="上昇▲",IF(AND(AD79="下降トレンド▼",OR(AE79="25日戻り売り★",AE79="5日戻り売り○")),"★逆張り売り",IF(AND(AD79="もみ合い→",OR(AE79="25日戻り売り★",AE79="5日戻り売り○")),"○逆張り売り",IF(W79&gt;=70,IF(Z79&lt;0,"◎反落確認","△過熱・様子見"),"相場上昇・見送り"))),IF(AND(T79&gt;=12,AD79="下降トレンド▼"),"★強い売り",IF(T79&gt;=12,"★強い売り",IF(AND(T79&gt;=8,OR(AE79="25日戻り売り★",AE79="5日戻り売り○")),"◎戻り売り",IF(T79&gt;=10,"○売り候補",IF(T79&gt;=6,"△注目",IF(T79&gt;=3,"様子見","見送り"))))))))</f>
        <v>★逆張り売り</v>
      </c>
      <c r="AG79">
        <f t="shared" si="37"/>
        <v>12</v>
      </c>
      <c r="AH79">
        <f t="shared" si="38"/>
        <v>119921</v>
      </c>
      <c r="AI79" s="412" cm="1">
        <f t="array" ref="AI79">IF(C79="","",IFERROR((INDEX(終値!$E:$E,MATCH(TEXT(C79,"0"),終値!$A:$A,0))-INDEX(終値!$E:$BL,MATCH(TEXT(C79,"0"),終値!$A:$A,0),$AN$2))/INDEX(終値!$E:$BL,MATCH(TEXT(C79,"0"),終値!$A:$A,0),$AN$2)*100,""))</f>
        <v>-5.1549982584465344</v>
      </c>
      <c r="AJ79" s="412" cm="1">
        <f t="array" ref="AJ79">IFERROR((終値!$E$5-INDEX(終値!$E$5:$BL$5,1,$AN$2))/INDEX(終値!$E$5:$BL$5,1,$AN$2)*100,"")</f>
        <v>3.4532270246721688</v>
      </c>
      <c r="AK79" s="413">
        <f t="shared" si="39"/>
        <v>-8.6082252831187027</v>
      </c>
      <c r="AL79" s="411">
        <f t="shared" si="40"/>
        <v>3</v>
      </c>
      <c r="AO79" s="415" t="str">
        <f t="shared" si="41"/>
        <v>通常</v>
      </c>
      <c r="AP79" s="416">
        <f t="shared" si="42"/>
        <v>0</v>
      </c>
      <c r="AQ79">
        <f>IF(C79&lt;&gt;"",始値!F127,"")</f>
        <v>5520</v>
      </c>
      <c r="AR79">
        <f>IF(C79&lt;&gt;"",高値!F127,"")</f>
        <v>5526</v>
      </c>
      <c r="AS79">
        <f>IF(C79&lt;&gt;"",安値!F127,"")</f>
        <v>5450</v>
      </c>
      <c r="AT79" t="str">
        <f t="shared" si="36"/>
        <v>通常</v>
      </c>
      <c r="AU79">
        <f t="shared" si="43"/>
        <v>0</v>
      </c>
    </row>
    <row r="80" spans="1:47" ht="14.25">
      <c r="A80" s="357" t="str">
        <f>IF(銘柄管理!B136&lt;&gt;"",HYPERLINK("https://kabutan.jp/stock/?code="&amp;銘柄管理!B136,"株探"),"")</f>
        <v>株探</v>
      </c>
      <c r="B80" s="230"/>
      <c r="C80" s="230">
        <f>IF(銘柄管理!B136="","",銘柄管理!B136)</f>
        <v>7794</v>
      </c>
      <c r="D80" s="230" t="str">
        <f>IF(銘柄管理!C136="","",銘柄管理!C136)</f>
        <v>イーディーピー</v>
      </c>
      <c r="E80" s="358">
        <f>IF(C80&lt;&gt;"",_xll.RssMarket(C80,"現在値"),"")</f>
        <v>1097</v>
      </c>
      <c r="F80" s="358">
        <f>IF(C80&lt;&gt;"",_xll.RssMarket(C80,"始値"),"")</f>
        <v>1074</v>
      </c>
      <c r="G80" s="230">
        <f>IF(C80&lt;&gt;"",終値!F136,"")</f>
        <v>1068</v>
      </c>
      <c r="H80" s="358">
        <f>IF(C80&lt;&gt;"",_xll.RssMarket(C80,"高値"),"")</f>
        <v>1098</v>
      </c>
      <c r="I80" s="358">
        <f>IF(C80&lt;&gt;"",_xll.RssMarket(C80,"安値"),"")</f>
        <v>1062</v>
      </c>
      <c r="J80" s="358">
        <f>IF(C80&lt;&gt;"",_xll.RssMarket(C80,"出来高"),"")</f>
        <v>237400</v>
      </c>
      <c r="K80" s="358">
        <f>IF(C80&lt;&gt;"",_xll.RssMarket(C80,"年初来高値"),"")</f>
        <v>3100</v>
      </c>
      <c r="L80" s="359">
        <f t="shared" si="22"/>
        <v>-64.612903225806448</v>
      </c>
      <c r="M80" s="358">
        <f>IF(C80&lt;&gt;"",IFERROR(AVERAGE(出来高!E136:I136),""),"")</f>
        <v>210520</v>
      </c>
      <c r="N80" s="358">
        <f>IF(C80&lt;&gt;"",IFERROR(AVERAGE(出来高!E136:AC136),""),"")</f>
        <v>632364</v>
      </c>
      <c r="O80" s="360">
        <f t="shared" si="23"/>
        <v>1.1276838305149155</v>
      </c>
      <c r="P80" s="230" t="str">
        <f t="shared" si="24"/>
        <v>普通→</v>
      </c>
      <c r="Q80" s="230" t="str">
        <f t="shared" si="25"/>
        <v>様子見▲</v>
      </c>
      <c r="R80" s="358">
        <f t="shared" si="26"/>
        <v>1009</v>
      </c>
      <c r="S80" s="358">
        <f t="shared" si="27"/>
        <v>1141</v>
      </c>
      <c r="T80" s="350">
        <f t="shared" si="28"/>
        <v>13</v>
      </c>
      <c r="U80" s="230" t="str">
        <f t="shared" si="29"/>
        <v>要確認</v>
      </c>
      <c r="V80" s="230" t="str">
        <f t="shared" si="30"/>
        <v>年初来安値圏●</v>
      </c>
      <c r="W80" s="361" cm="1">
        <f t="array" ref="W80">IFERROR(100-100/(1+SUMPRODUCT((終値!F136:R136&gt;終値!G136:S136)*(終値!F136:R136-終値!G136:S136))/SUMPRODUCT((終値!F136:R136&lt;終値!G136:S136)*(終値!G136:S136-終値!F136:R136))),50)</f>
        <v>43.386243386243379</v>
      </c>
      <c r="X80" s="362">
        <f>IF(C80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-14.158643761517624</v>
      </c>
      <c r="Y80" s="230" t="str">
        <f t="shared" si="31"/>
        <v>○逆張り売り | もみ合い→ 25日戻り売り★ MACD- RSI:43.4 前日比:+2.7% [年初来安値圏] [13点]</v>
      </c>
      <c r="Z80" s="363">
        <f t="shared" si="32"/>
        <v>2.7153558052434459</v>
      </c>
      <c r="AA80" s="230" t="str">
        <f t="shared" si="33"/>
        <v>上昇▲</v>
      </c>
      <c r="AB80" s="358">
        <f>IF(OR(C80="",C80="TOPX",終値!E136=""),"",IFERROR(((終値!E136*0.333)+(終値!F136*0.222)+(終値!G136*0.148)+(終値!H136*0.099)+(終値!I136*0.066))/(0.333+0.222+0.148+0.099+0.066),""))</f>
        <v>1082.0472350230414</v>
      </c>
      <c r="AC80" s="358">
        <f>IF(OR(C80="",C80="TOPX",終値!E136=""),"",IFERROR(SUMPRODUCT((終値!E136:AC136)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1109.3015494636468</v>
      </c>
      <c r="AD80" s="230" t="str">
        <f t="shared" si="34"/>
        <v>もみ合い→</v>
      </c>
      <c r="AE80" s="230" t="str">
        <f t="shared" si="35"/>
        <v>25日戻り売り★</v>
      </c>
      <c r="AF80" t="str">
        <f>IF(T80="","",IF(銘柄管理!$F$5="上昇▲",IF(AND(AD80="下降トレンド▼",OR(AE80="25日戻り売り★",AE80="5日戻り売り○")),"★逆張り売り",IF(AND(AD80="もみ合い→",OR(AE80="25日戻り売り★",AE80="5日戻り売り○")),"○逆張り売り",IF(W80&gt;=70,IF(Z80&lt;0,"◎反落確認","△過熱・様子見"),"相場上昇・見送り"))),IF(AND(T80&gt;=12,AD80="下降トレンド▼"),"★強い売り",IF(T80&gt;=12,"★強い売り",IF(AND(T80&gt;=8,OR(AE80="25日戻り売り★",AE80="5日戻り売り○")),"◎戻り売り",IF(T80&gt;=10,"○売り候補",IF(T80&gt;=6,"△注目",IF(T80&gt;=3,"様子見","見送り"))))))))</f>
        <v>○逆張り売り</v>
      </c>
      <c r="AG80">
        <f t="shared" si="37"/>
        <v>13</v>
      </c>
      <c r="AH80">
        <f t="shared" si="38"/>
        <v>129920</v>
      </c>
      <c r="AI80" s="412" cm="1">
        <f t="array" ref="AI80">IF(C80="","",IFERROR((INDEX(終値!$E:$E,MATCH(TEXT(C80,"0"),終値!$A:$A,0))-INDEX(終値!$E:$BL,MATCH(TEXT(C80,"0"),終値!$A:$A,0),$AN$2))/INDEX(終値!$E:$BL,MATCH(TEXT(C80,"0"),終値!$A:$A,0),$AN$2)*100,""))</f>
        <v>-2.8343666961913199</v>
      </c>
      <c r="AJ80" s="412" cm="1">
        <f t="array" ref="AJ80">IFERROR((終値!$E$5-INDEX(終値!$E$5:$BL$5,1,$AN$2))/INDEX(終値!$E$5:$BL$5,1,$AN$2)*100,"")</f>
        <v>3.4532270246721688</v>
      </c>
      <c r="AK80" s="413">
        <f t="shared" si="39"/>
        <v>-6.2875937208634891</v>
      </c>
      <c r="AL80" s="411">
        <f t="shared" si="40"/>
        <v>3</v>
      </c>
      <c r="AO80" s="415" t="str">
        <f t="shared" si="41"/>
        <v>通常</v>
      </c>
      <c r="AP80" s="416">
        <f t="shared" si="42"/>
        <v>0</v>
      </c>
      <c r="AQ80">
        <f>IF(C80&lt;&gt;"",始値!F136,"")</f>
        <v>1095</v>
      </c>
      <c r="AR80">
        <f>IF(C80&lt;&gt;"",高値!F136,"")</f>
        <v>1095</v>
      </c>
      <c r="AS80">
        <f>IF(C80&lt;&gt;"",安値!F136,"")</f>
        <v>1050</v>
      </c>
      <c r="AT80" t="str">
        <f t="shared" si="36"/>
        <v>通常</v>
      </c>
      <c r="AU80">
        <f t="shared" si="43"/>
        <v>0</v>
      </c>
    </row>
    <row r="81" spans="1:47" ht="14.25">
      <c r="A81" s="349" t="str">
        <f>IF(銘柄管理!B138&lt;&gt;"",HYPERLINK("https://kabutan.jp/stock/?code="&amp;銘柄管理!B138,"株探"),"")</f>
        <v>株探</v>
      </c>
      <c r="B81" s="350"/>
      <c r="C81" s="350">
        <f>IF(銘柄管理!B138="","",銘柄管理!B138)</f>
        <v>3103</v>
      </c>
      <c r="D81" s="350" t="str">
        <f>IF(銘柄管理!C138="","",銘柄管理!C138)</f>
        <v>ユニチカ</v>
      </c>
      <c r="E81" s="351">
        <f>IF(C81&lt;&gt;"",_xll.RssMarket(C81,"現在値"),"")</f>
        <v>1236</v>
      </c>
      <c r="F81" s="351">
        <f>IF(C81&lt;&gt;"",_xll.RssMarket(C81,"始値"),"")</f>
        <v>1125</v>
      </c>
      <c r="G81" s="350">
        <f>IF(C81&lt;&gt;"",終値!F138,"")</f>
        <v>1129</v>
      </c>
      <c r="H81" s="351">
        <f>IF(C81&lt;&gt;"",_xll.RssMarket(C81,"高値"),"")</f>
        <v>1260</v>
      </c>
      <c r="I81" s="351">
        <f>IF(C81&lt;&gt;"",_xll.RssMarket(C81,"安値"),"")</f>
        <v>1125</v>
      </c>
      <c r="J81" s="351">
        <f>IF(C81&lt;&gt;"",_xll.RssMarket(C81,"出来高"),"")</f>
        <v>6382500</v>
      </c>
      <c r="K81" s="351">
        <f>IF(C81&lt;&gt;"",_xll.RssMarket(C81,"年初来高値"),"")</f>
        <v>4380</v>
      </c>
      <c r="L81" s="352">
        <f t="shared" si="22"/>
        <v>-71.780821917808225</v>
      </c>
      <c r="M81" s="351">
        <f>IF(C81&lt;&gt;"",IFERROR(AVERAGE(出来高!E138:I138),""),"")</f>
        <v>4586420</v>
      </c>
      <c r="N81" s="351">
        <f>IF(C81&lt;&gt;"",IFERROR(AVERAGE(出来高!E138:AC138),""),"")</f>
        <v>6661068</v>
      </c>
      <c r="O81" s="353">
        <f t="shared" si="23"/>
        <v>1.3916082696307797</v>
      </c>
      <c r="P81" s="350" t="str">
        <f t="shared" si="24"/>
        <v>普通→</v>
      </c>
      <c r="Q81" s="350" t="str">
        <f t="shared" si="25"/>
        <v>様子見▲</v>
      </c>
      <c r="R81" s="351">
        <f t="shared" si="26"/>
        <v>1137</v>
      </c>
      <c r="S81" s="351">
        <f t="shared" si="27"/>
        <v>1285</v>
      </c>
      <c r="T81" s="350">
        <f t="shared" si="28"/>
        <v>11</v>
      </c>
      <c r="U81" s="350" t="str">
        <f t="shared" si="29"/>
        <v>要確認</v>
      </c>
      <c r="V81" s="350" t="str">
        <f t="shared" si="30"/>
        <v>年初来安値圏●</v>
      </c>
      <c r="W81" s="354" cm="1">
        <f t="array" ref="W81">IFERROR(100-100/(1+SUMPRODUCT((終値!F138:R138&gt;終値!G138:S138)*(終値!F138:R138-終値!G138:S138))/SUMPRODUCT((終値!F138:R138&lt;終値!G138:S138)*(終値!G138:S138-終値!F138:R138))),50)</f>
        <v>19.701086956521735</v>
      </c>
      <c r="X81" s="355">
        <f>IF(C81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-56.287797674723834</v>
      </c>
      <c r="Y81" s="350" t="str">
        <f t="shared" si="31"/>
        <v>相場上昇・見送り | もみ合い→ MACD- RSI:19.7 [売られ過ぎ] 前日比:+9.5% [年初来安値圏] [11点]</v>
      </c>
      <c r="Z81" s="356">
        <f t="shared" si="32"/>
        <v>9.4774136403897256</v>
      </c>
      <c r="AA81" s="350" t="str">
        <f t="shared" si="33"/>
        <v>上昇▲</v>
      </c>
      <c r="AB81" s="351">
        <f>IF(OR(C81="",C81="TOPX",終値!E138=""),"",IFERROR(((終値!E138*0.333)+(終値!F138*0.222)+(終値!G138*0.148)+(終値!H138*0.099)+(終値!I138*0.066))/(0.333+0.222+0.148+0.099+0.066),""))</f>
        <v>1180.7016129032256</v>
      </c>
      <c r="AC81" s="351">
        <f>IF(OR(C81="",C81="TOPX",終値!E138=""),"",IFERROR(SUMPRODUCT((終値!E138:AC138)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1306.8736591179972</v>
      </c>
      <c r="AD81" s="350" t="str">
        <f t="shared" si="34"/>
        <v>もみ合い→</v>
      </c>
      <c r="AE81" s="350" t="str">
        <f t="shared" si="35"/>
        <v>なし</v>
      </c>
      <c r="AF81" t="str">
        <f>IF(T81="","",IF(銘柄管理!$F$5="上昇▲",IF(AND(AD81="下降トレンド▼",OR(AE81="25日戻り売り★",AE81="5日戻り売り○")),"★逆張り売り",IF(AND(AD81="もみ合い→",OR(AE81="25日戻り売り★",AE81="5日戻り売り○")),"○逆張り売り",IF(W81&gt;=70,IF(Z81&lt;0,"◎反落確認","△過熱・様子見"),"相場上昇・見送り"))),IF(AND(T81&gt;=12,AD81="下降トレンド▼"),"★強い売り",IF(T81&gt;=12,"★強い売り",IF(AND(T81&gt;=8,OR(AE81="25日戻り売り★",AE81="5日戻り売り○")),"◎戻り売り",IF(T81&gt;=10,"○売り候補",IF(T81&gt;=6,"△注目",IF(T81&gt;=3,"様子見","見送り"))))))))</f>
        <v>相場上昇・見送り</v>
      </c>
      <c r="AG81">
        <f t="shared" si="37"/>
        <v>11</v>
      </c>
      <c r="AH81">
        <f t="shared" si="38"/>
        <v>109919</v>
      </c>
      <c r="AI81" s="412" cm="1">
        <f t="array" ref="AI81">IF(C81="","",IFERROR((INDEX(終値!$E:$E,MATCH(TEXT(C81,"0"),終値!$A:$A,0))-INDEX(終値!$E:$BL,MATCH(TEXT(C81,"0"),終値!$A:$A,0),$AN$2))/INDEX(終値!$E:$BL,MATCH(TEXT(C81,"0"),終値!$A:$A,0),$AN$2)*100,""))</f>
        <v>-31.900826446280995</v>
      </c>
      <c r="AJ81" s="412" cm="1">
        <f t="array" ref="AJ81">IFERROR((終値!$E$5-INDEX(終値!$E$5:$BL$5,1,$AN$2))/INDEX(終値!$E$5:$BL$5,1,$AN$2)*100,"")</f>
        <v>3.4532270246721688</v>
      </c>
      <c r="AK81" s="413">
        <f t="shared" si="39"/>
        <v>-35.354053470953161</v>
      </c>
      <c r="AL81" s="411">
        <f t="shared" si="40"/>
        <v>3</v>
      </c>
      <c r="AO81" s="415" t="str">
        <f t="shared" si="41"/>
        <v>通常</v>
      </c>
      <c r="AP81" s="416">
        <f t="shared" si="42"/>
        <v>0</v>
      </c>
      <c r="AQ81">
        <f>IF(C81&lt;&gt;"",始値!F138,"")</f>
        <v>1115</v>
      </c>
      <c r="AR81">
        <f>IF(C81&lt;&gt;"",高値!F138,"")</f>
        <v>1183</v>
      </c>
      <c r="AS81">
        <f>IF(C81&lt;&gt;"",安値!F138,"")</f>
        <v>1096</v>
      </c>
      <c r="AT81" t="str">
        <f t="shared" si="36"/>
        <v>通常</v>
      </c>
      <c r="AU81">
        <f t="shared" si="43"/>
        <v>0</v>
      </c>
    </row>
    <row r="82" spans="1:47" ht="14.25">
      <c r="A82" s="357" t="str">
        <f>IF(銘柄管理!B160&lt;&gt;"",HYPERLINK("https://kabutan.jp/stock/?code="&amp;銘柄管理!B160,"株探"),"")</f>
        <v>株探</v>
      </c>
      <c r="B82" s="230"/>
      <c r="C82" s="230">
        <f>IF(銘柄管理!B160="","",銘柄管理!B160)</f>
        <v>4373</v>
      </c>
      <c r="D82" s="230" t="str">
        <f>IF(銘柄管理!C160="","",銘柄管理!C160)</f>
        <v>シンプレクスＨＤ</v>
      </c>
      <c r="E82" s="358">
        <f>IF(C82&lt;&gt;"",_xll.RssMarket(C82,"現在値"),"")</f>
        <v>958</v>
      </c>
      <c r="F82" s="358">
        <f>IF(C82&lt;&gt;"",_xll.RssMarket(C82,"始値"),"")</f>
        <v>966</v>
      </c>
      <c r="G82" s="230">
        <f>IF(C82&lt;&gt;"",終値!F160,"")</f>
        <v>957</v>
      </c>
      <c r="H82" s="358">
        <f>IF(C82&lt;&gt;"",_xll.RssMarket(C82,"高値"),"")</f>
        <v>974</v>
      </c>
      <c r="I82" s="358">
        <f>IF(C82&lt;&gt;"",_xll.RssMarket(C82,"安値"),"")</f>
        <v>950</v>
      </c>
      <c r="J82" s="358">
        <f>IF(C82&lt;&gt;"",_xll.RssMarket(C82,"出来高"),"")</f>
        <v>621300</v>
      </c>
      <c r="K82" s="358">
        <f>IF(C82&lt;&gt;"",_xll.RssMarket(C82,"年初来高値"),"")</f>
        <v>1158</v>
      </c>
      <c r="L82" s="359">
        <f t="shared" si="22"/>
        <v>-17.271157167530223</v>
      </c>
      <c r="M82" s="358">
        <f>IF(C82&lt;&gt;"",IFERROR(AVERAGE(出来高!E160:I160),""),"")</f>
        <v>920660</v>
      </c>
      <c r="N82" s="358">
        <f>IF(C82&lt;&gt;"",IFERROR(AVERAGE(出来高!E160:AC160),""),"")</f>
        <v>999044</v>
      </c>
      <c r="O82" s="360">
        <f t="shared" si="23"/>
        <v>0.67484196120174655</v>
      </c>
      <c r="P82" s="230" t="str">
        <f t="shared" si="24"/>
        <v>減少↓</v>
      </c>
      <c r="Q82" s="230" t="str">
        <f t="shared" si="25"/>
        <v>様子見▲</v>
      </c>
      <c r="R82" s="358">
        <f t="shared" si="26"/>
        <v>881</v>
      </c>
      <c r="S82" s="358">
        <f t="shared" si="27"/>
        <v>996</v>
      </c>
      <c r="T82" s="350">
        <f t="shared" si="28"/>
        <v>5</v>
      </c>
      <c r="U82" s="230" t="str">
        <f t="shared" si="29"/>
        <v>要確認</v>
      </c>
      <c r="V82" s="230" t="str">
        <f t="shared" si="30"/>
        <v>通常</v>
      </c>
      <c r="W82" s="361" cm="1">
        <f t="array" ref="W82">IFERROR(100-100/(1+SUMPRODUCT((終値!F160:R160&gt;終値!G160:S160)*(終値!F160:R160-終値!G160:S160))/SUMPRODUCT((終値!F160:R160&lt;終値!G160:S160)*(終値!G160:S160-終値!F160:R160))),50)</f>
        <v>40.133779264214049</v>
      </c>
      <c r="X82" s="362">
        <f>IF(C82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1.5665999307436778</v>
      </c>
      <c r="Y82" s="230" t="str">
        <f t="shared" si="31"/>
        <v>相場上昇・見送り | 下降トレンド▼ MACD+ RSI:40.1 前日比:+0.1% [5点]</v>
      </c>
      <c r="Z82" s="363">
        <f t="shared" si="32"/>
        <v>0.10449320794148381</v>
      </c>
      <c r="AA82" s="230" t="str">
        <f t="shared" si="33"/>
        <v>上昇▲</v>
      </c>
      <c r="AB82" s="358">
        <f>IF(OR(C82="",C82="TOPX",終値!E160=""),"",IFERROR(((終値!E160*0.333)+(終値!F160*0.222)+(終値!G160*0.148)+(終値!H160*0.099)+(終値!I160*0.066))/(0.333+0.222+0.148+0.099+0.066),""))</f>
        <v>976.46889400921657</v>
      </c>
      <c r="AC82" s="358">
        <f>IF(OR(C82="",C82="TOPX",終値!E160=""),"",IFERROR(SUMPRODUCT((終値!E160:AC160)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1025.8974970202619</v>
      </c>
      <c r="AD82" s="230" t="str">
        <f t="shared" si="34"/>
        <v>下降トレンド▼</v>
      </c>
      <c r="AE82" s="230" t="str">
        <f t="shared" si="35"/>
        <v>なし</v>
      </c>
      <c r="AF82" t="str">
        <f>IF(T82="","",IF(銘柄管理!$F$5="上昇▲",IF(AND(AD82="下降トレンド▼",OR(AE82="25日戻り売り★",AE82="5日戻り売り○")),"★逆張り売り",IF(AND(AD82="もみ合い→",OR(AE82="25日戻り売り★",AE82="5日戻り売り○")),"○逆張り売り",IF(W82&gt;=70,IF(Z82&lt;0,"◎反落確認","△過熱・様子見"),"相場上昇・見送り"))),IF(AND(T82&gt;=12,AD82="下降トレンド▼"),"★強い売り",IF(T82&gt;=12,"★強い売り",IF(AND(T82&gt;=8,OR(AE82="25日戻り売り★",AE82="5日戻り売り○")),"◎戻り売り",IF(T82&gt;=10,"○売り候補",IF(T82&gt;=6,"△注目",IF(T82&gt;=3,"様子見","見送り"))))))))</f>
        <v>相場上昇・見送り</v>
      </c>
      <c r="AG82">
        <f t="shared" si="37"/>
        <v>0</v>
      </c>
      <c r="AH82">
        <f t="shared" si="38"/>
        <v>0</v>
      </c>
      <c r="AI82" s="412" cm="1">
        <f t="array" ref="AI82">IF(C82="","",IFERROR((INDEX(終値!$E:$E,MATCH(TEXT(C82,"0"),終値!$A:$A,0))-INDEX(終値!$E:$BL,MATCH(TEXT(C82,"0"),終値!$A:$A,0),$AN$2))/INDEX(終値!$E:$BL,MATCH(TEXT(C82,"0"),終値!$A:$A,0),$AN$2)*100,""))</f>
        <v>2.9001074113856067</v>
      </c>
      <c r="AJ82" s="412" cm="1">
        <f t="array" ref="AJ82">IFERROR((終値!$E$5-INDEX(終値!$E$5:$BL$5,1,$AN$2))/INDEX(終値!$E$5:$BL$5,1,$AN$2)*100,"")</f>
        <v>3.4532270246721688</v>
      </c>
      <c r="AK82" s="413">
        <f t="shared" si="39"/>
        <v>-0.55311961328656212</v>
      </c>
      <c r="AL82" s="411">
        <f t="shared" si="40"/>
        <v>1</v>
      </c>
      <c r="AO82" s="415" t="str">
        <f t="shared" si="41"/>
        <v>通常</v>
      </c>
      <c r="AP82" s="416">
        <f t="shared" si="42"/>
        <v>0</v>
      </c>
      <c r="AQ82">
        <f>IF(C82&lt;&gt;"",始値!F160,"")</f>
        <v>940</v>
      </c>
      <c r="AR82">
        <f>IF(C82&lt;&gt;"",高値!F160,"")</f>
        <v>962</v>
      </c>
      <c r="AS82">
        <f>IF(C82&lt;&gt;"",安値!F160,"")</f>
        <v>934</v>
      </c>
      <c r="AT82" t="str">
        <f t="shared" si="36"/>
        <v>通常</v>
      </c>
      <c r="AU82">
        <f t="shared" si="43"/>
        <v>0</v>
      </c>
    </row>
    <row r="83" spans="1:47" ht="14.25">
      <c r="A83" s="349" t="str">
        <f>IF(銘柄管理!B163&lt;&gt;"",HYPERLINK("https://kabutan.jp/stock/?code="&amp;銘柄管理!B163,"株探"),"")</f>
        <v>株探</v>
      </c>
      <c r="B83" s="350"/>
      <c r="C83" s="350">
        <f>IF(銘柄管理!B163="","",銘柄管理!B163)</f>
        <v>1930</v>
      </c>
      <c r="D83" s="350" t="str">
        <f>IF(銘柄管理!C163="","",銘柄管理!C163)</f>
        <v>北陸電気工事</v>
      </c>
      <c r="E83" s="351">
        <f>IF(C83&lt;&gt;"",_xll.RssMarket(C83,"現在値"),"")</f>
        <v>1699</v>
      </c>
      <c r="F83" s="351">
        <f>IF(C83&lt;&gt;"",_xll.RssMarket(C83,"始値"),"")</f>
        <v>1664</v>
      </c>
      <c r="G83" s="350">
        <f>IF(C83&lt;&gt;"",終値!F163,"")</f>
        <v>1651</v>
      </c>
      <c r="H83" s="351">
        <f>IF(C83&lt;&gt;"",_xll.RssMarket(C83,"高値"),"")</f>
        <v>1701</v>
      </c>
      <c r="I83" s="351">
        <f>IF(C83&lt;&gt;"",_xll.RssMarket(C83,"安値"),"")</f>
        <v>1664</v>
      </c>
      <c r="J83" s="351">
        <f>IF(C83&lt;&gt;"",_xll.RssMarket(C83,"出来高"),"")</f>
        <v>65400</v>
      </c>
      <c r="K83" s="351">
        <f>IF(C83&lt;&gt;"",_xll.RssMarket(C83,"年初来高値"),"")</f>
        <v>1821</v>
      </c>
      <c r="L83" s="352">
        <f t="shared" si="22"/>
        <v>-6.6996155958264687</v>
      </c>
      <c r="M83" s="351">
        <f>IF(C83&lt;&gt;"",IFERROR(AVERAGE(出来高!E163:I163),""),"")</f>
        <v>63940</v>
      </c>
      <c r="N83" s="351">
        <f>IF(C83&lt;&gt;"",IFERROR(AVERAGE(出来高!E163:AC163),""),"")</f>
        <v>70220</v>
      </c>
      <c r="O83" s="353">
        <f t="shared" si="23"/>
        <v>1.0228339067876133</v>
      </c>
      <c r="P83" s="350" t="str">
        <f t="shared" si="24"/>
        <v>普通→</v>
      </c>
      <c r="Q83" s="350" t="str">
        <f t="shared" si="25"/>
        <v>様子見▲</v>
      </c>
      <c r="R83" s="351">
        <f t="shared" si="26"/>
        <v>1563</v>
      </c>
      <c r="S83" s="351">
        <f t="shared" si="27"/>
        <v>1767</v>
      </c>
      <c r="T83" s="350">
        <f t="shared" si="28"/>
        <v>8</v>
      </c>
      <c r="U83" s="350" t="str">
        <f t="shared" si="29"/>
        <v>要確認</v>
      </c>
      <c r="V83" s="350" t="str">
        <f t="shared" si="30"/>
        <v>通常</v>
      </c>
      <c r="W83" s="354" cm="1">
        <f t="array" ref="W83">IFERROR(100-100/(1+SUMPRODUCT((終値!F163:R163&gt;終値!G163:S163)*(終値!F163:R163-終値!G163:S163))/SUMPRODUCT((終値!F163:R163&lt;終値!G163:S163)*(終値!G163:S163-終値!F163:R163))),50)</f>
        <v>54.852320675105481</v>
      </c>
      <c r="X83" s="355">
        <f>IF(C83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-4.8957486695926491</v>
      </c>
      <c r="Y83" s="350" t="str">
        <f t="shared" si="31"/>
        <v>相場上昇・見送り | パーフェクト▲ MACD- RSI:54.9 前日比:+2.9%前日[大陰線▼] [8点]</v>
      </c>
      <c r="Z83" s="356">
        <f t="shared" si="32"/>
        <v>2.9073288915808604</v>
      </c>
      <c r="AA83" s="350" t="str">
        <f t="shared" si="33"/>
        <v>上昇▲</v>
      </c>
      <c r="AB83" s="351">
        <f>IF(OR(C83="",C83="TOPX",終値!E163=""),"",IFERROR(((終値!E163*0.333)+(終値!F163*0.222)+(終値!G163*0.148)+(終値!H163*0.099)+(終値!I163*0.066))/(0.333+0.222+0.148+0.099+0.066),""))</f>
        <v>1651.9815668202762</v>
      </c>
      <c r="AC83" s="351">
        <f>IF(OR(C83="",C83="TOPX",終値!E163=""),"",IFERROR(SUMPRODUCT((終値!E163:AC163)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1630.650774731823</v>
      </c>
      <c r="AD83" s="350" t="str">
        <f t="shared" si="34"/>
        <v>パーフェクト▲</v>
      </c>
      <c r="AE83" s="350" t="str">
        <f t="shared" si="35"/>
        <v>なし</v>
      </c>
      <c r="AF83" t="str">
        <f>IF(T83="","",IF(銘柄管理!$F$5="上昇▲",IF(AND(AD83="下降トレンド▼",OR(AE83="25日戻り売り★",AE83="5日戻り売り○")),"★逆張り売り",IF(AND(AD83="もみ合い→",OR(AE83="25日戻り売り★",AE83="5日戻り売り○")),"○逆張り売り",IF(W83&gt;=70,IF(Z83&lt;0,"◎反落確認","△過熱・様子見"),"相場上昇・見送り"))),IF(AND(T83&gt;=12,AD83="下降トレンド▼"),"★強い売り",IF(T83&gt;=12,"★強い売り",IF(AND(T83&gt;=8,OR(AE83="25日戻り売り★",AE83="5日戻り売り○")),"◎戻り売り",IF(T83&gt;=10,"○売り候補",IF(T83&gt;=6,"△注目",IF(T83&gt;=3,"様子見","見送り"))))))))</f>
        <v>相場上昇・見送り</v>
      </c>
      <c r="AG83">
        <f t="shared" si="37"/>
        <v>8</v>
      </c>
      <c r="AH83">
        <f t="shared" si="38"/>
        <v>79917</v>
      </c>
      <c r="AI83" s="412" cm="1">
        <f t="array" ref="AI83">IF(C83="","",IFERROR((INDEX(終値!$E:$E,MATCH(TEXT(C83,"0"),終値!$A:$A,0))-INDEX(終値!$E:$BL,MATCH(TEXT(C83,"0"),終値!$A:$A,0),$AN$2))/INDEX(終値!$E:$BL,MATCH(TEXT(C83,"0"),終値!$A:$A,0),$AN$2)*100,""))</f>
        <v>-3.7938844847112114</v>
      </c>
      <c r="AJ83" s="412" cm="1">
        <f t="array" ref="AJ83">IFERROR((終値!$E$5-INDEX(終値!$E$5:$BL$5,1,$AN$2))/INDEX(終値!$E$5:$BL$5,1,$AN$2)*100,"")</f>
        <v>3.4532270246721688</v>
      </c>
      <c r="AK83" s="413">
        <f t="shared" si="39"/>
        <v>-7.2471115093833802</v>
      </c>
      <c r="AL83" s="411">
        <f t="shared" si="40"/>
        <v>3</v>
      </c>
      <c r="AO83" s="415" t="str">
        <f t="shared" si="41"/>
        <v>通常</v>
      </c>
      <c r="AP83" s="416">
        <f t="shared" si="42"/>
        <v>0</v>
      </c>
      <c r="AQ83">
        <f>IF(C83&lt;&gt;"",始値!F163,"")</f>
        <v>1715</v>
      </c>
      <c r="AR83">
        <f>IF(C83&lt;&gt;"",高値!F163,"")</f>
        <v>1715</v>
      </c>
      <c r="AS83">
        <f>IF(C83&lt;&gt;"",安値!F163,"")</f>
        <v>1651</v>
      </c>
      <c r="AT83" t="str">
        <f t="shared" si="36"/>
        <v>大陰線▼</v>
      </c>
      <c r="AU83">
        <f t="shared" si="43"/>
        <v>2</v>
      </c>
    </row>
    <row r="84" spans="1:47" ht="14.25">
      <c r="A84" s="357" t="str">
        <f>IF(銘柄管理!B199&lt;&gt;"",HYPERLINK("https://kabutan.jp/stock/?code="&amp;銘柄管理!B199,"株探"),"")</f>
        <v>株探</v>
      </c>
      <c r="B84" s="230"/>
      <c r="C84" s="230">
        <f>IF(銘柄管理!B199="","",銘柄管理!B199)</f>
        <v>6920</v>
      </c>
      <c r="D84" s="230" t="str">
        <f>IF(銘柄管理!C199="","",銘柄管理!C199)</f>
        <v>レーザーテック</v>
      </c>
      <c r="E84" s="358">
        <f>IF(C84&lt;&gt;"",_xll.RssMarket(C84,"現在値"),"")</f>
        <v>52700</v>
      </c>
      <c r="F84" s="358">
        <f>IF(C84&lt;&gt;"",_xll.RssMarket(C84,"始値"),"")</f>
        <v>45870</v>
      </c>
      <c r="G84" s="230">
        <f>IF(C84&lt;&gt;"",終値!F199,"")</f>
        <v>46570</v>
      </c>
      <c r="H84" s="358">
        <f>IF(C84&lt;&gt;"",_xll.RssMarket(C84,"高値"),"")</f>
        <v>52980</v>
      </c>
      <c r="I84" s="358">
        <f>IF(C84&lt;&gt;"",_xll.RssMarket(C84,"安値"),"")</f>
        <v>45770</v>
      </c>
      <c r="J84" s="358">
        <f>IF(C84&lt;&gt;"",_xll.RssMarket(C84,"出来高"),"")</f>
        <v>7716500</v>
      </c>
      <c r="K84" s="358">
        <f>IF(C84&lt;&gt;"",_xll.RssMarket(C84,"年初来高値"),"")</f>
        <v>48640</v>
      </c>
      <c r="L84" s="359">
        <f t="shared" si="22"/>
        <v>8.3470394736842106</v>
      </c>
      <c r="M84" s="358">
        <f>IF(C84&lt;&gt;"",IFERROR(AVERAGE(出来高!E199:I199),""),"")</f>
        <v>4343820</v>
      </c>
      <c r="N84" s="358">
        <f>IF(C84&lt;&gt;"",IFERROR(AVERAGE(出来高!E199:AC199),""),"")</f>
        <v>3298996</v>
      </c>
      <c r="O84" s="360">
        <f t="shared" si="23"/>
        <v>1.7764318042644494</v>
      </c>
      <c r="P84" s="230" t="str">
        <f t="shared" si="24"/>
        <v>増加↑</v>
      </c>
      <c r="Q84" s="230" t="str">
        <f t="shared" si="25"/>
        <v>様子見▲</v>
      </c>
      <c r="R84" s="358">
        <f t="shared" si="26"/>
        <v>48484</v>
      </c>
      <c r="S84" s="358">
        <f t="shared" si="27"/>
        <v>54808</v>
      </c>
      <c r="T84" s="350">
        <f t="shared" si="28"/>
        <v>1</v>
      </c>
      <c r="U84" s="230" t="str">
        <f t="shared" si="29"/>
        <v>除外</v>
      </c>
      <c r="V84" s="230" t="str">
        <f t="shared" si="30"/>
        <v>通常</v>
      </c>
      <c r="W84" s="361" cm="1">
        <f t="array" ref="W84">IFERROR(100-100/(1+SUMPRODUCT((終値!F199:R199&gt;終値!G199:S199)*(終値!F199:R199-終値!G199:S199))/SUMPRODUCT((終値!F199:R199&lt;終値!G199:S199)*(終値!G199:S199-終値!F199:R199))),50)</f>
        <v>60.9375</v>
      </c>
      <c r="X84" s="362">
        <f>IF(C84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943.60043623801903</v>
      </c>
      <c r="Y84" s="230" t="str">
        <f t="shared" si="31"/>
        <v>相場上昇・見送り | パーフェクト▲ MACD+ RSI:60.9 前日比:+13.2% [1点]</v>
      </c>
      <c r="Z84" s="363">
        <f t="shared" si="32"/>
        <v>13.162980459523299</v>
      </c>
      <c r="AA84" s="230" t="str">
        <f t="shared" si="33"/>
        <v>上昇▲</v>
      </c>
      <c r="AB84" s="358">
        <f>IF(OR(C84="",C84="TOPX",終値!E199=""),"",IFERROR(((終値!E199*0.333)+(終値!F199*0.222)+(終値!G199*0.148)+(終値!H199*0.099)+(終値!I199*0.066))/(0.333+0.222+0.148+0.099+0.066),""))</f>
        <v>48439.216589861746</v>
      </c>
      <c r="AC84" s="358">
        <f>IF(OR(C84="",C84="TOPX",終値!E199=""),"",IFERROR(SUMPRODUCT((終値!E199:AC199)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42787.616209773529</v>
      </c>
      <c r="AD84" s="230" t="str">
        <f t="shared" si="34"/>
        <v>パーフェクト▲</v>
      </c>
      <c r="AE84" s="230" t="str">
        <f t="shared" si="35"/>
        <v>なし</v>
      </c>
      <c r="AF84" t="str">
        <f>IF(T84="","",IF(銘柄管理!$F$5="上昇▲",IF(AND(AD84="下降トレンド▼",OR(AE84="25日戻り売り★",AE84="5日戻り売り○")),"★逆張り売り",IF(AND(AD84="もみ合い→",OR(AE84="25日戻り売り★",AE84="5日戻り売り○")),"○逆張り売り",IF(W84&gt;=70,IF(Z84&lt;0,"◎反落確認","△過熱・様子見"),"相場上昇・見送り"))),IF(AND(T84&gt;=12,AD84="下降トレンド▼"),"★強い売り",IF(T84&gt;=12,"★強い売り",IF(AND(T84&gt;=8,OR(AE84="25日戻り売り★",AE84="5日戻り売り○")),"◎戻り売り",IF(T84&gt;=10,"○売り候補",IF(T84&gt;=6,"△注目",IF(T84&gt;=3,"様子見","見送り"))))))))</f>
        <v>相場上昇・見送り</v>
      </c>
      <c r="AG84">
        <f t="shared" si="37"/>
        <v>0</v>
      </c>
      <c r="AH84">
        <f t="shared" si="38"/>
        <v>0</v>
      </c>
      <c r="AI84" s="412" cm="1">
        <f t="array" ref="AI84">IF(C84="","",IFERROR((INDEX(終値!$E:$E,MATCH(TEXT(C84,"0"),終値!$A:$A,0))-INDEX(終値!$E:$BL,MATCH(TEXT(C84,"0"),終値!$A:$A,0),$AN$2))/INDEX(終値!$E:$BL,MATCH(TEXT(C84,"0"),終値!$A:$A,0),$AN$2)*100,""))</f>
        <v>37.20385316323874</v>
      </c>
      <c r="AJ84" s="412" cm="1">
        <f t="array" ref="AJ84">IFERROR((終値!$E$5-INDEX(終値!$E$5:$BL$5,1,$AN$2))/INDEX(終値!$E$5:$BL$5,1,$AN$2)*100,"")</f>
        <v>3.4532270246721688</v>
      </c>
      <c r="AK84" s="413">
        <f t="shared" si="39"/>
        <v>33.750626138566574</v>
      </c>
      <c r="AL84" s="411">
        <f t="shared" si="40"/>
        <v>-2</v>
      </c>
      <c r="AO84" s="415" t="str">
        <f t="shared" si="41"/>
        <v>通常</v>
      </c>
      <c r="AP84" s="416">
        <f t="shared" si="42"/>
        <v>0</v>
      </c>
      <c r="AQ84">
        <f>IF(C84&lt;&gt;"",始値!F199,"")</f>
        <v>47600</v>
      </c>
      <c r="AR84">
        <f>IF(C84&lt;&gt;"",高値!F199,"")</f>
        <v>48270</v>
      </c>
      <c r="AS84">
        <f>IF(C84&lt;&gt;"",安値!F199,"")</f>
        <v>46450</v>
      </c>
      <c r="AT84" t="str">
        <f t="shared" si="36"/>
        <v>通常</v>
      </c>
      <c r="AU84">
        <f t="shared" si="43"/>
        <v>0</v>
      </c>
    </row>
    <row r="85" spans="1:47" ht="14.25">
      <c r="A85" s="349" t="str">
        <f>IF(銘柄管理!B203&lt;&gt;"",HYPERLINK("https://kabutan.jp/stock/?code="&amp;銘柄管理!B203,"株探"),"")</f>
        <v>株探</v>
      </c>
      <c r="B85" s="350"/>
      <c r="C85" s="350">
        <f>IF(銘柄管理!B203="","",銘柄管理!B203)</f>
        <v>6305</v>
      </c>
      <c r="D85" s="350" t="str">
        <f>IF(銘柄管理!C203="","",銘柄管理!C203)</f>
        <v>日立建機</v>
      </c>
      <c r="E85" s="351">
        <f>IF(C85&lt;&gt;"",_xll.RssMarket(C85,"現在値"),"")</f>
        <v>5417</v>
      </c>
      <c r="F85" s="351">
        <f>IF(C85&lt;&gt;"",_xll.RssMarket(C85,"始値"),"")</f>
        <v>5350</v>
      </c>
      <c r="G85" s="350">
        <f>IF(C85&lt;&gt;"",終値!F203,"")</f>
        <v>5419</v>
      </c>
      <c r="H85" s="351">
        <f>IF(C85&lt;&gt;"",_xll.RssMarket(C85,"高値"),"")</f>
        <v>5436</v>
      </c>
      <c r="I85" s="351">
        <f>IF(C85&lt;&gt;"",_xll.RssMarket(C85,"安値"),"")</f>
        <v>5306</v>
      </c>
      <c r="J85" s="351">
        <f>IF(C85&lt;&gt;"",_xll.RssMarket(C85,"出来高"),"")</f>
        <v>1061100</v>
      </c>
      <c r="K85" s="351">
        <f>IF(C85&lt;&gt;"",_xll.RssMarket(C85,"年初来高値"),"")</f>
        <v>7225</v>
      </c>
      <c r="L85" s="352">
        <f t="shared" si="22"/>
        <v>-25.024221453287197</v>
      </c>
      <c r="M85" s="351">
        <f>IF(C85&lt;&gt;"",IFERROR(AVERAGE(出来高!E203:I203),""),"")</f>
        <v>963540</v>
      </c>
      <c r="N85" s="351">
        <f>IF(C85&lt;&gt;"",IFERROR(AVERAGE(出来高!E203:AC203),""),"")</f>
        <v>1426376</v>
      </c>
      <c r="O85" s="353">
        <f t="shared" si="23"/>
        <v>1.1012516345974219</v>
      </c>
      <c r="P85" s="350" t="str">
        <f t="shared" si="24"/>
        <v>普通→</v>
      </c>
      <c r="Q85" s="350" t="str">
        <f t="shared" si="25"/>
        <v>中立→</v>
      </c>
      <c r="R85" s="351">
        <f t="shared" si="26"/>
        <v>4984</v>
      </c>
      <c r="S85" s="351">
        <f t="shared" si="27"/>
        <v>5634</v>
      </c>
      <c r="T85" s="350">
        <f t="shared" si="28"/>
        <v>9</v>
      </c>
      <c r="U85" s="350" t="str">
        <f t="shared" si="29"/>
        <v>要確認</v>
      </c>
      <c r="V85" s="350" t="str">
        <f t="shared" si="30"/>
        <v>安値圏</v>
      </c>
      <c r="W85" s="354" cm="1">
        <f t="array" ref="W85">IFERROR(100-100/(1+SUMPRODUCT((終値!F203:R203&gt;終値!G203:S203)*(終値!F203:R203-終値!G203:S203))/SUMPRODUCT((終値!F203:R203&lt;終値!G203:S203)*(終値!G203:S203-終値!F203:R203))),50)</f>
        <v>64.230769230769226</v>
      </c>
      <c r="X85" s="355">
        <f>IF(C85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28.292765056379721</v>
      </c>
      <c r="Y85" s="350" t="str">
        <f t="shared" si="31"/>
        <v>相場上昇・見送り | パーフェクト▲ MACD+ RSI:64.2 前日比:-0.0% [安値圏]前日[大陰線▼] [9点]</v>
      </c>
      <c r="Z85" s="356">
        <f t="shared" si="32"/>
        <v>-3.6907178446207785E-2</v>
      </c>
      <c r="AA85" s="350" t="str">
        <f t="shared" si="33"/>
        <v>下落▼</v>
      </c>
      <c r="AB85" s="351">
        <f>IF(OR(C85="",C85="TOPX",終値!E203=""),"",IFERROR(((終値!E203*0.333)+(終値!F203*0.222)+(終値!G203*0.148)+(終値!H203*0.099)+(終値!I203*0.066))/(0.333+0.222+0.148+0.099+0.066),""))</f>
        <v>5356.2154377880188</v>
      </c>
      <c r="AC85" s="351">
        <f>IF(OR(C85="",C85="TOPX",終値!E203=""),"",IFERROR(SUMPRODUCT((終値!E203:AC203)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5256.0560190703181</v>
      </c>
      <c r="AD85" s="350" t="str">
        <f t="shared" si="34"/>
        <v>パーフェクト▲</v>
      </c>
      <c r="AE85" s="350" t="str">
        <f t="shared" si="35"/>
        <v>なし</v>
      </c>
      <c r="AF85" t="str">
        <f>IF(T85="","",IF(銘柄管理!$F$5="上昇▲",IF(AND(AD85="下降トレンド▼",OR(AE85="25日戻り売り★",AE85="5日戻り売り○")),"★逆張り売り",IF(AND(AD85="もみ合い→",OR(AE85="25日戻り売り★",AE85="5日戻り売り○")),"○逆張り売り",IF(W85&gt;=70,IF(Z85&lt;0,"◎反落確認","△過熱・様子見"),"相場上昇・見送り"))),IF(AND(T85&gt;=12,AD85="下降トレンド▼"),"★強い売り",IF(T85&gt;=12,"★強い売り",IF(AND(T85&gt;=8,OR(AE85="25日戻り売り★",AE85="5日戻り売り○")),"◎戻り売り",IF(T85&gt;=10,"○売り候補",IF(T85&gt;=6,"△注目",IF(T85&gt;=3,"様子見","見送り"))))))))</f>
        <v>相場上昇・見送り</v>
      </c>
      <c r="AG85">
        <f t="shared" si="37"/>
        <v>9</v>
      </c>
      <c r="AH85">
        <f t="shared" si="38"/>
        <v>89915</v>
      </c>
      <c r="AI85" s="412" cm="1">
        <f t="array" ref="AI85">IF(C85="","",IFERROR((INDEX(終値!$E:$E,MATCH(TEXT(C85,"0"),終値!$A:$A,0))-INDEX(終値!$E:$BL,MATCH(TEXT(C85,"0"),終値!$A:$A,0),$AN$2))/INDEX(終値!$E:$BL,MATCH(TEXT(C85,"0"),終値!$A:$A,0),$AN$2)*100,""))</f>
        <v>2.188266364836823</v>
      </c>
      <c r="AJ85" s="412" cm="1">
        <f t="array" ref="AJ85">IFERROR((終値!$E$5-INDEX(終値!$E$5:$BL$5,1,$AN$2))/INDEX(終値!$E$5:$BL$5,1,$AN$2)*100,"")</f>
        <v>3.4532270246721688</v>
      </c>
      <c r="AK85" s="413">
        <f t="shared" si="39"/>
        <v>-1.2649606598353458</v>
      </c>
      <c r="AL85" s="411">
        <f t="shared" si="40"/>
        <v>1</v>
      </c>
      <c r="AO85" s="415" t="str">
        <f t="shared" si="41"/>
        <v>通常</v>
      </c>
      <c r="AP85" s="416">
        <f t="shared" si="42"/>
        <v>0</v>
      </c>
      <c r="AQ85">
        <f>IF(C85&lt;&gt;"",始値!F203,"")</f>
        <v>5574</v>
      </c>
      <c r="AR85">
        <f>IF(C85&lt;&gt;"",高値!F203,"")</f>
        <v>5596</v>
      </c>
      <c r="AS85">
        <f>IF(C85&lt;&gt;"",安値!F203,"")</f>
        <v>5395</v>
      </c>
      <c r="AT85" t="str">
        <f t="shared" si="36"/>
        <v>大陰線▼</v>
      </c>
      <c r="AU85">
        <f t="shared" si="43"/>
        <v>2</v>
      </c>
    </row>
    <row r="86" spans="1:47" ht="14.25">
      <c r="A86" s="357" t="str">
        <f>IF(銘柄管理!B205&lt;&gt;"",HYPERLINK("https://kabutan.jp/stock/?code="&amp;銘柄管理!B205,"株探"),"")</f>
        <v>株探</v>
      </c>
      <c r="B86" s="230"/>
      <c r="C86" s="230">
        <f>IF(銘柄管理!B205="","",銘柄管理!B205)</f>
        <v>6758</v>
      </c>
      <c r="D86" s="230" t="str">
        <f>IF(銘柄管理!C205="","",銘柄管理!C205)</f>
        <v>ソニーグループ</v>
      </c>
      <c r="E86" s="358">
        <f>IF(C86&lt;&gt;"",_xll.RssMarket(C86,"現在値"),"")</f>
        <v>3286</v>
      </c>
      <c r="F86" s="358">
        <f>IF(C86&lt;&gt;"",_xll.RssMarket(C86,"始値"),"")</f>
        <v>3297</v>
      </c>
      <c r="G86" s="230">
        <f>IF(C86&lt;&gt;"",終値!F205,"")</f>
        <v>3275</v>
      </c>
      <c r="H86" s="358">
        <f>IF(C86&lt;&gt;"",_xll.RssMarket(C86,"高値"),"")</f>
        <v>3314</v>
      </c>
      <c r="I86" s="358">
        <f>IF(C86&lt;&gt;"",_xll.RssMarket(C86,"安値"),"")</f>
        <v>3258</v>
      </c>
      <c r="J86" s="358">
        <f>IF(C86&lt;&gt;"",_xll.RssMarket(C86,"出来高"),"")</f>
        <v>13386100</v>
      </c>
      <c r="K86" s="358">
        <f>IF(C86&lt;&gt;"",_xll.RssMarket(C86,"年初来高値"),"")</f>
        <v>4124</v>
      </c>
      <c r="L86" s="359">
        <f t="shared" si="22"/>
        <v>-20.320077594568382</v>
      </c>
      <c r="M86" s="358">
        <f>IF(C86&lt;&gt;"",IFERROR(AVERAGE(出来高!E205:I205),""),"")</f>
        <v>17994420</v>
      </c>
      <c r="N86" s="358">
        <f>IF(C86&lt;&gt;"",IFERROR(AVERAGE(出来高!E205:AC205),""),"")</f>
        <v>26795960</v>
      </c>
      <c r="O86" s="360">
        <f t="shared" si="23"/>
        <v>0.74390283210017327</v>
      </c>
      <c r="P86" s="230" t="str">
        <f t="shared" si="24"/>
        <v>減少↓</v>
      </c>
      <c r="Q86" s="230" t="str">
        <f t="shared" si="25"/>
        <v>様子見▲</v>
      </c>
      <c r="R86" s="358">
        <f t="shared" si="26"/>
        <v>3023</v>
      </c>
      <c r="S86" s="358">
        <f t="shared" si="27"/>
        <v>3417</v>
      </c>
      <c r="T86" s="350">
        <f t="shared" si="28"/>
        <v>10</v>
      </c>
      <c r="U86" s="230" t="str">
        <f t="shared" si="29"/>
        <v>要確認</v>
      </c>
      <c r="V86" s="230" t="str">
        <f t="shared" si="30"/>
        <v>通常</v>
      </c>
      <c r="W86" s="361" cm="1">
        <f t="array" ref="W86">IFERROR(100-100/(1+SUMPRODUCT((終値!F205:R205&gt;終値!G205:S205)*(終値!F205:R205-終値!G205:S205))/SUMPRODUCT((終値!F205:R205&lt;終値!G205:S205)*(終値!G205:S205-終値!F205:R205))),50)</f>
        <v>30.086313193588168</v>
      </c>
      <c r="X86" s="362">
        <f>IF(C86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-38.862085504240895</v>
      </c>
      <c r="Y86" s="230" t="str">
        <f t="shared" si="31"/>
        <v>★逆張り売り | 下降トレンド▼ 5日戻り売り○ MACD- RSI:30.1 前日比:+0.3% [10点]</v>
      </c>
      <c r="Z86" s="363">
        <f t="shared" si="32"/>
        <v>0.33587786259541985</v>
      </c>
      <c r="AA86" s="230" t="str">
        <f t="shared" si="33"/>
        <v>上昇▲</v>
      </c>
      <c r="AB86" s="358">
        <f>IF(OR(C86="",C86="TOPX",終値!E205=""),"",IFERROR(((終値!E205*0.333)+(終値!F205*0.222)+(終値!G205*0.148)+(終値!H205*0.099)+(終値!I205*0.066))/(0.333+0.222+0.148+0.099+0.066),""))</f>
        <v>3301.2039170506905</v>
      </c>
      <c r="AC86" s="358">
        <f>IF(OR(C86="",C86="TOPX",終値!E205=""),"",IFERROR(SUMPRODUCT((終値!E205:AC205)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3459.9070321811664</v>
      </c>
      <c r="AD86" s="230" t="str">
        <f t="shared" si="34"/>
        <v>下降トレンド▼</v>
      </c>
      <c r="AE86" s="230" t="str">
        <f t="shared" si="35"/>
        <v>5日戻り売り○</v>
      </c>
      <c r="AF86" t="str">
        <f>IF(T86="","",IF(銘柄管理!$F$5="上昇▲",IF(AND(AD86="下降トレンド▼",OR(AE86="25日戻り売り★",AE86="5日戻り売り○")),"★逆張り売り",IF(AND(AD86="もみ合い→",OR(AE86="25日戻り売り★",AE86="5日戻り売り○")),"○逆張り売り",IF(W86&gt;=70,IF(Z86&lt;0,"◎反落確認","△過熱・様子見"),"相場上昇・見送り"))),IF(AND(T86&gt;=12,AD86="下降トレンド▼"),"★強い売り",IF(T86&gt;=12,"★強い売り",IF(AND(T86&gt;=8,OR(AE86="25日戻り売り★",AE86="5日戻り売り○")),"◎戻り売り",IF(T86&gt;=10,"○売り候補",IF(T86&gt;=6,"△注目",IF(T86&gt;=3,"様子見","見送り"))))))))</f>
        <v>★逆張り売り</v>
      </c>
      <c r="AG86">
        <f t="shared" si="37"/>
        <v>10</v>
      </c>
      <c r="AH86">
        <f t="shared" si="38"/>
        <v>99914</v>
      </c>
      <c r="AI86" s="412" cm="1">
        <f t="array" ref="AI86">IF(C86="","",IFERROR((INDEX(終値!$E:$E,MATCH(TEXT(C86,"0"),終値!$A:$A,0))-INDEX(終値!$E:$BL,MATCH(TEXT(C86,"0"),終値!$A:$A,0),$AN$2))/INDEX(終値!$E:$BL,MATCH(TEXT(C86,"0"),終値!$A:$A,0),$AN$2)*100,""))</f>
        <v>-4.5876887340301975</v>
      </c>
      <c r="AJ86" s="412" cm="1">
        <f t="array" ref="AJ86">IFERROR((終値!$E$5-INDEX(終値!$E$5:$BL$5,1,$AN$2))/INDEX(終値!$E$5:$BL$5,1,$AN$2)*100,"")</f>
        <v>3.4532270246721688</v>
      </c>
      <c r="AK86" s="413">
        <f t="shared" si="39"/>
        <v>-8.0409157587023667</v>
      </c>
      <c r="AL86" s="411">
        <f t="shared" si="40"/>
        <v>3</v>
      </c>
      <c r="AO86" s="415" t="str">
        <f t="shared" si="41"/>
        <v>通常</v>
      </c>
      <c r="AP86" s="416">
        <f t="shared" si="42"/>
        <v>0</v>
      </c>
      <c r="AQ86">
        <f>IF(C86&lt;&gt;"",始値!F205,"")</f>
        <v>3253</v>
      </c>
      <c r="AR86">
        <f>IF(C86&lt;&gt;"",高値!F205,"")</f>
        <v>3296</v>
      </c>
      <c r="AS86">
        <f>IF(C86&lt;&gt;"",安値!F205,"")</f>
        <v>3226</v>
      </c>
      <c r="AT86" t="str">
        <f t="shared" si="36"/>
        <v>通常</v>
      </c>
      <c r="AU86">
        <f t="shared" si="43"/>
        <v>0</v>
      </c>
    </row>
    <row r="87" spans="1:47" ht="14.25">
      <c r="A87" s="349" t="str">
        <f>IF(銘柄管理!B9&lt;&gt;"",HYPERLINK("https://kabutan.jp/stock/?code="&amp;銘柄管理!B9,"株探"),"")</f>
        <v>株探</v>
      </c>
      <c r="B87" s="350"/>
      <c r="C87" s="350">
        <f>IF(銘柄管理!B9="","",銘柄管理!B9)</f>
        <v>5711</v>
      </c>
      <c r="D87" s="350" t="str">
        <f>IF(銘柄管理!C9="","",銘柄管理!C9)</f>
        <v>三菱マテリアル</v>
      </c>
      <c r="E87" s="351">
        <f>IF(C87&lt;&gt;"",_xll.RssMarket(C87,"現在値"),"")</f>
        <v>4882</v>
      </c>
      <c r="F87" s="351">
        <f>IF(C87&lt;&gt;"",_xll.RssMarket(C87,"始値"),"")</f>
        <v>4870</v>
      </c>
      <c r="G87" s="350">
        <f>IF(C87&lt;&gt;"",終値!F9,"")</f>
        <v>4898</v>
      </c>
      <c r="H87" s="351">
        <f>IF(C87&lt;&gt;"",_xll.RssMarket(C87,"高値"),"")</f>
        <v>4965</v>
      </c>
      <c r="I87" s="351">
        <f>IF(C87&lt;&gt;"",_xll.RssMarket(C87,"安値"),"")</f>
        <v>4842</v>
      </c>
      <c r="J87" s="351">
        <f>IF(C87&lt;&gt;"",_xll.RssMarket(C87,"出来高"),"")</f>
        <v>659400</v>
      </c>
      <c r="K87" s="351">
        <f>IF(C87&lt;&gt;"",_xll.RssMarket(C87,"年初来高値"),"")</f>
        <v>6126</v>
      </c>
      <c r="L87" s="352">
        <f t="shared" si="22"/>
        <v>-20.306888671237349</v>
      </c>
      <c r="M87" s="351">
        <f>IF(C87&lt;&gt;"",IFERROR(AVERAGE(出来高!E9:I9),""),"")</f>
        <v>921020</v>
      </c>
      <c r="N87" s="351">
        <f>IF(C87&lt;&gt;"",IFERROR(AVERAGE(出来高!E9:AC9),""),"")</f>
        <v>1391484</v>
      </c>
      <c r="O87" s="353">
        <f t="shared" si="23"/>
        <v>0.71594536492150007</v>
      </c>
      <c r="P87" s="350" t="str">
        <f t="shared" si="24"/>
        <v>減少↓</v>
      </c>
      <c r="Q87" s="350" t="str">
        <f t="shared" si="25"/>
        <v>中立→</v>
      </c>
      <c r="R87" s="351">
        <f t="shared" si="26"/>
        <v>4491</v>
      </c>
      <c r="S87" s="351">
        <f t="shared" si="27"/>
        <v>5077</v>
      </c>
      <c r="T87" s="350">
        <f t="shared" si="28"/>
        <v>12</v>
      </c>
      <c r="U87" s="350" t="str">
        <f t="shared" si="29"/>
        <v>要確認</v>
      </c>
      <c r="V87" s="350" t="str">
        <f t="shared" si="30"/>
        <v>通常</v>
      </c>
      <c r="W87" s="354" cm="1">
        <f t="array" ref="W87">IFERROR(100-100/(1+SUMPRODUCT((終値!F9:R9&gt;終値!G9:S9)*(終値!F9:R9-終値!G9:S9))/SUMPRODUCT((終値!F9:R9&lt;終値!G9:S9)*(終値!G9:S9-終値!F9:R9))),50)</f>
        <v>39.001848428835487</v>
      </c>
      <c r="X87" s="355">
        <f>IF(C87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-66.449116180208875</v>
      </c>
      <c r="Y87" s="350" t="str">
        <f t="shared" si="31"/>
        <v>○逆張り売り | もみ合い→ 25日戻り売り★ MACD- RSI:39.0 前日比:-0.3%前日[大陰線▼] [12点]</v>
      </c>
      <c r="Z87" s="356">
        <f t="shared" si="32"/>
        <v>-0.32666394446712943</v>
      </c>
      <c r="AA87" s="350" t="str">
        <f t="shared" si="33"/>
        <v>下落▼</v>
      </c>
      <c r="AB87" s="351">
        <f>IF(OR(C87="",C87="TOPX",終値!E9=""),"",IFERROR(((終値!E9*0.333)+(終値!F9*0.222)+(終値!G9*0.148)+(終値!H9*0.099)+(終値!I9*0.066))/(0.333+0.222+0.148+0.099+0.066),""))</f>
        <v>4763.5080645161279</v>
      </c>
      <c r="AC87" s="351">
        <f>IF(OR(C87="",C87="TOPX",終値!E9=""),"",IFERROR(SUMPRODUCT((終値!E9:AC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4926.9082240762791</v>
      </c>
      <c r="AD87" s="350" t="str">
        <f t="shared" si="34"/>
        <v>もみ合い→</v>
      </c>
      <c r="AE87" s="350" t="str">
        <f t="shared" si="35"/>
        <v>25日戻り売り★</v>
      </c>
      <c r="AF87" t="str">
        <f>IF(T87="","",IF(銘柄管理!$F$5="上昇▲",IF(AND(AD87="下降トレンド▼",OR(AE87="25日戻り売り★",AE87="5日戻り売り○")),"★逆張り売り",IF(AND(AD87="もみ合い→",OR(AE87="25日戻り売り★",AE87="5日戻り売り○")),"○逆張り売り",IF(W87&gt;=70,IF(Z87&lt;0,"◎反落確認","△過熱・様子見"),"相場上昇・見送り"))),IF(AND(T87&gt;=12,AD87="下降トレンド▼"),"★強い売り",IF(T87&gt;=12,"★強い売り",IF(AND(T87&gt;=8,OR(AE87="25日戻り売り★",AE87="5日戻り売り○")),"◎戻り売り",IF(T87&gt;=10,"○売り候補",IF(T87&gt;=6,"△注目",IF(T87&gt;=3,"様子見","見送り"))))))))</f>
        <v>○逆張り売り</v>
      </c>
      <c r="AG87">
        <f t="shared" si="37"/>
        <v>12</v>
      </c>
      <c r="AH87">
        <f t="shared" si="38"/>
        <v>119913</v>
      </c>
      <c r="AI87" s="412" cm="1">
        <f t="array" ref="AI87">IF(C87="","",IFERROR((INDEX(終値!$E:$E,MATCH(TEXT(C87,"0"),終値!$A:$A,0))-INDEX(終値!$E:$BL,MATCH(TEXT(C87,"0"),終値!$A:$A,0),$AN$2))/INDEX(終値!$E:$BL,MATCH(TEXT(C87,"0"),終値!$A:$A,0),$AN$2)*100,""))</f>
        <v>-8.9518836255128686</v>
      </c>
      <c r="AJ87" s="412" cm="1">
        <f t="array" ref="AJ87">IFERROR((終値!$E$5-INDEX(終値!$E$5:$BL$5,1,$AN$2))/INDEX(終値!$E$5:$BL$5,1,$AN$2)*100,"")</f>
        <v>3.4532270246721688</v>
      </c>
      <c r="AK87" s="413">
        <f t="shared" si="39"/>
        <v>-12.405110650185037</v>
      </c>
      <c r="AL87" s="411">
        <f t="shared" si="40"/>
        <v>3</v>
      </c>
      <c r="AO87" s="415" t="str">
        <f t="shared" si="41"/>
        <v>通常</v>
      </c>
      <c r="AP87" s="416">
        <f t="shared" si="42"/>
        <v>0</v>
      </c>
      <c r="AQ87">
        <f>IF(C87&lt;&gt;"",始値!F9,"")</f>
        <v>5050</v>
      </c>
      <c r="AR87">
        <f>IF(C87&lt;&gt;"",高値!F9,"")</f>
        <v>5050</v>
      </c>
      <c r="AS87">
        <f>IF(C87&lt;&gt;"",安値!F9,"")</f>
        <v>4898</v>
      </c>
      <c r="AT87" t="str">
        <f t="shared" si="36"/>
        <v>大陰線▼</v>
      </c>
      <c r="AU87">
        <f t="shared" si="43"/>
        <v>2</v>
      </c>
    </row>
    <row r="88" spans="1:47" ht="14.25">
      <c r="A88" s="357" t="str">
        <f>IF(銘柄管理!B15&lt;&gt;"",HYPERLINK("https://kabutan.jp/stock/?code="&amp;銘柄管理!B15,"株探"),"")</f>
        <v>株探</v>
      </c>
      <c r="B88" s="230"/>
      <c r="C88" s="230">
        <f>IF(銘柄管理!B15="","",銘柄管理!B15)</f>
        <v>5021</v>
      </c>
      <c r="D88" s="230" t="str">
        <f>IF(銘柄管理!C15="","",銘柄管理!C15)</f>
        <v>コスモエネルギーＨＬＤＧＳ</v>
      </c>
      <c r="E88" s="358">
        <f>IF(C88&lt;&gt;"",_xll.RssMarket(C88,"現在値"),"")</f>
        <v>3669</v>
      </c>
      <c r="F88" s="358">
        <f>IF(C88&lt;&gt;"",_xll.RssMarket(C88,"始値"),"")</f>
        <v>3690</v>
      </c>
      <c r="G88" s="230">
        <f>IF(C88&lt;&gt;"",終値!F15,"")</f>
        <v>3676</v>
      </c>
      <c r="H88" s="358">
        <f>IF(C88&lt;&gt;"",_xll.RssMarket(C88,"高値"),"")</f>
        <v>3693</v>
      </c>
      <c r="I88" s="358">
        <f>IF(C88&lt;&gt;"",_xll.RssMarket(C88,"安値"),"")</f>
        <v>3617</v>
      </c>
      <c r="J88" s="358">
        <f>IF(C88&lt;&gt;"",_xll.RssMarket(C88,"出来高"),"")</f>
        <v>524700</v>
      </c>
      <c r="K88" s="358">
        <f>IF(C88&lt;&gt;"",_xll.RssMarket(C88,"年初来高値"),"")</f>
        <v>5034</v>
      </c>
      <c r="L88" s="359">
        <f t="shared" si="22"/>
        <v>-27.115613825983313</v>
      </c>
      <c r="M88" s="358">
        <f>IF(C88&lt;&gt;"",IFERROR(AVERAGE(出来高!E15:I15),""),"")</f>
        <v>707860</v>
      </c>
      <c r="N88" s="358">
        <f>IF(C88&lt;&gt;"",IFERROR(AVERAGE(出来高!E15:AC15),""),"")</f>
        <v>690264</v>
      </c>
      <c r="O88" s="360">
        <f t="shared" si="23"/>
        <v>0.74124826943180855</v>
      </c>
      <c r="P88" s="230" t="str">
        <f t="shared" si="24"/>
        <v>減少↓</v>
      </c>
      <c r="Q88" s="230" t="str">
        <f t="shared" si="25"/>
        <v>中立→</v>
      </c>
      <c r="R88" s="358">
        <f t="shared" si="26"/>
        <v>3375</v>
      </c>
      <c r="S88" s="358">
        <f t="shared" si="27"/>
        <v>3816</v>
      </c>
      <c r="T88" s="350">
        <f t="shared" si="28"/>
        <v>7</v>
      </c>
      <c r="U88" s="230" t="str">
        <f t="shared" si="29"/>
        <v>要確認</v>
      </c>
      <c r="V88" s="230" t="str">
        <f t="shared" si="30"/>
        <v>安値圏</v>
      </c>
      <c r="W88" s="361" cm="1">
        <f t="array" ref="W88">IFERROR(100-100/(1+SUMPRODUCT((終値!F15:R15&gt;終値!G15:S15)*(終値!F15:R15-終値!G15:S15))/SUMPRODUCT((終値!F15:R15&lt;終値!G15:S15)*(終値!G15:S15-終値!F15:R15))),50)</f>
        <v>49.77116704805492</v>
      </c>
      <c r="X88" s="362">
        <f>IF(C88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-19.730722539095041</v>
      </c>
      <c r="Y88" s="230" t="str">
        <f t="shared" si="31"/>
        <v>相場上昇・見送り | 上昇トレンド▲ MACD- RSI:49.8 前日比:-0.2% [安値圏] [長い下ヒゲ(反発警戒)] [7点]</v>
      </c>
      <c r="Z88" s="363">
        <f t="shared" si="32"/>
        <v>-0.19042437431991296</v>
      </c>
      <c r="AA88" s="230" t="str">
        <f t="shared" si="33"/>
        <v>下落▼</v>
      </c>
      <c r="AB88" s="358">
        <f>IF(OR(C88="",C88="TOPX",終値!E15=""),"",IFERROR(((終値!E15*0.333)+(終値!F15*0.222)+(終値!G15*0.148)+(終値!H15*0.099)+(終値!I15*0.066))/(0.333+0.222+0.148+0.099+0.066),""))</f>
        <v>3619.4078341013824</v>
      </c>
      <c r="AC88" s="358">
        <f>IF(OR(C88="",C88="TOPX",終値!E15=""),"",IFERROR(SUMPRODUCT((終値!E15:AC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3663.045292014302</v>
      </c>
      <c r="AD88" s="230" t="str">
        <f t="shared" si="34"/>
        <v>上昇トレンド▲</v>
      </c>
      <c r="AE88" s="230" t="str">
        <f t="shared" si="35"/>
        <v>なし</v>
      </c>
      <c r="AF88" t="str">
        <f>IF(T88="","",IF(銘柄管理!$F$5="上昇▲",IF(AND(AD88="下降トレンド▼",OR(AE88="25日戻り売り★",AE88="5日戻り売り○")),"★逆張り売り",IF(AND(AD88="もみ合い→",OR(AE88="25日戻り売り★",AE88="5日戻り売り○")),"○逆張り売り",IF(W88&gt;=70,IF(Z88&lt;0,"◎反落確認","△過熱・様子見"),"相場上昇・見送り"))),IF(AND(T88&gt;=12,AD88="下降トレンド▼"),"★強い売り",IF(T88&gt;=12,"★強い売り",IF(AND(T88&gt;=8,OR(AE88="25日戻り売り★",AE88="5日戻り売り○")),"◎戻り売り",IF(T88&gt;=10,"○売り候補",IF(T88&gt;=6,"△注目",IF(T88&gt;=3,"様子見","見送り"))))))))</f>
        <v>相場上昇・見送り</v>
      </c>
      <c r="AG88">
        <f t="shared" si="37"/>
        <v>7</v>
      </c>
      <c r="AH88">
        <f t="shared" si="38"/>
        <v>69912</v>
      </c>
      <c r="AI88" s="412" cm="1">
        <f t="array" ref="AI88">IF(C88="","",IFERROR((INDEX(終値!$E:$E,MATCH(TEXT(C88,"0"),終値!$A:$A,0))-INDEX(終値!$E:$BL,MATCH(TEXT(C88,"0"),終値!$A:$A,0),$AN$2))/INDEX(終値!$E:$BL,MATCH(TEXT(C88,"0"),終値!$A:$A,0),$AN$2)*100,""))</f>
        <v>-5.1202482544608223</v>
      </c>
      <c r="AJ88" s="412" cm="1">
        <f t="array" ref="AJ88">IFERROR((終値!$E$5-INDEX(終値!$E$5:$BL$5,1,$AN$2))/INDEX(終値!$E$5:$BL$5,1,$AN$2)*100,"")</f>
        <v>3.4532270246721688</v>
      </c>
      <c r="AK88" s="413">
        <f t="shared" si="39"/>
        <v>-8.5734752791329907</v>
      </c>
      <c r="AL88" s="411">
        <f t="shared" si="40"/>
        <v>3</v>
      </c>
      <c r="AO88" s="415" t="str">
        <f t="shared" si="41"/>
        <v>長い下ヒゲ(反発警戒)</v>
      </c>
      <c r="AP88" s="416">
        <f t="shared" si="42"/>
        <v>-2</v>
      </c>
      <c r="AQ88">
        <f>IF(C88&lt;&gt;"",始値!F15,"")</f>
        <v>3630</v>
      </c>
      <c r="AR88">
        <f>IF(C88&lt;&gt;"",高値!F15,"")</f>
        <v>3699</v>
      </c>
      <c r="AS88">
        <f>IF(C88&lt;&gt;"",安値!F15,"")</f>
        <v>3622</v>
      </c>
      <c r="AT88" t="str">
        <f t="shared" si="36"/>
        <v>通常</v>
      </c>
      <c r="AU88">
        <f t="shared" si="43"/>
        <v>0</v>
      </c>
    </row>
    <row r="89" spans="1:47" ht="14.25">
      <c r="A89" s="349" t="str">
        <f>IF(銘柄管理!B16&lt;&gt;"",HYPERLINK("https://kabutan.jp/stock/?code="&amp;銘柄管理!B16,"株探"),"")</f>
        <v>株探</v>
      </c>
      <c r="B89" s="350"/>
      <c r="C89" s="350">
        <f>IF(銘柄管理!B16="","",銘柄管理!B16)</f>
        <v>8058</v>
      </c>
      <c r="D89" s="350" t="str">
        <f>IF(銘柄管理!C16="","",銘柄管理!C16)</f>
        <v>三菱商事</v>
      </c>
      <c r="E89" s="351">
        <f>IF(C89&lt;&gt;"",_xll.RssMarket(C89,"現在値"),"")</f>
        <v>4610</v>
      </c>
      <c r="F89" s="351">
        <f>IF(C89&lt;&gt;"",_xll.RssMarket(C89,"始値"),"")</f>
        <v>4628</v>
      </c>
      <c r="G89" s="350">
        <f>IF(C89&lt;&gt;"",終値!F16,"")</f>
        <v>4595</v>
      </c>
      <c r="H89" s="351">
        <f>IF(C89&lt;&gt;"",_xll.RssMarket(C89,"高値"),"")</f>
        <v>4672</v>
      </c>
      <c r="I89" s="351">
        <f>IF(C89&lt;&gt;"",_xll.RssMarket(C89,"安値"),"")</f>
        <v>4595</v>
      </c>
      <c r="J89" s="351">
        <f>IF(C89&lt;&gt;"",_xll.RssMarket(C89,"出来高"),"")</f>
        <v>7426100</v>
      </c>
      <c r="K89" s="351">
        <f>IF(C89&lt;&gt;"",_xll.RssMarket(C89,"年初来高値"),"")</f>
        <v>6012</v>
      </c>
      <c r="L89" s="352">
        <f t="shared" si="22"/>
        <v>-23.320026613439786</v>
      </c>
      <c r="M89" s="351">
        <f>IF(C89&lt;&gt;"",IFERROR(AVERAGE(出来高!E16:I16),""),"")</f>
        <v>8765660</v>
      </c>
      <c r="N89" s="351">
        <f>IF(C89&lt;&gt;"",IFERROR(AVERAGE(出来高!E16:AC16),""),"")</f>
        <v>10940848</v>
      </c>
      <c r="O89" s="353">
        <f t="shared" si="23"/>
        <v>0.84718093104227177</v>
      </c>
      <c r="P89" s="350" t="str">
        <f t="shared" si="24"/>
        <v>減少↓</v>
      </c>
      <c r="Q89" s="350" t="str">
        <f t="shared" si="25"/>
        <v>様子見▲</v>
      </c>
      <c r="R89" s="351">
        <f t="shared" si="26"/>
        <v>4241</v>
      </c>
      <c r="S89" s="351">
        <f t="shared" si="27"/>
        <v>4794</v>
      </c>
      <c r="T89" s="350">
        <f t="shared" si="28"/>
        <v>12</v>
      </c>
      <c r="U89" s="350" t="str">
        <f t="shared" si="29"/>
        <v>要確認</v>
      </c>
      <c r="V89" s="350" t="str">
        <f t="shared" si="30"/>
        <v>通常</v>
      </c>
      <c r="W89" s="354" cm="1">
        <f t="array" ref="W89">IFERROR(100-100/(1+SUMPRODUCT((終値!F16:R16&gt;終値!G16:S16)*(終値!F16:R16-終値!G16:S16))/SUMPRODUCT((終値!F16:R16&lt;終値!G16:S16)*(終値!G16:S16-終値!F16:R16))),50)</f>
        <v>15.509039010466225</v>
      </c>
      <c r="X89" s="355">
        <f>IF(C89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-108.66689685916572</v>
      </c>
      <c r="Y89" s="350" t="str">
        <f t="shared" si="31"/>
        <v>★逆張り売り | 下降トレンド▼ 5日戻り売り○ MACD- RSI:15.5 [売られ過ぎ] 前日比:+0.3%前日[大陰線▼] [12点]</v>
      </c>
      <c r="Z89" s="356">
        <f t="shared" si="32"/>
        <v>0.32644178454842221</v>
      </c>
      <c r="AA89" s="350" t="str">
        <f t="shared" si="33"/>
        <v>上昇▲</v>
      </c>
      <c r="AB89" s="351">
        <f>IF(OR(C89="",C89="TOPX",終値!E16=""),"",IFERROR(((終値!E16*0.333)+(終値!F16*0.222)+(終値!G16*0.148)+(終値!H16*0.099)+(終値!I16*0.066))/(0.333+0.222+0.148+0.099+0.066),""))</f>
        <v>4618.4205069124419</v>
      </c>
      <c r="AC89" s="351">
        <f>IF(OR(C89="",C89="TOPX",終値!E16=""),"",IFERROR(SUMPRODUCT((終値!E16:AC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4938.1108462455277</v>
      </c>
      <c r="AD89" s="350" t="str">
        <f t="shared" si="34"/>
        <v>下降トレンド▼</v>
      </c>
      <c r="AE89" s="350" t="str">
        <f t="shared" si="35"/>
        <v>5日戻り売り○</v>
      </c>
      <c r="AF89" t="str">
        <f>IF(T89="","",IF(銘柄管理!$F$5="上昇▲",IF(AND(AD89="下降トレンド▼",OR(AE89="25日戻り売り★",AE89="5日戻り売り○")),"★逆張り売り",IF(AND(AD89="もみ合い→",OR(AE89="25日戻り売り★",AE89="5日戻り売り○")),"○逆張り売り",IF(W89&gt;=70,IF(Z89&lt;0,"◎反落確認","△過熱・様子見"),"相場上昇・見送り"))),IF(AND(T89&gt;=12,AD89="下降トレンド▼"),"★強い売り",IF(T89&gt;=12,"★強い売り",IF(AND(T89&gt;=8,OR(AE89="25日戻り売り★",AE89="5日戻り売り○")),"◎戻り売り",IF(T89&gt;=10,"○売り候補",IF(T89&gt;=6,"△注目",IF(T89&gt;=3,"様子見","見送り"))))))))</f>
        <v>★逆張り売り</v>
      </c>
      <c r="AG89">
        <f t="shared" si="37"/>
        <v>12</v>
      </c>
      <c r="AH89">
        <f t="shared" si="38"/>
        <v>119911</v>
      </c>
      <c r="AI89" s="412" cm="1">
        <f t="array" ref="AI89">IF(C89="","",IFERROR((INDEX(終値!$E:$E,MATCH(TEXT(C89,"0"),終値!$A:$A,0))-INDEX(終値!$E:$BL,MATCH(TEXT(C89,"0"),終値!$A:$A,0),$AN$2))/INDEX(終値!$E:$BL,MATCH(TEXT(C89,"0"),終値!$A:$A,0),$AN$2)*100,""))</f>
        <v>-21.625297517851074</v>
      </c>
      <c r="AJ89" s="412" cm="1">
        <f t="array" ref="AJ89">IFERROR((終値!$E$5-INDEX(終値!$E$5:$BL$5,1,$AN$2))/INDEX(終値!$E$5:$BL$5,1,$AN$2)*100,"")</f>
        <v>3.4532270246721688</v>
      </c>
      <c r="AK89" s="413">
        <f t="shared" si="39"/>
        <v>-25.078524542523244</v>
      </c>
      <c r="AL89" s="411">
        <f t="shared" si="40"/>
        <v>3</v>
      </c>
      <c r="AO89" s="415" t="str">
        <f t="shared" si="41"/>
        <v>通常</v>
      </c>
      <c r="AP89" s="416">
        <f t="shared" si="42"/>
        <v>0</v>
      </c>
      <c r="AQ89">
        <f>IF(C89&lt;&gt;"",始値!F16,"")</f>
        <v>4731</v>
      </c>
      <c r="AR89">
        <f>IF(C89&lt;&gt;"",高値!F16,"")</f>
        <v>4739</v>
      </c>
      <c r="AS89">
        <f>IF(C89&lt;&gt;"",安値!F16,"")</f>
        <v>4588</v>
      </c>
      <c r="AT89" t="str">
        <f t="shared" si="36"/>
        <v>大陰線▼</v>
      </c>
      <c r="AU89">
        <f t="shared" si="43"/>
        <v>2</v>
      </c>
    </row>
    <row r="90" spans="1:47" ht="14.25">
      <c r="A90" s="357" t="str">
        <f>IF(銘柄管理!B20&lt;&gt;"",HYPERLINK("https://kabutan.jp/stock/?code="&amp;銘柄管理!B20,"株探"),"")</f>
        <v>株探</v>
      </c>
      <c r="B90" s="230"/>
      <c r="C90" s="230">
        <f>IF(銘柄管理!B20="","",銘柄管理!B20)</f>
        <v>5541</v>
      </c>
      <c r="D90" s="230" t="str">
        <f>IF(銘柄管理!C20="","",銘柄管理!C20)</f>
        <v>大平洋金属</v>
      </c>
      <c r="E90" s="358">
        <f>IF(C90&lt;&gt;"",_xll.RssMarket(C90,"現在値"),"")</f>
        <v>2285</v>
      </c>
      <c r="F90" s="358">
        <f>IF(C90&lt;&gt;"",_xll.RssMarket(C90,"始値"),"")</f>
        <v>2260</v>
      </c>
      <c r="G90" s="230">
        <f>IF(C90&lt;&gt;"",終値!F20,"")</f>
        <v>2271</v>
      </c>
      <c r="H90" s="358">
        <f>IF(C90&lt;&gt;"",_xll.RssMarket(C90,"高値"),"")</f>
        <v>2316</v>
      </c>
      <c r="I90" s="358">
        <f>IF(C90&lt;&gt;"",_xll.RssMarket(C90,"安値"),"")</f>
        <v>2257</v>
      </c>
      <c r="J90" s="358">
        <f>IF(C90&lt;&gt;"",_xll.RssMarket(C90,"出来高"),"")</f>
        <v>138100</v>
      </c>
      <c r="K90" s="358">
        <f>IF(C90&lt;&gt;"",_xll.RssMarket(C90,"年初来高値"),"")</f>
        <v>3865</v>
      </c>
      <c r="L90" s="359">
        <f t="shared" si="22"/>
        <v>-40.879689521345405</v>
      </c>
      <c r="M90" s="358">
        <f>IF(C90&lt;&gt;"",IFERROR(AVERAGE(出来高!E20:I20),""),"")</f>
        <v>252120</v>
      </c>
      <c r="N90" s="358">
        <f>IF(C90&lt;&gt;"",IFERROR(AVERAGE(出来高!E20:AC20),""),"")</f>
        <v>367164</v>
      </c>
      <c r="O90" s="360">
        <f t="shared" si="23"/>
        <v>0.54775503728383312</v>
      </c>
      <c r="P90" s="230" t="str">
        <f t="shared" si="24"/>
        <v>減少↓</v>
      </c>
      <c r="Q90" s="230" t="str">
        <f t="shared" si="25"/>
        <v>様子見▲</v>
      </c>
      <c r="R90" s="358">
        <f t="shared" si="26"/>
        <v>2102</v>
      </c>
      <c r="S90" s="358">
        <f t="shared" si="27"/>
        <v>2376</v>
      </c>
      <c r="T90" s="350">
        <f t="shared" si="28"/>
        <v>13</v>
      </c>
      <c r="U90" s="230" t="str">
        <f t="shared" si="29"/>
        <v>要確認</v>
      </c>
      <c r="V90" s="230" t="str">
        <f t="shared" si="30"/>
        <v>年初来安値圏●</v>
      </c>
      <c r="W90" s="361" cm="1">
        <f t="array" ref="W90">IFERROR(100-100/(1+SUMPRODUCT((終値!F20:R20&gt;終値!G20:S20)*(終値!F20:R20-終値!G20:S20))/SUMPRODUCT((終値!F20:R20&lt;終値!G20:S20)*(終値!G20:S20-終値!F20:R20))),50)</f>
        <v>53.422818791946312</v>
      </c>
      <c r="X90" s="362">
        <f>IF(C90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-6.5698080313950413</v>
      </c>
      <c r="Y90" s="230" t="str">
        <f t="shared" si="31"/>
        <v>相場上昇・見送り | 上昇トレンド▲ MACD- RSI:53.4 前日比:+0.6% [年初来安値圏]前日[大陰線▼] [13点]</v>
      </c>
      <c r="Z90" s="363">
        <f t="shared" si="32"/>
        <v>0.61646851607221487</v>
      </c>
      <c r="AA90" s="230" t="str">
        <f t="shared" si="33"/>
        <v>上昇▲</v>
      </c>
      <c r="AB90" s="358">
        <f>IF(OR(C90="",C90="TOPX",終値!E20=""),"",IFERROR(((終値!E20*0.333)+(終値!F20*0.222)+(終値!G20*0.148)+(終値!H20*0.099)+(終値!I20*0.066))/(0.333+0.222+0.148+0.099+0.066),""))</f>
        <v>2231.1082949308752</v>
      </c>
      <c r="AC90" s="358">
        <f>IF(OR(C90="",C90="TOPX",終値!E20=""),"",IFERROR(SUMPRODUCT((終値!E20:AC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2241.8176400476755</v>
      </c>
      <c r="AD90" s="230" t="str">
        <f t="shared" si="34"/>
        <v>上昇トレンド▲</v>
      </c>
      <c r="AE90" s="230" t="str">
        <f t="shared" si="35"/>
        <v>なし</v>
      </c>
      <c r="AF90" t="str">
        <f>IF(T90="","",IF(銘柄管理!$F$5="上昇▲",IF(AND(AD90="下降トレンド▼",OR(AE90="25日戻り売り★",AE90="5日戻り売り○")),"★逆張り売り",IF(AND(AD90="もみ合い→",OR(AE90="25日戻り売り★",AE90="5日戻り売り○")),"○逆張り売り",IF(W90&gt;=70,IF(Z90&lt;0,"◎反落確認","△過熱・様子見"),"相場上昇・見送り"))),IF(AND(T90&gt;=12,AD90="下降トレンド▼"),"★強い売り",IF(T90&gt;=12,"★強い売り",IF(AND(T90&gt;=8,OR(AE90="25日戻り売り★",AE90="5日戻り売り○")),"◎戻り売り",IF(T90&gt;=10,"○売り候補",IF(T90&gt;=6,"△注目",IF(T90&gt;=3,"様子見","見送り"))))))))</f>
        <v>相場上昇・見送り</v>
      </c>
      <c r="AG90">
        <f t="shared" si="37"/>
        <v>13</v>
      </c>
      <c r="AH90">
        <f t="shared" si="38"/>
        <v>129910</v>
      </c>
      <c r="AI90" s="412" cm="1">
        <f t="array" ref="AI90">IF(C90="","",IFERROR((INDEX(終値!$E:$E,MATCH(TEXT(C90,"0"),終値!$A:$A,0))-INDEX(終値!$E:$BL,MATCH(TEXT(C90,"0"),終値!$A:$A,0),$AN$2))/INDEX(終値!$E:$BL,MATCH(TEXT(C90,"0"),終値!$A:$A,0),$AN$2)*100,""))</f>
        <v>-3.9915966386554618</v>
      </c>
      <c r="AJ90" s="412" cm="1">
        <f t="array" ref="AJ90">IFERROR((終値!$E$5-INDEX(終値!$E$5:$BL$5,1,$AN$2))/INDEX(終値!$E$5:$BL$5,1,$AN$2)*100,"")</f>
        <v>3.4532270246721688</v>
      </c>
      <c r="AK90" s="413">
        <f t="shared" si="39"/>
        <v>-7.4448236633276306</v>
      </c>
      <c r="AL90" s="411">
        <f t="shared" si="40"/>
        <v>3</v>
      </c>
      <c r="AO90" s="415" t="str">
        <f t="shared" si="41"/>
        <v>通常</v>
      </c>
      <c r="AP90" s="416">
        <f t="shared" si="42"/>
        <v>0</v>
      </c>
      <c r="AQ90">
        <f>IF(C90&lt;&gt;"",始値!F20,"")</f>
        <v>2325</v>
      </c>
      <c r="AR90">
        <f>IF(C90&lt;&gt;"",高値!F20,"")</f>
        <v>2330</v>
      </c>
      <c r="AS90">
        <f>IF(C90&lt;&gt;"",安値!F20,"")</f>
        <v>2262</v>
      </c>
      <c r="AT90" t="str">
        <f t="shared" si="36"/>
        <v>大陰線▼</v>
      </c>
      <c r="AU90">
        <f t="shared" si="43"/>
        <v>2</v>
      </c>
    </row>
    <row r="91" spans="1:47" ht="14.25">
      <c r="A91" s="349" t="str">
        <f>IF(銘柄管理!B23&lt;&gt;"",HYPERLINK("https://kabutan.jp/stock/?code="&amp;銘柄管理!B23,"株探"),"")</f>
        <v>株探</v>
      </c>
      <c r="B91" s="350"/>
      <c r="C91" s="350">
        <f>IF(銘柄管理!B23="","",銘柄管理!B23)</f>
        <v>8795</v>
      </c>
      <c r="D91" s="350" t="str">
        <f>IF(銘柄管理!C23="","",銘柄管理!C23)</f>
        <v>Ｔ＆Ｄホールディングス</v>
      </c>
      <c r="E91" s="351">
        <f>IF(C91&lt;&gt;"",_xll.RssMarket(C91,"現在値"),"")</f>
        <v>4746</v>
      </c>
      <c r="F91" s="351">
        <f>IF(C91&lt;&gt;"",_xll.RssMarket(C91,"始値"),"")</f>
        <v>4945</v>
      </c>
      <c r="G91" s="350">
        <f>IF(C91&lt;&gt;"",終値!F23,"")</f>
        <v>4902</v>
      </c>
      <c r="H91" s="351">
        <f>IF(C91&lt;&gt;"",_xll.RssMarket(C91,"高値"),"")</f>
        <v>5017</v>
      </c>
      <c r="I91" s="351">
        <f>IF(C91&lt;&gt;"",_xll.RssMarket(C91,"安値"),"")</f>
        <v>4718</v>
      </c>
      <c r="J91" s="351">
        <f>IF(C91&lt;&gt;"",_xll.RssMarket(C91,"出来高"),"")</f>
        <v>2140500</v>
      </c>
      <c r="K91" s="351">
        <f>IF(C91&lt;&gt;"",_xll.RssMarket(C91,"年初来高値"),"")</f>
        <v>4981</v>
      </c>
      <c r="L91" s="352">
        <f t="shared" si="22"/>
        <v>-4.7179281268821525</v>
      </c>
      <c r="M91" s="351">
        <f>IF(C91&lt;&gt;"",IFERROR(AVERAGE(出来高!E23:I23),""),"")</f>
        <v>2471420</v>
      </c>
      <c r="N91" s="351">
        <f>IF(C91&lt;&gt;"",IFERROR(AVERAGE(出来高!E23:AC23),""),"")</f>
        <v>2279584</v>
      </c>
      <c r="O91" s="353">
        <f t="shared" si="23"/>
        <v>0.86610126971538626</v>
      </c>
      <c r="P91" s="350" t="str">
        <f t="shared" si="24"/>
        <v>減少↓</v>
      </c>
      <c r="Q91" s="350" t="str">
        <f t="shared" si="25"/>
        <v>中立→</v>
      </c>
      <c r="R91" s="351">
        <f t="shared" si="26"/>
        <v>4366</v>
      </c>
      <c r="S91" s="351">
        <f t="shared" si="27"/>
        <v>4936</v>
      </c>
      <c r="T91" s="350">
        <f t="shared" si="28"/>
        <v>3</v>
      </c>
      <c r="U91" s="350" t="str">
        <f t="shared" si="29"/>
        <v>要確認</v>
      </c>
      <c r="V91" s="350" t="str">
        <f t="shared" si="30"/>
        <v>通常</v>
      </c>
      <c r="W91" s="354" cm="1">
        <f t="array" ref="W91">IFERROR(100-100/(1+SUMPRODUCT((終値!F23:R23&gt;終値!G23:S23)*(終値!F23:R23-終値!G23:S23))/SUMPRODUCT((終値!F23:R23&lt;終値!G23:S23)*(終値!G23:S23-終値!F23:R23))),50)</f>
        <v>82.887266828872669</v>
      </c>
      <c r="X91" s="355">
        <f>IF(C91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88.362833795712504</v>
      </c>
      <c r="Y91" s="350" t="str">
        <f t="shared" si="31"/>
        <v>◎反落確認 | 上昇トレンド▲ 5日戻り売り○ MACD+ RSI:82.9 [過熱] 前日比:-3.2% [3点]</v>
      </c>
      <c r="Z91" s="356">
        <f t="shared" si="32"/>
        <v>-3.1823745410036719</v>
      </c>
      <c r="AA91" s="350" t="str">
        <f t="shared" si="33"/>
        <v>下落▼</v>
      </c>
      <c r="AB91" s="351">
        <f>IF(OR(C91="",C91="TOPX",終値!E23=""),"",IFERROR(((終値!E23*0.333)+(終値!F23*0.222)+(終値!G23*0.148)+(終値!H23*0.099)+(終値!I23*0.066))/(0.333+0.222+0.148+0.099+0.066),""))</f>
        <v>4765.2741935483873</v>
      </c>
      <c r="AC91" s="351">
        <f>IF(OR(C91="",C91="TOPX",終値!E23=""),"",IFERROR(SUMPRODUCT((終値!E23:AC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4400.3635280095341</v>
      </c>
      <c r="AD91" s="350" t="str">
        <f t="shared" si="34"/>
        <v>上昇トレンド▲</v>
      </c>
      <c r="AE91" s="350" t="str">
        <f t="shared" si="35"/>
        <v>5日戻り売り○</v>
      </c>
      <c r="AF91" t="str">
        <f>IF(T91="","",IF(銘柄管理!$F$5="上昇▲",IF(AND(AD91="下降トレンド▼",OR(AE91="25日戻り売り★",AE91="5日戻り売り○")),"★逆張り売り",IF(AND(AD91="もみ合い→",OR(AE91="25日戻り売り★",AE91="5日戻り売り○")),"○逆張り売り",IF(W91&gt;=70,IF(Z91&lt;0,"◎反落確認","△過熱・様子見"),"相場上昇・見送り"))),IF(AND(T91&gt;=12,AD91="下降トレンド▼"),"★強い売り",IF(T91&gt;=12,"★強い売り",IF(AND(T91&gt;=8,OR(AE91="25日戻り売り★",AE91="5日戻り売り○")),"◎戻り売り",IF(T91&gt;=10,"○売り候補",IF(T91&gt;=6,"△注目",IF(T91&gt;=3,"様子見","見送り"))))))))</f>
        <v>◎反落確認</v>
      </c>
      <c r="AG91">
        <f t="shared" si="37"/>
        <v>0</v>
      </c>
      <c r="AH91">
        <f t="shared" si="38"/>
        <v>0</v>
      </c>
      <c r="AI91" s="412" cm="1">
        <f t="array" ref="AI91">IF(C91="","",IFERROR((INDEX(終値!$E:$E,MATCH(TEXT(C91,"0"),終値!$A:$A,0))-INDEX(終値!$E:$BL,MATCH(TEXT(C91,"0"),終値!$A:$A,0),$AN$2))/INDEX(終値!$E:$BL,MATCH(TEXT(C91,"0"),終値!$A:$A,0),$AN$2)*100,""))</f>
        <v>18.590704647676162</v>
      </c>
      <c r="AJ91" s="412" cm="1">
        <f t="array" ref="AJ91">IFERROR((終値!$E$5-INDEX(終値!$E$5:$BL$5,1,$AN$2))/INDEX(終値!$E$5:$BL$5,1,$AN$2)*100,"")</f>
        <v>3.4532270246721688</v>
      </c>
      <c r="AK91" s="413">
        <f t="shared" si="39"/>
        <v>15.137477623003994</v>
      </c>
      <c r="AL91" s="411">
        <f t="shared" si="40"/>
        <v>-2</v>
      </c>
      <c r="AO91" s="415" t="str">
        <f t="shared" si="41"/>
        <v>通常</v>
      </c>
      <c r="AP91" s="416">
        <f t="shared" si="42"/>
        <v>0</v>
      </c>
      <c r="AQ91">
        <f>IF(C91&lt;&gt;"",始値!F23,"")</f>
        <v>4782</v>
      </c>
      <c r="AR91">
        <f>IF(C91&lt;&gt;"",高値!F23,"")</f>
        <v>4914</v>
      </c>
      <c r="AS91">
        <f>IF(C91&lt;&gt;"",安値!F23,"")</f>
        <v>4761</v>
      </c>
      <c r="AT91" t="str">
        <f t="shared" si="36"/>
        <v>通常</v>
      </c>
      <c r="AU91">
        <f t="shared" si="43"/>
        <v>0</v>
      </c>
    </row>
    <row r="92" spans="1:47" ht="14.25">
      <c r="A92" s="357" t="str">
        <f>IF(銘柄管理!B35&lt;&gt;"",HYPERLINK("https://kabutan.jp/stock/?code="&amp;銘柄管理!B35,"株探"),"")</f>
        <v>株探</v>
      </c>
      <c r="B92" s="230"/>
      <c r="C92" s="230">
        <f>IF(銘柄管理!B35="","",銘柄管理!B35)</f>
        <v>8308</v>
      </c>
      <c r="D92" s="230" t="str">
        <f>IF(銘柄管理!C35="","",銘柄管理!C35)</f>
        <v>りそなホールディングス</v>
      </c>
      <c r="E92" s="358">
        <f>IF(C92&lt;&gt;"",_xll.RssMarket(C92,"現在値"),"")</f>
        <v>2161.5</v>
      </c>
      <c r="F92" s="358">
        <f>IF(C92&lt;&gt;"",_xll.RssMarket(C92,"始値"),"")</f>
        <v>2222.5</v>
      </c>
      <c r="G92" s="230">
        <f>IF(C92&lt;&gt;"",終値!F35,"")</f>
        <v>2144.5</v>
      </c>
      <c r="H92" s="358">
        <f>IF(C92&lt;&gt;"",_xll.RssMarket(C92,"高値"),"")</f>
        <v>2232.5</v>
      </c>
      <c r="I92" s="358">
        <f>IF(C92&lt;&gt;"",_xll.RssMarket(C92,"安値"),"")</f>
        <v>2160.5</v>
      </c>
      <c r="J92" s="358">
        <f>IF(C92&lt;&gt;"",_xll.RssMarket(C92,"出来高"),"")</f>
        <v>10336500</v>
      </c>
      <c r="K92" s="358">
        <f>IF(C92&lt;&gt;"",_xll.RssMarket(C92,"年初来高値"),"")</f>
        <v>2277.5</v>
      </c>
      <c r="L92" s="359">
        <f t="shared" si="22"/>
        <v>-5.0933040614709109</v>
      </c>
      <c r="M92" s="358">
        <f>IF(C92&lt;&gt;"",IFERROR(AVERAGE(出来高!E35:I35),""),"")</f>
        <v>12107100</v>
      </c>
      <c r="N92" s="358">
        <f>IF(C92&lt;&gt;"",IFERROR(AVERAGE(出来高!E35:AC35),""),"")</f>
        <v>9755540</v>
      </c>
      <c r="O92" s="360">
        <f t="shared" si="23"/>
        <v>0.85375523453180369</v>
      </c>
      <c r="P92" s="230" t="str">
        <f t="shared" si="24"/>
        <v>減少↓</v>
      </c>
      <c r="Q92" s="230" t="str">
        <f t="shared" si="25"/>
        <v>様子見▲</v>
      </c>
      <c r="R92" s="358">
        <f t="shared" si="26"/>
        <v>1989</v>
      </c>
      <c r="S92" s="358">
        <f t="shared" si="27"/>
        <v>2248</v>
      </c>
      <c r="T92" s="350">
        <f t="shared" si="28"/>
        <v>0</v>
      </c>
      <c r="U92" s="230" t="str">
        <f t="shared" si="29"/>
        <v>除外</v>
      </c>
      <c r="V92" s="230" t="str">
        <f t="shared" si="30"/>
        <v>通常</v>
      </c>
      <c r="W92" s="361" cm="1">
        <f t="array" ref="W92">IFERROR(100-100/(1+SUMPRODUCT((終値!F35:R35&gt;終値!G35:S35)*(終値!F35:R35-終値!G35:S35))/SUMPRODUCT((終値!F35:R35&lt;終値!G35:S35)*(終値!G35:S35-終値!F35:R35))),50)</f>
        <v>52.827586206896548</v>
      </c>
      <c r="X92" s="362">
        <f>IF(C92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9.6562894295875594</v>
      </c>
      <c r="Y92" s="230" t="str">
        <f t="shared" si="31"/>
        <v>相場上昇・見送り | パーフェクト▲ MACD+ RSI:52.8 前日比:+0.8% [大陰線▼]前日[長い下ヒゲ(反発)] [0点]</v>
      </c>
      <c r="Z92" s="363">
        <f t="shared" si="32"/>
        <v>0.79272557705758928</v>
      </c>
      <c r="AA92" s="230" t="str">
        <f t="shared" si="33"/>
        <v>上昇▲</v>
      </c>
      <c r="AB92" s="358">
        <f>IF(OR(C92="",C92="TOPX",終値!E35=""),"",IFERROR(((終値!E35*0.333)+(終値!F35*0.222)+(終値!G35*0.148)+(終値!H35*0.099)+(終値!I35*0.066))/(0.333+0.222+0.148+0.099+0.066),""))</f>
        <v>2147.7793778801843</v>
      </c>
      <c r="AC92" s="358">
        <f>IF(OR(C92="",C92="TOPX",終値!E35=""),"",IFERROR(SUMPRODUCT((終値!E35:AC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2096.325387365911</v>
      </c>
      <c r="AD92" s="230" t="str">
        <f t="shared" si="34"/>
        <v>パーフェクト▲</v>
      </c>
      <c r="AE92" s="230" t="str">
        <f t="shared" si="35"/>
        <v>なし</v>
      </c>
      <c r="AF92" t="str">
        <f>IF(T92="","",IF(銘柄管理!$F$5="上昇▲",IF(AND(AD92="下降トレンド▼",OR(AE92="25日戻り売り★",AE92="5日戻り売り○")),"★逆張り売り",IF(AND(AD92="もみ合い→",OR(AE92="25日戻り売り★",AE92="5日戻り売り○")),"○逆張り売り",IF(W92&gt;=70,IF(Z92&lt;0,"◎反落確認","△過熱・様子見"),"相場上昇・見送り"))),IF(AND(T92&gt;=12,AD92="下降トレンド▼"),"★強い売り",IF(T92&gt;=12,"★強い売り",IF(AND(T92&gt;=8,OR(AE92="25日戻り売り★",AE92="5日戻り売り○")),"◎戻り売り",IF(T92&gt;=10,"○売り候補",IF(T92&gt;=6,"△注目",IF(T92&gt;=3,"様子見","見送り"))))))))</f>
        <v>相場上昇・見送り</v>
      </c>
      <c r="AG92">
        <f t="shared" si="37"/>
        <v>0</v>
      </c>
      <c r="AH92">
        <f t="shared" si="38"/>
        <v>0</v>
      </c>
      <c r="AI92" s="412" cm="1">
        <f t="array" ref="AI92">IF(C92="","",IFERROR((INDEX(終値!$E:$E,MATCH(TEXT(C92,"0"),終値!$A:$A,0))-INDEX(終値!$E:$BL,MATCH(TEXT(C92,"0"),終値!$A:$A,0),$AN$2))/INDEX(終値!$E:$BL,MATCH(TEXT(C92,"0"),終値!$A:$A,0),$AN$2)*100,""))</f>
        <v>5.5935515388373229</v>
      </c>
      <c r="AJ92" s="412" cm="1">
        <f t="array" ref="AJ92">IFERROR((終値!$E$5-INDEX(終値!$E$5:$BL$5,1,$AN$2))/INDEX(終値!$E$5:$BL$5,1,$AN$2)*100,"")</f>
        <v>3.4532270246721688</v>
      </c>
      <c r="AK92" s="413">
        <f t="shared" si="39"/>
        <v>2.1403245141651541</v>
      </c>
      <c r="AL92" s="411">
        <f t="shared" si="40"/>
        <v>-1</v>
      </c>
      <c r="AO92" s="415" t="str">
        <f t="shared" si="41"/>
        <v>大陰線▼</v>
      </c>
      <c r="AP92" s="416">
        <f t="shared" si="42"/>
        <v>2</v>
      </c>
      <c r="AQ92">
        <f>IF(C92&lt;&gt;"",始値!F35,"")</f>
        <v>2170.5</v>
      </c>
      <c r="AR92">
        <f>IF(C92&lt;&gt;"",高値!F35,"")</f>
        <v>2171</v>
      </c>
      <c r="AS92">
        <f>IF(C92&lt;&gt;"",安値!F35,"")</f>
        <v>2108.5</v>
      </c>
      <c r="AT92" t="str">
        <f t="shared" si="36"/>
        <v>長い下ヒゲ(反発)</v>
      </c>
      <c r="AU92">
        <f t="shared" si="43"/>
        <v>-2</v>
      </c>
    </row>
    <row r="93" spans="1:47" ht="14.25">
      <c r="A93" s="349" t="str">
        <f>IF(銘柄管理!B36&lt;&gt;"",HYPERLINK("https://kabutan.jp/stock/?code="&amp;銘柄管理!B36,"株探"),"")</f>
        <v>株探</v>
      </c>
      <c r="B93" s="350"/>
      <c r="C93" s="350">
        <f>IF(銘柄管理!B36="","",銘柄管理!B36)</f>
        <v>5938</v>
      </c>
      <c r="D93" s="350" t="str">
        <f>IF(銘柄管理!C36="","",銘柄管理!C36)</f>
        <v>ＬＩＸＩＬ</v>
      </c>
      <c r="E93" s="351">
        <f>IF(C93&lt;&gt;"",_xll.RssMarket(C93,"現在値"),"")</f>
        <v>1721.5</v>
      </c>
      <c r="F93" s="351">
        <f>IF(C93&lt;&gt;"",_xll.RssMarket(C93,"始値"),"")</f>
        <v>1728</v>
      </c>
      <c r="G93" s="350">
        <f>IF(C93&lt;&gt;"",終値!F36,"")</f>
        <v>1736</v>
      </c>
      <c r="H93" s="351">
        <f>IF(C93&lt;&gt;"",_xll.RssMarket(C93,"高値"),"")</f>
        <v>1743.5</v>
      </c>
      <c r="I93" s="351">
        <f>IF(C93&lt;&gt;"",_xll.RssMarket(C93,"安値"),"")</f>
        <v>1717</v>
      </c>
      <c r="J93" s="351">
        <f>IF(C93&lt;&gt;"",_xll.RssMarket(C93,"出来高"),"")</f>
        <v>1721200</v>
      </c>
      <c r="K93" s="351">
        <f>IF(C93&lt;&gt;"",_xll.RssMarket(C93,"年初来高値"),"")</f>
        <v>1943</v>
      </c>
      <c r="L93" s="352">
        <f t="shared" si="22"/>
        <v>-11.399897066392176</v>
      </c>
      <c r="M93" s="351">
        <f>IF(C93&lt;&gt;"",IFERROR(AVERAGE(出来高!E36:I36),""),"")</f>
        <v>1866440</v>
      </c>
      <c r="N93" s="351">
        <f>IF(C93&lt;&gt;"",IFERROR(AVERAGE(出来高!E36:AC36),""),"")</f>
        <v>1776320</v>
      </c>
      <c r="O93" s="353">
        <f t="shared" si="23"/>
        <v>0.92218340798525533</v>
      </c>
      <c r="P93" s="350" t="str">
        <f t="shared" si="24"/>
        <v>減少↓</v>
      </c>
      <c r="Q93" s="350" t="str">
        <f t="shared" si="25"/>
        <v>中立→</v>
      </c>
      <c r="R93" s="351">
        <f t="shared" si="26"/>
        <v>1584</v>
      </c>
      <c r="S93" s="351">
        <f t="shared" si="27"/>
        <v>1790</v>
      </c>
      <c r="T93" s="350">
        <f t="shared" si="28"/>
        <v>6</v>
      </c>
      <c r="U93" s="350" t="str">
        <f t="shared" si="29"/>
        <v>要確認</v>
      </c>
      <c r="V93" s="350" t="str">
        <f t="shared" si="30"/>
        <v>通常</v>
      </c>
      <c r="W93" s="354" cm="1">
        <f t="array" ref="W93">IFERROR(100-100/(1+SUMPRODUCT((終値!F36:R36&gt;終値!G36:S36)*(終値!F36:R36-終値!G36:S36))/SUMPRODUCT((終値!F36:R36&lt;終値!G36:S36)*(終値!G36:S36-終値!F36:R36))),50)</f>
        <v>75.138121546961329</v>
      </c>
      <c r="X93" s="355">
        <f>IF(C93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10.28163123559716</v>
      </c>
      <c r="Y93" s="350" t="str">
        <f t="shared" si="31"/>
        <v>◎反落確認 | 上昇トレンド▲ 5日戻り売り○ MACD+ RSI:75.1 [過熱] 前日比:-0.8% [6点]</v>
      </c>
      <c r="Z93" s="356">
        <f t="shared" si="32"/>
        <v>-0.83525345622119818</v>
      </c>
      <c r="AA93" s="350" t="str">
        <f t="shared" si="33"/>
        <v>下落▼</v>
      </c>
      <c r="AB93" s="351">
        <f>IF(OR(C93="",C93="TOPX",終値!E36=""),"",IFERROR(((終値!E36*0.333)+(終値!F36*0.222)+(終値!G36*0.148)+(終値!H36*0.099)+(終値!I36*0.066))/(0.333+0.222+0.148+0.099+0.066),""))</f>
        <v>1727.1952764976957</v>
      </c>
      <c r="AC93" s="351">
        <f>IF(OR(C93="",C93="TOPX",終値!E36=""),"",IFERROR(SUMPRODUCT((終値!E36:AC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1700.2193087008338</v>
      </c>
      <c r="AD93" s="350" t="str">
        <f t="shared" si="34"/>
        <v>上昇トレンド▲</v>
      </c>
      <c r="AE93" s="350" t="str">
        <f t="shared" si="35"/>
        <v>5日戻り売り○</v>
      </c>
      <c r="AF93" t="str">
        <f>IF(T93="","",IF(銘柄管理!$F$5="上昇▲",IF(AND(AD93="下降トレンド▼",OR(AE93="25日戻り売り★",AE93="5日戻り売り○")),"★逆張り売り",IF(AND(AD93="もみ合い→",OR(AE93="25日戻り売り★",AE93="5日戻り売り○")),"○逆張り売り",IF(W93&gt;=70,IF(Z93&lt;0,"◎反落確認","△過熱・様子見"),"相場上昇・見送り"))),IF(AND(T93&gt;=12,AD93="下降トレンド▼"),"★強い売り",IF(T93&gt;=12,"★強い売り",IF(AND(T93&gt;=8,OR(AE93="25日戻り売り★",AE93="5日戻り売り○")),"◎戻り売り",IF(T93&gt;=10,"○売り候補",IF(T93&gt;=6,"△注目",IF(T93&gt;=3,"様子見","見送り"))))))))</f>
        <v>◎反落確認</v>
      </c>
      <c r="AG93">
        <f t="shared" si="37"/>
        <v>0</v>
      </c>
      <c r="AH93">
        <f t="shared" si="38"/>
        <v>0</v>
      </c>
      <c r="AI93" s="412" cm="1">
        <f t="array" ref="AI93">IF(C93="","",IFERROR((INDEX(終値!$E:$E,MATCH(TEXT(C93,"0"),終値!$A:$A,0))-INDEX(終値!$E:$BL,MATCH(TEXT(C93,"0"),終値!$A:$A,0),$AN$2))/INDEX(終値!$E:$BL,MATCH(TEXT(C93,"0"),終値!$A:$A,0),$AN$2)*100,""))</f>
        <v>2.8375149342891275</v>
      </c>
      <c r="AJ93" s="412" cm="1">
        <f t="array" ref="AJ93">IFERROR((終値!$E$5-INDEX(終値!$E$5:$BL$5,1,$AN$2))/INDEX(終値!$E$5:$BL$5,1,$AN$2)*100,"")</f>
        <v>3.4532270246721688</v>
      </c>
      <c r="AK93" s="413">
        <f t="shared" si="39"/>
        <v>-0.61571209038304131</v>
      </c>
      <c r="AL93" s="411">
        <f t="shared" si="40"/>
        <v>1</v>
      </c>
      <c r="AO93" s="415" t="str">
        <f t="shared" si="41"/>
        <v>通常</v>
      </c>
      <c r="AP93" s="416">
        <f t="shared" si="42"/>
        <v>0</v>
      </c>
      <c r="AQ93">
        <f>IF(C93&lt;&gt;"",始値!F36,"")</f>
        <v>1734</v>
      </c>
      <c r="AR93">
        <f>IF(C93&lt;&gt;"",高値!F36,"")</f>
        <v>1739.5</v>
      </c>
      <c r="AS93">
        <f>IF(C93&lt;&gt;"",安値!F36,"")</f>
        <v>1727.5</v>
      </c>
      <c r="AT93" t="str">
        <f t="shared" si="36"/>
        <v>通常</v>
      </c>
      <c r="AU93">
        <f t="shared" si="43"/>
        <v>0</v>
      </c>
    </row>
    <row r="94" spans="1:47" ht="14.25">
      <c r="A94" s="357" t="str">
        <f>IF(銘柄管理!B37&lt;&gt;"",HYPERLINK("https://kabutan.jp/stock/?code="&amp;銘柄管理!B37,"株探"),"")</f>
        <v>株探</v>
      </c>
      <c r="B94" s="230"/>
      <c r="C94" s="230">
        <f>IF(銘柄管理!B37="","",銘柄管理!B37)</f>
        <v>8570</v>
      </c>
      <c r="D94" s="230" t="str">
        <f>IF(銘柄管理!C37="","",銘柄管理!C37)</f>
        <v>イオンフィナンシャルサービス</v>
      </c>
      <c r="E94" s="358">
        <f>IF(C94&lt;&gt;"",_xll.RssMarket(C94,"現在値"),"")</f>
        <v>1491.5</v>
      </c>
      <c r="F94" s="358">
        <f>IF(C94&lt;&gt;"",_xll.RssMarket(C94,"始値"),"")</f>
        <v>1514</v>
      </c>
      <c r="G94" s="230">
        <f>IF(C94&lt;&gt;"",終値!F37,"")</f>
        <v>1499.5</v>
      </c>
      <c r="H94" s="358">
        <f>IF(C94&lt;&gt;"",_xll.RssMarket(C94,"高値"),"")</f>
        <v>1519</v>
      </c>
      <c r="I94" s="358">
        <f>IF(C94&lt;&gt;"",_xll.RssMarket(C94,"安値"),"")</f>
        <v>1491.5</v>
      </c>
      <c r="J94" s="358">
        <f>IF(C94&lt;&gt;"",_xll.RssMarket(C94,"出来高"),"")</f>
        <v>338900</v>
      </c>
      <c r="K94" s="358">
        <f>IF(C94&lt;&gt;"",_xll.RssMarket(C94,"年初来高値"),"")</f>
        <v>1860</v>
      </c>
      <c r="L94" s="359">
        <f t="shared" si="22"/>
        <v>-19.811827956989248</v>
      </c>
      <c r="M94" s="358">
        <f>IF(C94&lt;&gt;"",IFERROR(AVERAGE(出来高!E37:I37),""),"")</f>
        <v>499400</v>
      </c>
      <c r="N94" s="358">
        <f>IF(C94&lt;&gt;"",IFERROR(AVERAGE(出来高!E37:AC37),""),"")</f>
        <v>587596</v>
      </c>
      <c r="O94" s="360">
        <f t="shared" si="23"/>
        <v>0.67861433720464559</v>
      </c>
      <c r="P94" s="230" t="str">
        <f t="shared" si="24"/>
        <v>減少↓</v>
      </c>
      <c r="Q94" s="230" t="str">
        <f t="shared" si="25"/>
        <v>中立→</v>
      </c>
      <c r="R94" s="358">
        <f t="shared" si="26"/>
        <v>1372</v>
      </c>
      <c r="S94" s="358">
        <f t="shared" si="27"/>
        <v>1551</v>
      </c>
      <c r="T94" s="350">
        <f t="shared" si="28"/>
        <v>14</v>
      </c>
      <c r="U94" s="230" t="str">
        <f t="shared" si="29"/>
        <v>要確認</v>
      </c>
      <c r="V94" s="230" t="str">
        <f t="shared" si="30"/>
        <v>通常</v>
      </c>
      <c r="W94" s="361" cm="1">
        <f t="array" ref="W94">IFERROR(100-100/(1+SUMPRODUCT((終値!F37:R37&gt;終値!G37:S37)*(終値!F37:R37-終値!G37:S37))/SUMPRODUCT((終値!F37:R37&lt;終値!G37:S37)*(終値!G37:S37-終値!F37:R37))),50)</f>
        <v>37.209302325581397</v>
      </c>
      <c r="X94" s="362">
        <f>IF(C94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-11.879096199236301</v>
      </c>
      <c r="Y94" s="230" t="str">
        <f t="shared" si="31"/>
        <v>★逆張り売り | 下降トレンド▼ 25日戻り売り★ MACD- RSI:37.2 前日比:-0.5% [大陰線▼] [14点]</v>
      </c>
      <c r="Z94" s="363">
        <f t="shared" si="32"/>
        <v>-0.53351117039012996</v>
      </c>
      <c r="AA94" s="230" t="str">
        <f t="shared" si="33"/>
        <v>下落▼</v>
      </c>
      <c r="AB94" s="358">
        <f>IF(OR(C94="",C94="TOPX",終値!E37=""),"",IFERROR(((終値!E37*0.333)+(終値!F37*0.222)+(終値!G37*0.148)+(終値!H37*0.099)+(終値!I37*0.066))/(0.333+0.222+0.148+0.099+0.066),""))</f>
        <v>1495.7597926267281</v>
      </c>
      <c r="AC94" s="358">
        <f>IF(OR(C94="",C94="TOPX",終値!E37=""),"",IFERROR(SUMPRODUCT((終値!E37:AC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1502.7926102502972</v>
      </c>
      <c r="AD94" s="230" t="str">
        <f t="shared" si="34"/>
        <v>下降トレンド▼</v>
      </c>
      <c r="AE94" s="230" t="str">
        <f t="shared" si="35"/>
        <v>25日戻り売り★</v>
      </c>
      <c r="AF94" t="str">
        <f>IF(T94="","",IF(銘柄管理!$F$5="上昇▲",IF(AND(AD94="下降トレンド▼",OR(AE94="25日戻り売り★",AE94="5日戻り売り○")),"★逆張り売り",IF(AND(AD94="もみ合い→",OR(AE94="25日戻り売り★",AE94="5日戻り売り○")),"○逆張り売り",IF(W94&gt;=70,IF(Z94&lt;0,"◎反落確認","△過熱・様子見"),"相場上昇・見送り"))),IF(AND(T94&gt;=12,AD94="下降トレンド▼"),"★強い売り",IF(T94&gt;=12,"★強い売り",IF(AND(T94&gt;=8,OR(AE94="25日戻り売り★",AE94="5日戻り売り○")),"◎戻り売り",IF(T94&gt;=10,"○売り候補",IF(T94&gt;=6,"△注目",IF(T94&gt;=3,"様子見","見送り"))))))))</f>
        <v>★逆張り売り</v>
      </c>
      <c r="AG94">
        <f t="shared" si="37"/>
        <v>14</v>
      </c>
      <c r="AH94">
        <f t="shared" si="38"/>
        <v>139906</v>
      </c>
      <c r="AI94" s="412" cm="1">
        <f t="array" ref="AI94">IF(C94="","",IFERROR((INDEX(終値!$E:$E,MATCH(TEXT(C94,"0"),終値!$A:$A,0))-INDEX(終値!$E:$BL,MATCH(TEXT(C94,"0"),終値!$A:$A,0),$AN$2))/INDEX(終値!$E:$BL,MATCH(TEXT(C94,"0"),終値!$A:$A,0),$AN$2)*100,""))</f>
        <v>-2.67536704730832</v>
      </c>
      <c r="AJ94" s="412" cm="1">
        <f t="array" ref="AJ94">IFERROR((終値!$E$5-INDEX(終値!$E$5:$BL$5,1,$AN$2))/INDEX(終値!$E$5:$BL$5,1,$AN$2)*100,"")</f>
        <v>3.4532270246721688</v>
      </c>
      <c r="AK94" s="413">
        <f t="shared" si="39"/>
        <v>-6.1285940719804888</v>
      </c>
      <c r="AL94" s="411">
        <f t="shared" si="40"/>
        <v>3</v>
      </c>
      <c r="AO94" s="415" t="str">
        <f t="shared" si="41"/>
        <v>大陰線▼</v>
      </c>
      <c r="AP94" s="416">
        <f t="shared" si="42"/>
        <v>2</v>
      </c>
      <c r="AQ94">
        <f>IF(C94&lt;&gt;"",始値!F37,"")</f>
        <v>1498</v>
      </c>
      <c r="AR94">
        <f>IF(C94&lt;&gt;"",高値!F37,"")</f>
        <v>1511</v>
      </c>
      <c r="AS94">
        <f>IF(C94&lt;&gt;"",安値!F37,"")</f>
        <v>1485</v>
      </c>
      <c r="AT94" t="str">
        <f t="shared" si="36"/>
        <v>通常</v>
      </c>
      <c r="AU94">
        <f t="shared" si="43"/>
        <v>0</v>
      </c>
    </row>
    <row r="95" spans="1:47" ht="14.25">
      <c r="A95" s="349" t="str">
        <f>IF(銘柄管理!B38&lt;&gt;"",HYPERLINK("https://kabutan.jp/stock/?code="&amp;銘柄管理!B38,"株探"),"")</f>
        <v>株探</v>
      </c>
      <c r="B95" s="350"/>
      <c r="C95" s="350">
        <f>IF(銘柄管理!B38="","",銘柄管理!B38)</f>
        <v>5406</v>
      </c>
      <c r="D95" s="350" t="str">
        <f>IF(銘柄管理!C38="","",銘柄管理!C38)</f>
        <v>神戸製鋼所</v>
      </c>
      <c r="E95" s="351">
        <f>IF(C95&lt;&gt;"",_xll.RssMarket(C95,"現在値"),"")</f>
        <v>1978</v>
      </c>
      <c r="F95" s="351">
        <f>IF(C95&lt;&gt;"",_xll.RssMarket(C95,"始値"),"")</f>
        <v>1989.5</v>
      </c>
      <c r="G95" s="350">
        <f>IF(C95&lt;&gt;"",終値!F38,"")</f>
        <v>1989.5</v>
      </c>
      <c r="H95" s="351">
        <f>IF(C95&lt;&gt;"",_xll.RssMarket(C95,"高値"),"")</f>
        <v>1995</v>
      </c>
      <c r="I95" s="351">
        <f>IF(C95&lt;&gt;"",_xll.RssMarket(C95,"安値"),"")</f>
        <v>1973</v>
      </c>
      <c r="J95" s="351">
        <f>IF(C95&lt;&gt;"",_xll.RssMarket(C95,"出来高"),"")</f>
        <v>1310000</v>
      </c>
      <c r="K95" s="351">
        <f>IF(C95&lt;&gt;"",_xll.RssMarket(C95,"年初来高値"),"")</f>
        <v>2379.5</v>
      </c>
      <c r="L95" s="352">
        <f t="shared" si="22"/>
        <v>-16.873292708552217</v>
      </c>
      <c r="M95" s="351">
        <f>IF(C95&lt;&gt;"",IFERROR(AVERAGE(出来高!E38:I38),""),"")</f>
        <v>1718500</v>
      </c>
      <c r="N95" s="351">
        <f>IF(C95&lt;&gt;"",IFERROR(AVERAGE(出来高!E38:AC38),""),"")</f>
        <v>2605132</v>
      </c>
      <c r="O95" s="353">
        <f t="shared" si="23"/>
        <v>0.76229269711958103</v>
      </c>
      <c r="P95" s="350" t="str">
        <f t="shared" si="24"/>
        <v>減少↓</v>
      </c>
      <c r="Q95" s="350" t="str">
        <f t="shared" si="25"/>
        <v>中立→</v>
      </c>
      <c r="R95" s="351">
        <f t="shared" si="26"/>
        <v>1820</v>
      </c>
      <c r="S95" s="351">
        <f t="shared" si="27"/>
        <v>2057</v>
      </c>
      <c r="T95" s="350">
        <f t="shared" si="28"/>
        <v>4</v>
      </c>
      <c r="U95" s="350" t="str">
        <f t="shared" si="29"/>
        <v>要確認</v>
      </c>
      <c r="V95" s="350" t="str">
        <f t="shared" si="30"/>
        <v>通常</v>
      </c>
      <c r="W95" s="354" cm="1">
        <f t="array" ref="W95">IFERROR(100-100/(1+SUMPRODUCT((終値!F38:R38&gt;終値!G38:S38)*(終値!F38:R38-終値!G38:S38))/SUMPRODUCT((終値!F38:R38&lt;終値!G38:S38)*(終値!G38:S38-終値!F38:R38))),50)</f>
        <v>55.25362318840579</v>
      </c>
      <c r="X95" s="355">
        <f>IF(C95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0.75855659352328075</v>
      </c>
      <c r="Y95" s="350" t="str">
        <f t="shared" si="31"/>
        <v>相場上昇・見送り | パーフェクト▲ MACD+ RSI:55.3 前日比:-0.6% [4点]</v>
      </c>
      <c r="Z95" s="356">
        <f t="shared" si="32"/>
        <v>-0.57803468208092479</v>
      </c>
      <c r="AA95" s="350" t="str">
        <f t="shared" si="33"/>
        <v>下落▼</v>
      </c>
      <c r="AB95" s="351">
        <f>IF(OR(C95="",C95="TOPX",終値!E38=""),"",IFERROR(((終値!E38*0.333)+(終値!F38*0.222)+(終値!G38*0.148)+(終値!H38*0.099)+(終値!I38*0.066))/(0.333+0.222+0.148+0.099+0.066),""))</f>
        <v>1959.1900921658985</v>
      </c>
      <c r="AC95" s="351">
        <f>IF(OR(C95="",C95="TOPX",終値!E38=""),"",IFERROR(SUMPRODUCT((終値!E38:AC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1945.8837902264593</v>
      </c>
      <c r="AD95" s="350" t="str">
        <f t="shared" si="34"/>
        <v>パーフェクト▲</v>
      </c>
      <c r="AE95" s="350" t="str">
        <f t="shared" si="35"/>
        <v>なし</v>
      </c>
      <c r="AF95" t="str">
        <f>IF(T95="","",IF(銘柄管理!$F$5="上昇▲",IF(AND(AD95="下降トレンド▼",OR(AE95="25日戻り売り★",AE95="5日戻り売り○")),"★逆張り売り",IF(AND(AD95="もみ合い→",OR(AE95="25日戻り売り★",AE95="5日戻り売り○")),"○逆張り売り",IF(W95&gt;=70,IF(Z95&lt;0,"◎反落確認","△過熱・様子見"),"相場上昇・見送り"))),IF(AND(T95&gt;=12,AD95="下降トレンド▼"),"★強い売り",IF(T95&gt;=12,"★強い売り",IF(AND(T95&gt;=8,OR(AE95="25日戻り売り★",AE95="5日戻り売り○")),"◎戻り売り",IF(T95&gt;=10,"○売り候補",IF(T95&gt;=6,"△注目",IF(T95&gt;=3,"様子見","見送り"))))))))</f>
        <v>相場上昇・見送り</v>
      </c>
      <c r="AG95">
        <f t="shared" si="37"/>
        <v>0</v>
      </c>
      <c r="AH95">
        <f t="shared" si="38"/>
        <v>0</v>
      </c>
      <c r="AI95" s="412" cm="1">
        <f t="array" ref="AI95">IF(C95="","",IFERROR((INDEX(終値!$E:$E,MATCH(TEXT(C95,"0"),終値!$A:$A,0))-INDEX(終値!$E:$BL,MATCH(TEXT(C95,"0"),終値!$A:$A,0),$AN$2))/INDEX(終値!$E:$BL,MATCH(TEXT(C95,"0"),終値!$A:$A,0),$AN$2)*100,""))</f>
        <v>-7.5776711290729978E-2</v>
      </c>
      <c r="AJ95" s="412" cm="1">
        <f t="array" ref="AJ95">IFERROR((終値!$E$5-INDEX(終値!$E$5:$BL$5,1,$AN$2))/INDEX(終値!$E$5:$BL$5,1,$AN$2)*100,"")</f>
        <v>3.4532270246721688</v>
      </c>
      <c r="AK95" s="413">
        <f t="shared" si="39"/>
        <v>-3.529003735962899</v>
      </c>
      <c r="AL95" s="411">
        <f t="shared" si="40"/>
        <v>1</v>
      </c>
      <c r="AO95" s="415" t="str">
        <f t="shared" si="41"/>
        <v>通常</v>
      </c>
      <c r="AP95" s="416">
        <f t="shared" si="42"/>
        <v>0</v>
      </c>
      <c r="AQ95">
        <f>IF(C95&lt;&gt;"",始値!F38,"")</f>
        <v>2000</v>
      </c>
      <c r="AR95">
        <f>IF(C95&lt;&gt;"",高値!F38,"")</f>
        <v>2003</v>
      </c>
      <c r="AS95">
        <f>IF(C95&lt;&gt;"",安値!F38,"")</f>
        <v>1981.5</v>
      </c>
      <c r="AT95" t="str">
        <f t="shared" si="36"/>
        <v>通常</v>
      </c>
      <c r="AU95">
        <f t="shared" si="43"/>
        <v>0</v>
      </c>
    </row>
    <row r="96" spans="1:47" ht="14.25">
      <c r="A96" s="357" t="str">
        <f>IF(銘柄管理!B42&lt;&gt;"",HYPERLINK("https://kabutan.jp/stock/?code="&amp;銘柄管理!B42,"株探"),"")</f>
        <v>株探</v>
      </c>
      <c r="B96" s="230"/>
      <c r="C96" s="230">
        <f>IF(銘柄管理!B42="","",銘柄管理!B42)</f>
        <v>5947</v>
      </c>
      <c r="D96" s="230" t="str">
        <f>IF(銘柄管理!C42="","",銘柄管理!C42)</f>
        <v>リンナイ</v>
      </c>
      <c r="E96" s="358">
        <f>IF(C96&lt;&gt;"",_xll.RssMarket(C96,"現在値"),"")</f>
        <v>3465</v>
      </c>
      <c r="F96" s="358">
        <f>IF(C96&lt;&gt;"",_xll.RssMarket(C96,"始値"),"")</f>
        <v>3428</v>
      </c>
      <c r="G96" s="230">
        <f>IF(C96&lt;&gt;"",終値!F42,"")</f>
        <v>3421</v>
      </c>
      <c r="H96" s="358">
        <f>IF(C96&lt;&gt;"",_xll.RssMarket(C96,"高値"),"")</f>
        <v>3465</v>
      </c>
      <c r="I96" s="358">
        <f>IF(C96&lt;&gt;"",_xll.RssMarket(C96,"安値"),"")</f>
        <v>3428</v>
      </c>
      <c r="J96" s="358">
        <f>IF(C96&lt;&gt;"",_xll.RssMarket(C96,"出来高"),"")</f>
        <v>423300</v>
      </c>
      <c r="K96" s="358">
        <f>IF(C96&lt;&gt;"",_xll.RssMarket(C96,"年初来高値"),"")</f>
        <v>4456</v>
      </c>
      <c r="L96" s="359">
        <f t="shared" si="22"/>
        <v>-22.239676840215438</v>
      </c>
      <c r="M96" s="358">
        <f>IF(C96&lt;&gt;"",IFERROR(AVERAGE(出来高!E42:I42),""),"")</f>
        <v>423760</v>
      </c>
      <c r="N96" s="358">
        <f>IF(C96&lt;&gt;"",IFERROR(AVERAGE(出来高!E42:AC42),""),"")</f>
        <v>535212</v>
      </c>
      <c r="O96" s="360">
        <f t="shared" si="23"/>
        <v>0.99891447989427973</v>
      </c>
      <c r="P96" s="230" t="str">
        <f t="shared" si="24"/>
        <v>減少↓</v>
      </c>
      <c r="Q96" s="230" t="str">
        <f t="shared" si="25"/>
        <v>様子見▲</v>
      </c>
      <c r="R96" s="358">
        <f t="shared" si="26"/>
        <v>3188</v>
      </c>
      <c r="S96" s="358">
        <f t="shared" si="27"/>
        <v>3604</v>
      </c>
      <c r="T96" s="350">
        <f t="shared" si="28"/>
        <v>1</v>
      </c>
      <c r="U96" s="230" t="str">
        <f t="shared" si="29"/>
        <v>除外</v>
      </c>
      <c r="V96" s="230" t="str">
        <f t="shared" si="30"/>
        <v>通常</v>
      </c>
      <c r="W96" s="361" cm="1">
        <f t="array" ref="W96">IFERROR(100-100/(1+SUMPRODUCT((終値!F42:R42&gt;終値!G42:S42)*(終値!F42:R42-終値!G42:S42))/SUMPRODUCT((終値!F42:R42&lt;終値!G42:S42)*(終値!G42:S42-終値!F42:R42))),50)</f>
        <v>41.650294695481328</v>
      </c>
      <c r="X96" s="362">
        <f>IF(C96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-4.6373771588005184</v>
      </c>
      <c r="Y96" s="230" t="str">
        <f t="shared" si="31"/>
        <v>相場上昇・見送り | 上昇トレンド▲ 5日戻り売り○ MACD- RSI:41.7 前日比:+1.3%前日[長い下ヒゲ(反発)] [1点]</v>
      </c>
      <c r="Z96" s="363">
        <f t="shared" si="32"/>
        <v>1.2861736334405145</v>
      </c>
      <c r="AA96" s="230" t="str">
        <f t="shared" si="33"/>
        <v>上昇▲</v>
      </c>
      <c r="AB96" s="358">
        <f>IF(OR(C96="",C96="TOPX",終値!E42=""),"",IFERROR(((終値!E42*0.333)+(終値!F42*0.222)+(終値!G42*0.148)+(終値!H42*0.099)+(終値!I42*0.066))/(0.333+0.222+0.148+0.099+0.066),""))</f>
        <v>3467.8790322580644</v>
      </c>
      <c r="AC96" s="358">
        <f>IF(OR(C96="",C96="TOPX",終値!E42=""),"",IFERROR(SUMPRODUCT((終値!E42:AC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3456.2145411203796</v>
      </c>
      <c r="AD96" s="230" t="str">
        <f t="shared" si="34"/>
        <v>上昇トレンド▲</v>
      </c>
      <c r="AE96" s="230" t="str">
        <f t="shared" si="35"/>
        <v>5日戻り売り○</v>
      </c>
      <c r="AF96" t="str">
        <f>IF(T96="","",IF(銘柄管理!$F$5="上昇▲",IF(AND(AD96="下降トレンド▼",OR(AE96="25日戻り売り★",AE96="5日戻り売り○")),"★逆張り売り",IF(AND(AD96="もみ合い→",OR(AE96="25日戻り売り★",AE96="5日戻り売り○")),"○逆張り売り",IF(W96&gt;=70,IF(Z96&lt;0,"◎反落確認","△過熱・様子見"),"相場上昇・見送り"))),IF(AND(T96&gt;=12,AD96="下降トレンド▼"),"★強い売り",IF(T96&gt;=12,"★強い売り",IF(AND(T96&gt;=8,OR(AE96="25日戻り売り★",AE96="5日戻り売り○")),"◎戻り売り",IF(T96&gt;=10,"○売り候補",IF(T96&gt;=6,"△注目",IF(T96&gt;=3,"様子見","見送り"))))))))</f>
        <v>相場上昇・見送り</v>
      </c>
      <c r="AG96">
        <f t="shared" si="37"/>
        <v>0</v>
      </c>
      <c r="AH96">
        <f t="shared" si="38"/>
        <v>0</v>
      </c>
      <c r="AI96" s="412" cm="1">
        <f t="array" ref="AI96">IF(C96="","",IFERROR((INDEX(終値!$E:$E,MATCH(TEXT(C96,"0"),終値!$A:$A,0))-INDEX(終値!$E:$BL,MATCH(TEXT(C96,"0"),終値!$A:$A,0),$AN$2))/INDEX(終値!$E:$BL,MATCH(TEXT(C96,"0"),終値!$A:$A,0),$AN$2)*100,""))</f>
        <v>3.5564853556485359</v>
      </c>
      <c r="AJ96" s="412" cm="1">
        <f t="array" ref="AJ96">IFERROR((終値!$E$5-INDEX(終値!$E$5:$BL$5,1,$AN$2))/INDEX(終値!$E$5:$BL$5,1,$AN$2)*100,"")</f>
        <v>3.4532270246721688</v>
      </c>
      <c r="AK96" s="413">
        <f t="shared" si="39"/>
        <v>0.10325833097636705</v>
      </c>
      <c r="AL96" s="411">
        <f t="shared" si="40"/>
        <v>-1</v>
      </c>
      <c r="AO96" s="415" t="str">
        <f t="shared" si="41"/>
        <v>通常</v>
      </c>
      <c r="AP96" s="416">
        <f t="shared" si="42"/>
        <v>0</v>
      </c>
      <c r="AQ96">
        <f>IF(C96&lt;&gt;"",始値!F42,"")</f>
        <v>3435</v>
      </c>
      <c r="AR96">
        <f>IF(C96&lt;&gt;"",高値!F42,"")</f>
        <v>3441</v>
      </c>
      <c r="AS96">
        <f>IF(C96&lt;&gt;"",安値!F42,"")</f>
        <v>3392</v>
      </c>
      <c r="AT96" t="str">
        <f t="shared" si="36"/>
        <v>長い下ヒゲ(反発)</v>
      </c>
      <c r="AU96">
        <f t="shared" si="43"/>
        <v>-2</v>
      </c>
    </row>
    <row r="97" spans="1:47" ht="14.25">
      <c r="A97" s="349" t="str">
        <f>IF(銘柄管理!B51&lt;&gt;"",HYPERLINK("https://kabutan.jp/stock/?code="&amp;銘柄管理!B51,"株探"),"")</f>
        <v>株探</v>
      </c>
      <c r="B97" s="350"/>
      <c r="C97" s="350">
        <f>IF(銘柄管理!B51="","",銘柄管理!B51)</f>
        <v>5449</v>
      </c>
      <c r="D97" s="350" t="str">
        <f>IF(銘柄管理!C51="","",銘柄管理!C51)</f>
        <v>大阪製鐵</v>
      </c>
      <c r="E97" s="351">
        <f>IF(C97&lt;&gt;"",_xll.RssMarket(C97,"現在値"),"")</f>
        <v>2238</v>
      </c>
      <c r="F97" s="351">
        <f>IF(C97&lt;&gt;"",_xll.RssMarket(C97,"始値"),"")</f>
        <v>2380</v>
      </c>
      <c r="G97" s="350">
        <f>IF(C97&lt;&gt;"",終値!F51,"")</f>
        <v>2406</v>
      </c>
      <c r="H97" s="351">
        <f>IF(C97&lt;&gt;"",_xll.RssMarket(C97,"高値"),"")</f>
        <v>2401</v>
      </c>
      <c r="I97" s="351">
        <f>IF(C97&lt;&gt;"",_xll.RssMarket(C97,"安値"),"")</f>
        <v>2238</v>
      </c>
      <c r="J97" s="351">
        <f>IF(C97&lt;&gt;"",_xll.RssMarket(C97,"出来高"),"")</f>
        <v>91100</v>
      </c>
      <c r="K97" s="351">
        <f>IF(C97&lt;&gt;"",_xll.RssMarket(C97,"年初来高値"),"")</f>
        <v>3935</v>
      </c>
      <c r="L97" s="352">
        <f t="shared" si="22"/>
        <v>-43.125794155019058</v>
      </c>
      <c r="M97" s="351">
        <f>IF(C97&lt;&gt;"",IFERROR(AVERAGE(出来高!E51:I51),""),"")</f>
        <v>48320</v>
      </c>
      <c r="N97" s="351">
        <f>IF(C97&lt;&gt;"",IFERROR(AVERAGE(出来高!E51:AC51),""),"")</f>
        <v>73132</v>
      </c>
      <c r="O97" s="353">
        <f t="shared" si="23"/>
        <v>1.8853476821192052</v>
      </c>
      <c r="P97" s="350" t="str">
        <f t="shared" si="24"/>
        <v>増加↑</v>
      </c>
      <c r="Q97" s="350" t="str">
        <f t="shared" si="25"/>
        <v>売り▼</v>
      </c>
      <c r="R97" s="351">
        <f t="shared" si="26"/>
        <v>2059</v>
      </c>
      <c r="S97" s="351">
        <f t="shared" si="27"/>
        <v>2328</v>
      </c>
      <c r="T97" s="350">
        <f t="shared" si="28"/>
        <v>19</v>
      </c>
      <c r="U97" s="350" t="str">
        <f t="shared" si="29"/>
        <v>有効</v>
      </c>
      <c r="V97" s="350" t="str">
        <f t="shared" si="30"/>
        <v>年初来安値圏●</v>
      </c>
      <c r="W97" s="354" cm="1">
        <f t="array" ref="W97">IFERROR(100-100/(1+SUMPRODUCT((終値!F51:R51&gt;終値!G51:S51)*(終値!F51:R51-終値!G51:S51))/SUMPRODUCT((終値!F51:R51&lt;終値!G51:S51)*(終値!G51:S51-終値!F51:R51))),50)</f>
        <v>44.191343963553528</v>
      </c>
      <c r="X97" s="355">
        <f>IF(C97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-20.047815028717196</v>
      </c>
      <c r="Y97" s="350" t="str">
        <f t="shared" si="31"/>
        <v>相場上昇・見送り | 下降トレンド▼ MACD- RSI:44.2 前日比:-7.0% [年初来安値圏] [大陰線▼] [19点]</v>
      </c>
      <c r="Z97" s="356">
        <f t="shared" si="32"/>
        <v>-6.982543640897755</v>
      </c>
      <c r="AA97" s="350" t="str">
        <f t="shared" si="33"/>
        <v>下落▼</v>
      </c>
      <c r="AB97" s="351">
        <f>IF(OR(C97="",C97="TOPX",終値!E51=""),"",IFERROR(((終値!E51*0.333)+(終値!F51*0.222)+(終値!G51*0.148)+(終値!H51*0.099)+(終値!I51*0.066))/(0.333+0.222+0.148+0.099+0.066),""))</f>
        <v>2311.7442396313363</v>
      </c>
      <c r="AC97" s="351">
        <f>IF(OR(C97="",C97="TOPX",終値!E51=""),"",IFERROR(SUMPRODUCT((終値!E51:AC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2367.7628128724668</v>
      </c>
      <c r="AD97" s="350" t="str">
        <f t="shared" si="34"/>
        <v>下降トレンド▼</v>
      </c>
      <c r="AE97" s="350" t="str">
        <f t="shared" si="35"/>
        <v>なし</v>
      </c>
      <c r="AF97" t="str">
        <f>IF(T97="","",IF(銘柄管理!$F$5="上昇▲",IF(AND(AD97="下降トレンド▼",OR(AE97="25日戻り売り★",AE97="5日戻り売り○")),"★逆張り売り",IF(AND(AD97="もみ合い→",OR(AE97="25日戻り売り★",AE97="5日戻り売り○")),"○逆張り売り",IF(W97&gt;=70,IF(Z97&lt;0,"◎反落確認","△過熱・様子見"),"相場上昇・見送り"))),IF(AND(T97&gt;=12,AD97="下降トレンド▼"),"★強い売り",IF(T97&gt;=12,"★強い売り",IF(AND(T97&gt;=8,OR(AE97="25日戻り売り★",AE97="5日戻り売り○")),"◎戻り売り",IF(T97&gt;=10,"○売り候補",IF(T97&gt;=6,"△注目",IF(T97&gt;=3,"様子見","見送り"))))))))</f>
        <v>相場上昇・見送り</v>
      </c>
      <c r="AG97">
        <f t="shared" si="37"/>
        <v>19</v>
      </c>
      <c r="AH97">
        <f t="shared" si="38"/>
        <v>189903</v>
      </c>
      <c r="AI97" s="412" cm="1">
        <f t="array" ref="AI97">IF(C97="","",IFERROR((INDEX(終値!$E:$E,MATCH(TEXT(C97,"0"),終値!$A:$A,0))-INDEX(終値!$E:$BL,MATCH(TEXT(C97,"0"),終値!$A:$A,0),$AN$2))/INDEX(終値!$E:$BL,MATCH(TEXT(C97,"0"),終値!$A:$A,0),$AN$2)*100,""))</f>
        <v>-4.4814340588988477</v>
      </c>
      <c r="AJ97" s="412" cm="1">
        <f t="array" ref="AJ97">IFERROR((終値!$E$5-INDEX(終値!$E$5:$BL$5,1,$AN$2))/INDEX(終値!$E$5:$BL$5,1,$AN$2)*100,"")</f>
        <v>3.4532270246721688</v>
      </c>
      <c r="AK97" s="413">
        <f t="shared" si="39"/>
        <v>-7.934661083571017</v>
      </c>
      <c r="AL97" s="411">
        <f t="shared" si="40"/>
        <v>3</v>
      </c>
      <c r="AO97" s="415" t="str">
        <f t="shared" si="41"/>
        <v>大陰線▼</v>
      </c>
      <c r="AP97" s="416">
        <f t="shared" si="42"/>
        <v>2</v>
      </c>
      <c r="AQ97">
        <f>IF(C97&lt;&gt;"",始値!F51,"")</f>
        <v>2399</v>
      </c>
      <c r="AR97">
        <f>IF(C97&lt;&gt;"",高値!F51,"")</f>
        <v>2421</v>
      </c>
      <c r="AS97">
        <f>IF(C97&lt;&gt;"",安値!F51,"")</f>
        <v>2373</v>
      </c>
      <c r="AT97" t="str">
        <f t="shared" si="36"/>
        <v>通常</v>
      </c>
      <c r="AU97">
        <f t="shared" si="43"/>
        <v>0</v>
      </c>
    </row>
    <row r="98" spans="1:47" ht="14.25">
      <c r="A98" s="357" t="str">
        <f>IF(銘柄管理!B72&lt;&gt;"",HYPERLINK("https://kabutan.jp/stock/?code="&amp;銘柄管理!B72,"株探"),"")</f>
        <v>株探</v>
      </c>
      <c r="B98" s="230"/>
      <c r="C98" s="230">
        <f>IF(銘柄管理!B72="","",銘柄管理!B72)</f>
        <v>6027</v>
      </c>
      <c r="D98" s="230" t="str">
        <f>IF(銘柄管理!C72="","",銘柄管理!C72)</f>
        <v>弁護士ドットコム</v>
      </c>
      <c r="E98" s="358">
        <f>IF(C98&lt;&gt;"",_xll.RssMarket(C98,"現在値"),"")</f>
        <v>2134</v>
      </c>
      <c r="F98" s="358">
        <f>IF(C98&lt;&gt;"",_xll.RssMarket(C98,"始値"),"")</f>
        <v>2110</v>
      </c>
      <c r="G98" s="230">
        <f>IF(C98&lt;&gt;"",終値!F72,"")</f>
        <v>2105</v>
      </c>
      <c r="H98" s="358">
        <f>IF(C98&lt;&gt;"",_xll.RssMarket(C98,"高値"),"")</f>
        <v>2174</v>
      </c>
      <c r="I98" s="358">
        <f>IF(C98&lt;&gt;"",_xll.RssMarket(C98,"安値"),"")</f>
        <v>2097</v>
      </c>
      <c r="J98" s="358">
        <f>IF(C98&lt;&gt;"",_xll.RssMarket(C98,"出来高"),"")</f>
        <v>110400</v>
      </c>
      <c r="K98" s="358">
        <f>IF(C98&lt;&gt;"",_xll.RssMarket(C98,"年初来高値"),"")</f>
        <v>3490</v>
      </c>
      <c r="L98" s="359">
        <f t="shared" si="22"/>
        <v>-38.853868194842406</v>
      </c>
      <c r="M98" s="358">
        <f>IF(C98&lt;&gt;"",IFERROR(AVERAGE(出来高!E72:I72),""),"")</f>
        <v>101040</v>
      </c>
      <c r="N98" s="358">
        <f>IF(C98&lt;&gt;"",IFERROR(AVERAGE(出来高!E72:AC72),""),"")</f>
        <v>101704</v>
      </c>
      <c r="O98" s="360">
        <f t="shared" si="23"/>
        <v>1.0926365795724466</v>
      </c>
      <c r="P98" s="230" t="str">
        <f t="shared" si="24"/>
        <v>普通→</v>
      </c>
      <c r="Q98" s="230" t="str">
        <f t="shared" si="25"/>
        <v>様子見▲</v>
      </c>
      <c r="R98" s="358">
        <f t="shared" si="26"/>
        <v>1963</v>
      </c>
      <c r="S98" s="358">
        <f t="shared" si="27"/>
        <v>2219</v>
      </c>
      <c r="T98" s="350">
        <f t="shared" si="28"/>
        <v>10</v>
      </c>
      <c r="U98" s="230" t="str">
        <f t="shared" si="29"/>
        <v>要確認</v>
      </c>
      <c r="V98" s="230" t="str">
        <f t="shared" si="30"/>
        <v>安値圏</v>
      </c>
      <c r="W98" s="361" cm="1">
        <f t="array" ref="W98">IFERROR(100-100/(1+SUMPRODUCT((終値!F72:R72&gt;終値!G72:S72)*(終値!F72:R72-終値!G72:S72))/SUMPRODUCT((終値!F72:R72&lt;終値!G72:S72)*(終値!G72:S72-終値!F72:R72))),50)</f>
        <v>10.732538330494023</v>
      </c>
      <c r="X98" s="362">
        <f>IF(C98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-68.028114663726228</v>
      </c>
      <c r="Y98" s="230" t="str">
        <f t="shared" si="31"/>
        <v>相場上昇・見送り | もみ合い→ MACD- RSI:10.7 [売られ過ぎ] 前日比:+1.4% [安値圏] [10点]</v>
      </c>
      <c r="Z98" s="363">
        <f t="shared" si="32"/>
        <v>1.3776722090261282</v>
      </c>
      <c r="AA98" s="230" t="str">
        <f t="shared" si="33"/>
        <v>上昇▲</v>
      </c>
      <c r="AB98" s="358">
        <f>IF(OR(C98="",C98="TOPX",終値!E72=""),"",IFERROR(((終値!E72*0.333)+(終値!F72*0.222)+(終値!G72*0.148)+(終値!H72*0.099)+(終値!I72*0.066))/(0.333+0.222+0.148+0.099+0.066),""))</f>
        <v>2121.7707373271887</v>
      </c>
      <c r="AC98" s="358">
        <f>IF(OR(C98="",C98="TOPX",終値!E72=""),"",IFERROR(SUMPRODUCT((終値!E72:AC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2312.1239570917751</v>
      </c>
      <c r="AD98" s="230" t="str">
        <f t="shared" si="34"/>
        <v>もみ合い→</v>
      </c>
      <c r="AE98" s="230" t="str">
        <f t="shared" si="35"/>
        <v>なし</v>
      </c>
      <c r="AF98" t="str">
        <f>IF(T98="","",IF(銘柄管理!$F$5="上昇▲",IF(AND(AD98="下降トレンド▼",OR(AE98="25日戻り売り★",AE98="5日戻り売り○")),"★逆張り売り",IF(AND(AD98="もみ合い→",OR(AE98="25日戻り売り★",AE98="5日戻り売り○")),"○逆張り売り",IF(W98&gt;=70,IF(Z98&lt;0,"◎反落確認","△過熱・様子見"),"相場上昇・見送り"))),IF(AND(T98&gt;=12,AD98="下降トレンド▼"),"★強い売り",IF(T98&gt;=12,"★強い売り",IF(AND(T98&gt;=8,OR(AE98="25日戻り売り★",AE98="5日戻り売り○")),"◎戻り売り",IF(T98&gt;=10,"○売り候補",IF(T98&gt;=6,"△注目",IF(T98&gt;=3,"様子見","見送り"))))))))</f>
        <v>相場上昇・見送り</v>
      </c>
      <c r="AG98">
        <f t="shared" si="37"/>
        <v>10</v>
      </c>
      <c r="AH98">
        <f t="shared" si="38"/>
        <v>99902</v>
      </c>
      <c r="AI98" s="412" cm="1">
        <f t="array" ref="AI98">IF(C98="","",IFERROR((INDEX(終値!$E:$E,MATCH(TEXT(C98,"0"),終値!$A:$A,0))-INDEX(終値!$E:$BL,MATCH(TEXT(C98,"0"),終値!$A:$A,0),$AN$2))/INDEX(終値!$E:$BL,MATCH(TEXT(C98,"0"),終値!$A:$A,0),$AN$2)*100,""))</f>
        <v>-22.428207924391131</v>
      </c>
      <c r="AJ98" s="412" cm="1">
        <f t="array" ref="AJ98">IFERROR((終値!$E$5-INDEX(終値!$E$5:$BL$5,1,$AN$2))/INDEX(終値!$E$5:$BL$5,1,$AN$2)*100,"")</f>
        <v>3.4532270246721688</v>
      </c>
      <c r="AK98" s="413">
        <f t="shared" si="39"/>
        <v>-25.881434949063301</v>
      </c>
      <c r="AL98" s="411">
        <f t="shared" si="40"/>
        <v>3</v>
      </c>
      <c r="AO98" s="415" t="str">
        <f t="shared" si="41"/>
        <v>通常</v>
      </c>
      <c r="AP98" s="416">
        <f t="shared" si="42"/>
        <v>0</v>
      </c>
      <c r="AQ98">
        <f>IF(C98&lt;&gt;"",始値!F72,"")</f>
        <v>2083</v>
      </c>
      <c r="AR98">
        <f>IF(C98&lt;&gt;"",高値!F72,"")</f>
        <v>2130</v>
      </c>
      <c r="AS98">
        <f>IF(C98&lt;&gt;"",安値!F72,"")</f>
        <v>2083</v>
      </c>
      <c r="AT98" t="str">
        <f t="shared" si="36"/>
        <v>通常</v>
      </c>
      <c r="AU98">
        <f t="shared" si="43"/>
        <v>0</v>
      </c>
    </row>
    <row r="99" spans="1:47" ht="14.25">
      <c r="A99" s="349" t="str">
        <f>IF(銘柄管理!B74&lt;&gt;"",HYPERLINK("https://kabutan.jp/stock/?code="&amp;銘柄管理!B74,"株探"),"")</f>
        <v>株探</v>
      </c>
      <c r="B99" s="350"/>
      <c r="C99" s="350">
        <f>IF(銘柄管理!B74="","",銘柄管理!B74)</f>
        <v>9202</v>
      </c>
      <c r="D99" s="350" t="str">
        <f>IF(銘柄管理!C74="","",銘柄管理!C74)</f>
        <v>ＡＮＡホールディングス</v>
      </c>
      <c r="E99" s="351">
        <f>IF(C99&lt;&gt;"",_xll.RssMarket(C99,"現在値"),"")</f>
        <v>3033</v>
      </c>
      <c r="F99" s="351">
        <f>IF(C99&lt;&gt;"",_xll.RssMarket(C99,"始値"),"")</f>
        <v>3050</v>
      </c>
      <c r="G99" s="350">
        <f>IF(C99&lt;&gt;"",終値!F74,"")</f>
        <v>3043</v>
      </c>
      <c r="H99" s="351">
        <f>IF(C99&lt;&gt;"",_xll.RssMarket(C99,"高値"),"")</f>
        <v>3076</v>
      </c>
      <c r="I99" s="351">
        <f>IF(C99&lt;&gt;"",_xll.RssMarket(C99,"安値"),"")</f>
        <v>3026</v>
      </c>
      <c r="J99" s="351">
        <f>IF(C99&lt;&gt;"",_xll.RssMarket(C99,"出来高"),"")</f>
        <v>2230900</v>
      </c>
      <c r="K99" s="351">
        <f>IF(C99&lt;&gt;"",_xll.RssMarket(C99,"年初来高値"),"")</f>
        <v>3419</v>
      </c>
      <c r="L99" s="352">
        <f t="shared" si="22"/>
        <v>-11.28985083357707</v>
      </c>
      <c r="M99" s="351">
        <f>IF(C99&lt;&gt;"",IFERROR(AVERAGE(出来高!E74:I74),""),"")</f>
        <v>2534940</v>
      </c>
      <c r="N99" s="351">
        <f>IF(C99&lt;&gt;"",IFERROR(AVERAGE(出来高!E74:AC74),""),"")</f>
        <v>2699164</v>
      </c>
      <c r="O99" s="353">
        <f t="shared" si="23"/>
        <v>0.88006027756081007</v>
      </c>
      <c r="P99" s="350" t="str">
        <f t="shared" si="24"/>
        <v>減少↓</v>
      </c>
      <c r="Q99" s="350" t="str">
        <f t="shared" si="25"/>
        <v>中立→</v>
      </c>
      <c r="R99" s="351">
        <f t="shared" si="26"/>
        <v>2790</v>
      </c>
      <c r="S99" s="351">
        <f t="shared" si="27"/>
        <v>3154</v>
      </c>
      <c r="T99" s="350">
        <f t="shared" si="28"/>
        <v>-1</v>
      </c>
      <c r="U99" s="350" t="str">
        <f t="shared" si="29"/>
        <v>除外</v>
      </c>
      <c r="V99" s="350" t="str">
        <f t="shared" si="30"/>
        <v>通常</v>
      </c>
      <c r="W99" s="354" cm="1">
        <f t="array" ref="W99">IFERROR(100-100/(1+SUMPRODUCT((終値!F74:R74&gt;終値!G74:S74)*(終値!F74:R74-終値!G74:S74))/SUMPRODUCT((終値!F74:R74&lt;終値!G74:S74)*(終値!G74:S74-終値!F74:R74))),50)</f>
        <v>63.299131807419101</v>
      </c>
      <c r="X99" s="355">
        <f>IF(C99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15.95943205473759</v>
      </c>
      <c r="Y99" s="350" t="str">
        <f t="shared" si="31"/>
        <v>相場上昇・見送り | パーフェクト▲ MACD+ RSI:63.3 前日比:-0.3%前日[長い下ヒゲ(反発)] [-1点]</v>
      </c>
      <c r="Z99" s="356">
        <f t="shared" si="32"/>
        <v>-0.32862306933946761</v>
      </c>
      <c r="AA99" s="350" t="str">
        <f t="shared" si="33"/>
        <v>下落▼</v>
      </c>
      <c r="AB99" s="351">
        <f>IF(OR(C99="",C99="TOPX",終値!E74=""),"",IFERROR(((終値!E74*0.333)+(終値!F74*0.222)+(終値!G74*0.148)+(終値!H74*0.099)+(終値!I74*0.066))/(0.333+0.222+0.148+0.099+0.066),""))</f>
        <v>2960.4498847926266</v>
      </c>
      <c r="AC99" s="351">
        <f>IF(OR(C99="",C99="TOPX",終値!E74=""),"",IFERROR(SUMPRODUCT((終値!E74:AC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2865.2979737783057</v>
      </c>
      <c r="AD99" s="350" t="str">
        <f t="shared" si="34"/>
        <v>パーフェクト▲</v>
      </c>
      <c r="AE99" s="350" t="str">
        <f t="shared" si="35"/>
        <v>なし</v>
      </c>
      <c r="AF99" t="str">
        <f>IF(T99="","",IF(銘柄管理!$F$5="上昇▲",IF(AND(AD99="下降トレンド▼",OR(AE99="25日戻り売り★",AE99="5日戻り売り○")),"★逆張り売り",IF(AND(AD99="もみ合い→",OR(AE99="25日戻り売り★",AE99="5日戻り売り○")),"○逆張り売り",IF(W99&gt;=70,IF(Z99&lt;0,"◎反落確認","△過熱・様子見"),"相場上昇・見送り"))),IF(AND(T99&gt;=12,AD99="下降トレンド▼"),"★強い売り",IF(T99&gt;=12,"★強い売り",IF(AND(T99&gt;=8,OR(AE99="25日戻り売り★",AE99="5日戻り売り○")),"◎戻り売り",IF(T99&gt;=10,"○売り候補",IF(T99&gt;=6,"△注目",IF(T99&gt;=3,"様子見","見送り"))))))))</f>
        <v>相場上昇・見送り</v>
      </c>
      <c r="AG99">
        <f t="shared" si="37"/>
        <v>0</v>
      </c>
      <c r="AH99">
        <f t="shared" si="38"/>
        <v>0</v>
      </c>
      <c r="AI99" s="412" cm="1">
        <f t="array" ref="AI99">IF(C99="","",IFERROR((INDEX(終値!$E:$E,MATCH(TEXT(C99,"0"),終値!$A:$A,0))-INDEX(終値!$E:$BL,MATCH(TEXT(C99,"0"),終値!$A:$A,0),$AN$2))/INDEX(終値!$E:$BL,MATCH(TEXT(C99,"0"),終値!$A:$A,0),$AN$2)*100,""))</f>
        <v>9.5341278439869992</v>
      </c>
      <c r="AJ99" s="412" cm="1">
        <f t="array" ref="AJ99">IFERROR((終値!$E$5-INDEX(終値!$E$5:$BL$5,1,$AN$2))/INDEX(終値!$E$5:$BL$5,1,$AN$2)*100,"")</f>
        <v>3.4532270246721688</v>
      </c>
      <c r="AK99" s="413">
        <f t="shared" si="39"/>
        <v>6.0809008193148308</v>
      </c>
      <c r="AL99" s="411">
        <f t="shared" si="40"/>
        <v>-2</v>
      </c>
      <c r="AO99" s="415" t="str">
        <f t="shared" si="41"/>
        <v>通常</v>
      </c>
      <c r="AP99" s="416">
        <f t="shared" si="42"/>
        <v>0</v>
      </c>
      <c r="AQ99">
        <f>IF(C99&lt;&gt;"",始値!F74,"")</f>
        <v>3019</v>
      </c>
      <c r="AR99">
        <f>IF(C99&lt;&gt;"",高値!F74,"")</f>
        <v>3043</v>
      </c>
      <c r="AS99">
        <f>IF(C99&lt;&gt;"",安値!F74,"")</f>
        <v>2988</v>
      </c>
      <c r="AT99" t="str">
        <f t="shared" si="36"/>
        <v>長い下ヒゲ(反発)</v>
      </c>
      <c r="AU99">
        <f t="shared" si="43"/>
        <v>-2</v>
      </c>
    </row>
    <row r="100" spans="1:47" ht="14.25">
      <c r="A100" s="357" t="str">
        <f>IF(銘柄管理!B81&lt;&gt;"",HYPERLINK("https://kabutan.jp/stock/?code="&amp;銘柄管理!B81,"株探"),"")</f>
        <v>株探</v>
      </c>
      <c r="B100" s="230"/>
      <c r="C100" s="230">
        <f>IF(銘柄管理!B81="","",銘柄管理!B81)</f>
        <v>6841</v>
      </c>
      <c r="D100" s="230" t="str">
        <f>IF(銘柄管理!C81="","",銘柄管理!C81)</f>
        <v>横河電機</v>
      </c>
      <c r="E100" s="358">
        <f>IF(C100&lt;&gt;"",_xll.RssMarket(C100,"現在値"),"")</f>
        <v>5380</v>
      </c>
      <c r="F100" s="358">
        <f>IF(C100&lt;&gt;"",_xll.RssMarket(C100,"始値"),"")</f>
        <v>5151</v>
      </c>
      <c r="G100" s="230">
        <f>IF(C100&lt;&gt;"",終値!F81,"")</f>
        <v>5230</v>
      </c>
      <c r="H100" s="358">
        <f>IF(C100&lt;&gt;"",_xll.RssMarket(C100,"高値"),"")</f>
        <v>5413</v>
      </c>
      <c r="I100" s="358">
        <f>IF(C100&lt;&gt;"",_xll.RssMarket(C100,"安値"),"")</f>
        <v>5150</v>
      </c>
      <c r="J100" s="358">
        <f>IF(C100&lt;&gt;"",_xll.RssMarket(C100,"出来高"),"")</f>
        <v>1378800</v>
      </c>
      <c r="K100" s="358">
        <f>IF(C100&lt;&gt;"",_xll.RssMarket(C100,"年初来高値"),"")</f>
        <v>6317</v>
      </c>
      <c r="L100" s="359">
        <f t="shared" si="22"/>
        <v>-14.832990343517494</v>
      </c>
      <c r="M100" s="358">
        <f>IF(C100&lt;&gt;"",IFERROR(AVERAGE(出来高!E81:I81),""),"")</f>
        <v>1455000</v>
      </c>
      <c r="N100" s="358">
        <f>IF(C100&lt;&gt;"",IFERROR(AVERAGE(出来高!E81:AC81),""),"")</f>
        <v>1579160</v>
      </c>
      <c r="O100" s="360">
        <f t="shared" si="23"/>
        <v>0.94762886597938145</v>
      </c>
      <c r="P100" s="230" t="str">
        <f t="shared" si="24"/>
        <v>減少↓</v>
      </c>
      <c r="Q100" s="230" t="str">
        <f t="shared" si="25"/>
        <v>様子見▲</v>
      </c>
      <c r="R100" s="358">
        <f t="shared" si="26"/>
        <v>4950</v>
      </c>
      <c r="S100" s="358">
        <f t="shared" si="27"/>
        <v>5595</v>
      </c>
      <c r="T100" s="350">
        <f t="shared" si="28"/>
        <v>0</v>
      </c>
      <c r="U100" s="230" t="str">
        <f t="shared" si="29"/>
        <v>除外</v>
      </c>
      <c r="V100" s="230" t="str">
        <f t="shared" si="30"/>
        <v>通常</v>
      </c>
      <c r="W100" s="361" cm="1">
        <f t="array" ref="W100">IFERROR(100-100/(1+SUMPRODUCT((終値!F81:R81&gt;終値!G81:S81)*(終値!F81:R81-終値!G81:S81))/SUMPRODUCT((終値!F81:R81&lt;終値!G81:S81)*(終値!G81:S81-終値!F81:R81))),50)</f>
        <v>55.698529411764703</v>
      </c>
      <c r="X100" s="362">
        <f>IF(C100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25.604315014788881</v>
      </c>
      <c r="Y100" s="230" t="str">
        <f t="shared" si="31"/>
        <v>相場上昇・見送り | パーフェクト▲ MACD+ RSI:55.7 前日比:+2.9% [0点]</v>
      </c>
      <c r="Z100" s="363">
        <f t="shared" si="32"/>
        <v>2.8680688336520075</v>
      </c>
      <c r="AA100" s="230" t="str">
        <f t="shared" si="33"/>
        <v>上昇▲</v>
      </c>
      <c r="AB100" s="358">
        <f>IF(OR(C100="",C100="TOPX",終値!E81=""),"",IFERROR(((終値!E81*0.333)+(終値!F81*0.222)+(終値!G81*0.148)+(終値!H81*0.099)+(終値!I81*0.066))/(0.333+0.222+0.148+0.099+0.066),""))</f>
        <v>5133.5253456221189</v>
      </c>
      <c r="AC100" s="358">
        <f>IF(OR(C100="",C100="TOPX",終値!E81=""),"",IFERROR(SUMPRODUCT((終値!E81:AC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5046.5065554231214</v>
      </c>
      <c r="AD100" s="230" t="str">
        <f t="shared" si="34"/>
        <v>パーフェクト▲</v>
      </c>
      <c r="AE100" s="230" t="str">
        <f t="shared" si="35"/>
        <v>なし</v>
      </c>
      <c r="AF100" t="str">
        <f>IF(T100="","",IF(銘柄管理!$F$5="上昇▲",IF(AND(AD100="下降トレンド▼",OR(AE100="25日戻り売り★",AE100="5日戻り売り○")),"★逆張り売り",IF(AND(AD100="もみ合い→",OR(AE100="25日戻り売り★",AE100="5日戻り売り○")),"○逆張り売り",IF(W100&gt;=70,IF(Z100&lt;0,"◎反落確認","△過熱・様子見"),"相場上昇・見送り"))),IF(AND(T100&gt;=12,AD100="下降トレンド▼"),"★強い売り",IF(T100&gt;=12,"★強い売り",IF(AND(T100&gt;=8,OR(AE100="25日戻り売り★",AE100="5日戻り売り○")),"◎戻り売り",IF(T100&gt;=10,"○売り候補",IF(T100&gt;=6,"△注目",IF(T100&gt;=3,"様子見","見送り"))))))))</f>
        <v>相場上昇・見送り</v>
      </c>
      <c r="AG100">
        <f t="shared" si="37"/>
        <v>0</v>
      </c>
      <c r="AH100">
        <f t="shared" si="38"/>
        <v>0</v>
      </c>
      <c r="AI100" s="412" cm="1">
        <f t="array" ref="AI100">IF(C100="","",IFERROR((INDEX(終値!$E:$E,MATCH(TEXT(C100,"0"),終値!$A:$A,0))-INDEX(終値!$E:$BL,MATCH(TEXT(C100,"0"),終値!$A:$A,0),$AN$2))/INDEX(終値!$E:$BL,MATCH(TEXT(C100,"0"),終値!$A:$A,0),$AN$2)*100,""))</f>
        <v>5.6351855487924603</v>
      </c>
      <c r="AJ100" s="412" cm="1">
        <f t="array" ref="AJ100">IFERROR((終値!$E$5-INDEX(終値!$E$5:$BL$5,1,$AN$2))/INDEX(終値!$E$5:$BL$5,1,$AN$2)*100,"")</f>
        <v>3.4532270246721688</v>
      </c>
      <c r="AK100" s="413">
        <f t="shared" si="39"/>
        <v>2.1819585241202915</v>
      </c>
      <c r="AL100" s="411">
        <f t="shared" si="40"/>
        <v>-1</v>
      </c>
      <c r="AO100" s="415" t="str">
        <f t="shared" si="41"/>
        <v>通常</v>
      </c>
      <c r="AP100" s="416">
        <f t="shared" si="42"/>
        <v>0</v>
      </c>
      <c r="AQ100">
        <f>IF(C100&lt;&gt;"",始値!F81,"")</f>
        <v>5214</v>
      </c>
      <c r="AR100">
        <f>IF(C100&lt;&gt;"",高値!F81,"")</f>
        <v>5271</v>
      </c>
      <c r="AS100">
        <f>IF(C100&lt;&gt;"",安値!F81,"")</f>
        <v>5131</v>
      </c>
      <c r="AT100" t="str">
        <f t="shared" si="36"/>
        <v>通常</v>
      </c>
      <c r="AU100">
        <f t="shared" si="43"/>
        <v>0</v>
      </c>
    </row>
    <row r="101" spans="1:47" ht="14.25">
      <c r="A101" s="349" t="str">
        <f>IF(銘柄管理!B82&lt;&gt;"",HYPERLINK("https://kabutan.jp/stock/?code="&amp;銘柄管理!B82,"株探"),"")</f>
        <v>株探</v>
      </c>
      <c r="B101" s="350"/>
      <c r="C101" s="350">
        <f>IF(銘柄管理!B82="","",銘柄管理!B82)</f>
        <v>7167</v>
      </c>
      <c r="D101" s="350" t="str">
        <f>IF(銘柄管理!C82="","",銘柄管理!C82)</f>
        <v>めぶきフィナンシャルＧ</v>
      </c>
      <c r="E101" s="351">
        <f>IF(C101&lt;&gt;"",_xll.RssMarket(C101,"現在値"),"")</f>
        <v>1388.5</v>
      </c>
      <c r="F101" s="351">
        <f>IF(C101&lt;&gt;"",_xll.RssMarket(C101,"始値"),"")</f>
        <v>1429</v>
      </c>
      <c r="G101" s="350">
        <f>IF(C101&lt;&gt;"",終値!F82,"")</f>
        <v>1413</v>
      </c>
      <c r="H101" s="351">
        <f>IF(C101&lt;&gt;"",_xll.RssMarket(C101,"高値"),"")</f>
        <v>1446.5</v>
      </c>
      <c r="I101" s="351">
        <f>IF(C101&lt;&gt;"",_xll.RssMarket(C101,"安値"),"")</f>
        <v>1388.5</v>
      </c>
      <c r="J101" s="351">
        <f>IF(C101&lt;&gt;"",_xll.RssMarket(C101,"出来高"),"")</f>
        <v>2240800</v>
      </c>
      <c r="K101" s="351">
        <f>IF(C101&lt;&gt;"",_xll.RssMarket(C101,"年初来高値"),"")</f>
        <v>1456.5</v>
      </c>
      <c r="L101" s="352">
        <f t="shared" si="22"/>
        <v>-4.6687263989014758</v>
      </c>
      <c r="M101" s="351">
        <f>IF(C101&lt;&gt;"",IFERROR(AVERAGE(出来高!E82:I82),""),"")</f>
        <v>2901620</v>
      </c>
      <c r="N101" s="351">
        <f>IF(C101&lt;&gt;"",IFERROR(AVERAGE(出来高!E82:AC82),""),"")</f>
        <v>2519812</v>
      </c>
      <c r="O101" s="353">
        <f t="shared" si="23"/>
        <v>0.77225825573300433</v>
      </c>
      <c r="P101" s="350" t="str">
        <f t="shared" si="24"/>
        <v>減少↓</v>
      </c>
      <c r="Q101" s="350" t="str">
        <f t="shared" si="25"/>
        <v>中立→</v>
      </c>
      <c r="R101" s="351">
        <f t="shared" si="26"/>
        <v>1277</v>
      </c>
      <c r="S101" s="351">
        <f t="shared" si="27"/>
        <v>1444</v>
      </c>
      <c r="T101" s="350">
        <f t="shared" si="28"/>
        <v>2</v>
      </c>
      <c r="U101" s="350" t="str">
        <f t="shared" si="29"/>
        <v>除外</v>
      </c>
      <c r="V101" s="350" t="str">
        <f t="shared" si="30"/>
        <v>通常</v>
      </c>
      <c r="W101" s="354" cm="1">
        <f t="array" ref="W101">IFERROR(100-100/(1+SUMPRODUCT((終値!F82:R82&gt;終値!G82:S82)*(終値!F82:R82-終値!G82:S82))/SUMPRODUCT((終値!F82:R82&lt;終値!G82:S82)*(終値!G82:S82-終値!F82:R82))),50)</f>
        <v>55.580357142857146</v>
      </c>
      <c r="X101" s="355">
        <f>IF(C101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0.60691015328166031</v>
      </c>
      <c r="Y101" s="350" t="str">
        <f t="shared" si="31"/>
        <v>相場上昇・見送り | 上昇トレンド▲ 5日戻り売り○ MACD+ RSI:55.6 前日比:-1.7%前日[長い下ヒゲ(反発)] [2点]</v>
      </c>
      <c r="Z101" s="356">
        <f t="shared" si="32"/>
        <v>-1.7338995046001413</v>
      </c>
      <c r="AA101" s="350" t="str">
        <f t="shared" si="33"/>
        <v>下落▼</v>
      </c>
      <c r="AB101" s="351">
        <f>IF(OR(C101="",C101="TOPX",終値!E82=""),"",IFERROR(((終値!E82*0.333)+(終値!F82*0.222)+(終値!G82*0.148)+(終値!H82*0.099)+(終値!I82*0.066))/(0.333+0.222+0.148+0.099+0.066),""))</f>
        <v>1394.2546082949307</v>
      </c>
      <c r="AC101" s="351">
        <f>IF(OR(C101="",C101="TOPX",終値!E82=""),"",IFERROR(SUMPRODUCT((終値!E82:AC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1368.1710369487482</v>
      </c>
      <c r="AD101" s="350" t="str">
        <f t="shared" si="34"/>
        <v>上昇トレンド▲</v>
      </c>
      <c r="AE101" s="350" t="str">
        <f t="shared" si="35"/>
        <v>5日戻り売り○</v>
      </c>
      <c r="AF101" t="str">
        <f>IF(T101="","",IF(銘柄管理!$F$5="上昇▲",IF(AND(AD101="下降トレンド▼",OR(AE101="25日戻り売り★",AE101="5日戻り売り○")),"★逆張り売り",IF(AND(AD101="もみ合い→",OR(AE101="25日戻り売り★",AE101="5日戻り売り○")),"○逆張り売り",IF(W101&gt;=70,IF(Z101&lt;0,"◎反落確認","△過熱・様子見"),"相場上昇・見送り"))),IF(AND(T101&gt;=12,AD101="下降トレンド▼"),"★強い売り",IF(T101&gt;=12,"★強い売り",IF(AND(T101&gt;=8,OR(AE101="25日戻り売り★",AE101="5日戻り売り○")),"◎戻り売り",IF(T101&gt;=10,"○売り候補",IF(T101&gt;=6,"△注目",IF(T101&gt;=3,"様子見","見送り"))))))))</f>
        <v>相場上昇・見送り</v>
      </c>
      <c r="AG101">
        <f t="shared" si="37"/>
        <v>0</v>
      </c>
      <c r="AH101">
        <f t="shared" si="38"/>
        <v>0</v>
      </c>
      <c r="AI101" s="412" cm="1">
        <f t="array" ref="AI101">IF(C101="","",IFERROR((INDEX(終値!$E:$E,MATCH(TEXT(C101,"0"),終値!$A:$A,0))-INDEX(終値!$E:$BL,MATCH(TEXT(C101,"0"),終値!$A:$A,0),$AN$2))/INDEX(終値!$E:$BL,MATCH(TEXT(C101,"0"),終値!$A:$A,0),$AN$2)*100,""))</f>
        <v>1.3133892739875956</v>
      </c>
      <c r="AJ101" s="412" cm="1">
        <f t="array" ref="AJ101">IFERROR((終値!$E$5-INDEX(終値!$E$5:$BL$5,1,$AN$2))/INDEX(終値!$E$5:$BL$5,1,$AN$2)*100,"")</f>
        <v>3.4532270246721688</v>
      </c>
      <c r="AK101" s="413">
        <f t="shared" si="39"/>
        <v>-2.1398377506845732</v>
      </c>
      <c r="AL101" s="411">
        <f t="shared" si="40"/>
        <v>1</v>
      </c>
      <c r="AO101" s="415" t="str">
        <f t="shared" si="41"/>
        <v>通常</v>
      </c>
      <c r="AP101" s="416">
        <f t="shared" si="42"/>
        <v>0</v>
      </c>
      <c r="AQ101">
        <f>IF(C101&lt;&gt;"",始値!F82,"")</f>
        <v>1410</v>
      </c>
      <c r="AR101">
        <f>IF(C101&lt;&gt;"",高値!F82,"")</f>
        <v>1417</v>
      </c>
      <c r="AS101">
        <f>IF(C101&lt;&gt;"",安値!F82,"")</f>
        <v>1381</v>
      </c>
      <c r="AT101" t="str">
        <f t="shared" si="36"/>
        <v>長い下ヒゲ(反発)</v>
      </c>
      <c r="AU101">
        <f t="shared" si="43"/>
        <v>-2</v>
      </c>
    </row>
    <row r="102" spans="1:47" ht="14.25">
      <c r="A102" s="357" t="str">
        <f>IF(銘柄管理!B85&lt;&gt;"",HYPERLINK("https://kabutan.jp/stock/?code="&amp;銘柄管理!B85,"株探"),"")</f>
        <v>株探</v>
      </c>
      <c r="B102" s="230"/>
      <c r="C102" s="230">
        <f>IF(銘柄管理!B85="","",銘柄管理!B85)</f>
        <v>7182</v>
      </c>
      <c r="D102" s="230" t="str">
        <f>IF(銘柄管理!C85="","",銘柄管理!C85)</f>
        <v>ゆうちょ銀行</v>
      </c>
      <c r="E102" s="358">
        <f>IF(C102&lt;&gt;"",_xll.RssMarket(C102,"現在値"),"")</f>
        <v>3125</v>
      </c>
      <c r="F102" s="358">
        <f>IF(C102&lt;&gt;"",_xll.RssMarket(C102,"始値"),"")</f>
        <v>3188</v>
      </c>
      <c r="G102" s="230">
        <f>IF(C102&lt;&gt;"",終値!F85,"")</f>
        <v>3170</v>
      </c>
      <c r="H102" s="358">
        <f>IF(C102&lt;&gt;"",_xll.RssMarket(C102,"高値"),"")</f>
        <v>3235</v>
      </c>
      <c r="I102" s="358">
        <f>IF(C102&lt;&gt;"",_xll.RssMarket(C102,"安値"),"")</f>
        <v>3125</v>
      </c>
      <c r="J102" s="358">
        <f>IF(C102&lt;&gt;"",_xll.RssMarket(C102,"出来高"),"")</f>
        <v>6055800</v>
      </c>
      <c r="K102" s="358">
        <f>IF(C102&lt;&gt;"",_xll.RssMarket(C102,"年初来高値"),"")</f>
        <v>3308</v>
      </c>
      <c r="L102" s="359">
        <f t="shared" si="22"/>
        <v>-5.5320435308343407</v>
      </c>
      <c r="M102" s="358">
        <f>IF(C102&lt;&gt;"",IFERROR(AVERAGE(出来高!E85:I85),""),"")</f>
        <v>7609680</v>
      </c>
      <c r="N102" s="358">
        <f>IF(C102&lt;&gt;"",IFERROR(AVERAGE(出来高!E85:AC85),""),"")</f>
        <v>7951696</v>
      </c>
      <c r="O102" s="360">
        <f t="shared" si="23"/>
        <v>0.79580218879111864</v>
      </c>
      <c r="P102" s="230" t="str">
        <f t="shared" si="24"/>
        <v>減少↓</v>
      </c>
      <c r="Q102" s="230" t="str">
        <f t="shared" si="25"/>
        <v>中立→</v>
      </c>
      <c r="R102" s="358">
        <f t="shared" si="26"/>
        <v>2875</v>
      </c>
      <c r="S102" s="358">
        <f t="shared" si="27"/>
        <v>3250</v>
      </c>
      <c r="T102" s="350">
        <f t="shared" si="28"/>
        <v>-1</v>
      </c>
      <c r="U102" s="230" t="str">
        <f t="shared" si="29"/>
        <v>除外</v>
      </c>
      <c r="V102" s="230" t="str">
        <f t="shared" si="30"/>
        <v>通常</v>
      </c>
      <c r="W102" s="361" cm="1">
        <f t="array" ref="W102">IFERROR(100-100/(1+SUMPRODUCT((終値!F85:R85&gt;終値!G85:S85)*(終値!F85:R85-終値!G85:S85))/SUMPRODUCT((終値!F85:R85&lt;終値!G85:S85)*(終値!G85:S85-終値!F85:R85))),50)</f>
        <v>54.258849557522126</v>
      </c>
      <c r="X102" s="362">
        <f>IF(C102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23.552438116693793</v>
      </c>
      <c r="Y102" s="230" t="str">
        <f t="shared" si="31"/>
        <v>相場上昇・見送り | 上昇トレンド▲ 5日戻り売り○ MACD+ RSI:54.3 前日比:-1.4%前日[長い下ヒゲ(反発)] [-1点]</v>
      </c>
      <c r="Z102" s="363">
        <f t="shared" si="32"/>
        <v>-1.4195583596214512</v>
      </c>
      <c r="AA102" s="230" t="str">
        <f t="shared" si="33"/>
        <v>下落▼</v>
      </c>
      <c r="AB102" s="358">
        <f>IF(OR(C102="",C102="TOPX",終値!E85=""),"",IFERROR(((終値!E85*0.333)+(終値!F85*0.222)+(終値!G85*0.148)+(終値!H85*0.099)+(終値!I85*0.066))/(0.333+0.222+0.148+0.099+0.066),""))</f>
        <v>3151.8191244239624</v>
      </c>
      <c r="AC102" s="358">
        <f>IF(OR(C102="",C102="TOPX",終値!E85=""),"",IFERROR(SUMPRODUCT((終値!E85:AC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3100.4362336114414</v>
      </c>
      <c r="AD102" s="230" t="str">
        <f t="shared" si="34"/>
        <v>上昇トレンド▲</v>
      </c>
      <c r="AE102" s="230" t="str">
        <f t="shared" si="35"/>
        <v>5日戻り売り○</v>
      </c>
      <c r="AF102" t="str">
        <f>IF(T102="","",IF(銘柄管理!$F$5="上昇▲",IF(AND(AD102="下降トレンド▼",OR(AE102="25日戻り売り★",AE102="5日戻り売り○")),"★逆張り売り",IF(AND(AD102="もみ合い→",OR(AE102="25日戻り売り★",AE102="5日戻り売り○")),"○逆張り売り",IF(W102&gt;=70,IF(Z102&lt;0,"◎反落確認","△過熱・様子見"),"相場上昇・見送り"))),IF(AND(T102&gt;=12,AD102="下降トレンド▼"),"★強い売り",IF(T102&gt;=12,"★強い売り",IF(AND(T102&gt;=8,OR(AE102="25日戻り売り★",AE102="5日戻り売り○")),"◎戻り売り",IF(T102&gt;=10,"○売り候補",IF(T102&gt;=6,"△注目",IF(T102&gt;=3,"様子見","見送り"))))))))</f>
        <v>相場上昇・見送り</v>
      </c>
      <c r="AG102">
        <f t="shared" si="37"/>
        <v>0</v>
      </c>
      <c r="AH102">
        <f t="shared" si="38"/>
        <v>0</v>
      </c>
      <c r="AI102" s="412" cm="1">
        <f t="array" ref="AI102">IF(C102="","",IFERROR((INDEX(終値!$E:$E,MATCH(TEXT(C102,"0"),終値!$A:$A,0))-INDEX(終値!$E:$BL,MATCH(TEXT(C102,"0"),終値!$A:$A,0),$AN$2))/INDEX(終値!$E:$BL,MATCH(TEXT(C102,"0"),終値!$A:$A,0),$AN$2)*100,""))</f>
        <v>10.209839534473637</v>
      </c>
      <c r="AJ102" s="412" cm="1">
        <f t="array" ref="AJ102">IFERROR((終値!$E$5-INDEX(終値!$E$5:$BL$5,1,$AN$2))/INDEX(終値!$E$5:$BL$5,1,$AN$2)*100,"")</f>
        <v>3.4532270246721688</v>
      </c>
      <c r="AK102" s="413">
        <f t="shared" si="39"/>
        <v>6.7566125098014691</v>
      </c>
      <c r="AL102" s="411">
        <f t="shared" si="40"/>
        <v>-2</v>
      </c>
      <c r="AO102" s="415" t="str">
        <f t="shared" si="41"/>
        <v>通常</v>
      </c>
      <c r="AP102" s="416">
        <f t="shared" si="42"/>
        <v>0</v>
      </c>
      <c r="AQ102">
        <f>IF(C102&lt;&gt;"",始値!F85,"")</f>
        <v>3165</v>
      </c>
      <c r="AR102">
        <f>IF(C102&lt;&gt;"",高値!F85,"")</f>
        <v>3183</v>
      </c>
      <c r="AS102">
        <f>IF(C102&lt;&gt;"",安値!F85,"")</f>
        <v>3110</v>
      </c>
      <c r="AT102" t="str">
        <f t="shared" si="36"/>
        <v>長い下ヒゲ(反発)</v>
      </c>
      <c r="AU102">
        <f t="shared" si="43"/>
        <v>-2</v>
      </c>
    </row>
    <row r="103" spans="1:47" ht="14.25">
      <c r="A103" s="349" t="str">
        <f>IF(銘柄管理!B101&lt;&gt;"",HYPERLINK("https://kabutan.jp/stock/?code="&amp;銘柄管理!B101,"株探"),"")</f>
        <v>株探</v>
      </c>
      <c r="B103" s="350"/>
      <c r="C103" s="350">
        <f>IF(銘柄管理!B101="","",銘柄管理!B101)</f>
        <v>4661</v>
      </c>
      <c r="D103" s="350" t="str">
        <f>IF(銘柄管理!C101="","",銘柄管理!C101)</f>
        <v>オリエンタルランド</v>
      </c>
      <c r="E103" s="351">
        <f>IF(C103&lt;&gt;"",_xll.RssMarket(C103,"現在値"),"")</f>
        <v>2291</v>
      </c>
      <c r="F103" s="351">
        <f>IF(C103&lt;&gt;"",_xll.RssMarket(C103,"始値"),"")</f>
        <v>2290</v>
      </c>
      <c r="G103" s="350">
        <f>IF(C103&lt;&gt;"",終値!F101,"")</f>
        <v>2276</v>
      </c>
      <c r="H103" s="351">
        <f>IF(C103&lt;&gt;"",_xll.RssMarket(C103,"高値"),"")</f>
        <v>2303.5</v>
      </c>
      <c r="I103" s="351">
        <f>IF(C103&lt;&gt;"",_xll.RssMarket(C103,"安値"),"")</f>
        <v>2260.5</v>
      </c>
      <c r="J103" s="351">
        <f>IF(C103&lt;&gt;"",_xll.RssMarket(C103,"出来高"),"")</f>
        <v>4234100</v>
      </c>
      <c r="K103" s="351">
        <f>IF(C103&lt;&gt;"",_xll.RssMarket(C103,"年初来高値"),"")</f>
        <v>2947</v>
      </c>
      <c r="L103" s="352">
        <f t="shared" si="22"/>
        <v>-22.259925347811333</v>
      </c>
      <c r="M103" s="351">
        <f>IF(C103&lt;&gt;"",IFERROR(AVERAGE(出来高!E101:I101),""),"")</f>
        <v>5612040</v>
      </c>
      <c r="N103" s="351">
        <f>IF(C103&lt;&gt;"",IFERROR(AVERAGE(出来高!E101:AC101),""),"")</f>
        <v>6052636</v>
      </c>
      <c r="O103" s="353">
        <f t="shared" si="23"/>
        <v>0.75446718127454548</v>
      </c>
      <c r="P103" s="350" t="str">
        <f t="shared" si="24"/>
        <v>減少↓</v>
      </c>
      <c r="Q103" s="350" t="str">
        <f t="shared" si="25"/>
        <v>様子見▲</v>
      </c>
      <c r="R103" s="351">
        <f t="shared" si="26"/>
        <v>2108</v>
      </c>
      <c r="S103" s="351">
        <f t="shared" si="27"/>
        <v>2383</v>
      </c>
      <c r="T103" s="350">
        <f t="shared" si="28"/>
        <v>1</v>
      </c>
      <c r="U103" s="350" t="str">
        <f t="shared" si="29"/>
        <v>除外</v>
      </c>
      <c r="V103" s="350" t="str">
        <f t="shared" si="30"/>
        <v>通常</v>
      </c>
      <c r="W103" s="354" cm="1">
        <f t="array" ref="W103">IFERROR(100-100/(1+SUMPRODUCT((終値!F101:R101&gt;終値!G101:S101)*(終値!F101:R101-終値!G101:S101))/SUMPRODUCT((終値!F101:R101&lt;終値!G101:S101)*(終値!G101:S101-終値!F101:R101))),50)</f>
        <v>64.625850340136054</v>
      </c>
      <c r="X103" s="355">
        <f>IF(C103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12.932807008466625</v>
      </c>
      <c r="Y103" s="350" t="str">
        <f t="shared" si="31"/>
        <v>相場上昇・見送り | パーフェクト▲ MACD+ RSI:64.6 前日比:+0.7% [1点]</v>
      </c>
      <c r="Z103" s="356">
        <f t="shared" si="32"/>
        <v>0.65905096660808438</v>
      </c>
      <c r="AA103" s="350" t="str">
        <f t="shared" si="33"/>
        <v>上昇▲</v>
      </c>
      <c r="AB103" s="351">
        <f>IF(OR(C103="",C103="TOPX",終値!E101=""),"",IFERROR(((終値!E101*0.333)+(終値!F101*0.222)+(終値!G101*0.148)+(終値!H101*0.099)+(終値!I101*0.066))/(0.333+0.222+0.148+0.099+0.066),""))</f>
        <v>2284.4130184331793</v>
      </c>
      <c r="AC103" s="351">
        <f>IF(OR(C103="",C103="TOPX",終値!E101=""),"",IFERROR(SUMPRODUCT((終値!E101:AC101)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2232.6209773539913</v>
      </c>
      <c r="AD103" s="350" t="str">
        <f t="shared" si="34"/>
        <v>パーフェクト▲</v>
      </c>
      <c r="AE103" s="350" t="str">
        <f t="shared" si="35"/>
        <v>なし</v>
      </c>
      <c r="AF103" t="str">
        <f>IF(T103="","",IF(銘柄管理!$F$5="上昇▲",IF(AND(AD103="下降トレンド▼",OR(AE103="25日戻り売り★",AE103="5日戻り売り○")),"★逆張り売り",IF(AND(AD103="もみ合い→",OR(AE103="25日戻り売り★",AE103="5日戻り売り○")),"○逆張り売り",IF(W103&gt;=70,IF(Z103&lt;0,"◎反落確認","△過熱・様子見"),"相場上昇・見送り"))),IF(AND(T103&gt;=12,AD103="下降トレンド▼"),"★強い売り",IF(T103&gt;=12,"★強い売り",IF(AND(T103&gt;=8,OR(AE103="25日戻り売り★",AE103="5日戻り売り○")),"◎戻り売り",IF(T103&gt;=10,"○売り候補",IF(T103&gt;=6,"△注目",IF(T103&gt;=3,"様子見","見送り"))))))))</f>
        <v>相場上昇・見送り</v>
      </c>
      <c r="AG103">
        <f t="shared" si="37"/>
        <v>0</v>
      </c>
      <c r="AH103">
        <f t="shared" si="38"/>
        <v>0</v>
      </c>
      <c r="AI103" s="412" cm="1">
        <f t="array" ref="AI103">IF(C103="","",IFERROR((INDEX(終値!$E:$E,MATCH(TEXT(C103,"0"),終値!$A:$A,0))-INDEX(終値!$E:$BL,MATCH(TEXT(C103,"0"),終値!$A:$A,0),$AN$2))/INDEX(終値!$E:$BL,MATCH(TEXT(C103,"0"),終値!$A:$A,0),$AN$2)*100,""))</f>
        <v>6.6077245230339701</v>
      </c>
      <c r="AJ103" s="412" cm="1">
        <f t="array" ref="AJ103">IFERROR((終値!$E$5-INDEX(終値!$E$5:$BL$5,1,$AN$2))/INDEX(終値!$E$5:$BL$5,1,$AN$2)*100,"")</f>
        <v>3.4532270246721688</v>
      </c>
      <c r="AK103" s="413">
        <f t="shared" si="39"/>
        <v>3.1544974983618013</v>
      </c>
      <c r="AL103" s="411">
        <f t="shared" si="40"/>
        <v>-2</v>
      </c>
      <c r="AO103" s="415" t="str">
        <f t="shared" si="41"/>
        <v>通常</v>
      </c>
      <c r="AP103" s="416">
        <f t="shared" si="42"/>
        <v>0</v>
      </c>
      <c r="AQ103">
        <f>IF(C103&lt;&gt;"",始値!F101,"")</f>
        <v>2272</v>
      </c>
      <c r="AR103">
        <f>IF(C103&lt;&gt;"",高値!F101,"")</f>
        <v>2293.5</v>
      </c>
      <c r="AS103">
        <f>IF(C103&lt;&gt;"",安値!F101,"")</f>
        <v>2242</v>
      </c>
      <c r="AT103" t="str">
        <f t="shared" si="36"/>
        <v>通常</v>
      </c>
      <c r="AU103">
        <f t="shared" si="43"/>
        <v>0</v>
      </c>
    </row>
    <row r="104" spans="1:47" ht="14.25">
      <c r="A104" s="357" t="str">
        <f>IF(銘柄管理!B109&lt;&gt;"",HYPERLINK("https://kabutan.jp/stock/?code="&amp;銘柄管理!B109,"株探"),"")</f>
        <v>株探</v>
      </c>
      <c r="B104" s="230"/>
      <c r="C104" s="230">
        <f>IF(銘柄管理!B109="","",銘柄管理!B109)</f>
        <v>9020</v>
      </c>
      <c r="D104" s="230" t="str">
        <f>IF(銘柄管理!C109="","",銘柄管理!C109)</f>
        <v>東日本旅客鉄道</v>
      </c>
      <c r="E104" s="358">
        <f>IF(C104&lt;&gt;"",_xll.RssMarket(C104,"現在値"),"")</f>
        <v>3345</v>
      </c>
      <c r="F104" s="358">
        <f>IF(C104&lt;&gt;"",_xll.RssMarket(C104,"始値"),"")</f>
        <v>3445</v>
      </c>
      <c r="G104" s="230">
        <f>IF(C104&lt;&gt;"",終値!F109,"")</f>
        <v>3398</v>
      </c>
      <c r="H104" s="358">
        <f>IF(C104&lt;&gt;"",_xll.RssMarket(C104,"高値"),"")</f>
        <v>3455</v>
      </c>
      <c r="I104" s="358">
        <f>IF(C104&lt;&gt;"",_xll.RssMarket(C104,"安値"),"")</f>
        <v>3336</v>
      </c>
      <c r="J104" s="358">
        <f>IF(C104&lt;&gt;"",_xll.RssMarket(C104,"出来高"),"")</f>
        <v>2698700</v>
      </c>
      <c r="K104" s="358">
        <f>IF(C104&lt;&gt;"",_xll.RssMarket(C104,"年初来高値"),"")</f>
        <v>4211</v>
      </c>
      <c r="L104" s="359">
        <f t="shared" si="22"/>
        <v>-20.565186416528142</v>
      </c>
      <c r="M104" s="358">
        <f>IF(C104&lt;&gt;"",IFERROR(AVERAGE(出来高!E109:I109),""),"")</f>
        <v>3509820</v>
      </c>
      <c r="N104" s="358">
        <f>IF(C104&lt;&gt;"",IFERROR(AVERAGE(出来高!E109:AC109),""),"")</f>
        <v>3629996</v>
      </c>
      <c r="O104" s="360">
        <f t="shared" si="23"/>
        <v>0.76889982962089221</v>
      </c>
      <c r="P104" s="230" t="str">
        <f t="shared" si="24"/>
        <v>減少↓</v>
      </c>
      <c r="Q104" s="230" t="str">
        <f t="shared" si="25"/>
        <v>中立→</v>
      </c>
      <c r="R104" s="358">
        <f t="shared" si="26"/>
        <v>3077</v>
      </c>
      <c r="S104" s="358">
        <f t="shared" si="27"/>
        <v>3479</v>
      </c>
      <c r="T104" s="350">
        <f t="shared" si="28"/>
        <v>10</v>
      </c>
      <c r="U104" s="230" t="str">
        <f t="shared" si="29"/>
        <v>要確認</v>
      </c>
      <c r="V104" s="230" t="str">
        <f t="shared" si="30"/>
        <v>通常</v>
      </c>
      <c r="W104" s="361" cm="1">
        <f t="array" ref="W104">IFERROR(100-100/(1+SUMPRODUCT((終値!F109:R109&gt;終値!G109:S109)*(終値!F109:R109-終値!G109:S109))/SUMPRODUCT((終値!F109:R109&lt;終値!G109:S109)*(終値!G109:S109-終値!F109:R109))),50)</f>
        <v>31.690140845070431</v>
      </c>
      <c r="X104" s="362">
        <f>IF(C104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-44.773703525328074</v>
      </c>
      <c r="Y104" s="230" t="str">
        <f t="shared" si="31"/>
        <v>相場上昇・見送り | 下降トレンド▼ MACD- RSI:31.7 前日比:-1.6% [大陰線▼]前日[長い下ヒゲ(反発)] [10点]</v>
      </c>
      <c r="Z104" s="363">
        <f t="shared" si="32"/>
        <v>-1.5597410241318423</v>
      </c>
      <c r="AA104" s="230" t="str">
        <f t="shared" si="33"/>
        <v>下落▼</v>
      </c>
      <c r="AB104" s="358">
        <f>IF(OR(C104="",C104="TOPX",終値!E109=""),"",IFERROR(((終値!E109*0.333)+(終値!F109*0.222)+(終値!G109*0.148)+(終値!H109*0.099)+(終値!I109*0.066))/(0.333+0.222+0.148+0.099+0.066),""))</f>
        <v>3384.3928571428564</v>
      </c>
      <c r="AC104" s="358">
        <f>IF(OR(C104="",C104="TOPX",終値!E109=""),"",IFERROR(SUMPRODUCT((終値!E109:AC109)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3455.9952324195456</v>
      </c>
      <c r="AD104" s="230" t="str">
        <f t="shared" si="34"/>
        <v>下降トレンド▼</v>
      </c>
      <c r="AE104" s="230" t="str">
        <f t="shared" si="35"/>
        <v>なし</v>
      </c>
      <c r="AF104" t="str">
        <f>IF(T104="","",IF(銘柄管理!$F$5="上昇▲",IF(AND(AD104="下降トレンド▼",OR(AE104="25日戻り売り★",AE104="5日戻り売り○")),"★逆張り売り",IF(AND(AD104="もみ合い→",OR(AE104="25日戻り売り★",AE104="5日戻り売り○")),"○逆張り売り",IF(W104&gt;=70,IF(Z104&lt;0,"◎反落確認","△過熱・様子見"),"相場上昇・見送り"))),IF(AND(T104&gt;=12,AD104="下降トレンド▼"),"★強い売り",IF(T104&gt;=12,"★強い売り",IF(AND(T104&gt;=8,OR(AE104="25日戻り売り★",AE104="5日戻り売り○")),"◎戻り売り",IF(T104&gt;=10,"○売り候補",IF(T104&gt;=6,"△注目",IF(T104&gt;=3,"様子見","見送り"))))))))</f>
        <v>相場上昇・見送り</v>
      </c>
      <c r="AG104">
        <f t="shared" si="37"/>
        <v>10</v>
      </c>
      <c r="AH104">
        <f t="shared" si="38"/>
        <v>99896</v>
      </c>
      <c r="AI104" s="412" cm="1">
        <f t="array" ref="AI104">IF(C104="","",IFERROR((INDEX(終値!$E:$E,MATCH(TEXT(C104,"0"),終値!$A:$A,0))-INDEX(終値!$E:$BL,MATCH(TEXT(C104,"0"),終値!$A:$A,0),$AN$2))/INDEX(終値!$E:$BL,MATCH(TEXT(C104,"0"),終値!$A:$A,0),$AN$2)*100,""))</f>
        <v>-11.131774707757705</v>
      </c>
      <c r="AJ104" s="412" cm="1">
        <f t="array" ref="AJ104">IFERROR((終値!$E$5-INDEX(終値!$E$5:$BL$5,1,$AN$2))/INDEX(終値!$E$5:$BL$5,1,$AN$2)*100,"")</f>
        <v>3.4532270246721688</v>
      </c>
      <c r="AK104" s="413">
        <f t="shared" si="39"/>
        <v>-14.585001732429873</v>
      </c>
      <c r="AL104" s="411">
        <f t="shared" si="40"/>
        <v>3</v>
      </c>
      <c r="AO104" s="415" t="str">
        <f t="shared" si="41"/>
        <v>大陰線▼</v>
      </c>
      <c r="AP104" s="416">
        <f t="shared" si="42"/>
        <v>2</v>
      </c>
      <c r="AQ104">
        <f>IF(C104&lt;&gt;"",始値!F109,"")</f>
        <v>3385</v>
      </c>
      <c r="AR104">
        <f>IF(C104&lt;&gt;"",高値!F109,"")</f>
        <v>3400</v>
      </c>
      <c r="AS104">
        <f>IF(C104&lt;&gt;"",安値!F109,"")</f>
        <v>3356</v>
      </c>
      <c r="AT104" t="str">
        <f t="shared" si="36"/>
        <v>長い下ヒゲ(反発)</v>
      </c>
      <c r="AU104">
        <f t="shared" si="43"/>
        <v>-2</v>
      </c>
    </row>
    <row r="105" spans="1:47" ht="14.25">
      <c r="A105" s="349" t="str">
        <f>IF(銘柄管理!B114&lt;&gt;"",HYPERLINK("https://kabutan.jp/stock/?code="&amp;銘柄管理!B114,"株探"),"")</f>
        <v>株探</v>
      </c>
      <c r="B105" s="350"/>
      <c r="C105" s="350">
        <f>IF(銘柄管理!B114="","",銘柄管理!B114)</f>
        <v>9501</v>
      </c>
      <c r="D105" s="350" t="str">
        <f>IF(銘柄管理!C114="","",銘柄管理!C114)</f>
        <v>東京電力ＨＤ</v>
      </c>
      <c r="E105" s="351">
        <f>IF(C105&lt;&gt;"",_xll.RssMarket(C105,"現在値"),"")</f>
        <v>508.1</v>
      </c>
      <c r="F105" s="351">
        <f>IF(C105&lt;&gt;"",_xll.RssMarket(C105,"始値"),"")</f>
        <v>523.20000000000005</v>
      </c>
      <c r="G105" s="350">
        <f>IF(C105&lt;&gt;"",終値!F114,"")</f>
        <v>513.5</v>
      </c>
      <c r="H105" s="351">
        <f>IF(C105&lt;&gt;"",_xll.RssMarket(C105,"高値"),"")</f>
        <v>523.5</v>
      </c>
      <c r="I105" s="351">
        <f>IF(C105&lt;&gt;"",_xll.RssMarket(C105,"安値"),"")</f>
        <v>507.4</v>
      </c>
      <c r="J105" s="351">
        <f>IF(C105&lt;&gt;"",_xll.RssMarket(C105,"出来高"),"")</f>
        <v>21276700</v>
      </c>
      <c r="K105" s="351">
        <f>IF(C105&lt;&gt;"",_xll.RssMarket(C105,"年初来高値"),"")</f>
        <v>760</v>
      </c>
      <c r="L105" s="352">
        <f t="shared" si="22"/>
        <v>-33.14473684210526</v>
      </c>
      <c r="M105" s="351">
        <f>IF(C105&lt;&gt;"",IFERROR(AVERAGE(出来高!E114:I114),""),"")</f>
        <v>29643320</v>
      </c>
      <c r="N105" s="351">
        <f>IF(C105&lt;&gt;"",IFERROR(AVERAGE(出来高!E114:AC114),""),"")</f>
        <v>38205312</v>
      </c>
      <c r="O105" s="353">
        <f t="shared" si="23"/>
        <v>0.71775698538490296</v>
      </c>
      <c r="P105" s="350" t="str">
        <f t="shared" si="24"/>
        <v>減少↓</v>
      </c>
      <c r="Q105" s="350" t="str">
        <f t="shared" si="25"/>
        <v>中立→</v>
      </c>
      <c r="R105" s="351">
        <f t="shared" si="26"/>
        <v>467</v>
      </c>
      <c r="S105" s="351">
        <f t="shared" si="27"/>
        <v>528</v>
      </c>
      <c r="T105" s="350">
        <f t="shared" si="28"/>
        <v>18</v>
      </c>
      <c r="U105" s="350" t="str">
        <f t="shared" si="29"/>
        <v>要確認</v>
      </c>
      <c r="V105" s="350" t="str">
        <f t="shared" si="30"/>
        <v>安値圏</v>
      </c>
      <c r="W105" s="354" cm="1">
        <f t="array" ref="W105">IFERROR(100-100/(1+SUMPRODUCT((終値!F114:R114&gt;終値!G114:S114)*(終値!F114:R114-終値!G114:S114))/SUMPRODUCT((終値!F114:R114&lt;終値!G114:S114)*(終値!G114:S114-終値!F114:R114))),50)</f>
        <v>33.017077798861465</v>
      </c>
      <c r="X105" s="355">
        <f>IF(C105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-8.7907850691969998</v>
      </c>
      <c r="Y105" s="350" t="str">
        <f t="shared" si="31"/>
        <v>★逆張り売り | 下降トレンド▼ 5日戻り売り○ MACD- RSI:33.0 前日比:-1.1% [安値圏] [大陰線▼]前日[大陰線▼] [18点]</v>
      </c>
      <c r="Z105" s="356">
        <f t="shared" si="32"/>
        <v>-1.05160662122687</v>
      </c>
      <c r="AA105" s="350" t="str">
        <f t="shared" si="33"/>
        <v>下落▼</v>
      </c>
      <c r="AB105" s="351">
        <f>IF(OR(C105="",C105="TOPX",終値!E114=""),"",IFERROR(((終値!E114*0.333)+(終値!F114*0.222)+(終値!G114*0.148)+(終値!H114*0.099)+(終値!I114*0.066))/(0.333+0.222+0.148+0.099+0.066),""))</f>
        <v>508.48052995391703</v>
      </c>
      <c r="AC105" s="351">
        <f>IF(OR(C105="",C105="TOPX",終値!E114=""),"",IFERROR(SUMPRODUCT((終値!E114:AC114)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540.6063170440998</v>
      </c>
      <c r="AD105" s="350" t="str">
        <f t="shared" si="34"/>
        <v>下降トレンド▼</v>
      </c>
      <c r="AE105" s="350" t="str">
        <f t="shared" si="35"/>
        <v>5日戻り売り○</v>
      </c>
      <c r="AF105" t="str">
        <f>IF(T105="","",IF(銘柄管理!$F$5="上昇▲",IF(AND(AD105="下降トレンド▼",OR(AE105="25日戻り売り★",AE105="5日戻り売り○")),"★逆張り売り",IF(AND(AD105="もみ合い→",OR(AE105="25日戻り売り★",AE105="5日戻り売り○")),"○逆張り売り",IF(W105&gt;=70,IF(Z105&lt;0,"◎反落確認","△過熱・様子見"),"相場上昇・見送り"))),IF(AND(T105&gt;=12,AD105="下降トレンド▼"),"★強い売り",IF(T105&gt;=12,"★強い売り",IF(AND(T105&gt;=8,OR(AE105="25日戻り売り★",AE105="5日戻り売り○")),"◎戻り売り",IF(T105&gt;=10,"○売り候補",IF(T105&gt;=6,"△注目",IF(T105&gt;=3,"様子見","見送り"))))))))</f>
        <v>★逆張り売り</v>
      </c>
      <c r="AG105">
        <f t="shared" si="37"/>
        <v>18</v>
      </c>
      <c r="AH105">
        <f t="shared" si="38"/>
        <v>179895</v>
      </c>
      <c r="AI105" s="412" cm="1">
        <f t="array" ref="AI105">IF(C105="","",IFERROR((INDEX(終値!$E:$E,MATCH(TEXT(C105,"0"),終値!$A:$A,0))-INDEX(終値!$E:$BL,MATCH(TEXT(C105,"0"),終値!$A:$A,0),$AN$2))/INDEX(終値!$E:$BL,MATCH(TEXT(C105,"0"),終値!$A:$A,0),$AN$2)*100,""))</f>
        <v>-16.568144499178977</v>
      </c>
      <c r="AJ105" s="412" cm="1">
        <f t="array" ref="AJ105">IFERROR((終値!$E$5-INDEX(終値!$E$5:$BL$5,1,$AN$2))/INDEX(終値!$E$5:$BL$5,1,$AN$2)*100,"")</f>
        <v>3.4532270246721688</v>
      </c>
      <c r="AK105" s="413">
        <f t="shared" si="39"/>
        <v>-20.021371523851148</v>
      </c>
      <c r="AL105" s="411">
        <f t="shared" si="40"/>
        <v>3</v>
      </c>
      <c r="AO105" s="415" t="str">
        <f t="shared" si="41"/>
        <v>大陰線▼</v>
      </c>
      <c r="AP105" s="416">
        <f t="shared" si="42"/>
        <v>2</v>
      </c>
      <c r="AQ105">
        <f>IF(C105&lt;&gt;"",始値!F114,"")</f>
        <v>530</v>
      </c>
      <c r="AR105">
        <f>IF(C105&lt;&gt;"",高値!F114,"")</f>
        <v>530</v>
      </c>
      <c r="AS105">
        <f>IF(C105&lt;&gt;"",安値!F114,"")</f>
        <v>512.20000000000005</v>
      </c>
      <c r="AT105" t="str">
        <f t="shared" si="36"/>
        <v>大陰線▼</v>
      </c>
      <c r="AU105">
        <f t="shared" si="43"/>
        <v>2</v>
      </c>
    </row>
    <row r="106" spans="1:47" ht="14.25">
      <c r="A106" s="357" t="str">
        <f>IF(銘柄管理!B120&lt;&gt;"",HYPERLINK("https://kabutan.jp/stock/?code="&amp;銘柄管理!B120,"株探"),"")</f>
        <v>株探</v>
      </c>
      <c r="B106" s="230"/>
      <c r="C106" s="230">
        <f>IF(銘柄管理!B120="","",銘柄管理!B120)</f>
        <v>6744</v>
      </c>
      <c r="D106" s="230" t="str">
        <f>IF(銘柄管理!C120="","",銘柄管理!C120)</f>
        <v>能美防災</v>
      </c>
      <c r="E106" s="358">
        <f>IF(C106&lt;&gt;"",_xll.RssMarket(C106,"現在値"),"")</f>
        <v>4175</v>
      </c>
      <c r="F106" s="358">
        <f>IF(C106&lt;&gt;"",_xll.RssMarket(C106,"始値"),"")</f>
        <v>4200</v>
      </c>
      <c r="G106" s="230">
        <f>IF(C106&lt;&gt;"",終値!F120,"")</f>
        <v>4185</v>
      </c>
      <c r="H106" s="358">
        <f>IF(C106&lt;&gt;"",_xll.RssMarket(C106,"高値"),"")</f>
        <v>4230</v>
      </c>
      <c r="I106" s="358">
        <f>IF(C106&lt;&gt;"",_xll.RssMarket(C106,"安値"),"")</f>
        <v>4155</v>
      </c>
      <c r="J106" s="358">
        <f>IF(C106&lt;&gt;"",_xll.RssMarket(C106,"出来高"),"")</f>
        <v>65600</v>
      </c>
      <c r="K106" s="358">
        <f>IF(C106&lt;&gt;"",_xll.RssMarket(C106,"年初来高値"),"")</f>
        <v>5020</v>
      </c>
      <c r="L106" s="359">
        <f t="shared" si="22"/>
        <v>-16.832669322709162</v>
      </c>
      <c r="M106" s="358">
        <f>IF(C106&lt;&gt;"",IFERROR(AVERAGE(出来高!E120:I120),""),"")</f>
        <v>69680</v>
      </c>
      <c r="N106" s="358">
        <f>IF(C106&lt;&gt;"",IFERROR(AVERAGE(出来高!E120:AC120),""),"")</f>
        <v>128684</v>
      </c>
      <c r="O106" s="360">
        <f t="shared" si="23"/>
        <v>0.94144661308840416</v>
      </c>
      <c r="P106" s="230" t="str">
        <f t="shared" si="24"/>
        <v>減少↓</v>
      </c>
      <c r="Q106" s="230" t="str">
        <f t="shared" si="25"/>
        <v>中立→</v>
      </c>
      <c r="R106" s="358">
        <f t="shared" si="26"/>
        <v>3841</v>
      </c>
      <c r="S106" s="358">
        <f t="shared" si="27"/>
        <v>4342</v>
      </c>
      <c r="T106" s="350">
        <f t="shared" si="28"/>
        <v>13</v>
      </c>
      <c r="U106" s="230" t="str">
        <f t="shared" si="29"/>
        <v>要確認</v>
      </c>
      <c r="V106" s="230" t="str">
        <f t="shared" si="30"/>
        <v>通常</v>
      </c>
      <c r="W106" s="361" cm="1">
        <f t="array" ref="W106">IFERROR(100-100/(1+SUMPRODUCT((終値!F120:R120&gt;終値!G120:S120)*(終値!F120:R120-終値!G120:S120))/SUMPRODUCT((終値!F120:R120&lt;終値!G120:S120)*(終値!G120:S120-終値!F120:R120))),50)</f>
        <v>23.039215686274503</v>
      </c>
      <c r="X106" s="362">
        <f>IF(C106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-59.164371375461997</v>
      </c>
      <c r="Y106" s="230" t="str">
        <f t="shared" si="31"/>
        <v>★逆張り売り | 下降トレンド▼ 5日戻り売り○ MACD- RSI:23.0 [売られ過ぎ] 前日比:-0.2%前日[大陰線▼] [13点]</v>
      </c>
      <c r="Z106" s="363">
        <f t="shared" si="32"/>
        <v>-0.23894862604540024</v>
      </c>
      <c r="AA106" s="230" t="str">
        <f t="shared" si="33"/>
        <v>下落▼</v>
      </c>
      <c r="AB106" s="358">
        <f>IF(OR(C106="",C106="TOPX",終値!E120=""),"",IFERROR(((終値!E120*0.333)+(終値!F120*0.222)+(終値!G120*0.148)+(終値!H120*0.099)+(終値!I120*0.066))/(0.333+0.222+0.148+0.099+0.066),""))</f>
        <v>4203.0817972350223</v>
      </c>
      <c r="AC106" s="358">
        <f>IF(OR(C106="",C106="TOPX",終値!E120=""),"",IFERROR(SUMPRODUCT((終値!E120:AC120)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4454.0107270560175</v>
      </c>
      <c r="AD106" s="230" t="str">
        <f t="shared" si="34"/>
        <v>下降トレンド▼</v>
      </c>
      <c r="AE106" s="230" t="str">
        <f t="shared" si="35"/>
        <v>5日戻り売り○</v>
      </c>
      <c r="AF106" t="str">
        <f>IF(T106="","",IF(銘柄管理!$F$5="上昇▲",IF(AND(AD106="下降トレンド▼",OR(AE106="25日戻り売り★",AE106="5日戻り売り○")),"★逆張り売り",IF(AND(AD106="もみ合い→",OR(AE106="25日戻り売り★",AE106="5日戻り売り○")),"○逆張り売り",IF(W106&gt;=70,IF(Z106&lt;0,"◎反落確認","△過熱・様子見"),"相場上昇・見送り"))),IF(AND(T106&gt;=12,AD106="下降トレンド▼"),"★強い売り",IF(T106&gt;=12,"★強い売り",IF(AND(T106&gt;=8,OR(AE106="25日戻り売り★",AE106="5日戻り売り○")),"◎戻り売り",IF(T106&gt;=10,"○売り候補",IF(T106&gt;=6,"△注目",IF(T106&gt;=3,"様子見","見送り"))))))))</f>
        <v>★逆張り売り</v>
      </c>
      <c r="AG106">
        <f t="shared" si="37"/>
        <v>13</v>
      </c>
      <c r="AH106">
        <f t="shared" si="38"/>
        <v>129894</v>
      </c>
      <c r="AI106" s="412" cm="1">
        <f t="array" ref="AI106">IF(C106="","",IFERROR((INDEX(終値!$E:$E,MATCH(TEXT(C106,"0"),終値!$A:$A,0))-INDEX(終値!$E:$BL,MATCH(TEXT(C106,"0"),終値!$A:$A,0),$AN$2))/INDEX(終値!$E:$BL,MATCH(TEXT(C106,"0"),終値!$A:$A,0),$AN$2)*100,""))</f>
        <v>-7.6327433628318575</v>
      </c>
      <c r="AJ106" s="412" cm="1">
        <f t="array" ref="AJ106">IFERROR((終値!$E$5-INDEX(終値!$E$5:$BL$5,1,$AN$2))/INDEX(終値!$E$5:$BL$5,1,$AN$2)*100,"")</f>
        <v>3.4532270246721688</v>
      </c>
      <c r="AK106" s="413">
        <f t="shared" si="39"/>
        <v>-11.085970387504027</v>
      </c>
      <c r="AL106" s="411">
        <f t="shared" si="40"/>
        <v>3</v>
      </c>
      <c r="AO106" s="415" t="str">
        <f t="shared" si="41"/>
        <v>通常</v>
      </c>
      <c r="AP106" s="416">
        <f t="shared" si="42"/>
        <v>0</v>
      </c>
      <c r="AQ106">
        <f>IF(C106&lt;&gt;"",始値!F120,"")</f>
        <v>4225</v>
      </c>
      <c r="AR106">
        <f>IF(C106&lt;&gt;"",高値!F120,"")</f>
        <v>4225</v>
      </c>
      <c r="AS106">
        <f>IF(C106&lt;&gt;"",安値!F120,"")</f>
        <v>4180</v>
      </c>
      <c r="AT106" t="str">
        <f t="shared" si="36"/>
        <v>大陰線▼</v>
      </c>
      <c r="AU106">
        <f t="shared" si="43"/>
        <v>2</v>
      </c>
    </row>
    <row r="107" spans="1:47" ht="14.25">
      <c r="A107" s="349" t="str">
        <f>IF(銘柄管理!B126&lt;&gt;"",HYPERLINK("https://kabutan.jp/stock/?code="&amp;銘柄管理!B126,"株探"),"")</f>
        <v>株探</v>
      </c>
      <c r="B107" s="350"/>
      <c r="C107" s="350">
        <f>IF(銘柄管理!B126="","",銘柄管理!B126)</f>
        <v>9416</v>
      </c>
      <c r="D107" s="350" t="str">
        <f>IF(銘柄管理!C126="","",銘柄管理!C126)</f>
        <v>ビジョン</v>
      </c>
      <c r="E107" s="351">
        <f>IF(C107&lt;&gt;"",_xll.RssMarket(C107,"現在値"),"")</f>
        <v>1015</v>
      </c>
      <c r="F107" s="351">
        <f>IF(C107&lt;&gt;"",_xll.RssMarket(C107,"始値"),"")</f>
        <v>1020</v>
      </c>
      <c r="G107" s="350">
        <f>IF(C107&lt;&gt;"",終値!F126,"")</f>
        <v>1018</v>
      </c>
      <c r="H107" s="351">
        <f>IF(C107&lt;&gt;"",_xll.RssMarket(C107,"高値"),"")</f>
        <v>1026</v>
      </c>
      <c r="I107" s="351">
        <f>IF(C107&lt;&gt;"",_xll.RssMarket(C107,"安値"),"")</f>
        <v>1012</v>
      </c>
      <c r="J107" s="351">
        <f>IF(C107&lt;&gt;"",_xll.RssMarket(C107,"出来高"),"")</f>
        <v>504700</v>
      </c>
      <c r="K107" s="351">
        <f>IF(C107&lt;&gt;"",_xll.RssMarket(C107,"年初来高値"),"")</f>
        <v>1343</v>
      </c>
      <c r="L107" s="352">
        <f t="shared" si="22"/>
        <v>-24.422933730454208</v>
      </c>
      <c r="M107" s="351">
        <f>IF(C107&lt;&gt;"",IFERROR(AVERAGE(出来高!E126:I126),""),"")</f>
        <v>400640</v>
      </c>
      <c r="N107" s="351">
        <f>IF(C107&lt;&gt;"",IFERROR(AVERAGE(出来高!E126:AC126),""),"")</f>
        <v>404764</v>
      </c>
      <c r="O107" s="353">
        <f t="shared" si="23"/>
        <v>1.2597344249201279</v>
      </c>
      <c r="P107" s="350" t="str">
        <f t="shared" si="24"/>
        <v>普通→</v>
      </c>
      <c r="Q107" s="350" t="str">
        <f t="shared" si="25"/>
        <v>中立→</v>
      </c>
      <c r="R107" s="351">
        <f t="shared" si="26"/>
        <v>934</v>
      </c>
      <c r="S107" s="351">
        <f t="shared" si="27"/>
        <v>1056</v>
      </c>
      <c r="T107" s="350">
        <f t="shared" si="28"/>
        <v>10</v>
      </c>
      <c r="U107" s="350" t="str">
        <f t="shared" si="29"/>
        <v>要確認</v>
      </c>
      <c r="V107" s="350" t="str">
        <f t="shared" si="30"/>
        <v>通常</v>
      </c>
      <c r="W107" s="354" cm="1">
        <f t="array" ref="W107">IFERROR(100-100/(1+SUMPRODUCT((終値!F126:R126&gt;終値!G126:S126)*(終値!F126:R126-終値!G126:S126))/SUMPRODUCT((終値!F126:R126&lt;終値!G126:S126)*(終値!G126:S126-終値!F126:R126))),50)</f>
        <v>27.624309392265189</v>
      </c>
      <c r="X107" s="355">
        <f>IF(C107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-6.4015538988769549</v>
      </c>
      <c r="Y107" s="350" t="str">
        <f t="shared" si="31"/>
        <v>★逆張り売り | 下降トレンド▼ 25日戻り売り★ MACD- RSI:27.6 [売られ過ぎ] 前日比:-0.3%前日[長い下ヒゲ(反発)] [10点]</v>
      </c>
      <c r="Z107" s="356">
        <f t="shared" si="32"/>
        <v>-0.29469548133595286</v>
      </c>
      <c r="AA107" s="350" t="str">
        <f t="shared" si="33"/>
        <v>下落▼</v>
      </c>
      <c r="AB107" s="351">
        <f>IF(OR(C107="",C107="TOPX",終値!E126=""),"",IFERROR(((終値!E126*0.333)+(終値!F126*0.222)+(終値!G126*0.148)+(終値!H126*0.099)+(終値!I126*0.066))/(0.333+0.222+0.148+0.099+0.066),""))</f>
        <v>1015.1370967741935</v>
      </c>
      <c r="AC107" s="351">
        <f>IF(OR(C107="",C107="TOPX",終値!E126=""),"",IFERROR(SUMPRODUCT((終値!E126:AC126)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1030.4648390941593</v>
      </c>
      <c r="AD107" s="350" t="str">
        <f t="shared" si="34"/>
        <v>下降トレンド▼</v>
      </c>
      <c r="AE107" s="350" t="str">
        <f t="shared" si="35"/>
        <v>25日戻り売り★</v>
      </c>
      <c r="AF107" t="str">
        <f>IF(T107="","",IF(銘柄管理!$F$5="上昇▲",IF(AND(AD107="下降トレンド▼",OR(AE107="25日戻り売り★",AE107="5日戻り売り○")),"★逆張り売り",IF(AND(AD107="もみ合い→",OR(AE107="25日戻り売り★",AE107="5日戻り売り○")),"○逆張り売り",IF(W107&gt;=70,IF(Z107&lt;0,"◎反落確認","△過熱・様子見"),"相場上昇・見送り"))),IF(AND(T107&gt;=12,AD107="下降トレンド▼"),"★強い売り",IF(T107&gt;=12,"★強い売り",IF(AND(T107&gt;=8,OR(AE107="25日戻り売り★",AE107="5日戻り売り○")),"◎戻り売り",IF(T107&gt;=10,"○売り候補",IF(T107&gt;=6,"△注目",IF(T107&gt;=3,"様子見","見送り"))))))))</f>
        <v>★逆張り売り</v>
      </c>
      <c r="AG107">
        <f t="shared" si="37"/>
        <v>10</v>
      </c>
      <c r="AH107">
        <f t="shared" si="38"/>
        <v>99893</v>
      </c>
      <c r="AI107" s="412" cm="1">
        <f t="array" ref="AI107">IF(C107="","",IFERROR((INDEX(終値!$E:$E,MATCH(TEXT(C107,"0"),終値!$A:$A,0))-INDEX(終値!$E:$BL,MATCH(TEXT(C107,"0"),終値!$A:$A,0),$AN$2))/INDEX(終値!$E:$BL,MATCH(TEXT(C107,"0"),終値!$A:$A,0),$AN$2)*100,""))</f>
        <v>-6.7952249770431585</v>
      </c>
      <c r="AJ107" s="412" cm="1">
        <f t="array" ref="AJ107">IFERROR((終値!$E$5-INDEX(終値!$E$5:$BL$5,1,$AN$2))/INDEX(終値!$E$5:$BL$5,1,$AN$2)*100,"")</f>
        <v>3.4532270246721688</v>
      </c>
      <c r="AK107" s="413">
        <f t="shared" si="39"/>
        <v>-10.248452001715327</v>
      </c>
      <c r="AL107" s="411">
        <f t="shared" si="40"/>
        <v>3</v>
      </c>
      <c r="AO107" s="415" t="str">
        <f t="shared" si="41"/>
        <v>通常</v>
      </c>
      <c r="AP107" s="416">
        <f t="shared" si="42"/>
        <v>0</v>
      </c>
      <c r="AQ107">
        <f>IF(C107&lt;&gt;"",始値!F126,"")</f>
        <v>1017</v>
      </c>
      <c r="AR107">
        <f>IF(C107&lt;&gt;"",高値!F126,"")</f>
        <v>1020</v>
      </c>
      <c r="AS107">
        <f>IF(C107&lt;&gt;"",安値!F126,"")</f>
        <v>1009</v>
      </c>
      <c r="AT107" t="str">
        <f t="shared" si="36"/>
        <v>長い下ヒゲ(反発)</v>
      </c>
      <c r="AU107">
        <f t="shared" si="43"/>
        <v>-2</v>
      </c>
    </row>
    <row r="108" spans="1:47" ht="14.25">
      <c r="A108" s="357" t="str">
        <f>IF(銘柄管理!B132&lt;&gt;"",HYPERLINK("https://kabutan.jp/stock/?code="&amp;銘柄管理!B132,"株探"),"")</f>
        <v>株探</v>
      </c>
      <c r="B108" s="230"/>
      <c r="C108" s="230">
        <f>IF(銘柄管理!B132="","",銘柄管理!B132)</f>
        <v>6227</v>
      </c>
      <c r="D108" s="230" t="str">
        <f>IF(銘柄管理!C132="","",銘柄管理!C132)</f>
        <v>ＡＩメカテック</v>
      </c>
      <c r="E108" s="358">
        <f>IF(C108&lt;&gt;"",_xll.RssMarket(C108,"現在値"),"")</f>
        <v>8160</v>
      </c>
      <c r="F108" s="358">
        <f>IF(C108&lt;&gt;"",_xll.RssMarket(C108,"始値"),"")</f>
        <v>7930</v>
      </c>
      <c r="G108" s="230">
        <f>IF(C108&lt;&gt;"",終値!F132,"")</f>
        <v>8080</v>
      </c>
      <c r="H108" s="358">
        <f>IF(C108&lt;&gt;"",_xll.RssMarket(C108,"高値"),"")</f>
        <v>8830</v>
      </c>
      <c r="I108" s="358">
        <f>IF(C108&lt;&gt;"",_xll.RssMarket(C108,"安値"),"")</f>
        <v>7920</v>
      </c>
      <c r="J108" s="358">
        <f>IF(C108&lt;&gt;"",_xll.RssMarket(C108,"出来高"),"")</f>
        <v>1363100</v>
      </c>
      <c r="K108" s="358">
        <f>IF(C108&lt;&gt;"",_xll.RssMarket(C108,"年初来高値"),"")</f>
        <v>9190</v>
      </c>
      <c r="L108" s="359">
        <f t="shared" si="22"/>
        <v>-11.207834602829161</v>
      </c>
      <c r="M108" s="358">
        <f>IF(C108&lt;&gt;"",IFERROR(AVERAGE(出来高!E132:I132),""),"")</f>
        <v>1540500</v>
      </c>
      <c r="N108" s="358">
        <f>IF(C108&lt;&gt;"",IFERROR(AVERAGE(出来高!E132:AC132),""),"")</f>
        <v>1473272</v>
      </c>
      <c r="O108" s="360">
        <f t="shared" si="23"/>
        <v>0.88484258357676082</v>
      </c>
      <c r="P108" s="230" t="str">
        <f t="shared" si="24"/>
        <v>減少↓</v>
      </c>
      <c r="Q108" s="230" t="str">
        <f t="shared" si="25"/>
        <v>様子見▲</v>
      </c>
      <c r="R108" s="358">
        <f t="shared" si="26"/>
        <v>7507</v>
      </c>
      <c r="S108" s="358">
        <f t="shared" si="27"/>
        <v>8486</v>
      </c>
      <c r="T108" s="350">
        <f t="shared" si="28"/>
        <v>3</v>
      </c>
      <c r="U108" s="230" t="str">
        <f t="shared" si="29"/>
        <v>要確認</v>
      </c>
      <c r="V108" s="230" t="str">
        <f t="shared" si="30"/>
        <v>通常</v>
      </c>
      <c r="W108" s="361" cm="1">
        <f t="array" ref="W108">IFERROR(100-100/(1+SUMPRODUCT((終値!F132:R132&gt;終値!G132:S132)*(終値!F132:R132-終値!G132:S132))/SUMPRODUCT((終値!F132:R132&lt;終値!G132:S132)*(終値!G132:S132-終値!F132:R132))),50)</f>
        <v>70.043103448275872</v>
      </c>
      <c r="X108" s="362">
        <f>IF(C108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199.61110735196689</v>
      </c>
      <c r="Y108" s="230" t="str">
        <f t="shared" si="31"/>
        <v>△過熱・様子見 | パーフェクト▲ MACD+ RSI:70.0 [過熱] 前日比:+1.0% [上ヒゲ陰線▼] [3点]</v>
      </c>
      <c r="Z108" s="363">
        <f t="shared" si="32"/>
        <v>0.99009900990099009</v>
      </c>
      <c r="AA108" s="230" t="str">
        <f t="shared" si="33"/>
        <v>上昇▲</v>
      </c>
      <c r="AB108" s="358">
        <f>IF(OR(C108="",C108="TOPX",終値!E132=""),"",IFERROR(((終値!E132*0.333)+(終値!F132*0.222)+(終値!G132*0.148)+(終値!H132*0.099)+(終値!I132*0.066))/(0.333+0.222+0.148+0.099+0.066),""))</f>
        <v>7849.0668202764964</v>
      </c>
      <c r="AC108" s="358">
        <f>IF(OR(C108="",C108="TOPX",終値!E132=""),"",IFERROR(SUMPRODUCT((終値!E132:AC132)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6884.6245530393298</v>
      </c>
      <c r="AD108" s="230" t="str">
        <f t="shared" si="34"/>
        <v>パーフェクト▲</v>
      </c>
      <c r="AE108" s="230" t="str">
        <f t="shared" si="35"/>
        <v>なし</v>
      </c>
      <c r="AF108" t="str">
        <f>IF(T108="","",IF(銘柄管理!$F$5="上昇▲",IF(AND(AD108="下降トレンド▼",OR(AE108="25日戻り売り★",AE108="5日戻り売り○")),"★逆張り売り",IF(AND(AD108="もみ合い→",OR(AE108="25日戻り売り★",AE108="5日戻り売り○")),"○逆張り売り",IF(W108&gt;=70,IF(Z108&lt;0,"◎反落確認","△過熱・様子見"),"相場上昇・見送り"))),IF(AND(T108&gt;=12,AD108="下降トレンド▼"),"★強い売り",IF(T108&gt;=12,"★強い売り",IF(AND(T108&gt;=8,OR(AE108="25日戻り売り★",AE108="5日戻り売り○")),"◎戻り売り",IF(T108&gt;=10,"○売り候補",IF(T108&gt;=6,"△注目",IF(T108&gt;=3,"様子見","見送り"))))))))</f>
        <v>△過熱・様子見</v>
      </c>
      <c r="AG108">
        <f t="shared" si="37"/>
        <v>0</v>
      </c>
      <c r="AH108">
        <f t="shared" si="38"/>
        <v>0</v>
      </c>
      <c r="AI108" s="412" cm="1">
        <f t="array" ref="AI108">IF(C108="","",IFERROR((INDEX(終値!$E:$E,MATCH(TEXT(C108,"0"),終値!$A:$A,0))-INDEX(終値!$E:$BL,MATCH(TEXT(C108,"0"),終値!$A:$A,0),$AN$2))/INDEX(終値!$E:$BL,MATCH(TEXT(C108,"0"),終値!$A:$A,0),$AN$2)*100,""))</f>
        <v>21.973094170403588</v>
      </c>
      <c r="AJ108" s="412" cm="1">
        <f t="array" ref="AJ108">IFERROR((終値!$E$5-INDEX(終値!$E$5:$BL$5,1,$AN$2))/INDEX(終値!$E$5:$BL$5,1,$AN$2)*100,"")</f>
        <v>3.4532270246721688</v>
      </c>
      <c r="AK108" s="413">
        <f t="shared" si="39"/>
        <v>18.519867145731418</v>
      </c>
      <c r="AL108" s="411">
        <f t="shared" si="40"/>
        <v>-2</v>
      </c>
      <c r="AO108" s="415" t="str">
        <f t="shared" si="41"/>
        <v>上ヒゲ陰線▼</v>
      </c>
      <c r="AP108" s="416">
        <f t="shared" si="42"/>
        <v>2</v>
      </c>
      <c r="AQ108">
        <f>IF(C108&lt;&gt;"",始値!F132,"")</f>
        <v>8390</v>
      </c>
      <c r="AR108">
        <f>IF(C108&lt;&gt;"",高値!F132,"")</f>
        <v>8490</v>
      </c>
      <c r="AS108">
        <f>IF(C108&lt;&gt;"",安値!F132,"")</f>
        <v>7730</v>
      </c>
      <c r="AT108" t="str">
        <f t="shared" si="36"/>
        <v>通常</v>
      </c>
      <c r="AU108">
        <f t="shared" si="43"/>
        <v>0</v>
      </c>
    </row>
    <row r="109" spans="1:47" ht="14.25">
      <c r="A109" s="349" t="str">
        <f>IF(銘柄管理!B134&lt;&gt;"",HYPERLINK("https://kabutan.jp/stock/?code="&amp;銘柄管理!B134,"株探"),"")</f>
        <v>株探</v>
      </c>
      <c r="B109" s="350"/>
      <c r="C109" s="350">
        <f>IF(銘柄管理!B134="","",銘柄管理!B134)</f>
        <v>3110</v>
      </c>
      <c r="D109" s="350" t="str">
        <f>IF(銘柄管理!C134="","",銘柄管理!C134)</f>
        <v>日東紡績</v>
      </c>
      <c r="E109" s="351">
        <f>IF(C109&lt;&gt;"",_xll.RssMarket(C109,"現在値"),"")</f>
        <v>21170</v>
      </c>
      <c r="F109" s="351">
        <f>IF(C109&lt;&gt;"",_xll.RssMarket(C109,"始値"),"")</f>
        <v>20690</v>
      </c>
      <c r="G109" s="350">
        <f>IF(C109&lt;&gt;"",終値!F134,"")</f>
        <v>21690</v>
      </c>
      <c r="H109" s="351">
        <f>IF(C109&lt;&gt;"",_xll.RssMarket(C109,"高値"),"")</f>
        <v>21630</v>
      </c>
      <c r="I109" s="351">
        <f>IF(C109&lt;&gt;"",_xll.RssMarket(C109,"安値"),"")</f>
        <v>20600</v>
      </c>
      <c r="J109" s="351">
        <f>IF(C109&lt;&gt;"",_xll.RssMarket(C109,"出来高"),"")</f>
        <v>1745900</v>
      </c>
      <c r="K109" s="351">
        <f>IF(C109&lt;&gt;"",_xll.RssMarket(C109,"年初来高値"),"")</f>
        <v>32900</v>
      </c>
      <c r="L109" s="352">
        <f t="shared" si="22"/>
        <v>-35.653495440729479</v>
      </c>
      <c r="M109" s="351">
        <f>IF(C109&lt;&gt;"",IFERROR(AVERAGE(出来高!E134:I134),""),"")</f>
        <v>2271700</v>
      </c>
      <c r="N109" s="351">
        <f>IF(C109&lt;&gt;"",IFERROR(AVERAGE(出来高!E134:AC134),""),"")</f>
        <v>2451140</v>
      </c>
      <c r="O109" s="353">
        <f t="shared" si="23"/>
        <v>0.76854338160848701</v>
      </c>
      <c r="P109" s="350" t="str">
        <f t="shared" si="24"/>
        <v>減少↓</v>
      </c>
      <c r="Q109" s="350" t="str">
        <f t="shared" si="25"/>
        <v>中立→</v>
      </c>
      <c r="R109" s="351">
        <f t="shared" si="26"/>
        <v>19476</v>
      </c>
      <c r="S109" s="351">
        <f t="shared" si="27"/>
        <v>22017</v>
      </c>
      <c r="T109" s="350">
        <f t="shared" si="28"/>
        <v>13</v>
      </c>
      <c r="U109" s="350" t="str">
        <f t="shared" si="29"/>
        <v>要確認</v>
      </c>
      <c r="V109" s="350" t="str">
        <f t="shared" si="30"/>
        <v>安値圏</v>
      </c>
      <c r="W109" s="354" cm="1">
        <f t="array" ref="W109">IFERROR(100-100/(1+SUMPRODUCT((終値!F134:R134&gt;終値!G134:S134)*(終値!F134:R134-終値!G134:S134))/SUMPRODUCT((終値!F134:R134&lt;終値!G134:S134)*(終値!G134:S134-終値!F134:R134))),50)</f>
        <v>33.446136491821775</v>
      </c>
      <c r="X109" s="355">
        <f>IF(C109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-664.33780185400974</v>
      </c>
      <c r="Y109" s="350" t="str">
        <f t="shared" si="31"/>
        <v>○逆張り売り | もみ合い→ 25日戻り売り★ MACD- RSI:33.4 前日比:-2.4% [安値圏] [13点]</v>
      </c>
      <c r="Z109" s="356">
        <f t="shared" si="32"/>
        <v>-2.3974181650530202</v>
      </c>
      <c r="AA109" s="350" t="str">
        <f t="shared" si="33"/>
        <v>下落▼</v>
      </c>
      <c r="AB109" s="351">
        <f>IF(OR(C109="",C109="TOPX",終値!E134=""),"",IFERROR(((終値!E134*0.333)+(終値!F134*0.222)+(終値!G134*0.148)+(終値!H134*0.099)+(終値!I134*0.066))/(0.333+0.222+0.148+0.099+0.066),""))</f>
        <v>20136.105990783406</v>
      </c>
      <c r="AC109" s="351">
        <f>IF(OR(C109="",C109="TOPX",終値!E134=""),"",IFERROR(SUMPRODUCT((終値!E134:AC134)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21368.760429082238</v>
      </c>
      <c r="AD109" s="350" t="str">
        <f t="shared" si="34"/>
        <v>もみ合い→</v>
      </c>
      <c r="AE109" s="350" t="str">
        <f t="shared" si="35"/>
        <v>25日戻り売り★</v>
      </c>
      <c r="AF109" t="str">
        <f>IF(T109="","",IF(銘柄管理!$F$5="上昇▲",IF(AND(AD109="下降トレンド▼",OR(AE109="25日戻り売り★",AE109="5日戻り売り○")),"★逆張り売り",IF(AND(AD109="もみ合い→",OR(AE109="25日戻り売り★",AE109="5日戻り売り○")),"○逆張り売り",IF(W109&gt;=70,IF(Z109&lt;0,"◎反落確認","△過熱・様子見"),"相場上昇・見送り"))),IF(AND(T109&gt;=12,AD109="下降トレンド▼"),"★強い売り",IF(T109&gt;=12,"★強い売り",IF(AND(T109&gt;=8,OR(AE109="25日戻り売り★",AE109="5日戻り売り○")),"◎戻り売り",IF(T109&gt;=10,"○売り候補",IF(T109&gt;=6,"△注目",IF(T109&gt;=3,"様子見","見送り"))))))))</f>
        <v>○逆張り売り</v>
      </c>
      <c r="AG109">
        <f t="shared" si="37"/>
        <v>13</v>
      </c>
      <c r="AH109">
        <f t="shared" si="38"/>
        <v>129891</v>
      </c>
      <c r="AI109" s="412" cm="1">
        <f t="array" ref="AI109">IF(C109="","",IFERROR((INDEX(終値!$E:$E,MATCH(TEXT(C109,"0"),終値!$A:$A,0))-INDEX(終値!$E:$BL,MATCH(TEXT(C109,"0"),終値!$A:$A,0),$AN$2))/INDEX(終値!$E:$BL,MATCH(TEXT(C109,"0"),終値!$A:$A,0),$AN$2)*100,""))</f>
        <v>-19.1676212294769</v>
      </c>
      <c r="AJ109" s="412" cm="1">
        <f t="array" ref="AJ109">IFERROR((終値!$E$5-INDEX(終値!$E$5:$BL$5,1,$AN$2))/INDEX(終値!$E$5:$BL$5,1,$AN$2)*100,"")</f>
        <v>3.4532270246721688</v>
      </c>
      <c r="AK109" s="413">
        <f t="shared" si="39"/>
        <v>-22.62084825414907</v>
      </c>
      <c r="AL109" s="411">
        <f t="shared" si="40"/>
        <v>3</v>
      </c>
      <c r="AO109" s="415" t="str">
        <f t="shared" si="41"/>
        <v>通常</v>
      </c>
      <c r="AP109" s="416">
        <f t="shared" si="42"/>
        <v>0</v>
      </c>
      <c r="AQ109">
        <f>IF(C109&lt;&gt;"",始値!F134,"")</f>
        <v>20260</v>
      </c>
      <c r="AR109">
        <f>IF(C109&lt;&gt;"",高値!F134,"")</f>
        <v>22490</v>
      </c>
      <c r="AS109">
        <f>IF(C109&lt;&gt;"",安値!F134,"")</f>
        <v>19720</v>
      </c>
      <c r="AT109" t="str">
        <f t="shared" si="36"/>
        <v>通常</v>
      </c>
      <c r="AU109">
        <f t="shared" si="43"/>
        <v>0</v>
      </c>
    </row>
    <row r="110" spans="1:47" ht="14.25">
      <c r="A110" s="357" t="str">
        <f>IF(銘柄管理!B142&lt;&gt;"",HYPERLINK("https://kabutan.jp/stock/?code="&amp;銘柄管理!B142,"株探"),"")</f>
        <v>株探</v>
      </c>
      <c r="B110" s="230"/>
      <c r="C110" s="230" t="str">
        <f>IF(銘柄管理!B142="","",銘柄管理!B142)</f>
        <v>4568</v>
      </c>
      <c r="D110" s="230" t="str">
        <f>IF(銘柄管理!C142="","",銘柄管理!C142)</f>
        <v>第一三共</v>
      </c>
      <c r="E110" s="358">
        <f>IF(C110&lt;&gt;"",_xll.RssMarket(C110,"現在値"),"")</f>
        <v>2595.5</v>
      </c>
      <c r="F110" s="358">
        <f>IF(C110&lt;&gt;"",_xll.RssMarket(C110,"始値"),"")</f>
        <v>2550</v>
      </c>
      <c r="G110" s="230">
        <f>IF(C110&lt;&gt;"",終値!F142,"")</f>
        <v>2519.5</v>
      </c>
      <c r="H110" s="358">
        <f>IF(C110&lt;&gt;"",_xll.RssMarket(C110,"高値"),"")</f>
        <v>2632</v>
      </c>
      <c r="I110" s="358">
        <f>IF(C110&lt;&gt;"",_xll.RssMarket(C110,"安値"),"")</f>
        <v>2545</v>
      </c>
      <c r="J110" s="358">
        <f>IF(C110&lt;&gt;"",_xll.RssMarket(C110,"出来高"),"")</f>
        <v>7992100</v>
      </c>
      <c r="K110" s="358">
        <f>IF(C110&lt;&gt;"",_xll.RssMarket(C110,"年初来高値"),"")</f>
        <v>3625</v>
      </c>
      <c r="L110" s="359">
        <f t="shared" si="22"/>
        <v>-28.4</v>
      </c>
      <c r="M110" s="358">
        <f>IF(C110&lt;&gt;"",IFERROR(AVERAGE(出来高!E142:I142),""),"")</f>
        <v>7075620</v>
      </c>
      <c r="N110" s="358">
        <f>IF(C110&lt;&gt;"",IFERROR(AVERAGE(出来高!E142:AC142),""),"")</f>
        <v>8827308</v>
      </c>
      <c r="O110" s="360">
        <f t="shared" si="23"/>
        <v>1.1295264584587641</v>
      </c>
      <c r="P110" s="230" t="str">
        <f t="shared" si="24"/>
        <v>普通→</v>
      </c>
      <c r="Q110" s="230" t="str">
        <f t="shared" si="25"/>
        <v>様子見▲</v>
      </c>
      <c r="R110" s="358">
        <f t="shared" si="26"/>
        <v>2388</v>
      </c>
      <c r="S110" s="358">
        <f t="shared" si="27"/>
        <v>2699</v>
      </c>
      <c r="T110" s="350">
        <f t="shared" si="28"/>
        <v>4</v>
      </c>
      <c r="U110" s="230" t="str">
        <f t="shared" si="29"/>
        <v>要確認</v>
      </c>
      <c r="V110" s="230" t="str">
        <f t="shared" si="30"/>
        <v>安値圏</v>
      </c>
      <c r="W110" s="361" cm="1">
        <f t="array" ref="W110">IFERROR(100-100/(1+SUMPRODUCT((終値!F142:R142&gt;終値!G142:S142)*(終値!F142:R142-終値!G142:S142))/SUMPRODUCT((終値!F142:R142&lt;終値!G142:S142)*(終値!G142:S142-終値!F142:R142))),50)</f>
        <v>34.764309764309772</v>
      </c>
      <c r="X110" s="362">
        <f>IF(C110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-20.507582421518237</v>
      </c>
      <c r="Y110" s="230" t="str">
        <f t="shared" si="31"/>
        <v>相場上昇・見送り | 上昇トレンド▲ MACD- RSI:34.8 前日比:+3.0% [安値圏]前日[長い下ヒゲ(反発)] [4点]</v>
      </c>
      <c r="Z110" s="363">
        <f t="shared" si="32"/>
        <v>3.0164715221274063</v>
      </c>
      <c r="AA110" s="230" t="str">
        <f t="shared" si="33"/>
        <v>上昇▲</v>
      </c>
      <c r="AB110" s="358">
        <f>IF(OR(C110="",C110="TOPX",終値!E142=""),"",IFERROR(((終値!E142*0.333)+(終値!F142*0.222)+(終値!G142*0.148)+(終値!H142*0.099)+(終値!I142*0.066))/(0.333+0.222+0.148+0.099+0.066),""))</f>
        <v>2540.1895161290322</v>
      </c>
      <c r="AC110" s="358">
        <f>IF(OR(C110="",C110="TOPX",終値!E142=""),"",IFERROR(SUMPRODUCT((終値!E142:AC142)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2563.9165673420721</v>
      </c>
      <c r="AD110" s="230" t="str">
        <f t="shared" si="34"/>
        <v>上昇トレンド▲</v>
      </c>
      <c r="AE110" s="230" t="str">
        <f t="shared" si="35"/>
        <v>なし</v>
      </c>
      <c r="AF110" t="str">
        <f>IF(T110="","",IF(銘柄管理!$F$5="上昇▲",IF(AND(AD110="下降トレンド▼",OR(AE110="25日戻り売り★",AE110="5日戻り売り○")),"★逆張り売り",IF(AND(AD110="もみ合い→",OR(AE110="25日戻り売り★",AE110="5日戻り売り○")),"○逆張り売り",IF(W110&gt;=70,IF(Z110&lt;0,"◎反落確認","△過熱・様子見"),"相場上昇・見送り"))),IF(AND(T110&gt;=12,AD110="下降トレンド▼"),"★強い売り",IF(T110&gt;=12,"★強い売り",IF(AND(T110&gt;=8,OR(AE110="25日戻り売り★",AE110="5日戻り売り○")),"◎戻り売り",IF(T110&gt;=10,"○売り候補",IF(T110&gt;=6,"△注目",IF(T110&gt;=3,"様子見","見送り"))))))))</f>
        <v>相場上昇・見送り</v>
      </c>
      <c r="AG110">
        <f t="shared" si="37"/>
        <v>0</v>
      </c>
      <c r="AH110">
        <f t="shared" si="38"/>
        <v>0</v>
      </c>
      <c r="AI110" s="412" cm="1">
        <f t="array" ref="AI110">IF(C110="","",IFERROR((INDEX(終値!$E:$E,MATCH(TEXT(C110,"0"),終値!$A:$A,0))-INDEX(終値!$E:$BL,MATCH(TEXT(C110,"0"),終値!$A:$A,0),$AN$2))/INDEX(終値!$E:$BL,MATCH(TEXT(C110,"0"),終値!$A:$A,0),$AN$2)*100,""))</f>
        <v>0.52285050348567008</v>
      </c>
      <c r="AJ110" s="412" cm="1">
        <f t="array" ref="AJ110">IFERROR((終値!$E$5-INDEX(終値!$E$5:$BL$5,1,$AN$2))/INDEX(終値!$E$5:$BL$5,1,$AN$2)*100,"")</f>
        <v>3.4532270246721688</v>
      </c>
      <c r="AK110" s="413">
        <f t="shared" si="39"/>
        <v>-2.9303765211864987</v>
      </c>
      <c r="AL110" s="411">
        <f t="shared" si="40"/>
        <v>1</v>
      </c>
      <c r="AO110" s="415" t="str">
        <f t="shared" si="41"/>
        <v>通常</v>
      </c>
      <c r="AP110" s="416">
        <f t="shared" si="42"/>
        <v>0</v>
      </c>
      <c r="AQ110">
        <f>IF(C110&lt;&gt;"",始値!F142,"")</f>
        <v>2546</v>
      </c>
      <c r="AR110">
        <f>IF(C110&lt;&gt;"",高値!F142,"")</f>
        <v>2546.5</v>
      </c>
      <c r="AS110">
        <f>IF(C110&lt;&gt;"",安値!F142,"")</f>
        <v>2489.5</v>
      </c>
      <c r="AT110" t="str">
        <f t="shared" si="36"/>
        <v>長い下ヒゲ(反発)</v>
      </c>
      <c r="AU110">
        <f t="shared" si="43"/>
        <v>-2</v>
      </c>
    </row>
    <row r="111" spans="1:47" ht="14.25">
      <c r="A111" s="349" t="str">
        <f>IF(銘柄管理!B143&lt;&gt;"",HYPERLINK("https://kabutan.jp/stock/?code="&amp;銘柄管理!B143,"株探"),"")</f>
        <v>株探</v>
      </c>
      <c r="B111" s="350"/>
      <c r="C111" s="350">
        <f>IF(銘柄管理!B143="","",銘柄管理!B143)</f>
        <v>6522</v>
      </c>
      <c r="D111" s="350" t="str">
        <f>IF(銘柄管理!C143="","",銘柄管理!C143)</f>
        <v>アスタリスク</v>
      </c>
      <c r="E111" s="351">
        <f>IF(C111&lt;&gt;"",_xll.RssMarket(C111,"現在値"),"")</f>
        <v>731</v>
      </c>
      <c r="F111" s="351">
        <f>IF(C111&lt;&gt;"",_xll.RssMarket(C111,"始値"),"")</f>
        <v>720</v>
      </c>
      <c r="G111" s="350">
        <f>IF(C111&lt;&gt;"",終値!F143,"")</f>
        <v>720</v>
      </c>
      <c r="H111" s="351">
        <f>IF(C111&lt;&gt;"",_xll.RssMarket(C111,"高値"),"")</f>
        <v>740</v>
      </c>
      <c r="I111" s="351">
        <f>IF(C111&lt;&gt;"",_xll.RssMarket(C111,"安値"),"")</f>
        <v>716</v>
      </c>
      <c r="J111" s="351">
        <f>IF(C111&lt;&gt;"",_xll.RssMarket(C111,"出来高"),"")</f>
        <v>95600</v>
      </c>
      <c r="K111" s="351">
        <f>IF(C111&lt;&gt;"",_xll.RssMarket(C111,"年初来高値"),"")</f>
        <v>1699</v>
      </c>
      <c r="L111" s="352">
        <f t="shared" si="22"/>
        <v>-56.974690994702769</v>
      </c>
      <c r="M111" s="351">
        <f>IF(C111&lt;&gt;"",IFERROR(AVERAGE(出来高!E143:I143),""),"")</f>
        <v>147120</v>
      </c>
      <c r="N111" s="351">
        <f>IF(C111&lt;&gt;"",IFERROR(AVERAGE(出来高!E143:AC143),""),"")</f>
        <v>346188</v>
      </c>
      <c r="O111" s="353">
        <f t="shared" si="23"/>
        <v>0.64980967917346388</v>
      </c>
      <c r="P111" s="350" t="str">
        <f t="shared" si="24"/>
        <v>減少↓</v>
      </c>
      <c r="Q111" s="350" t="str">
        <f t="shared" si="25"/>
        <v>様子見▲</v>
      </c>
      <c r="R111" s="351">
        <f t="shared" si="26"/>
        <v>673</v>
      </c>
      <c r="S111" s="351">
        <f t="shared" si="27"/>
        <v>760</v>
      </c>
      <c r="T111" s="350">
        <f t="shared" si="28"/>
        <v>11</v>
      </c>
      <c r="U111" s="350" t="str">
        <f t="shared" si="29"/>
        <v>要確認</v>
      </c>
      <c r="V111" s="350" t="str">
        <f t="shared" si="30"/>
        <v>年初来安値圏●</v>
      </c>
      <c r="W111" s="354" cm="1">
        <f t="array" ref="W111">IFERROR(100-100/(1+SUMPRODUCT((終値!F143:R143&gt;終値!G143:S143)*(終値!F143:R143-終値!G143:S143))/SUMPRODUCT((終値!F143:R143&lt;終値!G143:S143)*(終値!G143:S143-終値!F143:R143))),50)</f>
        <v>31.133671742808801</v>
      </c>
      <c r="X111" s="355">
        <f>IF(C111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-32.155039623625498</v>
      </c>
      <c r="Y111" s="350" t="str">
        <f t="shared" si="31"/>
        <v>相場上昇・見送り | もみ合い→ MACD- RSI:31.1 前日比:+1.5% [年初来安値圏] [11点]</v>
      </c>
      <c r="Z111" s="356">
        <f t="shared" si="32"/>
        <v>1.5277777777777777</v>
      </c>
      <c r="AA111" s="350" t="str">
        <f t="shared" si="33"/>
        <v>上昇▲</v>
      </c>
      <c r="AB111" s="351">
        <f>IF(OR(C111="",C111="TOPX",終値!E143=""),"",IFERROR(((終値!E143*0.333)+(終値!F143*0.222)+(終値!G143*0.148)+(終値!H143*0.099)+(終値!I143*0.066))/(0.333+0.222+0.148+0.099+0.066),""))</f>
        <v>727.26728110599072</v>
      </c>
      <c r="AC111" s="351">
        <f>IF(OR(C111="",C111="TOPX",終値!E143=""),"",IFERROR(SUMPRODUCT((終値!E143:AC143)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816.61501787842644</v>
      </c>
      <c r="AD111" s="350" t="str">
        <f t="shared" si="34"/>
        <v>もみ合い→</v>
      </c>
      <c r="AE111" s="350" t="str">
        <f t="shared" si="35"/>
        <v>なし</v>
      </c>
      <c r="AF111" t="str">
        <f>IF(T111="","",IF(銘柄管理!$F$5="上昇▲",IF(AND(AD111="下降トレンド▼",OR(AE111="25日戻り売り★",AE111="5日戻り売り○")),"★逆張り売り",IF(AND(AD111="もみ合い→",OR(AE111="25日戻り売り★",AE111="5日戻り売り○")),"○逆張り売り",IF(W111&gt;=70,IF(Z111&lt;0,"◎反落確認","△過熱・様子見"),"相場上昇・見送り"))),IF(AND(T111&gt;=12,AD111="下降トレンド▼"),"★強い売り",IF(T111&gt;=12,"★強い売り",IF(AND(T111&gt;=8,OR(AE111="25日戻り売り★",AE111="5日戻り売り○")),"◎戻り売り",IF(T111&gt;=10,"○売り候補",IF(T111&gt;=6,"△注目",IF(T111&gt;=3,"様子見","見送り"))))))))</f>
        <v>相場上昇・見送り</v>
      </c>
      <c r="AG111">
        <f t="shared" si="37"/>
        <v>11</v>
      </c>
      <c r="AH111">
        <f t="shared" si="38"/>
        <v>109889</v>
      </c>
      <c r="AI111" s="412" cm="1">
        <f t="array" ref="AI111">IF(C111="","",IFERROR((INDEX(終値!$E:$E,MATCH(TEXT(C111,"0"),終値!$A:$A,0))-INDEX(終値!$E:$BL,MATCH(TEXT(C111,"0"),終値!$A:$A,0),$AN$2))/INDEX(終値!$E:$BL,MATCH(TEXT(C111,"0"),終値!$A:$A,0),$AN$2)*100,""))</f>
        <v>-28.263002944062809</v>
      </c>
      <c r="AJ111" s="412" cm="1">
        <f t="array" ref="AJ111">IFERROR((終値!$E$5-INDEX(終値!$E$5:$BL$5,1,$AN$2))/INDEX(終値!$E$5:$BL$5,1,$AN$2)*100,"")</f>
        <v>3.4532270246721688</v>
      </c>
      <c r="AK111" s="413">
        <f t="shared" si="39"/>
        <v>-31.716229968734979</v>
      </c>
      <c r="AL111" s="411">
        <f t="shared" si="40"/>
        <v>3</v>
      </c>
      <c r="AO111" s="415" t="str">
        <f t="shared" si="41"/>
        <v>通常</v>
      </c>
      <c r="AP111" s="416">
        <f t="shared" si="42"/>
        <v>0</v>
      </c>
      <c r="AQ111">
        <f>IF(C111&lt;&gt;"",始値!F143,"")</f>
        <v>719</v>
      </c>
      <c r="AR111">
        <f>IF(C111&lt;&gt;"",高値!F143,"")</f>
        <v>727</v>
      </c>
      <c r="AS111">
        <f>IF(C111&lt;&gt;"",安値!F143,"")</f>
        <v>705</v>
      </c>
      <c r="AT111" t="str">
        <f t="shared" si="36"/>
        <v>通常</v>
      </c>
      <c r="AU111">
        <f t="shared" si="43"/>
        <v>0</v>
      </c>
    </row>
    <row r="112" spans="1:47" ht="14.25">
      <c r="A112" s="357" t="str">
        <f>IF(銘柄管理!B153&lt;&gt;"",HYPERLINK("https://kabutan.jp/stock/?code="&amp;銘柄管理!B153,"株探"),"")</f>
        <v>株探</v>
      </c>
      <c r="B112" s="230"/>
      <c r="C112" s="230">
        <f>IF(銘柄管理!B153="","",銘柄管理!B153)</f>
        <v>4417</v>
      </c>
      <c r="D112" s="230" t="str">
        <f>IF(銘柄管理!C153="","",銘柄管理!C153)</f>
        <v>グローバルセキュ</v>
      </c>
      <c r="E112" s="358">
        <f>IF(C112&lt;&gt;"",_xll.RssMarket(C112,"現在値"),"")</f>
        <v>3240</v>
      </c>
      <c r="F112" s="358">
        <f>IF(C112&lt;&gt;"",_xll.RssMarket(C112,"始値"),"")</f>
        <v>3070</v>
      </c>
      <c r="G112" s="230">
        <f>IF(C112&lt;&gt;"",終値!F153,"")</f>
        <v>3070</v>
      </c>
      <c r="H112" s="358">
        <f>IF(C112&lt;&gt;"",_xll.RssMarket(C112,"高値"),"")</f>
        <v>3260</v>
      </c>
      <c r="I112" s="358">
        <f>IF(C112&lt;&gt;"",_xll.RssMarket(C112,"安値"),"")</f>
        <v>3070</v>
      </c>
      <c r="J112" s="358">
        <f>IF(C112&lt;&gt;"",_xll.RssMarket(C112,"出来高"),"")</f>
        <v>49100</v>
      </c>
      <c r="K112" s="358">
        <f>IF(C112&lt;&gt;"",_xll.RssMarket(C112,"年初来高値"),"")</f>
        <v>3675</v>
      </c>
      <c r="L112" s="359">
        <f t="shared" si="22"/>
        <v>-11.836734693877551</v>
      </c>
      <c r="M112" s="358">
        <f>IF(C112&lt;&gt;"",IFERROR(AVERAGE(出来高!E153:I153),""),"")</f>
        <v>41780</v>
      </c>
      <c r="N112" s="358">
        <f>IF(C112&lt;&gt;"",IFERROR(AVERAGE(出来高!E153:AC153),""),"")</f>
        <v>86936</v>
      </c>
      <c r="O112" s="360">
        <f t="shared" si="23"/>
        <v>1.1752034466251795</v>
      </c>
      <c r="P112" s="230" t="str">
        <f t="shared" si="24"/>
        <v>普通→</v>
      </c>
      <c r="Q112" s="230" t="str">
        <f t="shared" si="25"/>
        <v>様子見▲</v>
      </c>
      <c r="R112" s="358">
        <f t="shared" si="26"/>
        <v>2981</v>
      </c>
      <c r="S112" s="358">
        <f t="shared" si="27"/>
        <v>3370</v>
      </c>
      <c r="T112" s="350">
        <f t="shared" si="28"/>
        <v>-2</v>
      </c>
      <c r="U112" s="230" t="str">
        <f t="shared" si="29"/>
        <v>除外</v>
      </c>
      <c r="V112" s="230" t="str">
        <f t="shared" si="30"/>
        <v>通常</v>
      </c>
      <c r="W112" s="361" cm="1">
        <f t="array" ref="W112">IFERROR(100-100/(1+SUMPRODUCT((終値!F153:R153&gt;終値!G153:S153)*(終値!F153:R153-終値!G153:S153))/SUMPRODUCT((終値!F153:R153&lt;終値!G153:S153)*(終値!G153:S153-終値!F153:R153))),50)</f>
        <v>39.683933274802463</v>
      </c>
      <c r="X112" s="362">
        <f>IF(C112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2.6531410330408107</v>
      </c>
      <c r="Y112" s="230" t="str">
        <f t="shared" si="31"/>
        <v>相場上昇・見送り | 上昇トレンド▲ MACD+ RSI:39.7 前日比:+5.5% [-2点]</v>
      </c>
      <c r="Z112" s="363">
        <f t="shared" si="32"/>
        <v>5.5374592833876219</v>
      </c>
      <c r="AA112" s="230" t="str">
        <f t="shared" si="33"/>
        <v>上昇▲</v>
      </c>
      <c r="AB112" s="358">
        <f>IF(OR(C112="",C112="TOPX",終値!E153=""),"",IFERROR(((終値!E153*0.333)+(終値!F153*0.222)+(終値!G153*0.148)+(終値!H153*0.099)+(終値!I153*0.066))/(0.333+0.222+0.148+0.099+0.066),""))</f>
        <v>3115.5460829493086</v>
      </c>
      <c r="AC112" s="358">
        <f>IF(OR(C112="",C112="TOPX",終値!E153=""),"",IFERROR(SUMPRODUCT((終値!E153:AC153)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3126.9404052443365</v>
      </c>
      <c r="AD112" s="230" t="str">
        <f t="shared" si="34"/>
        <v>上昇トレンド▲</v>
      </c>
      <c r="AE112" s="230" t="str">
        <f t="shared" si="35"/>
        <v>なし</v>
      </c>
      <c r="AF112" t="str">
        <f>IF(T112="","",IF(銘柄管理!$F$5="上昇▲",IF(AND(AD112="下降トレンド▼",OR(AE112="25日戻り売り★",AE112="5日戻り売り○")),"★逆張り売り",IF(AND(AD112="もみ合い→",OR(AE112="25日戻り売り★",AE112="5日戻り売り○")),"○逆張り売り",IF(W112&gt;=70,IF(Z112&lt;0,"◎反落確認","△過熱・様子見"),"相場上昇・見送り"))),IF(AND(T112&gt;=12,AD112="下降トレンド▼"),"★強い売り",IF(T112&gt;=12,"★強い売り",IF(AND(T112&gt;=8,OR(AE112="25日戻り売り★",AE112="5日戻り売り○")),"◎戻り売り",IF(T112&gt;=10,"○売り候補",IF(T112&gt;=6,"△注目",IF(T112&gt;=3,"様子見","見送り"))))))))</f>
        <v>相場上昇・見送り</v>
      </c>
      <c r="AG112">
        <f t="shared" si="37"/>
        <v>0</v>
      </c>
      <c r="AH112">
        <f t="shared" si="38"/>
        <v>0</v>
      </c>
      <c r="AI112" s="412" cm="1">
        <f t="array" ref="AI112">IF(C112="","",IFERROR((INDEX(終値!$E:$E,MATCH(TEXT(C112,"0"),終値!$A:$A,0))-INDEX(終値!$E:$BL,MATCH(TEXT(C112,"0"),終値!$A:$A,0),$AN$2))/INDEX(終値!$E:$BL,MATCH(TEXT(C112,"0"),終値!$A:$A,0),$AN$2)*100,""))</f>
        <v>17.476432197244378</v>
      </c>
      <c r="AJ112" s="412" cm="1">
        <f t="array" ref="AJ112">IFERROR((終値!$E$5-INDEX(終値!$E$5:$BL$5,1,$AN$2))/INDEX(終値!$E$5:$BL$5,1,$AN$2)*100,"")</f>
        <v>3.4532270246721688</v>
      </c>
      <c r="AK112" s="413">
        <f t="shared" si="39"/>
        <v>14.02320517257221</v>
      </c>
      <c r="AL112" s="411">
        <f t="shared" si="40"/>
        <v>-2</v>
      </c>
      <c r="AO112" s="415" t="str">
        <f t="shared" si="41"/>
        <v>通常</v>
      </c>
      <c r="AP112" s="416">
        <f t="shared" si="42"/>
        <v>0</v>
      </c>
      <c r="AQ112">
        <f>IF(C112&lt;&gt;"",始値!F153,"")</f>
        <v>3110</v>
      </c>
      <c r="AR112">
        <f>IF(C112&lt;&gt;"",高値!F153,"")</f>
        <v>3140</v>
      </c>
      <c r="AS112">
        <f>IF(C112&lt;&gt;"",安値!F153,"")</f>
        <v>3030</v>
      </c>
      <c r="AT112" t="str">
        <f t="shared" si="36"/>
        <v>通常</v>
      </c>
      <c r="AU112">
        <f t="shared" si="43"/>
        <v>0</v>
      </c>
    </row>
    <row r="113" spans="1:47" ht="14.25">
      <c r="A113" s="349" t="str">
        <f>IF(銘柄管理!B158&lt;&gt;"",HYPERLINK("https://kabutan.jp/stock/?code="&amp;銘柄管理!B158,"株探"),"")</f>
        <v>株探</v>
      </c>
      <c r="B113" s="350"/>
      <c r="C113" s="350">
        <f>IF(銘柄管理!B158="","",銘柄管理!B158)</f>
        <v>6857</v>
      </c>
      <c r="D113" s="350" t="str">
        <f>IF(銘柄管理!C158="","",銘柄管理!C158)</f>
        <v>アドバンテスト</v>
      </c>
      <c r="E113" s="351">
        <f>IF(C113&lt;&gt;"",_xll.RssMarket(C113,"現在値"),"")</f>
        <v>30060</v>
      </c>
      <c r="F113" s="351">
        <f>IF(C113&lt;&gt;"",_xll.RssMarket(C113,"始値"),"")</f>
        <v>29640</v>
      </c>
      <c r="G113" s="350">
        <f>IF(C113&lt;&gt;"",終値!F158,"")</f>
        <v>30340</v>
      </c>
      <c r="H113" s="351">
        <f>IF(C113&lt;&gt;"",_xll.RssMarket(C113,"高値"),"")</f>
        <v>31170</v>
      </c>
      <c r="I113" s="351">
        <f>IF(C113&lt;&gt;"",_xll.RssMarket(C113,"安値"),"")</f>
        <v>29585</v>
      </c>
      <c r="J113" s="351">
        <f>IF(C113&lt;&gt;"",_xll.RssMarket(C113,"出来高"),"")</f>
        <v>7837500</v>
      </c>
      <c r="K113" s="351">
        <f>IF(C113&lt;&gt;"",_xll.RssMarket(C113,"年初来高値"),"")</f>
        <v>32400</v>
      </c>
      <c r="L113" s="352">
        <f t="shared" si="22"/>
        <v>-7.2222222222222214</v>
      </c>
      <c r="M113" s="351">
        <f>IF(C113&lt;&gt;"",IFERROR(AVERAGE(出来高!E158:I158),""),"")</f>
        <v>9135140</v>
      </c>
      <c r="N113" s="351">
        <f>IF(C113&lt;&gt;"",IFERROR(AVERAGE(出来高!E158:AC158),""),"")</f>
        <v>8646784</v>
      </c>
      <c r="O113" s="353">
        <f t="shared" si="23"/>
        <v>0.85795072653511606</v>
      </c>
      <c r="P113" s="350" t="str">
        <f t="shared" si="24"/>
        <v>減少↓</v>
      </c>
      <c r="Q113" s="350" t="str">
        <f t="shared" si="25"/>
        <v>中立→</v>
      </c>
      <c r="R113" s="351">
        <f t="shared" si="26"/>
        <v>27655</v>
      </c>
      <c r="S113" s="351">
        <f t="shared" si="27"/>
        <v>31262</v>
      </c>
      <c r="T113" s="350">
        <f t="shared" si="28"/>
        <v>4</v>
      </c>
      <c r="U113" s="350" t="str">
        <f t="shared" si="29"/>
        <v>要確認</v>
      </c>
      <c r="V113" s="350" t="str">
        <f t="shared" si="30"/>
        <v>通常</v>
      </c>
      <c r="W113" s="354" cm="1">
        <f t="array" ref="W113">IFERROR(100-100/(1+SUMPRODUCT((終値!F158:R158&gt;終値!G158:S158)*(終値!F158:R158-終値!G158:S158))/SUMPRODUCT((終値!F158:R158&lt;終値!G158:S158)*(終値!G158:S158-終値!F158:R158))),50)</f>
        <v>62.806888970318795</v>
      </c>
      <c r="X113" s="355">
        <f>IF(C113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130.73819152282522</v>
      </c>
      <c r="Y113" s="350" t="str">
        <f t="shared" si="31"/>
        <v>相場上昇・見送り | パーフェクト▲ MACD+ RSI:62.8 前日比:-0.9% [上ヒゲ陰線▼] [4点]</v>
      </c>
      <c r="Z113" s="356">
        <f t="shared" si="32"/>
        <v>-0.92287409360580097</v>
      </c>
      <c r="AA113" s="350" t="str">
        <f t="shared" si="33"/>
        <v>下落▼</v>
      </c>
      <c r="AB113" s="351">
        <f>IF(OR(C113="",C113="TOPX",終値!E158=""),"",IFERROR(((終値!E158*0.333)+(終値!F158*0.222)+(終値!G158*0.148)+(終値!H158*0.099)+(終値!I158*0.066))/(0.333+0.222+0.148+0.099+0.066),""))</f>
        <v>28741.238479262669</v>
      </c>
      <c r="AC113" s="351">
        <f>IF(OR(C113="",C113="TOPX",終値!E158=""),"",IFERROR(SUMPRODUCT((終値!E158:AC158)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27328.802145411188</v>
      </c>
      <c r="AD113" s="350" t="str">
        <f t="shared" si="34"/>
        <v>パーフェクト▲</v>
      </c>
      <c r="AE113" s="350" t="str">
        <f t="shared" si="35"/>
        <v>なし</v>
      </c>
      <c r="AF113" t="str">
        <f>IF(T113="","",IF(銘柄管理!$F$5="上昇▲",IF(AND(AD113="下降トレンド▼",OR(AE113="25日戻り売り★",AE113="5日戻り売り○")),"★逆張り売り",IF(AND(AD113="もみ合い→",OR(AE113="25日戻り売り★",AE113="5日戻り売り○")),"○逆張り売り",IF(W113&gt;=70,IF(Z113&lt;0,"◎反落確認","△過熱・様子見"),"相場上昇・見送り"))),IF(AND(T113&gt;=12,AD113="下降トレンド▼"),"★強い売り",IF(T113&gt;=12,"★強い売り",IF(AND(T113&gt;=8,OR(AE113="25日戻り売り★",AE113="5日戻り売り○")),"◎戻り売り",IF(T113&gt;=10,"○売り候補",IF(T113&gt;=6,"△注目",IF(T113&gt;=3,"様子見","見送り"))))))))</f>
        <v>相場上昇・見送り</v>
      </c>
      <c r="AG113">
        <f t="shared" si="37"/>
        <v>0</v>
      </c>
      <c r="AH113">
        <f t="shared" si="38"/>
        <v>0</v>
      </c>
      <c r="AI113" s="412" cm="1">
        <f t="array" ref="AI113">IF(C113="","",IFERROR((INDEX(終値!$E:$E,MATCH(TEXT(C113,"0"),終値!$A:$A,0))-INDEX(終値!$E:$BL,MATCH(TEXT(C113,"0"),終値!$A:$A,0),$AN$2))/INDEX(終値!$E:$BL,MATCH(TEXT(C113,"0"),終値!$A:$A,0),$AN$2)*100,""))</f>
        <v>6.2566277836691411</v>
      </c>
      <c r="AJ113" s="412" cm="1">
        <f t="array" ref="AJ113">IFERROR((終値!$E$5-INDEX(終値!$E$5:$BL$5,1,$AN$2))/INDEX(終値!$E$5:$BL$5,1,$AN$2)*100,"")</f>
        <v>3.4532270246721688</v>
      </c>
      <c r="AK113" s="413">
        <f t="shared" si="39"/>
        <v>2.8034007589969723</v>
      </c>
      <c r="AL113" s="411">
        <f t="shared" si="40"/>
        <v>-1</v>
      </c>
      <c r="AO113" s="415" t="str">
        <f t="shared" si="41"/>
        <v>上ヒゲ陰線▼</v>
      </c>
      <c r="AP113" s="416">
        <f t="shared" si="42"/>
        <v>2</v>
      </c>
      <c r="AQ113">
        <f>IF(C113&lt;&gt;"",始値!F158,"")</f>
        <v>29600</v>
      </c>
      <c r="AR113">
        <f>IF(C113&lt;&gt;"",高値!F158,"")</f>
        <v>31280</v>
      </c>
      <c r="AS113">
        <f>IF(C113&lt;&gt;"",安値!F158,"")</f>
        <v>29510</v>
      </c>
      <c r="AT113" t="str">
        <f t="shared" si="36"/>
        <v>通常</v>
      </c>
      <c r="AU113">
        <f t="shared" si="43"/>
        <v>0</v>
      </c>
    </row>
    <row r="114" spans="1:47" ht="14.25">
      <c r="A114" s="357" t="str">
        <f>IF(銘柄管理!B161&lt;&gt;"",HYPERLINK("https://kabutan.jp/stock/?code="&amp;銘柄管理!B161,"株探"),"")</f>
        <v>株探</v>
      </c>
      <c r="B114" s="230"/>
      <c r="C114" s="230">
        <f>IF(銘柄管理!B161="","",銘柄管理!B161)</f>
        <v>8892</v>
      </c>
      <c r="D114" s="230" t="str">
        <f>IF(銘柄管理!C161="","",銘柄管理!C161)</f>
        <v>エスコン</v>
      </c>
      <c r="E114" s="358">
        <f>IF(C114&lt;&gt;"",_xll.RssMarket(C114,"現在値"),"")</f>
        <v>1077</v>
      </c>
      <c r="F114" s="358">
        <f>IF(C114&lt;&gt;"",_xll.RssMarket(C114,"始値"),"")</f>
        <v>1105</v>
      </c>
      <c r="G114" s="230">
        <f>IF(C114&lt;&gt;"",終値!F161,"")</f>
        <v>1099</v>
      </c>
      <c r="H114" s="358">
        <f>IF(C114&lt;&gt;"",_xll.RssMarket(C114,"高値"),"")</f>
        <v>1105</v>
      </c>
      <c r="I114" s="358">
        <f>IF(C114&lt;&gt;"",_xll.RssMarket(C114,"安値"),"")</f>
        <v>1077</v>
      </c>
      <c r="J114" s="358">
        <f>IF(C114&lt;&gt;"",_xll.RssMarket(C114,"出来高"),"")</f>
        <v>181300</v>
      </c>
      <c r="K114" s="358">
        <f>IF(C114&lt;&gt;"",_xll.RssMarket(C114,"年初来高値"),"")</f>
        <v>1267</v>
      </c>
      <c r="L114" s="359">
        <f t="shared" si="22"/>
        <v>-14.99605367008682</v>
      </c>
      <c r="M114" s="358">
        <f>IF(C114&lt;&gt;"",IFERROR(AVERAGE(出来高!E161:I161),""),"")</f>
        <v>174940</v>
      </c>
      <c r="N114" s="358">
        <f>IF(C114&lt;&gt;"",IFERROR(AVERAGE(出来高!E161:AC161),""),"")</f>
        <v>203340</v>
      </c>
      <c r="O114" s="360">
        <f t="shared" si="23"/>
        <v>1.0363553218246255</v>
      </c>
      <c r="P114" s="230" t="str">
        <f t="shared" si="24"/>
        <v>普通→</v>
      </c>
      <c r="Q114" s="230" t="str">
        <f t="shared" si="25"/>
        <v>中立→</v>
      </c>
      <c r="R114" s="358">
        <f t="shared" si="26"/>
        <v>991</v>
      </c>
      <c r="S114" s="358">
        <f t="shared" si="27"/>
        <v>1120</v>
      </c>
      <c r="T114" s="350">
        <f t="shared" si="28"/>
        <v>13</v>
      </c>
      <c r="U114" s="230" t="str">
        <f t="shared" si="29"/>
        <v>要確認</v>
      </c>
      <c r="V114" s="230" t="str">
        <f t="shared" si="30"/>
        <v>通常</v>
      </c>
      <c r="W114" s="361" cm="1">
        <f t="array" ref="W114">IFERROR(100-100/(1+SUMPRODUCT((終値!F161:R161&gt;終値!G161:S161)*(終値!F161:R161-終値!G161:S161))/SUMPRODUCT((終値!F161:R161&lt;終値!G161:S161)*(終値!G161:S161-終値!F161:R161))),50)</f>
        <v>47.878787878787875</v>
      </c>
      <c r="X114" s="362">
        <f>IF(C114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-5.5769247608848218</v>
      </c>
      <c r="Y114" s="230" t="str">
        <f t="shared" si="31"/>
        <v>★逆張り売り | 下降トレンド▼ 25日戻り売り★ MACD- RSI:47.9 前日比:-2.0% [大陰線▼] [13点]</v>
      </c>
      <c r="Z114" s="363">
        <f t="shared" si="32"/>
        <v>-2.0018198362147408</v>
      </c>
      <c r="AA114" s="230" t="str">
        <f t="shared" si="33"/>
        <v>下落▼</v>
      </c>
      <c r="AB114" s="358">
        <f>IF(OR(C114="",C114="TOPX",終値!E161=""),"",IFERROR(((終値!E161*0.333)+(終値!F161*0.222)+(終値!G161*0.148)+(終値!H161*0.099)+(終値!I161*0.066))/(0.333+0.222+0.148+0.099+0.066),""))</f>
        <v>1091.5990783410136</v>
      </c>
      <c r="AC114" s="358">
        <f>IF(OR(C114="",C114="TOPX",終値!E161=""),"",IFERROR(SUMPRODUCT((終値!E161:AC161)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1098.8688915375442</v>
      </c>
      <c r="AD114" s="230" t="str">
        <f t="shared" si="34"/>
        <v>下降トレンド▼</v>
      </c>
      <c r="AE114" s="230" t="str">
        <f t="shared" si="35"/>
        <v>25日戻り売り★</v>
      </c>
      <c r="AF114" t="str">
        <f>IF(T114="","",IF(銘柄管理!$F$5="上昇▲",IF(AND(AD114="下降トレンド▼",OR(AE114="25日戻り売り★",AE114="5日戻り売り○")),"★逆張り売り",IF(AND(AD114="もみ合い→",OR(AE114="25日戻り売り★",AE114="5日戻り売り○")),"○逆張り売り",IF(W114&gt;=70,IF(Z114&lt;0,"◎反落確認","△過熱・様子見"),"相場上昇・見送り"))),IF(AND(T114&gt;=12,AD114="下降トレンド▼"),"★強い売り",IF(T114&gt;=12,"★強い売り",IF(AND(T114&gt;=8,OR(AE114="25日戻り売り★",AE114="5日戻り売り○")),"◎戻り売り",IF(T114&gt;=10,"○売り候補",IF(T114&gt;=6,"△注目",IF(T114&gt;=3,"様子見","見送り"))))))))</f>
        <v>★逆張り売り</v>
      </c>
      <c r="AG114">
        <f t="shared" si="37"/>
        <v>13</v>
      </c>
      <c r="AH114">
        <f t="shared" si="38"/>
        <v>129886</v>
      </c>
      <c r="AI114" s="412" cm="1">
        <f t="array" ref="AI114">IF(C114="","",IFERROR((INDEX(終値!$E:$E,MATCH(TEXT(C114,"0"),終値!$A:$A,0))-INDEX(終値!$E:$BL,MATCH(TEXT(C114,"0"),終値!$A:$A,0),$AN$2))/INDEX(終値!$E:$BL,MATCH(TEXT(C114,"0"),終値!$A:$A,0),$AN$2)*100,""))</f>
        <v>-6.7532467532467528</v>
      </c>
      <c r="AJ114" s="412" cm="1">
        <f t="array" ref="AJ114">IFERROR((終値!$E$5-INDEX(終値!$E$5:$BL$5,1,$AN$2))/INDEX(終値!$E$5:$BL$5,1,$AN$2)*100,"")</f>
        <v>3.4532270246721688</v>
      </c>
      <c r="AK114" s="413">
        <f t="shared" si="39"/>
        <v>-10.206473777918921</v>
      </c>
      <c r="AL114" s="411">
        <f t="shared" si="40"/>
        <v>3</v>
      </c>
      <c r="AO114" s="415" t="str">
        <f t="shared" si="41"/>
        <v>大陰線▼</v>
      </c>
      <c r="AP114" s="416">
        <f t="shared" si="42"/>
        <v>2</v>
      </c>
      <c r="AQ114">
        <f>IF(C114&lt;&gt;"",始値!F161,"")</f>
        <v>1115</v>
      </c>
      <c r="AR114">
        <f>IF(C114&lt;&gt;"",高値!F161,"")</f>
        <v>1123</v>
      </c>
      <c r="AS114">
        <f>IF(C114&lt;&gt;"",安値!F161,"")</f>
        <v>1093</v>
      </c>
      <c r="AT114" t="str">
        <f t="shared" si="36"/>
        <v>通常</v>
      </c>
      <c r="AU114">
        <f t="shared" si="43"/>
        <v>0</v>
      </c>
    </row>
    <row r="115" spans="1:47" ht="14.25">
      <c r="A115" s="349" t="str">
        <f>IF(銘柄管理!B170&lt;&gt;"",HYPERLINK("https://kabutan.jp/stock/?code="&amp;銘柄管理!B170,"株探"),"")</f>
        <v>株探</v>
      </c>
      <c r="B115" s="350"/>
      <c r="C115" s="350">
        <f>IF(銘柄管理!B170="","",銘柄管理!B170)</f>
        <v>4709</v>
      </c>
      <c r="D115" s="350" t="str">
        <f>IF(銘柄管理!C170="","",銘柄管理!C170)</f>
        <v>ＩＤホールディングス</v>
      </c>
      <c r="E115" s="351">
        <f>IF(C115&lt;&gt;"",_xll.RssMarket(C115,"現在値"),"")</f>
        <v>1092</v>
      </c>
      <c r="F115" s="351">
        <f>IF(C115&lt;&gt;"",_xll.RssMarket(C115,"始値"),"")</f>
        <v>1112</v>
      </c>
      <c r="G115" s="350">
        <f>IF(C115&lt;&gt;"",終値!F170,"")</f>
        <v>1110</v>
      </c>
      <c r="H115" s="351">
        <f>IF(C115&lt;&gt;"",_xll.RssMarket(C115,"高値"),"")</f>
        <v>1134</v>
      </c>
      <c r="I115" s="351">
        <f>IF(C115&lt;&gt;"",_xll.RssMarket(C115,"安値"),"")</f>
        <v>1091</v>
      </c>
      <c r="J115" s="351">
        <f>IF(C115&lt;&gt;"",_xll.RssMarket(C115,"出来高"),"")</f>
        <v>132900</v>
      </c>
      <c r="K115" s="351">
        <f>IF(C115&lt;&gt;"",_xll.RssMarket(C115,"年初来高値"),"")</f>
        <v>1110</v>
      </c>
      <c r="L115" s="352">
        <f t="shared" si="22"/>
        <v>-1.6216216216216217</v>
      </c>
      <c r="M115" s="351">
        <f>IF(C115&lt;&gt;"",IFERROR(AVERAGE(出来高!E170:I170),""),"")</f>
        <v>124860</v>
      </c>
      <c r="N115" s="351">
        <f>IF(C115&lt;&gt;"",IFERROR(AVERAGE(出来高!E170:AC170),""),"")</f>
        <v>98952</v>
      </c>
      <c r="O115" s="353">
        <f t="shared" si="23"/>
        <v>1.0643921191734742</v>
      </c>
      <c r="P115" s="350" t="str">
        <f t="shared" si="24"/>
        <v>普通→</v>
      </c>
      <c r="Q115" s="350" t="str">
        <f t="shared" si="25"/>
        <v>中立→</v>
      </c>
      <c r="R115" s="351">
        <f t="shared" si="26"/>
        <v>1005</v>
      </c>
      <c r="S115" s="351">
        <f t="shared" si="27"/>
        <v>1136</v>
      </c>
      <c r="T115" s="350">
        <f t="shared" si="28"/>
        <v>1</v>
      </c>
      <c r="U115" s="350" t="str">
        <f t="shared" si="29"/>
        <v>除外</v>
      </c>
      <c r="V115" s="350" t="str">
        <f t="shared" si="30"/>
        <v>通常</v>
      </c>
      <c r="W115" s="354" cm="1">
        <f t="array" ref="W115">IFERROR(100-100/(1+SUMPRODUCT((終値!F170:R170&gt;終値!G170:S170)*(終値!F170:R170-終値!G170:S170))/SUMPRODUCT((終値!F170:R170&lt;終値!G170:S170)*(終値!G170:S170-終値!F170:R170))),50)</f>
        <v>63.414634146341463</v>
      </c>
      <c r="X115" s="355">
        <f>IF(C115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5.2288518104271589</v>
      </c>
      <c r="Y115" s="350" t="str">
        <f t="shared" si="31"/>
        <v>相場上昇・見送り | パーフェクト▲ MACD+ RSI:63.4 前日比:-1.6% [1点]</v>
      </c>
      <c r="Z115" s="356">
        <f t="shared" si="32"/>
        <v>-1.6216216216216217</v>
      </c>
      <c r="AA115" s="350" t="str">
        <f t="shared" si="33"/>
        <v>下落▼</v>
      </c>
      <c r="AB115" s="351">
        <f>IF(OR(C115="",C115="TOPX",終値!E170=""),"",IFERROR(((終値!E170*0.333)+(終値!F170*0.222)+(終値!G170*0.148)+(終値!H170*0.099)+(終値!I170*0.066))/(0.333+0.222+0.148+0.099+0.066),""))</f>
        <v>1086.7753456221196</v>
      </c>
      <c r="AC115" s="351">
        <f>IF(OR(C115="",C115="TOPX",終値!E170=""),"",IFERROR(SUMPRODUCT((終値!E170:AC170)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1046.6150178784264</v>
      </c>
      <c r="AD115" s="350" t="str">
        <f t="shared" si="34"/>
        <v>パーフェクト▲</v>
      </c>
      <c r="AE115" s="350" t="str">
        <f t="shared" si="35"/>
        <v>なし</v>
      </c>
      <c r="AF115" t="str">
        <f>IF(T115="","",IF(銘柄管理!$F$5="上昇▲",IF(AND(AD115="下降トレンド▼",OR(AE115="25日戻り売り★",AE115="5日戻り売り○")),"★逆張り売り",IF(AND(AD115="もみ合い→",OR(AE115="25日戻り売り★",AE115="5日戻り売り○")),"○逆張り売り",IF(W115&gt;=70,IF(Z115&lt;0,"◎反落確認","△過熱・様子見"),"相場上昇・見送り"))),IF(AND(T115&gt;=12,AD115="下降トレンド▼"),"★強い売り",IF(T115&gt;=12,"★強い売り",IF(AND(T115&gt;=8,OR(AE115="25日戻り売り★",AE115="5日戻り売り○")),"◎戻り売り",IF(T115&gt;=10,"○売り候補",IF(T115&gt;=6,"△注目",IF(T115&gt;=3,"様子見","見送り"))))))))</f>
        <v>相場上昇・見送り</v>
      </c>
      <c r="AG115">
        <f t="shared" si="37"/>
        <v>0</v>
      </c>
      <c r="AH115">
        <f t="shared" si="38"/>
        <v>0</v>
      </c>
      <c r="AI115" s="412" cm="1">
        <f t="array" ref="AI115">IF(C115="","",IFERROR((INDEX(終値!$E:$E,MATCH(TEXT(C115,"0"),終値!$A:$A,0))-INDEX(終値!$E:$BL,MATCH(TEXT(C115,"0"),終値!$A:$A,0),$AN$2))/INDEX(終値!$E:$BL,MATCH(TEXT(C115,"0"),終値!$A:$A,0),$AN$2)*100,""))</f>
        <v>7.5862068965517242</v>
      </c>
      <c r="AJ115" s="412" cm="1">
        <f t="array" ref="AJ115">IFERROR((終値!$E$5-INDEX(終値!$E$5:$BL$5,1,$AN$2))/INDEX(終値!$E$5:$BL$5,1,$AN$2)*100,"")</f>
        <v>3.4532270246721688</v>
      </c>
      <c r="AK115" s="413">
        <f t="shared" si="39"/>
        <v>4.1329798718795558</v>
      </c>
      <c r="AL115" s="411">
        <f t="shared" si="40"/>
        <v>-2</v>
      </c>
      <c r="AO115" s="415" t="str">
        <f t="shared" si="41"/>
        <v>通常</v>
      </c>
      <c r="AP115" s="416">
        <f t="shared" si="42"/>
        <v>0</v>
      </c>
      <c r="AQ115">
        <f>IF(C115&lt;&gt;"",始値!F170,"")</f>
        <v>1080</v>
      </c>
      <c r="AR115">
        <f>IF(C115&lt;&gt;"",高値!F170,"")</f>
        <v>1110</v>
      </c>
      <c r="AS115">
        <f>IF(C115&lt;&gt;"",安値!F170,"")</f>
        <v>1068</v>
      </c>
      <c r="AT115" t="str">
        <f t="shared" si="36"/>
        <v>通常</v>
      </c>
      <c r="AU115">
        <f t="shared" si="43"/>
        <v>0</v>
      </c>
    </row>
    <row r="116" spans="1:47" ht="14.25">
      <c r="A116" s="357" t="str">
        <f>IF(銘柄管理!B171&lt;&gt;"",HYPERLINK("https://kabutan.jp/stock/?code="&amp;銘柄管理!B171,"株探"),"")</f>
        <v>株探</v>
      </c>
      <c r="B116" s="230"/>
      <c r="C116" s="230">
        <f>IF(銘柄管理!B171="","",銘柄管理!B171)</f>
        <v>7981</v>
      </c>
      <c r="D116" s="230" t="str">
        <f>IF(銘柄管理!C171="","",銘柄管理!C171)</f>
        <v>タカラスタンダ－ド</v>
      </c>
      <c r="E116" s="358">
        <f>IF(C116&lt;&gt;"",_xll.RssMarket(C116,"現在値"),"")</f>
        <v>3000</v>
      </c>
      <c r="F116" s="358">
        <f>IF(C116&lt;&gt;"",_xll.RssMarket(C116,"始値"),"")</f>
        <v>3010</v>
      </c>
      <c r="G116" s="230">
        <f>IF(C116&lt;&gt;"",終値!F171,"")</f>
        <v>2967</v>
      </c>
      <c r="H116" s="358">
        <f>IF(C116&lt;&gt;"",_xll.RssMarket(C116,"高値"),"")</f>
        <v>3020</v>
      </c>
      <c r="I116" s="358">
        <f>IF(C116&lt;&gt;"",_xll.RssMarket(C116,"安値"),"")</f>
        <v>2994</v>
      </c>
      <c r="J116" s="358">
        <f>IF(C116&lt;&gt;"",_xll.RssMarket(C116,"出来高"),"")</f>
        <v>47900</v>
      </c>
      <c r="K116" s="358">
        <f>IF(C116&lt;&gt;"",_xll.RssMarket(C116,"年初来高値"),"")</f>
        <v>3265</v>
      </c>
      <c r="L116" s="359">
        <f t="shared" si="22"/>
        <v>-8.1163859111791741</v>
      </c>
      <c r="M116" s="358">
        <f>IF(C116&lt;&gt;"",IFERROR(AVERAGE(出来高!E171:I171),""),"")</f>
        <v>94260</v>
      </c>
      <c r="N116" s="358">
        <f>IF(C116&lt;&gt;"",IFERROR(AVERAGE(出来高!E171:AC171),""),"")</f>
        <v>113360</v>
      </c>
      <c r="O116" s="360">
        <f t="shared" si="23"/>
        <v>0.50816889454699765</v>
      </c>
      <c r="P116" s="230" t="str">
        <f t="shared" si="24"/>
        <v>減少↓</v>
      </c>
      <c r="Q116" s="230" t="str">
        <f t="shared" si="25"/>
        <v>様子見▲</v>
      </c>
      <c r="R116" s="358">
        <f t="shared" si="26"/>
        <v>2760</v>
      </c>
      <c r="S116" s="358">
        <f t="shared" si="27"/>
        <v>3120</v>
      </c>
      <c r="T116" s="350">
        <f t="shared" si="28"/>
        <v>3</v>
      </c>
      <c r="U116" s="230" t="str">
        <f t="shared" si="29"/>
        <v>要確認</v>
      </c>
      <c r="V116" s="230" t="str">
        <f t="shared" si="30"/>
        <v>通常</v>
      </c>
      <c r="W116" s="361" cm="1">
        <f t="array" ref="W116">IFERROR(100-100/(1+SUMPRODUCT((終値!F171:R171&gt;終値!G171:S171)*(終値!F171:R171-終値!G171:S171))/SUMPRODUCT((終値!F171:R171&lt;終値!G171:S171)*(終値!G171:S171-終値!F171:R171))),50)</f>
        <v>60</v>
      </c>
      <c r="X116" s="362">
        <f>IF(C116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0.55517853517949334</v>
      </c>
      <c r="Y116" s="230" t="str">
        <f t="shared" si="31"/>
        <v>相場上昇・見送り | パーフェクト▲ MACD+ RSI:60.0 前日比:+1.1% [3点]</v>
      </c>
      <c r="Z116" s="363">
        <f t="shared" si="32"/>
        <v>1.1122345803842264</v>
      </c>
      <c r="AA116" s="230" t="str">
        <f t="shared" si="33"/>
        <v>上昇▲</v>
      </c>
      <c r="AB116" s="358">
        <f>IF(OR(C116="",C116="TOPX",終値!E171=""),"",IFERROR(((終値!E171*0.333)+(終値!F171*0.222)+(終値!G171*0.148)+(終値!H171*0.099)+(終値!I171*0.066))/(0.333+0.222+0.148+0.099+0.066),""))</f>
        <v>2974.0368663594472</v>
      </c>
      <c r="AC116" s="358">
        <f>IF(OR(C116="",C116="TOPX",終値!E171=""),"",IFERROR(SUMPRODUCT((終値!E171:AC171)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2960.0452920143025</v>
      </c>
      <c r="AD116" s="230" t="str">
        <f t="shared" si="34"/>
        <v>パーフェクト▲</v>
      </c>
      <c r="AE116" s="230" t="str">
        <f t="shared" si="35"/>
        <v>なし</v>
      </c>
      <c r="AF116" t="str">
        <f>IF(T116="","",IF(銘柄管理!$F$5="上昇▲",IF(AND(AD116="下降トレンド▼",OR(AE116="25日戻り売り★",AE116="5日戻り売り○")),"★逆張り売り",IF(AND(AD116="もみ合い→",OR(AE116="25日戻り売り★",AE116="5日戻り売り○")),"○逆張り売り",IF(W116&gt;=70,IF(Z116&lt;0,"◎反落確認","△過熱・様子見"),"相場上昇・見送り"))),IF(AND(T116&gt;=12,AD116="下降トレンド▼"),"★強い売り",IF(T116&gt;=12,"★強い売り",IF(AND(T116&gt;=8,OR(AE116="25日戻り売り★",AE116="5日戻り売り○")),"◎戻り売り",IF(T116&gt;=10,"○売り候補",IF(T116&gt;=6,"△注目",IF(T116&gt;=3,"様子見","見送り"))))))))</f>
        <v>相場上昇・見送り</v>
      </c>
      <c r="AG116">
        <f t="shared" si="37"/>
        <v>0</v>
      </c>
      <c r="AH116">
        <f t="shared" si="38"/>
        <v>0</v>
      </c>
      <c r="AI116" s="412" cm="1">
        <f t="array" ref="AI116">IF(C116="","",IFERROR((INDEX(終値!$E:$E,MATCH(TEXT(C116,"0"),終値!$A:$A,0))-INDEX(終値!$E:$BL,MATCH(TEXT(C116,"0"),終値!$A:$A,0),$AN$2))/INDEX(終値!$E:$BL,MATCH(TEXT(C116,"0"),終値!$A:$A,0),$AN$2)*100,""))</f>
        <v>0.1669449081803005</v>
      </c>
      <c r="AJ116" s="412" cm="1">
        <f t="array" ref="AJ116">IFERROR((終値!$E$5-INDEX(終値!$E$5:$BL$5,1,$AN$2))/INDEX(終値!$E$5:$BL$5,1,$AN$2)*100,"")</f>
        <v>3.4532270246721688</v>
      </c>
      <c r="AK116" s="413">
        <f t="shared" si="39"/>
        <v>-3.2862821164918685</v>
      </c>
      <c r="AL116" s="411">
        <f t="shared" si="40"/>
        <v>1</v>
      </c>
      <c r="AO116" s="415" t="str">
        <f t="shared" si="41"/>
        <v>通常</v>
      </c>
      <c r="AP116" s="416">
        <f t="shared" si="42"/>
        <v>0</v>
      </c>
      <c r="AQ116">
        <f>IF(C116&lt;&gt;"",始値!F171,"")</f>
        <v>3015</v>
      </c>
      <c r="AR116">
        <f>IF(C116&lt;&gt;"",高値!F171,"")</f>
        <v>3060</v>
      </c>
      <c r="AS116">
        <f>IF(C116&lt;&gt;"",安値!F171,"")</f>
        <v>2979</v>
      </c>
      <c r="AT116" t="str">
        <f t="shared" si="36"/>
        <v>通常</v>
      </c>
      <c r="AU116">
        <f t="shared" si="43"/>
        <v>0</v>
      </c>
    </row>
    <row r="117" spans="1:47" ht="14.25">
      <c r="A117" s="349" t="str">
        <f>IF(銘柄管理!B176&lt;&gt;"",HYPERLINK("https://kabutan.jp/stock/?code="&amp;銘柄管理!B176,"株探"),"")</f>
        <v>株探</v>
      </c>
      <c r="B117" s="350"/>
      <c r="C117" s="350">
        <f>IF(銘柄管理!B176="","",銘柄管理!B176)</f>
        <v>1938</v>
      </c>
      <c r="D117" s="350" t="str">
        <f>IF(銘柄管理!C176="","",銘柄管理!C176)</f>
        <v>日本リーテック</v>
      </c>
      <c r="E117" s="351">
        <f>IF(C117&lt;&gt;"",_xll.RssMarket(C117,"現在値"),"")</f>
        <v>2767</v>
      </c>
      <c r="F117" s="351">
        <f>IF(C117&lt;&gt;"",_xll.RssMarket(C117,"始値"),"")</f>
        <v>2804</v>
      </c>
      <c r="G117" s="350">
        <f>IF(C117&lt;&gt;"",終値!F176,"")</f>
        <v>2758</v>
      </c>
      <c r="H117" s="351">
        <f>IF(C117&lt;&gt;"",_xll.RssMarket(C117,"高値"),"")</f>
        <v>2841</v>
      </c>
      <c r="I117" s="351">
        <f>IF(C117&lt;&gt;"",_xll.RssMarket(C117,"安値"),"")</f>
        <v>2767</v>
      </c>
      <c r="J117" s="351">
        <f>IF(C117&lt;&gt;"",_xll.RssMarket(C117,"出来高"),"")</f>
        <v>67700</v>
      </c>
      <c r="K117" s="351">
        <f>IF(C117&lt;&gt;"",_xll.RssMarket(C117,"年初来高値"),"")</f>
        <v>3245</v>
      </c>
      <c r="L117" s="352">
        <f t="shared" si="22"/>
        <v>-14.730354391371339</v>
      </c>
      <c r="M117" s="351">
        <f>IF(C117&lt;&gt;"",IFERROR(AVERAGE(出来高!E176:I176),""),"")</f>
        <v>74480</v>
      </c>
      <c r="N117" s="351">
        <f>IF(C117&lt;&gt;"",IFERROR(AVERAGE(出来高!E176:AC176),""),"")</f>
        <v>141436</v>
      </c>
      <c r="O117" s="353">
        <f t="shared" si="23"/>
        <v>0.90896885069817401</v>
      </c>
      <c r="P117" s="350" t="str">
        <f t="shared" si="24"/>
        <v>減少↓</v>
      </c>
      <c r="Q117" s="350" t="str">
        <f t="shared" si="25"/>
        <v>様子見▲</v>
      </c>
      <c r="R117" s="351">
        <f t="shared" si="26"/>
        <v>2546</v>
      </c>
      <c r="S117" s="351">
        <f t="shared" si="27"/>
        <v>2878</v>
      </c>
      <c r="T117" s="350">
        <f t="shared" si="28"/>
        <v>5</v>
      </c>
      <c r="U117" s="350" t="str">
        <f t="shared" si="29"/>
        <v>要確認</v>
      </c>
      <c r="V117" s="350" t="str">
        <f t="shared" si="30"/>
        <v>通常</v>
      </c>
      <c r="W117" s="354" cm="1">
        <f t="array" ref="W117">IFERROR(100-100/(1+SUMPRODUCT((終値!F176:R176&gt;終値!G176:S176)*(終値!F176:R176-終値!G176:S176))/SUMPRODUCT((終値!F176:R176&lt;終値!G176:S176)*(終値!G176:S176-終値!F176:R176))),50)</f>
        <v>44.285714285714278</v>
      </c>
      <c r="X117" s="355">
        <f>IF(C117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-10.255577358610481</v>
      </c>
      <c r="Y117" s="350" t="str">
        <f t="shared" si="31"/>
        <v>相場上昇・見送り | 上昇トレンド▲ MACD- RSI:44.3 前日比:+0.3% [5点]</v>
      </c>
      <c r="Z117" s="356">
        <f t="shared" si="32"/>
        <v>0.32632342277012327</v>
      </c>
      <c r="AA117" s="350" t="str">
        <f t="shared" si="33"/>
        <v>上昇▲</v>
      </c>
      <c r="AB117" s="351">
        <f>IF(OR(C117="",C117="TOPX",終値!E176=""),"",IFERROR(((終値!E176*0.333)+(終値!F176*0.222)+(終値!G176*0.148)+(終値!H176*0.099)+(終値!I176*0.066))/(0.333+0.222+0.148+0.099+0.066),""))</f>
        <v>2737.7315668202759</v>
      </c>
      <c r="AC117" s="351">
        <f>IF(OR(C117="",C117="TOPX",終値!E176=""),"",IFERROR(SUMPRODUCT((終値!E176:AC176)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2754.7163289630489</v>
      </c>
      <c r="AD117" s="350" t="str">
        <f t="shared" si="34"/>
        <v>上昇トレンド▲</v>
      </c>
      <c r="AE117" s="350" t="str">
        <f t="shared" si="35"/>
        <v>なし</v>
      </c>
      <c r="AF117" t="str">
        <f>IF(T117="","",IF(銘柄管理!$F$5="上昇▲",IF(AND(AD117="下降トレンド▼",OR(AE117="25日戻り売り★",AE117="5日戻り売り○")),"★逆張り売り",IF(AND(AD117="もみ合い→",OR(AE117="25日戻り売り★",AE117="5日戻り売り○")),"○逆張り売り",IF(W117&gt;=70,IF(Z117&lt;0,"◎反落確認","△過熱・様子見"),"相場上昇・見送り"))),IF(AND(T117&gt;=12,AD117="下降トレンド▼"),"★強い売り",IF(T117&gt;=12,"★強い売り",IF(AND(T117&gt;=8,OR(AE117="25日戻り売り★",AE117="5日戻り売り○")),"◎戻り売り",IF(T117&gt;=10,"○売り候補",IF(T117&gt;=6,"△注目",IF(T117&gt;=3,"様子見","見送り"))))))))</f>
        <v>相場上昇・見送り</v>
      </c>
      <c r="AG117">
        <f t="shared" si="37"/>
        <v>0</v>
      </c>
      <c r="AH117">
        <f t="shared" si="38"/>
        <v>0</v>
      </c>
      <c r="AI117" s="412" cm="1">
        <f t="array" ref="AI117">IF(C117="","",IFERROR((INDEX(終値!$E:$E,MATCH(TEXT(C117,"0"),終値!$A:$A,0))-INDEX(終値!$E:$BL,MATCH(TEXT(C117,"0"),終値!$A:$A,0),$AN$2))/INDEX(終値!$E:$BL,MATCH(TEXT(C117,"0"),終値!$A:$A,0),$AN$2)*100,""))</f>
        <v>-5.2072627612195959</v>
      </c>
      <c r="AJ117" s="412" cm="1">
        <f t="array" ref="AJ117">IFERROR((終値!$E$5-INDEX(終値!$E$5:$BL$5,1,$AN$2))/INDEX(終値!$E$5:$BL$5,1,$AN$2)*100,"")</f>
        <v>3.4532270246721688</v>
      </c>
      <c r="AK117" s="413">
        <f t="shared" si="39"/>
        <v>-8.6604897858917642</v>
      </c>
      <c r="AL117" s="411">
        <f t="shared" si="40"/>
        <v>3</v>
      </c>
      <c r="AO117" s="415" t="str">
        <f t="shared" si="41"/>
        <v>通常</v>
      </c>
      <c r="AP117" s="416">
        <f t="shared" si="42"/>
        <v>0</v>
      </c>
      <c r="AQ117">
        <f>IF(C117&lt;&gt;"",始値!F176,"")</f>
        <v>2760</v>
      </c>
      <c r="AR117">
        <f>IF(C117&lt;&gt;"",高値!F176,"")</f>
        <v>2791</v>
      </c>
      <c r="AS117">
        <f>IF(C117&lt;&gt;"",安値!F176,"")</f>
        <v>2751</v>
      </c>
      <c r="AT117" t="str">
        <f t="shared" si="36"/>
        <v>通常</v>
      </c>
      <c r="AU117">
        <f t="shared" si="43"/>
        <v>0</v>
      </c>
    </row>
    <row r="118" spans="1:47" ht="14.25">
      <c r="A118" s="357" t="str">
        <f>IF(銘柄管理!B179&lt;&gt;"",HYPERLINK("https://kabutan.jp/stock/?code="&amp;銘柄管理!B179,"株探"),"")</f>
        <v>株探</v>
      </c>
      <c r="B118" s="230"/>
      <c r="C118" s="230">
        <f>IF(銘柄管理!B179="","",銘柄管理!B179)</f>
        <v>5410</v>
      </c>
      <c r="D118" s="230" t="str">
        <f>IF(銘柄管理!C179="","",銘柄管理!C179)</f>
        <v>合同製鐵</v>
      </c>
      <c r="E118" s="358">
        <f>IF(C118&lt;&gt;"",_xll.RssMarket(C118,"現在値"),"")</f>
        <v>2617</v>
      </c>
      <c r="F118" s="358">
        <f>IF(C118&lt;&gt;"",_xll.RssMarket(C118,"始値"),"")</f>
        <v>2610</v>
      </c>
      <c r="G118" s="230">
        <f>IF(C118&lt;&gt;"",終値!F179,"")</f>
        <v>2594</v>
      </c>
      <c r="H118" s="358">
        <f>IF(C118&lt;&gt;"",_xll.RssMarket(C118,"高値"),"")</f>
        <v>2668</v>
      </c>
      <c r="I118" s="358">
        <f>IF(C118&lt;&gt;"",_xll.RssMarket(C118,"安値"),"")</f>
        <v>2609</v>
      </c>
      <c r="J118" s="358">
        <f>IF(C118&lt;&gt;"",_xll.RssMarket(C118,"出来高"),"")</f>
        <v>101300</v>
      </c>
      <c r="K118" s="358">
        <f>IF(C118&lt;&gt;"",_xll.RssMarket(C118,"年初来高値"),"")</f>
        <v>4280</v>
      </c>
      <c r="L118" s="359">
        <f t="shared" si="22"/>
        <v>-38.855140186915889</v>
      </c>
      <c r="M118" s="358">
        <f>IF(C118&lt;&gt;"",IFERROR(AVERAGE(出来高!E179:I179),""),"")</f>
        <v>109620</v>
      </c>
      <c r="N118" s="358">
        <f>IF(C118&lt;&gt;"",IFERROR(AVERAGE(出来高!E179:AC179),""),"")</f>
        <v>144892</v>
      </c>
      <c r="O118" s="360">
        <f t="shared" si="23"/>
        <v>0.92410144134282068</v>
      </c>
      <c r="P118" s="230" t="str">
        <f t="shared" si="24"/>
        <v>減少↓</v>
      </c>
      <c r="Q118" s="230" t="str">
        <f t="shared" si="25"/>
        <v>様子見▲</v>
      </c>
      <c r="R118" s="358">
        <f t="shared" si="26"/>
        <v>2408</v>
      </c>
      <c r="S118" s="358">
        <f t="shared" si="27"/>
        <v>2722</v>
      </c>
      <c r="T118" s="350">
        <f t="shared" si="28"/>
        <v>14</v>
      </c>
      <c r="U118" s="230" t="str">
        <f t="shared" si="29"/>
        <v>要確認</v>
      </c>
      <c r="V118" s="230" t="str">
        <f t="shared" si="30"/>
        <v>安値圏</v>
      </c>
      <c r="W118" s="361" cm="1">
        <f t="array" ref="W118">IFERROR(100-100/(1+SUMPRODUCT((終値!F179:R179&gt;終値!G179:S179)*(終値!F179:R179-終値!G179:S179))/SUMPRODUCT((終値!F179:R179&lt;終値!G179:S179)*(終値!G179:S179-終値!F179:R179))),50)</f>
        <v>43.415637860082299</v>
      </c>
      <c r="X118" s="362">
        <f>IF(C118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-24.178616775259343</v>
      </c>
      <c r="Y118" s="230" t="str">
        <f t="shared" si="31"/>
        <v>○逆張り売り | もみ合い→ 25日戻り売り★ MACD- RSI:43.4 前日比:+0.9% [安値圏] [上ヒゲ陰線▼] [14点]</v>
      </c>
      <c r="Z118" s="363">
        <f t="shared" si="32"/>
        <v>0.88666152659984576</v>
      </c>
      <c r="AA118" s="230" t="str">
        <f t="shared" si="33"/>
        <v>上昇▲</v>
      </c>
      <c r="AB118" s="358">
        <f>IF(OR(C118="",C118="TOPX",終値!E179=""),"",IFERROR(((終値!E179*0.333)+(終値!F179*0.222)+(終値!G179*0.148)+(終値!H179*0.099)+(終値!I179*0.066))/(0.333+0.222+0.148+0.099+0.066),""))</f>
        <v>2594.1129032258063</v>
      </c>
      <c r="AC118" s="358">
        <f>IF(OR(C118="",C118="TOPX",終値!E179=""),"",IFERROR(SUMPRODUCT((終値!E179:AC179)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2626.7377830750875</v>
      </c>
      <c r="AD118" s="230" t="str">
        <f t="shared" si="34"/>
        <v>もみ合い→</v>
      </c>
      <c r="AE118" s="230" t="str">
        <f t="shared" si="35"/>
        <v>25日戻り売り★</v>
      </c>
      <c r="AF118" t="str">
        <f>IF(T118="","",IF(銘柄管理!$F$5="上昇▲",IF(AND(AD118="下降トレンド▼",OR(AE118="25日戻り売り★",AE118="5日戻り売り○")),"★逆張り売り",IF(AND(AD118="もみ合い→",OR(AE118="25日戻り売り★",AE118="5日戻り売り○")),"○逆張り売り",IF(W118&gt;=70,IF(Z118&lt;0,"◎反落確認","△過熱・様子見"),"相場上昇・見送り"))),IF(AND(T118&gt;=12,AD118="下降トレンド▼"),"★強い売り",IF(T118&gt;=12,"★強い売り",IF(AND(T118&gt;=8,OR(AE118="25日戻り売り★",AE118="5日戻り売り○")),"◎戻り売り",IF(T118&gt;=10,"○売り候補",IF(T118&gt;=6,"△注目",IF(T118&gt;=3,"様子見","見送り"))))))))</f>
        <v>○逆張り売り</v>
      </c>
      <c r="AG118">
        <f t="shared" si="37"/>
        <v>14</v>
      </c>
      <c r="AH118">
        <f t="shared" si="38"/>
        <v>139882</v>
      </c>
      <c r="AI118" s="412" cm="1">
        <f t="array" ref="AI118">IF(C118="","",IFERROR((INDEX(終値!$E:$E,MATCH(TEXT(C118,"0"),終値!$A:$A,0))-INDEX(終値!$E:$BL,MATCH(TEXT(C118,"0"),終値!$A:$A,0),$AN$2))/INDEX(終値!$E:$BL,MATCH(TEXT(C118,"0"),終値!$A:$A,0),$AN$2)*100,""))</f>
        <v>-8.239831697054699</v>
      </c>
      <c r="AJ118" s="412" cm="1">
        <f t="array" ref="AJ118">IFERROR((終値!$E$5-INDEX(終値!$E$5:$BL$5,1,$AN$2))/INDEX(終値!$E$5:$BL$5,1,$AN$2)*100,"")</f>
        <v>3.4532270246721688</v>
      </c>
      <c r="AK118" s="413">
        <f t="shared" si="39"/>
        <v>-11.693058721726867</v>
      </c>
      <c r="AL118" s="411">
        <f t="shared" si="40"/>
        <v>3</v>
      </c>
      <c r="AO118" s="415" t="str">
        <f t="shared" si="41"/>
        <v>上ヒゲ陰線▼</v>
      </c>
      <c r="AP118" s="416">
        <f t="shared" si="42"/>
        <v>2</v>
      </c>
      <c r="AQ118">
        <f>IF(C118&lt;&gt;"",始値!F179,"")</f>
        <v>2611</v>
      </c>
      <c r="AR118">
        <f>IF(C118&lt;&gt;"",高値!F179,"")</f>
        <v>2623</v>
      </c>
      <c r="AS118">
        <f>IF(C118&lt;&gt;"",安値!F179,"")</f>
        <v>2591</v>
      </c>
      <c r="AT118" t="str">
        <f t="shared" si="36"/>
        <v>通常</v>
      </c>
      <c r="AU118">
        <f t="shared" si="43"/>
        <v>0</v>
      </c>
    </row>
    <row r="119" spans="1:47" ht="14.25">
      <c r="A119" s="349" t="str">
        <f>IF(銘柄管理!B190&lt;&gt;"",HYPERLINK("https://kabutan.jp/stock/?code="&amp;銘柄管理!B190,"株探"),"")</f>
        <v>株探</v>
      </c>
      <c r="B119" s="350"/>
      <c r="C119" s="350" t="str">
        <f>IF(銘柄管理!B190="","",銘柄管理!B190)</f>
        <v>7181</v>
      </c>
      <c r="D119" s="350" t="str">
        <f>IF(銘柄管理!C190="","",銘柄管理!C190)</f>
        <v>かんぽ生命保険</v>
      </c>
      <c r="E119" s="351">
        <f>IF(C119&lt;&gt;"",_xll.RssMarket(C119,"現在値"),"")</f>
        <v>1516</v>
      </c>
      <c r="F119" s="351">
        <f>IF(C119&lt;&gt;"",_xll.RssMarket(C119,"始値"),"")</f>
        <v>1580</v>
      </c>
      <c r="G119" s="350">
        <f>IF(C119&lt;&gt;"",終値!F190,"")</f>
        <v>1560</v>
      </c>
      <c r="H119" s="351">
        <f>IF(C119&lt;&gt;"",_xll.RssMarket(C119,"高値"),"")</f>
        <v>1596</v>
      </c>
      <c r="I119" s="351">
        <f>IF(C119&lt;&gt;"",_xll.RssMarket(C119,"安値"),"")</f>
        <v>1516</v>
      </c>
      <c r="J119" s="351">
        <f>IF(C119&lt;&gt;"",_xll.RssMarket(C119,"出来高"),"")</f>
        <v>1669300</v>
      </c>
      <c r="K119" s="351">
        <f>IF(C119&lt;&gt;"",_xll.RssMarket(C119,"年初来高値"),"")</f>
        <v>1676.5</v>
      </c>
      <c r="L119" s="352">
        <f t="shared" si="22"/>
        <v>-9.5735162541008059</v>
      </c>
      <c r="M119" s="351">
        <f>IF(C119&lt;&gt;"",IFERROR(AVERAGE(出来高!E190:I190),""),"")</f>
        <v>2607020</v>
      </c>
      <c r="N119" s="351">
        <f>IF(C119&lt;&gt;"",IFERROR(AVERAGE(出来高!E190:AC190),""),"")</f>
        <v>2847304</v>
      </c>
      <c r="O119" s="353">
        <f t="shared" si="23"/>
        <v>0.6403096255494779</v>
      </c>
      <c r="P119" s="350" t="str">
        <f t="shared" si="24"/>
        <v>減少↓</v>
      </c>
      <c r="Q119" s="350" t="str">
        <f t="shared" si="25"/>
        <v>中立→</v>
      </c>
      <c r="R119" s="351">
        <f t="shared" si="26"/>
        <v>1395</v>
      </c>
      <c r="S119" s="351">
        <f t="shared" si="27"/>
        <v>1577</v>
      </c>
      <c r="T119" s="350">
        <f t="shared" si="28"/>
        <v>6</v>
      </c>
      <c r="U119" s="350" t="str">
        <f t="shared" si="29"/>
        <v>要確認</v>
      </c>
      <c r="V119" s="350" t="str">
        <f t="shared" si="30"/>
        <v>通常</v>
      </c>
      <c r="W119" s="354" cm="1">
        <f t="array" ref="W119">IFERROR(100-100/(1+SUMPRODUCT((終値!F190:R190&gt;終値!G190:S190)*(終値!F190:R190-終値!G190:S190))/SUMPRODUCT((終値!F190:R190&lt;終値!G190:S190)*(終値!G190:S190-終値!F190:R190))),50)</f>
        <v>61.366622864651781</v>
      </c>
      <c r="X119" s="355">
        <f>IF(C119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0.19216662222038394</v>
      </c>
      <c r="Y119" s="350" t="str">
        <f t="shared" si="31"/>
        <v>相場上昇・見送り | 上昇トレンド▲ MACD+ RSI:61.4 前日比:-2.8% [大陰線▼]前日[長い下ヒゲ(反発)] [6点]</v>
      </c>
      <c r="Z119" s="356">
        <f t="shared" si="32"/>
        <v>-2.8205128205128207</v>
      </c>
      <c r="AA119" s="350" t="str">
        <f t="shared" si="33"/>
        <v>下落▼</v>
      </c>
      <c r="AB119" s="351">
        <f>IF(OR(C119="",C119="TOPX",終値!E190=""),"",IFERROR(((終値!E190*0.333)+(終値!F190*0.222)+(終値!G190*0.148)+(終値!H190*0.099)+(終値!I190*0.066))/(0.333+0.222+0.148+0.099+0.066),""))</f>
        <v>1537.6370967741932</v>
      </c>
      <c r="AC119" s="351">
        <f>IF(OR(C119="",C119="TOPX",終値!E190=""),"",IFERROR(SUMPRODUCT((終値!E190:AC190)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1495.9278903456482</v>
      </c>
      <c r="AD119" s="350" t="str">
        <f t="shared" si="34"/>
        <v>上昇トレンド▲</v>
      </c>
      <c r="AE119" s="350" t="str">
        <f t="shared" si="35"/>
        <v>なし</v>
      </c>
      <c r="AF119" t="str">
        <f>IF(T119="","",IF(銘柄管理!$F$5="上昇▲",IF(AND(AD119="下降トレンド▼",OR(AE119="25日戻り売り★",AE119="5日戻り売り○")),"★逆張り売り",IF(AND(AD119="もみ合い→",OR(AE119="25日戻り売り★",AE119="5日戻り売り○")),"○逆張り売り",IF(W119&gt;=70,IF(Z119&lt;0,"◎反落確認","△過熱・様子見"),"相場上昇・見送り"))),IF(AND(T119&gt;=12,AD119="下降トレンド▼"),"★強い売り",IF(T119&gt;=12,"★強い売り",IF(AND(T119&gt;=8,OR(AE119="25日戻り売り★",AE119="5日戻り売り○")),"◎戻り売り",IF(T119&gt;=10,"○売り候補",IF(T119&gt;=6,"△注目",IF(T119&gt;=3,"様子見","見送り"))))))))</f>
        <v>相場上昇・見送り</v>
      </c>
      <c r="AG119">
        <f t="shared" si="37"/>
        <v>0</v>
      </c>
      <c r="AH119">
        <f t="shared" si="38"/>
        <v>0</v>
      </c>
      <c r="AI119" s="412" cm="1">
        <f t="array" ref="AI119">IF(C119="","",IFERROR((INDEX(終値!$E:$E,MATCH(TEXT(C119,"0"),終値!$A:$A,0))-INDEX(終値!$E:$BL,MATCH(TEXT(C119,"0"),終値!$A:$A,0),$AN$2))/INDEX(終値!$E:$BL,MATCH(TEXT(C119,"0"),終値!$A:$A,0),$AN$2)*100,""))</f>
        <v>-4.9231734085920351</v>
      </c>
      <c r="AJ119" s="412" cm="1">
        <f t="array" ref="AJ119">IFERROR((終値!$E$5-INDEX(終値!$E$5:$BL$5,1,$AN$2))/INDEX(終値!$E$5:$BL$5,1,$AN$2)*100,"")</f>
        <v>3.4532270246721688</v>
      </c>
      <c r="AK119" s="413">
        <f t="shared" si="39"/>
        <v>-8.3764004332642035</v>
      </c>
      <c r="AL119" s="411">
        <f t="shared" si="40"/>
        <v>3</v>
      </c>
      <c r="AO119" s="415" t="str">
        <f t="shared" si="41"/>
        <v>大陰線▼</v>
      </c>
      <c r="AP119" s="416">
        <f t="shared" si="42"/>
        <v>2</v>
      </c>
      <c r="AQ119">
        <f>IF(C119&lt;&gt;"",始値!F190,"")</f>
        <v>1548.5</v>
      </c>
      <c r="AR119">
        <f>IF(C119&lt;&gt;"",高値!F190,"")</f>
        <v>1561</v>
      </c>
      <c r="AS119">
        <f>IF(C119&lt;&gt;"",安値!F190,"")</f>
        <v>1532.5</v>
      </c>
      <c r="AT119" t="str">
        <f t="shared" si="36"/>
        <v>長い下ヒゲ(反発)</v>
      </c>
      <c r="AU119">
        <f t="shared" si="43"/>
        <v>-2</v>
      </c>
    </row>
    <row r="120" spans="1:47" ht="14.25">
      <c r="A120" s="357" t="str">
        <f>IF(銘柄管理!B197&lt;&gt;"",HYPERLINK("https://kabutan.jp/stock/?code="&amp;銘柄管理!B197,"株探"),"")</f>
        <v>株探</v>
      </c>
      <c r="B120" s="230"/>
      <c r="C120" s="230">
        <f>IF(銘柄管理!B197="","",銘柄管理!B197)</f>
        <v>6146</v>
      </c>
      <c r="D120" s="230" t="str">
        <f>IF(銘柄管理!C197="","",銘柄管理!C197)</f>
        <v>ディスコ</v>
      </c>
      <c r="E120" s="358">
        <f>IF(C120&lt;&gt;"",_xll.RssMarket(C120,"現在値"),"")</f>
        <v>83700</v>
      </c>
      <c r="F120" s="358">
        <f>IF(C120&lt;&gt;"",_xll.RssMarket(C120,"始値"),"")</f>
        <v>80050</v>
      </c>
      <c r="G120" s="230">
        <f>IF(C120&lt;&gt;"",終値!F197,"")</f>
        <v>81550</v>
      </c>
      <c r="H120" s="358">
        <f>IF(C120&lt;&gt;"",_xll.RssMarket(C120,"高値"),"")</f>
        <v>85390</v>
      </c>
      <c r="I120" s="358">
        <f>IF(C120&lt;&gt;"",_xll.RssMarket(C120,"安値"),"")</f>
        <v>80000</v>
      </c>
      <c r="J120" s="358">
        <f>IF(C120&lt;&gt;"",_xll.RssMarket(C120,"出来高"),"")</f>
        <v>2169600</v>
      </c>
      <c r="K120" s="358">
        <f>IF(C120&lt;&gt;"",_xll.RssMarket(C120,"年初来高値"),"")</f>
        <v>86140</v>
      </c>
      <c r="L120" s="359">
        <f t="shared" si="22"/>
        <v>-2.8325980961225912</v>
      </c>
      <c r="M120" s="358">
        <f>IF(C120&lt;&gt;"",IFERROR(AVERAGE(出来高!E197:I197),""),"")</f>
        <v>2769420</v>
      </c>
      <c r="N120" s="358">
        <f>IF(C120&lt;&gt;"",IFERROR(AVERAGE(出来高!E197:AC197),""),"")</f>
        <v>1948800</v>
      </c>
      <c r="O120" s="360">
        <f t="shared" si="23"/>
        <v>0.78341313343588193</v>
      </c>
      <c r="P120" s="230" t="str">
        <f t="shared" si="24"/>
        <v>減少↓</v>
      </c>
      <c r="Q120" s="230" t="str">
        <f t="shared" si="25"/>
        <v>様子見▲</v>
      </c>
      <c r="R120" s="358">
        <f t="shared" si="26"/>
        <v>77004</v>
      </c>
      <c r="S120" s="358">
        <f t="shared" si="27"/>
        <v>87048</v>
      </c>
      <c r="T120" s="350">
        <f t="shared" si="28"/>
        <v>2</v>
      </c>
      <c r="U120" s="230" t="str">
        <f t="shared" si="29"/>
        <v>除外</v>
      </c>
      <c r="V120" s="230" t="str">
        <f t="shared" si="30"/>
        <v>通常</v>
      </c>
      <c r="W120" s="361" cm="1">
        <f t="array" ref="W120">IFERROR(100-100/(1+SUMPRODUCT((終値!F197:R197&gt;終値!G197:S197)*(終値!F197:R197-終値!G197:S197))/SUMPRODUCT((終値!F197:R197&lt;終値!G197:S197)*(終値!G197:S197-終値!F197:R197))),50)</f>
        <v>67.700915564598176</v>
      </c>
      <c r="X120" s="362">
        <f>IF(C120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1859.6301728633116</v>
      </c>
      <c r="Y120" s="230" t="str">
        <f t="shared" si="31"/>
        <v>相場上昇・見送り | パーフェクト▲ MACD+ RSI:67.7 前日比:+2.6%前日[大陰線▼] [2点]</v>
      </c>
      <c r="Z120" s="363">
        <f t="shared" si="32"/>
        <v>2.6364193746167999</v>
      </c>
      <c r="AA120" s="230" t="str">
        <f t="shared" si="33"/>
        <v>上昇▲</v>
      </c>
      <c r="AB120" s="358">
        <f>IF(OR(C120="",C120="TOPX",終値!E197=""),"",IFERROR(((終値!E197*0.333)+(終値!F197*0.222)+(終値!G197*0.148)+(終値!H197*0.099)+(終値!I197*0.066))/(0.333+0.222+0.148+0.099+0.066),""))</f>
        <v>81941.566820276494</v>
      </c>
      <c r="AC120" s="358">
        <f>IF(OR(C120="",C120="TOPX",終値!E197=""),"",IFERROR(SUMPRODUCT((終値!E197:AC197)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72714.469606674567</v>
      </c>
      <c r="AD120" s="230" t="str">
        <f t="shared" si="34"/>
        <v>パーフェクト▲</v>
      </c>
      <c r="AE120" s="230" t="str">
        <f t="shared" si="35"/>
        <v>なし</v>
      </c>
      <c r="AF120" t="str">
        <f>IF(T120="","",IF(銘柄管理!$F$5="上昇▲",IF(AND(AD120="下降トレンド▼",OR(AE120="25日戻り売り★",AE120="5日戻り売り○")),"★逆張り売り",IF(AND(AD120="もみ合い→",OR(AE120="25日戻り売り★",AE120="5日戻り売り○")),"○逆張り売り",IF(W120&gt;=70,IF(Z120&lt;0,"◎反落確認","△過熱・様子見"),"相場上昇・見送り"))),IF(AND(T120&gt;=12,AD120="下降トレンド▼"),"★強い売り",IF(T120&gt;=12,"★強い売り",IF(AND(T120&gt;=8,OR(AE120="25日戻り売り★",AE120="5日戻り売り○")),"◎戻り売り",IF(T120&gt;=10,"○売り候補",IF(T120&gt;=6,"△注目",IF(T120&gt;=3,"様子見","見送り"))))))))</f>
        <v>相場上昇・見送り</v>
      </c>
      <c r="AG120">
        <f t="shared" si="37"/>
        <v>0</v>
      </c>
      <c r="AH120">
        <f t="shared" si="38"/>
        <v>0</v>
      </c>
      <c r="AI120" s="412" cm="1">
        <f t="array" ref="AI120">IF(C120="","",IFERROR((INDEX(終値!$E:$E,MATCH(TEXT(C120,"0"),終値!$A:$A,0))-INDEX(終値!$E:$BL,MATCH(TEXT(C120,"0"),終値!$A:$A,0),$AN$2))/INDEX(終値!$E:$BL,MATCH(TEXT(C120,"0"),終値!$A:$A,0),$AN$2)*100,""))</f>
        <v>28.967642526964561</v>
      </c>
      <c r="AJ120" s="412" cm="1">
        <f t="array" ref="AJ120">IFERROR((終値!$E$5-INDEX(終値!$E$5:$BL$5,1,$AN$2))/INDEX(終値!$E$5:$BL$5,1,$AN$2)*100,"")</f>
        <v>3.4532270246721688</v>
      </c>
      <c r="AK120" s="413">
        <f t="shared" si="39"/>
        <v>25.51441550229239</v>
      </c>
      <c r="AL120" s="411">
        <f t="shared" si="40"/>
        <v>-2</v>
      </c>
      <c r="AO120" s="415" t="str">
        <f t="shared" si="41"/>
        <v>通常</v>
      </c>
      <c r="AP120" s="416">
        <f t="shared" si="42"/>
        <v>0</v>
      </c>
      <c r="AQ120">
        <f>IF(C120&lt;&gt;"",始値!F197,"")</f>
        <v>84610</v>
      </c>
      <c r="AR120">
        <f>IF(C120&lt;&gt;"",高値!F197,"")</f>
        <v>85200</v>
      </c>
      <c r="AS120">
        <f>IF(C120&lt;&gt;"",安値!F197,"")</f>
        <v>81210</v>
      </c>
      <c r="AT120" t="str">
        <f t="shared" si="36"/>
        <v>大陰線▼</v>
      </c>
      <c r="AU120">
        <f t="shared" si="43"/>
        <v>2</v>
      </c>
    </row>
    <row r="121" spans="1:47" ht="14.25">
      <c r="A121" s="349" t="str">
        <f>IF(銘柄管理!B208&lt;&gt;"",HYPERLINK("https://kabutan.jp/stock/?code="&amp;銘柄管理!B208,"株探"),"")</f>
        <v>株探</v>
      </c>
      <c r="B121" s="350"/>
      <c r="C121" s="350">
        <f>IF(銘柄管理!B208="","",銘柄管理!B208)</f>
        <v>1812</v>
      </c>
      <c r="D121" s="350" t="str">
        <f>IF(銘柄管理!C208="","",銘柄管理!C208)</f>
        <v>鹿島建設</v>
      </c>
      <c r="E121" s="351">
        <f>IF(C121&lt;&gt;"",_xll.RssMarket(C121,"現在値"),"")</f>
        <v>5920</v>
      </c>
      <c r="F121" s="351">
        <f>IF(C121&lt;&gt;"",_xll.RssMarket(C121,"始値"),"")</f>
        <v>5968</v>
      </c>
      <c r="G121" s="350">
        <f>IF(C121&lt;&gt;"",終値!F208,"")</f>
        <v>5899</v>
      </c>
      <c r="H121" s="351">
        <f>IF(C121&lt;&gt;"",_xll.RssMarket(C121,"高値"),"")</f>
        <v>6044</v>
      </c>
      <c r="I121" s="351">
        <f>IF(C121&lt;&gt;"",_xll.RssMarket(C121,"安値"),"")</f>
        <v>5871</v>
      </c>
      <c r="J121" s="351">
        <f>IF(C121&lt;&gt;"",_xll.RssMarket(C121,"出来高"),"")</f>
        <v>2120900</v>
      </c>
      <c r="K121" s="351">
        <f>IF(C121&lt;&gt;"",_xll.RssMarket(C121,"年初来高値"),"")</f>
        <v>8040</v>
      </c>
      <c r="L121" s="352">
        <f t="shared" si="22"/>
        <v>-26.368159203980102</v>
      </c>
      <c r="M121" s="351">
        <f>IF(C121&lt;&gt;"",IFERROR(AVERAGE(出来高!E208:I208),""),"")</f>
        <v>2206740</v>
      </c>
      <c r="N121" s="351">
        <f>IF(C121&lt;&gt;"",IFERROR(AVERAGE(出来高!E208:AC208),""),"")</f>
        <v>2568236</v>
      </c>
      <c r="O121" s="353">
        <f t="shared" si="23"/>
        <v>0.96110099060152077</v>
      </c>
      <c r="P121" s="350" t="str">
        <f t="shared" si="24"/>
        <v>減少↓</v>
      </c>
      <c r="Q121" s="350" t="str">
        <f t="shared" si="25"/>
        <v>様子見▲</v>
      </c>
      <c r="R121" s="351">
        <f t="shared" si="26"/>
        <v>5446</v>
      </c>
      <c r="S121" s="351">
        <f t="shared" si="27"/>
        <v>6157</v>
      </c>
      <c r="T121" s="350">
        <f t="shared" si="28"/>
        <v>11</v>
      </c>
      <c r="U121" s="350" t="str">
        <f t="shared" si="29"/>
        <v>要確認</v>
      </c>
      <c r="V121" s="350" t="str">
        <f t="shared" si="30"/>
        <v>安値圏</v>
      </c>
      <c r="W121" s="354" cm="1">
        <f t="array" ref="W121">IFERROR(100-100/(1+SUMPRODUCT((終値!F208:R208&gt;終値!G208:S208)*(終値!F208:R208-終値!G208:S208))/SUMPRODUCT((終値!F208:R208&lt;終値!G208:S208)*(終値!G208:S208-終値!F208:R208))),50)</f>
        <v>56.96275071633238</v>
      </c>
      <c r="X121" s="355">
        <f>IF(C121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-18.323743527079387</v>
      </c>
      <c r="Y121" s="350" t="str">
        <f t="shared" si="31"/>
        <v>相場上昇・見送り | パーフェクト▲ MACD- RSI:57.0 前日比:+0.4% [安値圏]前日[大陰線▼] [11点]</v>
      </c>
      <c r="Z121" s="356">
        <f t="shared" si="32"/>
        <v>0.35599254110866252</v>
      </c>
      <c r="AA121" s="350" t="str">
        <f t="shared" si="33"/>
        <v>上昇▲</v>
      </c>
      <c r="AB121" s="351">
        <f>IF(OR(C121="",C121="TOPX",終値!E208=""),"",IFERROR(((終値!E208*0.333)+(終値!F208*0.222)+(終値!G208*0.148)+(終値!H208*0.099)+(終値!I208*0.066))/(0.333+0.222+0.148+0.099+0.066),""))</f>
        <v>5766.1497695852531</v>
      </c>
      <c r="AC121" s="351">
        <f>IF(OR(C121="",C121="TOPX",終値!E208=""),"",IFERROR(SUMPRODUCT((終値!E208:AC208)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5678.5947556615001</v>
      </c>
      <c r="AD121" s="350" t="str">
        <f t="shared" si="34"/>
        <v>パーフェクト▲</v>
      </c>
      <c r="AE121" s="350" t="str">
        <f t="shared" si="35"/>
        <v>なし</v>
      </c>
      <c r="AF121" t="str">
        <f>IF(T121="","",IF(銘柄管理!$F$5="上昇▲",IF(AND(AD121="下降トレンド▼",OR(AE121="25日戻り売り★",AE121="5日戻り売り○")),"★逆張り売り",IF(AND(AD121="もみ合い→",OR(AE121="25日戻り売り★",AE121="5日戻り売り○")),"○逆張り売り",IF(W121&gt;=70,IF(Z121&lt;0,"◎反落確認","△過熱・様子見"),"相場上昇・見送り"))),IF(AND(T121&gt;=12,AD121="下降トレンド▼"),"★強い売り",IF(T121&gt;=12,"★強い売り",IF(AND(T121&gt;=8,OR(AE121="25日戻り売り★",AE121="5日戻り売り○")),"◎戻り売り",IF(T121&gt;=10,"○売り候補",IF(T121&gt;=6,"△注目",IF(T121&gt;=3,"様子見","見送り"))))))))</f>
        <v>相場上昇・見送り</v>
      </c>
      <c r="AG121">
        <f t="shared" si="37"/>
        <v>11</v>
      </c>
      <c r="AH121">
        <f t="shared" si="38"/>
        <v>109879</v>
      </c>
      <c r="AI121" s="412" cm="1">
        <f t="array" ref="AI121">IF(C121="","",IFERROR((INDEX(終値!$E:$E,MATCH(TEXT(C121,"0"),終値!$A:$A,0))-INDEX(終値!$E:$BL,MATCH(TEXT(C121,"0"),終値!$A:$A,0),$AN$2))/INDEX(終値!$E:$BL,MATCH(TEXT(C121,"0"),終値!$A:$A,0),$AN$2)*100,""))</f>
        <v>-4.315500242443834</v>
      </c>
      <c r="AJ121" s="412" cm="1">
        <f t="array" ref="AJ121">IFERROR((終値!$E$5-INDEX(終値!$E$5:$BL$5,1,$AN$2))/INDEX(終値!$E$5:$BL$5,1,$AN$2)*100,"")</f>
        <v>3.4532270246721688</v>
      </c>
      <c r="AK121" s="413">
        <f t="shared" si="39"/>
        <v>-7.7687272671160024</v>
      </c>
      <c r="AL121" s="411">
        <f t="shared" si="40"/>
        <v>3</v>
      </c>
      <c r="AO121" s="415" t="str">
        <f t="shared" si="41"/>
        <v>通常</v>
      </c>
      <c r="AP121" s="416">
        <f t="shared" si="42"/>
        <v>0</v>
      </c>
      <c r="AQ121">
        <f>IF(C121&lt;&gt;"",始値!F208,"")</f>
        <v>6128</v>
      </c>
      <c r="AR121">
        <f>IF(C121&lt;&gt;"",高値!F208,"")</f>
        <v>6138</v>
      </c>
      <c r="AS121">
        <f>IF(C121&lt;&gt;"",安値!F208,"")</f>
        <v>5890</v>
      </c>
      <c r="AT121" t="str">
        <f t="shared" si="36"/>
        <v>大陰線▼</v>
      </c>
      <c r="AU121">
        <f t="shared" si="43"/>
        <v>2</v>
      </c>
    </row>
    <row r="122" spans="1:47" ht="14.25">
      <c r="A122" s="357" t="str">
        <f>IF(銘柄管理!B18&lt;&gt;"",HYPERLINK("https://kabutan.jp/stock/?code="&amp;銘柄管理!B18,"株探"),"")</f>
        <v>株探</v>
      </c>
      <c r="B122" s="230"/>
      <c r="C122" s="230">
        <f>IF(銘柄管理!B18="","",銘柄管理!B18)</f>
        <v>1662</v>
      </c>
      <c r="D122" s="230" t="str">
        <f>IF(銘柄管理!C18="","",銘柄管理!C18)</f>
        <v>石油資源開発</v>
      </c>
      <c r="E122" s="358">
        <f>IF(C122&lt;&gt;"",_xll.RssMarket(C122,"現在値"),"")</f>
        <v>1645</v>
      </c>
      <c r="F122" s="358">
        <f>IF(C122&lt;&gt;"",_xll.RssMarket(C122,"始値"),"")</f>
        <v>1636</v>
      </c>
      <c r="G122" s="230">
        <f>IF(C122&lt;&gt;"",終値!F18,"")</f>
        <v>1648</v>
      </c>
      <c r="H122" s="358">
        <f>IF(C122&lt;&gt;"",_xll.RssMarket(C122,"高値"),"")</f>
        <v>1660</v>
      </c>
      <c r="I122" s="358">
        <f>IF(C122&lt;&gt;"",_xll.RssMarket(C122,"安値"),"")</f>
        <v>1621</v>
      </c>
      <c r="J122" s="358">
        <f>IF(C122&lt;&gt;"",_xll.RssMarket(C122,"出来高"),"")</f>
        <v>1154600</v>
      </c>
      <c r="K122" s="358">
        <f>IF(C122&lt;&gt;"",_xll.RssMarket(C122,"年初来高値"),"")</f>
        <v>2819</v>
      </c>
      <c r="L122" s="359">
        <f t="shared" si="22"/>
        <v>-41.645973749556582</v>
      </c>
      <c r="M122" s="358">
        <f>IF(C122&lt;&gt;"",IFERROR(AVERAGE(出来高!E18:I18),""),"")</f>
        <v>1488060</v>
      </c>
      <c r="N122" s="358">
        <f>IF(C122&lt;&gt;"",IFERROR(AVERAGE(出来高!E18:AC18),""),"")</f>
        <v>1987288</v>
      </c>
      <c r="O122" s="360">
        <f t="shared" si="23"/>
        <v>0.77590957353870138</v>
      </c>
      <c r="P122" s="230" t="str">
        <f t="shared" si="24"/>
        <v>減少↓</v>
      </c>
      <c r="Q122" s="230" t="str">
        <f t="shared" si="25"/>
        <v>中立→</v>
      </c>
      <c r="R122" s="358">
        <f t="shared" si="26"/>
        <v>1513</v>
      </c>
      <c r="S122" s="358">
        <f t="shared" si="27"/>
        <v>1711</v>
      </c>
      <c r="T122" s="350">
        <f t="shared" si="28"/>
        <v>15</v>
      </c>
      <c r="U122" s="230" t="str">
        <f t="shared" si="29"/>
        <v>要確認</v>
      </c>
      <c r="V122" s="230" t="str">
        <f t="shared" si="30"/>
        <v>年初来安値圏●</v>
      </c>
      <c r="W122" s="361" cm="1">
        <f t="array" ref="W122">IFERROR(100-100/(1+SUMPRODUCT((終値!F18:R18&gt;終値!G18:S18)*(終値!F18:R18-終値!G18:S18))/SUMPRODUCT((終値!F18:R18&lt;終値!G18:S18)*(終値!G18:S18-終値!F18:R18))),50)</f>
        <v>23.033707865168537</v>
      </c>
      <c r="X122" s="362">
        <f>IF(C122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-40.992252397119501</v>
      </c>
      <c r="Y122" s="230" t="str">
        <f t="shared" si="31"/>
        <v>★逆張り売り | 下降トレンド▼ 5日戻り売り○ MACD- RSI:23.0 [売られ過ぎ] 前日比:-0.2% [年初来安値圏] [15点]</v>
      </c>
      <c r="Z122" s="363">
        <f t="shared" si="32"/>
        <v>-0.18203883495145631</v>
      </c>
      <c r="AA122" s="230" t="str">
        <f t="shared" si="33"/>
        <v>下落▼</v>
      </c>
      <c r="AB122" s="358">
        <f>IF(OR(C122="",C122="TOPX",終値!E18=""),"",IFERROR(((終値!E18*0.333)+(終値!F18*0.222)+(終値!G18*0.148)+(終値!H18*0.099)+(終値!I18*0.066))/(0.333+0.222+0.148+0.099+0.066),""))</f>
        <v>1650.1509216589861</v>
      </c>
      <c r="AC122" s="358">
        <f>IF(OR(C122="",C122="TOPX",終値!E18=""),"",IFERROR(SUMPRODUCT((終値!E18:AC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1763.237187127532</v>
      </c>
      <c r="AD122" s="230" t="str">
        <f t="shared" si="34"/>
        <v>下降トレンド▼</v>
      </c>
      <c r="AE122" s="230" t="str">
        <f t="shared" si="35"/>
        <v>5日戻り売り○</v>
      </c>
      <c r="AF122" t="str">
        <f>IF(T122="","",IF(銘柄管理!$F$5="上昇▲",IF(AND(AD122="下降トレンド▼",OR(AE122="25日戻り売り★",AE122="5日戻り売り○")),"★逆張り売り",IF(AND(AD122="もみ合い→",OR(AE122="25日戻り売り★",AE122="5日戻り売り○")),"○逆張り売り",IF(W122&gt;=70,IF(Z122&lt;0,"◎反落確認","△過熱・様子見"),"相場上昇・見送り"))),IF(AND(T122&gt;=12,AD122="下降トレンド▼"),"★強い売り",IF(T122&gt;=12,"★強い売り",IF(AND(T122&gt;=8,OR(AE122="25日戻り売り★",AE122="5日戻り売り○")),"◎戻り売り",IF(T122&gt;=10,"○売り候補",IF(T122&gt;=6,"△注目",IF(T122&gt;=3,"様子見","見送り"))))))))</f>
        <v>★逆張り売り</v>
      </c>
      <c r="AG122">
        <f t="shared" si="37"/>
        <v>15</v>
      </c>
      <c r="AH122">
        <f t="shared" si="38"/>
        <v>149878</v>
      </c>
      <c r="AI122" s="412" cm="1">
        <f t="array" ref="AI122">IF(C122="","",IFERROR((INDEX(終値!$E:$E,MATCH(TEXT(C122,"0"),終値!$A:$A,0))-INDEX(終値!$E:$BL,MATCH(TEXT(C122,"0"),終値!$A:$A,0),$AN$2))/INDEX(終値!$E:$BL,MATCH(TEXT(C122,"0"),終値!$A:$A,0),$AN$2)*100,""))</f>
        <v>-18.240556660039761</v>
      </c>
      <c r="AJ122" s="412" cm="1">
        <f t="array" ref="AJ122">IFERROR((終値!$E$5-INDEX(終値!$E$5:$BL$5,1,$AN$2))/INDEX(終値!$E$5:$BL$5,1,$AN$2)*100,"")</f>
        <v>3.4532270246721688</v>
      </c>
      <c r="AK122" s="413">
        <f t="shared" si="39"/>
        <v>-21.693783684711931</v>
      </c>
      <c r="AL122" s="411">
        <f t="shared" si="40"/>
        <v>3</v>
      </c>
      <c r="AO122" s="415" t="str">
        <f t="shared" si="41"/>
        <v>通常</v>
      </c>
      <c r="AP122" s="416">
        <f t="shared" si="42"/>
        <v>0</v>
      </c>
      <c r="AQ122">
        <f>IF(C122&lt;&gt;"",始値!F18,"")</f>
        <v>1650</v>
      </c>
      <c r="AR122">
        <f>IF(C122&lt;&gt;"",高値!F18,"")</f>
        <v>1663</v>
      </c>
      <c r="AS122">
        <f>IF(C122&lt;&gt;"",安値!F18,"")</f>
        <v>1628</v>
      </c>
      <c r="AT122" t="str">
        <f t="shared" si="36"/>
        <v>通常</v>
      </c>
      <c r="AU122">
        <f t="shared" si="43"/>
        <v>0</v>
      </c>
    </row>
    <row r="123" spans="1:47" ht="14.25">
      <c r="A123" s="349" t="str">
        <f>IF(銘柄管理!B41&lt;&gt;"",HYPERLINK("https://kabutan.jp/stock/?code="&amp;銘柄管理!B41,"株探"),"")</f>
        <v>株探</v>
      </c>
      <c r="B123" s="350"/>
      <c r="C123" s="350">
        <f>IF(銘柄管理!B41="","",銘柄管理!B41)</f>
        <v>3861</v>
      </c>
      <c r="D123" s="350" t="str">
        <f>IF(銘柄管理!C41="","",銘柄管理!C41)</f>
        <v>王子ホールディングス</v>
      </c>
      <c r="E123" s="351">
        <f>IF(C123&lt;&gt;"",_xll.RssMarket(C123,"現在値"),"")</f>
        <v>799.6</v>
      </c>
      <c r="F123" s="351">
        <f>IF(C123&lt;&gt;"",_xll.RssMarket(C123,"始値"),"")</f>
        <v>800.6</v>
      </c>
      <c r="G123" s="350">
        <f>IF(C123&lt;&gt;"",終値!F41,"")</f>
        <v>793.9</v>
      </c>
      <c r="H123" s="351">
        <f>IF(C123&lt;&gt;"",_xll.RssMarket(C123,"高値"),"")</f>
        <v>805.9</v>
      </c>
      <c r="I123" s="351">
        <f>IF(C123&lt;&gt;"",_xll.RssMarket(C123,"安値"),"")</f>
        <v>796.8</v>
      </c>
      <c r="J123" s="351">
        <f>IF(C123&lt;&gt;"",_xll.RssMarket(C123,"出来高"),"")</f>
        <v>3088900</v>
      </c>
      <c r="K123" s="351">
        <f>IF(C123&lt;&gt;"",_xll.RssMarket(C123,"年初来高値"),"")</f>
        <v>990.7</v>
      </c>
      <c r="L123" s="352">
        <f t="shared" si="22"/>
        <v>-19.289391339456952</v>
      </c>
      <c r="M123" s="351">
        <f>IF(C123&lt;&gt;"",IFERROR(AVERAGE(出来高!E41:I41),""),"")</f>
        <v>3839120</v>
      </c>
      <c r="N123" s="351">
        <f>IF(C123&lt;&gt;"",IFERROR(AVERAGE(出来高!E41:AC41),""),"")</f>
        <v>4587908</v>
      </c>
      <c r="O123" s="353">
        <f t="shared" si="23"/>
        <v>0.80458542582675197</v>
      </c>
      <c r="P123" s="350" t="str">
        <f t="shared" si="24"/>
        <v>減少↓</v>
      </c>
      <c r="Q123" s="350" t="str">
        <f t="shared" si="25"/>
        <v>様子見▲</v>
      </c>
      <c r="R123" s="351">
        <f t="shared" si="26"/>
        <v>736</v>
      </c>
      <c r="S123" s="351">
        <f t="shared" si="27"/>
        <v>832</v>
      </c>
      <c r="T123" s="350">
        <f t="shared" si="28"/>
        <v>8</v>
      </c>
      <c r="U123" s="350" t="str">
        <f t="shared" si="29"/>
        <v>要確認</v>
      </c>
      <c r="V123" s="350" t="str">
        <f t="shared" si="30"/>
        <v>通常</v>
      </c>
      <c r="W123" s="354" cm="1">
        <f t="array" ref="W123">IFERROR(100-100/(1+SUMPRODUCT((終値!F41:R41&gt;終値!G41:S41)*(終値!F41:R41-終値!G41:S41))/SUMPRODUCT((終値!F41:R41&lt;終値!G41:S41)*(終値!G41:S41-終値!F41:R41))),50)</f>
        <v>60.659599528857463</v>
      </c>
      <c r="X123" s="355">
        <f>IF(C123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-1.9078922858315082</v>
      </c>
      <c r="Y123" s="350" t="str">
        <f t="shared" si="31"/>
        <v>相場上昇・見送り | パーフェクト▲ MACD- RSI:60.7 前日比:+0.7% [8点]</v>
      </c>
      <c r="Z123" s="356">
        <f t="shared" si="32"/>
        <v>0.71797455598942506</v>
      </c>
      <c r="AA123" s="350" t="str">
        <f t="shared" si="33"/>
        <v>上昇▲</v>
      </c>
      <c r="AB123" s="351">
        <f>IF(OR(C123="",C123="TOPX",終値!E41=""),"",IFERROR(((終値!E41*0.333)+(終値!F41*0.222)+(終値!G41*0.148)+(終値!H41*0.099)+(終値!I41*0.066))/(0.333+0.222+0.148+0.099+0.066),""))</f>
        <v>793.68755760368663</v>
      </c>
      <c r="AC123" s="351">
        <f>IF(OR(C123="",C123="TOPX",終値!E41=""),"",IFERROR(SUMPRODUCT((終値!E41:AC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789.87640047675768</v>
      </c>
      <c r="AD123" s="350" t="str">
        <f t="shared" si="34"/>
        <v>パーフェクト▲</v>
      </c>
      <c r="AE123" s="350" t="str">
        <f t="shared" si="35"/>
        <v>なし</v>
      </c>
      <c r="AF123" t="str">
        <f>IF(T123="","",IF(銘柄管理!$F$5="上昇▲",IF(AND(AD123="下降トレンド▼",OR(AE123="25日戻り売り★",AE123="5日戻り売り○")),"★逆張り売り",IF(AND(AD123="もみ合い→",OR(AE123="25日戻り売り★",AE123="5日戻り売り○")),"○逆張り売り",IF(W123&gt;=70,IF(Z123&lt;0,"◎反落確認","△過熱・様子見"),"相場上昇・見送り"))),IF(AND(T123&gt;=12,AD123="下降トレンド▼"),"★強い売り",IF(T123&gt;=12,"★強い売り",IF(AND(T123&gt;=8,OR(AE123="25日戻り売り★",AE123="5日戻り売り○")),"◎戻り売り",IF(T123&gt;=10,"○売り候補",IF(T123&gt;=6,"△注目",IF(T123&gt;=3,"様子見","見送り"))))))))</f>
        <v>相場上昇・見送り</v>
      </c>
      <c r="AG123">
        <f t="shared" si="37"/>
        <v>8</v>
      </c>
      <c r="AH123">
        <f t="shared" si="38"/>
        <v>79877</v>
      </c>
      <c r="AI123" s="412" cm="1">
        <f t="array" ref="AI123">IF(C123="","",IFERROR((INDEX(終値!$E:$E,MATCH(TEXT(C123,"0"),終値!$A:$A,0))-INDEX(終値!$E:$BL,MATCH(TEXT(C123,"0"),終値!$A:$A,0),$AN$2))/INDEX(終値!$E:$BL,MATCH(TEXT(C123,"0"),終値!$A:$A,0),$AN$2)*100,""))</f>
        <v>-5.0130672368733586</v>
      </c>
      <c r="AJ123" s="412" cm="1">
        <f t="array" ref="AJ123">IFERROR((終値!$E$5-INDEX(終値!$E$5:$BL$5,1,$AN$2))/INDEX(終値!$E$5:$BL$5,1,$AN$2)*100,"")</f>
        <v>3.4532270246721688</v>
      </c>
      <c r="AK123" s="413">
        <f t="shared" si="39"/>
        <v>-8.4662942615455279</v>
      </c>
      <c r="AL123" s="411">
        <f t="shared" si="40"/>
        <v>3</v>
      </c>
      <c r="AO123" s="415" t="str">
        <f t="shared" si="41"/>
        <v>通常</v>
      </c>
      <c r="AP123" s="416">
        <f t="shared" si="42"/>
        <v>0</v>
      </c>
      <c r="AQ123">
        <f>IF(C123&lt;&gt;"",始値!F41,"")</f>
        <v>797.3</v>
      </c>
      <c r="AR123">
        <f>IF(C123&lt;&gt;"",高値!F41,"")</f>
        <v>800</v>
      </c>
      <c r="AS123">
        <f>IF(C123&lt;&gt;"",安値!F41,"")</f>
        <v>787.2</v>
      </c>
      <c r="AT123" t="str">
        <f t="shared" si="36"/>
        <v>通常</v>
      </c>
      <c r="AU123">
        <f t="shared" si="43"/>
        <v>0</v>
      </c>
    </row>
    <row r="124" spans="1:47" ht="14.25">
      <c r="A124" s="357" t="str">
        <f>IF(銘柄管理!B64&lt;&gt;"",HYPERLINK("https://kabutan.jp/stock/?code="&amp;銘柄管理!B64,"株探"),"")</f>
        <v>株探</v>
      </c>
      <c r="B124" s="230"/>
      <c r="C124" s="230">
        <f>IF(銘柄管理!B64="","",銘柄管理!B64)</f>
        <v>4540</v>
      </c>
      <c r="D124" s="230" t="str">
        <f>IF(銘柄管理!C64="","",銘柄管理!C64)</f>
        <v>ツムラ</v>
      </c>
      <c r="E124" s="358">
        <f>IF(C124&lt;&gt;"",_xll.RssMarket(C124,"現在値"),"")</f>
        <v>3704</v>
      </c>
      <c r="F124" s="358">
        <f>IF(C124&lt;&gt;"",_xll.RssMarket(C124,"始値"),"")</f>
        <v>3776</v>
      </c>
      <c r="G124" s="230">
        <f>IF(C124&lt;&gt;"",終値!F64,"")</f>
        <v>3761</v>
      </c>
      <c r="H124" s="358">
        <f>IF(C124&lt;&gt;"",_xll.RssMarket(C124,"高値"),"")</f>
        <v>3784</v>
      </c>
      <c r="I124" s="358">
        <f>IF(C124&lt;&gt;"",_xll.RssMarket(C124,"安値"),"")</f>
        <v>3703</v>
      </c>
      <c r="J124" s="358">
        <f>IF(C124&lt;&gt;"",_xll.RssMarket(C124,"出来高"),"")</f>
        <v>162100</v>
      </c>
      <c r="K124" s="358">
        <f>IF(C124&lt;&gt;"",_xll.RssMarket(C124,"年初来高値"),"")</f>
        <v>4403</v>
      </c>
      <c r="L124" s="359">
        <f t="shared" si="22"/>
        <v>-15.875539404951169</v>
      </c>
      <c r="M124" s="358">
        <f>IF(C124&lt;&gt;"",IFERROR(AVERAGE(出来高!E64:I64),""),"")</f>
        <v>212600</v>
      </c>
      <c r="N124" s="358">
        <f>IF(C124&lt;&gt;"",IFERROR(AVERAGE(出来高!E64:AC64),""),"")</f>
        <v>343112</v>
      </c>
      <c r="O124" s="360">
        <f t="shared" si="23"/>
        <v>0.76246472248353714</v>
      </c>
      <c r="P124" s="230" t="str">
        <f t="shared" si="24"/>
        <v>減少↓</v>
      </c>
      <c r="Q124" s="230" t="str">
        <f t="shared" si="25"/>
        <v>中立→</v>
      </c>
      <c r="R124" s="358">
        <f t="shared" si="26"/>
        <v>3408</v>
      </c>
      <c r="S124" s="358">
        <f t="shared" si="27"/>
        <v>3852</v>
      </c>
      <c r="T124" s="350">
        <f t="shared" si="28"/>
        <v>13</v>
      </c>
      <c r="U124" s="230" t="str">
        <f t="shared" si="29"/>
        <v>要確認</v>
      </c>
      <c r="V124" s="230" t="str">
        <f t="shared" si="30"/>
        <v>通常</v>
      </c>
      <c r="W124" s="361" cm="1">
        <f t="array" ref="W124">IFERROR(100-100/(1+SUMPRODUCT((終値!F64:R64&gt;終値!G64:S64)*(終値!F64:R64-終値!G64:S64))/SUMPRODUCT((終値!F64:R64&lt;終値!G64:S64)*(終値!G64:S64-終値!F64:R64))),50)</f>
        <v>50.810810810810807</v>
      </c>
      <c r="X124" s="362">
        <f>IF(C124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-11.111764097134255</v>
      </c>
      <c r="Y124" s="230" t="str">
        <f t="shared" si="31"/>
        <v>★逆張り売り | 下降トレンド▼ 25日戻り売り★ MACD- RSI:50.8 前日比:-1.5% [大陰線▼] [13点]</v>
      </c>
      <c r="Z124" s="363">
        <f t="shared" si="32"/>
        <v>-1.5155543738367456</v>
      </c>
      <c r="AA124" s="230" t="str">
        <f t="shared" si="33"/>
        <v>下落▼</v>
      </c>
      <c r="AB124" s="358">
        <f>IF(OR(C124="",C124="TOPX",終値!E64=""),"",IFERROR(((終値!E64*0.333)+(終値!F64*0.222)+(終値!G64*0.148)+(終値!H64*0.099)+(終値!I64*0.066))/(0.333+0.222+0.148+0.099+0.066),""))</f>
        <v>3730.1244239631328</v>
      </c>
      <c r="AC124" s="358">
        <f>IF(OR(C124="",C124="TOPX",終値!E64=""),"",IFERROR(SUMPRODUCT((終値!E64:AC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3746.6483909415965</v>
      </c>
      <c r="AD124" s="230" t="str">
        <f t="shared" si="34"/>
        <v>下降トレンド▼</v>
      </c>
      <c r="AE124" s="230" t="str">
        <f t="shared" si="35"/>
        <v>25日戻り売り★</v>
      </c>
      <c r="AF124" t="str">
        <f>IF(T124="","",IF(銘柄管理!$F$5="上昇▲",IF(AND(AD124="下降トレンド▼",OR(AE124="25日戻り売り★",AE124="5日戻り売り○")),"★逆張り売り",IF(AND(AD124="もみ合い→",OR(AE124="25日戻り売り★",AE124="5日戻り売り○")),"○逆張り売り",IF(W124&gt;=70,IF(Z124&lt;0,"◎反落確認","△過熱・様子見"),"相場上昇・見送り"))),IF(AND(T124&gt;=12,AD124="下降トレンド▼"),"★強い売り",IF(T124&gt;=12,"★強い売り",IF(AND(T124&gt;=8,OR(AE124="25日戻り売り★",AE124="5日戻り売り○")),"◎戻り売り",IF(T124&gt;=10,"○売り候補",IF(T124&gt;=6,"△注目",IF(T124&gt;=3,"様子見","見送り"))))))))</f>
        <v>★逆張り売り</v>
      </c>
      <c r="AG124">
        <f t="shared" si="37"/>
        <v>13</v>
      </c>
      <c r="AH124">
        <f t="shared" si="38"/>
        <v>129876</v>
      </c>
      <c r="AI124" s="412" cm="1">
        <f t="array" ref="AI124">IF(C124="","",IFERROR((INDEX(終値!$E:$E,MATCH(TEXT(C124,"0"),終値!$A:$A,0))-INDEX(終値!$E:$BL,MATCH(TEXT(C124,"0"),終値!$A:$A,0),$AN$2))/INDEX(終値!$E:$BL,MATCH(TEXT(C124,"0"),終値!$A:$A,0),$AN$2)*100,""))</f>
        <v>-0.72366657732511386</v>
      </c>
      <c r="AJ124" s="412" cm="1">
        <f t="array" ref="AJ124">IFERROR((終値!$E$5-INDEX(終値!$E$5:$BL$5,1,$AN$2))/INDEX(終値!$E$5:$BL$5,1,$AN$2)*100,"")</f>
        <v>3.4532270246721688</v>
      </c>
      <c r="AK124" s="413">
        <f t="shared" si="39"/>
        <v>-4.1768936019972829</v>
      </c>
      <c r="AL124" s="411">
        <f t="shared" si="40"/>
        <v>1</v>
      </c>
      <c r="AO124" s="415" t="str">
        <f t="shared" si="41"/>
        <v>大陰線▼</v>
      </c>
      <c r="AP124" s="416">
        <f t="shared" si="42"/>
        <v>2</v>
      </c>
      <c r="AQ124">
        <f>IF(C124&lt;&gt;"",始値!F64,"")</f>
        <v>3720</v>
      </c>
      <c r="AR124">
        <f>IF(C124&lt;&gt;"",高値!F64,"")</f>
        <v>3764</v>
      </c>
      <c r="AS124">
        <f>IF(C124&lt;&gt;"",安値!F64,"")</f>
        <v>3687</v>
      </c>
      <c r="AT124" t="str">
        <f t="shared" si="36"/>
        <v>通常</v>
      </c>
      <c r="AU124">
        <f t="shared" si="43"/>
        <v>0</v>
      </c>
    </row>
    <row r="125" spans="1:47" ht="14.25">
      <c r="A125" s="349" t="str">
        <f>IF(銘柄管理!B67&lt;&gt;"",HYPERLINK("https://kabutan.jp/stock/?code="&amp;銘柄管理!B67,"株探"),"")</f>
        <v>株探</v>
      </c>
      <c r="B125" s="350"/>
      <c r="C125" s="350">
        <f>IF(銘柄管理!B67="","",銘柄管理!B67)</f>
        <v>4536</v>
      </c>
      <c r="D125" s="350" t="str">
        <f>IF(銘柄管理!C67="","",銘柄管理!C67)</f>
        <v>参天製薬</v>
      </c>
      <c r="E125" s="351">
        <f>IF(C125&lt;&gt;"",_xll.RssMarket(C125,"現在値"),"")</f>
        <v>1882</v>
      </c>
      <c r="F125" s="351">
        <f>IF(C125&lt;&gt;"",_xll.RssMarket(C125,"始値"),"")</f>
        <v>1935.5</v>
      </c>
      <c r="G125" s="350">
        <f>IF(C125&lt;&gt;"",終値!F67,"")</f>
        <v>1919.5</v>
      </c>
      <c r="H125" s="351">
        <f>IF(C125&lt;&gt;"",_xll.RssMarket(C125,"高値"),"")</f>
        <v>1935.5</v>
      </c>
      <c r="I125" s="351">
        <f>IF(C125&lt;&gt;"",_xll.RssMarket(C125,"安値"),"")</f>
        <v>1863.5</v>
      </c>
      <c r="J125" s="351">
        <f>IF(C125&lt;&gt;"",_xll.RssMarket(C125,"出来高"),"")</f>
        <v>896900</v>
      </c>
      <c r="K125" s="351">
        <f>IF(C125&lt;&gt;"",_xll.RssMarket(C125,"年初来高値"),"")</f>
        <v>2043</v>
      </c>
      <c r="L125" s="352">
        <f t="shared" si="22"/>
        <v>-7.8805677924620658</v>
      </c>
      <c r="M125" s="351">
        <f>IF(C125&lt;&gt;"",IFERROR(AVERAGE(出来高!E67:I67),""),"")</f>
        <v>1020260</v>
      </c>
      <c r="N125" s="351">
        <f>IF(C125&lt;&gt;"",IFERROR(AVERAGE(出来高!E67:AC67),""),"")</f>
        <v>1286416</v>
      </c>
      <c r="O125" s="353">
        <f t="shared" si="23"/>
        <v>0.87908964381628207</v>
      </c>
      <c r="P125" s="350" t="str">
        <f t="shared" si="24"/>
        <v>減少↓</v>
      </c>
      <c r="Q125" s="350" t="str">
        <f t="shared" si="25"/>
        <v>中立→</v>
      </c>
      <c r="R125" s="351">
        <f t="shared" si="26"/>
        <v>1731</v>
      </c>
      <c r="S125" s="351">
        <f t="shared" si="27"/>
        <v>1957</v>
      </c>
      <c r="T125" s="350">
        <f t="shared" si="28"/>
        <v>7</v>
      </c>
      <c r="U125" s="350" t="str">
        <f t="shared" si="29"/>
        <v>要確認</v>
      </c>
      <c r="V125" s="350" t="str">
        <f t="shared" si="30"/>
        <v>通常</v>
      </c>
      <c r="W125" s="354" cm="1">
        <f t="array" ref="W125">IFERROR(100-100/(1+SUMPRODUCT((終値!F67:R67&gt;終値!G67:S67)*(終値!F67:R67-終値!G67:S67))/SUMPRODUCT((終値!F67:R67&lt;終値!G67:S67)*(終値!G67:S67-終値!F67:R67))),50)</f>
        <v>49.046793760831889</v>
      </c>
      <c r="X125" s="355">
        <f>IF(C125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6.3418876050304789</v>
      </c>
      <c r="Y125" s="350" t="str">
        <f t="shared" si="31"/>
        <v>○逆張り売り | もみ合い→ 25日戻り売り★ MACD+ RSI:49.0 前日比:-2.0% [大陰線▼] [7点]</v>
      </c>
      <c r="Z125" s="356">
        <f t="shared" si="32"/>
        <v>-1.9536337587913521</v>
      </c>
      <c r="AA125" s="350" t="str">
        <f t="shared" si="33"/>
        <v>下落▼</v>
      </c>
      <c r="AB125" s="351">
        <f>IF(OR(C125="",C125="TOPX",終値!E67=""),"",IFERROR(((終値!E67*0.333)+(終値!F67*0.222)+(終値!G67*0.148)+(終値!H67*0.099)+(終値!I67*0.066))/(0.333+0.222+0.148+0.099+0.066),""))</f>
        <v>1909.3312211981565</v>
      </c>
      <c r="AC125" s="351">
        <f>IF(OR(C125="",C125="TOPX",終値!E67=""),"",IFERROR(SUMPRODUCT((終値!E67:AC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1895.7622169249096</v>
      </c>
      <c r="AD125" s="350" t="str">
        <f t="shared" si="34"/>
        <v>もみ合い→</v>
      </c>
      <c r="AE125" s="350" t="str">
        <f t="shared" si="35"/>
        <v>25日戻り売り★</v>
      </c>
      <c r="AF125" t="str">
        <f>IF(T125="","",IF(銘柄管理!$F$5="上昇▲",IF(AND(AD125="下降トレンド▼",OR(AE125="25日戻り売り★",AE125="5日戻り売り○")),"★逆張り売り",IF(AND(AD125="もみ合い→",OR(AE125="25日戻り売り★",AE125="5日戻り売り○")),"○逆張り売り",IF(W125&gt;=70,IF(Z125&lt;0,"◎反落確認","△過熱・様子見"),"相場上昇・見送り"))),IF(AND(T125&gt;=12,AD125="下降トレンド▼"),"★強い売り",IF(T125&gt;=12,"★強い売り",IF(AND(T125&gt;=8,OR(AE125="25日戻り売り★",AE125="5日戻り売り○")),"◎戻り売り",IF(T125&gt;=10,"○売り候補",IF(T125&gt;=6,"△注目",IF(T125&gt;=3,"様子見","見送り"))))))))</f>
        <v>○逆張り売り</v>
      </c>
      <c r="AG125">
        <f t="shared" si="37"/>
        <v>7</v>
      </c>
      <c r="AH125">
        <f t="shared" si="38"/>
        <v>69875</v>
      </c>
      <c r="AI125" s="412" cm="1">
        <f t="array" ref="AI125">IF(C125="","",IFERROR((INDEX(終値!$E:$E,MATCH(TEXT(C125,"0"),終値!$A:$A,0))-INDEX(終値!$E:$BL,MATCH(TEXT(C125,"0"),終値!$A:$A,0),$AN$2))/INDEX(終値!$E:$BL,MATCH(TEXT(C125,"0"),終値!$A:$A,0),$AN$2)*100,""))</f>
        <v>0</v>
      </c>
      <c r="AJ125" s="412" cm="1">
        <f t="array" ref="AJ125">IFERROR((終値!$E$5-INDEX(終値!$E$5:$BL$5,1,$AN$2))/INDEX(終値!$E$5:$BL$5,1,$AN$2)*100,"")</f>
        <v>3.4532270246721688</v>
      </c>
      <c r="AK125" s="413">
        <f t="shared" si="39"/>
        <v>-3.4532270246721688</v>
      </c>
      <c r="AL125" s="411">
        <f t="shared" si="40"/>
        <v>1</v>
      </c>
      <c r="AO125" s="415" t="str">
        <f t="shared" si="41"/>
        <v>大陰線▼</v>
      </c>
      <c r="AP125" s="416">
        <f t="shared" si="42"/>
        <v>2</v>
      </c>
      <c r="AQ125">
        <f>IF(C125&lt;&gt;"",始値!F67,"")</f>
        <v>1899.5</v>
      </c>
      <c r="AR125">
        <f>IF(C125&lt;&gt;"",高値!F67,"")</f>
        <v>1940</v>
      </c>
      <c r="AS125">
        <f>IF(C125&lt;&gt;"",安値!F67,"")</f>
        <v>1883</v>
      </c>
      <c r="AT125" t="str">
        <f t="shared" si="36"/>
        <v>通常</v>
      </c>
      <c r="AU125">
        <f t="shared" si="43"/>
        <v>0</v>
      </c>
    </row>
    <row r="126" spans="1:47" ht="14.25">
      <c r="A126" s="357" t="str">
        <f>IF(銘柄管理!B91&lt;&gt;"",HYPERLINK("https://kabutan.jp/stock/?code="&amp;銘柄管理!B91,"株探"),"")</f>
        <v>株探</v>
      </c>
      <c r="B126" s="230"/>
      <c r="C126" s="230">
        <f>IF(銘柄管理!B91="","",銘柄管理!B91)</f>
        <v>6501</v>
      </c>
      <c r="D126" s="230" t="str">
        <f>IF(銘柄管理!C91="","",銘柄管理!C91)</f>
        <v>日立</v>
      </c>
      <c r="E126" s="358">
        <f>IF(C126&lt;&gt;"",_xll.RssMarket(C126,"現在値"),"")</f>
        <v>4701</v>
      </c>
      <c r="F126" s="358">
        <f>IF(C126&lt;&gt;"",_xll.RssMarket(C126,"始値"),"")</f>
        <v>4692</v>
      </c>
      <c r="G126" s="230">
        <f>IF(C126&lt;&gt;"",終値!F91,"")</f>
        <v>4747</v>
      </c>
      <c r="H126" s="358">
        <f>IF(C126&lt;&gt;"",_xll.RssMarket(C126,"高値"),"")</f>
        <v>4736</v>
      </c>
      <c r="I126" s="358">
        <f>IF(C126&lt;&gt;"",_xll.RssMarket(C126,"安値"),"")</f>
        <v>4670</v>
      </c>
      <c r="J126" s="358">
        <f>IF(C126&lt;&gt;"",_xll.RssMarket(C126,"出来高"),"")</f>
        <v>11385900</v>
      </c>
      <c r="K126" s="358">
        <f>IF(C126&lt;&gt;"",_xll.RssMarket(C126,"年初来高値"),"")</f>
        <v>6039</v>
      </c>
      <c r="L126" s="359">
        <f t="shared" si="22"/>
        <v>-22.15598609041232</v>
      </c>
      <c r="M126" s="358">
        <f>IF(C126&lt;&gt;"",IFERROR(AVERAGE(出来高!E91:I91),""),"")</f>
        <v>14387180</v>
      </c>
      <c r="N126" s="358">
        <f>IF(C126&lt;&gt;"",IFERROR(AVERAGE(出来高!E91:AC91),""),"")</f>
        <v>14286600</v>
      </c>
      <c r="O126" s="360">
        <f t="shared" si="23"/>
        <v>0.79139205876342689</v>
      </c>
      <c r="P126" s="230" t="str">
        <f t="shared" si="24"/>
        <v>減少↓</v>
      </c>
      <c r="Q126" s="230" t="str">
        <f t="shared" si="25"/>
        <v>中立→</v>
      </c>
      <c r="R126" s="358">
        <f t="shared" si="26"/>
        <v>4325</v>
      </c>
      <c r="S126" s="358">
        <f t="shared" si="27"/>
        <v>4889</v>
      </c>
      <c r="T126" s="350">
        <f t="shared" si="28"/>
        <v>9</v>
      </c>
      <c r="U126" s="230" t="str">
        <f t="shared" si="29"/>
        <v>要確認</v>
      </c>
      <c r="V126" s="230" t="str">
        <f t="shared" si="30"/>
        <v>通常</v>
      </c>
      <c r="W126" s="361" cm="1">
        <f t="array" ref="W126">IFERROR(100-100/(1+SUMPRODUCT((終値!F91:R91&gt;終値!G91:S91)*(終値!F91:R91-終値!G91:S91))/SUMPRODUCT((終値!F91:R91&lt;終値!G91:S91)*(終値!G91:S91-終値!F91:R91))),50)</f>
        <v>39.947609692206939</v>
      </c>
      <c r="X126" s="362">
        <f>IF(C126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-23.331775719531834</v>
      </c>
      <c r="Y126" s="230" t="str">
        <f t="shared" si="31"/>
        <v>★逆張り売り | 下降トレンド▼ 5日戻り売り○ MACD- RSI:39.9 前日比:-1.0% [9点]</v>
      </c>
      <c r="Z126" s="363">
        <f t="shared" si="32"/>
        <v>-0.96903307352011803</v>
      </c>
      <c r="AA126" s="230" t="str">
        <f t="shared" si="33"/>
        <v>下落▼</v>
      </c>
      <c r="AB126" s="358">
        <f>IF(OR(C126="",C126="TOPX",終値!E91=""),"",IFERROR(((終値!E91*0.333)+(終値!F91*0.222)+(終値!G91*0.148)+(終値!H91*0.099)+(終値!I91*0.066))/(0.333+0.222+0.148+0.099+0.066),""))</f>
        <v>4706.3271889400921</v>
      </c>
      <c r="AC126" s="358">
        <f>IF(OR(C126="",C126="TOPX",終値!E91=""),"",IFERROR(SUMPRODUCT((終値!E91:AC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4928.452920143025</v>
      </c>
      <c r="AD126" s="230" t="str">
        <f t="shared" si="34"/>
        <v>下降トレンド▼</v>
      </c>
      <c r="AE126" s="230" t="str">
        <f t="shared" si="35"/>
        <v>5日戻り売り○</v>
      </c>
      <c r="AF126" t="str">
        <f>IF(T126="","",IF(銘柄管理!$F$5="上昇▲",IF(AND(AD126="下降トレンド▼",OR(AE126="25日戻り売り★",AE126="5日戻り売り○")),"★逆張り売り",IF(AND(AD126="もみ合い→",OR(AE126="25日戻り売り★",AE126="5日戻り売り○")),"○逆張り売り",IF(W126&gt;=70,IF(Z126&lt;0,"◎反落確認","△過熱・様子見"),"相場上昇・見送り"))),IF(AND(T126&gt;=12,AD126="下降トレンド▼"),"★強い売り",IF(T126&gt;=12,"★強い売り",IF(AND(T126&gt;=8,OR(AE126="25日戻り売り★",AE126="5日戻り売り○")),"◎戻り売り",IF(T126&gt;=10,"○売り候補",IF(T126&gt;=6,"△注目",IF(T126&gt;=3,"様子見","見送り"))))))))</f>
        <v>★逆張り売り</v>
      </c>
      <c r="AG126">
        <f t="shared" si="37"/>
        <v>9</v>
      </c>
      <c r="AH126">
        <f t="shared" si="38"/>
        <v>89874</v>
      </c>
      <c r="AI126" s="412" cm="1">
        <f t="array" ref="AI126">IF(C126="","",IFERROR((INDEX(終値!$E:$E,MATCH(TEXT(C126,"0"),終値!$A:$A,0))-INDEX(終値!$E:$BL,MATCH(TEXT(C126,"0"),終値!$A:$A,0),$AN$2))/INDEX(終値!$E:$BL,MATCH(TEXT(C126,"0"),終値!$A:$A,0),$AN$2)*100,""))</f>
        <v>0.64226075786769421</v>
      </c>
      <c r="AJ126" s="412" cm="1">
        <f t="array" ref="AJ126">IFERROR((終値!$E$5-INDEX(終値!$E$5:$BL$5,1,$AN$2))/INDEX(終値!$E$5:$BL$5,1,$AN$2)*100,"")</f>
        <v>3.4532270246721688</v>
      </c>
      <c r="AK126" s="413">
        <f t="shared" si="39"/>
        <v>-2.8109662668044746</v>
      </c>
      <c r="AL126" s="411">
        <f t="shared" si="40"/>
        <v>1</v>
      </c>
      <c r="AO126" s="415" t="str">
        <f t="shared" si="41"/>
        <v>通常</v>
      </c>
      <c r="AP126" s="416">
        <f t="shared" si="42"/>
        <v>0</v>
      </c>
      <c r="AQ126">
        <f>IF(C126&lt;&gt;"",始値!F91,"")</f>
        <v>4741</v>
      </c>
      <c r="AR126">
        <f>IF(C126&lt;&gt;"",高値!F91,"")</f>
        <v>4798</v>
      </c>
      <c r="AS126">
        <f>IF(C126&lt;&gt;"",安値!F91,"")</f>
        <v>4646</v>
      </c>
      <c r="AT126" t="str">
        <f t="shared" si="36"/>
        <v>通常</v>
      </c>
      <c r="AU126">
        <f t="shared" si="43"/>
        <v>0</v>
      </c>
    </row>
    <row r="127" spans="1:47" ht="14.25">
      <c r="A127" s="349" t="str">
        <f>IF(銘柄管理!B95&lt;&gt;"",HYPERLINK("https://kabutan.jp/stock/?code="&amp;銘柄管理!B95,"株探"),"")</f>
        <v>株探</v>
      </c>
      <c r="B127" s="350"/>
      <c r="C127" s="350">
        <f>IF(銘柄管理!B95="","",銘柄管理!B95)</f>
        <v>4008</v>
      </c>
      <c r="D127" s="350" t="str">
        <f>IF(銘柄管理!C95="","",銘柄管理!C95)</f>
        <v>住友精化</v>
      </c>
      <c r="E127" s="351">
        <f>IF(C127&lt;&gt;"",_xll.RssMarket(C127,"現在値"),"")</f>
        <v>1318</v>
      </c>
      <c r="F127" s="351">
        <f>IF(C127&lt;&gt;"",_xll.RssMarket(C127,"始値"),"")</f>
        <v>1322</v>
      </c>
      <c r="G127" s="350">
        <f>IF(C127&lt;&gt;"",終値!F95,"")</f>
        <v>1321</v>
      </c>
      <c r="H127" s="351">
        <f>IF(C127&lt;&gt;"",_xll.RssMarket(C127,"高値"),"")</f>
        <v>1335</v>
      </c>
      <c r="I127" s="351">
        <f>IF(C127&lt;&gt;"",_xll.RssMarket(C127,"安値"),"")</f>
        <v>1317</v>
      </c>
      <c r="J127" s="351">
        <f>IF(C127&lt;&gt;"",_xll.RssMarket(C127,"出来高"),"")</f>
        <v>131300</v>
      </c>
      <c r="K127" s="351">
        <f>IF(C127&lt;&gt;"",_xll.RssMarket(C127,"年初来高値"),"")</f>
        <v>1346</v>
      </c>
      <c r="L127" s="352">
        <f t="shared" si="22"/>
        <v>-2.0802377414561661</v>
      </c>
      <c r="M127" s="351">
        <f>IF(C127&lt;&gt;"",IFERROR(AVERAGE(出来高!E95:I95),""),"")</f>
        <v>133300</v>
      </c>
      <c r="N127" s="351">
        <f>IF(C127&lt;&gt;"",IFERROR(AVERAGE(出来高!E95:AC95),""),"")</f>
        <v>193692</v>
      </c>
      <c r="O127" s="353">
        <f t="shared" si="23"/>
        <v>0.98499624906226557</v>
      </c>
      <c r="P127" s="350" t="str">
        <f t="shared" si="24"/>
        <v>減少↓</v>
      </c>
      <c r="Q127" s="350" t="str">
        <f t="shared" si="25"/>
        <v>中立→</v>
      </c>
      <c r="R127" s="351">
        <f t="shared" si="26"/>
        <v>1213</v>
      </c>
      <c r="S127" s="351">
        <f t="shared" si="27"/>
        <v>1371</v>
      </c>
      <c r="T127" s="350">
        <f t="shared" si="28"/>
        <v>3</v>
      </c>
      <c r="U127" s="350" t="str">
        <f t="shared" si="29"/>
        <v>要確認</v>
      </c>
      <c r="V127" s="350" t="str">
        <f t="shared" si="30"/>
        <v>通常</v>
      </c>
      <c r="W127" s="354" cm="1">
        <f t="array" ref="W127">IFERROR(100-100/(1+SUMPRODUCT((終値!F95:R95&gt;終値!G95:S95)*(終値!F95:R95-終値!G95:S95))/SUMPRODUCT((終値!F95:R95&lt;終値!G95:S95)*(終値!G95:S95-終値!F95:R95))),50)</f>
        <v>53.310104529616723</v>
      </c>
      <c r="X127" s="355">
        <f>IF(C127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3.3467654305272845</v>
      </c>
      <c r="Y127" s="350" t="str">
        <f t="shared" si="31"/>
        <v>相場上昇・見送り | パーフェクト▲ MACD+ RSI:53.3 前日比:-0.2% [上ヒゲ陰線▼] [3点]</v>
      </c>
      <c r="Z127" s="356">
        <f t="shared" si="32"/>
        <v>-0.22710068130204392</v>
      </c>
      <c r="AA127" s="350" t="str">
        <f t="shared" si="33"/>
        <v>下落▼</v>
      </c>
      <c r="AB127" s="351">
        <f>IF(OR(C127="",C127="TOPX",終値!E95=""),"",IFERROR(((終値!E95*0.333)+(終値!F95*0.222)+(終値!G95*0.148)+(終値!H95*0.099)+(終値!I95*0.066))/(0.333+0.222+0.148+0.099+0.066),""))</f>
        <v>1300.5967741935481</v>
      </c>
      <c r="AC127" s="351">
        <f>IF(OR(C127="",C127="TOPX",終値!E95=""),"",IFERROR(SUMPRODUCT((終値!E95:AC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1281.3146603098921</v>
      </c>
      <c r="AD127" s="350" t="str">
        <f t="shared" si="34"/>
        <v>パーフェクト▲</v>
      </c>
      <c r="AE127" s="350" t="str">
        <f t="shared" si="35"/>
        <v>なし</v>
      </c>
      <c r="AF127" t="str">
        <f>IF(T127="","",IF(銘柄管理!$F$5="上昇▲",IF(AND(AD127="下降トレンド▼",OR(AE127="25日戻り売り★",AE127="5日戻り売り○")),"★逆張り売り",IF(AND(AD127="もみ合い→",OR(AE127="25日戻り売り★",AE127="5日戻り売り○")),"○逆張り売り",IF(W127&gt;=70,IF(Z127&lt;0,"◎反落確認","△過熱・様子見"),"相場上昇・見送り"))),IF(AND(T127&gt;=12,AD127="下降トレンド▼"),"★強い売り",IF(T127&gt;=12,"★強い売り",IF(AND(T127&gt;=8,OR(AE127="25日戻り売り★",AE127="5日戻り売り○")),"◎戻り売り",IF(T127&gt;=10,"○売り候補",IF(T127&gt;=6,"△注目",IF(T127&gt;=3,"様子見","見送り"))))))))</f>
        <v>相場上昇・見送り</v>
      </c>
      <c r="AG127">
        <f t="shared" si="37"/>
        <v>0</v>
      </c>
      <c r="AH127">
        <f t="shared" si="38"/>
        <v>0</v>
      </c>
      <c r="AI127" s="412" cm="1">
        <f t="array" ref="AI127">IF(C127="","",IFERROR((INDEX(終値!$E:$E,MATCH(TEXT(C127,"0"),終値!$A:$A,0))-INDEX(終値!$E:$BL,MATCH(TEXT(C127,"0"),終値!$A:$A,0),$AN$2))/INDEX(終値!$E:$BL,MATCH(TEXT(C127,"0"),終値!$A:$A,0),$AN$2)*100,""))</f>
        <v>5.4399999999999995</v>
      </c>
      <c r="AJ127" s="412" cm="1">
        <f t="array" ref="AJ127">IFERROR((終値!$E$5-INDEX(終値!$E$5:$BL$5,1,$AN$2))/INDEX(終値!$E$5:$BL$5,1,$AN$2)*100,"")</f>
        <v>3.4532270246721688</v>
      </c>
      <c r="AK127" s="413">
        <f t="shared" si="39"/>
        <v>1.9867729753278307</v>
      </c>
      <c r="AL127" s="411">
        <f t="shared" si="40"/>
        <v>-1</v>
      </c>
      <c r="AO127" s="415" t="str">
        <f t="shared" si="41"/>
        <v>上ヒゲ陰線▼</v>
      </c>
      <c r="AP127" s="416">
        <f t="shared" si="42"/>
        <v>2</v>
      </c>
      <c r="AQ127">
        <f>IF(C127&lt;&gt;"",始値!F95,"")</f>
        <v>1321</v>
      </c>
      <c r="AR127">
        <f>IF(C127&lt;&gt;"",高値!F95,"")</f>
        <v>1329</v>
      </c>
      <c r="AS127">
        <f>IF(C127&lt;&gt;"",安値!F95,"")</f>
        <v>1313</v>
      </c>
      <c r="AT127" t="str">
        <f t="shared" si="36"/>
        <v>通常</v>
      </c>
      <c r="AU127">
        <f t="shared" si="43"/>
        <v>0</v>
      </c>
    </row>
    <row r="128" spans="1:47" ht="14.25">
      <c r="A128" s="357" t="str">
        <f>IF(銘柄管理!B116&lt;&gt;"",HYPERLINK("https://kabutan.jp/stock/?code="&amp;銘柄管理!B116,"株探"),"")</f>
        <v>株探</v>
      </c>
      <c r="B128" s="230"/>
      <c r="C128" s="230">
        <f>IF(銘柄管理!B116="","",銘柄管理!B116)</f>
        <v>9882</v>
      </c>
      <c r="D128" s="230" t="str">
        <f>IF(銘柄管理!C116="","",銘柄管理!C116)</f>
        <v>イエローハット</v>
      </c>
      <c r="E128" s="358">
        <f>IF(C128&lt;&gt;"",_xll.RssMarket(C128,"現在値"),"")</f>
        <v>1736</v>
      </c>
      <c r="F128" s="358">
        <f>IF(C128&lt;&gt;"",_xll.RssMarket(C128,"始値"),"")</f>
        <v>1743</v>
      </c>
      <c r="G128" s="230">
        <f>IF(C128&lt;&gt;"",終値!F116,"")</f>
        <v>1743</v>
      </c>
      <c r="H128" s="358">
        <f>IF(C128&lt;&gt;"",_xll.RssMarket(C128,"高値"),"")</f>
        <v>1757</v>
      </c>
      <c r="I128" s="358">
        <f>IF(C128&lt;&gt;"",_xll.RssMarket(C128,"安値"),"")</f>
        <v>1735</v>
      </c>
      <c r="J128" s="358">
        <f>IF(C128&lt;&gt;"",_xll.RssMarket(C128,"出来高"),"")</f>
        <v>140600</v>
      </c>
      <c r="K128" s="358">
        <f>IF(C128&lt;&gt;"",_xll.RssMarket(C128,"年初来高値"),"")</f>
        <v>1759</v>
      </c>
      <c r="L128" s="359">
        <f t="shared" si="22"/>
        <v>-1.3075611142694712</v>
      </c>
      <c r="M128" s="358">
        <f>IF(C128&lt;&gt;"",IFERROR(AVERAGE(出来高!E116:I116),""),"")</f>
        <v>164800</v>
      </c>
      <c r="N128" s="358">
        <f>IF(C128&lt;&gt;"",IFERROR(AVERAGE(出来高!E116:AC116),""),"")</f>
        <v>197796</v>
      </c>
      <c r="O128" s="360">
        <f t="shared" si="23"/>
        <v>0.85315533980582525</v>
      </c>
      <c r="P128" s="230" t="str">
        <f t="shared" si="24"/>
        <v>減少↓</v>
      </c>
      <c r="Q128" s="230" t="str">
        <f t="shared" si="25"/>
        <v>中立→</v>
      </c>
      <c r="R128" s="358">
        <f t="shared" si="26"/>
        <v>1597</v>
      </c>
      <c r="S128" s="358">
        <f t="shared" si="27"/>
        <v>1805</v>
      </c>
      <c r="T128" s="350">
        <f t="shared" si="28"/>
        <v>2</v>
      </c>
      <c r="U128" s="230" t="str">
        <f t="shared" si="29"/>
        <v>除外</v>
      </c>
      <c r="V128" s="230" t="str">
        <f t="shared" si="30"/>
        <v>通常</v>
      </c>
      <c r="W128" s="361" cm="1">
        <f t="array" ref="W128">IFERROR(100-100/(1+SUMPRODUCT((終値!F116:R116&gt;終値!G116:S116)*(終値!F116:R116-終値!G116:S116))/SUMPRODUCT((終値!F116:R116&lt;終値!G116:S116)*(終値!G116:S116-終値!F116:R116))),50)</f>
        <v>73.962264150943398</v>
      </c>
      <c r="X128" s="362">
        <f>IF(C128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14.592035870227846</v>
      </c>
      <c r="Y128" s="230" t="str">
        <f t="shared" si="31"/>
        <v>◎反落確認 | パーフェクト▲ MACD+ RSI:74.0 [過熱] 前日比:-0.4% [上ヒゲ陰線▼]前日[長い下ヒゲ(反発)] [2点]</v>
      </c>
      <c r="Z128" s="363">
        <f t="shared" si="32"/>
        <v>-0.40160642570281119</v>
      </c>
      <c r="AA128" s="230" t="str">
        <f t="shared" si="33"/>
        <v>下落▼</v>
      </c>
      <c r="AB128" s="358">
        <f>IF(OR(C128="",C128="TOPX",終値!E116=""),"",IFERROR(((終値!E116*0.333)+(終値!F116*0.222)+(終値!G116*0.148)+(終値!H116*0.099)+(終値!I116*0.066))/(0.333+0.222+0.148+0.099+0.066),""))</f>
        <v>1734.1993087557603</v>
      </c>
      <c r="AC128" s="358">
        <f>IF(OR(C128="",C128="TOPX",終値!E116=""),"",IFERROR(SUMPRODUCT((終値!E116:AC116)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1677.1001191895105</v>
      </c>
      <c r="AD128" s="230" t="str">
        <f t="shared" si="34"/>
        <v>パーフェクト▲</v>
      </c>
      <c r="AE128" s="230" t="str">
        <f t="shared" si="35"/>
        <v>なし</v>
      </c>
      <c r="AF128" t="str">
        <f>IF(T128="","",IF(銘柄管理!$F$5="上昇▲",IF(AND(AD128="下降トレンド▼",OR(AE128="25日戻り売り★",AE128="5日戻り売り○")),"★逆張り売り",IF(AND(AD128="もみ合い→",OR(AE128="25日戻り売り★",AE128="5日戻り売り○")),"○逆張り売り",IF(W128&gt;=70,IF(Z128&lt;0,"◎反落確認","△過熱・様子見"),"相場上昇・見送り"))),IF(AND(T128&gt;=12,AD128="下降トレンド▼"),"★強い売り",IF(T128&gt;=12,"★強い売り",IF(AND(T128&gt;=8,OR(AE128="25日戻り売り★",AE128="5日戻り売り○")),"◎戻り売り",IF(T128&gt;=10,"○売り候補",IF(T128&gt;=6,"△注目",IF(T128&gt;=3,"様子見","見送り"))))))))</f>
        <v>◎反落確認</v>
      </c>
      <c r="AG128">
        <f t="shared" si="37"/>
        <v>0</v>
      </c>
      <c r="AH128">
        <f t="shared" si="38"/>
        <v>0</v>
      </c>
      <c r="AI128" s="412" cm="1">
        <f t="array" ref="AI128">IF(C128="","",IFERROR((INDEX(終値!$E:$E,MATCH(TEXT(C128,"0"),終値!$A:$A,0))-INDEX(終値!$E:$BL,MATCH(TEXT(C128,"0"),終値!$A:$A,0),$AN$2))/INDEX(終値!$E:$BL,MATCH(TEXT(C128,"0"),終値!$A:$A,0),$AN$2)*100,""))</f>
        <v>8.8401253918495293</v>
      </c>
      <c r="AJ128" s="412" cm="1">
        <f t="array" ref="AJ128">IFERROR((終値!$E$5-INDEX(終値!$E$5:$BL$5,1,$AN$2))/INDEX(終値!$E$5:$BL$5,1,$AN$2)*100,"")</f>
        <v>3.4532270246721688</v>
      </c>
      <c r="AK128" s="413">
        <f t="shared" si="39"/>
        <v>5.3868983671773609</v>
      </c>
      <c r="AL128" s="411">
        <f t="shared" si="40"/>
        <v>-2</v>
      </c>
      <c r="AO128" s="415" t="str">
        <f t="shared" si="41"/>
        <v>上ヒゲ陰線▼</v>
      </c>
      <c r="AP128" s="416">
        <f t="shared" si="42"/>
        <v>2</v>
      </c>
      <c r="AQ128">
        <f>IF(C128&lt;&gt;"",始値!F116,"")</f>
        <v>1728</v>
      </c>
      <c r="AR128">
        <f>IF(C128&lt;&gt;"",高値!F116,"")</f>
        <v>1744</v>
      </c>
      <c r="AS128">
        <f>IF(C128&lt;&gt;"",安値!F116,"")</f>
        <v>1711</v>
      </c>
      <c r="AT128" t="str">
        <f t="shared" si="36"/>
        <v>長い下ヒゲ(反発)</v>
      </c>
      <c r="AU128">
        <f t="shared" si="43"/>
        <v>-2</v>
      </c>
    </row>
    <row r="129" spans="1:47" ht="14.25">
      <c r="A129" s="349" t="str">
        <f>IF(銘柄管理!B124&lt;&gt;"",HYPERLINK("https://kabutan.jp/stock/?code="&amp;銘柄管理!B124,"株探"),"")</f>
        <v>株探</v>
      </c>
      <c r="B129" s="350"/>
      <c r="C129" s="350">
        <f>IF(銘柄管理!B124="","",銘柄管理!B124)</f>
        <v>8801</v>
      </c>
      <c r="D129" s="350" t="str">
        <f>IF(銘柄管理!C124="","",銘柄管理!C124)</f>
        <v>三井不動産</v>
      </c>
      <c r="E129" s="351">
        <f>IF(C129&lt;&gt;"",_xll.RssMarket(C129,"現在値"),"")</f>
        <v>1516.5</v>
      </c>
      <c r="F129" s="351">
        <f>IF(C129&lt;&gt;"",_xll.RssMarket(C129,"始値"),"")</f>
        <v>1544.5</v>
      </c>
      <c r="G129" s="350">
        <f>IF(C129&lt;&gt;"",終値!F124,"")</f>
        <v>1530</v>
      </c>
      <c r="H129" s="351">
        <f>IF(C129&lt;&gt;"",_xll.RssMarket(C129,"高値"),"")</f>
        <v>1554.5</v>
      </c>
      <c r="I129" s="351">
        <f>IF(C129&lt;&gt;"",_xll.RssMarket(C129,"安値"),"")</f>
        <v>1516.5</v>
      </c>
      <c r="J129" s="351">
        <f>IF(C129&lt;&gt;"",_xll.RssMarket(C129,"出来高"),"")</f>
        <v>9010400</v>
      </c>
      <c r="K129" s="351">
        <f>IF(C129&lt;&gt;"",_xll.RssMarket(C129,"年初来高値"),"")</f>
        <v>2158</v>
      </c>
      <c r="L129" s="352">
        <f t="shared" si="22"/>
        <v>-29.726598702502315</v>
      </c>
      <c r="M129" s="351">
        <f>IF(C129&lt;&gt;"",IFERROR(AVERAGE(出来高!E124:I124),""),"")</f>
        <v>12994620</v>
      </c>
      <c r="N129" s="351">
        <f>IF(C129&lt;&gt;"",IFERROR(AVERAGE(出来高!E124:AC124),""),"")</f>
        <v>12956924</v>
      </c>
      <c r="O129" s="353">
        <f t="shared" si="23"/>
        <v>0.69339465101711328</v>
      </c>
      <c r="P129" s="350" t="str">
        <f t="shared" si="24"/>
        <v>減少↓</v>
      </c>
      <c r="Q129" s="350" t="str">
        <f t="shared" si="25"/>
        <v>中立→</v>
      </c>
      <c r="R129" s="351">
        <f t="shared" si="26"/>
        <v>1395</v>
      </c>
      <c r="S129" s="351">
        <f t="shared" si="27"/>
        <v>1577</v>
      </c>
      <c r="T129" s="350">
        <f t="shared" si="28"/>
        <v>15</v>
      </c>
      <c r="U129" s="350" t="str">
        <f t="shared" si="29"/>
        <v>要確認</v>
      </c>
      <c r="V129" s="350" t="str">
        <f t="shared" si="30"/>
        <v>安値圏</v>
      </c>
      <c r="W129" s="354" cm="1">
        <f t="array" ref="W129">IFERROR(100-100/(1+SUMPRODUCT((終値!F124:R124&gt;終値!G124:S124)*(終値!F124:R124-終値!G124:S124))/SUMPRODUCT((終値!F124:R124&lt;終値!G124:S124)*(終値!G124:S124-終値!F124:R124))),50)</f>
        <v>50.899742930591266</v>
      </c>
      <c r="X129" s="355">
        <f>IF(C129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-2.1262085106213817</v>
      </c>
      <c r="Y129" s="350" t="str">
        <f t="shared" si="31"/>
        <v>○逆張り売り | もみ合い→ 25日戻り売り★ MACD- RSI:50.9 前日比:-0.9% [安値圏] [大陰線▼]前日[大陰線▼] [15点]</v>
      </c>
      <c r="Z129" s="356">
        <f t="shared" si="32"/>
        <v>-0.88235294117647056</v>
      </c>
      <c r="AA129" s="350" t="str">
        <f t="shared" si="33"/>
        <v>下落▼</v>
      </c>
      <c r="AB129" s="351">
        <f>IF(OR(C129="",C129="TOPX",終値!E124=""),"",IFERROR(((終値!E124*0.333)+(終値!F124*0.222)+(終値!G124*0.148)+(終値!H124*0.099)+(終値!I124*0.066))/(0.333+0.222+0.148+0.099+0.066),""))</f>
        <v>1531.7620967741934</v>
      </c>
      <c r="AC129" s="351">
        <f>IF(OR(C129="",C129="TOPX",終値!E124=""),"",IFERROR(SUMPRODUCT((終値!E124:AC124)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1520.6483909415967</v>
      </c>
      <c r="AD129" s="350" t="str">
        <f t="shared" si="34"/>
        <v>もみ合い→</v>
      </c>
      <c r="AE129" s="350" t="str">
        <f t="shared" si="35"/>
        <v>25日戻り売り★</v>
      </c>
      <c r="AF129" t="str">
        <f>IF(T129="","",IF(銘柄管理!$F$5="上昇▲",IF(AND(AD129="下降トレンド▼",OR(AE129="25日戻り売り★",AE129="5日戻り売り○")),"★逆張り売り",IF(AND(AD129="もみ合い→",OR(AE129="25日戻り売り★",AE129="5日戻り売り○")),"○逆張り売り",IF(W129&gt;=70,IF(Z129&lt;0,"◎反落確認","△過熱・様子見"),"相場上昇・見送り"))),IF(AND(T129&gt;=12,AD129="下降トレンド▼"),"★強い売り",IF(T129&gt;=12,"★強い売り",IF(AND(T129&gt;=8,OR(AE129="25日戻り売り★",AE129="5日戻り売り○")),"◎戻り売り",IF(T129&gt;=10,"○売り候補",IF(T129&gt;=6,"△注目",IF(T129&gt;=3,"様子見","見送り"))))))))</f>
        <v>○逆張り売り</v>
      </c>
      <c r="AG129">
        <f t="shared" si="37"/>
        <v>15</v>
      </c>
      <c r="AH129">
        <f t="shared" si="38"/>
        <v>149871</v>
      </c>
      <c r="AI129" s="412" cm="1">
        <f t="array" ref="AI129">IF(C129="","",IFERROR((INDEX(終値!$E:$E,MATCH(TEXT(C129,"0"),終値!$A:$A,0))-INDEX(終値!$E:$BL,MATCH(TEXT(C129,"0"),終値!$A:$A,0),$AN$2))/INDEX(終値!$E:$BL,MATCH(TEXT(C129,"0"),終値!$A:$A,0),$AN$2)*100,""))</f>
        <v>-0.75261780104712039</v>
      </c>
      <c r="AJ129" s="412" cm="1">
        <f t="array" ref="AJ129">IFERROR((終値!$E$5-INDEX(終値!$E$5:$BL$5,1,$AN$2))/INDEX(終値!$E$5:$BL$5,1,$AN$2)*100,"")</f>
        <v>3.4532270246721688</v>
      </c>
      <c r="AK129" s="413">
        <f t="shared" si="39"/>
        <v>-4.2058448257192893</v>
      </c>
      <c r="AL129" s="411">
        <f t="shared" si="40"/>
        <v>1</v>
      </c>
      <c r="AO129" s="415" t="str">
        <f t="shared" si="41"/>
        <v>大陰線▼</v>
      </c>
      <c r="AP129" s="416">
        <f t="shared" si="42"/>
        <v>2</v>
      </c>
      <c r="AQ129">
        <f>IF(C129&lt;&gt;"",始値!F124,"")</f>
        <v>1564.5</v>
      </c>
      <c r="AR129">
        <f>IF(C129&lt;&gt;"",高値!F124,"")</f>
        <v>1572.5</v>
      </c>
      <c r="AS129">
        <f>IF(C129&lt;&gt;"",安値!F124,"")</f>
        <v>1527</v>
      </c>
      <c r="AT129" t="str">
        <f t="shared" si="36"/>
        <v>大陰線▼</v>
      </c>
      <c r="AU129">
        <f t="shared" si="43"/>
        <v>2</v>
      </c>
    </row>
    <row r="130" spans="1:47" ht="14.25">
      <c r="A130" s="357" t="str">
        <f>IF(銘柄管理!B144&lt;&gt;"",HYPERLINK("https://kabutan.jp/stock/?code="&amp;銘柄管理!B144,"株探"),"")</f>
        <v>株探</v>
      </c>
      <c r="B130" s="230"/>
      <c r="C130" s="230">
        <f>IF(銘柄管理!B144="","",銘柄管理!B144)</f>
        <v>6777</v>
      </c>
      <c r="D130" s="230" t="str">
        <f>IF(銘柄管理!C144="","",銘柄管理!C144)</f>
        <v>ＳＡＮＴＥＣＨＯＬＤＩＮＧＳ</v>
      </c>
      <c r="E130" s="358">
        <f>IF(C130&lt;&gt;"",_xll.RssMarket(C130,"現在値"),"")</f>
        <v>27070</v>
      </c>
      <c r="F130" s="358">
        <f>IF(C130&lt;&gt;"",_xll.RssMarket(C130,"始値"),"")</f>
        <v>26230</v>
      </c>
      <c r="G130" s="230">
        <f>IF(C130&lt;&gt;"",終値!F144,"")</f>
        <v>23220</v>
      </c>
      <c r="H130" s="358">
        <f>IF(C130&lt;&gt;"",_xll.RssMarket(C130,"高値"),"")</f>
        <v>27580</v>
      </c>
      <c r="I130" s="358">
        <f>IF(C130&lt;&gt;"",_xll.RssMarket(C130,"安値"),"")</f>
        <v>25600</v>
      </c>
      <c r="J130" s="358">
        <f>IF(C130&lt;&gt;"",_xll.RssMarket(C130,"出来高"),"")</f>
        <v>118600</v>
      </c>
      <c r="K130" s="358">
        <f>IF(C130&lt;&gt;"",_xll.RssMarket(C130,"年初来高値"),"")</f>
        <v>34700</v>
      </c>
      <c r="L130" s="359">
        <f t="shared" si="22"/>
        <v>-21.988472622478387</v>
      </c>
      <c r="M130" s="358">
        <f>IF(C130&lt;&gt;"",IFERROR(AVERAGE(出来高!E144:I144),""),"")</f>
        <v>151140</v>
      </c>
      <c r="N130" s="358">
        <f>IF(C130&lt;&gt;"",IFERROR(AVERAGE(出来高!E144:AC144),""),"")</f>
        <v>223512</v>
      </c>
      <c r="O130" s="360">
        <f t="shared" si="23"/>
        <v>0.78470292444091572</v>
      </c>
      <c r="P130" s="230" t="str">
        <f t="shared" si="24"/>
        <v>減少↓</v>
      </c>
      <c r="Q130" s="230" t="str">
        <f t="shared" si="25"/>
        <v>様子見▲</v>
      </c>
      <c r="R130" s="358">
        <f t="shared" si="26"/>
        <v>24904</v>
      </c>
      <c r="S130" s="358">
        <f t="shared" si="27"/>
        <v>28153</v>
      </c>
      <c r="T130" s="350">
        <f t="shared" si="28"/>
        <v>10</v>
      </c>
      <c r="U130" s="230" t="str">
        <f t="shared" si="29"/>
        <v>要確認</v>
      </c>
      <c r="V130" s="230" t="str">
        <f t="shared" si="30"/>
        <v>安値圏</v>
      </c>
      <c r="W130" s="361" cm="1">
        <f t="array" ref="W130">IFERROR(100-100/(1+SUMPRODUCT((終値!F144:R144&gt;終値!G144:S144)*(終値!F144:R144-終値!G144:S144))/SUMPRODUCT((終値!F144:R144&lt;終値!G144:S144)*(終値!G144:S144-終値!F144:R144))),50)</f>
        <v>31.764705882352942</v>
      </c>
      <c r="X130" s="362">
        <f>IF(C130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-546.1836538116986</v>
      </c>
      <c r="Y130" s="230" t="str">
        <f t="shared" si="31"/>
        <v>相場上昇・見送り | 上昇トレンド▲ MACD- RSI:31.8 前日比:+16.6% [安値圏]前日[大陰線▼] [10点]</v>
      </c>
      <c r="Z130" s="363">
        <f t="shared" si="32"/>
        <v>16.580534022394488</v>
      </c>
      <c r="AA130" s="230" t="str">
        <f t="shared" si="33"/>
        <v>上昇▲</v>
      </c>
      <c r="AB130" s="358">
        <f>IF(OR(C130="",C130="TOPX",終値!E144=""),"",IFERROR(((終値!E144*0.333)+(終値!F144*0.222)+(終値!G144*0.148)+(終値!H144*0.099)+(終値!I144*0.066))/(0.333+0.222+0.148+0.099+0.066),""))</f>
        <v>24671.785714285717</v>
      </c>
      <c r="AC130" s="358">
        <f>IF(OR(C130="",C130="TOPX",終値!E144=""),"",IFERROR(SUMPRODUCT((終値!E144:AC144)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25713.837902264586</v>
      </c>
      <c r="AD130" s="230" t="str">
        <f t="shared" si="34"/>
        <v>上昇トレンド▲</v>
      </c>
      <c r="AE130" s="230" t="str">
        <f t="shared" si="35"/>
        <v>なし</v>
      </c>
      <c r="AF130" t="str">
        <f>IF(T130="","",IF(銘柄管理!$F$5="上昇▲",IF(AND(AD130="下降トレンド▼",OR(AE130="25日戻り売り★",AE130="5日戻り売り○")),"★逆張り売り",IF(AND(AD130="もみ合い→",OR(AE130="25日戻り売り★",AE130="5日戻り売り○")),"○逆張り売り",IF(W130&gt;=70,IF(Z130&lt;0,"◎反落確認","△過熱・様子見"),"相場上昇・見送り"))),IF(AND(T130&gt;=12,AD130="下降トレンド▼"),"★強い売り",IF(T130&gt;=12,"★強い売り",IF(AND(T130&gt;=8,OR(AE130="25日戻り売り★",AE130="5日戻り売り○")),"◎戻り売り",IF(T130&gt;=10,"○売り候補",IF(T130&gt;=6,"△注目",IF(T130&gt;=3,"様子見","見送り"))))))))</f>
        <v>相場上昇・見送り</v>
      </c>
      <c r="AG130">
        <f t="shared" si="37"/>
        <v>10</v>
      </c>
      <c r="AH130">
        <f t="shared" si="38"/>
        <v>99870</v>
      </c>
      <c r="AI130" s="412" cm="1">
        <f t="array" ref="AI130">IF(C130="","",IFERROR((INDEX(終値!$E:$E,MATCH(TEXT(C130,"0"),終値!$A:$A,0))-INDEX(終値!$E:$BL,MATCH(TEXT(C130,"0"),終値!$A:$A,0),$AN$2))/INDEX(終値!$E:$BL,MATCH(TEXT(C130,"0"),終値!$A:$A,0),$AN$2)*100,""))</f>
        <v>-17.969696969696969</v>
      </c>
      <c r="AJ130" s="412" cm="1">
        <f t="array" ref="AJ130">IFERROR((終値!$E$5-INDEX(終値!$E$5:$BL$5,1,$AN$2))/INDEX(終値!$E$5:$BL$5,1,$AN$2)*100,"")</f>
        <v>3.4532270246721688</v>
      </c>
      <c r="AK130" s="413">
        <f t="shared" si="39"/>
        <v>-21.422923994369139</v>
      </c>
      <c r="AL130" s="411">
        <f t="shared" si="40"/>
        <v>3</v>
      </c>
      <c r="AO130" s="415" t="str">
        <f t="shared" si="41"/>
        <v>通常</v>
      </c>
      <c r="AP130" s="416">
        <f t="shared" si="42"/>
        <v>0</v>
      </c>
      <c r="AQ130">
        <f>IF(C130&lt;&gt;"",始値!F144,"")</f>
        <v>26050</v>
      </c>
      <c r="AR130">
        <f>IF(C130&lt;&gt;"",高値!F144,"")</f>
        <v>27700</v>
      </c>
      <c r="AS130">
        <f>IF(C130&lt;&gt;"",安値!F144,"")</f>
        <v>25690</v>
      </c>
      <c r="AT130" t="str">
        <f t="shared" si="36"/>
        <v>大陰線▼</v>
      </c>
      <c r="AU130">
        <f t="shared" si="43"/>
        <v>2</v>
      </c>
    </row>
    <row r="131" spans="1:47" ht="14.25">
      <c r="A131" s="349" t="str">
        <f>IF(銘柄管理!B146&lt;&gt;"",HYPERLINK("https://kabutan.jp/stock/?code="&amp;銘柄管理!B146,"株探"),"")</f>
        <v>株探</v>
      </c>
      <c r="B131" s="350"/>
      <c r="C131" s="350">
        <f>IF(銘柄管理!B146="","",銘柄管理!B146)</f>
        <v>4888</v>
      </c>
      <c r="D131" s="350" t="str">
        <f>IF(銘柄管理!C146="","",銘柄管理!C146)</f>
        <v>ステラファーマ</v>
      </c>
      <c r="E131" s="351">
        <f>IF(C131&lt;&gt;"",_xll.RssMarket(C131,"現在値"),"")</f>
        <v>350</v>
      </c>
      <c r="F131" s="351">
        <f>IF(C131&lt;&gt;"",_xll.RssMarket(C131,"始値"),"")</f>
        <v>333</v>
      </c>
      <c r="G131" s="350">
        <f>IF(C131&lt;&gt;"",終値!F146,"")</f>
        <v>332</v>
      </c>
      <c r="H131" s="351">
        <f>IF(C131&lt;&gt;"",_xll.RssMarket(C131,"高値"),"")</f>
        <v>361</v>
      </c>
      <c r="I131" s="351">
        <f>IF(C131&lt;&gt;"",_xll.RssMarket(C131,"安値"),"")</f>
        <v>333</v>
      </c>
      <c r="J131" s="351">
        <f>IF(C131&lt;&gt;"",_xll.RssMarket(C131,"出来高"),"")</f>
        <v>331200</v>
      </c>
      <c r="K131" s="351">
        <f>IF(C131&lt;&gt;"",_xll.RssMarket(C131,"年初来高値"),"")</f>
        <v>995</v>
      </c>
      <c r="L131" s="352">
        <f t="shared" ref="L131:L194" si="44">IF(AND(E131&lt;&gt;"",K131&lt;&gt;"",K131&lt;&gt;0),(E131-K131)/K131*100,"")</f>
        <v>-64.824120603015075</v>
      </c>
      <c r="M131" s="351">
        <f>IF(C131&lt;&gt;"",IFERROR(AVERAGE(出来高!E146:I146),""),"")</f>
        <v>306280</v>
      </c>
      <c r="N131" s="351">
        <f>IF(C131&lt;&gt;"",IFERROR(AVERAGE(出来高!E146:AC146),""),"")</f>
        <v>727752</v>
      </c>
      <c r="O131" s="353">
        <f t="shared" ref="O131:O194" si="45">IF(AND(J131&lt;&gt;"",M131&lt;&gt;"",M131&lt;&gt;0),J131/M131,"")</f>
        <v>1.0813634582734752</v>
      </c>
      <c r="P131" s="350" t="str">
        <f t="shared" ref="P131:P194" si="46">IF(O131="","",IF(O131&gt;=2,"急増↑↑",IF(O131&gt;=1.5,"増加↑",IF(O131&gt;=1,"普通→","減少↓"))))</f>
        <v>普通→</v>
      </c>
      <c r="Q131" s="350" t="str">
        <f t="shared" ref="Q131:Q194" si="47">IF(E131="","",IF(AND(E131&lt;G131,O131&gt;=1.5),"売り▼",IF(E131&gt;G131,"様子見▲","中立→")))</f>
        <v>様子見▲</v>
      </c>
      <c r="R131" s="351">
        <f t="shared" ref="R131:R194" si="48">IF(E131&lt;&gt;"",ROUND(E131*0.92,0),"")</f>
        <v>322</v>
      </c>
      <c r="S131" s="351">
        <f t="shared" ref="S131:S194" si="49">IF(E131&lt;&gt;"",ROUND(E131*1.04,0),"")</f>
        <v>364</v>
      </c>
      <c r="T131" s="350">
        <f t="shared" ref="T131:T194" si="50">IF(C131="","",IFERROR(IF(W131&gt;=70,3,IF(W131&gt;=60,2,IF(W131&gt;=50,1,0)))+IF(X131&lt;0,2,0)+IF(AD131="下降トレンド▼",3,IF(AD131="もみ合い→",1,0))+IF(V131="年初来安値圏●",3,IF(V131="安値圏",2,0))+IF(Q131="売り▼",2,0)+IF(P131="急増↑↑",2,IF(P131="増加↑",1,0))+IF(Z131&lt;0,1,0)+IF(L131&lt;=-30,2,IF(L131&lt;=-15,1,0))+IF(AE131="25日戻り売り★",2,IF(AE131="5日戻り売り○",1,0))+N(AL131)+N(AP131)+N(AU131),0))</f>
        <v>11</v>
      </c>
      <c r="U131" s="350" t="str">
        <f t="shared" ref="U131:U194" si="51">IF(T131="","",IF(AND(T131&gt;=3,O131&gt;=1.5),"有効",IF(T131&gt;=3,"要確認","除外")))</f>
        <v>要確認</v>
      </c>
      <c r="V131" s="350" t="str">
        <f t="shared" ref="V131:V194" si="52">IF(AND(I131&lt;&gt;"",K131&lt;&gt;""),IF(I131&lt;=K131*0.6,"年初来安値圏●",IF(I131&lt;=K131*0.75,"安値圏","通常")),"")</f>
        <v>年初来安値圏●</v>
      </c>
      <c r="W131" s="354" cm="1">
        <f t="array" ref="W131">IFERROR(100-100/(1+SUMPRODUCT((終値!F146:R146&gt;終値!G146:S146)*(終値!F146:R146-終値!G146:S146))/SUMPRODUCT((終値!F146:R146&lt;終値!G146:S146)*(終値!G146:S146-終値!F146:R146))),50)</f>
        <v>23.831775700934571</v>
      </c>
      <c r="X131" s="355">
        <f>IF(C131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-15.107308180656503</v>
      </c>
      <c r="Y131" s="350" t="str">
        <f t="shared" ref="Y131:Y194" si="53">IF(AF131="","",AF131&amp;" | "&amp;AD131&amp;IF(AE131&lt;&gt;"なし"," "&amp;AE131,"")&amp;IF(X131&lt;0," MACD-"," MACD+")&amp;" RSI:"&amp;TEXT(W131,"0.0")&amp;IF(W131&gt;=70," [過熱]",IF(W131&lt;=30," [売られ過ぎ]",""))&amp;" 前日比:"&amp;TEXT(Z131,"+0.0;-0.0;0.0")&amp;"%"&amp;IF(V131="年初来安値圏●"," [年初来安値圏]",IF(V131="安値圏"," [安値圏]",""))&amp;IF(OR(AO131="通常",AO131="-"),""," ["&amp;AO131&amp;"]")&amp;IF(OR(AT131="通常",AT131="-"),"","前日["&amp;AT131&amp;"]")&amp;" ["&amp;T131&amp;"点]")</f>
        <v>相場上昇・見送り | もみ合い→ MACD- RSI:23.8 [売られ過ぎ] 前日比:+5.4% [年初来安値圏] [11点]</v>
      </c>
      <c r="Z131" s="356">
        <f t="shared" ref="Z131:Z194" si="54">IF(AND(E131&lt;&gt;"",G131&lt;&gt;"",G131&lt;&gt;0),(E131-G131)/G131*100,"")</f>
        <v>5.4216867469879517</v>
      </c>
      <c r="AA131" s="350" t="str">
        <f t="shared" ref="AA131:AA194" si="55">IF(OR(C131="",E131="",E131=0),"",IF(E131&gt;G131,"上昇▲",IF(E131&lt;G131,"下落▼","横ばい→")))</f>
        <v>上昇▲</v>
      </c>
      <c r="AB131" s="351">
        <f>IF(OR(C131="",C131="TOPX",終値!E146=""),"",IFERROR(((終値!E146*0.333)+(終値!F146*0.222)+(終値!G146*0.148)+(終値!H146*0.099)+(終値!I146*0.066))/(0.333+0.222+0.148+0.099+0.066),""))</f>
        <v>335.42626728110599</v>
      </c>
      <c r="AC131" s="351">
        <f>IF(OR(C131="",C131="TOPX",終値!E146=""),"",IFERROR(SUMPRODUCT((終値!E146:AC146)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358.72228843861723</v>
      </c>
      <c r="AD131" s="350" t="str">
        <f t="shared" ref="AD131:AD194" si="56">IF(OR(C131="",AB131="",AC131="",AB131=0,AC131=0),"",IF(AND(E131&gt;AB131,AB131&gt;AC131),"パーフェクト▲",IF(E131&gt;AC131,"上昇トレンド▲",IF(AND(E131&lt;AB131,AB131&lt;AC131),"下降トレンド▼","もみ合い→"))))</f>
        <v>もみ合い→</v>
      </c>
      <c r="AE131" s="350" t="str">
        <f t="shared" ref="AE131:AE194" si="57">IF(OR(C131="",AB131="",AC131=""),"",IF(AND(ABS(E131-AC131)/AC131&lt;=0.02,E131&lt;AC131),"25日戻り売り★",IF(AND(ABS(E131-AB131)/AB131&lt;=0.01,E131&lt;AB131),"5日戻り売り○","なし")))</f>
        <v>なし</v>
      </c>
      <c r="AF131" t="str">
        <f>IF(T131="","",IF(銘柄管理!$F$5="上昇▲",IF(AND(AD131="下降トレンド▼",OR(AE131="25日戻り売り★",AE131="5日戻り売り○")),"★逆張り売り",IF(AND(AD131="もみ合い→",OR(AE131="25日戻り売り★",AE131="5日戻り売り○")),"○逆張り売り",IF(W131&gt;=70,IF(Z131&lt;0,"◎反落確認","△過熱・様子見"),"相場上昇・見送り"))),IF(AND(T131&gt;=12,AD131="下降トレンド▼"),"★強い売り",IF(T131&gt;=12,"★強い売り",IF(AND(T131&gt;=8,OR(AE131="25日戻り売り★",AE131="5日戻り売り○")),"◎戻り売り",IF(T131&gt;=10,"○売り候補",IF(T131&gt;=6,"△注目",IF(T131&gt;=3,"様子見","見送り"))))))))</f>
        <v>相場上昇・見送り</v>
      </c>
      <c r="AG131">
        <f t="shared" si="37"/>
        <v>11</v>
      </c>
      <c r="AH131">
        <f t="shared" si="38"/>
        <v>109869</v>
      </c>
      <c r="AI131" s="412" cm="1">
        <f t="array" ref="AI131">IF(C131="","",IFERROR((INDEX(終値!$E:$E,MATCH(TEXT(C131,"0"),終値!$A:$A,0))-INDEX(終値!$E:$BL,MATCH(TEXT(C131,"0"),終値!$A:$A,0),$AN$2))/INDEX(終値!$E:$BL,MATCH(TEXT(C131,"0"),終値!$A:$A,0),$AN$2)*100,""))</f>
        <v>-14.841849148418493</v>
      </c>
      <c r="AJ131" s="412" cm="1">
        <f t="array" ref="AJ131">IFERROR((終値!$E$5-INDEX(終値!$E$5:$BL$5,1,$AN$2))/INDEX(終値!$E$5:$BL$5,1,$AN$2)*100,"")</f>
        <v>3.4532270246721688</v>
      </c>
      <c r="AK131" s="413">
        <f t="shared" si="39"/>
        <v>-18.295076173090663</v>
      </c>
      <c r="AL131" s="411">
        <f t="shared" si="40"/>
        <v>3</v>
      </c>
      <c r="AO131" s="415" t="str">
        <f t="shared" si="41"/>
        <v>通常</v>
      </c>
      <c r="AP131" s="416">
        <f t="shared" si="42"/>
        <v>0</v>
      </c>
      <c r="AQ131">
        <f>IF(C131&lt;&gt;"",始値!F146,"")</f>
        <v>335</v>
      </c>
      <c r="AR131">
        <f>IF(C131&lt;&gt;"",高値!F146,"")</f>
        <v>339</v>
      </c>
      <c r="AS131">
        <f>IF(C131&lt;&gt;"",安値!F146,"")</f>
        <v>322</v>
      </c>
      <c r="AT131" t="str">
        <f t="shared" ref="AT131:AT194" si="58">IF(OR(C131="",AQ131="",AR131="",AS131="",AR131-AS131&lt;=0),"-",IF(AND(AR131-MAX(G131,AQ131)&gt;=ABS(G131-AQ131)*2,MIN(G131,AQ131)-AS131&lt;=ABS(G131-AQ131)*0.5,ABS(G131-AQ131)&gt;0),"上ヒゲ陰線▼",IF(AND(G131&lt;AQ131,ABS(G131-AQ131)&gt;=(AR131-AS131)*0.7),"大陰線▼",IF(AND(MIN(G131,AQ131)-AS131&gt;=(AR131-AS131)*0.5,AR131-MAX(G131,AQ131)&lt;=(AR131-AS131)*0.2),"長い下ヒゲ(反発)","通常"))))</f>
        <v>通常</v>
      </c>
      <c r="AU131">
        <f t="shared" si="43"/>
        <v>0</v>
      </c>
    </row>
    <row r="132" spans="1:47" ht="14.25">
      <c r="A132" s="357" t="str">
        <f>IF(銘柄管理!B156&lt;&gt;"",HYPERLINK("https://kabutan.jp/stock/?code="&amp;銘柄管理!B156,"株探"),"")</f>
        <v>株探</v>
      </c>
      <c r="B132" s="230"/>
      <c r="C132" s="230">
        <f>IF(銘柄管理!B156="","",銘柄管理!B156)</f>
        <v>4088</v>
      </c>
      <c r="D132" s="230" t="str">
        <f>IF(銘柄管理!C156="","",銘柄管理!C156)</f>
        <v>エア・ウォーター</v>
      </c>
      <c r="E132" s="358">
        <f>IF(C132&lt;&gt;"",_xll.RssMarket(C132,"現在値"),"")</f>
        <v>2490</v>
      </c>
      <c r="F132" s="358">
        <f>IF(C132&lt;&gt;"",_xll.RssMarket(C132,"始値"),"")</f>
        <v>2500</v>
      </c>
      <c r="G132" s="230">
        <f>IF(C132&lt;&gt;"",終値!F156,"")</f>
        <v>2520</v>
      </c>
      <c r="H132" s="358">
        <f>IF(C132&lt;&gt;"",_xll.RssMarket(C132,"高値"),"")</f>
        <v>2530</v>
      </c>
      <c r="I132" s="358">
        <f>IF(C132&lt;&gt;"",_xll.RssMarket(C132,"安値"),"")</f>
        <v>2478</v>
      </c>
      <c r="J132" s="358">
        <f>IF(C132&lt;&gt;"",_xll.RssMarket(C132,"出来高"),"")</f>
        <v>546500</v>
      </c>
      <c r="K132" s="358">
        <f>IF(C132&lt;&gt;"",_xll.RssMarket(C132,"年初来高値"),"")</f>
        <v>2678</v>
      </c>
      <c r="L132" s="359">
        <f t="shared" si="44"/>
        <v>-7.0201643017177</v>
      </c>
      <c r="M132" s="358">
        <f>IF(C132&lt;&gt;"",IFERROR(AVERAGE(出来高!E156:I156),""),"")</f>
        <v>880920</v>
      </c>
      <c r="N132" s="358">
        <f>IF(C132&lt;&gt;"",IFERROR(AVERAGE(出来高!E156:AC156),""),"")</f>
        <v>3555748</v>
      </c>
      <c r="O132" s="360">
        <f t="shared" si="45"/>
        <v>0.62037415429323883</v>
      </c>
      <c r="P132" s="230" t="str">
        <f t="shared" si="46"/>
        <v>減少↓</v>
      </c>
      <c r="Q132" s="230" t="str">
        <f t="shared" si="47"/>
        <v>中立→</v>
      </c>
      <c r="R132" s="358">
        <f t="shared" si="48"/>
        <v>2291</v>
      </c>
      <c r="S132" s="358">
        <f t="shared" si="49"/>
        <v>2590</v>
      </c>
      <c r="T132" s="350">
        <f t="shared" si="50"/>
        <v>0</v>
      </c>
      <c r="U132" s="230" t="str">
        <f t="shared" si="51"/>
        <v>除外</v>
      </c>
      <c r="V132" s="230" t="str">
        <f t="shared" si="52"/>
        <v>通常</v>
      </c>
      <c r="W132" s="361" cm="1">
        <f t="array" ref="W132">IFERROR(100-100/(1+SUMPRODUCT((終値!F156:R156&gt;終値!G156:S156)*(終値!F156:R156-終値!G156:S156))/SUMPRODUCT((終値!F156:R156&lt;終値!G156:S156)*(終値!G156:S156-終値!F156:R156))),50)</f>
        <v>50.404858299595148</v>
      </c>
      <c r="X132" s="362">
        <f>IF(C132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2.862660653799594</v>
      </c>
      <c r="Y132" s="230" t="str">
        <f t="shared" si="53"/>
        <v>相場上昇・見送り | パーフェクト▲ MACD+ RSI:50.4 前日比:-1.2% [0点]</v>
      </c>
      <c r="Z132" s="363">
        <f t="shared" si="54"/>
        <v>-1.1904761904761905</v>
      </c>
      <c r="AA132" s="230" t="str">
        <f t="shared" si="55"/>
        <v>下落▼</v>
      </c>
      <c r="AB132" s="358">
        <f>IF(OR(C132="",C132="TOPX",終値!E156=""),"",IFERROR(((終値!E156*0.333)+(終値!F156*0.222)+(終値!G156*0.148)+(終値!H156*0.099)+(終値!I156*0.066))/(0.333+0.222+0.148+0.099+0.066),""))</f>
        <v>2477.4182027649772</v>
      </c>
      <c r="AC132" s="358">
        <f>IF(OR(C132="",C132="TOPX",終値!E156=""),"",IFERROR(SUMPRODUCT((終値!E156:AC156)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2462.0309892729433</v>
      </c>
      <c r="AD132" s="230" t="str">
        <f t="shared" si="56"/>
        <v>パーフェクト▲</v>
      </c>
      <c r="AE132" s="230" t="str">
        <f t="shared" si="57"/>
        <v>なし</v>
      </c>
      <c r="AF132" t="str">
        <f>IF(T132="","",IF(銘柄管理!$F$5="上昇▲",IF(AND(AD132="下降トレンド▼",OR(AE132="25日戻り売り★",AE132="5日戻り売り○")),"★逆張り売り",IF(AND(AD132="もみ合い→",OR(AE132="25日戻り売り★",AE132="5日戻り売り○")),"○逆張り売り",IF(W132&gt;=70,IF(Z132&lt;0,"◎反落確認","△過熱・様子見"),"相場上昇・見送り"))),IF(AND(T132&gt;=12,AD132="下降トレンド▼"),"★強い売り",IF(T132&gt;=12,"★強い売り",IF(AND(T132&gt;=8,OR(AE132="25日戻り売り★",AE132="5日戻り売り○")),"◎戻り売り",IF(T132&gt;=10,"○売り候補",IF(T132&gt;=6,"△注目",IF(T132&gt;=3,"様子見","見送り"))))))))</f>
        <v>相場上昇・見送り</v>
      </c>
      <c r="AG132">
        <f t="shared" ref="AG132:AG195" si="59">IF(AND(T132&gt;=7,C132&lt;&gt;""),T132,0)</f>
        <v>0</v>
      </c>
      <c r="AH132">
        <f t="shared" ref="AH132:AH195" si="60">IF(AG132&gt;0,AG132*10000-ROW(A132),0)</f>
        <v>0</v>
      </c>
      <c r="AI132" s="412" cm="1">
        <f t="array" ref="AI132">IF(C132="","",IFERROR((INDEX(終値!$E:$E,MATCH(TEXT(C132,"0"),終値!$A:$A,0))-INDEX(終値!$E:$BL,MATCH(TEXT(C132,"0"),終値!$A:$A,0),$AN$2))/INDEX(終値!$E:$BL,MATCH(TEXT(C132,"0"),終値!$A:$A,0),$AN$2)*100,""))</f>
        <v>14.27260211106012</v>
      </c>
      <c r="AJ132" s="412" cm="1">
        <f t="array" ref="AJ132">IFERROR((終値!$E$5-INDEX(終値!$E$5:$BL$5,1,$AN$2))/INDEX(終値!$E$5:$BL$5,1,$AN$2)*100,"")</f>
        <v>3.4532270246721688</v>
      </c>
      <c r="AK132" s="413">
        <f t="shared" ref="AK132:AK195" si="61">IF(OR(AI132="",AJ132=""),"",AI132-AJ132)</f>
        <v>10.819375086387952</v>
      </c>
      <c r="AL132" s="411">
        <f t="shared" ref="AL132:AL195" si="62">IF(AK132="","",IF(AK132&lt;-5,3,IF(AK132&lt;0,1,IF(AK132&lt;3,-1,-2))))</f>
        <v>-2</v>
      </c>
      <c r="AO132" s="415" t="str">
        <f t="shared" ref="AO132:AO195" si="63">IF(OR($C132="",$E132="",$F132="",$H132="",$I132="",$H132-$I132&lt;=0),"-",IF(AND($H132-MAX($F132,$E132)&gt;=ABS($E132-$F132)*2,MIN($F132,$E132)-$I132&lt;=ABS($E132-$F132)*0.5,ABS($E132-$F132)&gt;0),"上ヒゲ陰線▼",IF(AND($E132&lt;$F132,ABS($E132-$F132)&gt;=($H132-$I132)*0.7),"大陰線▼",IF(AND(MIN($F132,$E132)-$I132&gt;=($H132-$I132)*0.5,$H132-MAX($F132,$E132)&lt;=($H132-$I132)*0.2),"長い下ヒゲ(反発警戒)","通常"))))</f>
        <v>通常</v>
      </c>
      <c r="AP132" s="416">
        <f t="shared" ref="AP132:AP195" si="64">IF($AO132="上ヒゲ陰線▼",2,IF($AO132="大陰線▼",2,IF($AO132="長い下ヒゲ(反発警戒)",-2,0)))</f>
        <v>0</v>
      </c>
      <c r="AQ132">
        <f>IF(C132&lt;&gt;"",始値!F156,"")</f>
        <v>2552</v>
      </c>
      <c r="AR132">
        <f>IF(C132&lt;&gt;"",高値!F156,"")</f>
        <v>2580</v>
      </c>
      <c r="AS132">
        <f>IF(C132&lt;&gt;"",安値!F156,"")</f>
        <v>2517</v>
      </c>
      <c r="AT132" t="str">
        <f t="shared" si="58"/>
        <v>通常</v>
      </c>
      <c r="AU132">
        <f t="shared" ref="AU132:AU195" si="65">IF(AT132="上ヒゲ陰線▼",2,IF(AT132="大陰線▼",2,IF(AT132="長い下ヒゲ(反発)",-2,0)))</f>
        <v>0</v>
      </c>
    </row>
    <row r="133" spans="1:47" ht="14.25">
      <c r="A133" s="349" t="str">
        <f>IF(銘柄管理!B165&lt;&gt;"",HYPERLINK("https://kabutan.jp/stock/?code="&amp;銘柄管理!B165,"株探"),"")</f>
        <v>株探</v>
      </c>
      <c r="B133" s="350"/>
      <c r="C133" s="350">
        <f>IF(銘柄管理!B165="","",銘柄管理!B165)</f>
        <v>4733</v>
      </c>
      <c r="D133" s="350" t="str">
        <f>IF(銘柄管理!C165="","",銘柄管理!C165)</f>
        <v>オービックビジネスＣ</v>
      </c>
      <c r="E133" s="351">
        <f>IF(C133&lt;&gt;"",_xll.RssMarket(C133,"現在値"),"")</f>
        <v>5893</v>
      </c>
      <c r="F133" s="351">
        <f>IF(C133&lt;&gt;"",_xll.RssMarket(C133,"始値"),"")</f>
        <v>5844</v>
      </c>
      <c r="G133" s="350">
        <f>IF(C133&lt;&gt;"",終値!F165,"")</f>
        <v>5841</v>
      </c>
      <c r="H133" s="351">
        <f>IF(C133&lt;&gt;"",_xll.RssMarket(C133,"高値"),"")</f>
        <v>5939</v>
      </c>
      <c r="I133" s="351">
        <f>IF(C133&lt;&gt;"",_xll.RssMarket(C133,"安値"),"")</f>
        <v>5824</v>
      </c>
      <c r="J133" s="351">
        <f>IF(C133&lt;&gt;"",_xll.RssMarket(C133,"出来高"),"")</f>
        <v>292500</v>
      </c>
      <c r="K133" s="351">
        <f>IF(C133&lt;&gt;"",_xll.RssMarket(C133,"年初来高値"),"")</f>
        <v>8595</v>
      </c>
      <c r="L133" s="352">
        <f t="shared" si="44"/>
        <v>-31.436881908086097</v>
      </c>
      <c r="M133" s="351">
        <f>IF(C133&lt;&gt;"",IFERROR(AVERAGE(出来高!E165:I165),""),"")</f>
        <v>243620</v>
      </c>
      <c r="N133" s="351">
        <f>IF(C133&lt;&gt;"",IFERROR(AVERAGE(出来高!E165:AC165),""),"")</f>
        <v>231932</v>
      </c>
      <c r="O133" s="353">
        <f t="shared" si="45"/>
        <v>1.2006403415154749</v>
      </c>
      <c r="P133" s="350" t="str">
        <f t="shared" si="46"/>
        <v>普通→</v>
      </c>
      <c r="Q133" s="350" t="str">
        <f t="shared" si="47"/>
        <v>様子見▲</v>
      </c>
      <c r="R133" s="351">
        <f t="shared" si="48"/>
        <v>5422</v>
      </c>
      <c r="S133" s="351">
        <f t="shared" si="49"/>
        <v>6129</v>
      </c>
      <c r="T133" s="350">
        <f t="shared" si="50"/>
        <v>10</v>
      </c>
      <c r="U133" s="350" t="str">
        <f t="shared" si="51"/>
        <v>要確認</v>
      </c>
      <c r="V133" s="350" t="str">
        <f t="shared" si="52"/>
        <v>安値圏</v>
      </c>
      <c r="W133" s="354" cm="1">
        <f t="array" ref="W133">IFERROR(100-100/(1+SUMPRODUCT((終値!F165:R165&gt;終値!G165:S165)*(終値!F165:R165-終値!G165:S165))/SUMPRODUCT((終値!F165:R165&lt;終値!G165:S165)*(終値!G165:S165-終値!F165:R165))),50)</f>
        <v>44.54976303317536</v>
      </c>
      <c r="X133" s="355">
        <f>IF(C133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-24.443633353100267</v>
      </c>
      <c r="Y133" s="350" t="str">
        <f t="shared" si="53"/>
        <v>相場上昇・見送り | もみ合い→ MACD- RSI:44.5 前日比:+0.9% [安値圏] [10点]</v>
      </c>
      <c r="Z133" s="356">
        <f t="shared" si="54"/>
        <v>0.89025851737716144</v>
      </c>
      <c r="AA133" s="350" t="str">
        <f t="shared" si="55"/>
        <v>上昇▲</v>
      </c>
      <c r="AB133" s="351">
        <f>IF(OR(C133="",C133="TOPX",終値!E165=""),"",IFERROR(((終値!E165*0.333)+(終値!F165*0.222)+(終値!G165*0.148)+(終値!H165*0.099)+(終値!I165*0.066))/(0.333+0.222+0.148+0.099+0.066),""))</f>
        <v>5882.557603686636</v>
      </c>
      <c r="AC133" s="351">
        <f>IF(OR(C133="",C133="TOPX",終値!E165=""),"",IFERROR(SUMPRODUCT((終値!E165:AC165)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6035.6007151370677</v>
      </c>
      <c r="AD133" s="350" t="str">
        <f t="shared" si="56"/>
        <v>もみ合い→</v>
      </c>
      <c r="AE133" s="350" t="str">
        <f t="shared" si="57"/>
        <v>なし</v>
      </c>
      <c r="AF133" t="str">
        <f>IF(T133="","",IF(銘柄管理!$F$5="上昇▲",IF(AND(AD133="下降トレンド▼",OR(AE133="25日戻り売り★",AE133="5日戻り売り○")),"★逆張り売り",IF(AND(AD133="もみ合い→",OR(AE133="25日戻り売り★",AE133="5日戻り売り○")),"○逆張り売り",IF(W133&gt;=70,IF(Z133&lt;0,"◎反落確認","△過熱・様子見"),"相場上昇・見送り"))),IF(AND(T133&gt;=12,AD133="下降トレンド▼"),"★強い売り",IF(T133&gt;=12,"★強い売り",IF(AND(T133&gt;=8,OR(AE133="25日戻り売り★",AE133="5日戻り売り○")),"◎戻り売り",IF(T133&gt;=10,"○売り候補",IF(T133&gt;=6,"△注目",IF(T133&gt;=3,"様子見","見送り"))))))))</f>
        <v>相場上昇・見送り</v>
      </c>
      <c r="AG133">
        <f t="shared" si="59"/>
        <v>10</v>
      </c>
      <c r="AH133">
        <f t="shared" si="60"/>
        <v>99867</v>
      </c>
      <c r="AI133" s="412" cm="1">
        <f t="array" ref="AI133">IF(C133="","",IFERROR((INDEX(終値!$E:$E,MATCH(TEXT(C133,"0"),終値!$A:$A,0))-INDEX(終値!$E:$BL,MATCH(TEXT(C133,"0"),終値!$A:$A,0),$AN$2))/INDEX(終値!$E:$BL,MATCH(TEXT(C133,"0"),終値!$A:$A,0),$AN$2)*100,""))</f>
        <v>-1.7669611601933655</v>
      </c>
      <c r="AJ133" s="412" cm="1">
        <f t="array" ref="AJ133">IFERROR((終値!$E$5-INDEX(終値!$E$5:$BL$5,1,$AN$2))/INDEX(終値!$E$5:$BL$5,1,$AN$2)*100,"")</f>
        <v>3.4532270246721688</v>
      </c>
      <c r="AK133" s="413">
        <f t="shared" si="61"/>
        <v>-5.2201881848655347</v>
      </c>
      <c r="AL133" s="411">
        <f t="shared" si="62"/>
        <v>3</v>
      </c>
      <c r="AO133" s="415" t="str">
        <f t="shared" si="63"/>
        <v>通常</v>
      </c>
      <c r="AP133" s="416">
        <f t="shared" si="64"/>
        <v>0</v>
      </c>
      <c r="AQ133">
        <f>IF(C133&lt;&gt;"",始値!F165,"")</f>
        <v>5830</v>
      </c>
      <c r="AR133">
        <f>IF(C133&lt;&gt;"",高値!F165,"")</f>
        <v>5871</v>
      </c>
      <c r="AS133">
        <f>IF(C133&lt;&gt;"",安値!F165,"")</f>
        <v>5796</v>
      </c>
      <c r="AT133" t="str">
        <f t="shared" si="58"/>
        <v>通常</v>
      </c>
      <c r="AU133">
        <f t="shared" si="65"/>
        <v>0</v>
      </c>
    </row>
    <row r="134" spans="1:47" ht="14.25">
      <c r="A134" s="357" t="str">
        <f>IF(銘柄管理!B167&lt;&gt;"",HYPERLINK("https://kabutan.jp/stock/?code="&amp;銘柄管理!B167,"株探"),"")</f>
        <v>株探</v>
      </c>
      <c r="B134" s="230"/>
      <c r="C134" s="230">
        <f>IF(銘柄管理!B167="","",銘柄管理!B167)</f>
        <v>9551</v>
      </c>
      <c r="D134" s="230" t="str">
        <f>IF(銘柄管理!C167="","",銘柄管理!C167)</f>
        <v>メタウォーター</v>
      </c>
      <c r="E134" s="358">
        <f>IF(C134&lt;&gt;"",_xll.RssMarket(C134,"現在値"),"")</f>
        <v>3410</v>
      </c>
      <c r="F134" s="358">
        <f>IF(C134&lt;&gt;"",_xll.RssMarket(C134,"始値"),"")</f>
        <v>3365</v>
      </c>
      <c r="G134" s="230">
        <f>IF(C134&lt;&gt;"",終値!F167,"")</f>
        <v>3340</v>
      </c>
      <c r="H134" s="358">
        <f>IF(C134&lt;&gt;"",_xll.RssMarket(C134,"高値"),"")</f>
        <v>3435</v>
      </c>
      <c r="I134" s="358">
        <f>IF(C134&lt;&gt;"",_xll.RssMarket(C134,"安値"),"")</f>
        <v>3350</v>
      </c>
      <c r="J134" s="358">
        <f>IF(C134&lt;&gt;"",_xll.RssMarket(C134,"出来高"),"")</f>
        <v>90900</v>
      </c>
      <c r="K134" s="358">
        <f>IF(C134&lt;&gt;"",_xll.RssMarket(C134,"年初来高値"),"")</f>
        <v>4220</v>
      </c>
      <c r="L134" s="359">
        <f t="shared" si="44"/>
        <v>-19.194312796208532</v>
      </c>
      <c r="M134" s="358">
        <f>IF(C134&lt;&gt;"",IFERROR(AVERAGE(出来高!E167:I167),""),"")</f>
        <v>109280</v>
      </c>
      <c r="N134" s="358">
        <f>IF(C134&lt;&gt;"",IFERROR(AVERAGE(出来高!E167:AC167),""),"")</f>
        <v>132120</v>
      </c>
      <c r="O134" s="360">
        <f t="shared" si="45"/>
        <v>0.83180819912152271</v>
      </c>
      <c r="P134" s="230" t="str">
        <f t="shared" si="46"/>
        <v>減少↓</v>
      </c>
      <c r="Q134" s="230" t="str">
        <f t="shared" si="47"/>
        <v>様子見▲</v>
      </c>
      <c r="R134" s="358">
        <f t="shared" si="48"/>
        <v>3137</v>
      </c>
      <c r="S134" s="358">
        <f t="shared" si="49"/>
        <v>3546</v>
      </c>
      <c r="T134" s="350">
        <f t="shared" si="50"/>
        <v>5</v>
      </c>
      <c r="U134" s="230" t="str">
        <f t="shared" si="51"/>
        <v>要確認</v>
      </c>
      <c r="V134" s="230" t="str">
        <f t="shared" si="52"/>
        <v>通常</v>
      </c>
      <c r="W134" s="361" cm="1">
        <f t="array" ref="W134">IFERROR(100-100/(1+SUMPRODUCT((終値!F167:R167&gt;終値!G167:S167)*(終値!F167:R167-終値!G167:S167))/SUMPRODUCT((終値!F167:R167&lt;終値!G167:S167)*(終値!G167:S167-終値!F167:R167))),50)</f>
        <v>52.941176470588232</v>
      </c>
      <c r="X134" s="362">
        <f>IF(C134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-5.6604965789542803</v>
      </c>
      <c r="Y134" s="230" t="str">
        <f t="shared" si="53"/>
        <v>相場上昇・見送り | パーフェクト▲ MACD- RSI:52.9 前日比:+2.1% [5点]</v>
      </c>
      <c r="Z134" s="363">
        <f t="shared" si="54"/>
        <v>2.0958083832335328</v>
      </c>
      <c r="AA134" s="230" t="str">
        <f t="shared" si="55"/>
        <v>上昇▲</v>
      </c>
      <c r="AB134" s="358">
        <f>IF(OR(C134="",C134="TOPX",終値!E167=""),"",IFERROR(((終値!E167*0.333)+(終値!F167*0.222)+(終値!G167*0.148)+(終値!H167*0.099)+(終値!I167*0.066))/(0.333+0.222+0.148+0.099+0.066),""))</f>
        <v>3292.3559907834097</v>
      </c>
      <c r="AC134" s="358">
        <f>IF(OR(C134="",C134="TOPX",終値!E167=""),"",IFERROR(SUMPRODUCT((終値!E167:AC167)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3284.350417163289</v>
      </c>
      <c r="AD134" s="230" t="str">
        <f t="shared" si="56"/>
        <v>パーフェクト▲</v>
      </c>
      <c r="AE134" s="230" t="str">
        <f t="shared" si="57"/>
        <v>なし</v>
      </c>
      <c r="AF134" t="str">
        <f>IF(T134="","",IF(銘柄管理!$F$5="上昇▲",IF(AND(AD134="下降トレンド▼",OR(AE134="25日戻り売り★",AE134="5日戻り売り○")),"★逆張り売り",IF(AND(AD134="もみ合い→",OR(AE134="25日戻り売り★",AE134="5日戻り売り○")),"○逆張り売り",IF(W134&gt;=70,IF(Z134&lt;0,"◎反落確認","△過熱・様子見"),"相場上昇・見送り"))),IF(AND(T134&gt;=12,AD134="下降トレンド▼"),"★強い売り",IF(T134&gt;=12,"★強い売り",IF(AND(T134&gt;=8,OR(AE134="25日戻り売り★",AE134="5日戻り売り○")),"◎戻り売り",IF(T134&gt;=10,"○売り候補",IF(T134&gt;=6,"△注目",IF(T134&gt;=3,"様子見","見送り"))))))))</f>
        <v>相場上昇・見送り</v>
      </c>
      <c r="AG134">
        <f t="shared" si="59"/>
        <v>0</v>
      </c>
      <c r="AH134">
        <f t="shared" si="60"/>
        <v>0</v>
      </c>
      <c r="AI134" s="412" cm="1">
        <f t="array" ref="AI134">IF(C134="","",IFERROR((INDEX(終値!$E:$E,MATCH(TEXT(C134,"0"),終値!$A:$A,0))-INDEX(終値!$E:$BL,MATCH(TEXT(C134,"0"),終値!$A:$A,0),$AN$2))/INDEX(終値!$E:$BL,MATCH(TEXT(C134,"0"),終値!$A:$A,0),$AN$2)*100,""))</f>
        <v>-0.58309037900874638</v>
      </c>
      <c r="AJ134" s="412" cm="1">
        <f t="array" ref="AJ134">IFERROR((終値!$E$5-INDEX(終値!$E$5:$BL$5,1,$AN$2))/INDEX(終値!$E$5:$BL$5,1,$AN$2)*100,"")</f>
        <v>3.4532270246721688</v>
      </c>
      <c r="AK134" s="413">
        <f t="shared" si="61"/>
        <v>-4.0363174036809149</v>
      </c>
      <c r="AL134" s="411">
        <f t="shared" si="62"/>
        <v>1</v>
      </c>
      <c r="AO134" s="415" t="str">
        <f t="shared" si="63"/>
        <v>通常</v>
      </c>
      <c r="AP134" s="416">
        <f t="shared" si="64"/>
        <v>0</v>
      </c>
      <c r="AQ134">
        <f>IF(C134&lt;&gt;"",始値!F167,"")</f>
        <v>3375</v>
      </c>
      <c r="AR134">
        <f>IF(C134&lt;&gt;"",高値!F167,"")</f>
        <v>3380</v>
      </c>
      <c r="AS134">
        <f>IF(C134&lt;&gt;"",安値!F167,"")</f>
        <v>3320</v>
      </c>
      <c r="AT134" t="str">
        <f t="shared" si="58"/>
        <v>通常</v>
      </c>
      <c r="AU134">
        <f t="shared" si="65"/>
        <v>0</v>
      </c>
    </row>
    <row r="135" spans="1:47" ht="14.25">
      <c r="A135" s="349" t="str">
        <f>IF(銘柄管理!B168&lt;&gt;"",HYPERLINK("https://kabutan.jp/stock/?code="&amp;銘柄管理!B168,"株探"),"")</f>
        <v>株探</v>
      </c>
      <c r="B135" s="350"/>
      <c r="C135" s="350">
        <f>IF(銘柄管理!B168="","",銘柄管理!B168)</f>
        <v>2359</v>
      </c>
      <c r="D135" s="350" t="str">
        <f>IF(銘柄管理!C168="","",銘柄管理!C168)</f>
        <v>コア</v>
      </c>
      <c r="E135" s="351">
        <f>IF(C135&lt;&gt;"",_xll.RssMarket(C135,"現在値"),"")</f>
        <v>2020</v>
      </c>
      <c r="F135" s="351">
        <f>IF(C135&lt;&gt;"",_xll.RssMarket(C135,"始値"),"")</f>
        <v>2010</v>
      </c>
      <c r="G135" s="350">
        <f>IF(C135&lt;&gt;"",終値!F168,"")</f>
        <v>2005</v>
      </c>
      <c r="H135" s="351">
        <f>IF(C135&lt;&gt;"",_xll.RssMarket(C135,"高値"),"")</f>
        <v>2030</v>
      </c>
      <c r="I135" s="351">
        <f>IF(C135&lt;&gt;"",_xll.RssMarket(C135,"安値"),"")</f>
        <v>2007</v>
      </c>
      <c r="J135" s="351">
        <f>IF(C135&lt;&gt;"",_xll.RssMarket(C135,"出来高"),"")</f>
        <v>13800</v>
      </c>
      <c r="K135" s="351">
        <f>IF(C135&lt;&gt;"",_xll.RssMarket(C135,"年初来高値"),"")</f>
        <v>2348</v>
      </c>
      <c r="L135" s="352">
        <f t="shared" si="44"/>
        <v>-13.969335604770016</v>
      </c>
      <c r="M135" s="351">
        <f>IF(C135&lt;&gt;"",IFERROR(AVERAGE(出来高!E168:I168),""),"")</f>
        <v>19180</v>
      </c>
      <c r="N135" s="351">
        <f>IF(C135&lt;&gt;"",IFERROR(AVERAGE(出来高!E168:AC168),""),"")</f>
        <v>24684</v>
      </c>
      <c r="O135" s="353">
        <f t="shared" si="45"/>
        <v>0.71949947862356622</v>
      </c>
      <c r="P135" s="350" t="str">
        <f t="shared" si="46"/>
        <v>減少↓</v>
      </c>
      <c r="Q135" s="350" t="str">
        <f t="shared" si="47"/>
        <v>様子見▲</v>
      </c>
      <c r="R135" s="351">
        <f t="shared" si="48"/>
        <v>1858</v>
      </c>
      <c r="S135" s="351">
        <f t="shared" si="49"/>
        <v>2101</v>
      </c>
      <c r="T135" s="350">
        <f t="shared" si="50"/>
        <v>6</v>
      </c>
      <c r="U135" s="350" t="str">
        <f t="shared" si="51"/>
        <v>要確認</v>
      </c>
      <c r="V135" s="350" t="str">
        <f t="shared" si="52"/>
        <v>通常</v>
      </c>
      <c r="W135" s="354" cm="1">
        <f t="array" ref="W135">IFERROR(100-100/(1+SUMPRODUCT((終値!F168:R168&gt;終値!G168:S168)*(終値!F168:R168-終値!G168:S168))/SUMPRODUCT((終値!F168:R168&lt;終値!G168:S168)*(終値!G168:S168-終値!F168:R168))),50)</f>
        <v>35.646687697160885</v>
      </c>
      <c r="X135" s="355">
        <f>IF(C135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-7.3144257062003817</v>
      </c>
      <c r="Y135" s="350" t="str">
        <f t="shared" si="53"/>
        <v>○逆張り売り | もみ合い→ 25日戻り売り★ MACD- RSI:35.6 前日比:+0.7%前日[長い下ヒゲ(反発)] [6点]</v>
      </c>
      <c r="Z135" s="356">
        <f t="shared" si="54"/>
        <v>0.74812967581047385</v>
      </c>
      <c r="AA135" s="350" t="str">
        <f t="shared" si="55"/>
        <v>上昇▲</v>
      </c>
      <c r="AB135" s="351">
        <f>IF(OR(C135="",C135="TOPX",終値!E168=""),"",IFERROR(((終値!E168*0.333)+(終値!F168*0.222)+(終値!G168*0.148)+(終値!H168*0.099)+(終値!I168*0.066))/(0.333+0.222+0.148+0.099+0.066),""))</f>
        <v>2011.978110599078</v>
      </c>
      <c r="AC135" s="351">
        <f>IF(OR(C135="",C135="TOPX",終値!E168=""),"",IFERROR(SUMPRODUCT((終値!E168:AC168)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2038.319427890345</v>
      </c>
      <c r="AD135" s="350" t="str">
        <f t="shared" si="56"/>
        <v>もみ合い→</v>
      </c>
      <c r="AE135" s="350" t="str">
        <f t="shared" si="57"/>
        <v>25日戻り売り★</v>
      </c>
      <c r="AF135" t="str">
        <f>IF(T135="","",IF(銘柄管理!$F$5="上昇▲",IF(AND(AD135="下降トレンド▼",OR(AE135="25日戻り売り★",AE135="5日戻り売り○")),"★逆張り売り",IF(AND(AD135="もみ合い→",OR(AE135="25日戻り売り★",AE135="5日戻り売り○")),"○逆張り売り",IF(W135&gt;=70,IF(Z135&lt;0,"◎反落確認","△過熱・様子見"),"相場上昇・見送り"))),IF(AND(T135&gt;=12,AD135="下降トレンド▼"),"★強い売り",IF(T135&gt;=12,"★強い売り",IF(AND(T135&gt;=8,OR(AE135="25日戻り売り★",AE135="5日戻り売り○")),"◎戻り売り",IF(T135&gt;=10,"○売り候補",IF(T135&gt;=6,"△注目",IF(T135&gt;=3,"様子見","見送り"))))))))</f>
        <v>○逆張り売り</v>
      </c>
      <c r="AG135">
        <f t="shared" si="59"/>
        <v>0</v>
      </c>
      <c r="AH135">
        <f t="shared" si="60"/>
        <v>0</v>
      </c>
      <c r="AI135" s="412" cm="1">
        <f t="array" ref="AI135">IF(C135="","",IFERROR((INDEX(終値!$E:$E,MATCH(TEXT(C135,"0"),終値!$A:$A,0))-INDEX(終値!$E:$BL,MATCH(TEXT(C135,"0"),終値!$A:$A,0),$AN$2))/INDEX(終値!$E:$BL,MATCH(TEXT(C135,"0"),終値!$A:$A,0),$AN$2)*100,""))</f>
        <v>-2.1317829457364339</v>
      </c>
      <c r="AJ135" s="412" cm="1">
        <f t="array" ref="AJ135">IFERROR((終値!$E$5-INDEX(終値!$E$5:$BL$5,1,$AN$2))/INDEX(終値!$E$5:$BL$5,1,$AN$2)*100,"")</f>
        <v>3.4532270246721688</v>
      </c>
      <c r="AK135" s="413">
        <f t="shared" si="61"/>
        <v>-5.5850099704086027</v>
      </c>
      <c r="AL135" s="411">
        <f t="shared" si="62"/>
        <v>3</v>
      </c>
      <c r="AO135" s="415" t="str">
        <f t="shared" si="63"/>
        <v>通常</v>
      </c>
      <c r="AP135" s="416">
        <f t="shared" si="64"/>
        <v>0</v>
      </c>
      <c r="AQ135">
        <f>IF(C135&lt;&gt;"",始値!F168,"")</f>
        <v>2007</v>
      </c>
      <c r="AR135">
        <f>IF(C135&lt;&gt;"",高値!F168,"")</f>
        <v>2011</v>
      </c>
      <c r="AS135">
        <f>IF(C135&lt;&gt;"",安値!F168,"")</f>
        <v>1979</v>
      </c>
      <c r="AT135" t="str">
        <f t="shared" si="58"/>
        <v>長い下ヒゲ(反発)</v>
      </c>
      <c r="AU135">
        <f t="shared" si="65"/>
        <v>-2</v>
      </c>
    </row>
    <row r="136" spans="1:47" ht="14.25">
      <c r="A136" s="357" t="str">
        <f>IF(銘柄管理!B169&lt;&gt;"",HYPERLINK("https://kabutan.jp/stock/?code="&amp;銘柄管理!B169,"株探"),"")</f>
        <v>株探</v>
      </c>
      <c r="B136" s="230"/>
      <c r="C136" s="230">
        <f>IF(銘柄管理!B169="","",銘柄管理!B169)</f>
        <v>8103</v>
      </c>
      <c r="D136" s="230" t="str">
        <f>IF(銘柄管理!C169="","",銘柄管理!C169)</f>
        <v>明和産業</v>
      </c>
      <c r="E136" s="358">
        <f>IF(C136&lt;&gt;"",_xll.RssMarket(C136,"現在値"),"")</f>
        <v>873</v>
      </c>
      <c r="F136" s="358">
        <f>IF(C136&lt;&gt;"",_xll.RssMarket(C136,"始値"),"")</f>
        <v>876</v>
      </c>
      <c r="G136" s="230">
        <f>IF(C136&lt;&gt;"",終値!F169,"")</f>
        <v>872</v>
      </c>
      <c r="H136" s="358">
        <f>IF(C136&lt;&gt;"",_xll.RssMarket(C136,"高値"),"")</f>
        <v>886</v>
      </c>
      <c r="I136" s="358">
        <f>IF(C136&lt;&gt;"",_xll.RssMarket(C136,"安値"),"")</f>
        <v>872</v>
      </c>
      <c r="J136" s="358">
        <f>IF(C136&lt;&gt;"",_xll.RssMarket(C136,"出来高"),"")</f>
        <v>141300</v>
      </c>
      <c r="K136" s="358">
        <f>IF(C136&lt;&gt;"",_xll.RssMarket(C136,"年初来高値"),"")</f>
        <v>1041</v>
      </c>
      <c r="L136" s="359">
        <f t="shared" si="44"/>
        <v>-16.138328530259365</v>
      </c>
      <c r="M136" s="358">
        <f>IF(C136&lt;&gt;"",IFERROR(AVERAGE(出来高!E169:I169),""),"")</f>
        <v>250280</v>
      </c>
      <c r="N136" s="358">
        <f>IF(C136&lt;&gt;"",IFERROR(AVERAGE(出来高!E169:AC169),""),"")</f>
        <v>297000</v>
      </c>
      <c r="O136" s="360">
        <f t="shared" si="45"/>
        <v>0.56456768419370307</v>
      </c>
      <c r="P136" s="230" t="str">
        <f t="shared" si="46"/>
        <v>減少↓</v>
      </c>
      <c r="Q136" s="230" t="str">
        <f t="shared" si="47"/>
        <v>様子見▲</v>
      </c>
      <c r="R136" s="358">
        <f t="shared" si="48"/>
        <v>803</v>
      </c>
      <c r="S136" s="358">
        <f t="shared" si="49"/>
        <v>908</v>
      </c>
      <c r="T136" s="350">
        <f t="shared" si="50"/>
        <v>9</v>
      </c>
      <c r="U136" s="230" t="str">
        <f t="shared" si="51"/>
        <v>要確認</v>
      </c>
      <c r="V136" s="230" t="str">
        <f t="shared" si="52"/>
        <v>通常</v>
      </c>
      <c r="W136" s="361" cm="1">
        <f t="array" ref="W136">IFERROR(100-100/(1+SUMPRODUCT((終値!F169:R169&gt;終値!G169:S169)*(終値!F169:R169-終値!G169:S169))/SUMPRODUCT((終値!F169:R169&lt;終値!G169:S169)*(終値!G169:S169-終値!F169:R169))),50)</f>
        <v>29.411764705882362</v>
      </c>
      <c r="X136" s="362">
        <f>IF(C136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-3.4961689865025392</v>
      </c>
      <c r="Y136" s="230" t="str">
        <f t="shared" si="53"/>
        <v>○逆張り売り | もみ合い→ 25日戻り売り★ MACD- RSI:29.4 [売られ過ぎ] 前日比:+0.1% [上ヒゲ陰線▼]前日[長い下ヒゲ(反発)] [9点]</v>
      </c>
      <c r="Z136" s="363">
        <f t="shared" si="54"/>
        <v>0.11467889908256881</v>
      </c>
      <c r="AA136" s="230" t="str">
        <f t="shared" si="55"/>
        <v>上昇▲</v>
      </c>
      <c r="AB136" s="358">
        <f>IF(OR(C136="",C136="TOPX",終値!E169=""),"",IFERROR(((終値!E169*0.333)+(終値!F169*0.222)+(終値!G169*0.148)+(終値!H169*0.099)+(終値!I169*0.066))/(0.333+0.222+0.148+0.099+0.066),""))</f>
        <v>870.31221198156675</v>
      </c>
      <c r="AC136" s="358">
        <f>IF(OR(C136="",C136="TOPX",終値!E169=""),"",IFERROR(SUMPRODUCT((終値!E169:AC169)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879.85458879618545</v>
      </c>
      <c r="AD136" s="230" t="str">
        <f t="shared" si="56"/>
        <v>もみ合い→</v>
      </c>
      <c r="AE136" s="230" t="str">
        <f t="shared" si="57"/>
        <v>25日戻り売り★</v>
      </c>
      <c r="AF136" t="str">
        <f>IF(T136="","",IF(銘柄管理!$F$5="上昇▲",IF(AND(AD136="下降トレンド▼",OR(AE136="25日戻り売り★",AE136="5日戻り売り○")),"★逆張り売り",IF(AND(AD136="もみ合い→",OR(AE136="25日戻り売り★",AE136="5日戻り売り○")),"○逆張り売り",IF(W136&gt;=70,IF(Z136&lt;0,"◎反落確認","△過熱・様子見"),"相場上昇・見送り"))),IF(AND(T136&gt;=12,AD136="下降トレンド▼"),"★強い売り",IF(T136&gt;=12,"★強い売り",IF(AND(T136&gt;=8,OR(AE136="25日戻り売り★",AE136="5日戻り売り○")),"◎戻り売り",IF(T136&gt;=10,"○売り候補",IF(T136&gt;=6,"△注目",IF(T136&gt;=3,"様子見","見送り"))))))))</f>
        <v>○逆張り売り</v>
      </c>
      <c r="AG136">
        <f t="shared" si="59"/>
        <v>9</v>
      </c>
      <c r="AH136">
        <f t="shared" si="60"/>
        <v>89864</v>
      </c>
      <c r="AI136" s="412" cm="1">
        <f t="array" ref="AI136">IF(C136="","",IFERROR((INDEX(終値!$E:$E,MATCH(TEXT(C136,"0"),終値!$A:$A,0))-INDEX(終値!$E:$BL,MATCH(TEXT(C136,"0"),終値!$A:$A,0),$AN$2))/INDEX(終値!$E:$BL,MATCH(TEXT(C136,"0"),終値!$A:$A,0),$AN$2)*100,""))</f>
        <v>-3.2150776053215075</v>
      </c>
      <c r="AJ136" s="412" cm="1">
        <f t="array" ref="AJ136">IFERROR((終値!$E$5-INDEX(終値!$E$5:$BL$5,1,$AN$2))/INDEX(終値!$E$5:$BL$5,1,$AN$2)*100,"")</f>
        <v>3.4532270246721688</v>
      </c>
      <c r="AK136" s="413">
        <f t="shared" si="61"/>
        <v>-6.6683046299936759</v>
      </c>
      <c r="AL136" s="411">
        <f t="shared" si="62"/>
        <v>3</v>
      </c>
      <c r="AO136" s="415" t="str">
        <f t="shared" si="63"/>
        <v>上ヒゲ陰線▼</v>
      </c>
      <c r="AP136" s="416">
        <f t="shared" si="64"/>
        <v>2</v>
      </c>
      <c r="AQ136">
        <f>IF(C136&lt;&gt;"",始値!F169,"")</f>
        <v>880</v>
      </c>
      <c r="AR136">
        <f>IF(C136&lt;&gt;"",高値!F169,"")</f>
        <v>880</v>
      </c>
      <c r="AS136">
        <f>IF(C136&lt;&gt;"",安値!F169,"")</f>
        <v>861</v>
      </c>
      <c r="AT136" t="str">
        <f t="shared" si="58"/>
        <v>長い下ヒゲ(反発)</v>
      </c>
      <c r="AU136">
        <f t="shared" si="65"/>
        <v>-2</v>
      </c>
    </row>
    <row r="137" spans="1:47" ht="14.25">
      <c r="A137" s="349" t="str">
        <f>IF(銘柄管理!B177&lt;&gt;"",HYPERLINK("https://kabutan.jp/stock/?code="&amp;銘柄管理!B177,"株探"),"")</f>
        <v>株探</v>
      </c>
      <c r="B137" s="350"/>
      <c r="C137" s="350">
        <f>IF(銘柄管理!B177="","",銘柄管理!B177)</f>
        <v>7236</v>
      </c>
      <c r="D137" s="350" t="str">
        <f>IF(銘柄管理!C177="","",銘柄管理!C177)</f>
        <v>ティラド</v>
      </c>
      <c r="E137" s="351">
        <f>IF(C137&lt;&gt;"",_xll.RssMarket(C137,"現在値"),"")</f>
        <v>14250</v>
      </c>
      <c r="F137" s="351">
        <f>IF(C137&lt;&gt;"",_xll.RssMarket(C137,"始値"),"")</f>
        <v>14220</v>
      </c>
      <c r="G137" s="350">
        <f>IF(C137&lt;&gt;"",終値!F177,"")</f>
        <v>14230</v>
      </c>
      <c r="H137" s="351">
        <f>IF(C137&lt;&gt;"",_xll.RssMarket(C137,"高値"),"")</f>
        <v>14520</v>
      </c>
      <c r="I137" s="351">
        <f>IF(C137&lt;&gt;"",_xll.RssMarket(C137,"安値"),"")</f>
        <v>14110</v>
      </c>
      <c r="J137" s="351">
        <f>IF(C137&lt;&gt;"",_xll.RssMarket(C137,"出来高"),"")</f>
        <v>27800</v>
      </c>
      <c r="K137" s="351">
        <f>IF(C137&lt;&gt;"",_xll.RssMarket(C137,"年初来高値"),"")</f>
        <v>15900</v>
      </c>
      <c r="L137" s="352">
        <f t="shared" si="44"/>
        <v>-10.377358490566039</v>
      </c>
      <c r="M137" s="351">
        <f>IF(C137&lt;&gt;"",IFERROR(AVERAGE(出来高!E177:I177),""),"")</f>
        <v>32840</v>
      </c>
      <c r="N137" s="351">
        <f>IF(C137&lt;&gt;"",IFERROR(AVERAGE(出来高!E177:AC177),""),"")</f>
        <v>44172</v>
      </c>
      <c r="O137" s="353">
        <f t="shared" si="45"/>
        <v>0.84652862362971981</v>
      </c>
      <c r="P137" s="350" t="str">
        <f t="shared" si="46"/>
        <v>減少↓</v>
      </c>
      <c r="Q137" s="350" t="str">
        <f t="shared" si="47"/>
        <v>様子見▲</v>
      </c>
      <c r="R137" s="351">
        <f t="shared" si="48"/>
        <v>13110</v>
      </c>
      <c r="S137" s="351">
        <f t="shared" si="49"/>
        <v>14820</v>
      </c>
      <c r="T137" s="350">
        <f t="shared" si="50"/>
        <v>8</v>
      </c>
      <c r="U137" s="350" t="str">
        <f t="shared" si="51"/>
        <v>要確認</v>
      </c>
      <c r="V137" s="350" t="str">
        <f t="shared" si="52"/>
        <v>通常</v>
      </c>
      <c r="W137" s="354" cm="1">
        <f t="array" ref="W137">IFERROR(100-100/(1+SUMPRODUCT((終値!F177:R177&gt;終値!G177:S177)*(終値!F177:R177-終値!G177:S177))/SUMPRODUCT((終値!F177:R177&lt;終値!G177:S177)*(終値!G177:S177-終値!F177:R177))),50)</f>
        <v>34.526854219948845</v>
      </c>
      <c r="X137" s="355">
        <f>IF(C137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-55.834165873926395</v>
      </c>
      <c r="Y137" s="350" t="str">
        <f t="shared" si="53"/>
        <v>○逆張り売り | もみ合い→ 25日戻り売り★ MACD- RSI:34.5 前日比:+0.1%前日[大陰線▼] [8点]</v>
      </c>
      <c r="Z137" s="356">
        <f t="shared" si="54"/>
        <v>0.14054813773717498</v>
      </c>
      <c r="AA137" s="350" t="str">
        <f t="shared" si="55"/>
        <v>上昇▲</v>
      </c>
      <c r="AB137" s="351">
        <f>IF(OR(C137="",C137="TOPX",終値!E177=""),"",IFERROR(((終値!E177*0.333)+(終値!F177*0.222)+(終値!G177*0.148)+(終値!H177*0.099)+(終値!I177*0.066))/(0.333+0.222+0.148+0.099+0.066),""))</f>
        <v>14187.649769585252</v>
      </c>
      <c r="AC137" s="351">
        <f>IF(OR(C137="",C137="TOPX",終値!E177=""),"",IFERROR(SUMPRODUCT((終値!E177:AC177)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14394.934445768768</v>
      </c>
      <c r="AD137" s="350" t="str">
        <f t="shared" si="56"/>
        <v>もみ合い→</v>
      </c>
      <c r="AE137" s="350" t="str">
        <f t="shared" si="57"/>
        <v>25日戻り売り★</v>
      </c>
      <c r="AF137" t="str">
        <f>IF(T137="","",IF(銘柄管理!$F$5="上昇▲",IF(AND(AD137="下降トレンド▼",OR(AE137="25日戻り売り★",AE137="5日戻り売り○")),"★逆張り売り",IF(AND(AD137="もみ合い→",OR(AE137="25日戻り売り★",AE137="5日戻り売り○")),"○逆張り売り",IF(W137&gt;=70,IF(Z137&lt;0,"◎反落確認","△過熱・様子見"),"相場上昇・見送り"))),IF(AND(T137&gt;=12,AD137="下降トレンド▼"),"★強い売り",IF(T137&gt;=12,"★強い売り",IF(AND(T137&gt;=8,OR(AE137="25日戻り売り★",AE137="5日戻り売り○")),"◎戻り売り",IF(T137&gt;=10,"○売り候補",IF(T137&gt;=6,"△注目",IF(T137&gt;=3,"様子見","見送り"))))))))</f>
        <v>○逆張り売り</v>
      </c>
      <c r="AG137">
        <f t="shared" si="59"/>
        <v>8</v>
      </c>
      <c r="AH137">
        <f t="shared" si="60"/>
        <v>79863</v>
      </c>
      <c r="AI137" s="412" cm="1">
        <f t="array" ref="AI137">IF(C137="","",IFERROR((INDEX(終値!$E:$E,MATCH(TEXT(C137,"0"),終値!$A:$A,0))-INDEX(終値!$E:$BL,MATCH(TEXT(C137,"0"),終値!$A:$A,0),$AN$2))/INDEX(終値!$E:$BL,MATCH(TEXT(C137,"0"),終値!$A:$A,0),$AN$2)*100,""))</f>
        <v>-1.3840830449826991</v>
      </c>
      <c r="AJ137" s="412" cm="1">
        <f t="array" ref="AJ137">IFERROR((終値!$E$5-INDEX(終値!$E$5:$BL$5,1,$AN$2))/INDEX(終値!$E$5:$BL$5,1,$AN$2)*100,"")</f>
        <v>3.4532270246721688</v>
      </c>
      <c r="AK137" s="413">
        <f t="shared" si="61"/>
        <v>-4.8373100696548681</v>
      </c>
      <c r="AL137" s="411">
        <f t="shared" si="62"/>
        <v>1</v>
      </c>
      <c r="AO137" s="415" t="str">
        <f t="shared" si="63"/>
        <v>通常</v>
      </c>
      <c r="AP137" s="416">
        <f t="shared" si="64"/>
        <v>0</v>
      </c>
      <c r="AQ137">
        <f>IF(C137&lt;&gt;"",始値!F177,"")</f>
        <v>14430</v>
      </c>
      <c r="AR137">
        <f>IF(C137&lt;&gt;"",高値!F177,"")</f>
        <v>14430</v>
      </c>
      <c r="AS137">
        <f>IF(C137&lt;&gt;"",安値!F177,"")</f>
        <v>14200</v>
      </c>
      <c r="AT137" t="str">
        <f t="shared" si="58"/>
        <v>大陰線▼</v>
      </c>
      <c r="AU137">
        <f t="shared" si="65"/>
        <v>2</v>
      </c>
    </row>
    <row r="138" spans="1:47" ht="14.25">
      <c r="A138" s="357" t="str">
        <f>IF(銘柄管理!B193&lt;&gt;"",HYPERLINK("https://kabutan.jp/stock/?code="&amp;銘柄管理!B193,"株探"),"")</f>
        <v>株探</v>
      </c>
      <c r="B138" s="230"/>
      <c r="C138" s="230">
        <f>IF(銘柄管理!B193="","",銘柄管理!B193)</f>
        <v>5243</v>
      </c>
      <c r="D138" s="230" t="str">
        <f>IF(銘柄管理!C193="","",銘柄管理!C193)</f>
        <v>ＮＯＴＥ</v>
      </c>
      <c r="E138" s="358">
        <f>IF(C138&lt;&gt;"",_xll.RssMarket(C138,"現在値"),"")</f>
        <v>1821</v>
      </c>
      <c r="F138" s="358">
        <f>IF(C138&lt;&gt;"",_xll.RssMarket(C138,"始値"),"")</f>
        <v>1749</v>
      </c>
      <c r="G138" s="230">
        <f>IF(C138&lt;&gt;"",終値!F193,"")</f>
        <v>1728</v>
      </c>
      <c r="H138" s="358">
        <f>IF(C138&lt;&gt;"",_xll.RssMarket(C138,"高値"),"")</f>
        <v>1855</v>
      </c>
      <c r="I138" s="358">
        <f>IF(C138&lt;&gt;"",_xll.RssMarket(C138,"安値"),"")</f>
        <v>1720</v>
      </c>
      <c r="J138" s="358">
        <f>IF(C138&lt;&gt;"",_xll.RssMarket(C138,"出来高"),"")</f>
        <v>265800</v>
      </c>
      <c r="K138" s="358">
        <f>IF(C138&lt;&gt;"",_xll.RssMarket(C138,"年初来高値"),"")</f>
        <v>3405</v>
      </c>
      <c r="L138" s="359">
        <f t="shared" si="44"/>
        <v>-46.519823788546255</v>
      </c>
      <c r="M138" s="358">
        <f>IF(C138&lt;&gt;"",IFERROR(AVERAGE(出来高!E193:I193),""),"")</f>
        <v>202080</v>
      </c>
      <c r="N138" s="358">
        <f>IF(C138&lt;&gt;"",IFERROR(AVERAGE(出来高!E193:AC193),""),"")</f>
        <v>245592</v>
      </c>
      <c r="O138" s="360">
        <f t="shared" si="45"/>
        <v>1.3153206650831355</v>
      </c>
      <c r="P138" s="230" t="str">
        <f t="shared" si="46"/>
        <v>普通→</v>
      </c>
      <c r="Q138" s="230" t="str">
        <f t="shared" si="47"/>
        <v>様子見▲</v>
      </c>
      <c r="R138" s="358">
        <f t="shared" si="48"/>
        <v>1675</v>
      </c>
      <c r="S138" s="358">
        <f t="shared" si="49"/>
        <v>1894</v>
      </c>
      <c r="T138" s="350">
        <f t="shared" si="50"/>
        <v>11</v>
      </c>
      <c r="U138" s="230" t="str">
        <f t="shared" si="51"/>
        <v>要確認</v>
      </c>
      <c r="V138" s="230" t="str">
        <f t="shared" si="52"/>
        <v>年初来安値圏●</v>
      </c>
      <c r="W138" s="361" cm="1">
        <f t="array" ref="W138">IFERROR(100-100/(1+SUMPRODUCT((終値!F193:R193&gt;終値!G193:S193)*(終値!F193:R193-終値!G193:S193))/SUMPRODUCT((終値!F193:R193&lt;終値!G193:S193)*(終値!G193:S193-終値!F193:R193))),50)</f>
        <v>20.129032258064512</v>
      </c>
      <c r="X138" s="362">
        <f>IF(C138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-66.329091024879745</v>
      </c>
      <c r="Y138" s="230" t="str">
        <f t="shared" si="53"/>
        <v>相場上昇・見送り | もみ合い→ MACD- RSI:20.1 [売られ過ぎ] 前日比:+5.4% [年初来安値圏] [11点]</v>
      </c>
      <c r="Z138" s="363">
        <f t="shared" si="54"/>
        <v>5.3819444444444446</v>
      </c>
      <c r="AA138" s="230" t="str">
        <f t="shared" si="55"/>
        <v>上昇▲</v>
      </c>
      <c r="AB138" s="358">
        <f>IF(OR(C138="",C138="TOPX",終値!E193=""),"",IFERROR(((終値!E193*0.333)+(終値!F193*0.222)+(終値!G193*0.148)+(終値!H193*0.099)+(終値!I193*0.066))/(0.333+0.222+0.148+0.099+0.066),""))</f>
        <v>1742.1451612903224</v>
      </c>
      <c r="AC138" s="358">
        <f>IF(OR(C138="",C138="TOPX",終値!E193=""),"",IFERROR(SUMPRODUCT((終値!E193:AC193)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1905.5685339690094</v>
      </c>
      <c r="AD138" s="230" t="str">
        <f t="shared" si="56"/>
        <v>もみ合い→</v>
      </c>
      <c r="AE138" s="230" t="str">
        <f t="shared" si="57"/>
        <v>なし</v>
      </c>
      <c r="AF138" t="str">
        <f>IF(T138="","",IF(銘柄管理!$F$5="上昇▲",IF(AND(AD138="下降トレンド▼",OR(AE138="25日戻り売り★",AE138="5日戻り売り○")),"★逆張り売り",IF(AND(AD138="もみ合い→",OR(AE138="25日戻り売り★",AE138="5日戻り売り○")),"○逆張り売り",IF(W138&gt;=70,IF(Z138&lt;0,"◎反落確認","△過熱・様子見"),"相場上昇・見送り"))),IF(AND(T138&gt;=12,AD138="下降トレンド▼"),"★強い売り",IF(T138&gt;=12,"★強い売り",IF(AND(T138&gt;=8,OR(AE138="25日戻り売り★",AE138="5日戻り売り○")),"◎戻り売り",IF(T138&gt;=10,"○売り候補",IF(T138&gt;=6,"△注目",IF(T138&gt;=3,"様子見","見送り"))))))))</f>
        <v>相場上昇・見送り</v>
      </c>
      <c r="AG138">
        <f t="shared" si="59"/>
        <v>11</v>
      </c>
      <c r="AH138">
        <f t="shared" si="60"/>
        <v>109862</v>
      </c>
      <c r="AI138" s="412" cm="1">
        <f t="array" ref="AI138">IF(C138="","",IFERROR((INDEX(終値!$E:$E,MATCH(TEXT(C138,"0"),終値!$A:$A,0))-INDEX(終値!$E:$BL,MATCH(TEXT(C138,"0"),終値!$A:$A,0),$AN$2))/INDEX(終値!$E:$BL,MATCH(TEXT(C138,"0"),終値!$A:$A,0),$AN$2)*100,""))</f>
        <v>-20.722681758815849</v>
      </c>
      <c r="AJ138" s="412" cm="1">
        <f t="array" ref="AJ138">IFERROR((終値!$E$5-INDEX(終値!$E$5:$BL$5,1,$AN$2))/INDEX(終値!$E$5:$BL$5,1,$AN$2)*100,"")</f>
        <v>3.4532270246721688</v>
      </c>
      <c r="AK138" s="413">
        <f t="shared" si="61"/>
        <v>-24.175908783488019</v>
      </c>
      <c r="AL138" s="411">
        <f t="shared" si="62"/>
        <v>3</v>
      </c>
      <c r="AO138" s="415" t="str">
        <f t="shared" si="63"/>
        <v>通常</v>
      </c>
      <c r="AP138" s="416">
        <f t="shared" si="64"/>
        <v>0</v>
      </c>
      <c r="AQ138">
        <f>IF(C138&lt;&gt;"",始値!F193,"")</f>
        <v>1692</v>
      </c>
      <c r="AR138">
        <f>IF(C138&lt;&gt;"",高値!F193,"")</f>
        <v>1750</v>
      </c>
      <c r="AS138">
        <f>IF(C138&lt;&gt;"",安値!F193,"")</f>
        <v>1672</v>
      </c>
      <c r="AT138" t="str">
        <f t="shared" si="58"/>
        <v>通常</v>
      </c>
      <c r="AU138">
        <f t="shared" si="65"/>
        <v>0</v>
      </c>
    </row>
    <row r="139" spans="1:47" ht="14.25">
      <c r="A139" s="349" t="str">
        <f>IF(銘柄管理!B11&lt;&gt;"",HYPERLINK("https://kabutan.jp/stock/?code="&amp;銘柄管理!B11,"株探"),"")</f>
        <v>株探</v>
      </c>
      <c r="B139" s="350"/>
      <c r="C139" s="350">
        <f>IF(銘柄管理!B11="","",銘柄管理!B11)</f>
        <v>6701</v>
      </c>
      <c r="D139" s="350" t="str">
        <f>IF(銘柄管理!C11="","",銘柄管理!C11)</f>
        <v>日本電気</v>
      </c>
      <c r="E139" s="351">
        <f>IF(C139&lt;&gt;"",_xll.RssMarket(C139,"現在値"),"")</f>
        <v>3852</v>
      </c>
      <c r="F139" s="351">
        <f>IF(C139&lt;&gt;"",_xll.RssMarket(C139,"始値"),"")</f>
        <v>3877</v>
      </c>
      <c r="G139" s="350">
        <f>IF(C139&lt;&gt;"",終値!F11,"")</f>
        <v>3849</v>
      </c>
      <c r="H139" s="351">
        <f>IF(C139&lt;&gt;"",_xll.RssMarket(C139,"高値"),"")</f>
        <v>3891</v>
      </c>
      <c r="I139" s="351">
        <f>IF(C139&lt;&gt;"",_xll.RssMarket(C139,"安値"),"")</f>
        <v>3796</v>
      </c>
      <c r="J139" s="351">
        <f>IF(C139&lt;&gt;"",_xll.RssMarket(C139,"出来高"),"")</f>
        <v>5022300</v>
      </c>
      <c r="K139" s="351">
        <f>IF(C139&lt;&gt;"",_xll.RssMarket(C139,"年初来高値"),"")</f>
        <v>6036</v>
      </c>
      <c r="L139" s="352">
        <f t="shared" si="44"/>
        <v>-36.182902584493043</v>
      </c>
      <c r="M139" s="351">
        <f>IF(C139&lt;&gt;"",IFERROR(AVERAGE(出来高!E11:I11),""),"")</f>
        <v>6427080</v>
      </c>
      <c r="N139" s="351">
        <f>IF(C139&lt;&gt;"",IFERROR(AVERAGE(出来高!E11:AC11),""),"")</f>
        <v>7340648</v>
      </c>
      <c r="O139" s="353">
        <f t="shared" si="45"/>
        <v>0.78142795795291176</v>
      </c>
      <c r="P139" s="350" t="str">
        <f t="shared" si="46"/>
        <v>減少↓</v>
      </c>
      <c r="Q139" s="350" t="str">
        <f t="shared" si="47"/>
        <v>様子見▲</v>
      </c>
      <c r="R139" s="351">
        <f t="shared" si="48"/>
        <v>3544</v>
      </c>
      <c r="S139" s="351">
        <f t="shared" si="49"/>
        <v>4006</v>
      </c>
      <c r="T139" s="350">
        <f t="shared" si="50"/>
        <v>11</v>
      </c>
      <c r="U139" s="350" t="str">
        <f t="shared" si="51"/>
        <v>要確認</v>
      </c>
      <c r="V139" s="350" t="str">
        <f t="shared" si="52"/>
        <v>安値圏</v>
      </c>
      <c r="W139" s="354" cm="1">
        <f t="array" ref="W139">IFERROR(100-100/(1+SUMPRODUCT((終値!F11:R11&gt;終値!G11:S11)*(終値!F11:R11-終値!G11:S11))/SUMPRODUCT((終値!F11:R11&lt;終値!G11:S11)*(終値!G11:S11-終値!F11:R11))),50)</f>
        <v>38.221814848762605</v>
      </c>
      <c r="X139" s="355">
        <f>IF(C139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-22.131187833098465</v>
      </c>
      <c r="Y139" s="350" t="str">
        <f t="shared" si="53"/>
        <v>★逆張り売り | 下降トレンド▼ 5日戻り売り○ MACD- RSI:38.2 前日比:+0.1% [安値圏] [長い下ヒゲ(反発警戒)] [11点]</v>
      </c>
      <c r="Z139" s="356">
        <f t="shared" si="54"/>
        <v>7.7942322681215898E-2</v>
      </c>
      <c r="AA139" s="350" t="str">
        <f t="shared" si="55"/>
        <v>上昇▲</v>
      </c>
      <c r="AB139" s="351">
        <f>IF(OR(C139="",C139="TOPX",終値!E11=""),"",IFERROR(((終値!E11*0.333)+(終値!F11*0.222)+(終値!G11*0.148)+(終値!H11*0.099)+(終値!I11*0.066))/(0.333+0.222+0.148+0.099+0.066),""))</f>
        <v>3884.7304147465438</v>
      </c>
      <c r="AC139" s="351">
        <f>IF(OR(C139="",C139="TOPX",終値!E11=""),"",IFERROR(SUMPRODUCT((終値!E11:AC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4080.7628128724659</v>
      </c>
      <c r="AD139" s="350" t="str">
        <f t="shared" si="56"/>
        <v>下降トレンド▼</v>
      </c>
      <c r="AE139" s="350" t="str">
        <f t="shared" si="57"/>
        <v>5日戻り売り○</v>
      </c>
      <c r="AF139" t="str">
        <f>IF(T139="","",IF(銘柄管理!$F$5="上昇▲",IF(AND(AD139="下降トレンド▼",OR(AE139="25日戻り売り★",AE139="5日戻り売り○")),"★逆張り売り",IF(AND(AD139="もみ合い→",OR(AE139="25日戻り売り★",AE139="5日戻り売り○")),"○逆張り売り",IF(W139&gt;=70,IF(Z139&lt;0,"◎反落確認","△過熱・様子見"),"相場上昇・見送り"))),IF(AND(T139&gt;=12,AD139="下降トレンド▼"),"★強い売り",IF(T139&gt;=12,"★強い売り",IF(AND(T139&gt;=8,OR(AE139="25日戻り売り★",AE139="5日戻り売り○")),"◎戻り売り",IF(T139&gt;=10,"○売り候補",IF(T139&gt;=6,"△注目",IF(T139&gt;=3,"様子見","見送り"))))))))</f>
        <v>★逆張り売り</v>
      </c>
      <c r="AG139">
        <f t="shared" si="59"/>
        <v>11</v>
      </c>
      <c r="AH139">
        <f t="shared" si="60"/>
        <v>109861</v>
      </c>
      <c r="AI139" s="412" cm="1">
        <f t="array" ref="AI139">IF(C139="","",IFERROR((INDEX(終値!$E:$E,MATCH(TEXT(C139,"0"),終値!$A:$A,0))-INDEX(終値!$E:$BL,MATCH(TEXT(C139,"0"),終値!$A:$A,0),$AN$2))/INDEX(終値!$E:$BL,MATCH(TEXT(C139,"0"),終値!$A:$A,0),$AN$2)*100,""))</f>
        <v>-4.865398863917016</v>
      </c>
      <c r="AJ139" s="412" cm="1">
        <f t="array" ref="AJ139">IFERROR((終値!$E$5-INDEX(終値!$E$5:$BL$5,1,$AN$2))/INDEX(終値!$E$5:$BL$5,1,$AN$2)*100,"")</f>
        <v>3.4532270246721688</v>
      </c>
      <c r="AK139" s="413">
        <f t="shared" si="61"/>
        <v>-8.3186258885891853</v>
      </c>
      <c r="AL139" s="411">
        <f t="shared" si="62"/>
        <v>3</v>
      </c>
      <c r="AO139" s="415" t="str">
        <f t="shared" si="63"/>
        <v>長い下ヒゲ(反発警戒)</v>
      </c>
      <c r="AP139" s="416">
        <f t="shared" si="64"/>
        <v>-2</v>
      </c>
      <c r="AQ139">
        <f>IF(C139&lt;&gt;"",始値!F11,"")</f>
        <v>3803</v>
      </c>
      <c r="AR139">
        <f>IF(C139&lt;&gt;"",高値!F11,"")</f>
        <v>3860</v>
      </c>
      <c r="AS139">
        <f>IF(C139&lt;&gt;"",安値!F11,"")</f>
        <v>3773</v>
      </c>
      <c r="AT139" t="str">
        <f t="shared" si="58"/>
        <v>通常</v>
      </c>
      <c r="AU139">
        <f t="shared" si="65"/>
        <v>0</v>
      </c>
    </row>
    <row r="140" spans="1:47" ht="14.25">
      <c r="A140" s="357" t="str">
        <f>IF(銘柄管理!B24&lt;&gt;"",HYPERLINK("https://kabutan.jp/stock/?code="&amp;銘柄管理!B24,"株探"),"")</f>
        <v>株探</v>
      </c>
      <c r="B140" s="230"/>
      <c r="C140" s="230">
        <f>IF(銘柄管理!B24="","",銘柄管理!B24)</f>
        <v>5019</v>
      </c>
      <c r="D140" s="230" t="str">
        <f>IF(銘柄管理!C24="","",銘柄管理!C24)</f>
        <v>出光興産</v>
      </c>
      <c r="E140" s="358">
        <f>IF(C140&lt;&gt;"",_xll.RssMarket(C140,"現在値"),"")</f>
        <v>1284.5</v>
      </c>
      <c r="F140" s="358">
        <f>IF(C140&lt;&gt;"",_xll.RssMarket(C140,"始値"),"")</f>
        <v>1284.5</v>
      </c>
      <c r="G140" s="230">
        <f>IF(C140&lt;&gt;"",終値!F24,"")</f>
        <v>1287.5</v>
      </c>
      <c r="H140" s="358">
        <f>IF(C140&lt;&gt;"",_xll.RssMarket(C140,"高値"),"")</f>
        <v>1293</v>
      </c>
      <c r="I140" s="358">
        <f>IF(C140&lt;&gt;"",_xll.RssMarket(C140,"安値"),"")</f>
        <v>1251</v>
      </c>
      <c r="J140" s="358">
        <f>IF(C140&lt;&gt;"",_xll.RssMarket(C140,"出来高"),"")</f>
        <v>4040400</v>
      </c>
      <c r="K140" s="358">
        <f>IF(C140&lt;&gt;"",_xll.RssMarket(C140,"年初来高値"),"")</f>
        <v>1671</v>
      </c>
      <c r="L140" s="359">
        <f t="shared" si="44"/>
        <v>-23.129862357869538</v>
      </c>
      <c r="M140" s="358">
        <f>IF(C140&lt;&gt;"",IFERROR(AVERAGE(出来高!E24:I24),""),"")</f>
        <v>4092120</v>
      </c>
      <c r="N140" s="358">
        <f>IF(C140&lt;&gt;"",IFERROR(AVERAGE(出来高!E24:AC24),""),"")</f>
        <v>5150916</v>
      </c>
      <c r="O140" s="360">
        <f t="shared" si="45"/>
        <v>0.98736107445529453</v>
      </c>
      <c r="P140" s="230" t="str">
        <f t="shared" si="46"/>
        <v>減少↓</v>
      </c>
      <c r="Q140" s="230" t="str">
        <f t="shared" si="47"/>
        <v>中立→</v>
      </c>
      <c r="R140" s="358">
        <f t="shared" si="48"/>
        <v>1182</v>
      </c>
      <c r="S140" s="358">
        <f t="shared" si="49"/>
        <v>1336</v>
      </c>
      <c r="T140" s="350">
        <f t="shared" si="50"/>
        <v>12</v>
      </c>
      <c r="U140" s="230" t="str">
        <f t="shared" si="51"/>
        <v>要確認</v>
      </c>
      <c r="V140" s="230" t="str">
        <f t="shared" si="52"/>
        <v>安値圏</v>
      </c>
      <c r="W140" s="361" cm="1">
        <f t="array" ref="W140">IFERROR(100-100/(1+SUMPRODUCT((終値!F24:R24&gt;終値!G24:S24)*(終値!F24:R24-終値!G24:S24))/SUMPRODUCT((終値!F24:R24&lt;終値!G24:S24)*(終値!G24:S24-終値!F24:R24))),50)</f>
        <v>46.362339514978608</v>
      </c>
      <c r="X140" s="362">
        <f>IF(C140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-3.862528309696927</v>
      </c>
      <c r="Y140" s="230" t="str">
        <f t="shared" si="53"/>
        <v>相場上昇・見送り | 下降トレンド▼ MACD- RSI:46.4 前日比:-0.2% [安値圏] [12点]</v>
      </c>
      <c r="Z140" s="363">
        <f t="shared" si="54"/>
        <v>-0.23300970873786409</v>
      </c>
      <c r="AA140" s="230" t="str">
        <f t="shared" si="55"/>
        <v>下落▼</v>
      </c>
      <c r="AB140" s="358">
        <f>IF(OR(C140="",C140="TOPX",終値!E24=""),"",IFERROR(((終値!E24*0.333)+(終値!F24*0.222)+(終値!G24*0.148)+(終値!H24*0.099)+(終値!I24*0.066))/(0.333+0.222+0.148+0.099+0.066),""))</f>
        <v>1300.780529953917</v>
      </c>
      <c r="AC140" s="358">
        <f>IF(OR(C140="",C140="TOPX",終値!E24=""),"",IFERROR(SUMPRODUCT((終値!E24:AC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1344.7485101311077</v>
      </c>
      <c r="AD140" s="230" t="str">
        <f t="shared" si="56"/>
        <v>下降トレンド▼</v>
      </c>
      <c r="AE140" s="230" t="str">
        <f t="shared" si="57"/>
        <v>なし</v>
      </c>
      <c r="AF140" t="str">
        <f>IF(T140="","",IF(銘柄管理!$F$5="上昇▲",IF(AND(AD140="下降トレンド▼",OR(AE140="25日戻り売り★",AE140="5日戻り売り○")),"★逆張り売り",IF(AND(AD140="もみ合い→",OR(AE140="25日戻り売り★",AE140="5日戻り売り○")),"○逆張り売り",IF(W140&gt;=70,IF(Z140&lt;0,"◎反落確認","△過熱・様子見"),"相場上昇・見送り"))),IF(AND(T140&gt;=12,AD140="下降トレンド▼"),"★強い売り",IF(T140&gt;=12,"★強い売り",IF(AND(T140&gt;=8,OR(AE140="25日戻り売り★",AE140="5日戻り売り○")),"◎戻り売り",IF(T140&gt;=10,"○売り候補",IF(T140&gt;=6,"△注目",IF(T140&gt;=3,"様子見","見送り"))))))))</f>
        <v>相場上昇・見送り</v>
      </c>
      <c r="AG140">
        <f t="shared" si="59"/>
        <v>12</v>
      </c>
      <c r="AH140">
        <f t="shared" si="60"/>
        <v>119860</v>
      </c>
      <c r="AI140" s="412" cm="1">
        <f t="array" ref="AI140">IF(C140="","",IFERROR((INDEX(終値!$E:$E,MATCH(TEXT(C140,"0"),終値!$A:$A,0))-INDEX(終値!$E:$BL,MATCH(TEXT(C140,"0"),終値!$A:$A,0),$AN$2))/INDEX(終値!$E:$BL,MATCH(TEXT(C140,"0"),終値!$A:$A,0),$AN$2)*100,""))</f>
        <v>-9.3827160493827169</v>
      </c>
      <c r="AJ140" s="412" cm="1">
        <f t="array" ref="AJ140">IFERROR((終値!$E$5-INDEX(終値!$E$5:$BL$5,1,$AN$2))/INDEX(終値!$E$5:$BL$5,1,$AN$2)*100,"")</f>
        <v>3.4532270246721688</v>
      </c>
      <c r="AK140" s="413">
        <f t="shared" si="61"/>
        <v>-12.835943074054885</v>
      </c>
      <c r="AL140" s="411">
        <f t="shared" si="62"/>
        <v>3</v>
      </c>
      <c r="AO140" s="415" t="str">
        <f t="shared" si="63"/>
        <v>通常</v>
      </c>
      <c r="AP140" s="416">
        <f t="shared" si="64"/>
        <v>0</v>
      </c>
      <c r="AQ140">
        <f>IF(C140&lt;&gt;"",始値!F24,"")</f>
        <v>1308.5</v>
      </c>
      <c r="AR140">
        <f>IF(C140&lt;&gt;"",高値!F24,"")</f>
        <v>1320</v>
      </c>
      <c r="AS140">
        <f>IF(C140&lt;&gt;"",安値!F24,"")</f>
        <v>1287.5</v>
      </c>
      <c r="AT140" t="str">
        <f t="shared" si="58"/>
        <v>通常</v>
      </c>
      <c r="AU140">
        <f t="shared" si="65"/>
        <v>0</v>
      </c>
    </row>
    <row r="141" spans="1:47" ht="14.25">
      <c r="A141" s="349" t="str">
        <f>IF(銘柄管理!B29&lt;&gt;"",HYPERLINK("https://kabutan.jp/stock/?code="&amp;銘柄管理!B29,"株探"),"")</f>
        <v>株探</v>
      </c>
      <c r="B141" s="350"/>
      <c r="C141" s="350">
        <f>IF(銘柄管理!B29="","",銘柄管理!B29)</f>
        <v>5020</v>
      </c>
      <c r="D141" s="350" t="str">
        <f>IF(銘柄管理!C29="","",銘柄管理!C29)</f>
        <v>ＥＮＥＯＳホールディングス</v>
      </c>
      <c r="E141" s="351">
        <f>IF(C141&lt;&gt;"",_xll.RssMarket(C141,"現在値"),"")</f>
        <v>1246.5</v>
      </c>
      <c r="F141" s="351">
        <f>IF(C141&lt;&gt;"",_xll.RssMarket(C141,"始値"),"")</f>
        <v>1240</v>
      </c>
      <c r="G141" s="350">
        <f>IF(C141&lt;&gt;"",終値!F29,"")</f>
        <v>1241</v>
      </c>
      <c r="H141" s="351">
        <f>IF(C141&lt;&gt;"",_xll.RssMarket(C141,"高値"),"")</f>
        <v>1259</v>
      </c>
      <c r="I141" s="351">
        <f>IF(C141&lt;&gt;"",_xll.RssMarket(C141,"安値"),"")</f>
        <v>1228.5</v>
      </c>
      <c r="J141" s="351">
        <f>IF(C141&lt;&gt;"",_xll.RssMarket(C141,"出来高"),"")</f>
        <v>6788300</v>
      </c>
      <c r="K141" s="351">
        <f>IF(C141&lt;&gt;"",_xll.RssMarket(C141,"年初来高値"),"")</f>
        <v>1552.5</v>
      </c>
      <c r="L141" s="352">
        <f t="shared" si="44"/>
        <v>-19.710144927536234</v>
      </c>
      <c r="M141" s="351">
        <f>IF(C141&lt;&gt;"",IFERROR(AVERAGE(出来高!E29:I29),""),"")</f>
        <v>8586320</v>
      </c>
      <c r="N141" s="351">
        <f>IF(C141&lt;&gt;"",IFERROR(AVERAGE(出来高!E29:AC29),""),"")</f>
        <v>9242688</v>
      </c>
      <c r="O141" s="353">
        <f t="shared" si="45"/>
        <v>0.7905948066226276</v>
      </c>
      <c r="P141" s="350" t="str">
        <f t="shared" si="46"/>
        <v>減少↓</v>
      </c>
      <c r="Q141" s="350" t="str">
        <f t="shared" si="47"/>
        <v>様子見▲</v>
      </c>
      <c r="R141" s="351">
        <f t="shared" si="48"/>
        <v>1147</v>
      </c>
      <c r="S141" s="351">
        <f t="shared" si="49"/>
        <v>1296</v>
      </c>
      <c r="T141" s="350">
        <f t="shared" si="50"/>
        <v>7</v>
      </c>
      <c r="U141" s="350" t="str">
        <f t="shared" si="51"/>
        <v>要確認</v>
      </c>
      <c r="V141" s="350" t="str">
        <f t="shared" si="52"/>
        <v>通常</v>
      </c>
      <c r="W141" s="354" cm="1">
        <f t="array" ref="W141">IFERROR(100-100/(1+SUMPRODUCT((終値!F29:R29&gt;終値!G29:S29)*(終値!F29:R29-終値!G29:S29))/SUMPRODUCT((終値!F29:R29&lt;終値!G29:S29)*(終値!G29:S29-終値!F29:R29))),50)</f>
        <v>41.32379248658318</v>
      </c>
      <c r="X141" s="355">
        <f>IF(C141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-10.834497231719524</v>
      </c>
      <c r="Y141" s="350" t="str">
        <f t="shared" si="53"/>
        <v>相場上昇・見送り | もみ合い→ MACD- RSI:41.3 前日比:+0.4% [7点]</v>
      </c>
      <c r="Z141" s="356">
        <f t="shared" si="54"/>
        <v>0.44319097502014509</v>
      </c>
      <c r="AA141" s="350" t="str">
        <f t="shared" si="55"/>
        <v>上昇▲</v>
      </c>
      <c r="AB141" s="351">
        <f>IF(OR(C141="",C141="TOPX",終値!E29=""),"",IFERROR(((終値!E29*0.333)+(終値!F29*0.222)+(終値!G29*0.148)+(終値!H29*0.099)+(終値!I29*0.066))/(0.333+0.222+0.148+0.099+0.066),""))</f>
        <v>1237.5910138248848</v>
      </c>
      <c r="AC141" s="351">
        <f>IF(OR(C141="",C141="TOPX",終値!E29=""),"",IFERROR(SUMPRODUCT((終値!E29:AC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1273.5756853396897</v>
      </c>
      <c r="AD141" s="350" t="str">
        <f t="shared" si="56"/>
        <v>もみ合い→</v>
      </c>
      <c r="AE141" s="350" t="str">
        <f t="shared" si="57"/>
        <v>なし</v>
      </c>
      <c r="AF141" t="str">
        <f>IF(T141="","",IF(銘柄管理!$F$5="上昇▲",IF(AND(AD141="下降トレンド▼",OR(AE141="25日戻り売り★",AE141="5日戻り売り○")),"★逆張り売り",IF(AND(AD141="もみ合い→",OR(AE141="25日戻り売り★",AE141="5日戻り売り○")),"○逆張り売り",IF(W141&gt;=70,IF(Z141&lt;0,"◎反落確認","△過熱・様子見"),"相場上昇・見送り"))),IF(AND(T141&gt;=12,AD141="下降トレンド▼"),"★強い売り",IF(T141&gt;=12,"★強い売り",IF(AND(T141&gt;=8,OR(AE141="25日戻り売り★",AE141="5日戻り売り○")),"◎戻り売り",IF(T141&gt;=10,"○売り候補",IF(T141&gt;=6,"△注目",IF(T141&gt;=3,"様子見","見送り"))))))))</f>
        <v>相場上昇・見送り</v>
      </c>
      <c r="AG141">
        <f t="shared" si="59"/>
        <v>7</v>
      </c>
      <c r="AH141">
        <f t="shared" si="60"/>
        <v>69859</v>
      </c>
      <c r="AI141" s="412" cm="1">
        <f t="array" ref="AI141">IF(C141="","",IFERROR((INDEX(終値!$E:$E,MATCH(TEXT(C141,"0"),終値!$A:$A,0))-INDEX(終値!$E:$BL,MATCH(TEXT(C141,"0"),終値!$A:$A,0),$AN$2))/INDEX(終値!$E:$BL,MATCH(TEXT(C141,"0"),終値!$A:$A,0),$AN$2)*100,""))</f>
        <v>-5.2451539338654509</v>
      </c>
      <c r="AJ141" s="412" cm="1">
        <f t="array" ref="AJ141">IFERROR((終値!$E$5-INDEX(終値!$E$5:$BL$5,1,$AN$2))/INDEX(終値!$E$5:$BL$5,1,$AN$2)*100,"")</f>
        <v>3.4532270246721688</v>
      </c>
      <c r="AK141" s="413">
        <f t="shared" si="61"/>
        <v>-8.6983809585376193</v>
      </c>
      <c r="AL141" s="411">
        <f t="shared" si="62"/>
        <v>3</v>
      </c>
      <c r="AO141" s="415" t="str">
        <f t="shared" si="63"/>
        <v>通常</v>
      </c>
      <c r="AP141" s="416">
        <f t="shared" si="64"/>
        <v>0</v>
      </c>
      <c r="AQ141">
        <f>IF(C141&lt;&gt;"",始値!F29,"")</f>
        <v>1225</v>
      </c>
      <c r="AR141">
        <f>IF(C141&lt;&gt;"",高値!F29,"")</f>
        <v>1247</v>
      </c>
      <c r="AS141">
        <f>IF(C141&lt;&gt;"",安値!F29,"")</f>
        <v>1219</v>
      </c>
      <c r="AT141" t="str">
        <f t="shared" si="58"/>
        <v>通常</v>
      </c>
      <c r="AU141">
        <f t="shared" si="65"/>
        <v>0</v>
      </c>
    </row>
    <row r="142" spans="1:47" ht="14.25">
      <c r="A142" s="357" t="str">
        <f>IF(銘柄管理!B48&lt;&gt;"",HYPERLINK("https://kabutan.jp/stock/?code="&amp;銘柄管理!B48,"株探"),"")</f>
        <v>株探</v>
      </c>
      <c r="B142" s="230"/>
      <c r="C142" s="230">
        <f>IF(銘柄管理!B48="","",銘柄管理!B48)</f>
        <v>3941</v>
      </c>
      <c r="D142" s="230" t="str">
        <f>IF(銘柄管理!C48="","",銘柄管理!C48)</f>
        <v>レンゴー</v>
      </c>
      <c r="E142" s="358">
        <f>IF(C142&lt;&gt;"",_xll.RssMarket(C142,"現在値"),"")</f>
        <v>1408</v>
      </c>
      <c r="F142" s="358">
        <f>IF(C142&lt;&gt;"",_xll.RssMarket(C142,"始値"),"")</f>
        <v>1416.5</v>
      </c>
      <c r="G142" s="230">
        <f>IF(C142&lt;&gt;"",終値!F48,"")</f>
        <v>1413</v>
      </c>
      <c r="H142" s="358">
        <f>IF(C142&lt;&gt;"",_xll.RssMarket(C142,"高値"),"")</f>
        <v>1429</v>
      </c>
      <c r="I142" s="358">
        <f>IF(C142&lt;&gt;"",_xll.RssMarket(C142,"安値"),"")</f>
        <v>1400</v>
      </c>
      <c r="J142" s="358">
        <f>IF(C142&lt;&gt;"",_xll.RssMarket(C142,"出来高"),"")</f>
        <v>825300</v>
      </c>
      <c r="K142" s="358">
        <f>IF(C142&lt;&gt;"",_xll.RssMarket(C142,"年初来高値"),"")</f>
        <v>1565</v>
      </c>
      <c r="L142" s="359">
        <f t="shared" si="44"/>
        <v>-10.031948881789138</v>
      </c>
      <c r="M142" s="358">
        <f>IF(C142&lt;&gt;"",IFERROR(AVERAGE(出来高!E48:I48),""),"")</f>
        <v>802960</v>
      </c>
      <c r="N142" s="358">
        <f>IF(C142&lt;&gt;"",IFERROR(AVERAGE(出来高!E48:AC48),""),"")</f>
        <v>1187712</v>
      </c>
      <c r="O142" s="360">
        <f t="shared" si="45"/>
        <v>1.0278220583839792</v>
      </c>
      <c r="P142" s="230" t="str">
        <f t="shared" si="46"/>
        <v>普通→</v>
      </c>
      <c r="Q142" s="230" t="str">
        <f t="shared" si="47"/>
        <v>中立→</v>
      </c>
      <c r="R142" s="358">
        <f t="shared" si="48"/>
        <v>1295</v>
      </c>
      <c r="S142" s="358">
        <f t="shared" si="49"/>
        <v>1464</v>
      </c>
      <c r="T142" s="350">
        <f t="shared" si="50"/>
        <v>1</v>
      </c>
      <c r="U142" s="230" t="str">
        <f t="shared" si="51"/>
        <v>除外</v>
      </c>
      <c r="V142" s="230" t="str">
        <f t="shared" si="52"/>
        <v>通常</v>
      </c>
      <c r="W142" s="361" cm="1">
        <f t="array" ref="W142">IFERROR(100-100/(1+SUMPRODUCT((終値!F48:R48&gt;終値!G48:S48)*(終値!F48:R48-終値!G48:S48))/SUMPRODUCT((終値!F48:R48&lt;終値!G48:S48)*(終値!G48:S48-終値!F48:R48))),50)</f>
        <v>55.2</v>
      </c>
      <c r="X142" s="362">
        <f>IF(C142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1.6214291969010901</v>
      </c>
      <c r="Y142" s="230" t="str">
        <f t="shared" si="53"/>
        <v>相場上昇・見送り | パーフェクト▲ MACD+ RSI:55.2 前日比:-0.4%前日[長い下ヒゲ(反発)] [1点]</v>
      </c>
      <c r="Z142" s="363">
        <f t="shared" si="54"/>
        <v>-0.35385704175513089</v>
      </c>
      <c r="AA142" s="230" t="str">
        <f t="shared" si="55"/>
        <v>下落▼</v>
      </c>
      <c r="AB142" s="358">
        <f>IF(OR(C142="",C142="TOPX",終値!E48=""),"",IFERROR(((終値!E48*0.333)+(終値!F48*0.222)+(終値!G48*0.148)+(終値!H48*0.099)+(終値!I48*0.066))/(0.333+0.222+0.148+0.099+0.066),""))</f>
        <v>1399.5887096774193</v>
      </c>
      <c r="AC142" s="358">
        <f>IF(OR(C142="",C142="TOPX",終値!E48=""),"",IFERROR(SUMPRODUCT((終値!E48:AC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1391.4791418355182</v>
      </c>
      <c r="AD142" s="230" t="str">
        <f t="shared" si="56"/>
        <v>パーフェクト▲</v>
      </c>
      <c r="AE142" s="230" t="str">
        <f t="shared" si="57"/>
        <v>なし</v>
      </c>
      <c r="AF142" t="str">
        <f>IF(T142="","",IF(銘柄管理!$F$5="上昇▲",IF(AND(AD142="下降トレンド▼",OR(AE142="25日戻り売り★",AE142="5日戻り売り○")),"★逆張り売り",IF(AND(AD142="もみ合い→",OR(AE142="25日戻り売り★",AE142="5日戻り売り○")),"○逆張り売り",IF(W142&gt;=70,IF(Z142&lt;0,"◎反落確認","△過熱・様子見"),"相場上昇・見送り"))),IF(AND(T142&gt;=12,AD142="下降トレンド▼"),"★強い売り",IF(T142&gt;=12,"★強い売り",IF(AND(T142&gt;=8,OR(AE142="25日戻り売り★",AE142="5日戻り売り○")),"◎戻り売り",IF(T142&gt;=10,"○売り候補",IF(T142&gt;=6,"△注目",IF(T142&gt;=3,"様子見","見送り"))))))))</f>
        <v>相場上昇・見送り</v>
      </c>
      <c r="AG142">
        <f t="shared" si="59"/>
        <v>0</v>
      </c>
      <c r="AH142">
        <f t="shared" si="60"/>
        <v>0</v>
      </c>
      <c r="AI142" s="412" cm="1">
        <f t="array" ref="AI142">IF(C142="","",IFERROR((INDEX(終値!$E:$E,MATCH(TEXT(C142,"0"),終値!$A:$A,0))-INDEX(終値!$E:$BL,MATCH(TEXT(C142,"0"),終値!$A:$A,0),$AN$2))/INDEX(終値!$E:$BL,MATCH(TEXT(C142,"0"),終値!$A:$A,0),$AN$2)*100,""))</f>
        <v>1.6606498194945849</v>
      </c>
      <c r="AJ142" s="412" cm="1">
        <f t="array" ref="AJ142">IFERROR((終値!$E$5-INDEX(終値!$E$5:$BL$5,1,$AN$2))/INDEX(終値!$E$5:$BL$5,1,$AN$2)*100,"")</f>
        <v>3.4532270246721688</v>
      </c>
      <c r="AK142" s="413">
        <f t="shared" si="61"/>
        <v>-1.7925772051775839</v>
      </c>
      <c r="AL142" s="411">
        <f t="shared" si="62"/>
        <v>1</v>
      </c>
      <c r="AO142" s="415" t="str">
        <f t="shared" si="63"/>
        <v>通常</v>
      </c>
      <c r="AP142" s="416">
        <f t="shared" si="64"/>
        <v>0</v>
      </c>
      <c r="AQ142">
        <f>IF(C142&lt;&gt;"",始値!F48,"")</f>
        <v>1420.5</v>
      </c>
      <c r="AR142">
        <f>IF(C142&lt;&gt;"",高値!F48,"")</f>
        <v>1421</v>
      </c>
      <c r="AS142">
        <f>IF(C142&lt;&gt;"",安値!F48,"")</f>
        <v>1391</v>
      </c>
      <c r="AT142" t="str">
        <f t="shared" si="58"/>
        <v>長い下ヒゲ(反発)</v>
      </c>
      <c r="AU142">
        <f t="shared" si="65"/>
        <v>-2</v>
      </c>
    </row>
    <row r="143" spans="1:47" ht="14.25">
      <c r="A143" s="349" t="str">
        <f>IF(銘柄管理!B88&lt;&gt;"",HYPERLINK("https://kabutan.jp/stock/?code="&amp;銘柄管理!B88,"株探"),"")</f>
        <v>株探</v>
      </c>
      <c r="B143" s="350"/>
      <c r="C143" s="350">
        <f>IF(銘柄管理!B88="","",銘柄管理!B88)</f>
        <v>3003</v>
      </c>
      <c r="D143" s="350" t="str">
        <f>IF(銘柄管理!C88="","",銘柄管理!C88)</f>
        <v>ヒューリック</v>
      </c>
      <c r="E143" s="351">
        <f>IF(C143&lt;&gt;"",_xll.RssMarket(C143,"現在値"),"")</f>
        <v>1716</v>
      </c>
      <c r="F143" s="351">
        <f>IF(C143&lt;&gt;"",_xll.RssMarket(C143,"始値"),"")</f>
        <v>1733</v>
      </c>
      <c r="G143" s="350">
        <f>IF(C143&lt;&gt;"",終値!F88,"")</f>
        <v>1704.5</v>
      </c>
      <c r="H143" s="351">
        <f>IF(C143&lt;&gt;"",_xll.RssMarket(C143,"高値"),"")</f>
        <v>1733</v>
      </c>
      <c r="I143" s="351">
        <f>IF(C143&lt;&gt;"",_xll.RssMarket(C143,"安値"),"")</f>
        <v>1702.5</v>
      </c>
      <c r="J143" s="351">
        <f>IF(C143&lt;&gt;"",_xll.RssMarket(C143,"出来高"),"")</f>
        <v>1869700</v>
      </c>
      <c r="K143" s="351">
        <f>IF(C143&lt;&gt;"",_xll.RssMarket(C143,"年初来高値"),"")</f>
        <v>2094</v>
      </c>
      <c r="L143" s="352">
        <f t="shared" si="44"/>
        <v>-18.05157593123209</v>
      </c>
      <c r="M143" s="351">
        <f>IF(C143&lt;&gt;"",IFERROR(AVERAGE(出来高!E88:I88),""),"")</f>
        <v>3144340</v>
      </c>
      <c r="N143" s="351">
        <f>IF(C143&lt;&gt;"",IFERROR(AVERAGE(出来高!E88:AC88),""),"")</f>
        <v>3275648</v>
      </c>
      <c r="O143" s="353">
        <f t="shared" si="45"/>
        <v>0.59462399104422548</v>
      </c>
      <c r="P143" s="350" t="str">
        <f t="shared" si="46"/>
        <v>減少↓</v>
      </c>
      <c r="Q143" s="350" t="str">
        <f t="shared" si="47"/>
        <v>様子見▲</v>
      </c>
      <c r="R143" s="351">
        <f t="shared" si="48"/>
        <v>1579</v>
      </c>
      <c r="S143" s="351">
        <f t="shared" si="49"/>
        <v>1785</v>
      </c>
      <c r="T143" s="350">
        <f t="shared" si="50"/>
        <v>8</v>
      </c>
      <c r="U143" s="350" t="str">
        <f t="shared" si="51"/>
        <v>要確認</v>
      </c>
      <c r="V143" s="350" t="str">
        <f t="shared" si="52"/>
        <v>通常</v>
      </c>
      <c r="W143" s="354" cm="1">
        <f t="array" ref="W143">IFERROR(100-100/(1+SUMPRODUCT((終値!F88:R88&gt;終値!G88:S88)*(終値!F88:R88-終値!G88:S88))/SUMPRODUCT((終値!F88:R88&lt;終値!G88:S88)*(終値!G88:S88-終値!F88:R88))),50)</f>
        <v>56.81818181818182</v>
      </c>
      <c r="X143" s="355">
        <f>IF(C143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-1.1565849649127813</v>
      </c>
      <c r="Y143" s="350" t="str">
        <f t="shared" si="53"/>
        <v>相場上昇・見送り | 上昇トレンド▲ 5日戻り売り○ MACD- RSI:56.8 前日比:+0.7% [8点]</v>
      </c>
      <c r="Z143" s="356">
        <f t="shared" si="54"/>
        <v>0.67468465825755353</v>
      </c>
      <c r="AA143" s="350" t="str">
        <f t="shared" si="55"/>
        <v>上昇▲</v>
      </c>
      <c r="AB143" s="351">
        <f>IF(OR(C143="",C143="TOPX",終値!E88=""),"",IFERROR(((終値!E88*0.333)+(終値!F88*0.222)+(終値!G88*0.148)+(終値!H88*0.099)+(終値!I88*0.066))/(0.333+0.222+0.148+0.099+0.066),""))</f>
        <v>1716.1802995391704</v>
      </c>
      <c r="AC143" s="351">
        <f>IF(OR(C143="",C143="TOPX",終値!E88=""),"",IFERROR(SUMPRODUCT((終値!E88:AC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1697.7294398092961</v>
      </c>
      <c r="AD143" s="350" t="str">
        <f t="shared" si="56"/>
        <v>上昇トレンド▲</v>
      </c>
      <c r="AE143" s="350" t="str">
        <f t="shared" si="57"/>
        <v>5日戻り売り○</v>
      </c>
      <c r="AF143" t="str">
        <f>IF(T143="","",IF(銘柄管理!$F$5="上昇▲",IF(AND(AD143="下降トレンド▼",OR(AE143="25日戻り売り★",AE143="5日戻り売り○")),"★逆張り売り",IF(AND(AD143="もみ合い→",OR(AE143="25日戻り売り★",AE143="5日戻り売り○")),"○逆張り売り",IF(W143&gt;=70,IF(Z143&lt;0,"◎反落確認","△過熱・様子見"),"相場上昇・見送り"))),IF(AND(T143&gt;=12,AD143="下降トレンド▼"),"★強い売り",IF(T143&gt;=12,"★強い売り",IF(AND(T143&gt;=8,OR(AE143="25日戻り売り★",AE143="5日戻り売り○")),"◎戻り売り",IF(T143&gt;=10,"○売り候補",IF(T143&gt;=6,"△注目",IF(T143&gt;=3,"様子見","見送り"))))))))</f>
        <v>相場上昇・見送り</v>
      </c>
      <c r="AG143">
        <f t="shared" si="59"/>
        <v>8</v>
      </c>
      <c r="AH143">
        <f t="shared" si="60"/>
        <v>79857</v>
      </c>
      <c r="AI143" s="412" cm="1">
        <f t="array" ref="AI143">IF(C143="","",IFERROR((INDEX(終値!$E:$E,MATCH(TEXT(C143,"0"),終値!$A:$A,0))-INDEX(終値!$E:$BL,MATCH(TEXT(C143,"0"),終値!$A:$A,0),$AN$2))/INDEX(終値!$E:$BL,MATCH(TEXT(C143,"0"),終値!$A:$A,0),$AN$2)*100,""))</f>
        <v>-2.5</v>
      </c>
      <c r="AJ143" s="412" cm="1">
        <f t="array" ref="AJ143">IFERROR((終値!$E$5-INDEX(終値!$E$5:$BL$5,1,$AN$2))/INDEX(終値!$E$5:$BL$5,1,$AN$2)*100,"")</f>
        <v>3.4532270246721688</v>
      </c>
      <c r="AK143" s="413">
        <f t="shared" si="61"/>
        <v>-5.9532270246721684</v>
      </c>
      <c r="AL143" s="411">
        <f t="shared" si="62"/>
        <v>3</v>
      </c>
      <c r="AO143" s="415" t="str">
        <f t="shared" si="63"/>
        <v>通常</v>
      </c>
      <c r="AP143" s="416">
        <f t="shared" si="64"/>
        <v>0</v>
      </c>
      <c r="AQ143">
        <f>IF(C143&lt;&gt;"",始値!F88,"")</f>
        <v>1725</v>
      </c>
      <c r="AR143">
        <f>IF(C143&lt;&gt;"",高値!F88,"")</f>
        <v>1734.5</v>
      </c>
      <c r="AS143">
        <f>IF(C143&lt;&gt;"",安値!F88,"")</f>
        <v>1698.5</v>
      </c>
      <c r="AT143" t="str">
        <f t="shared" si="58"/>
        <v>通常</v>
      </c>
      <c r="AU143">
        <f t="shared" si="65"/>
        <v>0</v>
      </c>
    </row>
    <row r="144" spans="1:47" ht="14.25">
      <c r="A144" s="357" t="str">
        <f>IF(銘柄管理!B93&lt;&gt;"",HYPERLINK("https://kabutan.jp/stock/?code="&amp;銘柄管理!B93,"株探"),"")</f>
        <v>株探</v>
      </c>
      <c r="B144" s="230"/>
      <c r="C144" s="230">
        <f>IF(銘柄管理!B93="","",銘柄管理!B93)</f>
        <v>7746</v>
      </c>
      <c r="D144" s="230" t="str">
        <f>IF(銘柄管理!C93="","",銘柄管理!C93)</f>
        <v>岡本硝子</v>
      </c>
      <c r="E144" s="358">
        <f>IF(C144&lt;&gt;"",_xll.RssMarket(C144,"現在値"),"")</f>
        <v>828</v>
      </c>
      <c r="F144" s="358">
        <f>IF(C144&lt;&gt;"",_xll.RssMarket(C144,"始値"),"")</f>
        <v>852</v>
      </c>
      <c r="G144" s="230">
        <f>IF(C144&lt;&gt;"",終値!F93,"")</f>
        <v>897</v>
      </c>
      <c r="H144" s="358">
        <f>IF(C144&lt;&gt;"",_xll.RssMarket(C144,"高値"),"")</f>
        <v>857</v>
      </c>
      <c r="I144" s="358">
        <f>IF(C144&lt;&gt;"",_xll.RssMarket(C144,"安値"),"")</f>
        <v>811</v>
      </c>
      <c r="J144" s="358">
        <f>IF(C144&lt;&gt;"",_xll.RssMarket(C144,"出来高"),"")</f>
        <v>1408400</v>
      </c>
      <c r="K144" s="358">
        <f>IF(C144&lt;&gt;"",_xll.RssMarket(C144,"年初来高値"),"")</f>
        <v>1638</v>
      </c>
      <c r="L144" s="359">
        <f t="shared" si="44"/>
        <v>-49.450549450549453</v>
      </c>
      <c r="M144" s="358">
        <f>IF(C144&lt;&gt;"",IFERROR(AVERAGE(出来高!E93:I93),""),"")</f>
        <v>2429660</v>
      </c>
      <c r="N144" s="358">
        <f>IF(C144&lt;&gt;"",IFERROR(AVERAGE(出来高!E93:AC93),""),"")</f>
        <v>1406484</v>
      </c>
      <c r="O144" s="360">
        <f t="shared" si="45"/>
        <v>0.57966958339850017</v>
      </c>
      <c r="P144" s="230" t="str">
        <f t="shared" si="46"/>
        <v>減少↓</v>
      </c>
      <c r="Q144" s="230" t="str">
        <f t="shared" si="47"/>
        <v>中立→</v>
      </c>
      <c r="R144" s="358">
        <f t="shared" si="48"/>
        <v>762</v>
      </c>
      <c r="S144" s="358">
        <f t="shared" si="49"/>
        <v>861</v>
      </c>
      <c r="T144" s="350">
        <f t="shared" si="50"/>
        <v>8</v>
      </c>
      <c r="U144" s="230" t="str">
        <f t="shared" si="51"/>
        <v>要確認</v>
      </c>
      <c r="V144" s="230" t="str">
        <f t="shared" si="52"/>
        <v>年初来安値圏●</v>
      </c>
      <c r="W144" s="361" cm="1">
        <f t="array" ref="W144">IFERROR(100-100/(1+SUMPRODUCT((終値!F93:R93&gt;終値!G93:S93)*(終値!F93:R93-終値!G93:S93))/SUMPRODUCT((終値!F93:R93&lt;終値!G93:S93)*(終値!G93:S93-終値!F93:R93))),50)</f>
        <v>50.401606425702802</v>
      </c>
      <c r="X144" s="362">
        <f>IF(C144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-16.230891700730922</v>
      </c>
      <c r="Y144" s="230" t="str">
        <f t="shared" si="53"/>
        <v>相場上昇・見送り | 上昇トレンド▲ MACD- RSI:50.4 前日比:-7.7% [年初来安値圏] [8点]</v>
      </c>
      <c r="Z144" s="363">
        <f t="shared" si="54"/>
        <v>-7.6923076923076925</v>
      </c>
      <c r="AA144" s="230" t="str">
        <f t="shared" si="55"/>
        <v>下落▼</v>
      </c>
      <c r="AB144" s="358">
        <f>IF(OR(C144="",C144="TOPX",終値!E93=""),"",IFERROR(((終値!E93*0.333)+(終値!F93*0.222)+(終値!G93*0.148)+(終値!H93*0.099)+(終値!I93*0.066))/(0.333+0.222+0.148+0.099+0.066),""))</f>
        <v>801.8732718894006</v>
      </c>
      <c r="AC144" s="358">
        <f>IF(OR(C144="",C144="TOPX",終値!E93=""),"",IFERROR(SUMPRODUCT((終値!E93:AC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802.80572109654327</v>
      </c>
      <c r="AD144" s="230" t="str">
        <f t="shared" si="56"/>
        <v>上昇トレンド▲</v>
      </c>
      <c r="AE144" s="230" t="str">
        <f t="shared" si="57"/>
        <v>なし</v>
      </c>
      <c r="AF144" t="str">
        <f>IF(T144="","",IF(銘柄管理!$F$5="上昇▲",IF(AND(AD144="下降トレンド▼",OR(AE144="25日戻り売り★",AE144="5日戻り売り○")),"★逆張り売り",IF(AND(AD144="もみ合い→",OR(AE144="25日戻り売り★",AE144="5日戻り売り○")),"○逆張り売り",IF(W144&gt;=70,IF(Z144&lt;0,"◎反落確認","△過熱・様子見"),"相場上昇・見送り"))),IF(AND(T144&gt;=12,AD144="下降トレンド▼"),"★強い売り",IF(T144&gt;=12,"★強い売り",IF(AND(T144&gt;=8,OR(AE144="25日戻り売り★",AE144="5日戻り売り○")),"◎戻り売り",IF(T144&gt;=10,"○売り候補",IF(T144&gt;=6,"△注目",IF(T144&gt;=3,"様子見","見送り"))))))))</f>
        <v>相場上昇・見送り</v>
      </c>
      <c r="AG144">
        <f t="shared" si="59"/>
        <v>8</v>
      </c>
      <c r="AH144">
        <f t="shared" si="60"/>
        <v>79856</v>
      </c>
      <c r="AI144" s="412" cm="1">
        <f t="array" ref="AI144">IF(C144="","",IFERROR((INDEX(終値!$E:$E,MATCH(TEXT(C144,"0"),終値!$A:$A,0))-INDEX(終値!$E:$BL,MATCH(TEXT(C144,"0"),終値!$A:$A,0),$AN$2))/INDEX(終値!$E:$BL,MATCH(TEXT(C144,"0"),終値!$A:$A,0),$AN$2)*100,""))</f>
        <v>6.2901155327342746</v>
      </c>
      <c r="AJ144" s="412" cm="1">
        <f t="array" ref="AJ144">IFERROR((終値!$E$5-INDEX(終値!$E$5:$BL$5,1,$AN$2))/INDEX(終値!$E$5:$BL$5,1,$AN$2)*100,"")</f>
        <v>3.4532270246721688</v>
      </c>
      <c r="AK144" s="413">
        <f t="shared" si="61"/>
        <v>2.8368885080621058</v>
      </c>
      <c r="AL144" s="411">
        <f t="shared" si="62"/>
        <v>-1</v>
      </c>
      <c r="AO144" s="415" t="str">
        <f t="shared" si="63"/>
        <v>通常</v>
      </c>
      <c r="AP144" s="416">
        <f t="shared" si="64"/>
        <v>0</v>
      </c>
      <c r="AQ144">
        <f>IF(C144&lt;&gt;"",始値!F93,"")</f>
        <v>738</v>
      </c>
      <c r="AR144">
        <f>IF(C144&lt;&gt;"",高値!F93,"")</f>
        <v>897</v>
      </c>
      <c r="AS144">
        <f>IF(C144&lt;&gt;"",安値!F93,"")</f>
        <v>718</v>
      </c>
      <c r="AT144" t="str">
        <f t="shared" si="58"/>
        <v>通常</v>
      </c>
      <c r="AU144">
        <f t="shared" si="65"/>
        <v>0</v>
      </c>
    </row>
    <row r="145" spans="1:47" ht="14.25">
      <c r="A145" s="349" t="str">
        <f>IF(銘柄管理!B98&lt;&gt;"",HYPERLINK("https://kabutan.jp/stock/?code="&amp;銘柄管理!B98,"株探"),"")</f>
        <v>株探</v>
      </c>
      <c r="B145" s="350"/>
      <c r="C145" s="350">
        <f>IF(銘柄管理!B98="","",銘柄管理!B98)</f>
        <v>4188</v>
      </c>
      <c r="D145" s="350" t="str">
        <f>IF(銘柄管理!C98="","",銘柄管理!C98)</f>
        <v>三菱ケミカルグループ</v>
      </c>
      <c r="E145" s="351">
        <f>IF(C145&lt;&gt;"",_xll.RssMarket(C145,"現在値"),"")</f>
        <v>1140</v>
      </c>
      <c r="F145" s="351">
        <f>IF(C145&lt;&gt;"",_xll.RssMarket(C145,"始値"),"")</f>
        <v>1098</v>
      </c>
      <c r="G145" s="350">
        <f>IF(C145&lt;&gt;"",終値!F98,"")</f>
        <v>1104.5</v>
      </c>
      <c r="H145" s="351">
        <f>IF(C145&lt;&gt;"",_xll.RssMarket(C145,"高値"),"")</f>
        <v>1140</v>
      </c>
      <c r="I145" s="351">
        <f>IF(C145&lt;&gt;"",_xll.RssMarket(C145,"安値"),"")</f>
        <v>1093</v>
      </c>
      <c r="J145" s="351">
        <f>IF(C145&lt;&gt;"",_xll.RssMarket(C145,"出来高"),"")</f>
        <v>7563000</v>
      </c>
      <c r="K145" s="351">
        <f>IF(C145&lt;&gt;"",_xll.RssMarket(C145,"年初来高値"),"")</f>
        <v>1171</v>
      </c>
      <c r="L145" s="352">
        <f t="shared" si="44"/>
        <v>-2.6473099914602902</v>
      </c>
      <c r="M145" s="351">
        <f>IF(C145&lt;&gt;"",IFERROR(AVERAGE(出来高!E98:I98),""),"")</f>
        <v>6250060</v>
      </c>
      <c r="N145" s="351">
        <f>IF(C145&lt;&gt;"",IFERROR(AVERAGE(出来高!E98:AC98),""),"")</f>
        <v>7993872</v>
      </c>
      <c r="O145" s="353">
        <f t="shared" si="45"/>
        <v>1.21006838334352</v>
      </c>
      <c r="P145" s="350" t="str">
        <f t="shared" si="46"/>
        <v>普通→</v>
      </c>
      <c r="Q145" s="350" t="str">
        <f t="shared" si="47"/>
        <v>様子見▲</v>
      </c>
      <c r="R145" s="351">
        <f t="shared" si="48"/>
        <v>1049</v>
      </c>
      <c r="S145" s="351">
        <f t="shared" si="49"/>
        <v>1186</v>
      </c>
      <c r="T145" s="350">
        <f t="shared" si="50"/>
        <v>-1</v>
      </c>
      <c r="U145" s="350" t="str">
        <f t="shared" si="51"/>
        <v>除外</v>
      </c>
      <c r="V145" s="350" t="str">
        <f t="shared" si="52"/>
        <v>通常</v>
      </c>
      <c r="W145" s="354" cm="1">
        <f t="array" ref="W145">IFERROR(100-100/(1+SUMPRODUCT((終値!F98:R98&gt;終値!G98:S98)*(終値!F98:R98-終値!G98:S98))/SUMPRODUCT((終値!F98:R98&lt;終値!G98:S98)*(終値!G98:S98-終値!F98:R98))),50)</f>
        <v>52.500000000000007</v>
      </c>
      <c r="X145" s="355">
        <f>IF(C145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6.0984120697826256</v>
      </c>
      <c r="Y145" s="350" t="str">
        <f t="shared" si="53"/>
        <v>相場上昇・見送り | パーフェクト▲ MACD+ RSI:52.5 前日比:+3.2% [-1点]</v>
      </c>
      <c r="Z145" s="356">
        <f t="shared" si="54"/>
        <v>3.2141240380262559</v>
      </c>
      <c r="AA145" s="350" t="str">
        <f t="shared" si="55"/>
        <v>上昇▲</v>
      </c>
      <c r="AB145" s="351">
        <f>IF(OR(C145="",C145="TOPX",終値!E98=""),"",IFERROR(((終値!E98*0.333)+(終値!F98*0.222)+(終値!G98*0.148)+(終値!H98*0.099)+(終値!I98*0.066))/(0.333+0.222+0.148+0.099+0.066),""))</f>
        <v>1099.7511520737326</v>
      </c>
      <c r="AC145" s="351">
        <f>IF(OR(C145="",C145="TOPX",終値!E98=""),"",IFERROR(SUMPRODUCT((終値!E98:AC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1070.4723480333728</v>
      </c>
      <c r="AD145" s="350" t="str">
        <f t="shared" si="56"/>
        <v>パーフェクト▲</v>
      </c>
      <c r="AE145" s="350" t="str">
        <f t="shared" si="57"/>
        <v>なし</v>
      </c>
      <c r="AF145" t="str">
        <f>IF(T145="","",IF(銘柄管理!$F$5="上昇▲",IF(AND(AD145="下降トレンド▼",OR(AE145="25日戻り売り★",AE145="5日戻り売り○")),"★逆張り売り",IF(AND(AD145="もみ合い→",OR(AE145="25日戻り売り★",AE145="5日戻り売り○")),"○逆張り売り",IF(W145&gt;=70,IF(Z145&lt;0,"◎反落確認","△過熱・様子見"),"相場上昇・見送り"))),IF(AND(T145&gt;=12,AD145="下降トレンド▼"),"★強い売り",IF(T145&gt;=12,"★強い売り",IF(AND(T145&gt;=8,OR(AE145="25日戻り売り★",AE145="5日戻り売り○")),"◎戻り売り",IF(T145&gt;=10,"○売り候補",IF(T145&gt;=6,"△注目",IF(T145&gt;=3,"様子見","見送り"))))))))</f>
        <v>相場上昇・見送り</v>
      </c>
      <c r="AG145">
        <f t="shared" si="59"/>
        <v>0</v>
      </c>
      <c r="AH145">
        <f t="shared" si="60"/>
        <v>0</v>
      </c>
      <c r="AI145" s="412" cm="1">
        <f t="array" ref="AI145">IF(C145="","",IFERROR((INDEX(終値!$E:$E,MATCH(TEXT(C145,"0"),終値!$A:$A,0))-INDEX(終値!$E:$BL,MATCH(TEXT(C145,"0"),終値!$A:$A,0),$AN$2))/INDEX(終値!$E:$BL,MATCH(TEXT(C145,"0"),終値!$A:$A,0),$AN$2)*100,""))</f>
        <v>8.159392789373813</v>
      </c>
      <c r="AJ145" s="412" cm="1">
        <f t="array" ref="AJ145">IFERROR((終値!$E$5-INDEX(終値!$E$5:$BL$5,1,$AN$2))/INDEX(終値!$E$5:$BL$5,1,$AN$2)*100,"")</f>
        <v>3.4532270246721688</v>
      </c>
      <c r="AK145" s="413">
        <f t="shared" si="61"/>
        <v>4.7061657647016446</v>
      </c>
      <c r="AL145" s="411">
        <f t="shared" si="62"/>
        <v>-2</v>
      </c>
      <c r="AO145" s="415" t="str">
        <f t="shared" si="63"/>
        <v>通常</v>
      </c>
      <c r="AP145" s="416">
        <f t="shared" si="64"/>
        <v>0</v>
      </c>
      <c r="AQ145">
        <f>IF(C145&lt;&gt;"",始値!F98,"")</f>
        <v>1112.5</v>
      </c>
      <c r="AR145">
        <f>IF(C145&lt;&gt;"",高値!F98,"")</f>
        <v>1119</v>
      </c>
      <c r="AS145">
        <f>IF(C145&lt;&gt;"",安値!F98,"")</f>
        <v>1103</v>
      </c>
      <c r="AT145" t="str">
        <f t="shared" si="58"/>
        <v>通常</v>
      </c>
      <c r="AU145">
        <f t="shared" si="65"/>
        <v>0</v>
      </c>
    </row>
    <row r="146" spans="1:47" ht="14.25">
      <c r="A146" s="357" t="str">
        <f>IF(銘柄管理!B111&lt;&gt;"",HYPERLINK("https://kabutan.jp/stock/?code="&amp;銘柄管理!B111,"株探"),"")</f>
        <v>株探</v>
      </c>
      <c r="B146" s="230"/>
      <c r="C146" s="230">
        <f>IF(銘柄管理!B111="","",銘柄管理!B111)</f>
        <v>9227</v>
      </c>
      <c r="D146" s="230" t="str">
        <f>IF(銘柄管理!C111="","",銘柄管理!C111)</f>
        <v>マイクロ波化学</v>
      </c>
      <c r="E146" s="358">
        <f>IF(C146&lt;&gt;"",_xll.RssMarket(C146,"現在値"),"")</f>
        <v>881</v>
      </c>
      <c r="F146" s="358">
        <f>IF(C146&lt;&gt;"",_xll.RssMarket(C146,"始値"),"")</f>
        <v>877</v>
      </c>
      <c r="G146" s="230">
        <f>IF(C146&lt;&gt;"",終値!F111,"")</f>
        <v>865</v>
      </c>
      <c r="H146" s="358">
        <f>IF(C146&lt;&gt;"",_xll.RssMarket(C146,"高値"),"")</f>
        <v>896</v>
      </c>
      <c r="I146" s="358">
        <f>IF(C146&lt;&gt;"",_xll.RssMarket(C146,"安値"),"")</f>
        <v>868</v>
      </c>
      <c r="J146" s="358">
        <f>IF(C146&lt;&gt;"",_xll.RssMarket(C146,"出来高"),"")</f>
        <v>110100</v>
      </c>
      <c r="K146" s="358">
        <f>IF(C146&lt;&gt;"",_xll.RssMarket(C146,"年初来高値"),"")</f>
        <v>1620</v>
      </c>
      <c r="L146" s="359">
        <f t="shared" si="44"/>
        <v>-45.617283950617285</v>
      </c>
      <c r="M146" s="358">
        <f>IF(C146&lt;&gt;"",IFERROR(AVERAGE(出来高!E111:I111),""),"")</f>
        <v>177940</v>
      </c>
      <c r="N146" s="358">
        <f>IF(C146&lt;&gt;"",IFERROR(AVERAGE(出来高!E111:AC111),""),"")</f>
        <v>723016</v>
      </c>
      <c r="O146" s="360">
        <f t="shared" si="45"/>
        <v>0.61874789254804985</v>
      </c>
      <c r="P146" s="230" t="str">
        <f t="shared" si="46"/>
        <v>減少↓</v>
      </c>
      <c r="Q146" s="230" t="str">
        <f t="shared" si="47"/>
        <v>様子見▲</v>
      </c>
      <c r="R146" s="358">
        <f t="shared" si="48"/>
        <v>811</v>
      </c>
      <c r="S146" s="358">
        <f t="shared" si="49"/>
        <v>916</v>
      </c>
      <c r="T146" s="350">
        <f t="shared" si="50"/>
        <v>11</v>
      </c>
      <c r="U146" s="230" t="str">
        <f t="shared" si="51"/>
        <v>要確認</v>
      </c>
      <c r="V146" s="230" t="str">
        <f t="shared" si="52"/>
        <v>年初来安値圏●</v>
      </c>
      <c r="W146" s="361" cm="1">
        <f t="array" ref="W146">IFERROR(100-100/(1+SUMPRODUCT((終値!F111:R111&gt;終値!G111:S111)*(終値!F111:R111-終値!G111:S111))/SUMPRODUCT((終値!F111:R111&lt;終値!G111:S111)*(終値!G111:S111-終値!F111:R111))),50)</f>
        <v>44.412607449856736</v>
      </c>
      <c r="X146" s="362">
        <f>IF(C146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-7.9897229331431845</v>
      </c>
      <c r="Y146" s="230" t="str">
        <f t="shared" si="53"/>
        <v>相場上昇・見送り | もみ合い→ MACD- RSI:44.4 前日比:+1.8% [年初来安値圏]前日[大陰線▼] [11点]</v>
      </c>
      <c r="Z146" s="363">
        <f t="shared" si="54"/>
        <v>1.8497109826589597</v>
      </c>
      <c r="AA146" s="230" t="str">
        <f t="shared" si="55"/>
        <v>上昇▲</v>
      </c>
      <c r="AB146" s="358">
        <f>IF(OR(C146="",C146="TOPX",終値!E111=""),"",IFERROR(((終値!E111*0.333)+(終値!F111*0.222)+(終値!G111*0.148)+(終値!H111*0.099)+(終値!I111*0.066))/(0.333+0.222+0.148+0.099+0.066),""))</f>
        <v>874.76958525345606</v>
      </c>
      <c r="AC146" s="358">
        <f>IF(OR(C146="",C146="TOPX",終値!E111=""),"",IFERROR(SUMPRODUCT((終値!E111:AC111)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917.47079856972539</v>
      </c>
      <c r="AD146" s="230" t="str">
        <f t="shared" si="56"/>
        <v>もみ合い→</v>
      </c>
      <c r="AE146" s="230" t="str">
        <f t="shared" si="57"/>
        <v>なし</v>
      </c>
      <c r="AF146" t="str">
        <f>IF(T146="","",IF(銘柄管理!$F$5="上昇▲",IF(AND(AD146="下降トレンド▼",OR(AE146="25日戻り売り★",AE146="5日戻り売り○")),"★逆張り売り",IF(AND(AD146="もみ合い→",OR(AE146="25日戻り売り★",AE146="5日戻り売り○")),"○逆張り売り",IF(W146&gt;=70,IF(Z146&lt;0,"◎反落確認","△過熱・様子見"),"相場上昇・見送り"))),IF(AND(T146&gt;=12,AD146="下降トレンド▼"),"★強い売り",IF(T146&gt;=12,"★強い売り",IF(AND(T146&gt;=8,OR(AE146="25日戻り売り★",AE146="5日戻り売り○")),"◎戻り売り",IF(T146&gt;=10,"○売り候補",IF(T146&gt;=6,"△注目",IF(T146&gt;=3,"様子見","見送り"))))))))</f>
        <v>相場上昇・見送り</v>
      </c>
      <c r="AG146">
        <f t="shared" si="59"/>
        <v>11</v>
      </c>
      <c r="AH146">
        <f t="shared" si="60"/>
        <v>109854</v>
      </c>
      <c r="AI146" s="412" cm="1">
        <f t="array" ref="AI146">IF(C146="","",IFERROR((INDEX(終値!$E:$E,MATCH(TEXT(C146,"0"),終値!$A:$A,0))-INDEX(終値!$E:$BL,MATCH(TEXT(C146,"0"),終値!$A:$A,0),$AN$2))/INDEX(終値!$E:$BL,MATCH(TEXT(C146,"0"),終値!$A:$A,0),$AN$2)*100,""))</f>
        <v>3.1615925058548009</v>
      </c>
      <c r="AJ146" s="412" cm="1">
        <f t="array" ref="AJ146">IFERROR((終値!$E$5-INDEX(終値!$E$5:$BL$5,1,$AN$2))/INDEX(終値!$E$5:$BL$5,1,$AN$2)*100,"")</f>
        <v>3.4532270246721688</v>
      </c>
      <c r="AK146" s="413">
        <f t="shared" si="61"/>
        <v>-0.2916345188173679</v>
      </c>
      <c r="AL146" s="411">
        <f t="shared" si="62"/>
        <v>1</v>
      </c>
      <c r="AO146" s="415" t="str">
        <f t="shared" si="63"/>
        <v>通常</v>
      </c>
      <c r="AP146" s="416">
        <f t="shared" si="64"/>
        <v>0</v>
      </c>
      <c r="AQ146">
        <f>IF(C146&lt;&gt;"",始値!F111,"")</f>
        <v>904</v>
      </c>
      <c r="AR146">
        <f>IF(C146&lt;&gt;"",高値!F111,"")</f>
        <v>906</v>
      </c>
      <c r="AS146">
        <f>IF(C146&lt;&gt;"",安値!F111,"")</f>
        <v>862</v>
      </c>
      <c r="AT146" t="str">
        <f t="shared" si="58"/>
        <v>大陰線▼</v>
      </c>
      <c r="AU146">
        <f t="shared" si="65"/>
        <v>2</v>
      </c>
    </row>
    <row r="147" spans="1:47" ht="14.25">
      <c r="A147" s="349" t="str">
        <f>IF(銘柄管理!B117&lt;&gt;"",HYPERLINK("https://kabutan.jp/stock/?code="&amp;銘柄管理!B117,"株探"),"")</f>
        <v>株探</v>
      </c>
      <c r="B147" s="350"/>
      <c r="C147" s="350">
        <f>IF(銘柄管理!B117="","",銘柄管理!B117)</f>
        <v>5838</v>
      </c>
      <c r="D147" s="350" t="str">
        <f>IF(銘柄管理!C117="","",銘柄管理!C117)</f>
        <v>楽天銀行</v>
      </c>
      <c r="E147" s="351">
        <f>IF(C147&lt;&gt;"",_xll.RssMarket(C147,"現在値"),"")</f>
        <v>5161</v>
      </c>
      <c r="F147" s="351">
        <f>IF(C147&lt;&gt;"",_xll.RssMarket(C147,"始値"),"")</f>
        <v>5250</v>
      </c>
      <c r="G147" s="350">
        <f>IF(C147&lt;&gt;"",終値!F117,"")</f>
        <v>5244</v>
      </c>
      <c r="H147" s="351">
        <f>IF(C147&lt;&gt;"",_xll.RssMarket(C147,"高値"),"")</f>
        <v>5311</v>
      </c>
      <c r="I147" s="351">
        <f>IF(C147&lt;&gt;"",_xll.RssMarket(C147,"安値"),"")</f>
        <v>5158</v>
      </c>
      <c r="J147" s="351">
        <f>IF(C147&lt;&gt;"",_xll.RssMarket(C147,"出来高"),"")</f>
        <v>1008700</v>
      </c>
      <c r="K147" s="351">
        <f>IF(C147&lt;&gt;"",_xll.RssMarket(C147,"年初来高値"),"")</f>
        <v>9317</v>
      </c>
      <c r="L147" s="352">
        <f t="shared" si="44"/>
        <v>-44.606633036385105</v>
      </c>
      <c r="M147" s="351">
        <f>IF(C147&lt;&gt;"",IFERROR(AVERAGE(出来高!E117:I117),""),"")</f>
        <v>2375000</v>
      </c>
      <c r="N147" s="351">
        <f>IF(C147&lt;&gt;"",IFERROR(AVERAGE(出来高!E117:AC117),""),"")</f>
        <v>2859836</v>
      </c>
      <c r="O147" s="353">
        <f t="shared" si="45"/>
        <v>0.42471578947368421</v>
      </c>
      <c r="P147" s="350" t="str">
        <f t="shared" si="46"/>
        <v>減少↓</v>
      </c>
      <c r="Q147" s="350" t="str">
        <f t="shared" si="47"/>
        <v>中立→</v>
      </c>
      <c r="R147" s="351">
        <f t="shared" si="48"/>
        <v>4748</v>
      </c>
      <c r="S147" s="351">
        <f t="shared" si="49"/>
        <v>5367</v>
      </c>
      <c r="T147" s="350">
        <f t="shared" si="50"/>
        <v>13</v>
      </c>
      <c r="U147" s="350" t="str">
        <f t="shared" si="51"/>
        <v>要確認</v>
      </c>
      <c r="V147" s="350" t="str">
        <f t="shared" si="52"/>
        <v>年初来安値圏●</v>
      </c>
      <c r="W147" s="354" cm="1">
        <f t="array" ref="W147">IFERROR(100-100/(1+SUMPRODUCT((終値!F117:R117&gt;終値!G117:S117)*(終値!F117:R117-終値!G117:S117))/SUMPRODUCT((終値!F117:R117&lt;終値!G117:S117)*(終値!G117:S117-終値!F117:R117))),50)</f>
        <v>54.199772985244039</v>
      </c>
      <c r="X147" s="355">
        <f>IF(C147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-77.40856714124584</v>
      </c>
      <c r="Y147" s="350" t="str">
        <f t="shared" si="53"/>
        <v>相場上昇・見送り | 上昇トレンド▲ 5日戻り売り○ MACD- RSI:54.2 前日比:-1.6% [年初来安値圏] [13点]</v>
      </c>
      <c r="Z147" s="356">
        <f t="shared" si="54"/>
        <v>-1.5827612509534708</v>
      </c>
      <c r="AA147" s="350" t="str">
        <f t="shared" si="55"/>
        <v>下落▼</v>
      </c>
      <c r="AB147" s="351">
        <f>IF(OR(C147="",C147="TOPX",終値!E117=""),"",IFERROR(((終値!E117*0.333)+(終値!F117*0.222)+(終値!G117*0.148)+(終値!H117*0.099)+(終値!I117*0.066))/(0.333+0.222+0.148+0.099+0.066),""))</f>
        <v>5162.2684331797227</v>
      </c>
      <c r="AC147" s="351">
        <f>IF(OR(C147="",C147="TOPX",終値!E117=""),"",IFERROR(SUMPRODUCT((終値!E117:AC117)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5156.437425506555</v>
      </c>
      <c r="AD147" s="350" t="str">
        <f t="shared" si="56"/>
        <v>上昇トレンド▲</v>
      </c>
      <c r="AE147" s="350" t="str">
        <f t="shared" si="57"/>
        <v>5日戻り売り○</v>
      </c>
      <c r="AF147" t="str">
        <f>IF(T147="","",IF(銘柄管理!$F$5="上昇▲",IF(AND(AD147="下降トレンド▼",OR(AE147="25日戻り売り★",AE147="5日戻り売り○")),"★逆張り売り",IF(AND(AD147="もみ合い→",OR(AE147="25日戻り売り★",AE147="5日戻り売り○")),"○逆張り売り",IF(W147&gt;=70,IF(Z147&lt;0,"◎反落確認","△過熱・様子見"),"相場上昇・見送り"))),IF(AND(T147&gt;=12,AD147="下降トレンド▼"),"★強い売り",IF(T147&gt;=12,"★強い売り",IF(AND(T147&gt;=8,OR(AE147="25日戻り売り★",AE147="5日戻り売り○")),"◎戻り売り",IF(T147&gt;=10,"○売り候補",IF(T147&gt;=6,"△注目",IF(T147&gt;=3,"様子見","見送り"))))))))</f>
        <v>相場上昇・見送り</v>
      </c>
      <c r="AG147">
        <f t="shared" si="59"/>
        <v>13</v>
      </c>
      <c r="AH147">
        <f t="shared" si="60"/>
        <v>129853</v>
      </c>
      <c r="AI147" s="412" cm="1">
        <f t="array" ref="AI147">IF(C147="","",IFERROR((INDEX(終値!$E:$E,MATCH(TEXT(C147,"0"),終値!$A:$A,0))-INDEX(終値!$E:$BL,MATCH(TEXT(C147,"0"),終値!$A:$A,0),$AN$2))/INDEX(終値!$E:$BL,MATCH(TEXT(C147,"0"),終値!$A:$A,0),$AN$2)*100,""))</f>
        <v>-14.538830932273555</v>
      </c>
      <c r="AJ147" s="412" cm="1">
        <f t="array" ref="AJ147">IFERROR((終値!$E$5-INDEX(終値!$E$5:$BL$5,1,$AN$2))/INDEX(終値!$E$5:$BL$5,1,$AN$2)*100,"")</f>
        <v>3.4532270246721688</v>
      </c>
      <c r="AK147" s="413">
        <f t="shared" si="61"/>
        <v>-17.992057956945725</v>
      </c>
      <c r="AL147" s="411">
        <f t="shared" si="62"/>
        <v>3</v>
      </c>
      <c r="AO147" s="415" t="str">
        <f t="shared" si="63"/>
        <v>通常</v>
      </c>
      <c r="AP147" s="416">
        <f t="shared" si="64"/>
        <v>0</v>
      </c>
      <c r="AQ147">
        <f>IF(C147&lt;&gt;"",始値!F117,"")</f>
        <v>5179</v>
      </c>
      <c r="AR147">
        <f>IF(C147&lt;&gt;"",高値!F117,"")</f>
        <v>5335</v>
      </c>
      <c r="AS147">
        <f>IF(C147&lt;&gt;"",安値!F117,"")</f>
        <v>5102</v>
      </c>
      <c r="AT147" t="str">
        <f t="shared" si="58"/>
        <v>通常</v>
      </c>
      <c r="AU147">
        <f t="shared" si="65"/>
        <v>0</v>
      </c>
    </row>
    <row r="148" spans="1:47" ht="14.25">
      <c r="A148" s="357" t="str">
        <f>IF(銘柄管理!B121&lt;&gt;"",HYPERLINK("https://kabutan.jp/stock/?code="&amp;銘柄管理!B121,"株探"),"")</f>
        <v>株探</v>
      </c>
      <c r="B148" s="230"/>
      <c r="C148" s="230">
        <f>IF(銘柄管理!B121="","",銘柄管理!B121)</f>
        <v>7685</v>
      </c>
      <c r="D148" s="230" t="str">
        <f>IF(銘柄管理!C121="","",銘柄管理!C121)</f>
        <v>ＢＵＹＳＥＬＬＴＥＣＨ</v>
      </c>
      <c r="E148" s="358">
        <f>IF(C148&lt;&gt;"",_xll.RssMarket(C148,"現在値"),"")</f>
        <v>3595</v>
      </c>
      <c r="F148" s="358">
        <f>IF(C148&lt;&gt;"",_xll.RssMarket(C148,"始値"),"")</f>
        <v>3505</v>
      </c>
      <c r="G148" s="230">
        <f>IF(C148&lt;&gt;"",終値!F121,"")</f>
        <v>3630</v>
      </c>
      <c r="H148" s="358">
        <f>IF(C148&lt;&gt;"",_xll.RssMarket(C148,"高値"),"")</f>
        <v>3725</v>
      </c>
      <c r="I148" s="358">
        <f>IF(C148&lt;&gt;"",_xll.RssMarket(C148,"安値"),"")</f>
        <v>3500</v>
      </c>
      <c r="J148" s="358">
        <f>IF(C148&lt;&gt;"",_xll.RssMarket(C148,"出来高"),"")</f>
        <v>236400</v>
      </c>
      <c r="K148" s="358">
        <f>IF(C148&lt;&gt;"",_xll.RssMarket(C148,"年初来高値"),"")</f>
        <v>4155</v>
      </c>
      <c r="L148" s="359">
        <f t="shared" si="44"/>
        <v>-13.477737665463296</v>
      </c>
      <c r="M148" s="358">
        <f>IF(C148&lt;&gt;"",IFERROR(AVERAGE(出来高!E121:I121),""),"")</f>
        <v>310420</v>
      </c>
      <c r="N148" s="358">
        <f>IF(C148&lt;&gt;"",IFERROR(AVERAGE(出来高!E121:AC121),""),"")</f>
        <v>412336</v>
      </c>
      <c r="O148" s="360">
        <f t="shared" si="45"/>
        <v>0.76154886927388699</v>
      </c>
      <c r="P148" s="230" t="str">
        <f t="shared" si="46"/>
        <v>減少↓</v>
      </c>
      <c r="Q148" s="230" t="str">
        <f t="shared" si="47"/>
        <v>中立→</v>
      </c>
      <c r="R148" s="358">
        <f t="shared" si="48"/>
        <v>3307</v>
      </c>
      <c r="S148" s="358">
        <f t="shared" si="49"/>
        <v>3739</v>
      </c>
      <c r="T148" s="350">
        <f t="shared" si="50"/>
        <v>5</v>
      </c>
      <c r="U148" s="230" t="str">
        <f t="shared" si="51"/>
        <v>要確認</v>
      </c>
      <c r="V148" s="230" t="str">
        <f t="shared" si="52"/>
        <v>通常</v>
      </c>
      <c r="W148" s="361" cm="1">
        <f t="array" ref="W148">IFERROR(100-100/(1+SUMPRODUCT((終値!F121:R121&gt;終値!G121:S121)*(終値!F121:R121-終値!G121:S121))/SUMPRODUCT((終値!F121:R121&lt;終値!G121:S121)*(終値!G121:S121-終値!F121:R121))),50)</f>
        <v>42.585551330798481</v>
      </c>
      <c r="X148" s="362">
        <f>IF(C148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-0.97194305024140704</v>
      </c>
      <c r="Y148" s="230" t="str">
        <f t="shared" si="53"/>
        <v>相場上昇・見送り | 下降トレンド▼ MACD- RSI:42.6 前日比:-1.0% [5点]</v>
      </c>
      <c r="Z148" s="363">
        <f t="shared" si="54"/>
        <v>-0.96418732782369143</v>
      </c>
      <c r="AA148" s="230" t="str">
        <f t="shared" si="55"/>
        <v>下落▼</v>
      </c>
      <c r="AB148" s="358">
        <f>IF(OR(C148="",C148="TOPX",終値!E121=""),"",IFERROR(((終値!E121*0.333)+(終値!F121*0.222)+(終値!G121*0.148)+(終値!H121*0.099)+(終値!I121*0.066))/(0.333+0.222+0.148+0.099+0.066),""))</f>
        <v>3675.7142857142849</v>
      </c>
      <c r="AC148" s="358">
        <f>IF(OR(C148="",C148="TOPX",終値!E121=""),"",IFERROR(SUMPRODUCT((終値!E121:AC121)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3741.2812872467225</v>
      </c>
      <c r="AD148" s="230" t="str">
        <f t="shared" si="56"/>
        <v>下降トレンド▼</v>
      </c>
      <c r="AE148" s="230" t="str">
        <f t="shared" si="57"/>
        <v>なし</v>
      </c>
      <c r="AF148" t="str">
        <f>IF(T148="","",IF(銘柄管理!$F$5="上昇▲",IF(AND(AD148="下降トレンド▼",OR(AE148="25日戻り売り★",AE148="5日戻り売り○")),"★逆張り売り",IF(AND(AD148="もみ合い→",OR(AE148="25日戻り売り★",AE148="5日戻り売り○")),"○逆張り売り",IF(W148&gt;=70,IF(Z148&lt;0,"◎反落確認","△過熱・様子見"),"相場上昇・見送り"))),IF(AND(T148&gt;=12,AD148="下降トレンド▼"),"★強い売り",IF(T148&gt;=12,"★強い売り",IF(AND(T148&gt;=8,OR(AE148="25日戻り売り★",AE148="5日戻り売り○")),"◎戻り売り",IF(T148&gt;=10,"○売り候補",IF(T148&gt;=6,"△注目",IF(T148&gt;=3,"様子見","見送り"))))))))</f>
        <v>相場上昇・見送り</v>
      </c>
      <c r="AG148">
        <f t="shared" si="59"/>
        <v>0</v>
      </c>
      <c r="AH148">
        <f t="shared" si="60"/>
        <v>0</v>
      </c>
      <c r="AI148" s="412" cm="1">
        <f t="array" ref="AI148">IF(C148="","",IFERROR((INDEX(終値!$E:$E,MATCH(TEXT(C148,"0"),終値!$A:$A,0))-INDEX(終値!$E:$BL,MATCH(TEXT(C148,"0"),終値!$A:$A,0),$AN$2))/INDEX(終値!$E:$BL,MATCH(TEXT(C148,"0"),終値!$A:$A,0),$AN$2)*100,""))</f>
        <v>4.3541364296081273</v>
      </c>
      <c r="AJ148" s="412" cm="1">
        <f t="array" ref="AJ148">IFERROR((終値!$E$5-INDEX(終値!$E$5:$BL$5,1,$AN$2))/INDEX(終値!$E$5:$BL$5,1,$AN$2)*100,"")</f>
        <v>3.4532270246721688</v>
      </c>
      <c r="AK148" s="413">
        <f t="shared" si="61"/>
        <v>0.9009094049359585</v>
      </c>
      <c r="AL148" s="411">
        <f t="shared" si="62"/>
        <v>-1</v>
      </c>
      <c r="AO148" s="415" t="str">
        <f t="shared" si="63"/>
        <v>通常</v>
      </c>
      <c r="AP148" s="416">
        <f t="shared" si="64"/>
        <v>0</v>
      </c>
      <c r="AQ148">
        <f>IF(C148&lt;&gt;"",始値!F121,"")</f>
        <v>3675</v>
      </c>
      <c r="AR148">
        <f>IF(C148&lt;&gt;"",高値!F121,"")</f>
        <v>3740</v>
      </c>
      <c r="AS148">
        <f>IF(C148&lt;&gt;"",安値!F121,"")</f>
        <v>3570</v>
      </c>
      <c r="AT148" t="str">
        <f t="shared" si="58"/>
        <v>通常</v>
      </c>
      <c r="AU148">
        <f t="shared" si="65"/>
        <v>0</v>
      </c>
    </row>
    <row r="149" spans="1:47" ht="14.25">
      <c r="A149" s="349" t="str">
        <f>IF(銘柄管理!B125&lt;&gt;"",HYPERLINK("https://kabutan.jp/stock/?code="&amp;銘柄管理!B125,"株探"),"")</f>
        <v>株探</v>
      </c>
      <c r="B149" s="350"/>
      <c r="C149" s="350">
        <f>IF(銘柄管理!B125="","",銘柄管理!B125)</f>
        <v>8934</v>
      </c>
      <c r="D149" s="350" t="str">
        <f>IF(銘柄管理!C125="","",銘柄管理!C125)</f>
        <v>サンフロンティア不動産</v>
      </c>
      <c r="E149" s="351">
        <f>IF(C149&lt;&gt;"",_xll.RssMarket(C149,"現在値"),"")</f>
        <v>2359</v>
      </c>
      <c r="F149" s="351">
        <f>IF(C149&lt;&gt;"",_xll.RssMarket(C149,"始値"),"")</f>
        <v>2388</v>
      </c>
      <c r="G149" s="350">
        <f>IF(C149&lt;&gt;"",終値!F125,"")</f>
        <v>2361</v>
      </c>
      <c r="H149" s="351">
        <f>IF(C149&lt;&gt;"",_xll.RssMarket(C149,"高値"),"")</f>
        <v>2395</v>
      </c>
      <c r="I149" s="351">
        <f>IF(C149&lt;&gt;"",_xll.RssMarket(C149,"安値"),"")</f>
        <v>2353</v>
      </c>
      <c r="J149" s="351">
        <f>IF(C149&lt;&gt;"",_xll.RssMarket(C149,"出来高"),"")</f>
        <v>100500</v>
      </c>
      <c r="K149" s="351">
        <f>IF(C149&lt;&gt;"",_xll.RssMarket(C149,"年初来高値"),"")</f>
        <v>2885</v>
      </c>
      <c r="L149" s="352">
        <f t="shared" si="44"/>
        <v>-18.232235701906411</v>
      </c>
      <c r="M149" s="351">
        <f>IF(C149&lt;&gt;"",IFERROR(AVERAGE(出来高!E125:I125),""),"")</f>
        <v>130100</v>
      </c>
      <c r="N149" s="351">
        <f>IF(C149&lt;&gt;"",IFERROR(AVERAGE(出来高!E125:AC125),""),"")</f>
        <v>175220</v>
      </c>
      <c r="O149" s="353">
        <f t="shared" si="45"/>
        <v>0.77248270561106835</v>
      </c>
      <c r="P149" s="350" t="str">
        <f t="shared" si="46"/>
        <v>減少↓</v>
      </c>
      <c r="Q149" s="350" t="str">
        <f t="shared" si="47"/>
        <v>中立→</v>
      </c>
      <c r="R149" s="351">
        <f t="shared" si="48"/>
        <v>2170</v>
      </c>
      <c r="S149" s="351">
        <f t="shared" si="49"/>
        <v>2453</v>
      </c>
      <c r="T149" s="350">
        <f t="shared" si="50"/>
        <v>11</v>
      </c>
      <c r="U149" s="350" t="str">
        <f t="shared" si="51"/>
        <v>要確認</v>
      </c>
      <c r="V149" s="350" t="str">
        <f t="shared" si="52"/>
        <v>通常</v>
      </c>
      <c r="W149" s="354" cm="1">
        <f t="array" ref="W149">IFERROR(100-100/(1+SUMPRODUCT((終値!F125:R125&gt;終値!G125:S125)*(終値!F125:R125-終値!G125:S125))/SUMPRODUCT((終値!F125:R125&lt;終値!G125:S125)*(終値!G125:S125-終値!F125:R125))),50)</f>
        <v>52.777777777777779</v>
      </c>
      <c r="X149" s="355">
        <f>IF(C149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-8.7196135950225653</v>
      </c>
      <c r="Y149" s="350" t="str">
        <f t="shared" si="53"/>
        <v>○逆張り売り | もみ合い→ 25日戻り売り★ MACD- RSI:52.8 前日比:-0.1% [11点]</v>
      </c>
      <c r="Z149" s="356">
        <f t="shared" si="54"/>
        <v>-8.4709868699703511E-2</v>
      </c>
      <c r="AA149" s="350" t="str">
        <f t="shared" si="55"/>
        <v>下落▼</v>
      </c>
      <c r="AB149" s="351">
        <f>IF(OR(C149="",C149="TOPX",終値!E125=""),"",IFERROR(((終値!E125*0.333)+(終値!F125*0.222)+(終値!G125*0.148)+(終値!H125*0.099)+(終値!I125*0.066))/(0.333+0.222+0.148+0.099+0.066),""))</f>
        <v>2366.3997695852536</v>
      </c>
      <c r="AC149" s="351">
        <f>IF(OR(C149="",C149="TOPX",終値!E125=""),"",IFERROR(SUMPRODUCT((終値!E125:AC125)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2363.6817640047666</v>
      </c>
      <c r="AD149" s="350" t="str">
        <f t="shared" si="56"/>
        <v>もみ合い→</v>
      </c>
      <c r="AE149" s="350" t="str">
        <f t="shared" si="57"/>
        <v>25日戻り売り★</v>
      </c>
      <c r="AF149" t="str">
        <f>IF(T149="","",IF(銘柄管理!$F$5="上昇▲",IF(AND(AD149="下降トレンド▼",OR(AE149="25日戻り売り★",AE149="5日戻り売り○")),"★逆張り売り",IF(AND(AD149="もみ合い→",OR(AE149="25日戻り売り★",AE149="5日戻り売り○")),"○逆張り売り",IF(W149&gt;=70,IF(Z149&lt;0,"◎反落確認","△過熱・様子見"),"相場上昇・見送り"))),IF(AND(T149&gt;=12,AD149="下降トレンド▼"),"★強い売り",IF(T149&gt;=12,"★強い売り",IF(AND(T149&gt;=8,OR(AE149="25日戻り売り★",AE149="5日戻り売り○")),"◎戻り売り",IF(T149&gt;=10,"○売り候補",IF(T149&gt;=6,"△注目",IF(T149&gt;=3,"様子見","見送り"))))))))</f>
        <v>○逆張り売り</v>
      </c>
      <c r="AG149">
        <f t="shared" si="59"/>
        <v>11</v>
      </c>
      <c r="AH149">
        <f t="shared" si="60"/>
        <v>109851</v>
      </c>
      <c r="AI149" s="412" cm="1">
        <f t="array" ref="AI149">IF(C149="","",IFERROR((INDEX(終値!$E:$E,MATCH(TEXT(C149,"0"),終値!$A:$A,0))-INDEX(終値!$E:$BL,MATCH(TEXT(C149,"0"),終値!$A:$A,0),$AN$2))/INDEX(終値!$E:$BL,MATCH(TEXT(C149,"0"),終値!$A:$A,0),$AN$2)*100,""))</f>
        <v>-3.4383954154727796</v>
      </c>
      <c r="AJ149" s="412" cm="1">
        <f t="array" ref="AJ149">IFERROR((終値!$E$5-INDEX(終値!$E$5:$BL$5,1,$AN$2))/INDEX(終値!$E$5:$BL$5,1,$AN$2)*100,"")</f>
        <v>3.4532270246721688</v>
      </c>
      <c r="AK149" s="413">
        <f t="shared" si="61"/>
        <v>-6.891622440144948</v>
      </c>
      <c r="AL149" s="411">
        <f t="shared" si="62"/>
        <v>3</v>
      </c>
      <c r="AO149" s="415" t="str">
        <f t="shared" si="63"/>
        <v>通常</v>
      </c>
      <c r="AP149" s="416">
        <f t="shared" si="64"/>
        <v>0</v>
      </c>
      <c r="AQ149">
        <f>IF(C149&lt;&gt;"",始値!F125,"")</f>
        <v>2380</v>
      </c>
      <c r="AR149">
        <f>IF(C149&lt;&gt;"",高値!F125,"")</f>
        <v>2393</v>
      </c>
      <c r="AS149">
        <f>IF(C149&lt;&gt;"",安値!F125,"")</f>
        <v>2352</v>
      </c>
      <c r="AT149" t="str">
        <f t="shared" si="58"/>
        <v>通常</v>
      </c>
      <c r="AU149">
        <f t="shared" si="65"/>
        <v>0</v>
      </c>
    </row>
    <row r="150" spans="1:47" ht="14.25">
      <c r="A150" s="357" t="str">
        <f>IF(銘柄管理!B137&lt;&gt;"",HYPERLINK("https://kabutan.jp/stock/?code="&amp;銘柄管理!B137,"株探"),"")</f>
        <v>株探</v>
      </c>
      <c r="B150" s="230"/>
      <c r="C150" s="230">
        <f>IF(銘柄管理!B137="","",銘柄管理!B137)</f>
        <v>6085</v>
      </c>
      <c r="D150" s="230" t="str">
        <f>IF(銘柄管理!C137="","",銘柄管理!C137)</f>
        <v>アーキテクツＳＪ</v>
      </c>
      <c r="E150" s="358">
        <f>IF(C150&lt;&gt;"",_xll.RssMarket(C150,"現在値"),"")</f>
        <v>320</v>
      </c>
      <c r="F150" s="358">
        <f>IF(C150&lt;&gt;"",_xll.RssMarket(C150,"始値"),"")</f>
        <v>321</v>
      </c>
      <c r="G150" s="230">
        <f>IF(C150&lt;&gt;"",終値!F137,"")</f>
        <v>313</v>
      </c>
      <c r="H150" s="358">
        <f>IF(C150&lt;&gt;"",_xll.RssMarket(C150,"高値"),"")</f>
        <v>327</v>
      </c>
      <c r="I150" s="358">
        <f>IF(C150&lt;&gt;"",_xll.RssMarket(C150,"安値"),"")</f>
        <v>308</v>
      </c>
      <c r="J150" s="358">
        <f>IF(C150&lt;&gt;"",_xll.RssMarket(C150,"出来高"),"")</f>
        <v>1747900</v>
      </c>
      <c r="K150" s="358">
        <f>IF(C150&lt;&gt;"",_xll.RssMarket(C150,"年初来高値"),"")</f>
        <v>720</v>
      </c>
      <c r="L150" s="359">
        <f t="shared" si="44"/>
        <v>-55.555555555555557</v>
      </c>
      <c r="M150" s="358">
        <f>IF(C150&lt;&gt;"",IFERROR(AVERAGE(出来高!E137:I137),""),"")</f>
        <v>4114040</v>
      </c>
      <c r="N150" s="358">
        <f>IF(C150&lt;&gt;"",IFERROR(AVERAGE(出来高!E137:AC137),""),"")</f>
        <v>4761588</v>
      </c>
      <c r="O150" s="360">
        <f t="shared" si="45"/>
        <v>0.42486217926903969</v>
      </c>
      <c r="P150" s="230" t="str">
        <f t="shared" si="46"/>
        <v>減少↓</v>
      </c>
      <c r="Q150" s="230" t="str">
        <f t="shared" si="47"/>
        <v>様子見▲</v>
      </c>
      <c r="R150" s="358">
        <f t="shared" si="48"/>
        <v>294</v>
      </c>
      <c r="S150" s="358">
        <f t="shared" si="49"/>
        <v>333</v>
      </c>
      <c r="T150" s="350">
        <f t="shared" si="50"/>
        <v>13</v>
      </c>
      <c r="U150" s="230" t="str">
        <f t="shared" si="51"/>
        <v>要確認</v>
      </c>
      <c r="V150" s="230" t="str">
        <f t="shared" si="52"/>
        <v>年初来安値圏●</v>
      </c>
      <c r="W150" s="361" cm="1">
        <f t="array" ref="W150">IFERROR(100-100/(1+SUMPRODUCT((終値!F137:R137&gt;終値!G137:S137)*(終値!F137:R137-終値!G137:S137))/SUMPRODUCT((終値!F137:R137&lt;終値!G137:S137)*(終値!G137:S137-終値!F137:R137))),50)</f>
        <v>33.542319749216304</v>
      </c>
      <c r="X150" s="362">
        <f>IF(C150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-21.069503540453184</v>
      </c>
      <c r="Y150" s="230" t="str">
        <f t="shared" si="53"/>
        <v>相場上昇・見送り | 下降トレンド▼ MACD- RSI:33.5 前日比:+2.2% [年初来安値圏] [13点]</v>
      </c>
      <c r="Z150" s="363">
        <f t="shared" si="54"/>
        <v>2.2364217252396164</v>
      </c>
      <c r="AA150" s="230" t="str">
        <f t="shared" si="55"/>
        <v>上昇▲</v>
      </c>
      <c r="AB150" s="358">
        <f>IF(OR(C150="",C150="TOPX",終値!E137=""),"",IFERROR(((終値!E137*0.333)+(終値!F137*0.222)+(終値!G137*0.148)+(終値!H137*0.099)+(終値!I137*0.066))/(0.333+0.222+0.148+0.099+0.066),""))</f>
        <v>338.17511520737321</v>
      </c>
      <c r="AC150" s="358">
        <f>IF(OR(C150="",C150="TOPX",終値!E137=""),"",IFERROR(SUMPRODUCT((終値!E137:AC137)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368.60071513706771</v>
      </c>
      <c r="AD150" s="230" t="str">
        <f t="shared" si="56"/>
        <v>下降トレンド▼</v>
      </c>
      <c r="AE150" s="230" t="str">
        <f t="shared" si="57"/>
        <v>なし</v>
      </c>
      <c r="AF150" t="str">
        <f>IF(T150="","",IF(銘柄管理!$F$5="上昇▲",IF(AND(AD150="下降トレンド▼",OR(AE150="25日戻り売り★",AE150="5日戻り売り○")),"★逆張り売り",IF(AND(AD150="もみ合い→",OR(AE150="25日戻り売り★",AE150="5日戻り売り○")),"○逆張り売り",IF(W150&gt;=70,IF(Z150&lt;0,"◎反落確認","△過熱・様子見"),"相場上昇・見送り"))),IF(AND(T150&gt;=12,AD150="下降トレンド▼"),"★強い売り",IF(T150&gt;=12,"★強い売り",IF(AND(T150&gt;=8,OR(AE150="25日戻り売り★",AE150="5日戻り売り○")),"◎戻り売り",IF(T150&gt;=10,"○売り候補",IF(T150&gt;=6,"△注目",IF(T150&gt;=3,"様子見","見送り"))))))))</f>
        <v>相場上昇・見送り</v>
      </c>
      <c r="AG150">
        <f t="shared" si="59"/>
        <v>13</v>
      </c>
      <c r="AH150">
        <f t="shared" si="60"/>
        <v>129850</v>
      </c>
      <c r="AI150" s="412" cm="1">
        <f t="array" ref="AI150">IF(C150="","",IFERROR((INDEX(終値!$E:$E,MATCH(TEXT(C150,"0"),終値!$A:$A,0))-INDEX(終値!$E:$BL,MATCH(TEXT(C150,"0"),終値!$A:$A,0),$AN$2))/INDEX(終値!$E:$BL,MATCH(TEXT(C150,"0"),終値!$A:$A,0),$AN$2)*100,""))</f>
        <v>-39.622641509433961</v>
      </c>
      <c r="AJ150" s="412" cm="1">
        <f t="array" ref="AJ150">IFERROR((終値!$E$5-INDEX(終値!$E$5:$BL$5,1,$AN$2))/INDEX(終値!$E$5:$BL$5,1,$AN$2)*100,"")</f>
        <v>3.4532270246721688</v>
      </c>
      <c r="AK150" s="413">
        <f t="shared" si="61"/>
        <v>-43.075868534106128</v>
      </c>
      <c r="AL150" s="411">
        <f t="shared" si="62"/>
        <v>3</v>
      </c>
      <c r="AO150" s="415" t="str">
        <f t="shared" si="63"/>
        <v>通常</v>
      </c>
      <c r="AP150" s="416">
        <f t="shared" si="64"/>
        <v>0</v>
      </c>
      <c r="AQ150">
        <f>IF(C150&lt;&gt;"",始値!F137,"")</f>
        <v>310</v>
      </c>
      <c r="AR150">
        <f>IF(C150&lt;&gt;"",高値!F137,"")</f>
        <v>320</v>
      </c>
      <c r="AS150">
        <f>IF(C150&lt;&gt;"",安値!F137,"")</f>
        <v>301</v>
      </c>
      <c r="AT150" t="str">
        <f t="shared" si="58"/>
        <v>通常</v>
      </c>
      <c r="AU150">
        <f t="shared" si="65"/>
        <v>0</v>
      </c>
    </row>
    <row r="151" spans="1:47" ht="14.25">
      <c r="A151" s="349" t="str">
        <f>IF(銘柄管理!B150&lt;&gt;"",HYPERLINK("https://kabutan.jp/stock/?code="&amp;銘柄管理!B150,"株探"),"")</f>
        <v>株探</v>
      </c>
      <c r="B151" s="350"/>
      <c r="C151" s="350">
        <f>IF(銘柄管理!B150="","",銘柄管理!B150)</f>
        <v>4307</v>
      </c>
      <c r="D151" s="350" t="str">
        <f>IF(銘柄管理!C150="","",銘柄管理!C150)</f>
        <v>野村総合研究所</v>
      </c>
      <c r="E151" s="351">
        <f>IF(C151&lt;&gt;"",_xll.RssMarket(C151,"現在値"),"")</f>
        <v>4596</v>
      </c>
      <c r="F151" s="351">
        <f>IF(C151&lt;&gt;"",_xll.RssMarket(C151,"始値"),"")</f>
        <v>4550</v>
      </c>
      <c r="G151" s="350">
        <f>IF(C151&lt;&gt;"",終値!F150,"")</f>
        <v>4505</v>
      </c>
      <c r="H151" s="351">
        <f>IF(C151&lt;&gt;"",_xll.RssMarket(C151,"高値"),"")</f>
        <v>4649</v>
      </c>
      <c r="I151" s="351">
        <f>IF(C151&lt;&gt;"",_xll.RssMarket(C151,"安値"),"")</f>
        <v>4475</v>
      </c>
      <c r="J151" s="351">
        <f>IF(C151&lt;&gt;"",_xll.RssMarket(C151,"出来高"),"")</f>
        <v>1885500</v>
      </c>
      <c r="K151" s="351">
        <f>IF(C151&lt;&gt;"",_xll.RssMarket(C151,"年初来高値"),"")</f>
        <v>6300</v>
      </c>
      <c r="L151" s="352">
        <f t="shared" si="44"/>
        <v>-27.047619047619047</v>
      </c>
      <c r="M151" s="351">
        <f>IF(C151&lt;&gt;"",IFERROR(AVERAGE(出来高!E150:I150),""),"")</f>
        <v>2133620</v>
      </c>
      <c r="N151" s="351">
        <f>IF(C151&lt;&gt;"",IFERROR(AVERAGE(出来高!E150:AC150),""),"")</f>
        <v>3530716</v>
      </c>
      <c r="O151" s="353">
        <f t="shared" si="45"/>
        <v>0.88370937655252579</v>
      </c>
      <c r="P151" s="350" t="str">
        <f t="shared" si="46"/>
        <v>減少↓</v>
      </c>
      <c r="Q151" s="350" t="str">
        <f t="shared" si="47"/>
        <v>様子見▲</v>
      </c>
      <c r="R151" s="351">
        <f t="shared" si="48"/>
        <v>4228</v>
      </c>
      <c r="S151" s="351">
        <f t="shared" si="49"/>
        <v>4780</v>
      </c>
      <c r="T151" s="350">
        <f t="shared" si="50"/>
        <v>2</v>
      </c>
      <c r="U151" s="350" t="str">
        <f t="shared" si="51"/>
        <v>除外</v>
      </c>
      <c r="V151" s="350" t="str">
        <f t="shared" si="52"/>
        <v>安値圏</v>
      </c>
      <c r="W151" s="354" cm="1">
        <f t="array" ref="W151">IFERROR(100-100/(1+SUMPRODUCT((終値!F150:R150&gt;終値!G150:S150)*(終値!F150:R150-終値!G150:S150))/SUMPRODUCT((終値!F150:R150&lt;終値!G150:S150)*(終値!G150:S150-終値!F150:R150))),50)</f>
        <v>46.711739397664417</v>
      </c>
      <c r="X151" s="355">
        <f>IF(C151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2.1919009389466737</v>
      </c>
      <c r="Y151" s="350" t="str">
        <f t="shared" si="53"/>
        <v>○逆張り売り | もみ合い→ 25日戻り売り★ MACD+ RSI:46.7 前日比:+2.0% [安値圏]前日[長い下ヒゲ(反発)] [2点]</v>
      </c>
      <c r="Z151" s="356">
        <f t="shared" si="54"/>
        <v>2.0199778024417312</v>
      </c>
      <c r="AA151" s="350" t="str">
        <f t="shared" si="55"/>
        <v>上昇▲</v>
      </c>
      <c r="AB151" s="351">
        <f>IF(OR(C151="",C151="TOPX",終値!E150=""),"",IFERROR(((終値!E150*0.333)+(終値!F150*0.222)+(終値!G150*0.148)+(終値!H150*0.099)+(終値!I150*0.066))/(0.333+0.222+0.148+0.099+0.066),""))</f>
        <v>4560.2373271889392</v>
      </c>
      <c r="AC151" s="351">
        <f>IF(OR(C151="",C151="TOPX",終値!E150=""),"",IFERROR(SUMPRODUCT((終値!E150:AC150)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4689.0286054827147</v>
      </c>
      <c r="AD151" s="350" t="str">
        <f t="shared" si="56"/>
        <v>もみ合い→</v>
      </c>
      <c r="AE151" s="350" t="str">
        <f t="shared" si="57"/>
        <v>25日戻り売り★</v>
      </c>
      <c r="AF151" t="str">
        <f>IF(T151="","",IF(銘柄管理!$F$5="上昇▲",IF(AND(AD151="下降トレンド▼",OR(AE151="25日戻り売り★",AE151="5日戻り売り○")),"★逆張り売り",IF(AND(AD151="もみ合い→",OR(AE151="25日戻り売り★",AE151="5日戻り売り○")),"○逆張り売り",IF(W151&gt;=70,IF(Z151&lt;0,"◎反落確認","△過熱・様子見"),"相場上昇・見送り"))),IF(AND(T151&gt;=12,AD151="下降トレンド▼"),"★強い売り",IF(T151&gt;=12,"★強い売り",IF(AND(T151&gt;=8,OR(AE151="25日戻り売り★",AE151="5日戻り売り○")),"◎戻り売り",IF(T151&gt;=10,"○売り候補",IF(T151&gt;=6,"△注目",IF(T151&gt;=3,"様子見","見送り"))))))))</f>
        <v>○逆張り売り</v>
      </c>
      <c r="AG151">
        <f t="shared" si="59"/>
        <v>0</v>
      </c>
      <c r="AH151">
        <f t="shared" si="60"/>
        <v>0</v>
      </c>
      <c r="AI151" s="412" cm="1">
        <f t="array" ref="AI151">IF(C151="","",IFERROR((INDEX(終値!$E:$E,MATCH(TEXT(C151,"0"),終値!$A:$A,0))-INDEX(終値!$E:$BL,MATCH(TEXT(C151,"0"),終値!$A:$A,0),$AN$2))/INDEX(終値!$E:$BL,MATCH(TEXT(C151,"0"),終値!$A:$A,0),$AN$2)*100,""))</f>
        <v>10.110206037374221</v>
      </c>
      <c r="AJ151" s="412" cm="1">
        <f t="array" ref="AJ151">IFERROR((終値!$E$5-INDEX(終値!$E$5:$BL$5,1,$AN$2))/INDEX(終値!$E$5:$BL$5,1,$AN$2)*100,"")</f>
        <v>3.4532270246721688</v>
      </c>
      <c r="AK151" s="413">
        <f t="shared" si="61"/>
        <v>6.6569790127020525</v>
      </c>
      <c r="AL151" s="411">
        <f t="shared" si="62"/>
        <v>-2</v>
      </c>
      <c r="AO151" s="415" t="str">
        <f t="shared" si="63"/>
        <v>通常</v>
      </c>
      <c r="AP151" s="416">
        <f t="shared" si="64"/>
        <v>0</v>
      </c>
      <c r="AQ151">
        <f>IF(C151&lt;&gt;"",始値!F150,"")</f>
        <v>4500</v>
      </c>
      <c r="AR151">
        <f>IF(C151&lt;&gt;"",高値!F150,"")</f>
        <v>4517</v>
      </c>
      <c r="AS151">
        <f>IF(C151&lt;&gt;"",安値!F150,"")</f>
        <v>4401</v>
      </c>
      <c r="AT151" t="str">
        <f t="shared" si="58"/>
        <v>長い下ヒゲ(反発)</v>
      </c>
      <c r="AU151">
        <f t="shared" si="65"/>
        <v>-2</v>
      </c>
    </row>
    <row r="152" spans="1:47" ht="14.25">
      <c r="A152" s="357" t="str">
        <f>IF(銘柄管理!B157&lt;&gt;"",HYPERLINK("https://kabutan.jp/stock/?code="&amp;銘柄管理!B157,"株探"),"")</f>
        <v>株探</v>
      </c>
      <c r="B152" s="230"/>
      <c r="C152" s="230">
        <f>IF(銘柄管理!B157="","",銘柄管理!B157)</f>
        <v>4091</v>
      </c>
      <c r="D152" s="230" t="str">
        <f>IF(銘柄管理!C157="","",銘柄管理!C157)</f>
        <v>日本酸素ＨＬＤＧＳ</v>
      </c>
      <c r="E152" s="358">
        <f>IF(C152&lt;&gt;"",_xll.RssMarket(C152,"現在値"),"")</f>
        <v>5590</v>
      </c>
      <c r="F152" s="358">
        <f>IF(C152&lt;&gt;"",_xll.RssMarket(C152,"始値"),"")</f>
        <v>5561</v>
      </c>
      <c r="G152" s="230">
        <f>IF(C152&lt;&gt;"",終値!F157,"")</f>
        <v>5534</v>
      </c>
      <c r="H152" s="358">
        <f>IF(C152&lt;&gt;"",_xll.RssMarket(C152,"高値"),"")</f>
        <v>5615</v>
      </c>
      <c r="I152" s="358">
        <f>IF(C152&lt;&gt;"",_xll.RssMarket(C152,"安値"),"")</f>
        <v>5480</v>
      </c>
      <c r="J152" s="358">
        <f>IF(C152&lt;&gt;"",_xll.RssMarket(C152,"出来高"),"")</f>
        <v>375300</v>
      </c>
      <c r="K152" s="358">
        <f>IF(C152&lt;&gt;"",_xll.RssMarket(C152,"年初来高値"),"")</f>
        <v>6509</v>
      </c>
      <c r="L152" s="359">
        <f t="shared" si="44"/>
        <v>-14.118912275311107</v>
      </c>
      <c r="M152" s="358">
        <f>IF(C152&lt;&gt;"",IFERROR(AVERAGE(出来高!E157:I157),""),"")</f>
        <v>524040</v>
      </c>
      <c r="N152" s="358">
        <f>IF(C152&lt;&gt;"",IFERROR(AVERAGE(出来高!E157:AC157),""),"")</f>
        <v>886952</v>
      </c>
      <c r="O152" s="360">
        <f t="shared" si="45"/>
        <v>0.7161667048316922</v>
      </c>
      <c r="P152" s="230" t="str">
        <f t="shared" si="46"/>
        <v>減少↓</v>
      </c>
      <c r="Q152" s="230" t="str">
        <f t="shared" si="47"/>
        <v>様子見▲</v>
      </c>
      <c r="R152" s="358">
        <f t="shared" si="48"/>
        <v>5143</v>
      </c>
      <c r="S152" s="358">
        <f t="shared" si="49"/>
        <v>5814</v>
      </c>
      <c r="T152" s="350">
        <f t="shared" si="50"/>
        <v>4</v>
      </c>
      <c r="U152" s="230" t="str">
        <f t="shared" si="51"/>
        <v>要確認</v>
      </c>
      <c r="V152" s="230" t="str">
        <f t="shared" si="52"/>
        <v>通常</v>
      </c>
      <c r="W152" s="361" cm="1">
        <f t="array" ref="W152">IFERROR(100-100/(1+SUMPRODUCT((終値!F157:R157&gt;終値!G157:S157)*(終値!F157:R157-終値!G157:S157))/SUMPRODUCT((終値!F157:R157&lt;終値!G157:S157)*(終値!G157:S157-終値!F157:R157))),50)</f>
        <v>23.802914642609295</v>
      </c>
      <c r="X152" s="362">
        <f>IF(C152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-96.63383670528583</v>
      </c>
      <c r="Y152" s="230" t="str">
        <f t="shared" si="53"/>
        <v>相場上昇・見送り | もみ合い→ MACD- RSI:23.8 [売られ過ぎ] 前日比:+1.0% [長い下ヒゲ(反発警戒)] [4点]</v>
      </c>
      <c r="Z152" s="363">
        <f t="shared" si="54"/>
        <v>1.0119262739428985</v>
      </c>
      <c r="AA152" s="230" t="str">
        <f t="shared" si="55"/>
        <v>上昇▲</v>
      </c>
      <c r="AB152" s="358">
        <f>IF(OR(C152="",C152="TOPX",終値!E157=""),"",IFERROR(((終値!E157*0.333)+(終値!F157*0.222)+(終値!G157*0.148)+(終値!H157*0.099)+(終値!I157*0.066))/(0.333+0.222+0.148+0.099+0.066),""))</f>
        <v>5485.9665898617495</v>
      </c>
      <c r="AC152" s="358">
        <f>IF(OR(C152="",C152="TOPX",終値!E157=""),"",IFERROR(SUMPRODUCT((終値!E157:AC157)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5706.8152562574469</v>
      </c>
      <c r="AD152" s="230" t="str">
        <f t="shared" si="56"/>
        <v>もみ合い→</v>
      </c>
      <c r="AE152" s="230" t="str">
        <f t="shared" si="57"/>
        <v>なし</v>
      </c>
      <c r="AF152" t="str">
        <f>IF(T152="","",IF(銘柄管理!$F$5="上昇▲",IF(AND(AD152="下降トレンド▼",OR(AE152="25日戻り売り★",AE152="5日戻り売り○")),"★逆張り売り",IF(AND(AD152="もみ合い→",OR(AE152="25日戻り売り★",AE152="5日戻り売り○")),"○逆張り売り",IF(W152&gt;=70,IF(Z152&lt;0,"◎反落確認","△過熱・様子見"),"相場上昇・見送り"))),IF(AND(T152&gt;=12,AD152="下降トレンド▼"),"★強い売り",IF(T152&gt;=12,"★強い売り",IF(AND(T152&gt;=8,OR(AE152="25日戻り売り★",AE152="5日戻り売り○")),"◎戻り売り",IF(T152&gt;=10,"○売り候補",IF(T152&gt;=6,"△注目",IF(T152&gt;=3,"様子見","見送り"))))))))</f>
        <v>相場上昇・見送り</v>
      </c>
      <c r="AG152">
        <f t="shared" si="59"/>
        <v>0</v>
      </c>
      <c r="AH152">
        <f t="shared" si="60"/>
        <v>0</v>
      </c>
      <c r="AI152" s="412" cm="1">
        <f t="array" ref="AI152">IF(C152="","",IFERROR((INDEX(終値!$E:$E,MATCH(TEXT(C152,"0"),終値!$A:$A,0))-INDEX(終値!$E:$BL,MATCH(TEXT(C152,"0"),終値!$A:$A,0),$AN$2))/INDEX(終値!$E:$BL,MATCH(TEXT(C152,"0"),終値!$A:$A,0),$AN$2)*100,""))</f>
        <v>-8.2553750205153467</v>
      </c>
      <c r="AJ152" s="412" cm="1">
        <f t="array" ref="AJ152">IFERROR((終値!$E$5-INDEX(終値!$E$5:$BL$5,1,$AN$2))/INDEX(終値!$E$5:$BL$5,1,$AN$2)*100,"")</f>
        <v>3.4532270246721688</v>
      </c>
      <c r="AK152" s="413">
        <f t="shared" si="61"/>
        <v>-11.708602045187515</v>
      </c>
      <c r="AL152" s="411">
        <f t="shared" si="62"/>
        <v>3</v>
      </c>
      <c r="AO152" s="415" t="str">
        <f t="shared" si="63"/>
        <v>長い下ヒゲ(反発警戒)</v>
      </c>
      <c r="AP152" s="416">
        <f t="shared" si="64"/>
        <v>-2</v>
      </c>
      <c r="AQ152">
        <f>IF(C152&lt;&gt;"",始値!F157,"")</f>
        <v>5574</v>
      </c>
      <c r="AR152">
        <f>IF(C152&lt;&gt;"",高値!F157,"")</f>
        <v>5611</v>
      </c>
      <c r="AS152">
        <f>IF(C152&lt;&gt;"",安値!F157,"")</f>
        <v>5522</v>
      </c>
      <c r="AT152" t="str">
        <f t="shared" si="58"/>
        <v>通常</v>
      </c>
      <c r="AU152">
        <f t="shared" si="65"/>
        <v>0</v>
      </c>
    </row>
    <row r="153" spans="1:47" ht="14.25">
      <c r="A153" s="349" t="str">
        <f>IF(銘柄管理!B166&lt;&gt;"",HYPERLINK("https://kabutan.jp/stock/?code="&amp;銘柄管理!B166,"株探"),"")</f>
        <v>株探</v>
      </c>
      <c r="B153" s="350"/>
      <c r="C153" s="350">
        <f>IF(銘柄管理!B166="","",銘柄管理!B166)</f>
        <v>9733</v>
      </c>
      <c r="D153" s="350" t="str">
        <f>IF(銘柄管理!C166="","",銘柄管理!C166)</f>
        <v>ナガセ</v>
      </c>
      <c r="E153" s="351">
        <f>IF(C153&lt;&gt;"",_xll.RssMarket(C153,"現在値"),"")</f>
        <v>2201</v>
      </c>
      <c r="F153" s="351">
        <f>IF(C153&lt;&gt;"",_xll.RssMarket(C153,"始値"),"")</f>
        <v>2234</v>
      </c>
      <c r="G153" s="350">
        <f>IF(C153&lt;&gt;"",終値!F166,"")</f>
        <v>2203</v>
      </c>
      <c r="H153" s="351">
        <f>IF(C153&lt;&gt;"",_xll.RssMarket(C153,"高値"),"")</f>
        <v>2238</v>
      </c>
      <c r="I153" s="351">
        <f>IF(C153&lt;&gt;"",_xll.RssMarket(C153,"安値"),"")</f>
        <v>2201</v>
      </c>
      <c r="J153" s="351">
        <f>IF(C153&lt;&gt;"",_xll.RssMarket(C153,"出来高"),"")</f>
        <v>27000</v>
      </c>
      <c r="K153" s="351">
        <f>IF(C153&lt;&gt;"",_xll.RssMarket(C153,"年初来高値"),"")</f>
        <v>2877</v>
      </c>
      <c r="L153" s="352">
        <f t="shared" si="44"/>
        <v>-23.496697949252692</v>
      </c>
      <c r="M153" s="351">
        <f>IF(C153&lt;&gt;"",IFERROR(AVERAGE(出来高!E166:I166),""),"")</f>
        <v>24040</v>
      </c>
      <c r="N153" s="351">
        <f>IF(C153&lt;&gt;"",IFERROR(AVERAGE(出来高!E166:AC166),""),"")</f>
        <v>23480</v>
      </c>
      <c r="O153" s="353">
        <f t="shared" si="45"/>
        <v>1.1231281198003327</v>
      </c>
      <c r="P153" s="350" t="str">
        <f t="shared" si="46"/>
        <v>普通→</v>
      </c>
      <c r="Q153" s="350" t="str">
        <f t="shared" si="47"/>
        <v>中立→</v>
      </c>
      <c r="R153" s="351">
        <f t="shared" si="48"/>
        <v>2025</v>
      </c>
      <c r="S153" s="351">
        <f t="shared" si="49"/>
        <v>2289</v>
      </c>
      <c r="T153" s="350">
        <f t="shared" si="50"/>
        <v>16</v>
      </c>
      <c r="U153" s="350" t="str">
        <f t="shared" si="51"/>
        <v>要確認</v>
      </c>
      <c r="V153" s="350" t="str">
        <f t="shared" si="52"/>
        <v>通常</v>
      </c>
      <c r="W153" s="354" cm="1">
        <f t="array" ref="W153">IFERROR(100-100/(1+SUMPRODUCT((終値!F166:R166&gt;終値!G166:S166)*(終値!F166:R166-終値!G166:S166))/SUMPRODUCT((終値!F166:R166&lt;終値!G166:S166)*(終値!G166:S166-終値!F166:R166))),50)</f>
        <v>36.742424242424242</v>
      </c>
      <c r="X153" s="355">
        <f>IF(C153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-11.285626435385439</v>
      </c>
      <c r="Y153" s="350" t="str">
        <f t="shared" si="53"/>
        <v>★逆張り売り | 下降トレンド▼ 25日戻り売り★ MACD- RSI:36.7 前日比:-0.1% [大陰線▼]前日[大陰線▼] [16点]</v>
      </c>
      <c r="Z153" s="356">
        <f t="shared" si="54"/>
        <v>-9.0785292782569221E-2</v>
      </c>
      <c r="AA153" s="350" t="str">
        <f t="shared" si="55"/>
        <v>下落▼</v>
      </c>
      <c r="AB153" s="351">
        <f>IF(OR(C153="",C153="TOPX",終値!E166=""),"",IFERROR(((終値!E166*0.333)+(終値!F166*0.222)+(終値!G166*0.148)+(終値!H166*0.099)+(終値!I166*0.066))/(0.333+0.222+0.148+0.099+0.066),""))</f>
        <v>2213.4677419354839</v>
      </c>
      <c r="AC153" s="351">
        <f>IF(OR(C153="",C153="TOPX",終値!E166=""),"",IFERROR(SUMPRODUCT((終値!E166:AC166)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2236.0190703218109</v>
      </c>
      <c r="AD153" s="350" t="str">
        <f t="shared" si="56"/>
        <v>下降トレンド▼</v>
      </c>
      <c r="AE153" s="350" t="str">
        <f t="shared" si="57"/>
        <v>25日戻り売り★</v>
      </c>
      <c r="AF153" t="str">
        <f>IF(T153="","",IF(銘柄管理!$F$5="上昇▲",IF(AND(AD153="下降トレンド▼",OR(AE153="25日戻り売り★",AE153="5日戻り売り○")),"★逆張り売り",IF(AND(AD153="もみ合い→",OR(AE153="25日戻り売り★",AE153="5日戻り売り○")),"○逆張り売り",IF(W153&gt;=70,IF(Z153&lt;0,"◎反落確認","△過熱・様子見"),"相場上昇・見送り"))),IF(AND(T153&gt;=12,AD153="下降トレンド▼"),"★強い売り",IF(T153&gt;=12,"★強い売り",IF(AND(T153&gt;=8,OR(AE153="25日戻り売り★",AE153="5日戻り売り○")),"◎戻り売り",IF(T153&gt;=10,"○売り候補",IF(T153&gt;=6,"△注目",IF(T153&gt;=3,"様子見","見送り"))))))))</f>
        <v>★逆張り売り</v>
      </c>
      <c r="AG153">
        <f t="shared" si="59"/>
        <v>16</v>
      </c>
      <c r="AH153">
        <f t="shared" si="60"/>
        <v>159847</v>
      </c>
      <c r="AI153" s="412" cm="1">
        <f t="array" ref="AI153">IF(C153="","",IFERROR((INDEX(終値!$E:$E,MATCH(TEXT(C153,"0"),終値!$A:$A,0))-INDEX(終値!$E:$BL,MATCH(TEXT(C153,"0"),終値!$A:$A,0),$AN$2))/INDEX(終値!$E:$BL,MATCH(TEXT(C153,"0"),終値!$A:$A,0),$AN$2)*100,""))</f>
        <v>-3.3801580333625987</v>
      </c>
      <c r="AJ153" s="412" cm="1">
        <f t="array" ref="AJ153">IFERROR((終値!$E$5-INDEX(終値!$E$5:$BL$5,1,$AN$2))/INDEX(終値!$E$5:$BL$5,1,$AN$2)*100,"")</f>
        <v>3.4532270246721688</v>
      </c>
      <c r="AK153" s="413">
        <f t="shared" si="61"/>
        <v>-6.8333850580347679</v>
      </c>
      <c r="AL153" s="411">
        <f t="shared" si="62"/>
        <v>3</v>
      </c>
      <c r="AO153" s="415" t="str">
        <f t="shared" si="63"/>
        <v>大陰線▼</v>
      </c>
      <c r="AP153" s="416">
        <f t="shared" si="64"/>
        <v>2</v>
      </c>
      <c r="AQ153">
        <f>IF(C153&lt;&gt;"",始値!F166,"")</f>
        <v>2235</v>
      </c>
      <c r="AR153">
        <f>IF(C153&lt;&gt;"",高値!F166,"")</f>
        <v>2235</v>
      </c>
      <c r="AS153">
        <f>IF(C153&lt;&gt;"",安値!F166,"")</f>
        <v>2203</v>
      </c>
      <c r="AT153" t="str">
        <f t="shared" si="58"/>
        <v>大陰線▼</v>
      </c>
      <c r="AU153">
        <f t="shared" si="65"/>
        <v>2</v>
      </c>
    </row>
    <row r="154" spans="1:47" ht="14.25">
      <c r="A154" s="357" t="str">
        <f>IF(銘柄管理!B174&lt;&gt;"",HYPERLINK("https://kabutan.jp/stock/?code="&amp;銘柄管理!B174,"株探"),"")</f>
        <v>株探</v>
      </c>
      <c r="B154" s="230"/>
      <c r="C154" s="230">
        <f>IF(銘柄管理!B174="","",銘柄管理!B174)</f>
        <v>2327</v>
      </c>
      <c r="D154" s="230" t="str">
        <f>IF(銘柄管理!C174="","",銘柄管理!C174)</f>
        <v>日鉄ソリューションズ</v>
      </c>
      <c r="E154" s="358">
        <f>IF(C154&lt;&gt;"",_xll.RssMarket(C154,"現在値"),"")</f>
        <v>3135</v>
      </c>
      <c r="F154" s="358">
        <f>IF(C154&lt;&gt;"",_xll.RssMarket(C154,"始値"),"")</f>
        <v>3133</v>
      </c>
      <c r="G154" s="230">
        <f>IF(C154&lt;&gt;"",終値!F174,"")</f>
        <v>3120</v>
      </c>
      <c r="H154" s="358">
        <f>IF(C154&lt;&gt;"",_xll.RssMarket(C154,"高値"),"")</f>
        <v>3167</v>
      </c>
      <c r="I154" s="358">
        <f>IF(C154&lt;&gt;"",_xll.RssMarket(C154,"安値"),"")</f>
        <v>3086</v>
      </c>
      <c r="J154" s="358">
        <f>IF(C154&lt;&gt;"",_xll.RssMarket(C154,"出来高"),"")</f>
        <v>325900</v>
      </c>
      <c r="K154" s="358">
        <f>IF(C154&lt;&gt;"",_xll.RssMarket(C154,"年初来高値"),"")</f>
        <v>4655</v>
      </c>
      <c r="L154" s="359">
        <f t="shared" si="44"/>
        <v>-32.653061224489797</v>
      </c>
      <c r="M154" s="358">
        <f>IF(C154&lt;&gt;"",IFERROR(AVERAGE(出来高!E174:I174),""),"")</f>
        <v>268080</v>
      </c>
      <c r="N154" s="358">
        <f>IF(C154&lt;&gt;"",IFERROR(AVERAGE(出来高!E174:AC174),""),"")</f>
        <v>250040</v>
      </c>
      <c r="O154" s="360">
        <f t="shared" si="45"/>
        <v>1.2156818860041778</v>
      </c>
      <c r="P154" s="230" t="str">
        <f t="shared" si="46"/>
        <v>普通→</v>
      </c>
      <c r="Q154" s="230" t="str">
        <f t="shared" si="47"/>
        <v>様子見▲</v>
      </c>
      <c r="R154" s="358">
        <f t="shared" si="48"/>
        <v>2884</v>
      </c>
      <c r="S154" s="358">
        <f t="shared" si="49"/>
        <v>3260</v>
      </c>
      <c r="T154" s="350">
        <f t="shared" si="50"/>
        <v>15</v>
      </c>
      <c r="U154" s="230" t="str">
        <f t="shared" si="51"/>
        <v>要確認</v>
      </c>
      <c r="V154" s="230" t="str">
        <f t="shared" si="52"/>
        <v>安値圏</v>
      </c>
      <c r="W154" s="361" cm="1">
        <f t="array" ref="W154">IFERROR(100-100/(1+SUMPRODUCT((終値!F174:R174&gt;終値!G174:S174)*(終値!F174:R174-終値!G174:S174))/SUMPRODUCT((終値!F174:R174&lt;終値!G174:S174)*(終値!G174:S174-終値!F174:R174))),50)</f>
        <v>12.798874824191273</v>
      </c>
      <c r="X154" s="362">
        <f>IF(C154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-51.756590338281967</v>
      </c>
      <c r="Y154" s="230" t="str">
        <f t="shared" si="53"/>
        <v>★逆張り売り | 下降トレンド▼ 5日戻り売り○ MACD- RSI:12.8 [売られ過ぎ] 前日比:+0.5% [安値圏]前日[大陰線▼] [15点]</v>
      </c>
      <c r="Z154" s="363">
        <f t="shared" si="54"/>
        <v>0.48076923076923078</v>
      </c>
      <c r="AA154" s="230" t="str">
        <f t="shared" si="55"/>
        <v>上昇▲</v>
      </c>
      <c r="AB154" s="358">
        <f>IF(OR(C154="",C154="TOPX",終値!E174=""),"",IFERROR(((終値!E174*0.333)+(終値!F174*0.222)+(終値!G174*0.148)+(終値!H174*0.099)+(終値!I174*0.066))/(0.333+0.222+0.148+0.099+0.066),""))</f>
        <v>3164.897465437788</v>
      </c>
      <c r="AC154" s="358">
        <f>IF(OR(C154="",C154="TOPX",終値!E174=""),"",IFERROR(SUMPRODUCT((終値!E174:AC174)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3378.8235995232399</v>
      </c>
      <c r="AD154" s="230" t="str">
        <f t="shared" si="56"/>
        <v>下降トレンド▼</v>
      </c>
      <c r="AE154" s="230" t="str">
        <f t="shared" si="57"/>
        <v>5日戻り売り○</v>
      </c>
      <c r="AF154" t="str">
        <f>IF(T154="","",IF(銘柄管理!$F$5="上昇▲",IF(AND(AD154="下降トレンド▼",OR(AE154="25日戻り売り★",AE154="5日戻り売り○")),"★逆張り売り",IF(AND(AD154="もみ合い→",OR(AE154="25日戻り売り★",AE154="5日戻り売り○")),"○逆張り売り",IF(W154&gt;=70,IF(Z154&lt;0,"◎反落確認","△過熱・様子見"),"相場上昇・見送り"))),IF(AND(T154&gt;=12,AD154="下降トレンド▼"),"★強い売り",IF(T154&gt;=12,"★強い売り",IF(AND(T154&gt;=8,OR(AE154="25日戻り売り★",AE154="5日戻り売り○")),"◎戻り売り",IF(T154&gt;=10,"○売り候補",IF(T154&gt;=6,"△注目",IF(T154&gt;=3,"様子見","見送り"))))))))</f>
        <v>★逆張り売り</v>
      </c>
      <c r="AG154">
        <f t="shared" si="59"/>
        <v>15</v>
      </c>
      <c r="AH154">
        <f t="shared" si="60"/>
        <v>149846</v>
      </c>
      <c r="AI154" s="412" cm="1">
        <f t="array" ref="AI154">IF(C154="","",IFERROR((INDEX(終値!$E:$E,MATCH(TEXT(C154,"0"),終値!$A:$A,0))-INDEX(終値!$E:$BL,MATCH(TEXT(C154,"0"),終値!$A:$A,0),$AN$2))/INDEX(終値!$E:$BL,MATCH(TEXT(C154,"0"),終値!$A:$A,0),$AN$2)*100,""))</f>
        <v>-12.012349143979792</v>
      </c>
      <c r="AJ154" s="412" cm="1">
        <f t="array" ref="AJ154">IFERROR((終値!$E$5-INDEX(終値!$E$5:$BL$5,1,$AN$2))/INDEX(終値!$E$5:$BL$5,1,$AN$2)*100,"")</f>
        <v>3.4532270246721688</v>
      </c>
      <c r="AK154" s="413">
        <f t="shared" si="61"/>
        <v>-15.46557616865196</v>
      </c>
      <c r="AL154" s="411">
        <f t="shared" si="62"/>
        <v>3</v>
      </c>
      <c r="AO154" s="415" t="str">
        <f t="shared" si="63"/>
        <v>通常</v>
      </c>
      <c r="AP154" s="416">
        <f t="shared" si="64"/>
        <v>0</v>
      </c>
      <c r="AQ154">
        <f>IF(C154&lt;&gt;"",始値!F174,"")</f>
        <v>3220</v>
      </c>
      <c r="AR154">
        <f>IF(C154&lt;&gt;"",高値!F174,"")</f>
        <v>3225</v>
      </c>
      <c r="AS154">
        <f>IF(C154&lt;&gt;"",安値!F174,"")</f>
        <v>3215</v>
      </c>
      <c r="AT154" t="str">
        <f t="shared" si="58"/>
        <v>大陰線▼</v>
      </c>
      <c r="AU154">
        <f t="shared" si="65"/>
        <v>2</v>
      </c>
    </row>
    <row r="155" spans="1:47" ht="14.25">
      <c r="A155" s="349" t="str">
        <f>IF(銘柄管理!B178&lt;&gt;"",HYPERLINK("https://kabutan.jp/stock/?code="&amp;銘柄管理!B178,"株探"),"")</f>
        <v>株探</v>
      </c>
      <c r="B155" s="350"/>
      <c r="C155" s="350">
        <f>IF(銘柄管理!B178="","",銘柄管理!B178)</f>
        <v>6436</v>
      </c>
      <c r="D155" s="350" t="str">
        <f>IF(銘柄管理!C178="","",銘柄管理!C178)</f>
        <v>アマノ</v>
      </c>
      <c r="E155" s="351">
        <f>IF(C155&lt;&gt;"",_xll.RssMarket(C155,"現在値"),"")</f>
        <v>3565</v>
      </c>
      <c r="F155" s="351">
        <f>IF(C155&lt;&gt;"",_xll.RssMarket(C155,"始値"),"")</f>
        <v>3595</v>
      </c>
      <c r="G155" s="350">
        <f>IF(C155&lt;&gt;"",終値!F178,"")</f>
        <v>3563</v>
      </c>
      <c r="H155" s="351">
        <f>IF(C155&lt;&gt;"",_xll.RssMarket(C155,"高値"),"")</f>
        <v>3599</v>
      </c>
      <c r="I155" s="351">
        <f>IF(C155&lt;&gt;"",_xll.RssMarket(C155,"安値"),"")</f>
        <v>3546</v>
      </c>
      <c r="J155" s="351">
        <f>IF(C155&lt;&gt;"",_xll.RssMarket(C155,"出来高"),"")</f>
        <v>212400</v>
      </c>
      <c r="K155" s="351">
        <f>IF(C155&lt;&gt;"",_xll.RssMarket(C155,"年初来高値"),"")</f>
        <v>4310</v>
      </c>
      <c r="L155" s="352">
        <f t="shared" si="44"/>
        <v>-17.28538283062645</v>
      </c>
      <c r="M155" s="351">
        <f>IF(C155&lt;&gt;"",IFERROR(AVERAGE(出来高!E178:I178),""),"")</f>
        <v>207900</v>
      </c>
      <c r="N155" s="351">
        <f>IF(C155&lt;&gt;"",IFERROR(AVERAGE(出来高!E178:AC178),""),"")</f>
        <v>234412</v>
      </c>
      <c r="O155" s="353">
        <f t="shared" si="45"/>
        <v>1.0216450216450217</v>
      </c>
      <c r="P155" s="350" t="str">
        <f t="shared" si="46"/>
        <v>普通→</v>
      </c>
      <c r="Q155" s="350" t="str">
        <f t="shared" si="47"/>
        <v>様子見▲</v>
      </c>
      <c r="R155" s="351">
        <f t="shared" si="48"/>
        <v>3280</v>
      </c>
      <c r="S155" s="351">
        <f t="shared" si="49"/>
        <v>3708</v>
      </c>
      <c r="T155" s="350">
        <f t="shared" si="50"/>
        <v>9</v>
      </c>
      <c r="U155" s="350" t="str">
        <f t="shared" si="51"/>
        <v>要確認</v>
      </c>
      <c r="V155" s="350" t="str">
        <f t="shared" si="52"/>
        <v>通常</v>
      </c>
      <c r="W155" s="354" cm="1">
        <f t="array" ref="W155">IFERROR(100-100/(1+SUMPRODUCT((終値!F178:R178&gt;終値!G178:S178)*(終値!F178:R178-終値!G178:S178))/SUMPRODUCT((終値!F178:R178&lt;終値!G178:S178)*(終値!G178:S178-終値!F178:R178))),50)</f>
        <v>45.079365079365076</v>
      </c>
      <c r="X155" s="355">
        <f>IF(C155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-7.8359808787645306</v>
      </c>
      <c r="Y155" s="350" t="str">
        <f t="shared" si="53"/>
        <v>★逆張り売り | 下降トレンド▼ 25日戻り売り★ MACD- RSI:45.1 前日比:+0.1%前日[長い下ヒゲ(反発)] [9点]</v>
      </c>
      <c r="Z155" s="356">
        <f t="shared" si="54"/>
        <v>5.6132472635419595E-2</v>
      </c>
      <c r="AA155" s="350" t="str">
        <f t="shared" si="55"/>
        <v>上昇▲</v>
      </c>
      <c r="AB155" s="351">
        <f>IF(OR(C155="",C155="TOPX",終値!E178=""),"",IFERROR(((終値!E178*0.333)+(終値!F178*0.222)+(終値!G178*0.148)+(終値!H178*0.099)+(終値!I178*0.066))/(0.333+0.222+0.148+0.099+0.066),""))</f>
        <v>3577.1543778801838</v>
      </c>
      <c r="AC155" s="351">
        <f>IF(OR(C155="",C155="TOPX",終値!E178=""),"",IFERROR(SUMPRODUCT((終値!E178:AC178)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3581.3682955899867</v>
      </c>
      <c r="AD155" s="350" t="str">
        <f t="shared" si="56"/>
        <v>下降トレンド▼</v>
      </c>
      <c r="AE155" s="350" t="str">
        <f t="shared" si="57"/>
        <v>25日戻り売り★</v>
      </c>
      <c r="AF155" t="str">
        <f>IF(T155="","",IF(銘柄管理!$F$5="上昇▲",IF(AND(AD155="下降トレンド▼",OR(AE155="25日戻り売り★",AE155="5日戻り売り○")),"★逆張り売り",IF(AND(AD155="もみ合い→",OR(AE155="25日戻り売り★",AE155="5日戻り売り○")),"○逆張り売り",IF(W155&gt;=70,IF(Z155&lt;0,"◎反落確認","△過熱・様子見"),"相場上昇・見送り"))),IF(AND(T155&gt;=12,AD155="下降トレンド▼"),"★強い売り",IF(T155&gt;=12,"★強い売り",IF(AND(T155&gt;=8,OR(AE155="25日戻り売り★",AE155="5日戻り売り○")),"◎戻り売り",IF(T155&gt;=10,"○売り候補",IF(T155&gt;=6,"△注目",IF(T155&gt;=3,"様子見","見送り"))))))))</f>
        <v>★逆張り売り</v>
      </c>
      <c r="AG155">
        <f t="shared" si="59"/>
        <v>9</v>
      </c>
      <c r="AH155">
        <f t="shared" si="60"/>
        <v>89845</v>
      </c>
      <c r="AI155" s="412" cm="1">
        <f t="array" ref="AI155">IF(C155="","",IFERROR((INDEX(終値!$E:$E,MATCH(TEXT(C155,"0"),終値!$A:$A,0))-INDEX(終値!$E:$BL,MATCH(TEXT(C155,"0"),終値!$A:$A,0),$AN$2))/INDEX(終値!$E:$BL,MATCH(TEXT(C155,"0"),終値!$A:$A,0),$AN$2)*100,""))</f>
        <v>-2.9139433551198257</v>
      </c>
      <c r="AJ155" s="412" cm="1">
        <f t="array" ref="AJ155">IFERROR((終値!$E$5-INDEX(終値!$E$5:$BL$5,1,$AN$2))/INDEX(終値!$E$5:$BL$5,1,$AN$2)*100,"")</f>
        <v>3.4532270246721688</v>
      </c>
      <c r="AK155" s="413">
        <f t="shared" si="61"/>
        <v>-6.367170379791995</v>
      </c>
      <c r="AL155" s="411">
        <f t="shared" si="62"/>
        <v>3</v>
      </c>
      <c r="AO155" s="415" t="str">
        <f t="shared" si="63"/>
        <v>通常</v>
      </c>
      <c r="AP155" s="416">
        <f t="shared" si="64"/>
        <v>0</v>
      </c>
      <c r="AQ155">
        <f>IF(C155&lt;&gt;"",始値!F178,"")</f>
        <v>3577</v>
      </c>
      <c r="AR155">
        <f>IF(C155&lt;&gt;"",高値!F178,"")</f>
        <v>3578</v>
      </c>
      <c r="AS155">
        <f>IF(C155&lt;&gt;"",安値!F178,"")</f>
        <v>3543</v>
      </c>
      <c r="AT155" t="str">
        <f t="shared" si="58"/>
        <v>長い下ヒゲ(反発)</v>
      </c>
      <c r="AU155">
        <f t="shared" si="65"/>
        <v>-2</v>
      </c>
    </row>
    <row r="156" spans="1:47" ht="14.25">
      <c r="A156" s="357" t="str">
        <f>IF(銘柄管理!B180&lt;&gt;"",HYPERLINK("https://kabutan.jp/stock/?code="&amp;銘柄管理!B180,"株探"),"")</f>
        <v>株探</v>
      </c>
      <c r="B156" s="230"/>
      <c r="C156" s="230">
        <f>IF(銘柄管理!B180="","",銘柄管理!B180)</f>
        <v>5440</v>
      </c>
      <c r="D156" s="230" t="str">
        <f>IF(銘柄管理!C180="","",銘柄管理!C180)</f>
        <v>共英製鋼</v>
      </c>
      <c r="E156" s="358">
        <f>IF(C156&lt;&gt;"",_xll.RssMarket(C156,"現在値"),"")</f>
        <v>1755</v>
      </c>
      <c r="F156" s="358">
        <f>IF(C156&lt;&gt;"",_xll.RssMarket(C156,"始値"),"")</f>
        <v>1744</v>
      </c>
      <c r="G156" s="230">
        <f>IF(C156&lt;&gt;"",終値!F180,"")</f>
        <v>1753</v>
      </c>
      <c r="H156" s="358">
        <f>IF(C156&lt;&gt;"",_xll.RssMarket(C156,"高値"),"")</f>
        <v>1787</v>
      </c>
      <c r="I156" s="358">
        <f>IF(C156&lt;&gt;"",_xll.RssMarket(C156,"安値"),"")</f>
        <v>1742</v>
      </c>
      <c r="J156" s="358">
        <f>IF(C156&lt;&gt;"",_xll.RssMarket(C156,"出来高"),"")</f>
        <v>113000</v>
      </c>
      <c r="K156" s="358">
        <f>IF(C156&lt;&gt;"",_xll.RssMarket(C156,"年初来高値"),"")</f>
        <v>2696</v>
      </c>
      <c r="L156" s="359">
        <f t="shared" si="44"/>
        <v>-34.903560830860535</v>
      </c>
      <c r="M156" s="358">
        <f>IF(C156&lt;&gt;"",IFERROR(AVERAGE(出来高!E180:I180),""),"")</f>
        <v>108880</v>
      </c>
      <c r="N156" s="358">
        <f>IF(C156&lt;&gt;"",IFERROR(AVERAGE(出来高!E180:AC180),""),"")</f>
        <v>148140</v>
      </c>
      <c r="O156" s="360">
        <f t="shared" si="45"/>
        <v>1.0378398236590742</v>
      </c>
      <c r="P156" s="230" t="str">
        <f t="shared" si="46"/>
        <v>普通→</v>
      </c>
      <c r="Q156" s="230" t="str">
        <f t="shared" si="47"/>
        <v>様子見▲</v>
      </c>
      <c r="R156" s="358">
        <f t="shared" si="48"/>
        <v>1615</v>
      </c>
      <c r="S156" s="358">
        <f t="shared" si="49"/>
        <v>1825</v>
      </c>
      <c r="T156" s="350">
        <f t="shared" si="50"/>
        <v>14</v>
      </c>
      <c r="U156" s="230" t="str">
        <f t="shared" si="51"/>
        <v>要確認</v>
      </c>
      <c r="V156" s="230" t="str">
        <f t="shared" si="52"/>
        <v>安値圏</v>
      </c>
      <c r="W156" s="361" cm="1">
        <f t="array" ref="W156">IFERROR(100-100/(1+SUMPRODUCT((終値!F180:R180&gt;終値!G180:S180)*(終値!F180:R180-終値!G180:S180))/SUMPRODUCT((終値!F180:R180&lt;終値!G180:S180)*(終値!G180:S180-終値!F180:R180))),50)</f>
        <v>30.290456431535276</v>
      </c>
      <c r="X156" s="362">
        <f>IF(C156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-14.513134903418177</v>
      </c>
      <c r="Y156" s="230" t="str">
        <f t="shared" si="53"/>
        <v>○逆張り売り | もみ合い→ 25日戻り売り★ MACD- RSI:30.3 前日比:+0.1% [安値圏] [上ヒゲ陰線▼] [14点]</v>
      </c>
      <c r="Z156" s="363">
        <f t="shared" si="54"/>
        <v>0.11409013120365087</v>
      </c>
      <c r="AA156" s="230" t="str">
        <f t="shared" si="55"/>
        <v>上昇▲</v>
      </c>
      <c r="AB156" s="358">
        <f>IF(OR(C156="",C156="TOPX",終値!E180=""),"",IFERROR(((終値!E180*0.333)+(終値!F180*0.222)+(終値!G180*0.148)+(終値!H180*0.099)+(終値!I180*0.066))/(0.333+0.222+0.148+0.099+0.066),""))</f>
        <v>1748.0034562211983</v>
      </c>
      <c r="AC156" s="358">
        <f>IF(OR(C156="",C156="TOPX",終値!E180=""),"",IFERROR(SUMPRODUCT((終値!E180:AC180)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1770.7342073897494</v>
      </c>
      <c r="AD156" s="230" t="str">
        <f t="shared" si="56"/>
        <v>もみ合い→</v>
      </c>
      <c r="AE156" s="230" t="str">
        <f t="shared" si="57"/>
        <v>25日戻り売り★</v>
      </c>
      <c r="AF156" t="str">
        <f>IF(T156="","",IF(銘柄管理!$F$5="上昇▲",IF(AND(AD156="下降トレンド▼",OR(AE156="25日戻り売り★",AE156="5日戻り売り○")),"★逆張り売り",IF(AND(AD156="もみ合い→",OR(AE156="25日戻り売り★",AE156="5日戻り売り○")),"○逆張り売り",IF(W156&gt;=70,IF(Z156&lt;0,"◎反落確認","△過熱・様子見"),"相場上昇・見送り"))),IF(AND(T156&gt;=12,AD156="下降トレンド▼"),"★強い売り",IF(T156&gt;=12,"★強い売り",IF(AND(T156&gt;=8,OR(AE156="25日戻り売り★",AE156="5日戻り売り○")),"◎戻り売り",IF(T156&gt;=10,"○売り候補",IF(T156&gt;=6,"△注目",IF(T156&gt;=3,"様子見","見送り"))))))))</f>
        <v>○逆張り売り</v>
      </c>
      <c r="AG156">
        <f t="shared" si="59"/>
        <v>14</v>
      </c>
      <c r="AH156">
        <f t="shared" si="60"/>
        <v>139844</v>
      </c>
      <c r="AI156" s="412" cm="1">
        <f t="array" ref="AI156">IF(C156="","",IFERROR((INDEX(終値!$E:$E,MATCH(TEXT(C156,"0"),終値!$A:$A,0))-INDEX(終値!$E:$BL,MATCH(TEXT(C156,"0"),終値!$A:$A,0),$AN$2))/INDEX(終値!$E:$BL,MATCH(TEXT(C156,"0"),終値!$A:$A,0),$AN$2)*100,""))</f>
        <v>-6.5495207667731634</v>
      </c>
      <c r="AJ156" s="412" cm="1">
        <f t="array" ref="AJ156">IFERROR((終値!$E$5-INDEX(終値!$E$5:$BL$5,1,$AN$2))/INDEX(終値!$E$5:$BL$5,1,$AN$2)*100,"")</f>
        <v>3.4532270246721688</v>
      </c>
      <c r="AK156" s="413">
        <f t="shared" si="61"/>
        <v>-10.002747791445332</v>
      </c>
      <c r="AL156" s="411">
        <f t="shared" si="62"/>
        <v>3</v>
      </c>
      <c r="AO156" s="415" t="str">
        <f t="shared" si="63"/>
        <v>上ヒゲ陰線▼</v>
      </c>
      <c r="AP156" s="416">
        <f t="shared" si="64"/>
        <v>2</v>
      </c>
      <c r="AQ156">
        <f>IF(C156&lt;&gt;"",始値!F180,"")</f>
        <v>1752</v>
      </c>
      <c r="AR156">
        <f>IF(C156&lt;&gt;"",高値!F180,"")</f>
        <v>1772</v>
      </c>
      <c r="AS156">
        <f>IF(C156&lt;&gt;"",安値!F180,"")</f>
        <v>1745</v>
      </c>
      <c r="AT156" t="str">
        <f t="shared" si="58"/>
        <v>通常</v>
      </c>
      <c r="AU156">
        <f t="shared" si="65"/>
        <v>0</v>
      </c>
    </row>
    <row r="157" spans="1:47" ht="14.25">
      <c r="A157" s="349" t="str">
        <f>IF(銘柄管理!B181&lt;&gt;"",HYPERLINK("https://kabutan.jp/stock/?code="&amp;銘柄管理!B181,"株探"),"")</f>
        <v>株探</v>
      </c>
      <c r="B157" s="350"/>
      <c r="C157" s="350">
        <f>IF(銘柄管理!B181="","",銘柄管理!B181)</f>
        <v>9505</v>
      </c>
      <c r="D157" s="350" t="str">
        <f>IF(銘柄管理!C181="","",銘柄管理!C181)</f>
        <v>北陸電力</v>
      </c>
      <c r="E157" s="351">
        <f>IF(C157&lt;&gt;"",_xll.RssMarket(C157,"現在値"),"")</f>
        <v>850</v>
      </c>
      <c r="F157" s="351">
        <f>IF(C157&lt;&gt;"",_xll.RssMarket(C157,"始値"),"")</f>
        <v>849</v>
      </c>
      <c r="G157" s="350">
        <f>IF(C157&lt;&gt;"",終値!F181,"")</f>
        <v>851.7</v>
      </c>
      <c r="H157" s="351">
        <f>IF(C157&lt;&gt;"",_xll.RssMarket(C157,"高値"),"")</f>
        <v>859.5</v>
      </c>
      <c r="I157" s="351">
        <f>IF(C157&lt;&gt;"",_xll.RssMarket(C157,"安値"),"")</f>
        <v>840.1</v>
      </c>
      <c r="J157" s="351">
        <f>IF(C157&lt;&gt;"",_xll.RssMarket(C157,"出来高"),"")</f>
        <v>883400</v>
      </c>
      <c r="K157" s="351">
        <f>IF(C157&lt;&gt;"",_xll.RssMarket(C157,"年初来高値"),"")</f>
        <v>1142</v>
      </c>
      <c r="L157" s="352">
        <f t="shared" si="44"/>
        <v>-25.569176882661999</v>
      </c>
      <c r="M157" s="351">
        <f>IF(C157&lt;&gt;"",IFERROR(AVERAGE(出来高!E181:I181),""),"")</f>
        <v>944900</v>
      </c>
      <c r="N157" s="351">
        <f>IF(C157&lt;&gt;"",IFERROR(AVERAGE(出来高!E181:AC181),""),"")</f>
        <v>1004440</v>
      </c>
      <c r="O157" s="353">
        <f t="shared" si="45"/>
        <v>0.93491374748650646</v>
      </c>
      <c r="P157" s="350" t="str">
        <f t="shared" si="46"/>
        <v>減少↓</v>
      </c>
      <c r="Q157" s="350" t="str">
        <f t="shared" si="47"/>
        <v>中立→</v>
      </c>
      <c r="R157" s="351">
        <f t="shared" si="48"/>
        <v>782</v>
      </c>
      <c r="S157" s="351">
        <f t="shared" si="49"/>
        <v>884</v>
      </c>
      <c r="T157" s="350">
        <f t="shared" si="50"/>
        <v>13</v>
      </c>
      <c r="U157" s="350" t="str">
        <f t="shared" si="51"/>
        <v>要確認</v>
      </c>
      <c r="V157" s="350" t="str">
        <f t="shared" si="52"/>
        <v>安値圏</v>
      </c>
      <c r="W157" s="354" cm="1">
        <f t="array" ref="W157">IFERROR(100-100/(1+SUMPRODUCT((終値!F181:R181&gt;終値!G181:S181)*(終値!F181:R181-終値!G181:S181))/SUMPRODUCT((終値!F181:R181&lt;終値!G181:S181)*(終値!G181:S181-終値!F181:R181))),50)</f>
        <v>50.79834417504437</v>
      </c>
      <c r="X157" s="355">
        <f>IF(C157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-3.8066611871565783</v>
      </c>
      <c r="Y157" s="350" t="str">
        <f t="shared" si="53"/>
        <v>相場上昇・見送り | 上昇トレンド▲ 5日戻り売り○ MACD- RSI:50.8 前日比:-0.2% [安値圏]前日[大陰線▼] [13点]</v>
      </c>
      <c r="Z157" s="356">
        <f t="shared" si="54"/>
        <v>-0.19960079840319894</v>
      </c>
      <c r="AA157" s="350" t="str">
        <f t="shared" si="55"/>
        <v>下落▼</v>
      </c>
      <c r="AB157" s="351">
        <f>IF(OR(C157="",C157="TOPX",終値!E181=""),"",IFERROR(((終値!E181*0.333)+(終値!F181*0.222)+(終値!G181*0.148)+(終値!H181*0.099)+(終値!I181*0.066))/(0.333+0.222+0.148+0.099+0.066),""))</f>
        <v>853.84827188940085</v>
      </c>
      <c r="AC157" s="351">
        <f>IF(OR(C157="",C157="TOPX",終値!E181=""),"",IFERROR(SUMPRODUCT((終値!E181:AC181)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847.07759237187076</v>
      </c>
      <c r="AD157" s="350" t="str">
        <f t="shared" si="56"/>
        <v>上昇トレンド▲</v>
      </c>
      <c r="AE157" s="350" t="str">
        <f t="shared" si="57"/>
        <v>5日戻り売り○</v>
      </c>
      <c r="AF157" t="str">
        <f>IF(T157="","",IF(銘柄管理!$F$5="上昇▲",IF(AND(AD157="下降トレンド▼",OR(AE157="25日戻り売り★",AE157="5日戻り売り○")),"★逆張り売り",IF(AND(AD157="もみ合い→",OR(AE157="25日戻り売り★",AE157="5日戻り売り○")),"○逆張り売り",IF(W157&gt;=70,IF(Z157&lt;0,"◎反落確認","△過熱・様子見"),"相場上昇・見送り"))),IF(AND(T157&gt;=12,AD157="下降トレンド▼"),"★強い売り",IF(T157&gt;=12,"★強い売り",IF(AND(T157&gt;=8,OR(AE157="25日戻り売り★",AE157="5日戻り売り○")),"◎戻り売り",IF(T157&gt;=10,"○売り候補",IF(T157&gt;=6,"△注目",IF(T157&gt;=3,"様子見","見送り"))))))))</f>
        <v>相場上昇・見送り</v>
      </c>
      <c r="AG157">
        <f t="shared" si="59"/>
        <v>13</v>
      </c>
      <c r="AH157">
        <f t="shared" si="60"/>
        <v>129843</v>
      </c>
      <c r="AI157" s="412" cm="1">
        <f t="array" ref="AI157">IF(C157="","",IFERROR((INDEX(終値!$E:$E,MATCH(TEXT(C157,"0"),終値!$A:$A,0))-INDEX(終値!$E:$BL,MATCH(TEXT(C157,"0"),終値!$A:$A,0),$AN$2))/INDEX(終値!$E:$BL,MATCH(TEXT(C157,"0"),終値!$A:$A,0),$AN$2)*100,""))</f>
        <v>-7.113976614577644</v>
      </c>
      <c r="AJ157" s="412" cm="1">
        <f t="array" ref="AJ157">IFERROR((終値!$E$5-INDEX(終値!$E$5:$BL$5,1,$AN$2))/INDEX(終値!$E$5:$BL$5,1,$AN$2)*100,"")</f>
        <v>3.4532270246721688</v>
      </c>
      <c r="AK157" s="413">
        <f t="shared" si="61"/>
        <v>-10.567203639249813</v>
      </c>
      <c r="AL157" s="411">
        <f t="shared" si="62"/>
        <v>3</v>
      </c>
      <c r="AO157" s="415" t="str">
        <f t="shared" si="63"/>
        <v>通常</v>
      </c>
      <c r="AP157" s="416">
        <f t="shared" si="64"/>
        <v>0</v>
      </c>
      <c r="AQ157">
        <f>IF(C157&lt;&gt;"",始値!F181,"")</f>
        <v>872.9</v>
      </c>
      <c r="AR157">
        <f>IF(C157&lt;&gt;"",高値!F181,"")</f>
        <v>873.2</v>
      </c>
      <c r="AS157">
        <f>IF(C157&lt;&gt;"",安値!F181,"")</f>
        <v>844.1</v>
      </c>
      <c r="AT157" t="str">
        <f t="shared" si="58"/>
        <v>大陰線▼</v>
      </c>
      <c r="AU157">
        <f t="shared" si="65"/>
        <v>2</v>
      </c>
    </row>
    <row r="158" spans="1:47" ht="14.25">
      <c r="A158" s="357" t="str">
        <f>IF(銘柄管理!B182&lt;&gt;"",HYPERLINK("https://kabutan.jp/stock/?code="&amp;銘柄管理!B182,"株探"),"")</f>
        <v>株探</v>
      </c>
      <c r="B158" s="230"/>
      <c r="C158" s="230">
        <f>IF(銘柄管理!B182="","",銘柄管理!B182)</f>
        <v>8091</v>
      </c>
      <c r="D158" s="230" t="str">
        <f>IF(銘柄管理!C182="","",銘柄管理!C182)</f>
        <v>ニチモウ</v>
      </c>
      <c r="E158" s="358">
        <f>IF(C158&lt;&gt;"",_xll.RssMarket(C158,"現在値"),"")</f>
        <v>2211</v>
      </c>
      <c r="F158" s="358">
        <f>IF(C158&lt;&gt;"",_xll.RssMarket(C158,"始値"),"")</f>
        <v>2219</v>
      </c>
      <c r="G158" s="230">
        <f>IF(C158&lt;&gt;"",終値!F182,"")</f>
        <v>2214</v>
      </c>
      <c r="H158" s="358">
        <f>IF(C158&lt;&gt;"",_xll.RssMarket(C158,"高値"),"")</f>
        <v>2240</v>
      </c>
      <c r="I158" s="358">
        <f>IF(C158&lt;&gt;"",_xll.RssMarket(C158,"安値"),"")</f>
        <v>2211</v>
      </c>
      <c r="J158" s="358">
        <f>IF(C158&lt;&gt;"",_xll.RssMarket(C158,"出来高"),"")</f>
        <v>13300</v>
      </c>
      <c r="K158" s="358">
        <f>IF(C158&lt;&gt;"",_xll.RssMarket(C158,"年初来高値"),"")</f>
        <v>2730</v>
      </c>
      <c r="L158" s="359">
        <f t="shared" si="44"/>
        <v>-19.010989010989011</v>
      </c>
      <c r="M158" s="358">
        <f>IF(C158&lt;&gt;"",IFERROR(AVERAGE(出来高!E182:I182),""),"")</f>
        <v>12880</v>
      </c>
      <c r="N158" s="358">
        <f>IF(C158&lt;&gt;"",IFERROR(AVERAGE(出来高!E182:AC182),""),"")</f>
        <v>28736</v>
      </c>
      <c r="O158" s="360">
        <f t="shared" si="45"/>
        <v>1.0326086956521738</v>
      </c>
      <c r="P158" s="230" t="str">
        <f t="shared" si="46"/>
        <v>普通→</v>
      </c>
      <c r="Q158" s="230" t="str">
        <f t="shared" si="47"/>
        <v>中立→</v>
      </c>
      <c r="R158" s="358">
        <f t="shared" si="48"/>
        <v>2034</v>
      </c>
      <c r="S158" s="358">
        <f t="shared" si="49"/>
        <v>2299</v>
      </c>
      <c r="T158" s="350">
        <f t="shared" si="50"/>
        <v>7</v>
      </c>
      <c r="U158" s="230" t="str">
        <f t="shared" si="51"/>
        <v>要確認</v>
      </c>
      <c r="V158" s="230" t="str">
        <f t="shared" si="52"/>
        <v>通常</v>
      </c>
      <c r="W158" s="361" cm="1">
        <f t="array" ref="W158">IFERROR(100-100/(1+SUMPRODUCT((終値!F182:R182&gt;終値!G182:S182)*(終値!F182:R182-終値!G182:S182))/SUMPRODUCT((終値!F182:R182&lt;終値!G182:S182)*(終値!G182:S182-終値!F182:R182))),50)</f>
        <v>62.578616352201259</v>
      </c>
      <c r="X158" s="362">
        <f>IF(C158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1.8308582664303685</v>
      </c>
      <c r="Y158" s="230" t="str">
        <f t="shared" si="53"/>
        <v>相場上昇・見送り | パーフェクト▲ MACD+ RSI:62.6 前日比:-0.1% [上ヒゲ陰線▼]前日[長い下ヒゲ(反発)] [7点]</v>
      </c>
      <c r="Z158" s="363">
        <f t="shared" si="54"/>
        <v>-0.13550135501355012</v>
      </c>
      <c r="AA158" s="230" t="str">
        <f t="shared" si="55"/>
        <v>下落▼</v>
      </c>
      <c r="AB158" s="358">
        <f>IF(OR(C158="",C158="TOPX",終値!E182=""),"",IFERROR(((終値!E182*0.333)+(終値!F182*0.222)+(終値!G182*0.148)+(終値!H182*0.099)+(終値!I182*0.066))/(0.333+0.222+0.148+0.099+0.066),""))</f>
        <v>2201.6543778801843</v>
      </c>
      <c r="AC158" s="358">
        <f>IF(OR(C158="",C158="TOPX",終値!E182=""),"",IFERROR(SUMPRODUCT((終値!E182:AC182)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2183.3003575685334</v>
      </c>
      <c r="AD158" s="230" t="str">
        <f t="shared" si="56"/>
        <v>パーフェクト▲</v>
      </c>
      <c r="AE158" s="230" t="str">
        <f t="shared" si="57"/>
        <v>なし</v>
      </c>
      <c r="AF158" t="str">
        <f>IF(T158="","",IF(銘柄管理!$F$5="上昇▲",IF(AND(AD158="下降トレンド▼",OR(AE158="25日戻り売り★",AE158="5日戻り売り○")),"★逆張り売り",IF(AND(AD158="もみ合い→",OR(AE158="25日戻り売り★",AE158="5日戻り売り○")),"○逆張り売り",IF(W158&gt;=70,IF(Z158&lt;0,"◎反落確認","△過熱・様子見"),"相場上昇・見送り"))),IF(AND(T158&gt;=12,AD158="下降トレンド▼"),"★強い売り",IF(T158&gt;=12,"★強い売り",IF(AND(T158&gt;=8,OR(AE158="25日戻り売り★",AE158="5日戻り売り○")),"◎戻り売り",IF(T158&gt;=10,"○売り候補",IF(T158&gt;=6,"△注目",IF(T158&gt;=3,"様子見","見送り"))))))))</f>
        <v>相場上昇・見送り</v>
      </c>
      <c r="AG158">
        <f t="shared" si="59"/>
        <v>7</v>
      </c>
      <c r="AH158">
        <f t="shared" si="60"/>
        <v>69842</v>
      </c>
      <c r="AI158" s="412" cm="1">
        <f t="array" ref="AI158">IF(C158="","",IFERROR((INDEX(終値!$E:$E,MATCH(TEXT(C158,"0"),終値!$A:$A,0))-INDEX(終値!$E:$BL,MATCH(TEXT(C158,"0"),終値!$A:$A,0),$AN$2))/INDEX(終値!$E:$BL,MATCH(TEXT(C158,"0"),終値!$A:$A,0),$AN$2)*100,""))</f>
        <v>-2.9837648091268099</v>
      </c>
      <c r="AJ158" s="412" cm="1">
        <f t="array" ref="AJ158">IFERROR((終値!$E$5-INDEX(終値!$E$5:$BL$5,1,$AN$2))/INDEX(終値!$E$5:$BL$5,1,$AN$2)*100,"")</f>
        <v>3.4532270246721688</v>
      </c>
      <c r="AK158" s="413">
        <f t="shared" si="61"/>
        <v>-6.4369918337989791</v>
      </c>
      <c r="AL158" s="411">
        <f t="shared" si="62"/>
        <v>3</v>
      </c>
      <c r="AO158" s="415" t="str">
        <f t="shared" si="63"/>
        <v>上ヒゲ陰線▼</v>
      </c>
      <c r="AP158" s="416">
        <f t="shared" si="64"/>
        <v>2</v>
      </c>
      <c r="AQ158">
        <f>IF(C158&lt;&gt;"",始値!F182,"")</f>
        <v>2202</v>
      </c>
      <c r="AR158">
        <f>IF(C158&lt;&gt;"",高値!F182,"")</f>
        <v>2214</v>
      </c>
      <c r="AS158">
        <f>IF(C158&lt;&gt;"",安値!F182,"")</f>
        <v>2183</v>
      </c>
      <c r="AT158" t="str">
        <f t="shared" si="58"/>
        <v>長い下ヒゲ(反発)</v>
      </c>
      <c r="AU158">
        <f t="shared" si="65"/>
        <v>-2</v>
      </c>
    </row>
    <row r="159" spans="1:47" ht="14.25">
      <c r="A159" s="349" t="str">
        <f>IF(銘柄管理!B184&lt;&gt;"",HYPERLINK("https://kabutan.jp/stock/?code="&amp;銘柄管理!B184,"株探"),"")</f>
        <v>株探</v>
      </c>
      <c r="B159" s="350"/>
      <c r="C159" s="350">
        <f>IF(銘柄管理!B184="","",銘柄管理!B184)</f>
        <v>9022</v>
      </c>
      <c r="D159" s="350" t="str">
        <f>IF(銘柄管理!C184="","",銘柄管理!C184)</f>
        <v>東海旅客鉄道</v>
      </c>
      <c r="E159" s="351">
        <f>IF(C159&lt;&gt;"",_xll.RssMarket(C159,"現在値"),"")</f>
        <v>3297</v>
      </c>
      <c r="F159" s="351">
        <f>IF(C159&lt;&gt;"",_xll.RssMarket(C159,"始値"),"")</f>
        <v>3364</v>
      </c>
      <c r="G159" s="350">
        <f>IF(C159&lt;&gt;"",終値!F184,"")</f>
        <v>3351</v>
      </c>
      <c r="H159" s="351">
        <f>IF(C159&lt;&gt;"",_xll.RssMarket(C159,"高値"),"")</f>
        <v>3371</v>
      </c>
      <c r="I159" s="351">
        <f>IF(C159&lt;&gt;"",_xll.RssMarket(C159,"安値"),"")</f>
        <v>3284</v>
      </c>
      <c r="J159" s="351">
        <f>IF(C159&lt;&gt;"",_xll.RssMarket(C159,"出来高"),"")</f>
        <v>3410000</v>
      </c>
      <c r="K159" s="351">
        <f>IF(C159&lt;&gt;"",_xll.RssMarket(C159,"年初来高値"),"")</f>
        <v>4830</v>
      </c>
      <c r="L159" s="352">
        <f t="shared" si="44"/>
        <v>-31.739130434782609</v>
      </c>
      <c r="M159" s="351">
        <f>IF(C159&lt;&gt;"",IFERROR(AVERAGE(出来高!E184:I184),""),"")</f>
        <v>3704460</v>
      </c>
      <c r="N159" s="351">
        <f>IF(C159&lt;&gt;"",IFERROR(AVERAGE(出来高!E184:AC184),""),"")</f>
        <v>3001584</v>
      </c>
      <c r="O159" s="353">
        <f t="shared" si="45"/>
        <v>0.92051203144317928</v>
      </c>
      <c r="P159" s="350" t="str">
        <f t="shared" si="46"/>
        <v>減少↓</v>
      </c>
      <c r="Q159" s="350" t="str">
        <f t="shared" si="47"/>
        <v>中立→</v>
      </c>
      <c r="R159" s="351">
        <f t="shared" si="48"/>
        <v>3033</v>
      </c>
      <c r="S159" s="351">
        <f t="shared" si="49"/>
        <v>3429</v>
      </c>
      <c r="T159" s="350">
        <f t="shared" si="50"/>
        <v>15</v>
      </c>
      <c r="U159" s="350" t="str">
        <f t="shared" si="51"/>
        <v>要確認</v>
      </c>
      <c r="V159" s="350" t="str">
        <f t="shared" si="52"/>
        <v>安値圏</v>
      </c>
      <c r="W159" s="354" cm="1">
        <f t="array" ref="W159">IFERROR(100-100/(1+SUMPRODUCT((終値!F184:R184&gt;終値!G184:S184)*(終値!F184:R184-終値!G184:S184))/SUMPRODUCT((終値!F184:R184&lt;終値!G184:S184)*(終値!G184:S184-終値!F184:R184))),50)</f>
        <v>34.222919937205646</v>
      </c>
      <c r="X159" s="355">
        <f>IF(C159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-29.393989388589944</v>
      </c>
      <c r="Y159" s="350" t="str">
        <f t="shared" si="53"/>
        <v>相場上昇・見送り | 下降トレンド▼ MACD- RSI:34.2 前日比:-1.6% [安値圏] [大陰線▼] [15点]</v>
      </c>
      <c r="Z159" s="356">
        <f t="shared" si="54"/>
        <v>-1.6114592658907789</v>
      </c>
      <c r="AA159" s="350" t="str">
        <f t="shared" si="55"/>
        <v>下落▼</v>
      </c>
      <c r="AB159" s="351">
        <f>IF(OR(C159="",C159="TOPX",終値!E184=""),"",IFERROR(((終値!E184*0.333)+(終値!F184*0.222)+(終値!G184*0.148)+(終値!H184*0.099)+(終値!I184*0.066))/(0.333+0.222+0.148+0.099+0.066),""))</f>
        <v>3350.691244239631</v>
      </c>
      <c r="AC159" s="351">
        <f>IF(OR(C159="",C159="TOPX",終値!E184=""),"",IFERROR(SUMPRODUCT((終値!E184:AC184)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3422.2133492252674</v>
      </c>
      <c r="AD159" s="350" t="str">
        <f t="shared" si="56"/>
        <v>下降トレンド▼</v>
      </c>
      <c r="AE159" s="350" t="str">
        <f t="shared" si="57"/>
        <v>なし</v>
      </c>
      <c r="AF159" t="str">
        <f>IF(T159="","",IF(銘柄管理!$F$5="上昇▲",IF(AND(AD159="下降トレンド▼",OR(AE159="25日戻り売り★",AE159="5日戻り売り○")),"★逆張り売り",IF(AND(AD159="もみ合い→",OR(AE159="25日戻り売り★",AE159="5日戻り売り○")),"○逆張り売り",IF(W159&gt;=70,IF(Z159&lt;0,"◎反落確認","△過熱・様子見"),"相場上昇・見送り"))),IF(AND(T159&gt;=12,AD159="下降トレンド▼"),"★強い売り",IF(T159&gt;=12,"★強い売り",IF(AND(T159&gt;=8,OR(AE159="25日戻り売り★",AE159="5日戻り売り○")),"◎戻り売り",IF(T159&gt;=10,"○売り候補",IF(T159&gt;=6,"△注目",IF(T159&gt;=3,"様子見","見送り"))))))))</f>
        <v>相場上昇・見送り</v>
      </c>
      <c r="AG159">
        <f t="shared" si="59"/>
        <v>15</v>
      </c>
      <c r="AH159">
        <f t="shared" si="60"/>
        <v>149841</v>
      </c>
      <c r="AI159" s="412" cm="1">
        <f t="array" ref="AI159">IF(C159="","",IFERROR((INDEX(終値!$E:$E,MATCH(TEXT(C159,"0"),終値!$A:$A,0))-INDEX(終値!$E:$BL,MATCH(TEXT(C159,"0"),終値!$A:$A,0),$AN$2))/INDEX(終値!$E:$BL,MATCH(TEXT(C159,"0"),終値!$A:$A,0),$AN$2)*100,""))</f>
        <v>-8.8723051409618581</v>
      </c>
      <c r="AJ159" s="412" cm="1">
        <f t="array" ref="AJ159">IFERROR((終値!$E$5-INDEX(終値!$E$5:$BL$5,1,$AN$2))/INDEX(終値!$E$5:$BL$5,1,$AN$2)*100,"")</f>
        <v>3.4532270246721688</v>
      </c>
      <c r="AK159" s="413">
        <f t="shared" si="61"/>
        <v>-12.325532165634026</v>
      </c>
      <c r="AL159" s="411">
        <f t="shared" si="62"/>
        <v>3</v>
      </c>
      <c r="AO159" s="415" t="str">
        <f t="shared" si="63"/>
        <v>大陰線▼</v>
      </c>
      <c r="AP159" s="416">
        <f t="shared" si="64"/>
        <v>2</v>
      </c>
      <c r="AQ159">
        <f>IF(C159&lt;&gt;"",始値!F184,"")</f>
        <v>3303</v>
      </c>
      <c r="AR159">
        <f>IF(C159&lt;&gt;"",高値!F184,"")</f>
        <v>3351</v>
      </c>
      <c r="AS159">
        <f>IF(C159&lt;&gt;"",安値!F184,"")</f>
        <v>3268</v>
      </c>
      <c r="AT159" t="str">
        <f t="shared" si="58"/>
        <v>通常</v>
      </c>
      <c r="AU159">
        <f t="shared" si="65"/>
        <v>0</v>
      </c>
    </row>
    <row r="160" spans="1:47" ht="14.25">
      <c r="A160" s="357" t="str">
        <f>IF(銘柄管理!B185&lt;&gt;"",HYPERLINK("https://kabutan.jp/stock/?code="&amp;銘柄管理!B185,"株探"),"")</f>
        <v>株探</v>
      </c>
      <c r="B160" s="230"/>
      <c r="C160" s="230">
        <f>IF(銘柄管理!B185="","",銘柄管理!B185)</f>
        <v>9536</v>
      </c>
      <c r="D160" s="230" t="str">
        <f>IF(銘柄管理!C185="","",銘柄管理!C185)</f>
        <v>西部ガスＨＬＤＧＳ</v>
      </c>
      <c r="E160" s="358">
        <f>IF(C160&lt;&gt;"",_xll.RssMarket(C160,"現在値"),"")</f>
        <v>2240</v>
      </c>
      <c r="F160" s="358">
        <f>IF(C160&lt;&gt;"",_xll.RssMarket(C160,"始値"),"")</f>
        <v>2242</v>
      </c>
      <c r="G160" s="230">
        <f>IF(C160&lt;&gt;"",終値!F185,"")</f>
        <v>2238</v>
      </c>
      <c r="H160" s="358">
        <f>IF(C160&lt;&gt;"",_xll.RssMarket(C160,"高値"),"")</f>
        <v>2262</v>
      </c>
      <c r="I160" s="358">
        <f>IF(C160&lt;&gt;"",_xll.RssMarket(C160,"安値"),"")</f>
        <v>2237</v>
      </c>
      <c r="J160" s="358">
        <f>IF(C160&lt;&gt;"",_xll.RssMarket(C160,"出来高"),"")</f>
        <v>55900</v>
      </c>
      <c r="K160" s="358">
        <f>IF(C160&lt;&gt;"",_xll.RssMarket(C160,"年初来高値"),"")</f>
        <v>2634</v>
      </c>
      <c r="L160" s="359">
        <f t="shared" si="44"/>
        <v>-14.958238420653</v>
      </c>
      <c r="M160" s="358">
        <f>IF(C160&lt;&gt;"",IFERROR(AVERAGE(出来高!E185:I185),""),"")</f>
        <v>64120</v>
      </c>
      <c r="N160" s="358">
        <f>IF(C160&lt;&gt;"",IFERROR(AVERAGE(出来高!E185:AC185),""),"")</f>
        <v>68528</v>
      </c>
      <c r="O160" s="360">
        <f t="shared" si="45"/>
        <v>0.87180286961946352</v>
      </c>
      <c r="P160" s="230" t="str">
        <f t="shared" si="46"/>
        <v>減少↓</v>
      </c>
      <c r="Q160" s="230" t="str">
        <f t="shared" si="47"/>
        <v>様子見▲</v>
      </c>
      <c r="R160" s="358">
        <f t="shared" si="48"/>
        <v>2061</v>
      </c>
      <c r="S160" s="358">
        <f t="shared" si="49"/>
        <v>2330</v>
      </c>
      <c r="T160" s="350">
        <f t="shared" si="50"/>
        <v>2</v>
      </c>
      <c r="U160" s="230" t="str">
        <f t="shared" si="51"/>
        <v>除外</v>
      </c>
      <c r="V160" s="230" t="str">
        <f t="shared" si="52"/>
        <v>通常</v>
      </c>
      <c r="W160" s="361" cm="1">
        <f t="array" ref="W160">IFERROR(100-100/(1+SUMPRODUCT((終値!F185:R185&gt;終値!G185:S185)*(終値!F185:R185-終値!G185:S185))/SUMPRODUCT((終値!F185:R185&lt;終値!G185:S185)*(終値!G185:S185-終値!F185:R185))),50)</f>
        <v>58.695652173913047</v>
      </c>
      <c r="X160" s="362">
        <f>IF(C160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1.9415178375966207</v>
      </c>
      <c r="Y160" s="230" t="str">
        <f t="shared" si="53"/>
        <v>相場上昇・見送り | パーフェクト▲ MACD+ RSI:58.7 前日比:+0.1% [2点]</v>
      </c>
      <c r="Z160" s="363">
        <f t="shared" si="54"/>
        <v>8.936550491510277E-2</v>
      </c>
      <c r="AA160" s="230" t="str">
        <f t="shared" si="55"/>
        <v>上昇▲</v>
      </c>
      <c r="AB160" s="358">
        <f>IF(OR(C160="",C160="TOPX",終値!E185=""),"",IFERROR(((終値!E185*0.333)+(終値!F185*0.222)+(終値!G185*0.148)+(終値!H185*0.099)+(終値!I185*0.066))/(0.333+0.222+0.148+0.099+0.066),""))</f>
        <v>2238.2511520737326</v>
      </c>
      <c r="AC160" s="358">
        <f>IF(OR(C160="",C160="TOPX",終値!E185=""),"",IFERROR(SUMPRODUCT((終値!E185:AC185)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2215.8986889153753</v>
      </c>
      <c r="AD160" s="230" t="str">
        <f t="shared" si="56"/>
        <v>パーフェクト▲</v>
      </c>
      <c r="AE160" s="230" t="str">
        <f t="shared" si="57"/>
        <v>なし</v>
      </c>
      <c r="AF160" t="str">
        <f>IF(T160="","",IF(銘柄管理!$F$5="上昇▲",IF(AND(AD160="下降トレンド▼",OR(AE160="25日戻り売り★",AE160="5日戻り売り○")),"★逆張り売り",IF(AND(AD160="もみ合い→",OR(AE160="25日戻り売り★",AE160="5日戻り売り○")),"○逆張り売り",IF(W160&gt;=70,IF(Z160&lt;0,"◎反落確認","△過熱・様子見"),"相場上昇・見送り"))),IF(AND(T160&gt;=12,AD160="下降トレンド▼"),"★強い売り",IF(T160&gt;=12,"★強い売り",IF(AND(T160&gt;=8,OR(AE160="25日戻り売り★",AE160="5日戻り売り○")),"◎戻り売り",IF(T160&gt;=10,"○売り候補",IF(T160&gt;=6,"△注目",IF(T160&gt;=3,"様子見","見送り"))))))))</f>
        <v>相場上昇・見送り</v>
      </c>
      <c r="AG160">
        <f t="shared" si="59"/>
        <v>0</v>
      </c>
      <c r="AH160">
        <f t="shared" si="60"/>
        <v>0</v>
      </c>
      <c r="AI160" s="412" cm="1">
        <f t="array" ref="AI160">IF(C160="","",IFERROR((INDEX(終値!$E:$E,MATCH(TEXT(C160,"0"),終値!$A:$A,0))-INDEX(終値!$E:$BL,MATCH(TEXT(C160,"0"),終値!$A:$A,0),$AN$2))/INDEX(終値!$E:$BL,MATCH(TEXT(C160,"0"),終値!$A:$A,0),$AN$2)*100,""))</f>
        <v>-0.17825311942959002</v>
      </c>
      <c r="AJ160" s="412" cm="1">
        <f t="array" ref="AJ160">IFERROR((終値!$E$5-INDEX(終値!$E$5:$BL$5,1,$AN$2))/INDEX(終値!$E$5:$BL$5,1,$AN$2)*100,"")</f>
        <v>3.4532270246721688</v>
      </c>
      <c r="AK160" s="413">
        <f t="shared" si="61"/>
        <v>-3.6314801441017588</v>
      </c>
      <c r="AL160" s="411">
        <f t="shared" si="62"/>
        <v>1</v>
      </c>
      <c r="AO160" s="415" t="str">
        <f t="shared" si="63"/>
        <v>通常</v>
      </c>
      <c r="AP160" s="416">
        <f t="shared" si="64"/>
        <v>0</v>
      </c>
      <c r="AQ160">
        <f>IF(C160&lt;&gt;"",始値!F185,"")</f>
        <v>2262</v>
      </c>
      <c r="AR160">
        <f>IF(C160&lt;&gt;"",高値!F185,"")</f>
        <v>2278</v>
      </c>
      <c r="AS160">
        <f>IF(C160&lt;&gt;"",安値!F185,"")</f>
        <v>2225</v>
      </c>
      <c r="AT160" t="str">
        <f t="shared" si="58"/>
        <v>通常</v>
      </c>
      <c r="AU160">
        <f t="shared" si="65"/>
        <v>0</v>
      </c>
    </row>
    <row r="161" spans="1:47" ht="14.25">
      <c r="A161" s="349" t="str">
        <f>IF(銘柄管理!B187&lt;&gt;"",HYPERLINK("https://kabutan.jp/stock/?code="&amp;銘柄管理!B187,"株探"),"")</f>
        <v>株探</v>
      </c>
      <c r="B161" s="350"/>
      <c r="C161" s="350">
        <f>IF(銘柄管理!B187="","",銘柄管理!B187)</f>
        <v>2127</v>
      </c>
      <c r="D161" s="350" t="str">
        <f>IF(銘柄管理!C187="","",銘柄管理!C187)</f>
        <v>日本Ｍ＆Ａセンターホールデ</v>
      </c>
      <c r="E161" s="351">
        <f>IF(C161&lt;&gt;"",_xll.RssMarket(C161,"現在値"),"")</f>
        <v>650.9</v>
      </c>
      <c r="F161" s="351">
        <f>IF(C161&lt;&gt;"",_xll.RssMarket(C161,"始値"),"")</f>
        <v>645</v>
      </c>
      <c r="G161" s="350">
        <f>IF(C161&lt;&gt;"",終値!F187,"")</f>
        <v>638.29999999999995</v>
      </c>
      <c r="H161" s="351">
        <f>IF(C161&lt;&gt;"",_xll.RssMarket(C161,"高値"),"")</f>
        <v>653.4</v>
      </c>
      <c r="I161" s="351">
        <f>IF(C161&lt;&gt;"",_xll.RssMarket(C161,"安値"),"")</f>
        <v>640.79999999999995</v>
      </c>
      <c r="J161" s="351">
        <f>IF(C161&lt;&gt;"",_xll.RssMarket(C161,"出来高"),"")</f>
        <v>1269200</v>
      </c>
      <c r="K161" s="351">
        <f>IF(C161&lt;&gt;"",_xll.RssMarket(C161,"年初来高値"),"")</f>
        <v>763.7</v>
      </c>
      <c r="L161" s="352">
        <f t="shared" si="44"/>
        <v>-14.770197721618445</v>
      </c>
      <c r="M161" s="351">
        <f>IF(C161&lt;&gt;"",IFERROR(AVERAGE(出来高!E187:I187),""),"")</f>
        <v>1442900</v>
      </c>
      <c r="N161" s="351">
        <f>IF(C161&lt;&gt;"",IFERROR(AVERAGE(出来高!E187:AC187),""),"")</f>
        <v>1623472</v>
      </c>
      <c r="O161" s="353">
        <f t="shared" si="45"/>
        <v>0.87961743710582851</v>
      </c>
      <c r="P161" s="350" t="str">
        <f t="shared" si="46"/>
        <v>減少↓</v>
      </c>
      <c r="Q161" s="350" t="str">
        <f t="shared" si="47"/>
        <v>様子見▲</v>
      </c>
      <c r="R161" s="351">
        <f t="shared" si="48"/>
        <v>599</v>
      </c>
      <c r="S161" s="351">
        <f t="shared" si="49"/>
        <v>677</v>
      </c>
      <c r="T161" s="350">
        <f t="shared" si="50"/>
        <v>3</v>
      </c>
      <c r="U161" s="350" t="str">
        <f t="shared" si="51"/>
        <v>要確認</v>
      </c>
      <c r="V161" s="350" t="str">
        <f t="shared" si="52"/>
        <v>通常</v>
      </c>
      <c r="W161" s="354" cm="1">
        <f t="array" ref="W161">IFERROR(100-100/(1+SUMPRODUCT((終値!F187:R187&gt;終値!G187:S187)*(終値!F187:R187-終値!G187:S187))/SUMPRODUCT((終値!F187:R187&lt;終値!G187:S187)*(終値!G187:S187-終値!F187:R187))),50)</f>
        <v>41.358024691357976</v>
      </c>
      <c r="X161" s="355">
        <f>IF(C161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-1.8756853036353505</v>
      </c>
      <c r="Y161" s="350" t="str">
        <f t="shared" si="53"/>
        <v>相場上昇・見送り | 上昇トレンド▲ MACD- RSI:41.4 前日比:+2.0% [3点]</v>
      </c>
      <c r="Z161" s="356">
        <f t="shared" si="54"/>
        <v>1.9739934200219369</v>
      </c>
      <c r="AA161" s="350" t="str">
        <f t="shared" si="55"/>
        <v>上昇▲</v>
      </c>
      <c r="AB161" s="351">
        <f>IF(OR(C161="",C161="TOPX",終値!E187=""),"",IFERROR(((終値!E187*0.333)+(終値!F187*0.222)+(終値!G187*0.148)+(終値!H187*0.099)+(終値!I187*0.066))/(0.333+0.222+0.148+0.099+0.066),""))</f>
        <v>643.27396313364068</v>
      </c>
      <c r="AC161" s="351">
        <f>IF(OR(C161="",C161="TOPX",終値!E187=""),"",IFERROR(SUMPRODUCT((終値!E187:AC187)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644.40119189511279</v>
      </c>
      <c r="AD161" s="350" t="str">
        <f t="shared" si="56"/>
        <v>上昇トレンド▲</v>
      </c>
      <c r="AE161" s="350" t="str">
        <f t="shared" si="57"/>
        <v>なし</v>
      </c>
      <c r="AF161" t="str">
        <f>IF(T161="","",IF(銘柄管理!$F$5="上昇▲",IF(AND(AD161="下降トレンド▼",OR(AE161="25日戻り売り★",AE161="5日戻り売り○")),"★逆張り売り",IF(AND(AD161="もみ合い→",OR(AE161="25日戻り売り★",AE161="5日戻り売り○")),"○逆張り売り",IF(W161&gt;=70,IF(Z161&lt;0,"◎反落確認","△過熱・様子見"),"相場上昇・見送り"))),IF(AND(T161&gt;=12,AD161="下降トレンド▼"),"★強い売り",IF(T161&gt;=12,"★強い売り",IF(AND(T161&gt;=8,OR(AE161="25日戻り売り★",AE161="5日戻り売り○")),"◎戻り売り",IF(T161&gt;=10,"○売り候補",IF(T161&gt;=6,"△注目",IF(T161&gt;=3,"様子見","見送り"))))))))</f>
        <v>相場上昇・見送り</v>
      </c>
      <c r="AG161">
        <f t="shared" si="59"/>
        <v>0</v>
      </c>
      <c r="AH161">
        <f t="shared" si="60"/>
        <v>0</v>
      </c>
      <c r="AI161" s="412" cm="1">
        <f t="array" ref="AI161">IF(C161="","",IFERROR((INDEX(終値!$E:$E,MATCH(TEXT(C161,"0"),終値!$A:$A,0))-INDEX(終値!$E:$BL,MATCH(TEXT(C161,"0"),終値!$A:$A,0),$AN$2))/INDEX(終値!$E:$BL,MATCH(TEXT(C161,"0"),終値!$A:$A,0),$AN$2)*100,""))</f>
        <v>1.8941765810895466</v>
      </c>
      <c r="AJ161" s="412" cm="1">
        <f t="array" ref="AJ161">IFERROR((終値!$E$5-INDEX(終値!$E$5:$BL$5,1,$AN$2))/INDEX(終値!$E$5:$BL$5,1,$AN$2)*100,"")</f>
        <v>3.4532270246721688</v>
      </c>
      <c r="AK161" s="413">
        <f t="shared" si="61"/>
        <v>-1.5590504435826222</v>
      </c>
      <c r="AL161" s="411">
        <f t="shared" si="62"/>
        <v>1</v>
      </c>
      <c r="AO161" s="415" t="str">
        <f t="shared" si="63"/>
        <v>通常</v>
      </c>
      <c r="AP161" s="416">
        <f t="shared" si="64"/>
        <v>0</v>
      </c>
      <c r="AQ161">
        <f>IF(C161&lt;&gt;"",始値!F187,"")</f>
        <v>636.29999999999995</v>
      </c>
      <c r="AR161">
        <f>IF(C161&lt;&gt;"",高値!F187,"")</f>
        <v>640.79999999999995</v>
      </c>
      <c r="AS161">
        <f>IF(C161&lt;&gt;"",安値!F187,"")</f>
        <v>632.70000000000005</v>
      </c>
      <c r="AT161" t="str">
        <f t="shared" si="58"/>
        <v>通常</v>
      </c>
      <c r="AU161">
        <f t="shared" si="65"/>
        <v>0</v>
      </c>
    </row>
    <row r="162" spans="1:47" ht="14.25">
      <c r="A162" s="357" t="str">
        <f>IF(銘柄管理!B188&lt;&gt;"",HYPERLINK("https://kabutan.jp/stock/?code="&amp;銘柄管理!B188,"株探"),"")</f>
        <v>株探</v>
      </c>
      <c r="B162" s="230"/>
      <c r="C162" s="230">
        <f>IF(銘柄管理!B188="","",銘柄管理!B188)</f>
        <v>6753</v>
      </c>
      <c r="D162" s="230" t="str">
        <f>IF(銘柄管理!C188="","",銘柄管理!C188)</f>
        <v>シャープ</v>
      </c>
      <c r="E162" s="358">
        <f>IF(C162&lt;&gt;"",_xll.RssMarket(C162,"現在値"),"")</f>
        <v>594.4</v>
      </c>
      <c r="F162" s="358">
        <f>IF(C162&lt;&gt;"",_xll.RssMarket(C162,"始値"),"")</f>
        <v>594</v>
      </c>
      <c r="G162" s="230">
        <f>IF(C162&lt;&gt;"",終値!F188,"")</f>
        <v>593.79999999999995</v>
      </c>
      <c r="H162" s="358">
        <f>IF(C162&lt;&gt;"",_xll.RssMarket(C162,"高値"),"")</f>
        <v>601</v>
      </c>
      <c r="I162" s="358">
        <f>IF(C162&lt;&gt;"",_xll.RssMarket(C162,"安値"),"")</f>
        <v>589</v>
      </c>
      <c r="J162" s="358">
        <f>IF(C162&lt;&gt;"",_xll.RssMarket(C162,"出来高"),"")</f>
        <v>2353100</v>
      </c>
      <c r="K162" s="358">
        <f>IF(C162&lt;&gt;"",_xll.RssMarket(C162,"年初来高値"),"")</f>
        <v>830.5</v>
      </c>
      <c r="L162" s="359">
        <f t="shared" si="44"/>
        <v>-28.428657435279952</v>
      </c>
      <c r="M162" s="358">
        <f>IF(C162&lt;&gt;"",IFERROR(AVERAGE(出来高!E188:I188),""),"")</f>
        <v>3235660</v>
      </c>
      <c r="N162" s="358">
        <f>IF(C162&lt;&gt;"",IFERROR(AVERAGE(出来高!E188:AC188),""),"")</f>
        <v>4678412</v>
      </c>
      <c r="O162" s="360">
        <f t="shared" si="45"/>
        <v>0.72723957399726791</v>
      </c>
      <c r="P162" s="230" t="str">
        <f t="shared" si="46"/>
        <v>減少↓</v>
      </c>
      <c r="Q162" s="230" t="str">
        <f t="shared" si="47"/>
        <v>様子見▲</v>
      </c>
      <c r="R162" s="358">
        <f t="shared" si="48"/>
        <v>547</v>
      </c>
      <c r="S162" s="358">
        <f t="shared" si="49"/>
        <v>618</v>
      </c>
      <c r="T162" s="350">
        <f t="shared" si="50"/>
        <v>7</v>
      </c>
      <c r="U162" s="230" t="str">
        <f t="shared" si="51"/>
        <v>要確認</v>
      </c>
      <c r="V162" s="230" t="str">
        <f t="shared" si="52"/>
        <v>安値圏</v>
      </c>
      <c r="W162" s="361" cm="1">
        <f t="array" ref="W162">IFERROR(100-100/(1+SUMPRODUCT((終値!F188:R188&gt;終値!G188:S188)*(終値!F188:R188-終値!G188:S188))/SUMPRODUCT((終値!F188:R188&lt;終値!G188:S188)*(終値!G188:S188-終値!F188:R188))),50)</f>
        <v>36.66666666666665</v>
      </c>
      <c r="X162" s="362">
        <f>IF(C162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1.1685373289975587</v>
      </c>
      <c r="Y162" s="230" t="str">
        <f t="shared" si="53"/>
        <v>相場上昇・見送り | 下降トレンド▼ MACD+ RSI:36.7 前日比:+0.1% [安値圏]前日[大陰線▼] [7点]</v>
      </c>
      <c r="Z162" s="363">
        <f t="shared" si="54"/>
        <v>0.10104412260020593</v>
      </c>
      <c r="AA162" s="230" t="str">
        <f t="shared" si="55"/>
        <v>上昇▲</v>
      </c>
      <c r="AB162" s="358">
        <f>IF(OR(C162="",C162="TOPX",終値!E188=""),"",IFERROR(((終値!E188*0.333)+(終値!F188*0.222)+(終値!G188*0.148)+(終値!H188*0.099)+(終値!I188*0.066))/(0.333+0.222+0.148+0.099+0.066),""))</f>
        <v>602.92523041474647</v>
      </c>
      <c r="AC162" s="358">
        <f>IF(OR(C162="",C162="TOPX",終値!E188=""),"",IFERROR(SUMPRODUCT((終値!E188:AC188)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624.30631704409996</v>
      </c>
      <c r="AD162" s="230" t="str">
        <f t="shared" si="56"/>
        <v>下降トレンド▼</v>
      </c>
      <c r="AE162" s="230" t="str">
        <f t="shared" si="57"/>
        <v>なし</v>
      </c>
      <c r="AF162" t="str">
        <f>IF(T162="","",IF(銘柄管理!$F$5="上昇▲",IF(AND(AD162="下降トレンド▼",OR(AE162="25日戻り売り★",AE162="5日戻り売り○")),"★逆張り売り",IF(AND(AD162="もみ合い→",OR(AE162="25日戻り売り★",AE162="5日戻り売り○")),"○逆張り売り",IF(W162&gt;=70,IF(Z162&lt;0,"◎反落確認","△過熱・様子見"),"相場上昇・見送り"))),IF(AND(T162&gt;=12,AD162="下降トレンド▼"),"★強い売り",IF(T162&gt;=12,"★強い売り",IF(AND(T162&gt;=8,OR(AE162="25日戻り売り★",AE162="5日戻り売り○")),"◎戻り売り",IF(T162&gt;=10,"○売り候補",IF(T162&gt;=6,"△注目",IF(T162&gt;=3,"様子見","見送り"))))))))</f>
        <v>相場上昇・見送り</v>
      </c>
      <c r="AG162">
        <f t="shared" si="59"/>
        <v>7</v>
      </c>
      <c r="AH162">
        <f t="shared" si="60"/>
        <v>69838</v>
      </c>
      <c r="AI162" s="412" cm="1">
        <f t="array" ref="AI162">IF(C162="","",IFERROR((INDEX(終値!$E:$E,MATCH(TEXT(C162,"0"),終値!$A:$A,0))-INDEX(終値!$E:$BL,MATCH(TEXT(C162,"0"),終値!$A:$A,0),$AN$2))/INDEX(終値!$E:$BL,MATCH(TEXT(C162,"0"),終値!$A:$A,0),$AN$2)*100,""))</f>
        <v>3.9706139583697619</v>
      </c>
      <c r="AJ162" s="412" cm="1">
        <f t="array" ref="AJ162">IFERROR((終値!$E$5-INDEX(終値!$E$5:$BL$5,1,$AN$2))/INDEX(終値!$E$5:$BL$5,1,$AN$2)*100,"")</f>
        <v>3.4532270246721688</v>
      </c>
      <c r="AK162" s="413">
        <f t="shared" si="61"/>
        <v>0.51738693369759314</v>
      </c>
      <c r="AL162" s="411">
        <f t="shared" si="62"/>
        <v>-1</v>
      </c>
      <c r="AO162" s="415" t="str">
        <f t="shared" si="63"/>
        <v>通常</v>
      </c>
      <c r="AP162" s="416">
        <f t="shared" si="64"/>
        <v>0</v>
      </c>
      <c r="AQ162">
        <f>IF(C162&lt;&gt;"",始値!F188,"")</f>
        <v>610</v>
      </c>
      <c r="AR162">
        <f>IF(C162&lt;&gt;"",高値!F188,"")</f>
        <v>610</v>
      </c>
      <c r="AS162">
        <f>IF(C162&lt;&gt;"",安値!F188,"")</f>
        <v>590.70000000000005</v>
      </c>
      <c r="AT162" t="str">
        <f t="shared" si="58"/>
        <v>大陰線▼</v>
      </c>
      <c r="AU162">
        <f t="shared" si="65"/>
        <v>2</v>
      </c>
    </row>
    <row r="163" spans="1:47" ht="14.25">
      <c r="A163" s="349" t="str">
        <f>IF(銘柄管理!B189&lt;&gt;"",HYPERLINK("https://kabutan.jp/stock/?code="&amp;銘柄管理!B189,"株探"),"")</f>
        <v>株探</v>
      </c>
      <c r="B163" s="350"/>
      <c r="C163" s="350" t="str">
        <f>IF(銘柄管理!B189="","",銘柄管理!B189)</f>
        <v>9064</v>
      </c>
      <c r="D163" s="350" t="str">
        <f>IF(銘柄管理!C189="","",銘柄管理!C189)</f>
        <v>ヤマトホールディングス</v>
      </c>
      <c r="E163" s="351">
        <f>IF(C163&lt;&gt;"",_xll.RssMarket(C163,"現在値"),"")</f>
        <v>1769.5</v>
      </c>
      <c r="F163" s="351">
        <f>IF(C163&lt;&gt;"",_xll.RssMarket(C163,"始値"),"")</f>
        <v>1770</v>
      </c>
      <c r="G163" s="350">
        <f>IF(C163&lt;&gt;"",終値!F189,"")</f>
        <v>1774.5</v>
      </c>
      <c r="H163" s="351">
        <f>IF(C163&lt;&gt;"",_xll.RssMarket(C163,"高値"),"")</f>
        <v>1780</v>
      </c>
      <c r="I163" s="351">
        <f>IF(C163&lt;&gt;"",_xll.RssMarket(C163,"安値"),"")</f>
        <v>1763</v>
      </c>
      <c r="J163" s="351">
        <f>IF(C163&lt;&gt;"",_xll.RssMarket(C163,"出来高"),"")</f>
        <v>830300</v>
      </c>
      <c r="K163" s="351">
        <f>IF(C163&lt;&gt;"",_xll.RssMarket(C163,"年初来高値"),"")</f>
        <v>2275</v>
      </c>
      <c r="L163" s="352">
        <f t="shared" si="44"/>
        <v>-22.219780219780219</v>
      </c>
      <c r="M163" s="351">
        <f>IF(C163&lt;&gt;"",IFERROR(AVERAGE(出来高!E189:I189),""),"")</f>
        <v>1122940</v>
      </c>
      <c r="N163" s="351">
        <f>IF(C163&lt;&gt;"",IFERROR(AVERAGE(出来高!E189:AC189),""),"")</f>
        <v>1207804</v>
      </c>
      <c r="O163" s="353">
        <f t="shared" si="45"/>
        <v>0.73939836500614453</v>
      </c>
      <c r="P163" s="350" t="str">
        <f t="shared" si="46"/>
        <v>減少↓</v>
      </c>
      <c r="Q163" s="350" t="str">
        <f t="shared" si="47"/>
        <v>中立→</v>
      </c>
      <c r="R163" s="351">
        <f t="shared" si="48"/>
        <v>1628</v>
      </c>
      <c r="S163" s="351">
        <f t="shared" si="49"/>
        <v>1840</v>
      </c>
      <c r="T163" s="350">
        <f t="shared" si="50"/>
        <v>9</v>
      </c>
      <c r="U163" s="350" t="str">
        <f t="shared" si="51"/>
        <v>要確認</v>
      </c>
      <c r="V163" s="350" t="str">
        <f t="shared" si="52"/>
        <v>通常</v>
      </c>
      <c r="W163" s="354" cm="1">
        <f t="array" ref="W163">IFERROR(100-100/(1+SUMPRODUCT((終値!F189:R189&gt;終値!G189:S189)*(終値!F189:R189-終値!G189:S189))/SUMPRODUCT((終値!F189:R189&lt;終値!G189:S189)*(終値!G189:S189-終値!F189:R189))),50)</f>
        <v>50.24154589371981</v>
      </c>
      <c r="X163" s="355">
        <f>IF(C163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3.7881399782686458</v>
      </c>
      <c r="Y163" s="350" t="str">
        <f t="shared" si="53"/>
        <v>★逆張り売り | 下降トレンド▼ 25日戻り売り★ MACD+ RSI:50.2 前日比:-0.3% [9点]</v>
      </c>
      <c r="Z163" s="356">
        <f t="shared" si="54"/>
        <v>-0.28176951253874327</v>
      </c>
      <c r="AA163" s="350" t="str">
        <f t="shared" si="55"/>
        <v>下落▼</v>
      </c>
      <c r="AB163" s="351">
        <f>IF(OR(C163="",C163="TOPX",終値!E189=""),"",IFERROR(((終値!E189*0.333)+(終値!F189*0.222)+(終値!G189*0.148)+(終値!H189*0.099)+(終値!I189*0.066))/(0.333+0.222+0.148+0.099+0.066),""))</f>
        <v>1781.3675115207375</v>
      </c>
      <c r="AC163" s="351">
        <f>IF(OR(C163="",C163="TOPX",終値!E189=""),"",IFERROR(SUMPRODUCT((終値!E189:AC189)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1786.4404052443381</v>
      </c>
      <c r="AD163" s="350" t="str">
        <f t="shared" si="56"/>
        <v>下降トレンド▼</v>
      </c>
      <c r="AE163" s="350" t="str">
        <f t="shared" si="57"/>
        <v>25日戻り売り★</v>
      </c>
      <c r="AF163" t="str">
        <f>IF(T163="","",IF(銘柄管理!$F$5="上昇▲",IF(AND(AD163="下降トレンド▼",OR(AE163="25日戻り売り★",AE163="5日戻り売り○")),"★逆張り売り",IF(AND(AD163="もみ合い→",OR(AE163="25日戻り売り★",AE163="5日戻り売り○")),"○逆張り売り",IF(W163&gt;=70,IF(Z163&lt;0,"◎反落確認","△過熱・様子見"),"相場上昇・見送り"))),IF(AND(T163&gt;=12,AD163="下降トレンド▼"),"★強い売り",IF(T163&gt;=12,"★強い売り",IF(AND(T163&gt;=8,OR(AE163="25日戻り売り★",AE163="5日戻り売り○")),"◎戻り売り",IF(T163&gt;=10,"○売り候補",IF(T163&gt;=6,"△注目",IF(T163&gt;=3,"様子見","見送り"))))))))</f>
        <v>★逆張り売り</v>
      </c>
      <c r="AG163">
        <f t="shared" si="59"/>
        <v>9</v>
      </c>
      <c r="AH163">
        <f t="shared" si="60"/>
        <v>89837</v>
      </c>
      <c r="AI163" s="412" cm="1">
        <f t="array" ref="AI163">IF(C163="","",IFERROR((INDEX(終値!$E:$E,MATCH(TEXT(C163,"0"),終値!$A:$A,0))-INDEX(終値!$E:$BL,MATCH(TEXT(C163,"0"),終値!$A:$A,0),$AN$2))/INDEX(終値!$E:$BL,MATCH(TEXT(C163,"0"),終値!$A:$A,0),$AN$2)*100,""))</f>
        <v>-0.5898876404494382</v>
      </c>
      <c r="AJ163" s="412" cm="1">
        <f t="array" ref="AJ163">IFERROR((終値!$E$5-INDEX(終値!$E$5:$BL$5,1,$AN$2))/INDEX(終値!$E$5:$BL$5,1,$AN$2)*100,"")</f>
        <v>3.4532270246721688</v>
      </c>
      <c r="AK163" s="413">
        <f t="shared" si="61"/>
        <v>-4.0431146651216068</v>
      </c>
      <c r="AL163" s="411">
        <f t="shared" si="62"/>
        <v>1</v>
      </c>
      <c r="AO163" s="415" t="str">
        <f t="shared" si="63"/>
        <v>通常</v>
      </c>
      <c r="AP163" s="416">
        <f t="shared" si="64"/>
        <v>0</v>
      </c>
      <c r="AQ163">
        <f>IF(C163&lt;&gt;"",始値!F189,"")</f>
        <v>1773.5</v>
      </c>
      <c r="AR163">
        <f>IF(C163&lt;&gt;"",高値!F189,"")</f>
        <v>1780.5</v>
      </c>
      <c r="AS163">
        <f>IF(C163&lt;&gt;"",安値!F189,"")</f>
        <v>1760</v>
      </c>
      <c r="AT163" t="str">
        <f t="shared" si="58"/>
        <v>通常</v>
      </c>
      <c r="AU163">
        <f t="shared" si="65"/>
        <v>0</v>
      </c>
    </row>
    <row r="164" spans="1:47" ht="14.25">
      <c r="A164" s="357" t="str">
        <f>IF(銘柄管理!B206&lt;&gt;"",HYPERLINK("https://kabutan.jp/stock/?code="&amp;銘柄管理!B206,"株探"),"")</f>
        <v>株探</v>
      </c>
      <c r="B164" s="230"/>
      <c r="C164" s="230">
        <f>IF(銘柄管理!B206="","",銘柄管理!B206)</f>
        <v>9101</v>
      </c>
      <c r="D164" s="230" t="str">
        <f>IF(銘柄管理!C206="","",銘柄管理!C206)</f>
        <v>日本郵船</v>
      </c>
      <c r="E164" s="358">
        <f>IF(C164&lt;&gt;"",_xll.RssMarket(C164,"現在値"),"")</f>
        <v>5348</v>
      </c>
      <c r="F164" s="358">
        <f>IF(C164&lt;&gt;"",_xll.RssMarket(C164,"始値"),"")</f>
        <v>5409</v>
      </c>
      <c r="G164" s="230">
        <f>IF(C164&lt;&gt;"",終値!F206,"")</f>
        <v>5466</v>
      </c>
      <c r="H164" s="358">
        <f>IF(C164&lt;&gt;"",_xll.RssMarket(C164,"高値"),"")</f>
        <v>5410</v>
      </c>
      <c r="I164" s="358">
        <f>IF(C164&lt;&gt;"",_xll.RssMarket(C164,"安値"),"")</f>
        <v>5281</v>
      </c>
      <c r="J164" s="358">
        <f>IF(C164&lt;&gt;"",_xll.RssMarket(C164,"出来高"),"")</f>
        <v>3087700</v>
      </c>
      <c r="K164" s="358">
        <f>IF(C164&lt;&gt;"",_xll.RssMarket(C164,"年初来高値"),"")</f>
        <v>6394</v>
      </c>
      <c r="L164" s="359">
        <f t="shared" si="44"/>
        <v>-16.359086643728496</v>
      </c>
      <c r="M164" s="358">
        <f>IF(C164&lt;&gt;"",IFERROR(AVERAGE(出来高!E206:I206),""),"")</f>
        <v>3051560</v>
      </c>
      <c r="N164" s="358">
        <f>IF(C164&lt;&gt;"",IFERROR(AVERAGE(出来高!E206:AC206),""),"")</f>
        <v>3386436</v>
      </c>
      <c r="O164" s="360">
        <f t="shared" si="45"/>
        <v>1.0118431228617495</v>
      </c>
      <c r="P164" s="230" t="str">
        <f t="shared" si="46"/>
        <v>普通→</v>
      </c>
      <c r="Q164" s="230" t="str">
        <f t="shared" si="47"/>
        <v>中立→</v>
      </c>
      <c r="R164" s="358">
        <f t="shared" si="48"/>
        <v>4920</v>
      </c>
      <c r="S164" s="358">
        <f t="shared" si="49"/>
        <v>5562</v>
      </c>
      <c r="T164" s="350">
        <f t="shared" si="50"/>
        <v>5</v>
      </c>
      <c r="U164" s="230" t="str">
        <f t="shared" si="51"/>
        <v>要確認</v>
      </c>
      <c r="V164" s="230" t="str">
        <f t="shared" si="52"/>
        <v>通常</v>
      </c>
      <c r="W164" s="361" cm="1">
        <f t="array" ref="W164">IFERROR(100-100/(1+SUMPRODUCT((終値!F206:R206&gt;終値!G206:S206)*(終値!F206:R206-終値!G206:S206))/SUMPRODUCT((終値!F206:R206&lt;終値!G206:S206)*(終値!G206:S206-終値!F206:R206))),50)</f>
        <v>57.481940144478841</v>
      </c>
      <c r="X164" s="362">
        <f>IF(C164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14.235355577758128</v>
      </c>
      <c r="Y164" s="230" t="str">
        <f t="shared" si="53"/>
        <v>相場上昇・見送り | もみ合い→ MACD+ RSI:57.5 前日比:-2.2% [長い下ヒゲ(反発警戒)] [5点]</v>
      </c>
      <c r="Z164" s="363">
        <f t="shared" si="54"/>
        <v>-2.1587998536406876</v>
      </c>
      <c r="AA164" s="230" t="str">
        <f t="shared" si="55"/>
        <v>下落▼</v>
      </c>
      <c r="AB164" s="358">
        <f>IF(OR(C164="",C164="TOPX",終値!E206=""),"",IFERROR(((終値!E206*0.333)+(終値!F206*0.222)+(終値!G206*0.148)+(終値!H206*0.099)+(終値!I206*0.066))/(0.333+0.222+0.148+0.099+0.066),""))</f>
        <v>5478.4239631336395</v>
      </c>
      <c r="AC164" s="358">
        <f>IF(OR(C164="",C164="TOPX",終値!E206=""),"",IFERROR(SUMPRODUCT((終値!E206:AC206)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5468.5637663885545</v>
      </c>
      <c r="AD164" s="230" t="str">
        <f t="shared" si="56"/>
        <v>もみ合い→</v>
      </c>
      <c r="AE164" s="230" t="str">
        <f t="shared" si="57"/>
        <v>なし</v>
      </c>
      <c r="AF164" t="str">
        <f>IF(T164="","",IF(銘柄管理!$F$5="上昇▲",IF(AND(AD164="下降トレンド▼",OR(AE164="25日戻り売り★",AE164="5日戻り売り○")),"★逆張り売り",IF(AND(AD164="もみ合い→",OR(AE164="25日戻り売り★",AE164="5日戻り売り○")),"○逆張り売り",IF(W164&gt;=70,IF(Z164&lt;0,"◎反落確認","△過熱・様子見"),"相場上昇・見送り"))),IF(AND(T164&gt;=12,AD164="下降トレンド▼"),"★強い売り",IF(T164&gt;=12,"★強い売り",IF(AND(T164&gt;=8,OR(AE164="25日戻り売り★",AE164="5日戻り売り○")),"◎戻り売り",IF(T164&gt;=10,"○売り候補",IF(T164&gt;=6,"△注目",IF(T164&gt;=3,"様子見","見送り"))))))))</f>
        <v>相場上昇・見送り</v>
      </c>
      <c r="AG164">
        <f t="shared" si="59"/>
        <v>0</v>
      </c>
      <c r="AH164">
        <f t="shared" si="60"/>
        <v>0</v>
      </c>
      <c r="AI164" s="412" cm="1">
        <f t="array" ref="AI164">IF(C164="","",IFERROR((INDEX(終値!$E:$E,MATCH(TEXT(C164,"0"),終値!$A:$A,0))-INDEX(終値!$E:$BL,MATCH(TEXT(C164,"0"),終値!$A:$A,0),$AN$2))/INDEX(終値!$E:$BL,MATCH(TEXT(C164,"0"),終値!$A:$A,0),$AN$2)*100,""))</f>
        <v>-1.7994858611825193</v>
      </c>
      <c r="AJ164" s="412" cm="1">
        <f t="array" ref="AJ164">IFERROR((終値!$E$5-INDEX(終値!$E$5:$BL$5,1,$AN$2))/INDEX(終値!$E$5:$BL$5,1,$AN$2)*100,"")</f>
        <v>3.4532270246721688</v>
      </c>
      <c r="AK164" s="413">
        <f t="shared" si="61"/>
        <v>-5.2527128858546881</v>
      </c>
      <c r="AL164" s="411">
        <f t="shared" si="62"/>
        <v>3</v>
      </c>
      <c r="AO164" s="415" t="str">
        <f t="shared" si="63"/>
        <v>長い下ヒゲ(反発警戒)</v>
      </c>
      <c r="AP164" s="416">
        <f t="shared" si="64"/>
        <v>-2</v>
      </c>
      <c r="AQ164">
        <f>IF(C164&lt;&gt;"",始値!F206,"")</f>
        <v>5484</v>
      </c>
      <c r="AR164">
        <f>IF(C164&lt;&gt;"",高値!F206,"")</f>
        <v>5532</v>
      </c>
      <c r="AS164">
        <f>IF(C164&lt;&gt;"",安値!F206,"")</f>
        <v>5427</v>
      </c>
      <c r="AT164" t="str">
        <f t="shared" si="58"/>
        <v>通常</v>
      </c>
      <c r="AU164">
        <f t="shared" si="65"/>
        <v>0</v>
      </c>
    </row>
    <row r="165" spans="1:47" ht="14.25">
      <c r="A165" s="349" t="str">
        <f>IF(銘柄管理!B7&lt;&gt;"",HYPERLINK("https://kabutan.jp/stock/?code="&amp;銘柄管理!B7,"株探"),"")</f>
        <v>株探</v>
      </c>
      <c r="B165" s="350"/>
      <c r="C165" s="350">
        <f>IF(銘柄管理!B7="","",銘柄管理!B7)</f>
        <v>5423</v>
      </c>
      <c r="D165" s="350" t="str">
        <f>IF(銘柄管理!C7="","",銘柄管理!C7)</f>
        <v>東京製鐵</v>
      </c>
      <c r="E165" s="351">
        <f>IF(C165&lt;&gt;"",_xll.RssMarket(C165,"現在値"),"")</f>
        <v>1771</v>
      </c>
      <c r="F165" s="351">
        <f>IF(C165&lt;&gt;"",_xll.RssMarket(C165,"始値"),"")</f>
        <v>1755</v>
      </c>
      <c r="G165" s="350">
        <f>IF(C165&lt;&gt;"",終値!F7,"")</f>
        <v>1742</v>
      </c>
      <c r="H165" s="351">
        <f>IF(C165&lt;&gt;"",_xll.RssMarket(C165,"高値"),"")</f>
        <v>1788</v>
      </c>
      <c r="I165" s="351">
        <f>IF(C165&lt;&gt;"",_xll.RssMarket(C165,"安値"),"")</f>
        <v>1749</v>
      </c>
      <c r="J165" s="351">
        <f>IF(C165&lt;&gt;"",_xll.RssMarket(C165,"出来高"),"")</f>
        <v>385700</v>
      </c>
      <c r="K165" s="351">
        <f>IF(C165&lt;&gt;"",_xll.RssMarket(C165,"年初来高値"),"")</f>
        <v>1973</v>
      </c>
      <c r="L165" s="352">
        <f t="shared" si="44"/>
        <v>-10.238215914850482</v>
      </c>
      <c r="M165" s="351">
        <f>IF(C165&lt;&gt;"",IFERROR(AVERAGE(出来高!E7:I7),""),"")</f>
        <v>340800</v>
      </c>
      <c r="N165" s="351">
        <f>IF(C165&lt;&gt;"",IFERROR(AVERAGE(出来高!E7:AC7),""),"")</f>
        <v>420956</v>
      </c>
      <c r="O165" s="353">
        <f t="shared" si="45"/>
        <v>1.1317488262910798</v>
      </c>
      <c r="P165" s="350" t="str">
        <f t="shared" si="46"/>
        <v>普通→</v>
      </c>
      <c r="Q165" s="350" t="str">
        <f t="shared" si="47"/>
        <v>様子見▲</v>
      </c>
      <c r="R165" s="351">
        <f t="shared" si="48"/>
        <v>1629</v>
      </c>
      <c r="S165" s="351">
        <f t="shared" si="49"/>
        <v>1842</v>
      </c>
      <c r="T165" s="350">
        <f t="shared" si="50"/>
        <v>2</v>
      </c>
      <c r="U165" s="350" t="str">
        <f t="shared" si="51"/>
        <v>除外</v>
      </c>
      <c r="V165" s="350" t="str">
        <f t="shared" si="52"/>
        <v>通常</v>
      </c>
      <c r="W165" s="354" cm="1">
        <f t="array" ref="W165">IFERROR(100-100/(1+SUMPRODUCT((終値!F7:R7&gt;終値!G7:S7)*(終値!F7:R7-終値!G7:S7))/SUMPRODUCT((終値!F7:R7&lt;終値!G7:S7)*(終値!G7:S7-終値!F7:R7))),50)</f>
        <v>53.744493392070488</v>
      </c>
      <c r="X165" s="355">
        <f>IF(C165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-1.2460545536316658</v>
      </c>
      <c r="Y165" s="350" t="str">
        <f t="shared" si="53"/>
        <v>相場上昇・見送り | パーフェクト▲ MACD- RSI:53.7 前日比:+1.7% [2点]</v>
      </c>
      <c r="Z165" s="356">
        <f t="shared" si="54"/>
        <v>1.6647531572904706</v>
      </c>
      <c r="AA165" s="350" t="str">
        <f t="shared" si="55"/>
        <v>上昇▲</v>
      </c>
      <c r="AB165" s="351">
        <f>IF(OR(C165="",C165="TOPX",終値!E7=""),"",IFERROR(((終値!E7*0.333)+(終値!F7*0.222)+(終値!G7*0.148)+(終値!H7*0.099)+(終値!I7*0.066))/(0.333+0.222+0.148+0.099+0.066),""))</f>
        <v>1737.4193548387098</v>
      </c>
      <c r="AC165" s="351">
        <f>IF(OR(C165="",C165="TOPX",終値!E7=""),"",IFERROR(SUMPRODUCT((終値!E7:AC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1720.5196662693677</v>
      </c>
      <c r="AD165" s="350" t="str">
        <f t="shared" si="56"/>
        <v>パーフェクト▲</v>
      </c>
      <c r="AE165" s="350" t="str">
        <f t="shared" si="57"/>
        <v>なし</v>
      </c>
      <c r="AF165" t="str">
        <f>IF(T165="","",IF(銘柄管理!$F$5="上昇▲",IF(AND(AD165="下降トレンド▼",OR(AE165="25日戻り売り★",AE165="5日戻り売り○")),"★逆張り売り",IF(AND(AD165="もみ合い→",OR(AE165="25日戻り売り★",AE165="5日戻り売り○")),"○逆張り売り",IF(W165&gt;=70,IF(Z165&lt;0,"◎反落確認","△過熱・様子見"),"相場上昇・見送り"))),IF(AND(T165&gt;=12,AD165="下降トレンド▼"),"★強い売り",IF(T165&gt;=12,"★強い売り",IF(AND(T165&gt;=8,OR(AE165="25日戻り売り★",AE165="5日戻り売り○")),"◎戻り売り",IF(T165&gt;=10,"○売り候補",IF(T165&gt;=6,"△注目",IF(T165&gt;=3,"様子見","見送り"))))))))</f>
        <v>相場上昇・見送り</v>
      </c>
      <c r="AG165">
        <f t="shared" si="59"/>
        <v>0</v>
      </c>
      <c r="AH165">
        <f t="shared" si="60"/>
        <v>0</v>
      </c>
      <c r="AI165" s="412" cm="1">
        <f t="array" ref="AI165">IF(C165="","",IFERROR((INDEX(終値!$E:$E,MATCH(TEXT(C165,"0"),終値!$A:$A,0))-INDEX(終値!$E:$BL,MATCH(TEXT(C165,"0"),終値!$A:$A,0),$AN$2))/INDEX(終値!$E:$BL,MATCH(TEXT(C165,"0"),終値!$A:$A,0),$AN$2)*100,""))</f>
        <v>4.1152263374485596</v>
      </c>
      <c r="AJ165" s="412" cm="1">
        <f t="array" ref="AJ165">IFERROR((終値!$E$5-INDEX(終値!$E$5:$BL$5,1,$AN$2))/INDEX(終値!$E$5:$BL$5,1,$AN$2)*100,"")</f>
        <v>3.4532270246721688</v>
      </c>
      <c r="AK165" s="413">
        <f t="shared" si="61"/>
        <v>0.66199931277639079</v>
      </c>
      <c r="AL165" s="411">
        <f t="shared" si="62"/>
        <v>-1</v>
      </c>
      <c r="AO165" s="415" t="str">
        <f t="shared" si="63"/>
        <v>通常</v>
      </c>
      <c r="AP165" s="416">
        <f t="shared" si="64"/>
        <v>0</v>
      </c>
      <c r="AQ165">
        <f>IF(C165&lt;&gt;"",始値!F7,"")</f>
        <v>1741</v>
      </c>
      <c r="AR165">
        <f>IF(C165&lt;&gt;"",高値!F7,"")</f>
        <v>1750</v>
      </c>
      <c r="AS165">
        <f>IF(C165&lt;&gt;"",安値!F7,"")</f>
        <v>1722</v>
      </c>
      <c r="AT165" t="str">
        <f t="shared" si="58"/>
        <v>通常</v>
      </c>
      <c r="AU165">
        <f t="shared" si="65"/>
        <v>0</v>
      </c>
    </row>
    <row r="166" spans="1:47" ht="14.25">
      <c r="A166" s="357" t="str">
        <f>IF(銘柄管理!B12&lt;&gt;"",HYPERLINK("https://kabutan.jp/stock/?code="&amp;銘柄管理!B12,"株探"),"")</f>
        <v>株探</v>
      </c>
      <c r="B166" s="230"/>
      <c r="C166" s="230">
        <f>IF(銘柄管理!B12="","",銘柄管理!B12)</f>
        <v>1605</v>
      </c>
      <c r="D166" s="230" t="str">
        <f>IF(銘柄管理!C12="","",銘柄管理!C12)</f>
        <v>ＩＮＰＥＸ</v>
      </c>
      <c r="E166" s="358">
        <f>IF(C166&lt;&gt;"",_xll.RssMarket(C166,"現在値"),"")</f>
        <v>3406</v>
      </c>
      <c r="F166" s="358">
        <f>IF(C166&lt;&gt;"",_xll.RssMarket(C166,"始値"),"")</f>
        <v>3328</v>
      </c>
      <c r="G166" s="230">
        <f>IF(C166&lt;&gt;"",終値!F12,"")</f>
        <v>3378</v>
      </c>
      <c r="H166" s="358">
        <f>IF(C166&lt;&gt;"",_xll.RssMarket(C166,"高値"),"")</f>
        <v>3428</v>
      </c>
      <c r="I166" s="358">
        <f>IF(C166&lt;&gt;"",_xll.RssMarket(C166,"安値"),"")</f>
        <v>3293</v>
      </c>
      <c r="J166" s="358">
        <f>IF(C166&lt;&gt;"",_xll.RssMarket(C166,"出来高"),"")</f>
        <v>7587200</v>
      </c>
      <c r="K166" s="358">
        <f>IF(C166&lt;&gt;"",_xll.RssMarket(C166,"年初来高値"),"")</f>
        <v>4955</v>
      </c>
      <c r="L166" s="359">
        <f t="shared" si="44"/>
        <v>-31.261352169525729</v>
      </c>
      <c r="M166" s="358">
        <f>IF(C166&lt;&gt;"",IFERROR(AVERAGE(出来高!E12:I12),""),"")</f>
        <v>6026200</v>
      </c>
      <c r="N166" s="358">
        <f>IF(C166&lt;&gt;"",IFERROR(AVERAGE(出来高!E12:AC12),""),"")</f>
        <v>5838264</v>
      </c>
      <c r="O166" s="360">
        <f t="shared" si="45"/>
        <v>1.2590355447877601</v>
      </c>
      <c r="P166" s="230" t="str">
        <f t="shared" si="46"/>
        <v>普通→</v>
      </c>
      <c r="Q166" s="230" t="str">
        <f t="shared" si="47"/>
        <v>様子見▲</v>
      </c>
      <c r="R166" s="358">
        <f t="shared" si="48"/>
        <v>3134</v>
      </c>
      <c r="S166" s="358">
        <f t="shared" si="49"/>
        <v>3542</v>
      </c>
      <c r="T166" s="350">
        <f t="shared" si="50"/>
        <v>14</v>
      </c>
      <c r="U166" s="230" t="str">
        <f t="shared" si="51"/>
        <v>要確認</v>
      </c>
      <c r="V166" s="230" t="str">
        <f t="shared" si="52"/>
        <v>安値圏</v>
      </c>
      <c r="W166" s="361" cm="1">
        <f t="array" ref="W166">IFERROR(100-100/(1+SUMPRODUCT((終値!F12:R12&gt;終値!G12:S12)*(終値!F12:R12-終値!G12:S12))/SUMPRODUCT((終値!F12:R12&lt;終値!G12:S12)*(終値!G12:S12-終値!F12:R12))),50)</f>
        <v>38.835725677830943</v>
      </c>
      <c r="X166" s="362">
        <f>IF(C166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-49.259485987446169</v>
      </c>
      <c r="Y166" s="230" t="str">
        <f t="shared" si="53"/>
        <v>相場上昇・見送り | 下降トレンド▼ MACD- RSI:38.8 前日比:+0.8% [安値圏]前日[大陰線▼] [14点]</v>
      </c>
      <c r="Z166" s="363">
        <f t="shared" si="54"/>
        <v>0.82889283599763175</v>
      </c>
      <c r="AA166" s="230" t="str">
        <f t="shared" si="55"/>
        <v>上昇▲</v>
      </c>
      <c r="AB166" s="358">
        <f>IF(OR(C166="",C166="TOPX",終値!E12=""),"",IFERROR(((終値!E12*0.333)+(終値!F12*0.222)+(終値!G12*0.148)+(終値!H12*0.099)+(終値!I12*0.066))/(0.333+0.222+0.148+0.099+0.066),""))</f>
        <v>3453.7062211981561</v>
      </c>
      <c r="AC166" s="358">
        <f>IF(OR(C166="",C166="TOPX",終値!E12=""),"",IFERROR(SUMPRODUCT((終値!E12:AC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3625.0274135876025</v>
      </c>
      <c r="AD166" s="230" t="str">
        <f t="shared" si="56"/>
        <v>下降トレンド▼</v>
      </c>
      <c r="AE166" s="230" t="str">
        <f t="shared" si="57"/>
        <v>なし</v>
      </c>
      <c r="AF166" t="str">
        <f>IF(T166="","",IF(銘柄管理!$F$5="上昇▲",IF(AND(AD166="下降トレンド▼",OR(AE166="25日戻り売り★",AE166="5日戻り売り○")),"★逆張り売り",IF(AND(AD166="もみ合い→",OR(AE166="25日戻り売り★",AE166="5日戻り売り○")),"○逆張り売り",IF(W166&gt;=70,IF(Z166&lt;0,"◎反落確認","△過熱・様子見"),"相場上昇・見送り"))),IF(AND(T166&gt;=12,AD166="下降トレンド▼"),"★強い売り",IF(T166&gt;=12,"★強い売り",IF(AND(T166&gt;=8,OR(AE166="25日戻り売り★",AE166="5日戻り売り○")),"◎戻り売り",IF(T166&gt;=10,"○売り候補",IF(T166&gt;=6,"△注目",IF(T166&gt;=3,"様子見","見送り"))))))))</f>
        <v>相場上昇・見送り</v>
      </c>
      <c r="AG166">
        <f t="shared" si="59"/>
        <v>14</v>
      </c>
      <c r="AH166">
        <f t="shared" si="60"/>
        <v>139834</v>
      </c>
      <c r="AI166" s="412" cm="1">
        <f t="array" ref="AI166">IF(C166="","",IFERROR((INDEX(終値!$E:$E,MATCH(TEXT(C166,"0"),終値!$A:$A,0))-INDEX(終値!$E:$BL,MATCH(TEXT(C166,"0"),終値!$A:$A,0),$AN$2))/INDEX(終値!$E:$BL,MATCH(TEXT(C166,"0"),終値!$A:$A,0),$AN$2)*100,""))</f>
        <v>-13.112244897959183</v>
      </c>
      <c r="AJ166" s="412" cm="1">
        <f t="array" ref="AJ166">IFERROR((終値!$E$5-INDEX(終値!$E$5:$BL$5,1,$AN$2))/INDEX(終値!$E$5:$BL$5,1,$AN$2)*100,"")</f>
        <v>3.4532270246721688</v>
      </c>
      <c r="AK166" s="413">
        <f t="shared" si="61"/>
        <v>-16.565471922631353</v>
      </c>
      <c r="AL166" s="411">
        <f t="shared" si="62"/>
        <v>3</v>
      </c>
      <c r="AO166" s="415" t="str">
        <f t="shared" si="63"/>
        <v>通常</v>
      </c>
      <c r="AP166" s="416">
        <f t="shared" si="64"/>
        <v>0</v>
      </c>
      <c r="AQ166">
        <f>IF(C166&lt;&gt;"",始値!F12,"")</f>
        <v>3467</v>
      </c>
      <c r="AR166">
        <f>IF(C166&lt;&gt;"",高値!F12,"")</f>
        <v>3475</v>
      </c>
      <c r="AS166">
        <f>IF(C166&lt;&gt;"",安値!F12,"")</f>
        <v>3361</v>
      </c>
      <c r="AT166" t="str">
        <f t="shared" si="58"/>
        <v>大陰線▼</v>
      </c>
      <c r="AU166">
        <f t="shared" si="65"/>
        <v>2</v>
      </c>
    </row>
    <row r="167" spans="1:47" ht="14.25">
      <c r="A167" s="349" t="str">
        <f>IF(銘柄管理!B14&lt;&gt;"",HYPERLINK("https://kabutan.jp/stock/?code="&amp;銘柄管理!B14,"株探"),"")</f>
        <v>株探</v>
      </c>
      <c r="B167" s="350"/>
      <c r="C167" s="350">
        <f>IF(銘柄管理!B14="","",銘柄管理!B14)</f>
        <v>8002</v>
      </c>
      <c r="D167" s="350" t="str">
        <f>IF(銘柄管理!C14="","",銘柄管理!C14)</f>
        <v>丸紅</v>
      </c>
      <c r="E167" s="351">
        <f>IF(C167&lt;&gt;"",_xll.RssMarket(C167,"現在値"),"")</f>
        <v>4949</v>
      </c>
      <c r="F167" s="351">
        <f>IF(C167&lt;&gt;"",_xll.RssMarket(C167,"始値"),"")</f>
        <v>4981</v>
      </c>
      <c r="G167" s="350">
        <f>IF(C167&lt;&gt;"",終値!F14,"")</f>
        <v>4921</v>
      </c>
      <c r="H167" s="351">
        <f>IF(C167&lt;&gt;"",_xll.RssMarket(C167,"高値"),"")</f>
        <v>5019</v>
      </c>
      <c r="I167" s="351">
        <f>IF(C167&lt;&gt;"",_xll.RssMarket(C167,"安値"),"")</f>
        <v>4886</v>
      </c>
      <c r="J167" s="351">
        <f>IF(C167&lt;&gt;"",_xll.RssMarket(C167,"出来高"),"")</f>
        <v>3994600</v>
      </c>
      <c r="K167" s="351">
        <f>IF(C167&lt;&gt;"",_xll.RssMarket(C167,"年初来高値"),"")</f>
        <v>6328</v>
      </c>
      <c r="L167" s="352">
        <f t="shared" si="44"/>
        <v>-21.792035398230087</v>
      </c>
      <c r="M167" s="351">
        <f>IF(C167&lt;&gt;"",IFERROR(AVERAGE(出来高!E14:I14),""),"")</f>
        <v>4396120</v>
      </c>
      <c r="N167" s="351">
        <f>IF(C167&lt;&gt;"",IFERROR(AVERAGE(出来高!E14:AC14),""),"")</f>
        <v>4898588</v>
      </c>
      <c r="O167" s="353">
        <f t="shared" si="45"/>
        <v>0.90866491360563406</v>
      </c>
      <c r="P167" s="350" t="str">
        <f t="shared" si="46"/>
        <v>減少↓</v>
      </c>
      <c r="Q167" s="350" t="str">
        <f t="shared" si="47"/>
        <v>様子見▲</v>
      </c>
      <c r="R167" s="351">
        <f t="shared" si="48"/>
        <v>4553</v>
      </c>
      <c r="S167" s="351">
        <f t="shared" si="49"/>
        <v>5147</v>
      </c>
      <c r="T167" s="350">
        <f t="shared" si="50"/>
        <v>7</v>
      </c>
      <c r="U167" s="350" t="str">
        <f t="shared" si="51"/>
        <v>要確認</v>
      </c>
      <c r="V167" s="350" t="str">
        <f t="shared" si="52"/>
        <v>通常</v>
      </c>
      <c r="W167" s="354" cm="1">
        <f t="array" ref="W167">IFERROR(100-100/(1+SUMPRODUCT((終値!F14:R14&gt;終値!G14:S14)*(終値!F14:R14-終値!G14:S14))/SUMPRODUCT((終値!F14:R14&lt;終値!G14:S14)*(終値!G14:S14-終値!F14:R14))),50)</f>
        <v>29.824561403508781</v>
      </c>
      <c r="X167" s="355">
        <f>IF(C167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-78.536347860002024</v>
      </c>
      <c r="Y167" s="350" t="str">
        <f t="shared" si="53"/>
        <v>相場上昇・見送り | もみ合い→ MACD- RSI:29.8 [売られ過ぎ] 前日比:+0.6% [7点]</v>
      </c>
      <c r="Z167" s="356">
        <f t="shared" si="54"/>
        <v>0.56899004267425324</v>
      </c>
      <c r="AA167" s="350" t="str">
        <f t="shared" si="55"/>
        <v>上昇▲</v>
      </c>
      <c r="AB167" s="351">
        <f>IF(OR(C167="",C167="TOPX",終値!E14=""),"",IFERROR(((終値!E14*0.333)+(終値!F14*0.222)+(終値!G14*0.148)+(終値!H14*0.099)+(終値!I14*0.066))/(0.333+0.222+0.148+0.099+0.066),""))</f>
        <v>4905.9781105990778</v>
      </c>
      <c r="AC167" s="351">
        <f>IF(OR(C167="",C167="TOPX",終値!E14=""),"",IFERROR(SUMPRODUCT((終値!E14:AC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5066.7270560190682</v>
      </c>
      <c r="AD167" s="350" t="str">
        <f t="shared" si="56"/>
        <v>もみ合い→</v>
      </c>
      <c r="AE167" s="350" t="str">
        <f t="shared" si="57"/>
        <v>なし</v>
      </c>
      <c r="AF167" t="str">
        <f>IF(T167="","",IF(銘柄管理!$F$5="上昇▲",IF(AND(AD167="下降トレンド▼",OR(AE167="25日戻り売り★",AE167="5日戻り売り○")),"★逆張り売り",IF(AND(AD167="もみ合い→",OR(AE167="25日戻り売り★",AE167="5日戻り売り○")),"○逆張り売り",IF(W167&gt;=70,IF(Z167&lt;0,"◎反落確認","△過熱・様子見"),"相場上昇・見送り"))),IF(AND(T167&gt;=12,AD167="下降トレンド▼"),"★強い売り",IF(T167&gt;=12,"★強い売り",IF(AND(T167&gt;=8,OR(AE167="25日戻り売り★",AE167="5日戻り売り○")),"◎戻り売り",IF(T167&gt;=10,"○売り候補",IF(T167&gt;=6,"△注目",IF(T167&gt;=3,"様子見","見送り"))))))))</f>
        <v>相場上昇・見送り</v>
      </c>
      <c r="AG167">
        <f t="shared" si="59"/>
        <v>7</v>
      </c>
      <c r="AH167">
        <f t="shared" si="60"/>
        <v>69833</v>
      </c>
      <c r="AI167" s="412" cm="1">
        <f t="array" ref="AI167">IF(C167="","",IFERROR((INDEX(終値!$E:$E,MATCH(TEXT(C167,"0"),終値!$A:$A,0))-INDEX(終値!$E:$BL,MATCH(TEXT(C167,"0"),終値!$A:$A,0),$AN$2))/INDEX(終値!$E:$BL,MATCH(TEXT(C167,"0"),終値!$A:$A,0),$AN$2)*100,""))</f>
        <v>-16.090200067819598</v>
      </c>
      <c r="AJ167" s="412" cm="1">
        <f t="array" ref="AJ167">IFERROR((終値!$E$5-INDEX(終値!$E$5:$BL$5,1,$AN$2))/INDEX(終値!$E$5:$BL$5,1,$AN$2)*100,"")</f>
        <v>3.4532270246721688</v>
      </c>
      <c r="AK167" s="413">
        <f t="shared" si="61"/>
        <v>-19.543427092491768</v>
      </c>
      <c r="AL167" s="411">
        <f t="shared" si="62"/>
        <v>3</v>
      </c>
      <c r="AO167" s="415" t="str">
        <f t="shared" si="63"/>
        <v>通常</v>
      </c>
      <c r="AP167" s="416">
        <f t="shared" si="64"/>
        <v>0</v>
      </c>
      <c r="AQ167">
        <f>IF(C167&lt;&gt;"",始値!F14,"")</f>
        <v>5023</v>
      </c>
      <c r="AR167">
        <f>IF(C167&lt;&gt;"",高値!F14,"")</f>
        <v>5058</v>
      </c>
      <c r="AS167">
        <f>IF(C167&lt;&gt;"",安値!F14,"")</f>
        <v>4900</v>
      </c>
      <c r="AT167" t="str">
        <f t="shared" si="58"/>
        <v>通常</v>
      </c>
      <c r="AU167">
        <f t="shared" si="65"/>
        <v>0</v>
      </c>
    </row>
    <row r="168" spans="1:47" ht="14.25">
      <c r="A168" s="357" t="str">
        <f>IF(銘柄管理!B22&lt;&gt;"",HYPERLINK("https://kabutan.jp/stock/?code="&amp;銘柄管理!B22,"株探"),"")</f>
        <v>株探</v>
      </c>
      <c r="B168" s="230"/>
      <c r="C168" s="230">
        <f>IF(銘柄管理!B22="","",銘柄管理!B22)</f>
        <v>8725</v>
      </c>
      <c r="D168" s="230" t="str">
        <f>IF(銘柄管理!C22="","",銘柄管理!C22)</f>
        <v>ＭＳ＆ＡＤ</v>
      </c>
      <c r="E168" s="358">
        <f>IF(C168&lt;&gt;"",_xll.RssMarket(C168,"現在値"),"")</f>
        <v>4557</v>
      </c>
      <c r="F168" s="358">
        <f>IF(C168&lt;&gt;"",_xll.RssMarket(C168,"始値"),"")</f>
        <v>4656</v>
      </c>
      <c r="G168" s="230">
        <f>IF(C168&lt;&gt;"",終値!F22,"")</f>
        <v>4616</v>
      </c>
      <c r="H168" s="358">
        <f>IF(C168&lt;&gt;"",_xll.RssMarket(C168,"高値"),"")</f>
        <v>4689</v>
      </c>
      <c r="I168" s="358">
        <f>IF(C168&lt;&gt;"",_xll.RssMarket(C168,"安値"),"")</f>
        <v>4554</v>
      </c>
      <c r="J168" s="358">
        <f>IF(C168&lt;&gt;"",_xll.RssMarket(C168,"出来高"),"")</f>
        <v>3959300</v>
      </c>
      <c r="K168" s="358">
        <f>IF(C168&lt;&gt;"",_xll.RssMarket(C168,"年初来高値"),"")</f>
        <v>4742</v>
      </c>
      <c r="L168" s="359">
        <f t="shared" si="44"/>
        <v>-3.901307465204555</v>
      </c>
      <c r="M168" s="358">
        <f>IF(C168&lt;&gt;"",IFERROR(AVERAGE(出来高!E22:I22),""),"")</f>
        <v>4179060</v>
      </c>
      <c r="N168" s="358">
        <f>IF(C168&lt;&gt;"",IFERROR(AVERAGE(出来高!E22:AC22),""),"")</f>
        <v>4979796</v>
      </c>
      <c r="O168" s="360">
        <f t="shared" si="45"/>
        <v>0.94741401176341089</v>
      </c>
      <c r="P168" s="230" t="str">
        <f t="shared" si="46"/>
        <v>減少↓</v>
      </c>
      <c r="Q168" s="230" t="str">
        <f t="shared" si="47"/>
        <v>中立→</v>
      </c>
      <c r="R168" s="358">
        <f t="shared" si="48"/>
        <v>4192</v>
      </c>
      <c r="S168" s="358">
        <f t="shared" si="49"/>
        <v>4739</v>
      </c>
      <c r="T168" s="350">
        <f t="shared" si="50"/>
        <v>4</v>
      </c>
      <c r="U168" s="230" t="str">
        <f t="shared" si="51"/>
        <v>要確認</v>
      </c>
      <c r="V168" s="230" t="str">
        <f t="shared" si="52"/>
        <v>通常</v>
      </c>
      <c r="W168" s="361" cm="1">
        <f t="array" ref="W168">IFERROR(100-100/(1+SUMPRODUCT((終値!F22:R22&gt;終値!G22:S22)*(終値!F22:R22-終値!G22:S22))/SUMPRODUCT((終値!F22:R22&lt;終値!G22:S22)*(終値!G22:S22-終値!F22:R22))),50)</f>
        <v>77.100271002710031</v>
      </c>
      <c r="X168" s="362">
        <f>IF(C168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32.579127842413982</v>
      </c>
      <c r="Y168" s="230" t="str">
        <f t="shared" si="53"/>
        <v>◎反落確認 | 上昇トレンド▲ 5日戻り売り○ MACD+ RSI:77.1 [過熱] 前日比:-1.3% [大陰線▼]前日[長い下ヒゲ(反発)] [4点]</v>
      </c>
      <c r="Z168" s="363">
        <f t="shared" si="54"/>
        <v>-1.278162911611785</v>
      </c>
      <c r="AA168" s="230" t="str">
        <f t="shared" si="55"/>
        <v>下落▼</v>
      </c>
      <c r="AB168" s="358">
        <f>IF(OR(C168="",C168="TOPX",終値!E22=""),"",IFERROR(((終値!E22*0.333)+(終値!F22*0.222)+(終値!G22*0.148)+(終値!H22*0.099)+(終値!I22*0.066))/(0.333+0.222+0.148+0.099+0.066),""))</f>
        <v>4581.3813364055295</v>
      </c>
      <c r="AC168" s="358">
        <f>IF(OR(C168="",C168="TOPX",終値!E22=""),"",IFERROR(SUMPRODUCT((終値!E22:AC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4418.7902264600698</v>
      </c>
      <c r="AD168" s="230" t="str">
        <f t="shared" si="56"/>
        <v>上昇トレンド▲</v>
      </c>
      <c r="AE168" s="230" t="str">
        <f t="shared" si="57"/>
        <v>5日戻り売り○</v>
      </c>
      <c r="AF168" t="str">
        <f>IF(T168="","",IF(銘柄管理!$F$5="上昇▲",IF(AND(AD168="下降トレンド▼",OR(AE168="25日戻り売り★",AE168="5日戻り売り○")),"★逆張り売り",IF(AND(AD168="もみ合い→",OR(AE168="25日戻り売り★",AE168="5日戻り売り○")),"○逆張り売り",IF(W168&gt;=70,IF(Z168&lt;0,"◎反落確認","△過熱・様子見"),"相場上昇・見送り"))),IF(AND(T168&gt;=12,AD168="下降トレンド▼"),"★強い売り",IF(T168&gt;=12,"★強い売り",IF(AND(T168&gt;=8,OR(AE168="25日戻り売り★",AE168="5日戻り売り○")),"◎戻り売り",IF(T168&gt;=10,"○売り候補",IF(T168&gt;=6,"△注目",IF(T168&gt;=3,"様子見","見送り"))))))))</f>
        <v>◎反落確認</v>
      </c>
      <c r="AG168">
        <f t="shared" si="59"/>
        <v>0</v>
      </c>
      <c r="AH168">
        <f t="shared" si="60"/>
        <v>0</v>
      </c>
      <c r="AI168" s="412" cm="1">
        <f t="array" ref="AI168">IF(C168="","",IFERROR((INDEX(終値!$E:$E,MATCH(TEXT(C168,"0"),終値!$A:$A,0))-INDEX(終値!$E:$BL,MATCH(TEXT(C168,"0"),終値!$A:$A,0),$AN$2))/INDEX(終値!$E:$BL,MATCH(TEXT(C168,"0"),終値!$A:$A,0),$AN$2)*100,""))</f>
        <v>3.5917253921345758</v>
      </c>
      <c r="AJ168" s="412" cm="1">
        <f t="array" ref="AJ168">IFERROR((終値!$E$5-INDEX(終値!$E$5:$BL$5,1,$AN$2))/INDEX(終値!$E$5:$BL$5,1,$AN$2)*100,"")</f>
        <v>3.4532270246721688</v>
      </c>
      <c r="AK168" s="413">
        <f t="shared" si="61"/>
        <v>0.13849836746240696</v>
      </c>
      <c r="AL168" s="411">
        <f t="shared" si="62"/>
        <v>-1</v>
      </c>
      <c r="AO168" s="415" t="str">
        <f t="shared" si="63"/>
        <v>大陰線▼</v>
      </c>
      <c r="AP168" s="416">
        <f t="shared" si="64"/>
        <v>2</v>
      </c>
      <c r="AQ168">
        <f>IF(C168&lt;&gt;"",始値!F22,"")</f>
        <v>4603</v>
      </c>
      <c r="AR168">
        <f>IF(C168&lt;&gt;"",高値!F22,"")</f>
        <v>4626</v>
      </c>
      <c r="AS168">
        <f>IF(C168&lt;&gt;"",安値!F22,"")</f>
        <v>4556</v>
      </c>
      <c r="AT168" t="str">
        <f t="shared" si="58"/>
        <v>長い下ヒゲ(反発)</v>
      </c>
      <c r="AU168">
        <f t="shared" si="65"/>
        <v>-2</v>
      </c>
    </row>
    <row r="169" spans="1:47" ht="14.25">
      <c r="A169" s="349" t="str">
        <f>IF(銘柄管理!B27&lt;&gt;"",HYPERLINK("https://kabutan.jp/stock/?code="&amp;銘柄管理!B27,"株探"),"")</f>
        <v>株探</v>
      </c>
      <c r="B169" s="350"/>
      <c r="C169" s="350">
        <f>IF(銘柄管理!B27="","",銘柄管理!B27)</f>
        <v>3401</v>
      </c>
      <c r="D169" s="350" t="str">
        <f>IF(銘柄管理!C27="","",銘柄管理!C27)</f>
        <v>帝人</v>
      </c>
      <c r="E169" s="351">
        <f>IF(C169&lt;&gt;"",_xll.RssMarket(C169,"現在値"),"")</f>
        <v>1648</v>
      </c>
      <c r="F169" s="351">
        <f>IF(C169&lt;&gt;"",_xll.RssMarket(C169,"始値"),"")</f>
        <v>1648.5</v>
      </c>
      <c r="G169" s="350">
        <f>IF(C169&lt;&gt;"",終値!F27,"")</f>
        <v>1641</v>
      </c>
      <c r="H169" s="351">
        <f>IF(C169&lt;&gt;"",_xll.RssMarket(C169,"高値"),"")</f>
        <v>1675</v>
      </c>
      <c r="I169" s="351">
        <f>IF(C169&lt;&gt;"",_xll.RssMarket(C169,"安値"),"")</f>
        <v>1628</v>
      </c>
      <c r="J169" s="351">
        <f>IF(C169&lt;&gt;"",_xll.RssMarket(C169,"出来高"),"")</f>
        <v>982500</v>
      </c>
      <c r="K169" s="351">
        <f>IF(C169&lt;&gt;"",_xll.RssMarket(C169,"年初来高値"),"")</f>
        <v>1773</v>
      </c>
      <c r="L169" s="352">
        <f t="shared" si="44"/>
        <v>-7.0501974055273546</v>
      </c>
      <c r="M169" s="351">
        <f>IF(C169&lt;&gt;"",IFERROR(AVERAGE(出来高!E27:I27),""),"")</f>
        <v>804560</v>
      </c>
      <c r="N169" s="351">
        <f>IF(C169&lt;&gt;"",IFERROR(AVERAGE(出来高!E27:AC27),""),"")</f>
        <v>1147264</v>
      </c>
      <c r="O169" s="353">
        <f t="shared" si="45"/>
        <v>1.2211643631301581</v>
      </c>
      <c r="P169" s="350" t="str">
        <f t="shared" si="46"/>
        <v>普通→</v>
      </c>
      <c r="Q169" s="350" t="str">
        <f t="shared" si="47"/>
        <v>様子見▲</v>
      </c>
      <c r="R169" s="351">
        <f t="shared" si="48"/>
        <v>1516</v>
      </c>
      <c r="S169" s="351">
        <f t="shared" si="49"/>
        <v>1714</v>
      </c>
      <c r="T169" s="350">
        <f t="shared" si="50"/>
        <v>4</v>
      </c>
      <c r="U169" s="350" t="str">
        <f t="shared" si="51"/>
        <v>要確認</v>
      </c>
      <c r="V169" s="350" t="str">
        <f t="shared" si="52"/>
        <v>通常</v>
      </c>
      <c r="W169" s="354" cm="1">
        <f t="array" ref="W169">IFERROR(100-100/(1+SUMPRODUCT((終値!F27:R27&gt;終値!G27:S27)*(終値!F27:R27-終値!G27:S27))/SUMPRODUCT((終値!F27:R27&lt;終値!G27:S27)*(終値!G27:S27-終値!F27:R27))),50)</f>
        <v>52.199999999999996</v>
      </c>
      <c r="X169" s="355">
        <f>IF(C169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1.29754735530787</v>
      </c>
      <c r="Y169" s="350" t="str">
        <f t="shared" si="53"/>
        <v>相場上昇・見送り | パーフェクト▲ MACD+ RSI:52.2 前日比:+0.4% [4点]</v>
      </c>
      <c r="Z169" s="356">
        <f t="shared" si="54"/>
        <v>0.42656916514320536</v>
      </c>
      <c r="AA169" s="350" t="str">
        <f t="shared" si="55"/>
        <v>上昇▲</v>
      </c>
      <c r="AB169" s="351">
        <f>IF(OR(C169="",C169="TOPX",終値!E27=""),"",IFERROR(((終値!E27*0.333)+(終値!F27*0.222)+(終値!G27*0.148)+(終値!H27*0.099)+(終値!I27*0.066))/(0.333+0.222+0.148+0.099+0.066),""))</f>
        <v>1637.8035714285711</v>
      </c>
      <c r="AC169" s="351">
        <f>IF(OR(C169="",C169="TOPX",終値!E27=""),"",IFERROR(SUMPRODUCT((終値!E27:AC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1628.466030989272</v>
      </c>
      <c r="AD169" s="350" t="str">
        <f t="shared" si="56"/>
        <v>パーフェクト▲</v>
      </c>
      <c r="AE169" s="350" t="str">
        <f t="shared" si="57"/>
        <v>なし</v>
      </c>
      <c r="AF169" t="str">
        <f>IF(T169="","",IF(銘柄管理!$F$5="上昇▲",IF(AND(AD169="下降トレンド▼",OR(AE169="25日戻り売り★",AE169="5日戻り売り○")),"★逆張り売り",IF(AND(AD169="もみ合い→",OR(AE169="25日戻り売り★",AE169="5日戻り売り○")),"○逆張り売り",IF(W169&gt;=70,IF(Z169&lt;0,"◎反落確認","△過熱・様子見"),"相場上昇・見送り"))),IF(AND(T169&gt;=12,AD169="下降トレンド▼"),"★強い売り",IF(T169&gt;=12,"★強い売り",IF(AND(T169&gt;=8,OR(AE169="25日戻り売り★",AE169="5日戻り売り○")),"◎戻り売り",IF(T169&gt;=10,"○売り候補",IF(T169&gt;=6,"△注目",IF(T169&gt;=3,"様子見","見送り"))))))))</f>
        <v>相場上昇・見送り</v>
      </c>
      <c r="AG169">
        <f t="shared" si="59"/>
        <v>0</v>
      </c>
      <c r="AH169">
        <f t="shared" si="60"/>
        <v>0</v>
      </c>
      <c r="AI169" s="412" cm="1">
        <f t="array" ref="AI169">IF(C169="","",IFERROR((INDEX(終値!$E:$E,MATCH(TEXT(C169,"0"),終値!$A:$A,0))-INDEX(終値!$E:$BL,MATCH(TEXT(C169,"0"),終値!$A:$A,0),$AN$2))/INDEX(終値!$E:$BL,MATCH(TEXT(C169,"0"),終値!$A:$A,0),$AN$2)*100,""))</f>
        <v>-4.0186371578334299</v>
      </c>
      <c r="AJ169" s="412" cm="1">
        <f t="array" ref="AJ169">IFERROR((終値!$E$5-INDEX(終値!$E$5:$BL$5,1,$AN$2))/INDEX(終値!$E$5:$BL$5,1,$AN$2)*100,"")</f>
        <v>3.4532270246721688</v>
      </c>
      <c r="AK169" s="413">
        <f t="shared" si="61"/>
        <v>-7.4718641825055983</v>
      </c>
      <c r="AL169" s="411">
        <f t="shared" si="62"/>
        <v>3</v>
      </c>
      <c r="AO169" s="415" t="str">
        <f t="shared" si="63"/>
        <v>通常</v>
      </c>
      <c r="AP169" s="416">
        <f t="shared" si="64"/>
        <v>0</v>
      </c>
      <c r="AQ169">
        <f>IF(C169&lt;&gt;"",始値!F27,"")</f>
        <v>1635</v>
      </c>
      <c r="AR169">
        <f>IF(C169&lt;&gt;"",高値!F27,"")</f>
        <v>1645.5</v>
      </c>
      <c r="AS169">
        <f>IF(C169&lt;&gt;"",安値!F27,"")</f>
        <v>1625.5</v>
      </c>
      <c r="AT169" t="str">
        <f t="shared" si="58"/>
        <v>通常</v>
      </c>
      <c r="AU169">
        <f t="shared" si="65"/>
        <v>0</v>
      </c>
    </row>
    <row r="170" spans="1:47" ht="14.25">
      <c r="A170" s="357" t="str">
        <f>IF(銘柄管理!B34&lt;&gt;"",HYPERLINK("https://kabutan.jp/stock/?code="&amp;銘柄管理!B34,"株探"),"")</f>
        <v>株探</v>
      </c>
      <c r="B170" s="230"/>
      <c r="C170" s="230">
        <f>IF(銘柄管理!B34="","",銘柄管理!B34)</f>
        <v>5233</v>
      </c>
      <c r="D170" s="230" t="str">
        <f>IF(銘柄管理!C34="","",銘柄管理!C34)</f>
        <v>太平洋セメント</v>
      </c>
      <c r="E170" s="358">
        <f>IF(C170&lt;&gt;"",_xll.RssMarket(C170,"現在値"),"")</f>
        <v>4425</v>
      </c>
      <c r="F170" s="358">
        <f>IF(C170&lt;&gt;"",_xll.RssMarket(C170,"始値"),"")</f>
        <v>4367</v>
      </c>
      <c r="G170" s="230">
        <f>IF(C170&lt;&gt;"",終値!F34,"")</f>
        <v>4370</v>
      </c>
      <c r="H170" s="358">
        <f>IF(C170&lt;&gt;"",_xll.RssMarket(C170,"高値"),"")</f>
        <v>4447</v>
      </c>
      <c r="I170" s="358">
        <f>IF(C170&lt;&gt;"",_xll.RssMarket(C170,"安値"),"")</f>
        <v>4302</v>
      </c>
      <c r="J170" s="358">
        <f>IF(C170&lt;&gt;"",_xll.RssMarket(C170,"出来高"),"")</f>
        <v>606300</v>
      </c>
      <c r="K170" s="358">
        <f>IF(C170&lt;&gt;"",_xll.RssMarket(C170,"年初来高値"),"")</f>
        <v>4968</v>
      </c>
      <c r="L170" s="359">
        <f t="shared" si="44"/>
        <v>-10.929951690821255</v>
      </c>
      <c r="M170" s="358">
        <f>IF(C170&lt;&gt;"",IFERROR(AVERAGE(出来高!E34:I34),""),"")</f>
        <v>705480</v>
      </c>
      <c r="N170" s="358">
        <f>IF(C170&lt;&gt;"",IFERROR(AVERAGE(出来高!E34:AC34),""),"")</f>
        <v>831760</v>
      </c>
      <c r="O170" s="360">
        <f t="shared" si="45"/>
        <v>0.85941486647389009</v>
      </c>
      <c r="P170" s="230" t="str">
        <f t="shared" si="46"/>
        <v>減少↓</v>
      </c>
      <c r="Q170" s="230" t="str">
        <f t="shared" si="47"/>
        <v>様子見▲</v>
      </c>
      <c r="R170" s="358">
        <f t="shared" si="48"/>
        <v>4071</v>
      </c>
      <c r="S170" s="358">
        <f t="shared" si="49"/>
        <v>4602</v>
      </c>
      <c r="T170" s="350">
        <f t="shared" si="50"/>
        <v>1</v>
      </c>
      <c r="U170" s="230" t="str">
        <f t="shared" si="51"/>
        <v>除外</v>
      </c>
      <c r="V170" s="230" t="str">
        <f t="shared" si="52"/>
        <v>通常</v>
      </c>
      <c r="W170" s="361" cm="1">
        <f t="array" ref="W170">IFERROR(100-100/(1+SUMPRODUCT((終値!F34:R34&gt;終値!G34:S34)*(終値!F34:R34-終値!G34:S34))/SUMPRODUCT((終値!F34:R34&lt;終値!G34:S34)*(終値!G34:S34-終値!F34:R34))),50)</f>
        <v>58.569299552906109</v>
      </c>
      <c r="X170" s="362">
        <f>IF(C170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36.447366849893115</v>
      </c>
      <c r="Y170" s="230" t="str">
        <f t="shared" si="53"/>
        <v>相場上昇・見送り | パーフェクト▲ MACD+ RSI:58.6 前日比:+1.3%前日[上ヒゲ陰線▼] [1点]</v>
      </c>
      <c r="Z170" s="363">
        <f t="shared" si="54"/>
        <v>1.2585812356979404</v>
      </c>
      <c r="AA170" s="230" t="str">
        <f t="shared" si="55"/>
        <v>上昇▲</v>
      </c>
      <c r="AB170" s="358">
        <f>IF(OR(C170="",C170="TOPX",終値!E34=""),"",IFERROR(((終値!E34*0.333)+(終値!F34*0.222)+(終値!G34*0.148)+(終値!H34*0.099)+(終値!I34*0.066))/(0.333+0.222+0.148+0.099+0.066),""))</f>
        <v>4310.3894009216583</v>
      </c>
      <c r="AC170" s="358">
        <f>IF(OR(C170="",C170="TOPX",終値!E34=""),"",IFERROR(SUMPRODUCT((終値!E34:AC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4247.9558998808088</v>
      </c>
      <c r="AD170" s="230" t="str">
        <f t="shared" si="56"/>
        <v>パーフェクト▲</v>
      </c>
      <c r="AE170" s="230" t="str">
        <f t="shared" si="57"/>
        <v>なし</v>
      </c>
      <c r="AF170" t="str">
        <f>IF(T170="","",IF(銘柄管理!$F$5="上昇▲",IF(AND(AD170="下降トレンド▼",OR(AE170="25日戻り売り★",AE170="5日戻り売り○")),"★逆張り売り",IF(AND(AD170="もみ合い→",OR(AE170="25日戻り売り★",AE170="5日戻り売り○")),"○逆張り売り",IF(W170&gt;=70,IF(Z170&lt;0,"◎反落確認","△過熱・様子見"),"相場上昇・見送り"))),IF(AND(T170&gt;=12,AD170="下降トレンド▼"),"★強い売り",IF(T170&gt;=12,"★強い売り",IF(AND(T170&gt;=8,OR(AE170="25日戻り売り★",AE170="5日戻り売り○")),"◎戻り売り",IF(T170&gt;=10,"○売り候補",IF(T170&gt;=6,"△注目",IF(T170&gt;=3,"様子見","見送り"))))))))</f>
        <v>相場上昇・見送り</v>
      </c>
      <c r="AG170">
        <f t="shared" si="59"/>
        <v>0</v>
      </c>
      <c r="AH170">
        <f t="shared" si="60"/>
        <v>0</v>
      </c>
      <c r="AI170" s="412" cm="1">
        <f t="array" ref="AI170">IF(C170="","",IFERROR((INDEX(終値!$E:$E,MATCH(TEXT(C170,"0"),終値!$A:$A,0))-INDEX(終値!$E:$BL,MATCH(TEXT(C170,"0"),終値!$A:$A,0),$AN$2))/INDEX(終値!$E:$BL,MATCH(TEXT(C170,"0"),終値!$A:$A,0),$AN$2)*100,""))</f>
        <v>9.0169992609016987</v>
      </c>
      <c r="AJ170" s="412" cm="1">
        <f t="array" ref="AJ170">IFERROR((終値!$E$5-INDEX(終値!$E$5:$BL$5,1,$AN$2))/INDEX(終値!$E$5:$BL$5,1,$AN$2)*100,"")</f>
        <v>3.4532270246721688</v>
      </c>
      <c r="AK170" s="413">
        <f t="shared" si="61"/>
        <v>5.5637722362295303</v>
      </c>
      <c r="AL170" s="411">
        <f t="shared" si="62"/>
        <v>-2</v>
      </c>
      <c r="AO170" s="415" t="str">
        <f t="shared" si="63"/>
        <v>通常</v>
      </c>
      <c r="AP170" s="416">
        <f t="shared" si="64"/>
        <v>0</v>
      </c>
      <c r="AQ170">
        <f>IF(C170&lt;&gt;"",始値!F34,"")</f>
        <v>4383</v>
      </c>
      <c r="AR170">
        <f>IF(C170&lt;&gt;"",高値!F34,"")</f>
        <v>4457</v>
      </c>
      <c r="AS170">
        <f>IF(C170&lt;&gt;"",安値!F34,"")</f>
        <v>4370</v>
      </c>
      <c r="AT170" t="str">
        <f t="shared" si="58"/>
        <v>上ヒゲ陰線▼</v>
      </c>
      <c r="AU170">
        <f t="shared" si="65"/>
        <v>2</v>
      </c>
    </row>
    <row r="171" spans="1:47" ht="14.25">
      <c r="A171" s="349" t="str">
        <f>IF(銘柄管理!B39&lt;&gt;"",HYPERLINK("https://kabutan.jp/stock/?code="&amp;銘柄管理!B39,"株探"),"")</f>
        <v>株探</v>
      </c>
      <c r="B171" s="350"/>
      <c r="C171" s="350">
        <f>IF(銘柄管理!B39="","",銘柄管理!B39)</f>
        <v>8593</v>
      </c>
      <c r="D171" s="350" t="str">
        <f>IF(銘柄管理!C39="","",銘柄管理!C39)</f>
        <v>三菱ＨＣキャピタル</v>
      </c>
      <c r="E171" s="351">
        <f>IF(C171&lt;&gt;"",_xll.RssMarket(C171,"現在値"),"")</f>
        <v>1325</v>
      </c>
      <c r="F171" s="351">
        <f>IF(C171&lt;&gt;"",_xll.RssMarket(C171,"始値"),"")</f>
        <v>1330</v>
      </c>
      <c r="G171" s="350">
        <f>IF(C171&lt;&gt;"",終値!F39,"")</f>
        <v>1314.5</v>
      </c>
      <c r="H171" s="351">
        <f>IF(C171&lt;&gt;"",_xll.RssMarket(C171,"高値"),"")</f>
        <v>1338</v>
      </c>
      <c r="I171" s="351">
        <f>IF(C171&lt;&gt;"",_xll.RssMarket(C171,"安値"),"")</f>
        <v>1318.5</v>
      </c>
      <c r="J171" s="351">
        <f>IF(C171&lt;&gt;"",_xll.RssMarket(C171,"出来高"),"")</f>
        <v>3327500</v>
      </c>
      <c r="K171" s="351">
        <f>IF(C171&lt;&gt;"",_xll.RssMarket(C171,"年初来高値"),"")</f>
        <v>1541.5</v>
      </c>
      <c r="L171" s="352">
        <f t="shared" si="44"/>
        <v>-14.044761595848199</v>
      </c>
      <c r="M171" s="351">
        <f>IF(C171&lt;&gt;"",IFERROR(AVERAGE(出来高!E39:I39),""),"")</f>
        <v>4842640</v>
      </c>
      <c r="N171" s="351">
        <f>IF(C171&lt;&gt;"",IFERROR(AVERAGE(出来高!E39:AC39),""),"")</f>
        <v>5841816</v>
      </c>
      <c r="O171" s="353">
        <f t="shared" si="45"/>
        <v>0.68712520443394509</v>
      </c>
      <c r="P171" s="350" t="str">
        <f t="shared" si="46"/>
        <v>減少↓</v>
      </c>
      <c r="Q171" s="350" t="str">
        <f t="shared" si="47"/>
        <v>様子見▲</v>
      </c>
      <c r="R171" s="351">
        <f t="shared" si="48"/>
        <v>1219</v>
      </c>
      <c r="S171" s="351">
        <f t="shared" si="49"/>
        <v>1378</v>
      </c>
      <c r="T171" s="350">
        <f t="shared" si="50"/>
        <v>7</v>
      </c>
      <c r="U171" s="350" t="str">
        <f t="shared" si="51"/>
        <v>要確認</v>
      </c>
      <c r="V171" s="350" t="str">
        <f t="shared" si="52"/>
        <v>通常</v>
      </c>
      <c r="W171" s="354" cm="1">
        <f t="array" ref="W171">IFERROR(100-100/(1+SUMPRODUCT((終値!F39:R39&gt;終値!G39:S39)*(終値!F39:R39-終値!G39:S39))/SUMPRODUCT((終値!F39:R39&lt;終値!G39:S39)*(終値!G39:S39-終値!F39:R39))),50)</f>
        <v>49.825783972125436</v>
      </c>
      <c r="X171" s="355">
        <f>IF(C171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-6.7325464995485618</v>
      </c>
      <c r="Y171" s="350" t="str">
        <f t="shared" si="53"/>
        <v>相場上昇・見送り | パーフェクト▲ MACD- RSI:49.8 前日比:+0.8%前日[大陰線▼] [7点]</v>
      </c>
      <c r="Z171" s="356">
        <f t="shared" si="54"/>
        <v>0.79878280715100802</v>
      </c>
      <c r="AA171" s="350" t="str">
        <f t="shared" si="55"/>
        <v>上昇▲</v>
      </c>
      <c r="AB171" s="351">
        <f>IF(OR(C171="",C171="TOPX",終値!E39=""),"",IFERROR(((終値!E39*0.333)+(終値!F39*0.222)+(終値!G39*0.148)+(終値!H39*0.099)+(終値!I39*0.066))/(0.333+0.222+0.148+0.099+0.066),""))</f>
        <v>1320.2459677419354</v>
      </c>
      <c r="AC171" s="351">
        <f>IF(OR(C171="",C171="TOPX",終値!E39=""),"",IFERROR(SUMPRODUCT((終値!E39:AC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1317.7079856972582</v>
      </c>
      <c r="AD171" s="350" t="str">
        <f t="shared" si="56"/>
        <v>パーフェクト▲</v>
      </c>
      <c r="AE171" s="350" t="str">
        <f t="shared" si="57"/>
        <v>なし</v>
      </c>
      <c r="AF171" t="str">
        <f>IF(T171="","",IF(銘柄管理!$F$5="上昇▲",IF(AND(AD171="下降トレンド▼",OR(AE171="25日戻り売り★",AE171="5日戻り売り○")),"★逆張り売り",IF(AND(AD171="もみ合い→",OR(AE171="25日戻り売り★",AE171="5日戻り売り○")),"○逆張り売り",IF(W171&gt;=70,IF(Z171&lt;0,"◎反落確認","△過熱・様子見"),"相場上昇・見送り"))),IF(AND(T171&gt;=12,AD171="下降トレンド▼"),"★強い売り",IF(T171&gt;=12,"★強い売り",IF(AND(T171&gt;=8,OR(AE171="25日戻り売り★",AE171="5日戻り売り○")),"◎戻り売り",IF(T171&gt;=10,"○売り候補",IF(T171&gt;=6,"△注目",IF(T171&gt;=3,"様子見","見送り"))))))))</f>
        <v>相場上昇・見送り</v>
      </c>
      <c r="AG171">
        <f t="shared" si="59"/>
        <v>7</v>
      </c>
      <c r="AH171">
        <f t="shared" si="60"/>
        <v>69829</v>
      </c>
      <c r="AI171" s="412" cm="1">
        <f t="array" ref="AI171">IF(C171="","",IFERROR((INDEX(終値!$E:$E,MATCH(TEXT(C171,"0"),終値!$A:$A,0))-INDEX(終値!$E:$BL,MATCH(TEXT(C171,"0"),終値!$A:$A,0),$AN$2))/INDEX(終値!$E:$BL,MATCH(TEXT(C171,"0"),終値!$A:$A,0),$AN$2)*100,""))</f>
        <v>-7.6976663183559735</v>
      </c>
      <c r="AJ171" s="412" cm="1">
        <f t="array" ref="AJ171">IFERROR((終値!$E$5-INDEX(終値!$E$5:$BL$5,1,$AN$2))/INDEX(終値!$E$5:$BL$5,1,$AN$2)*100,"")</f>
        <v>3.4532270246721688</v>
      </c>
      <c r="AK171" s="413">
        <f t="shared" si="61"/>
        <v>-11.150893343028143</v>
      </c>
      <c r="AL171" s="411">
        <f t="shared" si="62"/>
        <v>3</v>
      </c>
      <c r="AO171" s="415" t="str">
        <f t="shared" si="63"/>
        <v>通常</v>
      </c>
      <c r="AP171" s="416">
        <f t="shared" si="64"/>
        <v>0</v>
      </c>
      <c r="AQ171">
        <f>IF(C171&lt;&gt;"",始値!F39,"")</f>
        <v>1332.5</v>
      </c>
      <c r="AR171">
        <f>IF(C171&lt;&gt;"",高値!F39,"")</f>
        <v>1332.5</v>
      </c>
      <c r="AS171">
        <f>IF(C171&lt;&gt;"",安値!F39,"")</f>
        <v>1310</v>
      </c>
      <c r="AT171" t="str">
        <f t="shared" si="58"/>
        <v>大陰線▼</v>
      </c>
      <c r="AU171">
        <f t="shared" si="65"/>
        <v>2</v>
      </c>
    </row>
    <row r="172" spans="1:47" ht="14.25">
      <c r="A172" s="357" t="str">
        <f>IF(銘柄管理!B44&lt;&gt;"",HYPERLINK("https://kabutan.jp/stock/?code="&amp;銘柄管理!B44,"株探"),"")</f>
        <v>株探</v>
      </c>
      <c r="B172" s="230"/>
      <c r="C172" s="230">
        <f>IF(銘柄管理!B44="","",銘柄管理!B44)</f>
        <v>3402</v>
      </c>
      <c r="D172" s="230" t="str">
        <f>IF(銘柄管理!C44="","",銘柄管理!C44)</f>
        <v>東レ</v>
      </c>
      <c r="E172" s="358">
        <f>IF(C172&lt;&gt;"",_xll.RssMarket(C172,"現在値"),"")</f>
        <v>1190</v>
      </c>
      <c r="F172" s="358">
        <f>IF(C172&lt;&gt;"",_xll.RssMarket(C172,"始値"),"")</f>
        <v>1170.5</v>
      </c>
      <c r="G172" s="230">
        <f>IF(C172&lt;&gt;"",終値!F44,"")</f>
        <v>1177</v>
      </c>
      <c r="H172" s="358">
        <f>IF(C172&lt;&gt;"",_xll.RssMarket(C172,"高値"),"")</f>
        <v>1190.5</v>
      </c>
      <c r="I172" s="358">
        <f>IF(C172&lt;&gt;"",_xll.RssMarket(C172,"安値"),"")</f>
        <v>1170</v>
      </c>
      <c r="J172" s="358">
        <f>IF(C172&lt;&gt;"",_xll.RssMarket(C172,"出来高"),"")</f>
        <v>2949300</v>
      </c>
      <c r="K172" s="358">
        <f>IF(C172&lt;&gt;"",_xll.RssMarket(C172,"年初来高値"),"")</f>
        <v>1353.5</v>
      </c>
      <c r="L172" s="359">
        <f t="shared" si="44"/>
        <v>-12.07979312892501</v>
      </c>
      <c r="M172" s="358">
        <f>IF(C172&lt;&gt;"",IFERROR(AVERAGE(出来高!E44:I44),""),"")</f>
        <v>3996580</v>
      </c>
      <c r="N172" s="358">
        <f>IF(C172&lt;&gt;"",IFERROR(AVERAGE(出来高!E44:AC44),""),"")</f>
        <v>5451816</v>
      </c>
      <c r="O172" s="360">
        <f t="shared" si="45"/>
        <v>0.73795595233925004</v>
      </c>
      <c r="P172" s="230" t="str">
        <f t="shared" si="46"/>
        <v>減少↓</v>
      </c>
      <c r="Q172" s="230" t="str">
        <f t="shared" si="47"/>
        <v>様子見▲</v>
      </c>
      <c r="R172" s="358">
        <f t="shared" si="48"/>
        <v>1095</v>
      </c>
      <c r="S172" s="358">
        <f t="shared" si="49"/>
        <v>1238</v>
      </c>
      <c r="T172" s="350">
        <f t="shared" si="50"/>
        <v>4</v>
      </c>
      <c r="U172" s="230" t="str">
        <f t="shared" si="51"/>
        <v>要確認</v>
      </c>
      <c r="V172" s="230" t="str">
        <f t="shared" si="52"/>
        <v>通常</v>
      </c>
      <c r="W172" s="361" cm="1">
        <f t="array" ref="W172">IFERROR(100-100/(1+SUMPRODUCT((終値!F44:R44&gt;終値!G44:S44)*(終値!F44:R44-終値!G44:S44))/SUMPRODUCT((終値!F44:R44&lt;終値!G44:S44)*(終値!G44:S44-終値!F44:R44))),50)</f>
        <v>55.920114122681881</v>
      </c>
      <c r="X172" s="362">
        <f>IF(C172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4.2701401852427807</v>
      </c>
      <c r="Y172" s="230" t="str">
        <f t="shared" si="53"/>
        <v>相場上昇・見送り | パーフェクト▲ MACD+ RSI:55.9 前日比:+1.1%前日[大陰線▼] [4点]</v>
      </c>
      <c r="Z172" s="363">
        <f t="shared" si="54"/>
        <v>1.1045029736618521</v>
      </c>
      <c r="AA172" s="230" t="str">
        <f t="shared" si="55"/>
        <v>上昇▲</v>
      </c>
      <c r="AB172" s="358">
        <f>IF(OR(C172="",C172="TOPX",終値!E44=""),"",IFERROR(((終値!E44*0.333)+(終値!F44*0.222)+(終値!G44*0.148)+(終値!H44*0.099)+(終値!I44*0.066))/(0.333+0.222+0.148+0.099+0.066),""))</f>
        <v>1164.9925115207373</v>
      </c>
      <c r="AC172" s="358">
        <f>IF(OR(C172="",C172="TOPX",終値!E44=""),"",IFERROR(SUMPRODUCT((終値!E44:AC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1136.0125148986883</v>
      </c>
      <c r="AD172" s="230" t="str">
        <f t="shared" si="56"/>
        <v>パーフェクト▲</v>
      </c>
      <c r="AE172" s="230" t="str">
        <f t="shared" si="57"/>
        <v>なし</v>
      </c>
      <c r="AF172" t="str">
        <f>IF(T172="","",IF(銘柄管理!$F$5="上昇▲",IF(AND(AD172="下降トレンド▼",OR(AE172="25日戻り売り★",AE172="5日戻り売り○")),"★逆張り売り",IF(AND(AD172="もみ合い→",OR(AE172="25日戻り売り★",AE172="5日戻り売り○")),"○逆張り売り",IF(W172&gt;=70,IF(Z172&lt;0,"◎反落確認","△過熱・様子見"),"相場上昇・見送り"))),IF(AND(T172&gt;=12,AD172="下降トレンド▼"),"★強い売り",IF(T172&gt;=12,"★強い売り",IF(AND(T172&gt;=8,OR(AE172="25日戻り売り★",AE172="5日戻り売り○")),"◎戻り売り",IF(T172&gt;=10,"○売り候補",IF(T172&gt;=6,"△注目",IF(T172&gt;=3,"様子見","見送り"))))))))</f>
        <v>相場上昇・見送り</v>
      </c>
      <c r="AG172">
        <f t="shared" si="59"/>
        <v>0</v>
      </c>
      <c r="AH172">
        <f t="shared" si="60"/>
        <v>0</v>
      </c>
      <c r="AI172" s="412" cm="1">
        <f t="array" ref="AI172">IF(C172="","",IFERROR((INDEX(終値!$E:$E,MATCH(TEXT(C172,"0"),終値!$A:$A,0))-INDEX(終値!$E:$BL,MATCH(TEXT(C172,"0"),終値!$A:$A,0),$AN$2))/INDEX(終値!$E:$BL,MATCH(TEXT(C172,"0"),終値!$A:$A,0),$AN$2)*100,""))</f>
        <v>1.9271948608137044</v>
      </c>
      <c r="AJ172" s="412" cm="1">
        <f t="array" ref="AJ172">IFERROR((終値!$E$5-INDEX(終値!$E$5:$BL$5,1,$AN$2))/INDEX(終値!$E$5:$BL$5,1,$AN$2)*100,"")</f>
        <v>3.4532270246721688</v>
      </c>
      <c r="AK172" s="413">
        <f t="shared" si="61"/>
        <v>-1.5260321638584644</v>
      </c>
      <c r="AL172" s="411">
        <f t="shared" si="62"/>
        <v>1</v>
      </c>
      <c r="AO172" s="415" t="str">
        <f t="shared" si="63"/>
        <v>通常</v>
      </c>
      <c r="AP172" s="416">
        <f t="shared" si="64"/>
        <v>0</v>
      </c>
      <c r="AQ172">
        <f>IF(C172&lt;&gt;"",始値!F44,"")</f>
        <v>1198</v>
      </c>
      <c r="AR172">
        <f>IF(C172&lt;&gt;"",高値!F44,"")</f>
        <v>1198</v>
      </c>
      <c r="AS172">
        <f>IF(C172&lt;&gt;"",安値!F44,"")</f>
        <v>1172</v>
      </c>
      <c r="AT172" t="str">
        <f t="shared" si="58"/>
        <v>大陰線▼</v>
      </c>
      <c r="AU172">
        <f t="shared" si="65"/>
        <v>2</v>
      </c>
    </row>
    <row r="173" spans="1:47" ht="14.25">
      <c r="A173" s="349" t="str">
        <f>IF(銘柄管理!B46&lt;&gt;"",HYPERLINK("https://kabutan.jp/stock/?code="&amp;銘柄管理!B46,"株探"),"")</f>
        <v>株探</v>
      </c>
      <c r="B173" s="350"/>
      <c r="C173" s="350">
        <f>IF(銘柄管理!B46="","",銘柄管理!B46)</f>
        <v>5401</v>
      </c>
      <c r="D173" s="350" t="str">
        <f>IF(銘柄管理!C46="","",銘柄管理!C46)</f>
        <v>日本製鉄</v>
      </c>
      <c r="E173" s="351">
        <f>IF(C173&lt;&gt;"",_xll.RssMarket(C173,"現在値"),"")</f>
        <v>557.5</v>
      </c>
      <c r="F173" s="351">
        <f>IF(C173&lt;&gt;"",_xll.RssMarket(C173,"始値"),"")</f>
        <v>566</v>
      </c>
      <c r="G173" s="350">
        <f>IF(C173&lt;&gt;"",終値!F46,"")</f>
        <v>566</v>
      </c>
      <c r="H173" s="351">
        <f>IF(C173&lt;&gt;"",_xll.RssMarket(C173,"高値"),"")</f>
        <v>566.29999999999995</v>
      </c>
      <c r="I173" s="351">
        <f>IF(C173&lt;&gt;"",_xll.RssMarket(C173,"安値"),"")</f>
        <v>556.6</v>
      </c>
      <c r="J173" s="351">
        <f>IF(C173&lt;&gt;"",_xll.RssMarket(C173,"出来高"),"")</f>
        <v>23078200</v>
      </c>
      <c r="K173" s="351">
        <f>IF(C173&lt;&gt;"",_xll.RssMarket(C173,"年初来高値"),"")</f>
        <v>699.8</v>
      </c>
      <c r="L173" s="352">
        <f t="shared" si="44"/>
        <v>-20.334381251786219</v>
      </c>
      <c r="M173" s="351">
        <f>IF(C173&lt;&gt;"",IFERROR(AVERAGE(出来高!E46:I46),""),"")</f>
        <v>26802940</v>
      </c>
      <c r="N173" s="351">
        <f>IF(C173&lt;&gt;"",IFERROR(AVERAGE(出来高!E46:AC46),""),"")</f>
        <v>33564264</v>
      </c>
      <c r="O173" s="353">
        <f t="shared" si="45"/>
        <v>0.86103240913123713</v>
      </c>
      <c r="P173" s="350" t="str">
        <f t="shared" si="46"/>
        <v>減少↓</v>
      </c>
      <c r="Q173" s="350" t="str">
        <f t="shared" si="47"/>
        <v>中立→</v>
      </c>
      <c r="R173" s="351">
        <f t="shared" si="48"/>
        <v>513</v>
      </c>
      <c r="S173" s="351">
        <f t="shared" si="49"/>
        <v>580</v>
      </c>
      <c r="T173" s="350">
        <f t="shared" si="50"/>
        <v>8</v>
      </c>
      <c r="U173" s="350" t="str">
        <f t="shared" si="51"/>
        <v>要確認</v>
      </c>
      <c r="V173" s="350" t="str">
        <f t="shared" si="52"/>
        <v>通常</v>
      </c>
      <c r="W173" s="354" cm="1">
        <f t="array" ref="W173">IFERROR(100-100/(1+SUMPRODUCT((終値!F46:R46&gt;終値!G46:S46)*(終値!F46:R46-終値!G46:S46))/SUMPRODUCT((終値!F46:R46&lt;終値!G46:S46)*(終値!G46:S46-終値!F46:R46))),50)</f>
        <v>54.328621908127182</v>
      </c>
      <c r="X173" s="355">
        <f>IF(C173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-0.93965208427005109</v>
      </c>
      <c r="Y173" s="350" t="str">
        <f t="shared" si="53"/>
        <v>相場上昇・見送り | パーフェクト▲ MACD- RSI:54.3 前日比:-1.5% [大陰線▼] [8点]</v>
      </c>
      <c r="Z173" s="356">
        <f t="shared" si="54"/>
        <v>-1.5017667844522968</v>
      </c>
      <c r="AA173" s="350" t="str">
        <f t="shared" si="55"/>
        <v>下落▼</v>
      </c>
      <c r="AB173" s="351">
        <f>IF(OR(C173="",C173="TOPX",終値!E46=""),"",IFERROR(((終値!E46*0.333)+(終値!F46*0.222)+(終値!G46*0.148)+(終値!H46*0.099)+(終値!I46*0.066))/(0.333+0.222+0.148+0.099+0.066),""))</f>
        <v>554.94596774193542</v>
      </c>
      <c r="AC173" s="351">
        <f>IF(OR(C173="",C173="TOPX",終値!E46=""),"",IFERROR(SUMPRODUCT((終値!E46:AC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550.73075089392114</v>
      </c>
      <c r="AD173" s="350" t="str">
        <f t="shared" si="56"/>
        <v>パーフェクト▲</v>
      </c>
      <c r="AE173" s="350" t="str">
        <f t="shared" si="57"/>
        <v>なし</v>
      </c>
      <c r="AF173" t="str">
        <f>IF(T173="","",IF(銘柄管理!$F$5="上昇▲",IF(AND(AD173="下降トレンド▼",OR(AE173="25日戻り売り★",AE173="5日戻り売り○")),"★逆張り売り",IF(AND(AD173="もみ合い→",OR(AE173="25日戻り売り★",AE173="5日戻り売り○")),"○逆張り売り",IF(W173&gt;=70,IF(Z173&lt;0,"◎反落確認","△過熱・様子見"),"相場上昇・見送り"))),IF(AND(T173&gt;=12,AD173="下降トレンド▼"),"★強い売り",IF(T173&gt;=12,"★強い売り",IF(AND(T173&gt;=8,OR(AE173="25日戻り売り★",AE173="5日戻り売り○")),"◎戻り売り",IF(T173&gt;=10,"○売り候補",IF(T173&gt;=6,"△注目",IF(T173&gt;=3,"様子見","見送り"))))))))</f>
        <v>相場上昇・見送り</v>
      </c>
      <c r="AG173">
        <f t="shared" si="59"/>
        <v>8</v>
      </c>
      <c r="AH173">
        <f t="shared" si="60"/>
        <v>79827</v>
      </c>
      <c r="AI173" s="412" cm="1">
        <f t="array" ref="AI173">IF(C173="","",IFERROR((INDEX(終値!$E:$E,MATCH(TEXT(C173,"0"),終値!$A:$A,0))-INDEX(終値!$E:$BL,MATCH(TEXT(C173,"0"),終値!$A:$A,0),$AN$2))/INDEX(終値!$E:$BL,MATCH(TEXT(C173,"0"),終値!$A:$A,0),$AN$2)*100,""))</f>
        <v>0.23372887450556534</v>
      </c>
      <c r="AJ173" s="412" cm="1">
        <f t="array" ref="AJ173">IFERROR((終値!$E$5-INDEX(終値!$E$5:$BL$5,1,$AN$2))/INDEX(終値!$E$5:$BL$5,1,$AN$2)*100,"")</f>
        <v>3.4532270246721688</v>
      </c>
      <c r="AK173" s="413">
        <f t="shared" si="61"/>
        <v>-3.2194981501666033</v>
      </c>
      <c r="AL173" s="411">
        <f t="shared" si="62"/>
        <v>1</v>
      </c>
      <c r="AO173" s="415" t="str">
        <f t="shared" si="63"/>
        <v>大陰線▼</v>
      </c>
      <c r="AP173" s="416">
        <f t="shared" si="64"/>
        <v>2</v>
      </c>
      <c r="AQ173">
        <f>IF(C173&lt;&gt;"",始値!F46,"")</f>
        <v>571.9</v>
      </c>
      <c r="AR173">
        <f>IF(C173&lt;&gt;"",高値!F46,"")</f>
        <v>574.20000000000005</v>
      </c>
      <c r="AS173">
        <f>IF(C173&lt;&gt;"",安値!F46,"")</f>
        <v>564.5</v>
      </c>
      <c r="AT173" t="str">
        <f t="shared" si="58"/>
        <v>通常</v>
      </c>
      <c r="AU173">
        <f t="shared" si="65"/>
        <v>0</v>
      </c>
    </row>
    <row r="174" spans="1:47" ht="14.25">
      <c r="A174" s="357" t="str">
        <f>IF(銘柄管理!B52&lt;&gt;"",HYPERLINK("https://kabutan.jp/stock/?code="&amp;銘柄管理!B52,"株探"),"")</f>
        <v>株探</v>
      </c>
      <c r="B174" s="230"/>
      <c r="C174" s="230">
        <f>IF(銘柄管理!B52="","",銘柄管理!B52)</f>
        <v>8766</v>
      </c>
      <c r="D174" s="230" t="str">
        <f>IF(銘柄管理!C52="","",銘柄管理!C52)</f>
        <v>東京海上ＨＤ</v>
      </c>
      <c r="E174" s="358">
        <f>IF(C174&lt;&gt;"",_xll.RssMarket(C174,"現在値"),"")</f>
        <v>7252</v>
      </c>
      <c r="F174" s="358">
        <f>IF(C174&lt;&gt;"",_xll.RssMarket(C174,"始値"),"")</f>
        <v>7408</v>
      </c>
      <c r="G174" s="230">
        <f>IF(C174&lt;&gt;"",終値!F52,"")</f>
        <v>7288</v>
      </c>
      <c r="H174" s="358">
        <f>IF(C174&lt;&gt;"",_xll.RssMarket(C174,"高値"),"")</f>
        <v>7421</v>
      </c>
      <c r="I174" s="358">
        <f>IF(C174&lt;&gt;"",_xll.RssMarket(C174,"安値"),"")</f>
        <v>7252</v>
      </c>
      <c r="J174" s="358">
        <f>IF(C174&lt;&gt;"",_xll.RssMarket(C174,"出来高"),"")</f>
        <v>4299600</v>
      </c>
      <c r="K174" s="358">
        <f>IF(C174&lt;&gt;"",_xll.RssMarket(C174,"年初来高値"),"")</f>
        <v>8038</v>
      </c>
      <c r="L174" s="359">
        <f t="shared" si="44"/>
        <v>-9.77855187857676</v>
      </c>
      <c r="M174" s="358">
        <f>IF(C174&lt;&gt;"",IFERROR(AVERAGE(出来高!E52:I52),""),"")</f>
        <v>5749120</v>
      </c>
      <c r="N174" s="358">
        <f>IF(C174&lt;&gt;"",IFERROR(AVERAGE(出来高!E52:AC52),""),"")</f>
        <v>6390944</v>
      </c>
      <c r="O174" s="360">
        <f t="shared" si="45"/>
        <v>0.74787097851497275</v>
      </c>
      <c r="P174" s="230" t="str">
        <f t="shared" si="46"/>
        <v>減少↓</v>
      </c>
      <c r="Q174" s="230" t="str">
        <f t="shared" si="47"/>
        <v>中立→</v>
      </c>
      <c r="R174" s="358">
        <f t="shared" si="48"/>
        <v>6672</v>
      </c>
      <c r="S174" s="358">
        <f t="shared" si="49"/>
        <v>7542</v>
      </c>
      <c r="T174" s="350">
        <f t="shared" si="50"/>
        <v>9</v>
      </c>
      <c r="U174" s="230" t="str">
        <f t="shared" si="51"/>
        <v>要確認</v>
      </c>
      <c r="V174" s="230" t="str">
        <f t="shared" si="52"/>
        <v>通常</v>
      </c>
      <c r="W174" s="361" cm="1">
        <f t="array" ref="W174">IFERROR(100-100/(1+SUMPRODUCT((終値!F52:R52&gt;終値!G52:S52)*(終値!F52:R52-終値!G52:S52))/SUMPRODUCT((終値!F52:R52&lt;終値!G52:S52)*(終値!G52:S52-終値!F52:R52))),50)</f>
        <v>45.63876651982379</v>
      </c>
      <c r="X174" s="362">
        <f>IF(C174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-31.722998817855114</v>
      </c>
      <c r="Y174" s="230" t="str">
        <f t="shared" si="53"/>
        <v>○逆張り売り | もみ合い→ 25日戻り売り★ MACD- RSI:45.6 前日比:-0.5% [大陰線▼] [9点]</v>
      </c>
      <c r="Z174" s="363">
        <f t="shared" si="54"/>
        <v>-0.49396267837541163</v>
      </c>
      <c r="AA174" s="230" t="str">
        <f t="shared" si="55"/>
        <v>下落▼</v>
      </c>
      <c r="AB174" s="358">
        <f>IF(OR(C174="",C174="TOPX",終値!E52=""),"",IFERROR(((終値!E52*0.333)+(終値!F52*0.222)+(終値!G52*0.148)+(終値!H52*0.099)+(終値!I52*0.066))/(0.333+0.222+0.148+0.099+0.066),""))</f>
        <v>7302.7004608294919</v>
      </c>
      <c r="AC174" s="358">
        <f>IF(OR(C174="",C174="TOPX",終値!E52=""),"",IFERROR(SUMPRODUCT((終値!E52:AC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7281.9249106078641</v>
      </c>
      <c r="AD174" s="230" t="str">
        <f t="shared" si="56"/>
        <v>もみ合い→</v>
      </c>
      <c r="AE174" s="230" t="str">
        <f t="shared" si="57"/>
        <v>25日戻り売り★</v>
      </c>
      <c r="AF174" t="str">
        <f>IF(T174="","",IF(銘柄管理!$F$5="上昇▲",IF(AND(AD174="下降トレンド▼",OR(AE174="25日戻り売り★",AE174="5日戻り売り○")),"★逆張り売り",IF(AND(AD174="もみ合い→",OR(AE174="25日戻り売り★",AE174="5日戻り売り○")),"○逆張り売り",IF(W174&gt;=70,IF(Z174&lt;0,"◎反落確認","△過熱・様子見"),"相場上昇・見送り"))),IF(AND(T174&gt;=12,AD174="下降トレンド▼"),"★強い売り",IF(T174&gt;=12,"★強い売り",IF(AND(T174&gt;=8,OR(AE174="25日戻り売り★",AE174="5日戻り売り○")),"◎戻り売り",IF(T174&gt;=10,"○売り候補",IF(T174&gt;=6,"△注目",IF(T174&gt;=3,"様子見","見送り"))))))))</f>
        <v>○逆張り売り</v>
      </c>
      <c r="AG174">
        <f t="shared" si="59"/>
        <v>9</v>
      </c>
      <c r="AH174">
        <f t="shared" si="60"/>
        <v>89826</v>
      </c>
      <c r="AI174" s="412" cm="1">
        <f t="array" ref="AI174">IF(C174="","",IFERROR((INDEX(終値!$E:$E,MATCH(TEXT(C174,"0"),終値!$A:$A,0))-INDEX(終値!$E:$BL,MATCH(TEXT(C174,"0"),終値!$A:$A,0),$AN$2))/INDEX(終値!$E:$BL,MATCH(TEXT(C174,"0"),終値!$A:$A,0),$AN$2)*100,""))</f>
        <v>-1.4941591958706872</v>
      </c>
      <c r="AJ174" s="412" cm="1">
        <f t="array" ref="AJ174">IFERROR((終値!$E$5-INDEX(終値!$E$5:$BL$5,1,$AN$2))/INDEX(終値!$E$5:$BL$5,1,$AN$2)*100,"")</f>
        <v>3.4532270246721688</v>
      </c>
      <c r="AK174" s="413">
        <f t="shared" si="61"/>
        <v>-4.9473862205428558</v>
      </c>
      <c r="AL174" s="411">
        <f t="shared" si="62"/>
        <v>1</v>
      </c>
      <c r="AO174" s="415" t="str">
        <f t="shared" si="63"/>
        <v>大陰線▼</v>
      </c>
      <c r="AP174" s="416">
        <f t="shared" si="64"/>
        <v>2</v>
      </c>
      <c r="AQ174">
        <f>IF(C174&lt;&gt;"",始値!F52,"")</f>
        <v>7217</v>
      </c>
      <c r="AR174">
        <f>IF(C174&lt;&gt;"",高値!F52,"")</f>
        <v>7293</v>
      </c>
      <c r="AS174">
        <f>IF(C174&lt;&gt;"",安値!F52,"")</f>
        <v>7190</v>
      </c>
      <c r="AT174" t="str">
        <f t="shared" si="58"/>
        <v>通常</v>
      </c>
      <c r="AU174">
        <f t="shared" si="65"/>
        <v>0</v>
      </c>
    </row>
    <row r="175" spans="1:47" ht="14.25">
      <c r="A175" s="349" t="str">
        <f>IF(銘柄管理!B53&lt;&gt;"",HYPERLINK("https://kabutan.jp/stock/?code="&amp;銘柄管理!B53,"株探"),"")</f>
        <v>株探</v>
      </c>
      <c r="B175" s="350"/>
      <c r="C175" s="350">
        <f>IF(銘柄管理!B53="","",銘柄管理!B53)</f>
        <v>5201</v>
      </c>
      <c r="D175" s="350" t="str">
        <f>IF(銘柄管理!C53="","",銘柄管理!C53)</f>
        <v>ＡＧＣ</v>
      </c>
      <c r="E175" s="351">
        <f>IF(C175&lt;&gt;"",_xll.RssMarket(C175,"現在値"),"")</f>
        <v>7421</v>
      </c>
      <c r="F175" s="351">
        <f>IF(C175&lt;&gt;"",_xll.RssMarket(C175,"始値"),"")</f>
        <v>7224</v>
      </c>
      <c r="G175" s="350">
        <f>IF(C175&lt;&gt;"",終値!F53,"")</f>
        <v>7270</v>
      </c>
      <c r="H175" s="351">
        <f>IF(C175&lt;&gt;"",_xll.RssMarket(C175,"高値"),"")</f>
        <v>7421</v>
      </c>
      <c r="I175" s="351">
        <f>IF(C175&lt;&gt;"",_xll.RssMarket(C175,"安値"),"")</f>
        <v>7190</v>
      </c>
      <c r="J175" s="351">
        <f>IF(C175&lt;&gt;"",_xll.RssMarket(C175,"出来高"),"")</f>
        <v>1363900</v>
      </c>
      <c r="K175" s="351">
        <f>IF(C175&lt;&gt;"",_xll.RssMarket(C175,"年初来高値"),"")</f>
        <v>8315</v>
      </c>
      <c r="L175" s="352">
        <f t="shared" si="44"/>
        <v>-10.751653638003608</v>
      </c>
      <c r="M175" s="351">
        <f>IF(C175&lt;&gt;"",IFERROR(AVERAGE(出来高!E53:I53),""),"")</f>
        <v>1493920</v>
      </c>
      <c r="N175" s="351">
        <f>IF(C175&lt;&gt;"",IFERROR(AVERAGE(出来高!E53:AC53),""),"")</f>
        <v>2338184</v>
      </c>
      <c r="O175" s="353">
        <f t="shared" si="45"/>
        <v>0.91296722716075829</v>
      </c>
      <c r="P175" s="350" t="str">
        <f t="shared" si="46"/>
        <v>減少↓</v>
      </c>
      <c r="Q175" s="350" t="str">
        <f t="shared" si="47"/>
        <v>様子見▲</v>
      </c>
      <c r="R175" s="351">
        <f t="shared" si="48"/>
        <v>6827</v>
      </c>
      <c r="S175" s="351">
        <f t="shared" si="49"/>
        <v>7718</v>
      </c>
      <c r="T175" s="350">
        <f t="shared" si="50"/>
        <v>1</v>
      </c>
      <c r="U175" s="350" t="str">
        <f t="shared" si="51"/>
        <v>除外</v>
      </c>
      <c r="V175" s="350" t="str">
        <f t="shared" si="52"/>
        <v>通常</v>
      </c>
      <c r="W175" s="354" cm="1">
        <f t="array" ref="W175">IFERROR(100-100/(1+SUMPRODUCT((終値!F53:R53&gt;終値!G53:S53)*(終値!F53:R53-終値!G53:S53))/SUMPRODUCT((終値!F53:R53&lt;終値!G53:S53)*(終値!G53:S53-終値!F53:R53))),50)</f>
        <v>58.891789962286047</v>
      </c>
      <c r="X175" s="355">
        <f>IF(C175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141.00198615660975</v>
      </c>
      <c r="Y175" s="350" t="str">
        <f t="shared" si="53"/>
        <v>相場上昇・見送り | パーフェクト▲ MACD+ RSI:58.9 前日比:+2.1%前日[大陰線▼] [1点]</v>
      </c>
      <c r="Z175" s="356">
        <f t="shared" si="54"/>
        <v>2.077028885832187</v>
      </c>
      <c r="AA175" s="350" t="str">
        <f t="shared" si="55"/>
        <v>上昇▲</v>
      </c>
      <c r="AB175" s="351">
        <f>IF(OR(C175="",C175="TOPX",終値!E53=""),"",IFERROR(((終値!E53*0.333)+(終値!F53*0.222)+(終値!G53*0.148)+(終値!H53*0.099)+(終値!I53*0.066))/(0.333+0.222+0.148+0.099+0.066),""))</f>
        <v>7225.8974654377871</v>
      </c>
      <c r="AC175" s="351">
        <f>IF(OR(C175="",C175="TOPX",終値!E53=""),"",IFERROR(SUMPRODUCT((終値!E53:AC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7075.3003575685298</v>
      </c>
      <c r="AD175" s="350" t="str">
        <f t="shared" si="56"/>
        <v>パーフェクト▲</v>
      </c>
      <c r="AE175" s="350" t="str">
        <f t="shared" si="57"/>
        <v>なし</v>
      </c>
      <c r="AF175" t="str">
        <f>IF(T175="","",IF(銘柄管理!$F$5="上昇▲",IF(AND(AD175="下降トレンド▼",OR(AE175="25日戻り売り★",AE175="5日戻り売り○")),"★逆張り売り",IF(AND(AD175="もみ合い→",OR(AE175="25日戻り売り★",AE175="5日戻り売り○")),"○逆張り売り",IF(W175&gt;=70,IF(Z175&lt;0,"◎反落確認","△過熱・様子見"),"相場上昇・見送り"))),IF(AND(T175&gt;=12,AD175="下降トレンド▼"),"★強い売り",IF(T175&gt;=12,"★強い売り",IF(AND(T175&gt;=8,OR(AE175="25日戻り売り★",AE175="5日戻り売り○")),"◎戻り売り",IF(T175&gt;=10,"○売り候補",IF(T175&gt;=6,"△注目",IF(T175&gt;=3,"様子見","見送り"))))))))</f>
        <v>相場上昇・見送り</v>
      </c>
      <c r="AG175">
        <f t="shared" si="59"/>
        <v>0</v>
      </c>
      <c r="AH175">
        <f t="shared" si="60"/>
        <v>0</v>
      </c>
      <c r="AI175" s="412" cm="1">
        <f t="array" ref="AI175">IF(C175="","",IFERROR((INDEX(終値!$E:$E,MATCH(TEXT(C175,"0"),終値!$A:$A,0))-INDEX(終値!$E:$BL,MATCH(TEXT(C175,"0"),終値!$A:$A,0),$AN$2))/INDEX(終値!$E:$BL,MATCH(TEXT(C175,"0"),終値!$A:$A,0),$AN$2)*100,""))</f>
        <v>23.006795955577655</v>
      </c>
      <c r="AJ175" s="412" cm="1">
        <f t="array" ref="AJ175">IFERROR((終値!$E$5-INDEX(終値!$E$5:$BL$5,1,$AN$2))/INDEX(終値!$E$5:$BL$5,1,$AN$2)*100,"")</f>
        <v>3.4532270246721688</v>
      </c>
      <c r="AK175" s="413">
        <f t="shared" si="61"/>
        <v>19.553568930905485</v>
      </c>
      <c r="AL175" s="411">
        <f t="shared" si="62"/>
        <v>-2</v>
      </c>
      <c r="AO175" s="415" t="str">
        <f t="shared" si="63"/>
        <v>通常</v>
      </c>
      <c r="AP175" s="416">
        <f t="shared" si="64"/>
        <v>0</v>
      </c>
      <c r="AQ175">
        <f>IF(C175&lt;&gt;"",始値!F53,"")</f>
        <v>7500</v>
      </c>
      <c r="AR175">
        <f>IF(C175&lt;&gt;"",高値!F53,"")</f>
        <v>7500</v>
      </c>
      <c r="AS175">
        <f>IF(C175&lt;&gt;"",安値!F53,"")</f>
        <v>7270</v>
      </c>
      <c r="AT175" t="str">
        <f t="shared" si="58"/>
        <v>大陰線▼</v>
      </c>
      <c r="AU175">
        <f t="shared" si="65"/>
        <v>2</v>
      </c>
    </row>
    <row r="176" spans="1:47" ht="14.25">
      <c r="A176" s="357" t="str">
        <f>IF(銘柄管理!B54&lt;&gt;"",HYPERLINK("https://kabutan.jp/stock/?code="&amp;銘柄管理!B54,"株探"),"")</f>
        <v>株探</v>
      </c>
      <c r="B176" s="230"/>
      <c r="C176" s="230">
        <f>IF(銘柄管理!B54="","",銘柄管理!B54)</f>
        <v>8630</v>
      </c>
      <c r="D176" s="230" t="str">
        <f>IF(銘柄管理!C54="","",銘柄管理!C54)</f>
        <v>ＳＯＭＰＯホールディングス</v>
      </c>
      <c r="E176" s="358">
        <f>IF(C176&lt;&gt;"",_xll.RssMarket(C176,"現在値"),"")</f>
        <v>6194</v>
      </c>
      <c r="F176" s="358">
        <f>IF(C176&lt;&gt;"",_xll.RssMarket(C176,"始値"),"")</f>
        <v>6330</v>
      </c>
      <c r="G176" s="230">
        <f>IF(C176&lt;&gt;"",終値!F54,"")</f>
        <v>6248</v>
      </c>
      <c r="H176" s="358">
        <f>IF(C176&lt;&gt;"",_xll.RssMarket(C176,"高値"),"")</f>
        <v>6406</v>
      </c>
      <c r="I176" s="358">
        <f>IF(C176&lt;&gt;"",_xll.RssMarket(C176,"安値"),"")</f>
        <v>6194</v>
      </c>
      <c r="J176" s="358">
        <f>IF(C176&lt;&gt;"",_xll.RssMarket(C176,"出来高"),"")</f>
        <v>1584400</v>
      </c>
      <c r="K176" s="358">
        <f>IF(C176&lt;&gt;"",_xll.RssMarket(C176,"年初来高値"),"")</f>
        <v>6435</v>
      </c>
      <c r="L176" s="359">
        <f t="shared" si="44"/>
        <v>-3.7451437451437455</v>
      </c>
      <c r="M176" s="358">
        <f>IF(C176&lt;&gt;"",IFERROR(AVERAGE(出来高!E54:I54),""),"")</f>
        <v>2384440</v>
      </c>
      <c r="N176" s="358">
        <f>IF(C176&lt;&gt;"",IFERROR(AVERAGE(出来高!E54:AC54),""),"")</f>
        <v>3475748</v>
      </c>
      <c r="O176" s="360">
        <f t="shared" si="45"/>
        <v>0.66447467749240907</v>
      </c>
      <c r="P176" s="230" t="str">
        <f t="shared" si="46"/>
        <v>減少↓</v>
      </c>
      <c r="Q176" s="230" t="str">
        <f t="shared" si="47"/>
        <v>中立→</v>
      </c>
      <c r="R176" s="358">
        <f t="shared" si="48"/>
        <v>5698</v>
      </c>
      <c r="S176" s="358">
        <f t="shared" si="49"/>
        <v>6442</v>
      </c>
      <c r="T176" s="350">
        <f t="shared" si="50"/>
        <v>4</v>
      </c>
      <c r="U176" s="230" t="str">
        <f t="shared" si="51"/>
        <v>要確認</v>
      </c>
      <c r="V176" s="230" t="str">
        <f t="shared" si="52"/>
        <v>通常</v>
      </c>
      <c r="W176" s="361" cm="1">
        <f t="array" ref="W176">IFERROR(100-100/(1+SUMPRODUCT((終値!F54:R54&gt;終値!G54:S54)*(終値!F54:R54-終値!G54:S54))/SUMPRODUCT((終値!F54:R54&lt;終値!G54:S54)*(終値!G54:S54-終値!F54:R54))),50)</f>
        <v>72.807017543859644</v>
      </c>
      <c r="X176" s="362">
        <f>IF(C176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33.003876786645378</v>
      </c>
      <c r="Y176" s="230" t="str">
        <f t="shared" si="53"/>
        <v>◎反落確認 | 上昇トレンド▲ 5日戻り売り○ MACD+ RSI:72.8 [過熱] 前日比:-0.9%前日[長い下ヒゲ(反発)] [4点]</v>
      </c>
      <c r="Z176" s="363">
        <f t="shared" si="54"/>
        <v>-0.86427656850192069</v>
      </c>
      <c r="AA176" s="230" t="str">
        <f t="shared" si="55"/>
        <v>下落▼</v>
      </c>
      <c r="AB176" s="358">
        <f>IF(OR(C176="",C176="TOPX",終値!E54=""),"",IFERROR(((終値!E54*0.333)+(終値!F54*0.222)+(終値!G54*0.148)+(終値!H54*0.099)+(終値!I54*0.066))/(0.333+0.222+0.148+0.099+0.066),""))</f>
        <v>6194.2073732718891</v>
      </c>
      <c r="AC176" s="358">
        <f>IF(OR(C176="",C176="TOPX",終値!E54=""),"",IFERROR(SUMPRODUCT((終値!E54:AC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6018.7914183551829</v>
      </c>
      <c r="AD176" s="230" t="str">
        <f t="shared" si="56"/>
        <v>上昇トレンド▲</v>
      </c>
      <c r="AE176" s="230" t="str">
        <f t="shared" si="57"/>
        <v>5日戻り売り○</v>
      </c>
      <c r="AF176" t="str">
        <f>IF(T176="","",IF(銘柄管理!$F$5="上昇▲",IF(AND(AD176="下降トレンド▼",OR(AE176="25日戻り売り★",AE176="5日戻り売り○")),"★逆張り売り",IF(AND(AD176="もみ合い→",OR(AE176="25日戻り売り★",AE176="5日戻り売り○")),"○逆張り売り",IF(W176&gt;=70,IF(Z176&lt;0,"◎反落確認","△過熱・様子見"),"相場上昇・見送り"))),IF(AND(T176&gt;=12,AD176="下降トレンド▼"),"★強い売り",IF(T176&gt;=12,"★強い売り",IF(AND(T176&gt;=8,OR(AE176="25日戻り売り★",AE176="5日戻り売り○")),"◎戻り売り",IF(T176&gt;=10,"○売り候補",IF(T176&gt;=6,"△注目",IF(T176&gt;=3,"様子見","見送り"))))))))</f>
        <v>◎反落確認</v>
      </c>
      <c r="AG176">
        <f t="shared" si="59"/>
        <v>0</v>
      </c>
      <c r="AH176">
        <f t="shared" si="60"/>
        <v>0</v>
      </c>
      <c r="AI176" s="412" cm="1">
        <f t="array" ref="AI176">IF(C176="","",IFERROR((INDEX(終値!$E:$E,MATCH(TEXT(C176,"0"),終値!$A:$A,0))-INDEX(終値!$E:$BL,MATCH(TEXT(C176,"0"),終値!$A:$A,0),$AN$2))/INDEX(終値!$E:$BL,MATCH(TEXT(C176,"0"),終値!$A:$A,0),$AN$2)*100,""))</f>
        <v>1.8080210387902695</v>
      </c>
      <c r="AJ176" s="412" cm="1">
        <f t="array" ref="AJ176">IFERROR((終値!$E$5-INDEX(終値!$E$5:$BL$5,1,$AN$2))/INDEX(終値!$E$5:$BL$5,1,$AN$2)*100,"")</f>
        <v>3.4532270246721688</v>
      </c>
      <c r="AK176" s="413">
        <f t="shared" si="61"/>
        <v>-1.6452059858818993</v>
      </c>
      <c r="AL176" s="411">
        <f t="shared" si="62"/>
        <v>1</v>
      </c>
      <c r="AO176" s="415" t="str">
        <f t="shared" si="63"/>
        <v>通常</v>
      </c>
      <c r="AP176" s="416">
        <f t="shared" si="64"/>
        <v>0</v>
      </c>
      <c r="AQ176">
        <f>IF(C176&lt;&gt;"",始値!F54,"")</f>
        <v>6268</v>
      </c>
      <c r="AR176">
        <f>IF(C176&lt;&gt;"",高値!F54,"")</f>
        <v>6274</v>
      </c>
      <c r="AS176">
        <f>IF(C176&lt;&gt;"",安値!F54,"")</f>
        <v>6169</v>
      </c>
      <c r="AT176" t="str">
        <f t="shared" si="58"/>
        <v>長い下ヒゲ(反発)</v>
      </c>
      <c r="AU176">
        <f t="shared" si="65"/>
        <v>-2</v>
      </c>
    </row>
    <row r="177" spans="1:47" ht="14.25">
      <c r="A177" s="349" t="str">
        <f>IF(銘柄管理!B58&lt;&gt;"",HYPERLINK("https://kabutan.jp/stock/?code="&amp;銘柄管理!B58,"株探"),"")</f>
        <v>株探</v>
      </c>
      <c r="B177" s="350"/>
      <c r="C177" s="350">
        <f>IF(銘柄管理!B58="","",銘柄管理!B58)</f>
        <v>4676</v>
      </c>
      <c r="D177" s="350" t="str">
        <f>IF(銘柄管理!C58="","",銘柄管理!C58)</f>
        <v>フジ・メディア・ＨＤ</v>
      </c>
      <c r="E177" s="351">
        <f>IF(C177&lt;&gt;"",_xll.RssMarket(C177,"現在値"),"")</f>
        <v>4007</v>
      </c>
      <c r="F177" s="351">
        <f>IF(C177&lt;&gt;"",_xll.RssMarket(C177,"始値"),"")</f>
        <v>4050</v>
      </c>
      <c r="G177" s="350">
        <f>IF(C177&lt;&gt;"",終値!F58,"")</f>
        <v>4021</v>
      </c>
      <c r="H177" s="351">
        <f>IF(C177&lt;&gt;"",_xll.RssMarket(C177,"高値"),"")</f>
        <v>4063</v>
      </c>
      <c r="I177" s="351">
        <f>IF(C177&lt;&gt;"",_xll.RssMarket(C177,"安値"),"")</f>
        <v>3999</v>
      </c>
      <c r="J177" s="351">
        <f>IF(C177&lt;&gt;"",_xll.RssMarket(C177,"出来高"),"")</f>
        <v>435200</v>
      </c>
      <c r="K177" s="351">
        <f>IF(C177&lt;&gt;"",_xll.RssMarket(C177,"年初来高値"),"")</f>
        <v>4466</v>
      </c>
      <c r="L177" s="352">
        <f t="shared" si="44"/>
        <v>-10.277653381101656</v>
      </c>
      <c r="M177" s="351">
        <f>IF(C177&lt;&gt;"",IFERROR(AVERAGE(出来高!E58:I58),""),"")</f>
        <v>503880</v>
      </c>
      <c r="N177" s="351">
        <f>IF(C177&lt;&gt;"",IFERROR(AVERAGE(出来高!E58:AC58),""),"")</f>
        <v>626152</v>
      </c>
      <c r="O177" s="353">
        <f t="shared" si="45"/>
        <v>0.86369770580296901</v>
      </c>
      <c r="P177" s="350" t="str">
        <f t="shared" si="46"/>
        <v>減少↓</v>
      </c>
      <c r="Q177" s="350" t="str">
        <f t="shared" si="47"/>
        <v>中立→</v>
      </c>
      <c r="R177" s="351">
        <f t="shared" si="48"/>
        <v>3686</v>
      </c>
      <c r="S177" s="351">
        <f t="shared" si="49"/>
        <v>4167</v>
      </c>
      <c r="T177" s="350">
        <f t="shared" si="50"/>
        <v>1</v>
      </c>
      <c r="U177" s="350" t="str">
        <f t="shared" si="51"/>
        <v>除外</v>
      </c>
      <c r="V177" s="350" t="str">
        <f t="shared" si="52"/>
        <v>通常</v>
      </c>
      <c r="W177" s="354" cm="1">
        <f t="array" ref="W177">IFERROR(100-100/(1+SUMPRODUCT((終値!F58:R58&gt;終値!G58:S58)*(終値!F58:R58-終値!G58:S58))/SUMPRODUCT((終値!F58:R58&lt;終値!G58:S58)*(終値!G58:S58-終値!F58:R58))),50)</f>
        <v>63.670411985018724</v>
      </c>
      <c r="X177" s="355">
        <f>IF(C177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37.634491460324625</v>
      </c>
      <c r="Y177" s="350" t="str">
        <f t="shared" si="53"/>
        <v>相場上昇・見送り | 上昇トレンド▲ 5日戻り売り○ MACD+ RSI:63.7 前日比:-0.3%前日[長い下ヒゲ(反発)] [1点]</v>
      </c>
      <c r="Z177" s="356">
        <f t="shared" si="54"/>
        <v>-0.34817209649340958</v>
      </c>
      <c r="AA177" s="350" t="str">
        <f t="shared" si="55"/>
        <v>下落▼</v>
      </c>
      <c r="AB177" s="351">
        <f>IF(OR(C177="",C177="TOPX",終値!E58=""),"",IFERROR(((終値!E58*0.333)+(終値!F58*0.222)+(終値!G58*0.148)+(終値!H58*0.099)+(終値!I58*0.066))/(0.333+0.222+0.148+0.099+0.066),""))</f>
        <v>4035.7269585253457</v>
      </c>
      <c r="AC177" s="351">
        <f>IF(OR(C177="",C177="TOPX",終値!E58=""),"",IFERROR(SUMPRODUCT((終値!E58:AC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3943.2157330154919</v>
      </c>
      <c r="AD177" s="350" t="str">
        <f t="shared" si="56"/>
        <v>上昇トレンド▲</v>
      </c>
      <c r="AE177" s="350" t="str">
        <f t="shared" si="57"/>
        <v>5日戻り売り○</v>
      </c>
      <c r="AF177" t="str">
        <f>IF(T177="","",IF(銘柄管理!$F$5="上昇▲",IF(AND(AD177="下降トレンド▼",OR(AE177="25日戻り売り★",AE177="5日戻り売り○")),"★逆張り売り",IF(AND(AD177="もみ合い→",OR(AE177="25日戻り売り★",AE177="5日戻り売り○")),"○逆張り売り",IF(W177&gt;=70,IF(Z177&lt;0,"◎反落確認","△過熱・様子見"),"相場上昇・見送り"))),IF(AND(T177&gt;=12,AD177="下降トレンド▼"),"★強い売り",IF(T177&gt;=12,"★強い売り",IF(AND(T177&gt;=8,OR(AE177="25日戻り売り★",AE177="5日戻り売り○")),"◎戻り売り",IF(T177&gt;=10,"○売り候補",IF(T177&gt;=6,"△注目",IF(T177&gt;=3,"様子見","見送り"))))))))</f>
        <v>相場上昇・見送り</v>
      </c>
      <c r="AG177">
        <f t="shared" si="59"/>
        <v>0</v>
      </c>
      <c r="AH177">
        <f t="shared" si="60"/>
        <v>0</v>
      </c>
      <c r="AI177" s="412" cm="1">
        <f t="array" ref="AI177">IF(C177="","",IFERROR((INDEX(終値!$E:$E,MATCH(TEXT(C177,"0"),終値!$A:$A,0))-INDEX(終値!$E:$BL,MATCH(TEXT(C177,"0"),終値!$A:$A,0),$AN$2))/INDEX(終値!$E:$BL,MATCH(TEXT(C177,"0"),終値!$A:$A,0),$AN$2)*100,""))</f>
        <v>3.7545313309166239</v>
      </c>
      <c r="AJ177" s="412" cm="1">
        <f t="array" ref="AJ177">IFERROR((終値!$E$5-INDEX(終値!$E$5:$BL$5,1,$AN$2))/INDEX(終値!$E$5:$BL$5,1,$AN$2)*100,"")</f>
        <v>3.4532270246721688</v>
      </c>
      <c r="AK177" s="413">
        <f t="shared" si="61"/>
        <v>0.30130430624445514</v>
      </c>
      <c r="AL177" s="411">
        <f t="shared" si="62"/>
        <v>-1</v>
      </c>
      <c r="AO177" s="415" t="str">
        <f t="shared" si="63"/>
        <v>通常</v>
      </c>
      <c r="AP177" s="416">
        <f t="shared" si="64"/>
        <v>0</v>
      </c>
      <c r="AQ177">
        <f>IF(C177&lt;&gt;"",始値!F58,"")</f>
        <v>4056</v>
      </c>
      <c r="AR177">
        <f>IF(C177&lt;&gt;"",高値!F58,"")</f>
        <v>4080</v>
      </c>
      <c r="AS177">
        <f>IF(C177&lt;&gt;"",安値!F58,"")</f>
        <v>3952</v>
      </c>
      <c r="AT177" t="str">
        <f t="shared" si="58"/>
        <v>長い下ヒゲ(反発)</v>
      </c>
      <c r="AU177">
        <f t="shared" si="65"/>
        <v>-2</v>
      </c>
    </row>
    <row r="178" spans="1:47" ht="14.25">
      <c r="A178" s="357" t="str">
        <f>IF(銘柄管理!B61&lt;&gt;"",HYPERLINK("https://kabutan.jp/stock/?code="&amp;銘柄管理!B61,"株探"),"")</f>
        <v>株探</v>
      </c>
      <c r="B178" s="230"/>
      <c r="C178" s="230">
        <f>IF(銘柄管理!B61="","",銘柄管理!B61)</f>
        <v>4045</v>
      </c>
      <c r="D178" s="230" t="str">
        <f>IF(銘柄管理!C61="","",銘柄管理!C61)</f>
        <v>東亞合成</v>
      </c>
      <c r="E178" s="358">
        <f>IF(C178&lt;&gt;"",_xll.RssMarket(C178,"現在値"),"")</f>
        <v>1758.5</v>
      </c>
      <c r="F178" s="358">
        <f>IF(C178&lt;&gt;"",_xll.RssMarket(C178,"始値"),"")</f>
        <v>1758.5</v>
      </c>
      <c r="G178" s="230">
        <f>IF(C178&lt;&gt;"",終値!F61,"")</f>
        <v>1759</v>
      </c>
      <c r="H178" s="358">
        <f>IF(C178&lt;&gt;"",_xll.RssMarket(C178,"高値"),"")</f>
        <v>1768.5</v>
      </c>
      <c r="I178" s="358">
        <f>IF(C178&lt;&gt;"",_xll.RssMarket(C178,"安値"),"")</f>
        <v>1749</v>
      </c>
      <c r="J178" s="358">
        <f>IF(C178&lt;&gt;"",_xll.RssMarket(C178,"出来高"),"")</f>
        <v>170600</v>
      </c>
      <c r="K178" s="358">
        <f>IF(C178&lt;&gt;"",_xll.RssMarket(C178,"年初来高値"),"")</f>
        <v>1922.5</v>
      </c>
      <c r="L178" s="359">
        <f t="shared" si="44"/>
        <v>-8.5305591677503241</v>
      </c>
      <c r="M178" s="358">
        <f>IF(C178&lt;&gt;"",IFERROR(AVERAGE(出来高!E61:I61),""),"")</f>
        <v>237720</v>
      </c>
      <c r="N178" s="358">
        <f>IF(C178&lt;&gt;"",IFERROR(AVERAGE(出来高!E61:AC61),""),"")</f>
        <v>262884</v>
      </c>
      <c r="O178" s="360">
        <f t="shared" si="45"/>
        <v>0.71765101800437492</v>
      </c>
      <c r="P178" s="230" t="str">
        <f t="shared" si="46"/>
        <v>減少↓</v>
      </c>
      <c r="Q178" s="230" t="str">
        <f t="shared" si="47"/>
        <v>中立→</v>
      </c>
      <c r="R178" s="358">
        <f t="shared" si="48"/>
        <v>1618</v>
      </c>
      <c r="S178" s="358">
        <f t="shared" si="49"/>
        <v>1829</v>
      </c>
      <c r="T178" s="350">
        <f t="shared" si="50"/>
        <v>3</v>
      </c>
      <c r="U178" s="230" t="str">
        <f t="shared" si="51"/>
        <v>要確認</v>
      </c>
      <c r="V178" s="230" t="str">
        <f t="shared" si="52"/>
        <v>通常</v>
      </c>
      <c r="W178" s="361" cm="1">
        <f t="array" ref="W178">IFERROR(100-100/(1+SUMPRODUCT((終値!F61:R61&gt;終値!G61:S61)*(終値!F61:R61-終値!G61:S61))/SUMPRODUCT((終値!F61:R61&lt;終値!G61:S61)*(終値!G61:S61-終値!F61:R61))),50)</f>
        <v>56.96821515892421</v>
      </c>
      <c r="X178" s="362">
        <f>IF(C178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1.2140262857285506</v>
      </c>
      <c r="Y178" s="230" t="str">
        <f t="shared" si="53"/>
        <v>相場上昇・見送り | パーフェクト▲ MACD+ RSI:57.0 前日比:-0.0% [3点]</v>
      </c>
      <c r="Z178" s="363">
        <f t="shared" si="54"/>
        <v>-2.8425241614553721E-2</v>
      </c>
      <c r="AA178" s="230" t="str">
        <f t="shared" si="55"/>
        <v>下落▼</v>
      </c>
      <c r="AB178" s="358">
        <f>IF(OR(C178="",C178="TOPX",終値!E61=""),"",IFERROR(((終値!E61*0.333)+(終値!F61*0.222)+(終値!G61*0.148)+(終値!H61*0.099)+(終値!I61*0.066))/(0.333+0.222+0.148+0.099+0.066),""))</f>
        <v>1742.5921658986174</v>
      </c>
      <c r="AC178" s="358">
        <f>IF(OR(C178="",C178="TOPX",終値!E61=""),"",IFERROR(SUMPRODUCT((終値!E61:AC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1734.0458879618584</v>
      </c>
      <c r="AD178" s="230" t="str">
        <f t="shared" si="56"/>
        <v>パーフェクト▲</v>
      </c>
      <c r="AE178" s="230" t="str">
        <f t="shared" si="57"/>
        <v>なし</v>
      </c>
      <c r="AF178" t="str">
        <f>IF(T178="","",IF(銘柄管理!$F$5="上昇▲",IF(AND(AD178="下降トレンド▼",OR(AE178="25日戻り売り★",AE178="5日戻り売り○")),"★逆張り売り",IF(AND(AD178="もみ合い→",OR(AE178="25日戻り売り★",AE178="5日戻り売り○")),"○逆張り売り",IF(W178&gt;=70,IF(Z178&lt;0,"◎反落確認","△過熱・様子見"),"相場上昇・見送り"))),IF(AND(T178&gt;=12,AD178="下降トレンド▼"),"★強い売り",IF(T178&gt;=12,"★強い売り",IF(AND(T178&gt;=8,OR(AE178="25日戻り売り★",AE178="5日戻り売り○")),"◎戻り売り",IF(T178&gt;=10,"○売り候補",IF(T178&gt;=6,"△注目",IF(T178&gt;=3,"様子見","見送り"))))))))</f>
        <v>相場上昇・見送り</v>
      </c>
      <c r="AG178">
        <f t="shared" si="59"/>
        <v>0</v>
      </c>
      <c r="AH178">
        <f t="shared" si="60"/>
        <v>0</v>
      </c>
      <c r="AI178" s="412" cm="1">
        <f t="array" ref="AI178">IF(C178="","",IFERROR((INDEX(終値!$E:$E,MATCH(TEXT(C178,"0"),終値!$A:$A,0))-INDEX(終値!$E:$BL,MATCH(TEXT(C178,"0"),終値!$A:$A,0),$AN$2))/INDEX(終値!$E:$BL,MATCH(TEXT(C178,"0"),終値!$A:$A,0),$AN$2)*100,""))</f>
        <v>-0.25524673851389679</v>
      </c>
      <c r="AJ178" s="412" cm="1">
        <f t="array" ref="AJ178">IFERROR((終値!$E$5-INDEX(終値!$E$5:$BL$5,1,$AN$2))/INDEX(終値!$E$5:$BL$5,1,$AN$2)*100,"")</f>
        <v>3.4532270246721688</v>
      </c>
      <c r="AK178" s="413">
        <f t="shared" si="61"/>
        <v>-3.7084737631860656</v>
      </c>
      <c r="AL178" s="411">
        <f t="shared" si="62"/>
        <v>1</v>
      </c>
      <c r="AO178" s="415" t="str">
        <f t="shared" si="63"/>
        <v>通常</v>
      </c>
      <c r="AP178" s="416">
        <f t="shared" si="64"/>
        <v>0</v>
      </c>
      <c r="AQ178">
        <f>IF(C178&lt;&gt;"",始値!F61,"")</f>
        <v>1762</v>
      </c>
      <c r="AR178">
        <f>IF(C178&lt;&gt;"",高値!F61,"")</f>
        <v>1770</v>
      </c>
      <c r="AS178">
        <f>IF(C178&lt;&gt;"",安値!F61,"")</f>
        <v>1745.5</v>
      </c>
      <c r="AT178" t="str">
        <f t="shared" si="58"/>
        <v>通常</v>
      </c>
      <c r="AU178">
        <f t="shared" si="65"/>
        <v>0</v>
      </c>
    </row>
    <row r="179" spans="1:47" ht="14.25">
      <c r="A179" s="349" t="str">
        <f>IF(銘柄管理!B63&lt;&gt;"",HYPERLINK("https://kabutan.jp/stock/?code="&amp;銘柄管理!B63,"株探"),"")</f>
        <v>株探</v>
      </c>
      <c r="B179" s="350"/>
      <c r="C179" s="350">
        <f>IF(銘柄管理!B63="","",銘柄管理!B63)</f>
        <v>8281</v>
      </c>
      <c r="D179" s="350" t="str">
        <f>IF(銘柄管理!C63="","",銘柄管理!C63)</f>
        <v>ゼビオホールディングス</v>
      </c>
      <c r="E179" s="351">
        <f>IF(C179&lt;&gt;"",_xll.RssMarket(C179,"現在値"),"")</f>
        <v>1050</v>
      </c>
      <c r="F179" s="351">
        <f>IF(C179&lt;&gt;"",_xll.RssMarket(C179,"始値"),"")</f>
        <v>1056</v>
      </c>
      <c r="G179" s="350">
        <f>IF(C179&lt;&gt;"",終値!F63,"")</f>
        <v>1053</v>
      </c>
      <c r="H179" s="351">
        <f>IF(C179&lt;&gt;"",_xll.RssMarket(C179,"高値"),"")</f>
        <v>1065</v>
      </c>
      <c r="I179" s="351">
        <f>IF(C179&lt;&gt;"",_xll.RssMarket(C179,"安値"),"")</f>
        <v>1050</v>
      </c>
      <c r="J179" s="351">
        <f>IF(C179&lt;&gt;"",_xll.RssMarket(C179,"出来高"),"")</f>
        <v>86700</v>
      </c>
      <c r="K179" s="351">
        <f>IF(C179&lt;&gt;"",_xll.RssMarket(C179,"年初来高値"),"")</f>
        <v>1168</v>
      </c>
      <c r="L179" s="352">
        <f t="shared" si="44"/>
        <v>-10.102739726027398</v>
      </c>
      <c r="M179" s="351">
        <f>IF(C179&lt;&gt;"",IFERROR(AVERAGE(出来高!E63:I63),""),"")</f>
        <v>111480</v>
      </c>
      <c r="N179" s="351">
        <f>IF(C179&lt;&gt;"",IFERROR(AVERAGE(出来高!E63:AC63),""),"")</f>
        <v>143940</v>
      </c>
      <c r="O179" s="353">
        <f t="shared" si="45"/>
        <v>0.77771797631862216</v>
      </c>
      <c r="P179" s="350" t="str">
        <f t="shared" si="46"/>
        <v>減少↓</v>
      </c>
      <c r="Q179" s="350" t="str">
        <f t="shared" si="47"/>
        <v>中立→</v>
      </c>
      <c r="R179" s="351">
        <f t="shared" si="48"/>
        <v>966</v>
      </c>
      <c r="S179" s="351">
        <f t="shared" si="49"/>
        <v>1092</v>
      </c>
      <c r="T179" s="350">
        <f t="shared" si="50"/>
        <v>0</v>
      </c>
      <c r="U179" s="350" t="str">
        <f t="shared" si="51"/>
        <v>除外</v>
      </c>
      <c r="V179" s="350" t="str">
        <f t="shared" si="52"/>
        <v>通常</v>
      </c>
      <c r="W179" s="354" cm="1">
        <f t="array" ref="W179">IFERROR(100-100/(1+SUMPRODUCT((終値!F63:R63&gt;終値!G63:S63)*(終値!F63:R63-終値!G63:S63))/SUMPRODUCT((終値!F63:R63&lt;終値!G63:S63)*(終値!G63:S63-終値!F63:R63))),50)</f>
        <v>49.090909090909093</v>
      </c>
      <c r="X179" s="355">
        <f>IF(C179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4.0652406672534198</v>
      </c>
      <c r="Y179" s="350" t="str">
        <f t="shared" si="53"/>
        <v>相場上昇・見送り | 上昇トレンド▲ 5日戻り売り○ MACD+ RSI:49.1 前日比:-0.3% [0点]</v>
      </c>
      <c r="Z179" s="356">
        <f t="shared" si="54"/>
        <v>-0.28490028490028491</v>
      </c>
      <c r="AA179" s="350" t="str">
        <f t="shared" si="55"/>
        <v>下落▼</v>
      </c>
      <c r="AB179" s="351">
        <f>IF(OR(C179="",C179="TOPX",終値!E63=""),"",IFERROR(((終値!E63*0.333)+(終値!F63*0.222)+(終値!G63*0.148)+(終値!H63*0.099)+(終値!I63*0.066))/(0.333+0.222+0.148+0.099+0.066),""))</f>
        <v>1057.1797235023041</v>
      </c>
      <c r="AC179" s="351">
        <f>IF(OR(C179="",C179="TOPX",終値!E63=""),"",IFERROR(SUMPRODUCT((終値!E63:AC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1041.8057210965428</v>
      </c>
      <c r="AD179" s="350" t="str">
        <f t="shared" si="56"/>
        <v>上昇トレンド▲</v>
      </c>
      <c r="AE179" s="350" t="str">
        <f t="shared" si="57"/>
        <v>5日戻り売り○</v>
      </c>
      <c r="AF179" t="str">
        <f>IF(T179="","",IF(銘柄管理!$F$5="上昇▲",IF(AND(AD179="下降トレンド▼",OR(AE179="25日戻り売り★",AE179="5日戻り売り○")),"★逆張り売り",IF(AND(AD179="もみ合い→",OR(AE179="25日戻り売り★",AE179="5日戻り売り○")),"○逆張り売り",IF(W179&gt;=70,IF(Z179&lt;0,"◎反落確認","△過熱・様子見"),"相場上昇・見送り"))),IF(AND(T179&gt;=12,AD179="下降トレンド▼"),"★強い売り",IF(T179&gt;=12,"★強い売り",IF(AND(T179&gt;=8,OR(AE179="25日戻り売り★",AE179="5日戻り売り○")),"◎戻り売り",IF(T179&gt;=10,"○売り候補",IF(T179&gt;=6,"△注目",IF(T179&gt;=3,"様子見","見送り"))))))))</f>
        <v>相場上昇・見送り</v>
      </c>
      <c r="AG179">
        <f t="shared" si="59"/>
        <v>0</v>
      </c>
      <c r="AH179">
        <f t="shared" si="60"/>
        <v>0</v>
      </c>
      <c r="AI179" s="412" cm="1">
        <f t="array" ref="AI179">IF(C179="","",IFERROR((INDEX(終値!$E:$E,MATCH(TEXT(C179,"0"),終値!$A:$A,0))-INDEX(終値!$E:$BL,MATCH(TEXT(C179,"0"),終値!$A:$A,0),$AN$2))/INDEX(終値!$E:$BL,MATCH(TEXT(C179,"0"),終値!$A:$A,0),$AN$2)*100,""))</f>
        <v>8.695652173913043</v>
      </c>
      <c r="AJ179" s="412" cm="1">
        <f t="array" ref="AJ179">IFERROR((終値!$E$5-INDEX(終値!$E$5:$BL$5,1,$AN$2))/INDEX(終値!$E$5:$BL$5,1,$AN$2)*100,"")</f>
        <v>3.4532270246721688</v>
      </c>
      <c r="AK179" s="413">
        <f t="shared" si="61"/>
        <v>5.2424251492408747</v>
      </c>
      <c r="AL179" s="411">
        <f t="shared" si="62"/>
        <v>-2</v>
      </c>
      <c r="AO179" s="415" t="str">
        <f t="shared" si="63"/>
        <v>通常</v>
      </c>
      <c r="AP179" s="416">
        <f t="shared" si="64"/>
        <v>0</v>
      </c>
      <c r="AQ179">
        <f>IF(C179&lt;&gt;"",始値!F63,"")</f>
        <v>1063</v>
      </c>
      <c r="AR179">
        <f>IF(C179&lt;&gt;"",高値!F63,"")</f>
        <v>1069</v>
      </c>
      <c r="AS179">
        <f>IF(C179&lt;&gt;"",安値!F63,"")</f>
        <v>1044</v>
      </c>
      <c r="AT179" t="str">
        <f t="shared" si="58"/>
        <v>通常</v>
      </c>
      <c r="AU179">
        <f t="shared" si="65"/>
        <v>0</v>
      </c>
    </row>
    <row r="180" spans="1:47" ht="14.25">
      <c r="A180" s="357" t="str">
        <f>IF(銘柄管理!B80&lt;&gt;"",HYPERLINK("https://kabutan.jp/stock/?code="&amp;銘柄管理!B80,"株探"),"")</f>
        <v>株探</v>
      </c>
      <c r="B180" s="230"/>
      <c r="C180" s="230">
        <f>IF(銘柄管理!B80="","",銘柄管理!B80)</f>
        <v>1833</v>
      </c>
      <c r="D180" s="230" t="str">
        <f>IF(銘柄管理!C80="","",銘柄管理!C80)</f>
        <v>奥村組</v>
      </c>
      <c r="E180" s="358">
        <f>IF(C180&lt;&gt;"",_xll.RssMarket(C180,"現在値"),"")</f>
        <v>5700</v>
      </c>
      <c r="F180" s="358">
        <f>IF(C180&lt;&gt;"",_xll.RssMarket(C180,"始値"),"")</f>
        <v>5760</v>
      </c>
      <c r="G180" s="230">
        <f>IF(C180&lt;&gt;"",終値!F80,"")</f>
        <v>5720</v>
      </c>
      <c r="H180" s="358">
        <f>IF(C180&lt;&gt;"",_xll.RssMarket(C180,"高値"),"")</f>
        <v>5790</v>
      </c>
      <c r="I180" s="358">
        <f>IF(C180&lt;&gt;"",_xll.RssMarket(C180,"安値"),"")</f>
        <v>5700</v>
      </c>
      <c r="J180" s="358">
        <f>IF(C180&lt;&gt;"",_xll.RssMarket(C180,"出来高"),"")</f>
        <v>53400</v>
      </c>
      <c r="K180" s="358">
        <f>IF(C180&lt;&gt;"",_xll.RssMarket(C180,"年初来高値"),"")</f>
        <v>7490</v>
      </c>
      <c r="L180" s="359">
        <f t="shared" si="44"/>
        <v>-23.89853137516689</v>
      </c>
      <c r="M180" s="358">
        <f>IF(C180&lt;&gt;"",IFERROR(AVERAGE(出来高!E80:I80),""),"")</f>
        <v>96260</v>
      </c>
      <c r="N180" s="358">
        <f>IF(C180&lt;&gt;"",IFERROR(AVERAGE(出来高!E80:AC80),""),"")</f>
        <v>132132</v>
      </c>
      <c r="O180" s="360">
        <f t="shared" si="45"/>
        <v>0.55474755869520054</v>
      </c>
      <c r="P180" s="230" t="str">
        <f t="shared" si="46"/>
        <v>減少↓</v>
      </c>
      <c r="Q180" s="230" t="str">
        <f t="shared" si="47"/>
        <v>中立→</v>
      </c>
      <c r="R180" s="358">
        <f t="shared" si="48"/>
        <v>5244</v>
      </c>
      <c r="S180" s="358">
        <f t="shared" si="49"/>
        <v>5928</v>
      </c>
      <c r="T180" s="350">
        <f t="shared" si="50"/>
        <v>9</v>
      </c>
      <c r="U180" s="230" t="str">
        <f t="shared" si="51"/>
        <v>要確認</v>
      </c>
      <c r="V180" s="230" t="str">
        <f t="shared" si="52"/>
        <v>通常</v>
      </c>
      <c r="W180" s="361" cm="1">
        <f t="array" ref="W180">IFERROR(100-100/(1+SUMPRODUCT((終値!F80:R80&gt;終値!G80:S80)*(終値!F80:R80-終値!G80:S80))/SUMPRODUCT((終値!F80:R80&lt;終値!G80:S80)*(終値!G80:S80-終値!F80:R80))),50)</f>
        <v>64.444444444444443</v>
      </c>
      <c r="X180" s="362">
        <f>IF(C180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-13.858835610712049</v>
      </c>
      <c r="Y180" s="230" t="str">
        <f t="shared" si="53"/>
        <v>相場上昇・見送り | パーフェクト▲ MACD- RSI:64.4 前日比:-0.3% [9点]</v>
      </c>
      <c r="Z180" s="363">
        <f t="shared" si="54"/>
        <v>-0.34965034965034963</v>
      </c>
      <c r="AA180" s="230" t="str">
        <f t="shared" si="55"/>
        <v>下落▼</v>
      </c>
      <c r="AB180" s="358">
        <f>IF(OR(C180="",C180="TOPX",終値!E80=""),"",IFERROR(((終値!E80*0.333)+(終値!F80*0.222)+(終値!G80*0.148)+(終値!H80*0.099)+(終値!I80*0.066))/(0.333+0.222+0.148+0.099+0.066),""))</f>
        <v>5667.1313364055286</v>
      </c>
      <c r="AC180" s="358">
        <f>IF(OR(C180="",C180="TOPX",終値!E80=""),"",IFERROR(SUMPRODUCT((終値!E80:AC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5642.3480333730604</v>
      </c>
      <c r="AD180" s="230" t="str">
        <f t="shared" si="56"/>
        <v>パーフェクト▲</v>
      </c>
      <c r="AE180" s="230" t="str">
        <f t="shared" si="57"/>
        <v>なし</v>
      </c>
      <c r="AF180" t="str">
        <f>IF(T180="","",IF(銘柄管理!$F$5="上昇▲",IF(AND(AD180="下降トレンド▼",OR(AE180="25日戻り売り★",AE180="5日戻り売り○")),"★逆張り売り",IF(AND(AD180="もみ合い→",OR(AE180="25日戻り売り★",AE180="5日戻り売り○")),"○逆張り売り",IF(W180&gt;=70,IF(Z180&lt;0,"◎反落確認","△過熱・様子見"),"相場上昇・見送り"))),IF(AND(T180&gt;=12,AD180="下降トレンド▼"),"★強い売り",IF(T180&gt;=12,"★強い売り",IF(AND(T180&gt;=8,OR(AE180="25日戻り売り★",AE180="5日戻り売り○")),"◎戻り売り",IF(T180&gt;=10,"○売り候補",IF(T180&gt;=6,"△注目",IF(T180&gt;=3,"様子見","見送り"))))))))</f>
        <v>相場上昇・見送り</v>
      </c>
      <c r="AG180">
        <f t="shared" si="59"/>
        <v>9</v>
      </c>
      <c r="AH180">
        <f t="shared" si="60"/>
        <v>89820</v>
      </c>
      <c r="AI180" s="412" cm="1">
        <f t="array" ref="AI180">IF(C180="","",IFERROR((INDEX(終値!$E:$E,MATCH(TEXT(C180,"0"),終値!$A:$A,0))-INDEX(終値!$E:$BL,MATCH(TEXT(C180,"0"),終値!$A:$A,0),$AN$2))/INDEX(終値!$E:$BL,MATCH(TEXT(C180,"0"),終値!$A:$A,0),$AN$2)*100,""))</f>
        <v>-7.4675324675324672</v>
      </c>
      <c r="AJ180" s="412" cm="1">
        <f t="array" ref="AJ180">IFERROR((終値!$E$5-INDEX(終値!$E$5:$BL$5,1,$AN$2))/INDEX(終値!$E$5:$BL$5,1,$AN$2)*100,"")</f>
        <v>3.4532270246721688</v>
      </c>
      <c r="AK180" s="413">
        <f t="shared" si="61"/>
        <v>-10.920759492204636</v>
      </c>
      <c r="AL180" s="411">
        <f t="shared" si="62"/>
        <v>3</v>
      </c>
      <c r="AO180" s="415" t="str">
        <f t="shared" si="63"/>
        <v>通常</v>
      </c>
      <c r="AP180" s="416">
        <f t="shared" si="64"/>
        <v>0</v>
      </c>
      <c r="AQ180">
        <f>IF(C180&lt;&gt;"",始値!F80,"")</f>
        <v>5790</v>
      </c>
      <c r="AR180">
        <f>IF(C180&lt;&gt;"",高値!F80,"")</f>
        <v>5870</v>
      </c>
      <c r="AS180">
        <f>IF(C180&lt;&gt;"",安値!F80,"")</f>
        <v>5680</v>
      </c>
      <c r="AT180" t="str">
        <f t="shared" si="58"/>
        <v>通常</v>
      </c>
      <c r="AU180">
        <f t="shared" si="65"/>
        <v>0</v>
      </c>
    </row>
    <row r="181" spans="1:47" ht="14.25">
      <c r="A181" s="349" t="str">
        <f>IF(銘柄管理!B83&lt;&gt;"",HYPERLINK("https://kabutan.jp/stock/?code="&amp;銘柄管理!B83,"株探"),"")</f>
        <v>株探</v>
      </c>
      <c r="B181" s="350"/>
      <c r="C181" s="350">
        <f>IF(銘柄管理!B83="","",銘柄管理!B83)</f>
        <v>1925</v>
      </c>
      <c r="D181" s="350" t="str">
        <f>IF(銘柄管理!C83="","",銘柄管理!C83)</f>
        <v>大和ハウス</v>
      </c>
      <c r="E181" s="351">
        <f>IF(C181&lt;&gt;"",_xll.RssMarket(C181,"現在値"),"")</f>
        <v>4358</v>
      </c>
      <c r="F181" s="351">
        <f>IF(C181&lt;&gt;"",_xll.RssMarket(C181,"始値"),"")</f>
        <v>4400</v>
      </c>
      <c r="G181" s="350">
        <f>IF(C181&lt;&gt;"",終値!F83,"")</f>
        <v>4346</v>
      </c>
      <c r="H181" s="351">
        <f>IF(C181&lt;&gt;"",_xll.RssMarket(C181,"高値"),"")</f>
        <v>4435</v>
      </c>
      <c r="I181" s="351">
        <f>IF(C181&lt;&gt;"",_xll.RssMarket(C181,"安値"),"")</f>
        <v>4358</v>
      </c>
      <c r="J181" s="351">
        <f>IF(C181&lt;&gt;"",_xll.RssMarket(C181,"出来高"),"")</f>
        <v>2281300</v>
      </c>
      <c r="K181" s="351">
        <f>IF(C181&lt;&gt;"",_xll.RssMarket(C181,"年初来高値"),"")</f>
        <v>5805</v>
      </c>
      <c r="L181" s="352">
        <f t="shared" si="44"/>
        <v>-24.926787252368648</v>
      </c>
      <c r="M181" s="351">
        <f>IF(C181&lt;&gt;"",IFERROR(AVERAGE(出来高!E83:I83),""),"")</f>
        <v>2391560</v>
      </c>
      <c r="N181" s="351">
        <f>IF(C181&lt;&gt;"",IFERROR(AVERAGE(出来高!E83:AC83),""),"")</f>
        <v>2510420</v>
      </c>
      <c r="O181" s="353">
        <f t="shared" si="45"/>
        <v>0.9538962016424426</v>
      </c>
      <c r="P181" s="350" t="str">
        <f t="shared" si="46"/>
        <v>減少↓</v>
      </c>
      <c r="Q181" s="350" t="str">
        <f t="shared" si="47"/>
        <v>様子見▲</v>
      </c>
      <c r="R181" s="351">
        <f t="shared" si="48"/>
        <v>4009</v>
      </c>
      <c r="S181" s="351">
        <f t="shared" si="49"/>
        <v>4532</v>
      </c>
      <c r="T181" s="350">
        <f t="shared" si="50"/>
        <v>6</v>
      </c>
      <c r="U181" s="350" t="str">
        <f t="shared" si="51"/>
        <v>要確認</v>
      </c>
      <c r="V181" s="350" t="str">
        <f t="shared" si="52"/>
        <v>通常</v>
      </c>
      <c r="W181" s="354" cm="1">
        <f t="array" ref="W181">IFERROR(100-100/(1+SUMPRODUCT((終値!F83:R83&gt;終値!G83:S83)*(終値!F83:R83-終値!G83:S83))/SUMPRODUCT((終値!F83:R83&lt;終値!G83:S83)*(終値!G83:S83-終値!F83:R83))),50)</f>
        <v>44.310575635876837</v>
      </c>
      <c r="X181" s="355">
        <f>IF(C181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-29.991834468372872</v>
      </c>
      <c r="Y181" s="350" t="str">
        <f t="shared" si="53"/>
        <v>相場上昇・見送り | 上昇トレンド▲ MACD- RSI:44.3 前日比:+0.3% [6点]</v>
      </c>
      <c r="Z181" s="356">
        <f t="shared" si="54"/>
        <v>0.2761159687068569</v>
      </c>
      <c r="AA181" s="350" t="str">
        <f t="shared" si="55"/>
        <v>上昇▲</v>
      </c>
      <c r="AB181" s="351">
        <f>IF(OR(C181="",C181="TOPX",終値!E83=""),"",IFERROR(((終値!E83*0.333)+(終値!F83*0.222)+(終値!G83*0.148)+(終値!H83*0.099)+(終値!I83*0.066))/(0.333+0.222+0.148+0.099+0.066),""))</f>
        <v>4338.2361751152075</v>
      </c>
      <c r="AC181" s="351">
        <f>IF(OR(C181="",C181="TOPX",終値!E83=""),"",IFERROR(SUMPRODUCT((終値!E83:AC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4350.3396901072692</v>
      </c>
      <c r="AD181" s="350" t="str">
        <f t="shared" si="56"/>
        <v>上昇トレンド▲</v>
      </c>
      <c r="AE181" s="350" t="str">
        <f t="shared" si="57"/>
        <v>なし</v>
      </c>
      <c r="AF181" t="str">
        <f>IF(T181="","",IF(銘柄管理!$F$5="上昇▲",IF(AND(AD181="下降トレンド▼",OR(AE181="25日戻り売り★",AE181="5日戻り売り○")),"★逆張り売り",IF(AND(AD181="もみ合い→",OR(AE181="25日戻り売り★",AE181="5日戻り売り○")),"○逆張り売り",IF(W181&gt;=70,IF(Z181&lt;0,"◎反落確認","△過熱・様子見"),"相場上昇・見送り"))),IF(AND(T181&gt;=12,AD181="下降トレンド▼"),"★強い売り",IF(T181&gt;=12,"★強い売り",IF(AND(T181&gt;=8,OR(AE181="25日戻り売り★",AE181="5日戻り売り○")),"◎戻り売り",IF(T181&gt;=10,"○売り候補",IF(T181&gt;=6,"△注目",IF(T181&gt;=3,"様子見","見送り"))))))))</f>
        <v>相場上昇・見送り</v>
      </c>
      <c r="AG181">
        <f t="shared" si="59"/>
        <v>0</v>
      </c>
      <c r="AH181">
        <f t="shared" si="60"/>
        <v>0</v>
      </c>
      <c r="AI181" s="412" cm="1">
        <f t="array" ref="AI181">IF(C181="","",IFERROR((INDEX(終値!$E:$E,MATCH(TEXT(C181,"0"),終値!$A:$A,0))-INDEX(終値!$E:$BL,MATCH(TEXT(C181,"0"),終値!$A:$A,0),$AN$2))/INDEX(終値!$E:$BL,MATCH(TEXT(C181,"0"),終値!$A:$A,0),$AN$2)*100,""))</f>
        <v>-8.7711953108645595</v>
      </c>
      <c r="AJ181" s="412" cm="1">
        <f t="array" ref="AJ181">IFERROR((終値!$E$5-INDEX(終値!$E$5:$BL$5,1,$AN$2))/INDEX(終値!$E$5:$BL$5,1,$AN$2)*100,"")</f>
        <v>3.4532270246721688</v>
      </c>
      <c r="AK181" s="413">
        <f t="shared" si="61"/>
        <v>-12.224422335536728</v>
      </c>
      <c r="AL181" s="411">
        <f t="shared" si="62"/>
        <v>3</v>
      </c>
      <c r="AO181" s="415" t="str">
        <f t="shared" si="63"/>
        <v>通常</v>
      </c>
      <c r="AP181" s="416">
        <f t="shared" si="64"/>
        <v>0</v>
      </c>
      <c r="AQ181">
        <f>IF(C181&lt;&gt;"",始値!F83,"")</f>
        <v>4336</v>
      </c>
      <c r="AR181">
        <f>IF(C181&lt;&gt;"",高値!F83,"")</f>
        <v>4373</v>
      </c>
      <c r="AS181">
        <f>IF(C181&lt;&gt;"",安値!F83,"")</f>
        <v>4304</v>
      </c>
      <c r="AT181" t="str">
        <f t="shared" si="58"/>
        <v>通常</v>
      </c>
      <c r="AU181">
        <f t="shared" si="65"/>
        <v>0</v>
      </c>
    </row>
    <row r="182" spans="1:47" ht="14.25">
      <c r="A182" s="357" t="str">
        <f>IF(銘柄管理!B87&lt;&gt;"",HYPERLINK("https://kabutan.jp/stock/?code="&amp;銘柄管理!B87,"株探"),"")</f>
        <v>株探</v>
      </c>
      <c r="B182" s="230"/>
      <c r="C182" s="230">
        <f>IF(銘柄管理!B87="","",銘柄管理!B87)</f>
        <v>2914</v>
      </c>
      <c r="D182" s="230" t="str">
        <f>IF(銘柄管理!C87="","",銘柄管理!C87)</f>
        <v>日本たばこ産業</v>
      </c>
      <c r="E182" s="358">
        <f>IF(C182&lt;&gt;"",_xll.RssMarket(C182,"現在値"),"")</f>
        <v>6071</v>
      </c>
      <c r="F182" s="358">
        <f>IF(C182&lt;&gt;"",_xll.RssMarket(C182,"始値"),"")</f>
        <v>6133</v>
      </c>
      <c r="G182" s="230">
        <f>IF(C182&lt;&gt;"",終値!F87,"")</f>
        <v>6099</v>
      </c>
      <c r="H182" s="358">
        <f>IF(C182&lt;&gt;"",_xll.RssMarket(C182,"高値"),"")</f>
        <v>6160</v>
      </c>
      <c r="I182" s="358">
        <f>IF(C182&lt;&gt;"",_xll.RssMarket(C182,"安値"),"")</f>
        <v>6071</v>
      </c>
      <c r="J182" s="358">
        <f>IF(C182&lt;&gt;"",_xll.RssMarket(C182,"出来高"),"")</f>
        <v>3469400</v>
      </c>
      <c r="K182" s="358">
        <f>IF(C182&lt;&gt;"",_xll.RssMarket(C182,"年初来高値"),"")</f>
        <v>6474</v>
      </c>
      <c r="L182" s="359">
        <f t="shared" si="44"/>
        <v>-6.2248995983935735</v>
      </c>
      <c r="M182" s="358">
        <f>IF(C182&lt;&gt;"",IFERROR(AVERAGE(出来高!E87:I87),""),"")</f>
        <v>4802240</v>
      </c>
      <c r="N182" s="358">
        <f>IF(C182&lt;&gt;"",IFERROR(AVERAGE(出来高!E87:AC87),""),"")</f>
        <v>4931696</v>
      </c>
      <c r="O182" s="360">
        <f t="shared" si="45"/>
        <v>0.72245452122342901</v>
      </c>
      <c r="P182" s="230" t="str">
        <f t="shared" si="46"/>
        <v>減少↓</v>
      </c>
      <c r="Q182" s="230" t="str">
        <f t="shared" si="47"/>
        <v>中立→</v>
      </c>
      <c r="R182" s="358">
        <f t="shared" si="48"/>
        <v>5585</v>
      </c>
      <c r="S182" s="358">
        <f t="shared" si="49"/>
        <v>6314</v>
      </c>
      <c r="T182" s="350">
        <f t="shared" si="50"/>
        <v>10</v>
      </c>
      <c r="U182" s="230" t="str">
        <f t="shared" si="51"/>
        <v>要確認</v>
      </c>
      <c r="V182" s="230" t="str">
        <f t="shared" si="52"/>
        <v>通常</v>
      </c>
      <c r="W182" s="361" cm="1">
        <f t="array" ref="W182">IFERROR(100-100/(1+SUMPRODUCT((終値!F87:R87&gt;終値!G87:S87)*(終値!F87:R87-終値!G87:S87))/SUMPRODUCT((終値!F87:R87&lt;終値!G87:S87)*(終値!G87:S87-終値!F87:R87))),50)</f>
        <v>50.103734439834021</v>
      </c>
      <c r="X182" s="362">
        <f>IF(C182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-9.3974343155305178</v>
      </c>
      <c r="Y182" s="230" t="str">
        <f t="shared" si="53"/>
        <v>★逆張り売り | 下降トレンド▼ 25日戻り売り★ MACD- RSI:50.1 前日比:-0.5%前日[長い下ヒゲ(反発)] [10点]</v>
      </c>
      <c r="Z182" s="363">
        <f t="shared" si="54"/>
        <v>-0.45909165436956878</v>
      </c>
      <c r="AA182" s="230" t="str">
        <f t="shared" si="55"/>
        <v>下落▼</v>
      </c>
      <c r="AB182" s="358">
        <f>IF(OR(C182="",C182="TOPX",終値!E87=""),"",IFERROR(((終値!E87*0.333)+(終値!F87*0.222)+(終値!G87*0.148)+(終値!H87*0.099)+(終値!I87*0.066))/(0.333+0.222+0.148+0.099+0.066),""))</f>
        <v>6129.995391705068</v>
      </c>
      <c r="AC182" s="358">
        <f>IF(OR(C182="",C182="TOPX",終値!E87=""),"",IFERROR(SUMPRODUCT((終値!E87:AC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6144.9272943980905</v>
      </c>
      <c r="AD182" s="230" t="str">
        <f t="shared" si="56"/>
        <v>下降トレンド▼</v>
      </c>
      <c r="AE182" s="230" t="str">
        <f t="shared" si="57"/>
        <v>25日戻り売り★</v>
      </c>
      <c r="AF182" t="str">
        <f>IF(T182="","",IF(銘柄管理!$F$5="上昇▲",IF(AND(AD182="下降トレンド▼",OR(AE182="25日戻り売り★",AE182="5日戻り売り○")),"★逆張り売り",IF(AND(AD182="もみ合い→",OR(AE182="25日戻り売り★",AE182="5日戻り売り○")),"○逆張り売り",IF(W182&gt;=70,IF(Z182&lt;0,"◎反落確認","△過熱・様子見"),"相場上昇・見送り"))),IF(AND(T182&gt;=12,AD182="下降トレンド▼"),"★強い売り",IF(T182&gt;=12,"★強い売り",IF(AND(T182&gt;=8,OR(AE182="25日戻り売り★",AE182="5日戻り売り○")),"◎戻り売り",IF(T182&gt;=10,"○売り候補",IF(T182&gt;=6,"△注目",IF(T182&gt;=3,"様子見","見送り"))))))))</f>
        <v>★逆張り売り</v>
      </c>
      <c r="AG182">
        <f t="shared" si="59"/>
        <v>10</v>
      </c>
      <c r="AH182">
        <f t="shared" si="60"/>
        <v>99818</v>
      </c>
      <c r="AI182" s="412" cm="1">
        <f t="array" ref="AI182">IF(C182="","",IFERROR((INDEX(終値!$E:$E,MATCH(TEXT(C182,"0"),終値!$A:$A,0))-INDEX(終値!$E:$BL,MATCH(TEXT(C182,"0"),終値!$A:$A,0),$AN$2))/INDEX(終値!$E:$BL,MATCH(TEXT(C182,"0"),終値!$A:$A,0),$AN$2)*100,""))</f>
        <v>-2.9261272785417334</v>
      </c>
      <c r="AJ182" s="412" cm="1">
        <f t="array" ref="AJ182">IFERROR((終値!$E$5-INDEX(終値!$E$5:$BL$5,1,$AN$2))/INDEX(終値!$E$5:$BL$5,1,$AN$2)*100,"")</f>
        <v>3.4532270246721688</v>
      </c>
      <c r="AK182" s="413">
        <f t="shared" si="61"/>
        <v>-6.3793543032139022</v>
      </c>
      <c r="AL182" s="411">
        <f t="shared" si="62"/>
        <v>3</v>
      </c>
      <c r="AO182" s="415" t="str">
        <f t="shared" si="63"/>
        <v>通常</v>
      </c>
      <c r="AP182" s="416">
        <f t="shared" si="64"/>
        <v>0</v>
      </c>
      <c r="AQ182">
        <f>IF(C182&lt;&gt;"",始値!F87,"")</f>
        <v>6074</v>
      </c>
      <c r="AR182">
        <f>IF(C182&lt;&gt;"",高値!F87,"")</f>
        <v>6099</v>
      </c>
      <c r="AS182">
        <f>IF(C182&lt;&gt;"",安値!F87,"")</f>
        <v>6040</v>
      </c>
      <c r="AT182" t="str">
        <f t="shared" si="58"/>
        <v>長い下ヒゲ(反発)</v>
      </c>
      <c r="AU182">
        <f t="shared" si="65"/>
        <v>-2</v>
      </c>
    </row>
    <row r="183" spans="1:47" ht="14.25">
      <c r="A183" s="349" t="str">
        <f>IF(銘柄管理!B94&lt;&gt;"",HYPERLINK("https://kabutan.jp/stock/?code="&amp;銘柄管理!B94,"株探"),"")</f>
        <v>株探</v>
      </c>
      <c r="B183" s="350"/>
      <c r="C183" s="350">
        <f>IF(銘柄管理!B94="","",銘柄管理!B94)</f>
        <v>3407</v>
      </c>
      <c r="D183" s="350" t="str">
        <f>IF(銘柄管理!C94="","",銘柄管理!C94)</f>
        <v>旭化成</v>
      </c>
      <c r="E183" s="351">
        <f>IF(C183&lt;&gt;"",_xll.RssMarket(C183,"現在値"),"")</f>
        <v>1790</v>
      </c>
      <c r="F183" s="351">
        <f>IF(C183&lt;&gt;"",_xll.RssMarket(C183,"始値"),"")</f>
        <v>1765</v>
      </c>
      <c r="G183" s="350">
        <f>IF(C183&lt;&gt;"",終値!F94,"")</f>
        <v>1761.5</v>
      </c>
      <c r="H183" s="351">
        <f>IF(C183&lt;&gt;"",_xll.RssMarket(C183,"高値"),"")</f>
        <v>1790</v>
      </c>
      <c r="I183" s="351">
        <f>IF(C183&lt;&gt;"",_xll.RssMarket(C183,"安値"),"")</f>
        <v>1750</v>
      </c>
      <c r="J183" s="351">
        <f>IF(C183&lt;&gt;"",_xll.RssMarket(C183,"出来高"),"")</f>
        <v>3657500</v>
      </c>
      <c r="K183" s="351">
        <f>IF(C183&lt;&gt;"",_xll.RssMarket(C183,"年初来高値"),"")</f>
        <v>1889</v>
      </c>
      <c r="L183" s="352">
        <f t="shared" si="44"/>
        <v>-5.2408681842244569</v>
      </c>
      <c r="M183" s="351">
        <f>IF(C183&lt;&gt;"",IFERROR(AVERAGE(出来高!E94:I94),""),"")</f>
        <v>4912640</v>
      </c>
      <c r="N183" s="351">
        <f>IF(C183&lt;&gt;"",IFERROR(AVERAGE(出来高!E94:AC94),""),"")</f>
        <v>5742948</v>
      </c>
      <c r="O183" s="353">
        <f t="shared" si="45"/>
        <v>0.74450804455445541</v>
      </c>
      <c r="P183" s="350" t="str">
        <f t="shared" si="46"/>
        <v>減少↓</v>
      </c>
      <c r="Q183" s="350" t="str">
        <f t="shared" si="47"/>
        <v>様子見▲</v>
      </c>
      <c r="R183" s="351">
        <f t="shared" si="48"/>
        <v>1647</v>
      </c>
      <c r="S183" s="351">
        <f t="shared" si="49"/>
        <v>1862</v>
      </c>
      <c r="T183" s="350">
        <f t="shared" si="50"/>
        <v>-1</v>
      </c>
      <c r="U183" s="350" t="str">
        <f t="shared" si="51"/>
        <v>除外</v>
      </c>
      <c r="V183" s="350" t="str">
        <f t="shared" si="52"/>
        <v>通常</v>
      </c>
      <c r="W183" s="354" cm="1">
        <f t="array" ref="W183">IFERROR(100-100/(1+SUMPRODUCT((終値!F94:R94&gt;終値!G94:S94)*(終値!F94:R94-終値!G94:S94))/SUMPRODUCT((終値!F94:R94&lt;終値!G94:S94)*(終値!G94:S94-終値!F94:R94))),50)</f>
        <v>48.336594911937375</v>
      </c>
      <c r="X183" s="355">
        <f>IF(C183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8.4256713726770158</v>
      </c>
      <c r="Y183" s="350" t="str">
        <f t="shared" si="53"/>
        <v>相場上昇・見送り | パーフェクト▲ MACD+ RSI:48.3 前日比:+1.6% [-1点]</v>
      </c>
      <c r="Z183" s="356">
        <f t="shared" si="54"/>
        <v>1.6179392563156401</v>
      </c>
      <c r="AA183" s="350" t="str">
        <f t="shared" si="55"/>
        <v>上昇▲</v>
      </c>
      <c r="AB183" s="351">
        <f>IF(OR(C183="",C183="TOPX",終値!E94=""),"",IFERROR(((終値!E94*0.333)+(終値!F94*0.222)+(終値!G94*0.148)+(終値!H94*0.099)+(終値!I94*0.066))/(0.333+0.222+0.148+0.099+0.066),""))</f>
        <v>1776.4481566820273</v>
      </c>
      <c r="AC183" s="351">
        <f>IF(OR(C183="",C183="TOPX",終値!E94=""),"",IFERROR(SUMPRODUCT((終値!E94:AC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1755.2973778307505</v>
      </c>
      <c r="AD183" s="350" t="str">
        <f t="shared" si="56"/>
        <v>パーフェクト▲</v>
      </c>
      <c r="AE183" s="350" t="str">
        <f t="shared" si="57"/>
        <v>なし</v>
      </c>
      <c r="AF183" t="str">
        <f>IF(T183="","",IF(銘柄管理!$F$5="上昇▲",IF(AND(AD183="下降トレンド▼",OR(AE183="25日戻り売り★",AE183="5日戻り売り○")),"★逆張り売り",IF(AND(AD183="もみ合い→",OR(AE183="25日戻り売り★",AE183="5日戻り売り○")),"○逆張り売り",IF(W183&gt;=70,IF(Z183&lt;0,"◎反落確認","△過熱・様子見"),"相場上昇・見送り"))),IF(AND(T183&gt;=12,AD183="下降トレンド▼"),"★強い売り",IF(T183&gt;=12,"★強い売り",IF(AND(T183&gt;=8,OR(AE183="25日戻り売り★",AE183="5日戻り売り○")),"◎戻り売り",IF(T183&gt;=10,"○売り候補",IF(T183&gt;=6,"△注目",IF(T183&gt;=3,"様子見","見送り"))))))))</f>
        <v>相場上昇・見送り</v>
      </c>
      <c r="AG183">
        <f t="shared" si="59"/>
        <v>0</v>
      </c>
      <c r="AH183">
        <f t="shared" si="60"/>
        <v>0</v>
      </c>
      <c r="AI183" s="412" cm="1">
        <f t="array" ref="AI183">IF(C183="","",IFERROR((INDEX(終値!$E:$E,MATCH(TEXT(C183,"0"),終値!$A:$A,0))-INDEX(終値!$E:$BL,MATCH(TEXT(C183,"0"),終値!$A:$A,0),$AN$2))/INDEX(終値!$E:$BL,MATCH(TEXT(C183,"0"),終値!$A:$A,0),$AN$2)*100,""))</f>
        <v>3.5280508964719495</v>
      </c>
      <c r="AJ183" s="412" cm="1">
        <f t="array" ref="AJ183">IFERROR((終値!$E$5-INDEX(終値!$E$5:$BL$5,1,$AN$2))/INDEX(終値!$E$5:$BL$5,1,$AN$2)*100,"")</f>
        <v>3.4532270246721688</v>
      </c>
      <c r="AK183" s="413">
        <f t="shared" si="61"/>
        <v>7.4823871799780672E-2</v>
      </c>
      <c r="AL183" s="411">
        <f t="shared" si="62"/>
        <v>-1</v>
      </c>
      <c r="AO183" s="415" t="str">
        <f t="shared" si="63"/>
        <v>通常</v>
      </c>
      <c r="AP183" s="416">
        <f t="shared" si="64"/>
        <v>0</v>
      </c>
      <c r="AQ183">
        <f>IF(C183&lt;&gt;"",始値!F94,"")</f>
        <v>1744</v>
      </c>
      <c r="AR183">
        <f>IF(C183&lt;&gt;"",高値!F94,"")</f>
        <v>1768</v>
      </c>
      <c r="AS183">
        <f>IF(C183&lt;&gt;"",安値!F94,"")</f>
        <v>1730</v>
      </c>
      <c r="AT183" t="str">
        <f t="shared" si="58"/>
        <v>通常</v>
      </c>
      <c r="AU183">
        <f t="shared" si="65"/>
        <v>0</v>
      </c>
    </row>
    <row r="184" spans="1:47" ht="14.25">
      <c r="A184" s="357" t="str">
        <f>IF(銘柄管理!B99&lt;&gt;"",HYPERLINK("https://kabutan.jp/stock/?code="&amp;銘柄管理!B99,"株探"),"")</f>
        <v>株探</v>
      </c>
      <c r="B184" s="230"/>
      <c r="C184" s="230">
        <f>IF(銘柄管理!B99="","",銘柄管理!B99)</f>
        <v>4523</v>
      </c>
      <c r="D184" s="230" t="str">
        <f>IF(銘柄管理!C99="","",銘柄管理!C99)</f>
        <v>エーザイ</v>
      </c>
      <c r="E184" s="358">
        <f>IF(C184&lt;&gt;"",_xll.RssMarket(C184,"現在値"),"")</f>
        <v>3829</v>
      </c>
      <c r="F184" s="358">
        <f>IF(C184&lt;&gt;"",_xll.RssMarket(C184,"始値"),"")</f>
        <v>3857</v>
      </c>
      <c r="G184" s="230">
        <f>IF(C184&lt;&gt;"",終値!F99,"")</f>
        <v>3750</v>
      </c>
      <c r="H184" s="358">
        <f>IF(C184&lt;&gt;"",_xll.RssMarket(C184,"高値"),"")</f>
        <v>3886</v>
      </c>
      <c r="I184" s="358">
        <f>IF(C184&lt;&gt;"",_xll.RssMarket(C184,"安値"),"")</f>
        <v>3813</v>
      </c>
      <c r="J184" s="358">
        <f>IF(C184&lt;&gt;"",_xll.RssMarket(C184,"出来高"),"")</f>
        <v>1988700</v>
      </c>
      <c r="K184" s="358">
        <f>IF(C184&lt;&gt;"",_xll.RssMarket(C184,"年初来高値"),"")</f>
        <v>5243</v>
      </c>
      <c r="L184" s="359">
        <f t="shared" si="44"/>
        <v>-26.969292389853138</v>
      </c>
      <c r="M184" s="358">
        <f>IF(C184&lt;&gt;"",IFERROR(AVERAGE(出来高!E99:I99),""),"")</f>
        <v>1868700</v>
      </c>
      <c r="N184" s="358">
        <f>IF(C184&lt;&gt;"",IFERROR(AVERAGE(出来高!E99:AC99),""),"")</f>
        <v>1922584</v>
      </c>
      <c r="O184" s="360">
        <f t="shared" si="45"/>
        <v>1.0642157649703001</v>
      </c>
      <c r="P184" s="230" t="str">
        <f t="shared" si="46"/>
        <v>普通→</v>
      </c>
      <c r="Q184" s="230" t="str">
        <f t="shared" si="47"/>
        <v>様子見▲</v>
      </c>
      <c r="R184" s="358">
        <f t="shared" si="48"/>
        <v>3523</v>
      </c>
      <c r="S184" s="358">
        <f t="shared" si="49"/>
        <v>3982</v>
      </c>
      <c r="T184" s="350">
        <f t="shared" si="50"/>
        <v>9</v>
      </c>
      <c r="U184" s="230" t="str">
        <f t="shared" si="51"/>
        <v>要確認</v>
      </c>
      <c r="V184" s="230" t="str">
        <f t="shared" si="52"/>
        <v>安値圏</v>
      </c>
      <c r="W184" s="361" cm="1">
        <f t="array" ref="W184">IFERROR(100-100/(1+SUMPRODUCT((終値!F99:R99&gt;終値!G99:S99)*(終値!F99:R99-終値!G99:S99))/SUMPRODUCT((終値!F99:R99&lt;終値!G99:S99)*(終値!G99:S99-終値!F99:R99))),50)</f>
        <v>27.335640138408309</v>
      </c>
      <c r="X184" s="362">
        <f>IF(C184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-76.773751288611038</v>
      </c>
      <c r="Y184" s="230" t="str">
        <f t="shared" si="53"/>
        <v>相場上昇・見送り | もみ合い→ MACD- RSI:27.3 [売られ過ぎ] 前日比:+2.1% [安値圏] [9点]</v>
      </c>
      <c r="Z184" s="363">
        <f t="shared" si="54"/>
        <v>2.1066666666666669</v>
      </c>
      <c r="AA184" s="230" t="str">
        <f t="shared" si="55"/>
        <v>上昇▲</v>
      </c>
      <c r="AB184" s="358">
        <f>IF(OR(C184="",C184="TOPX",終値!E99=""),"",IFERROR(((終値!E99*0.333)+(終値!F99*0.222)+(終値!G99*0.148)+(終値!H99*0.099)+(終値!I99*0.066))/(0.333+0.222+0.148+0.099+0.066),""))</f>
        <v>3781.5829493087549</v>
      </c>
      <c r="AC184" s="358">
        <f>IF(OR(C184="",C184="TOPX",終値!E99=""),"",IFERROR(SUMPRODUCT((終値!E99:AC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3932.8271752085802</v>
      </c>
      <c r="AD184" s="230" t="str">
        <f t="shared" si="56"/>
        <v>もみ合い→</v>
      </c>
      <c r="AE184" s="230" t="str">
        <f t="shared" si="57"/>
        <v>なし</v>
      </c>
      <c r="AF184" t="str">
        <f>IF(T184="","",IF(銘柄管理!$F$5="上昇▲",IF(AND(AD184="下降トレンド▼",OR(AE184="25日戻り売り★",AE184="5日戻り売り○")),"★逆張り売り",IF(AND(AD184="もみ合い→",OR(AE184="25日戻り売り★",AE184="5日戻り売り○")),"○逆張り売り",IF(W184&gt;=70,IF(Z184&lt;0,"◎反落確認","△過熱・様子見"),"相場上昇・見送り"))),IF(AND(T184&gt;=12,AD184="下降トレンド▼"),"★強い売り",IF(T184&gt;=12,"★強い売り",IF(AND(T184&gt;=8,OR(AE184="25日戻り売り★",AE184="5日戻り売り○")),"◎戻り売り",IF(T184&gt;=10,"○売り候補",IF(T184&gt;=6,"△注目",IF(T184&gt;=3,"様子見","見送り"))))))))</f>
        <v>相場上昇・見送り</v>
      </c>
      <c r="AG184">
        <f t="shared" si="59"/>
        <v>9</v>
      </c>
      <c r="AH184">
        <f t="shared" si="60"/>
        <v>89816</v>
      </c>
      <c r="AI184" s="412" cm="1">
        <f t="array" ref="AI184">IF(C184="","",IFERROR((INDEX(終値!$E:$E,MATCH(TEXT(C184,"0"),終値!$A:$A,0))-INDEX(終値!$E:$BL,MATCH(TEXT(C184,"0"),終値!$A:$A,0),$AN$2))/INDEX(終値!$E:$BL,MATCH(TEXT(C184,"0"),終値!$A:$A,0),$AN$2)*100,""))</f>
        <v>-18.89430205464944</v>
      </c>
      <c r="AJ184" s="412" cm="1">
        <f t="array" ref="AJ184">IFERROR((終値!$E$5-INDEX(終値!$E$5:$BL$5,1,$AN$2))/INDEX(終値!$E$5:$BL$5,1,$AN$2)*100,"")</f>
        <v>3.4532270246721688</v>
      </c>
      <c r="AK184" s="413">
        <f t="shared" si="61"/>
        <v>-22.34752907932161</v>
      </c>
      <c r="AL184" s="411">
        <f t="shared" si="62"/>
        <v>3</v>
      </c>
      <c r="AO184" s="415" t="str">
        <f t="shared" si="63"/>
        <v>通常</v>
      </c>
      <c r="AP184" s="416">
        <f t="shared" si="64"/>
        <v>0</v>
      </c>
      <c r="AQ184">
        <f>IF(C184&lt;&gt;"",始値!F99,"")</f>
        <v>3796</v>
      </c>
      <c r="AR184">
        <f>IF(C184&lt;&gt;"",高値!F99,"")</f>
        <v>3799</v>
      </c>
      <c r="AS184">
        <f>IF(C184&lt;&gt;"",安値!F99,"")</f>
        <v>3719</v>
      </c>
      <c r="AT184" t="str">
        <f t="shared" si="58"/>
        <v>通常</v>
      </c>
      <c r="AU184">
        <f t="shared" si="65"/>
        <v>0</v>
      </c>
    </row>
    <row r="185" spans="1:47" ht="14.25">
      <c r="A185" s="349" t="str">
        <f>IF(銘柄管理!B108&lt;&gt;"",HYPERLINK("https://kabutan.jp/stock/?code="&amp;銘柄管理!B108,"株探"),"")</f>
        <v>株探</v>
      </c>
      <c r="B185" s="350"/>
      <c r="C185" s="350">
        <f>IF(銘柄管理!B108="","",銘柄管理!B108)</f>
        <v>8424</v>
      </c>
      <c r="D185" s="350" t="str">
        <f>IF(銘柄管理!C108="","",銘柄管理!C108)</f>
        <v>芙蓉総合リース</v>
      </c>
      <c r="E185" s="351">
        <f>IF(C185&lt;&gt;"",_xll.RssMarket(C185,"現在値"),"")</f>
        <v>4236</v>
      </c>
      <c r="F185" s="351">
        <f>IF(C185&lt;&gt;"",_xll.RssMarket(C185,"始値"),"")</f>
        <v>4302</v>
      </c>
      <c r="G185" s="350">
        <f>IF(C185&lt;&gt;"",終値!F108,"")</f>
        <v>4281</v>
      </c>
      <c r="H185" s="351">
        <f>IF(C185&lt;&gt;"",_xll.RssMarket(C185,"高値"),"")</f>
        <v>4333</v>
      </c>
      <c r="I185" s="351">
        <f>IF(C185&lt;&gt;"",_xll.RssMarket(C185,"安値"),"")</f>
        <v>4236</v>
      </c>
      <c r="J185" s="351">
        <f>IF(C185&lt;&gt;"",_xll.RssMarket(C185,"出来高"),"")</f>
        <v>168700</v>
      </c>
      <c r="K185" s="351">
        <f>IF(C185&lt;&gt;"",_xll.RssMarket(C185,"年初来高値"),"")</f>
        <v>4664</v>
      </c>
      <c r="L185" s="352">
        <f t="shared" si="44"/>
        <v>-9.1766723842195539</v>
      </c>
      <c r="M185" s="351">
        <f>IF(C185&lt;&gt;"",IFERROR(AVERAGE(出来高!E108:I108),""),"")</f>
        <v>154500</v>
      </c>
      <c r="N185" s="351">
        <f>IF(C185&lt;&gt;"",IFERROR(AVERAGE(出来高!E108:AC108),""),"")</f>
        <v>186856</v>
      </c>
      <c r="O185" s="353">
        <f t="shared" si="45"/>
        <v>1.0919093851132686</v>
      </c>
      <c r="P185" s="350" t="str">
        <f t="shared" si="46"/>
        <v>普通→</v>
      </c>
      <c r="Q185" s="350" t="str">
        <f t="shared" si="47"/>
        <v>中立→</v>
      </c>
      <c r="R185" s="351">
        <f t="shared" si="48"/>
        <v>3897</v>
      </c>
      <c r="S185" s="351">
        <f t="shared" si="49"/>
        <v>4405</v>
      </c>
      <c r="T185" s="350">
        <f t="shared" si="50"/>
        <v>10</v>
      </c>
      <c r="U185" s="350" t="str">
        <f t="shared" si="51"/>
        <v>要確認</v>
      </c>
      <c r="V185" s="350" t="str">
        <f t="shared" si="52"/>
        <v>通常</v>
      </c>
      <c r="W185" s="354" cm="1">
        <f t="array" ref="W185">IFERROR(100-100/(1+SUMPRODUCT((終値!F108:R108&gt;終値!G108:S108)*(終値!F108:R108-終値!G108:S108))/SUMPRODUCT((終値!F108:R108&lt;終値!G108:S108)*(終値!G108:S108-終値!F108:R108))),50)</f>
        <v>54.653465346534645</v>
      </c>
      <c r="X185" s="355">
        <f>IF(C185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-8.5874685060834963</v>
      </c>
      <c r="Y185" s="350" t="str">
        <f t="shared" si="53"/>
        <v>相場上昇・見送り | 上昇トレンド▲ 5日戻り売り○ MACD- RSI:54.7 前日比:-1.1%前日[大陰線▼] [10点]</v>
      </c>
      <c r="Z185" s="356">
        <f t="shared" si="54"/>
        <v>-1.051156271899089</v>
      </c>
      <c r="AA185" s="350" t="str">
        <f t="shared" si="55"/>
        <v>下落▼</v>
      </c>
      <c r="AB185" s="351">
        <f>IF(OR(C185="",C185="TOPX",終値!E108=""),"",IFERROR(((終値!E108*0.333)+(終値!F108*0.222)+(終値!G108*0.148)+(終値!H108*0.099)+(終値!I108*0.066))/(0.333+0.222+0.148+0.099+0.066),""))</f>
        <v>4265.7304147465438</v>
      </c>
      <c r="AC185" s="351">
        <f>IF(OR(C185="",C185="TOPX",終値!E108=""),"",IFERROR(SUMPRODUCT((終値!E108:AC108)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4230.9809296781868</v>
      </c>
      <c r="AD185" s="350" t="str">
        <f t="shared" si="56"/>
        <v>上昇トレンド▲</v>
      </c>
      <c r="AE185" s="350" t="str">
        <f t="shared" si="57"/>
        <v>5日戻り売り○</v>
      </c>
      <c r="AF185" t="str">
        <f>IF(T185="","",IF(銘柄管理!$F$5="上昇▲",IF(AND(AD185="下降トレンド▼",OR(AE185="25日戻り売り★",AE185="5日戻り売り○")),"★逆張り売り",IF(AND(AD185="もみ合い→",OR(AE185="25日戻り売り★",AE185="5日戻り売り○")),"○逆張り売り",IF(W185&gt;=70,IF(Z185&lt;0,"◎反落確認","△過熱・様子見"),"相場上昇・見送り"))),IF(AND(T185&gt;=12,AD185="下降トレンド▼"),"★強い売り",IF(T185&gt;=12,"★強い売り",IF(AND(T185&gt;=8,OR(AE185="25日戻り売り★",AE185="5日戻り売り○")),"◎戻り売り",IF(T185&gt;=10,"○売り候補",IF(T185&gt;=6,"△注目",IF(T185&gt;=3,"様子見","見送り"))))))))</f>
        <v>相場上昇・見送り</v>
      </c>
      <c r="AG185">
        <f t="shared" si="59"/>
        <v>10</v>
      </c>
      <c r="AH185">
        <f t="shared" si="60"/>
        <v>99815</v>
      </c>
      <c r="AI185" s="412" cm="1">
        <f t="array" ref="AI185">IF(C185="","",IFERROR((INDEX(終値!$E:$E,MATCH(TEXT(C185,"0"),終値!$A:$A,0))-INDEX(終値!$E:$BL,MATCH(TEXT(C185,"0"),終値!$A:$A,0),$AN$2))/INDEX(終値!$E:$BL,MATCH(TEXT(C185,"0"),終値!$A:$A,0),$AN$2)*100,""))</f>
        <v>-3.5958124715521165</v>
      </c>
      <c r="AJ185" s="412" cm="1">
        <f t="array" ref="AJ185">IFERROR((終値!$E$5-INDEX(終値!$E$5:$BL$5,1,$AN$2))/INDEX(終値!$E$5:$BL$5,1,$AN$2)*100,"")</f>
        <v>3.4532270246721688</v>
      </c>
      <c r="AK185" s="413">
        <f t="shared" si="61"/>
        <v>-7.0490394962242853</v>
      </c>
      <c r="AL185" s="411">
        <f t="shared" si="62"/>
        <v>3</v>
      </c>
      <c r="AO185" s="415" t="str">
        <f t="shared" si="63"/>
        <v>通常</v>
      </c>
      <c r="AP185" s="416">
        <f t="shared" si="64"/>
        <v>0</v>
      </c>
      <c r="AQ185">
        <f>IF(C185&lt;&gt;"",始値!F108,"")</f>
        <v>4300</v>
      </c>
      <c r="AR185">
        <f>IF(C185&lt;&gt;"",高値!F108,"")</f>
        <v>4300</v>
      </c>
      <c r="AS185">
        <f>IF(C185&lt;&gt;"",安値!F108,"")</f>
        <v>4295</v>
      </c>
      <c r="AT185" t="str">
        <f t="shared" si="58"/>
        <v>大陰線▼</v>
      </c>
      <c r="AU185">
        <f t="shared" si="65"/>
        <v>2</v>
      </c>
    </row>
    <row r="186" spans="1:47" ht="14.25">
      <c r="A186" s="357" t="str">
        <f>IF(銘柄管理!B128&lt;&gt;"",HYPERLINK("https://kabutan.jp/stock/?code="&amp;銘柄管理!B128,"株探"),"")</f>
        <v>株探</v>
      </c>
      <c r="B186" s="230"/>
      <c r="C186" s="230">
        <f>IF(銘柄管理!B128="","",銘柄管理!B128)</f>
        <v>6330</v>
      </c>
      <c r="D186" s="230" t="str">
        <f>IF(銘柄管理!C128="","",銘柄管理!C128)</f>
        <v>東洋エンジニア</v>
      </c>
      <c r="E186" s="358">
        <f>IF(C186&lt;&gt;"",_xll.RssMarket(C186,"現在値"),"")</f>
        <v>2198</v>
      </c>
      <c r="F186" s="358">
        <f>IF(C186&lt;&gt;"",_xll.RssMarket(C186,"始値"),"")</f>
        <v>2091</v>
      </c>
      <c r="G186" s="230">
        <f>IF(C186&lt;&gt;"",終値!F128,"")</f>
        <v>2088</v>
      </c>
      <c r="H186" s="358">
        <f>IF(C186&lt;&gt;"",_xll.RssMarket(C186,"高値"),"")</f>
        <v>2266</v>
      </c>
      <c r="I186" s="358">
        <f>IF(C186&lt;&gt;"",_xll.RssMarket(C186,"安値"),"")</f>
        <v>2091</v>
      </c>
      <c r="J186" s="358">
        <f>IF(C186&lt;&gt;"",_xll.RssMarket(C186,"出来高"),"")</f>
        <v>1837600</v>
      </c>
      <c r="K186" s="358">
        <f>IF(C186&lt;&gt;"",_xll.RssMarket(C186,"年初来高値"),"")</f>
        <v>8760</v>
      </c>
      <c r="L186" s="359">
        <f t="shared" si="44"/>
        <v>-74.908675799086751</v>
      </c>
      <c r="M186" s="358">
        <f>IF(C186&lt;&gt;"",IFERROR(AVERAGE(出来高!E128:I128),""),"")</f>
        <v>1259820</v>
      </c>
      <c r="N186" s="358">
        <f>IF(C186&lt;&gt;"",IFERROR(AVERAGE(出来高!E128:AC128),""),"")</f>
        <v>1765608</v>
      </c>
      <c r="O186" s="360">
        <f t="shared" si="45"/>
        <v>1.4586210728516773</v>
      </c>
      <c r="P186" s="230" t="str">
        <f t="shared" si="46"/>
        <v>普通→</v>
      </c>
      <c r="Q186" s="230" t="str">
        <f t="shared" si="47"/>
        <v>様子見▲</v>
      </c>
      <c r="R186" s="358">
        <f t="shared" si="48"/>
        <v>2022</v>
      </c>
      <c r="S186" s="358">
        <f t="shared" si="49"/>
        <v>2286</v>
      </c>
      <c r="T186" s="350">
        <f t="shared" si="50"/>
        <v>6</v>
      </c>
      <c r="U186" s="230" t="str">
        <f t="shared" si="51"/>
        <v>要確認</v>
      </c>
      <c r="V186" s="230" t="str">
        <f t="shared" si="52"/>
        <v>年初来安値圏●</v>
      </c>
      <c r="W186" s="361" cm="1">
        <f t="array" ref="W186">IFERROR(100-100/(1+SUMPRODUCT((終値!F128:R128&gt;終値!G128:S128)*(終値!F128:R128-終値!G128:S128))/SUMPRODUCT((終値!F128:R128&lt;終値!G128:S128)*(終値!G128:S128-終値!F128:R128))),50)</f>
        <v>45.948717948717949</v>
      </c>
      <c r="X186" s="362">
        <f>IF(C186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-16.152659419914471</v>
      </c>
      <c r="Y186" s="230" t="str">
        <f t="shared" si="53"/>
        <v>相場上昇・見送り | パーフェクト▲ MACD- RSI:45.9 前日比:+5.3% [年初来安値圏]前日[長い下ヒゲ(反発)] [6点]</v>
      </c>
      <c r="Z186" s="363">
        <f t="shared" si="54"/>
        <v>5.2681992337164747</v>
      </c>
      <c r="AA186" s="230" t="str">
        <f t="shared" si="55"/>
        <v>上昇▲</v>
      </c>
      <c r="AB186" s="358">
        <f>IF(OR(C186="",C186="TOPX",終値!E128=""),"",IFERROR(((終値!E128*0.333)+(終値!F128*0.222)+(終値!G128*0.148)+(終値!H128*0.099)+(終値!I128*0.066))/(0.333+0.222+0.148+0.099+0.066),""))</f>
        <v>2056.8847926267281</v>
      </c>
      <c r="AC186" s="358">
        <f>IF(OR(C186="",C186="TOPX",終値!E128=""),"",IFERROR(SUMPRODUCT((終値!E128:AC128)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2027.0548271752077</v>
      </c>
      <c r="AD186" s="230" t="str">
        <f t="shared" si="56"/>
        <v>パーフェクト▲</v>
      </c>
      <c r="AE186" s="230" t="str">
        <f t="shared" si="57"/>
        <v>なし</v>
      </c>
      <c r="AF186" t="str">
        <f>IF(T186="","",IF(銘柄管理!$F$5="上昇▲",IF(AND(AD186="下降トレンド▼",OR(AE186="25日戻り売り★",AE186="5日戻り売り○")),"★逆張り売り",IF(AND(AD186="もみ合い→",OR(AE186="25日戻り売り★",AE186="5日戻り売り○")),"○逆張り売り",IF(W186&gt;=70,IF(Z186&lt;0,"◎反落確認","△過熱・様子見"),"相場上昇・見送り"))),IF(AND(T186&gt;=12,AD186="下降トレンド▼"),"★強い売り",IF(T186&gt;=12,"★強い売り",IF(AND(T186&gt;=8,OR(AE186="25日戻り売り★",AE186="5日戻り売り○")),"◎戻り売り",IF(T186&gt;=10,"○売り候補",IF(T186&gt;=6,"△注目",IF(T186&gt;=3,"様子見","見送り"))))))))</f>
        <v>相場上昇・見送り</v>
      </c>
      <c r="AG186">
        <f t="shared" si="59"/>
        <v>0</v>
      </c>
      <c r="AH186">
        <f t="shared" si="60"/>
        <v>0</v>
      </c>
      <c r="AI186" s="412" cm="1">
        <f t="array" ref="AI186">IF(C186="","",IFERROR((INDEX(終値!$E:$E,MATCH(TEXT(C186,"0"),終値!$A:$A,0))-INDEX(終値!$E:$BL,MATCH(TEXT(C186,"0"),終値!$A:$A,0),$AN$2))/INDEX(終値!$E:$BL,MATCH(TEXT(C186,"0"),終値!$A:$A,0),$AN$2)*100,""))</f>
        <v>2.1850302185030217</v>
      </c>
      <c r="AJ186" s="412" cm="1">
        <f t="array" ref="AJ186">IFERROR((終値!$E$5-INDEX(終値!$E$5:$BL$5,1,$AN$2))/INDEX(終値!$E$5:$BL$5,1,$AN$2)*100,"")</f>
        <v>3.4532270246721688</v>
      </c>
      <c r="AK186" s="413">
        <f t="shared" si="61"/>
        <v>-1.2681968061691471</v>
      </c>
      <c r="AL186" s="411">
        <f t="shared" si="62"/>
        <v>1</v>
      </c>
      <c r="AO186" s="415" t="str">
        <f t="shared" si="63"/>
        <v>通常</v>
      </c>
      <c r="AP186" s="416">
        <f t="shared" si="64"/>
        <v>0</v>
      </c>
      <c r="AQ186">
        <f>IF(C186&lt;&gt;"",始値!F128,"")</f>
        <v>2049</v>
      </c>
      <c r="AR186">
        <f>IF(C186&lt;&gt;"",高値!F128,"")</f>
        <v>2097</v>
      </c>
      <c r="AS186">
        <f>IF(C186&lt;&gt;"",安値!F128,"")</f>
        <v>1985</v>
      </c>
      <c r="AT186" t="str">
        <f t="shared" si="58"/>
        <v>長い下ヒゲ(反発)</v>
      </c>
      <c r="AU186">
        <f t="shared" si="65"/>
        <v>-2</v>
      </c>
    </row>
    <row r="187" spans="1:47" ht="14.25">
      <c r="A187" s="349" t="str">
        <f>IF(銘柄管理!B131&lt;&gt;"",HYPERLINK("https://kabutan.jp/stock/?code="&amp;銘柄管理!B131,"株探"),"")</f>
        <v>株探</v>
      </c>
      <c r="B187" s="350"/>
      <c r="C187" s="350">
        <f>IF(銘柄管理!B131="","",銘柄管理!B131)</f>
        <v>2160</v>
      </c>
      <c r="D187" s="350" t="str">
        <f>IF(銘柄管理!C131="","",銘柄管理!C131)</f>
        <v>ジーエヌアイグループ</v>
      </c>
      <c r="E187" s="351">
        <f>IF(C187&lt;&gt;"",_xll.RssMarket(C187,"現在値"),"")</f>
        <v>2542</v>
      </c>
      <c r="F187" s="351">
        <f>IF(C187&lt;&gt;"",_xll.RssMarket(C187,"始値"),"")</f>
        <v>2500</v>
      </c>
      <c r="G187" s="350">
        <f>IF(C187&lt;&gt;"",終値!F131,"")</f>
        <v>2493</v>
      </c>
      <c r="H187" s="351">
        <f>IF(C187&lt;&gt;"",_xll.RssMarket(C187,"高値"),"")</f>
        <v>2595</v>
      </c>
      <c r="I187" s="351">
        <f>IF(C187&lt;&gt;"",_xll.RssMarket(C187,"安値"),"")</f>
        <v>2500</v>
      </c>
      <c r="J187" s="351">
        <f>IF(C187&lt;&gt;"",_xll.RssMarket(C187,"出来高"),"")</f>
        <v>850200</v>
      </c>
      <c r="K187" s="351">
        <f>IF(C187&lt;&gt;"",_xll.RssMarket(C187,"年初来高値"),"")</f>
        <v>3740</v>
      </c>
      <c r="L187" s="352">
        <f t="shared" si="44"/>
        <v>-32.032085561497325</v>
      </c>
      <c r="M187" s="351">
        <f>IF(C187&lt;&gt;"",IFERROR(AVERAGE(出来高!E131:I131),""),"")</f>
        <v>1385340</v>
      </c>
      <c r="N187" s="351">
        <f>IF(C187&lt;&gt;"",IFERROR(AVERAGE(出来高!E131:AC131),""),"")</f>
        <v>1349864</v>
      </c>
      <c r="O187" s="353">
        <f t="shared" si="45"/>
        <v>0.61371215730434403</v>
      </c>
      <c r="P187" s="350" t="str">
        <f t="shared" si="46"/>
        <v>減少↓</v>
      </c>
      <c r="Q187" s="350" t="str">
        <f t="shared" si="47"/>
        <v>様子見▲</v>
      </c>
      <c r="R187" s="351">
        <f t="shared" si="48"/>
        <v>2339</v>
      </c>
      <c r="S187" s="351">
        <f t="shared" si="49"/>
        <v>2644</v>
      </c>
      <c r="T187" s="350">
        <f t="shared" si="50"/>
        <v>13</v>
      </c>
      <c r="U187" s="350" t="str">
        <f t="shared" si="51"/>
        <v>要確認</v>
      </c>
      <c r="V187" s="350" t="str">
        <f t="shared" si="52"/>
        <v>安値圏</v>
      </c>
      <c r="W187" s="354" cm="1">
        <f t="array" ref="W187">IFERROR(100-100/(1+SUMPRODUCT((終値!F131:R131&gt;終値!G131:S131)*(終値!F131:R131-終値!G131:S131))/SUMPRODUCT((終値!F131:R131&lt;終値!G131:S131)*(終値!G131:S131-終値!F131:R131))),50)</f>
        <v>31.400437636761495</v>
      </c>
      <c r="X187" s="355">
        <f>IF(C187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-29.731835025612327</v>
      </c>
      <c r="Y187" s="350" t="str">
        <f t="shared" si="53"/>
        <v>★逆張り売り | 下降トレンド▼ 5日戻り売り○ MACD- RSI:31.4 前日比:+2.0% [安値圏] [13点]</v>
      </c>
      <c r="Z187" s="356">
        <f t="shared" si="54"/>
        <v>1.965503409546731</v>
      </c>
      <c r="AA187" s="350" t="str">
        <f t="shared" si="55"/>
        <v>上昇▲</v>
      </c>
      <c r="AB187" s="351">
        <f>IF(OR(C187="",C187="TOPX",終値!E131=""),"",IFERROR(((終値!E131*0.333)+(終値!F131*0.222)+(終値!G131*0.148)+(終値!H131*0.099)+(終値!I131*0.066))/(0.333+0.222+0.148+0.099+0.066),""))</f>
        <v>2556.7016129032254</v>
      </c>
      <c r="AC187" s="351">
        <f>IF(OR(C187="",C187="TOPX",終値!E131=""),"",IFERROR(SUMPRODUCT((終値!E131:AC131)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2682.3230035756847</v>
      </c>
      <c r="AD187" s="350" t="str">
        <f t="shared" si="56"/>
        <v>下降トレンド▼</v>
      </c>
      <c r="AE187" s="350" t="str">
        <f t="shared" si="57"/>
        <v>5日戻り売り○</v>
      </c>
      <c r="AF187" t="str">
        <f>IF(T187="","",IF(銘柄管理!$F$5="上昇▲",IF(AND(AD187="下降トレンド▼",OR(AE187="25日戻り売り★",AE187="5日戻り売り○")),"★逆張り売り",IF(AND(AD187="もみ合い→",OR(AE187="25日戻り売り★",AE187="5日戻り売り○")),"○逆張り売り",IF(W187&gt;=70,IF(Z187&lt;0,"◎反落確認","△過熱・様子見"),"相場上昇・見送り"))),IF(AND(T187&gt;=12,AD187="下降トレンド▼"),"★強い売り",IF(T187&gt;=12,"★強い売り",IF(AND(T187&gt;=8,OR(AE187="25日戻り売り★",AE187="5日戻り売り○")),"◎戻り売り",IF(T187&gt;=10,"○売り候補",IF(T187&gt;=6,"△注目",IF(T187&gt;=3,"様子見","見送り"))))))))</f>
        <v>★逆張り売り</v>
      </c>
      <c r="AG187">
        <f t="shared" si="59"/>
        <v>13</v>
      </c>
      <c r="AH187">
        <f t="shared" si="60"/>
        <v>129813</v>
      </c>
      <c r="AI187" s="412" cm="1">
        <f t="array" ref="AI187">IF(C187="","",IFERROR((INDEX(終値!$E:$E,MATCH(TEXT(C187,"0"),終値!$A:$A,0))-INDEX(終値!$E:$BL,MATCH(TEXT(C187,"0"),終値!$A:$A,0),$AN$2))/INDEX(終値!$E:$BL,MATCH(TEXT(C187,"0"),終値!$A:$A,0),$AN$2)*100,""))</f>
        <v>-15.688225538971809</v>
      </c>
      <c r="AJ187" s="412" cm="1">
        <f t="array" ref="AJ187">IFERROR((終値!$E$5-INDEX(終値!$E$5:$BL$5,1,$AN$2))/INDEX(終値!$E$5:$BL$5,1,$AN$2)*100,"")</f>
        <v>3.4532270246721688</v>
      </c>
      <c r="AK187" s="413">
        <f t="shared" si="61"/>
        <v>-19.141452563643977</v>
      </c>
      <c r="AL187" s="411">
        <f t="shared" si="62"/>
        <v>3</v>
      </c>
      <c r="AO187" s="415" t="str">
        <f t="shared" si="63"/>
        <v>通常</v>
      </c>
      <c r="AP187" s="416">
        <f t="shared" si="64"/>
        <v>0</v>
      </c>
      <c r="AQ187">
        <f>IF(C187&lt;&gt;"",始値!F131,"")</f>
        <v>2544</v>
      </c>
      <c r="AR187">
        <f>IF(C187&lt;&gt;"",高値!F131,"")</f>
        <v>2560</v>
      </c>
      <c r="AS187">
        <f>IF(C187&lt;&gt;"",安値!F131,"")</f>
        <v>2428</v>
      </c>
      <c r="AT187" t="str">
        <f t="shared" si="58"/>
        <v>通常</v>
      </c>
      <c r="AU187">
        <f t="shared" si="65"/>
        <v>0</v>
      </c>
    </row>
    <row r="188" spans="1:47" ht="14.25">
      <c r="A188" s="357" t="str">
        <f>IF(銘柄管理!B139&lt;&gt;"",HYPERLINK("https://kabutan.jp/stock/?code="&amp;銘柄管理!B139,"株探"),"")</f>
        <v>株探</v>
      </c>
      <c r="B188" s="230"/>
      <c r="C188" s="230">
        <f>IF(銘柄管理!B139="","",銘柄管理!B139)</f>
        <v>4422</v>
      </c>
      <c r="D188" s="230" t="str">
        <f>IF(銘柄管理!C139="","",銘柄管理!C139)</f>
        <v>ＶＡＬＵＥＮＥＸ</v>
      </c>
      <c r="E188" s="358">
        <f>IF(C188&lt;&gt;"",_xll.RssMarket(C188,"現在値"),"")</f>
        <v>632</v>
      </c>
      <c r="F188" s="358">
        <f>IF(C188&lt;&gt;"",_xll.RssMarket(C188,"始値"),"")</f>
        <v>665</v>
      </c>
      <c r="G188" s="230">
        <f>IF(C188&lt;&gt;"",終値!F139,"")</f>
        <v>625</v>
      </c>
      <c r="H188" s="358">
        <f>IF(C188&lt;&gt;"",_xll.RssMarket(C188,"高値"),"")</f>
        <v>703</v>
      </c>
      <c r="I188" s="358">
        <f>IF(C188&lt;&gt;"",_xll.RssMarket(C188,"安値"),"")</f>
        <v>632</v>
      </c>
      <c r="J188" s="358">
        <f>IF(C188&lt;&gt;"",_xll.RssMarket(C188,"出来高"),"")</f>
        <v>243000</v>
      </c>
      <c r="K188" s="358">
        <f>IF(C188&lt;&gt;"",_xll.RssMarket(C188,"年初来高値"),"")</f>
        <v>1630</v>
      </c>
      <c r="L188" s="359">
        <f t="shared" si="44"/>
        <v>-61.226993865030678</v>
      </c>
      <c r="M188" s="358">
        <f>IF(C188&lt;&gt;"",IFERROR(AVERAGE(出来高!E139:I139),""),"")</f>
        <v>419500</v>
      </c>
      <c r="N188" s="358">
        <f>IF(C188&lt;&gt;"",IFERROR(AVERAGE(出来高!E139:AC139),""),"")</f>
        <v>309916</v>
      </c>
      <c r="O188" s="360">
        <f t="shared" si="45"/>
        <v>0.57926102502979737</v>
      </c>
      <c r="P188" s="230" t="str">
        <f t="shared" si="46"/>
        <v>減少↓</v>
      </c>
      <c r="Q188" s="230" t="str">
        <f t="shared" si="47"/>
        <v>様子見▲</v>
      </c>
      <c r="R188" s="358">
        <f t="shared" si="48"/>
        <v>581</v>
      </c>
      <c r="S188" s="358">
        <f t="shared" si="49"/>
        <v>657</v>
      </c>
      <c r="T188" s="350">
        <f t="shared" si="50"/>
        <v>13</v>
      </c>
      <c r="U188" s="230" t="str">
        <f t="shared" si="51"/>
        <v>要確認</v>
      </c>
      <c r="V188" s="230" t="str">
        <f t="shared" si="52"/>
        <v>年初来安値圏●</v>
      </c>
      <c r="W188" s="361" cm="1">
        <f t="array" ref="W188">IFERROR(100-100/(1+SUMPRODUCT((終値!F139:R139&gt;終値!G139:S139)*(終値!F139:R139-終値!G139:S139))/SUMPRODUCT((終値!F139:R139&lt;終値!G139:S139)*(終値!G139:S139-終値!F139:R139))),50)</f>
        <v>36.953807740324599</v>
      </c>
      <c r="X188" s="362">
        <f>IF(C188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-18.735061037497871</v>
      </c>
      <c r="Y188" s="230" t="str">
        <f t="shared" si="53"/>
        <v>相場上昇・見送り | 下降トレンド▼ MACD- RSI:37.0 前日比:+1.1% [年初来安値圏] [13点]</v>
      </c>
      <c r="Z188" s="363">
        <f t="shared" si="54"/>
        <v>1.1199999999999999</v>
      </c>
      <c r="AA188" s="230" t="str">
        <f t="shared" si="55"/>
        <v>上昇▲</v>
      </c>
      <c r="AB188" s="358">
        <f>IF(OR(C188="",C188="TOPX",終値!E139=""),"",IFERROR(((終値!E139*0.333)+(終値!F139*0.222)+(終値!G139*0.148)+(終値!H139*0.099)+(終値!I139*0.066))/(0.333+0.222+0.148+0.099+0.066),""))</f>
        <v>657.65207373271892</v>
      </c>
      <c r="AC188" s="358">
        <f>IF(OR(C188="",C188="TOPX",終値!E139=""),"",IFERROR(SUMPRODUCT((終値!E139:AC139)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737.9511323003577</v>
      </c>
      <c r="AD188" s="230" t="str">
        <f t="shared" si="56"/>
        <v>下降トレンド▼</v>
      </c>
      <c r="AE188" s="230" t="str">
        <f t="shared" si="57"/>
        <v>なし</v>
      </c>
      <c r="AF188" t="str">
        <f>IF(T188="","",IF(銘柄管理!$F$5="上昇▲",IF(AND(AD188="下降トレンド▼",OR(AE188="25日戻り売り★",AE188="5日戻り売り○")),"★逆張り売り",IF(AND(AD188="もみ合い→",OR(AE188="25日戻り売り★",AE188="5日戻り売り○")),"○逆張り売り",IF(W188&gt;=70,IF(Z188&lt;0,"◎反落確認","△過熱・様子見"),"相場上昇・見送り"))),IF(AND(T188&gt;=12,AD188="下降トレンド▼"),"★強い売り",IF(T188&gt;=12,"★強い売り",IF(AND(T188&gt;=8,OR(AE188="25日戻り売り★",AE188="5日戻り売り○")),"◎戻り売り",IF(T188&gt;=10,"○売り候補",IF(T188&gt;=6,"△注目",IF(T188&gt;=3,"様子見","見送り"))))))))</f>
        <v>相場上昇・見送り</v>
      </c>
      <c r="AG188">
        <f t="shared" si="59"/>
        <v>13</v>
      </c>
      <c r="AH188">
        <f t="shared" si="60"/>
        <v>129812</v>
      </c>
      <c r="AI188" s="412" cm="1">
        <f t="array" ref="AI188">IF(C188="","",IFERROR((INDEX(終値!$E:$E,MATCH(TEXT(C188,"0"),終値!$A:$A,0))-INDEX(終値!$E:$BL,MATCH(TEXT(C188,"0"),終値!$A:$A,0),$AN$2))/INDEX(終値!$E:$BL,MATCH(TEXT(C188,"0"),終値!$A:$A,0),$AN$2)*100,""))</f>
        <v>-26.851851851851855</v>
      </c>
      <c r="AJ188" s="412" cm="1">
        <f t="array" ref="AJ188">IFERROR((終値!$E$5-INDEX(終値!$E$5:$BL$5,1,$AN$2))/INDEX(終値!$E$5:$BL$5,1,$AN$2)*100,"")</f>
        <v>3.4532270246721688</v>
      </c>
      <c r="AK188" s="413">
        <f t="shared" si="61"/>
        <v>-30.305078876524025</v>
      </c>
      <c r="AL188" s="411">
        <f t="shared" si="62"/>
        <v>3</v>
      </c>
      <c r="AO188" s="415" t="str">
        <f t="shared" si="63"/>
        <v>通常</v>
      </c>
      <c r="AP188" s="416">
        <f t="shared" si="64"/>
        <v>0</v>
      </c>
      <c r="AQ188">
        <f>IF(C188&lt;&gt;"",始値!F139,"")</f>
        <v>627</v>
      </c>
      <c r="AR188">
        <f>IF(C188&lt;&gt;"",高値!F139,"")</f>
        <v>651</v>
      </c>
      <c r="AS188">
        <f>IF(C188&lt;&gt;"",安値!F139,"")</f>
        <v>619</v>
      </c>
      <c r="AT188" t="str">
        <f t="shared" si="58"/>
        <v>通常</v>
      </c>
      <c r="AU188">
        <f t="shared" si="65"/>
        <v>0</v>
      </c>
    </row>
    <row r="189" spans="1:47" ht="14.25">
      <c r="A189" s="349" t="str">
        <f>IF(銘柄管理!B140&lt;&gt;"",HYPERLINK("https://kabutan.jp/stock/?code="&amp;銘柄管理!B140,"株探"),"")</f>
        <v>株探</v>
      </c>
      <c r="B189" s="350"/>
      <c r="C189" s="350">
        <f>IF(銘柄管理!B140="","",銘柄管理!B140)</f>
        <v>6740</v>
      </c>
      <c r="D189" s="350" t="str">
        <f>IF(銘柄管理!C140="","",銘柄管理!C140)</f>
        <v>ジャパンディスプレイ</v>
      </c>
      <c r="E189" s="351">
        <f>IF(C189&lt;&gt;"",_xll.RssMarket(C189,"現在値"),"")</f>
        <v>51</v>
      </c>
      <c r="F189" s="351">
        <f>IF(C189&lt;&gt;"",_xll.RssMarket(C189,"始値"),"")</f>
        <v>45</v>
      </c>
      <c r="G189" s="350">
        <f>IF(C189&lt;&gt;"",終値!F140,"")</f>
        <v>45</v>
      </c>
      <c r="H189" s="351">
        <f>IF(C189&lt;&gt;"",_xll.RssMarket(C189,"高値"),"")</f>
        <v>53</v>
      </c>
      <c r="I189" s="351">
        <f>IF(C189&lt;&gt;"",_xll.RssMarket(C189,"安値"),"")</f>
        <v>44</v>
      </c>
      <c r="J189" s="351">
        <f>IF(C189&lt;&gt;"",_xll.RssMarket(C189,"出来高"),"")</f>
        <v>38359900</v>
      </c>
      <c r="K189" s="351">
        <f>IF(C189&lt;&gt;"",_xll.RssMarket(C189,"年初来高値"),"")</f>
        <v>164</v>
      </c>
      <c r="L189" s="352">
        <f t="shared" si="44"/>
        <v>-68.902439024390233</v>
      </c>
      <c r="M189" s="351">
        <f>IF(C189&lt;&gt;"",IFERROR(AVERAGE(出来高!E140:I140),""),"")</f>
        <v>61438120</v>
      </c>
      <c r="N189" s="351">
        <f>IF(C189&lt;&gt;"",IFERROR(AVERAGE(出来高!E140:AC140),""),"")</f>
        <v>62163580</v>
      </c>
      <c r="O189" s="353">
        <f t="shared" si="45"/>
        <v>0.62436643569171713</v>
      </c>
      <c r="P189" s="350" t="str">
        <f t="shared" si="46"/>
        <v>減少↓</v>
      </c>
      <c r="Q189" s="350" t="str">
        <f t="shared" si="47"/>
        <v>様子見▲</v>
      </c>
      <c r="R189" s="351">
        <f t="shared" si="48"/>
        <v>47</v>
      </c>
      <c r="S189" s="351">
        <f t="shared" si="49"/>
        <v>53</v>
      </c>
      <c r="T189" s="350">
        <f t="shared" si="50"/>
        <v>11</v>
      </c>
      <c r="U189" s="350" t="str">
        <f t="shared" si="51"/>
        <v>要確認</v>
      </c>
      <c r="V189" s="350" t="str">
        <f t="shared" si="52"/>
        <v>年初来安値圏●</v>
      </c>
      <c r="W189" s="354" cm="1">
        <f t="array" ref="W189">IFERROR(100-100/(1+SUMPRODUCT((終値!F140:R140&gt;終値!G140:S140)*(終値!F140:R140-終値!G140:S140))/SUMPRODUCT((終値!F140:R140&lt;終値!G140:S140)*(終値!G140:S140-終値!F140:R140))),50)</f>
        <v>26.31578947368422</v>
      </c>
      <c r="X189" s="355">
        <f>IF(C189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-2.7159676642559276</v>
      </c>
      <c r="Y189" s="350" t="str">
        <f t="shared" si="53"/>
        <v>相場上昇・見送り | もみ合い→ MACD- RSI:26.3 [売られ過ぎ] 前日比:+13.3% [年初来安値圏] [11点]</v>
      </c>
      <c r="Z189" s="356">
        <f t="shared" si="54"/>
        <v>13.333333333333334</v>
      </c>
      <c r="AA189" s="350" t="str">
        <f t="shared" si="55"/>
        <v>上昇▲</v>
      </c>
      <c r="AB189" s="351">
        <f>IF(OR(C189="",C189="TOPX",終値!E140=""),"",IFERROR(((終値!E140*0.333)+(終値!F140*0.222)+(終値!G140*0.148)+(終値!H140*0.099)+(終値!I140*0.066))/(0.333+0.222+0.148+0.099+0.066),""))</f>
        <v>50.358294930875566</v>
      </c>
      <c r="AC189" s="351">
        <f>IF(OR(C189="",C189="TOPX",終値!E140=""),"",IFERROR(SUMPRODUCT((終値!E140:AC140)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57.576877234803312</v>
      </c>
      <c r="AD189" s="350" t="str">
        <f t="shared" si="56"/>
        <v>もみ合い→</v>
      </c>
      <c r="AE189" s="350" t="str">
        <f t="shared" si="57"/>
        <v>なし</v>
      </c>
      <c r="AF189" t="str">
        <f>IF(T189="","",IF(銘柄管理!$F$5="上昇▲",IF(AND(AD189="下降トレンド▼",OR(AE189="25日戻り売り★",AE189="5日戻り売り○")),"★逆張り売り",IF(AND(AD189="もみ合い→",OR(AE189="25日戻り売り★",AE189="5日戻り売り○")),"○逆張り売り",IF(W189&gt;=70,IF(Z189&lt;0,"◎反落確認","△過熱・様子見"),"相場上昇・見送り"))),IF(AND(T189&gt;=12,AD189="下降トレンド▼"),"★強い売り",IF(T189&gt;=12,"★強い売り",IF(AND(T189&gt;=8,OR(AE189="25日戻り売り★",AE189="5日戻り売り○")),"◎戻り売り",IF(T189&gt;=10,"○売り候補",IF(T189&gt;=6,"△注目",IF(T189&gt;=3,"様子見","見送り"))))))))</f>
        <v>相場上昇・見送り</v>
      </c>
      <c r="AG189">
        <f t="shared" si="59"/>
        <v>11</v>
      </c>
      <c r="AH189">
        <f t="shared" si="60"/>
        <v>109811</v>
      </c>
      <c r="AI189" s="412" cm="1">
        <f t="array" ref="AI189">IF(C189="","",IFERROR((INDEX(終値!$E:$E,MATCH(TEXT(C189,"0"),終値!$A:$A,0))-INDEX(終値!$E:$BL,MATCH(TEXT(C189,"0"),終値!$A:$A,0),$AN$2))/INDEX(終値!$E:$BL,MATCH(TEXT(C189,"0"),終値!$A:$A,0),$AN$2)*100,""))</f>
        <v>-32</v>
      </c>
      <c r="AJ189" s="412" cm="1">
        <f t="array" ref="AJ189">IFERROR((終値!$E$5-INDEX(終値!$E$5:$BL$5,1,$AN$2))/INDEX(終値!$E$5:$BL$5,1,$AN$2)*100,"")</f>
        <v>3.4532270246721688</v>
      </c>
      <c r="AK189" s="413">
        <f t="shared" si="61"/>
        <v>-35.453227024672167</v>
      </c>
      <c r="AL189" s="411">
        <f t="shared" si="62"/>
        <v>3</v>
      </c>
      <c r="AO189" s="415" t="str">
        <f t="shared" si="63"/>
        <v>通常</v>
      </c>
      <c r="AP189" s="416">
        <f t="shared" si="64"/>
        <v>0</v>
      </c>
      <c r="AQ189">
        <f>IF(C189&lt;&gt;"",始値!F140,"")</f>
        <v>47</v>
      </c>
      <c r="AR189">
        <f>IF(C189&lt;&gt;"",高値!F140,"")</f>
        <v>47</v>
      </c>
      <c r="AS189">
        <f>IF(C189&lt;&gt;"",安値!F140,"")</f>
        <v>48</v>
      </c>
      <c r="AT189" t="str">
        <f t="shared" si="58"/>
        <v>-</v>
      </c>
      <c r="AU189">
        <f t="shared" si="65"/>
        <v>0</v>
      </c>
    </row>
    <row r="190" spans="1:47" ht="14.25">
      <c r="A190" s="357" t="str">
        <f>IF(銘柄管理!B149&lt;&gt;"",HYPERLINK("https://kabutan.jp/stock/?code="&amp;銘柄管理!B149,"株探"),"")</f>
        <v>株探</v>
      </c>
      <c r="B190" s="230"/>
      <c r="C190" s="230">
        <f>IF(銘柄管理!B149="","",銘柄管理!B149)</f>
        <v>7375</v>
      </c>
      <c r="D190" s="230" t="str">
        <f>IF(銘柄管理!C149="","",銘柄管理!C149)</f>
        <v>リファインバースグループ</v>
      </c>
      <c r="E190" s="358">
        <f>IF(C190&lt;&gt;"",_xll.RssMarket(C190,"現在値"),"")</f>
        <v>1329</v>
      </c>
      <c r="F190" s="358">
        <f>IF(C190&lt;&gt;"",_xll.RssMarket(C190,"始値"),"")</f>
        <v>1312</v>
      </c>
      <c r="G190" s="230">
        <f>IF(C190&lt;&gt;"",終値!F149,"")</f>
        <v>1325</v>
      </c>
      <c r="H190" s="358">
        <f>IF(C190&lt;&gt;"",_xll.RssMarket(C190,"高値"),"")</f>
        <v>1369</v>
      </c>
      <c r="I190" s="358">
        <f>IF(C190&lt;&gt;"",_xll.RssMarket(C190,"安値"),"")</f>
        <v>1312</v>
      </c>
      <c r="J190" s="358">
        <f>IF(C190&lt;&gt;"",_xll.RssMarket(C190,"出来高"),"")</f>
        <v>59600</v>
      </c>
      <c r="K190" s="358">
        <f>IF(C190&lt;&gt;"",_xll.RssMarket(C190,"年初来高値"),"")</f>
        <v>2660</v>
      </c>
      <c r="L190" s="359">
        <f t="shared" si="44"/>
        <v>-50.037593984962406</v>
      </c>
      <c r="M190" s="358">
        <f>IF(C190&lt;&gt;"",IFERROR(AVERAGE(出来高!E149:I149),""),"")</f>
        <v>84340</v>
      </c>
      <c r="N190" s="358">
        <f>IF(C190&lt;&gt;"",IFERROR(AVERAGE(出来高!E149:AC149),""),"")</f>
        <v>211364</v>
      </c>
      <c r="O190" s="360">
        <f t="shared" si="45"/>
        <v>0.70666350486127583</v>
      </c>
      <c r="P190" s="230" t="str">
        <f t="shared" si="46"/>
        <v>減少↓</v>
      </c>
      <c r="Q190" s="230" t="str">
        <f t="shared" si="47"/>
        <v>様子見▲</v>
      </c>
      <c r="R190" s="358">
        <f t="shared" si="48"/>
        <v>1223</v>
      </c>
      <c r="S190" s="358">
        <f t="shared" si="49"/>
        <v>1382</v>
      </c>
      <c r="T190" s="350">
        <f t="shared" si="50"/>
        <v>13</v>
      </c>
      <c r="U190" s="230" t="str">
        <f t="shared" si="51"/>
        <v>要確認</v>
      </c>
      <c r="V190" s="230" t="str">
        <f t="shared" si="52"/>
        <v>年初来安値圏●</v>
      </c>
      <c r="W190" s="361" cm="1">
        <f t="array" ref="W190">IFERROR(100-100/(1+SUMPRODUCT((終値!F149:R149&gt;終値!G149:S149)*(終値!F149:R149-終値!G149:S149))/SUMPRODUCT((終値!F149:R149&lt;終値!G149:S149)*(終値!G149:S149-終値!F149:R149))),50)</f>
        <v>11.668928086838534</v>
      </c>
      <c r="X190" s="362">
        <f>IF(C190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-65.305468100095368</v>
      </c>
      <c r="Y190" s="230" t="str">
        <f t="shared" si="53"/>
        <v>相場上昇・見送り | もみ合い→ MACD- RSI:11.7 [売られ過ぎ] 前日比:+0.3% [年初来安値圏] [上ヒゲ陰線▼] [13点]</v>
      </c>
      <c r="Z190" s="363">
        <f t="shared" si="54"/>
        <v>0.30188679245283018</v>
      </c>
      <c r="AA190" s="230" t="str">
        <f t="shared" si="55"/>
        <v>上昇▲</v>
      </c>
      <c r="AB190" s="358">
        <f>IF(OR(C190="",C190="TOPX",終値!E149=""),"",IFERROR(((終値!E149*0.333)+(終値!F149*0.222)+(終値!G149*0.148)+(終値!H149*0.099)+(終値!I149*0.066))/(0.333+0.222+0.148+0.099+0.066),""))</f>
        <v>1321.2868663594468</v>
      </c>
      <c r="AC190" s="358">
        <f>IF(OR(C190="",C190="TOPX",終値!E149=""),"",IFERROR(SUMPRODUCT((終値!E149:AC149)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1477.9570917759233</v>
      </c>
      <c r="AD190" s="230" t="str">
        <f t="shared" si="56"/>
        <v>もみ合い→</v>
      </c>
      <c r="AE190" s="230" t="str">
        <f t="shared" si="57"/>
        <v>なし</v>
      </c>
      <c r="AF190" t="str">
        <f>IF(T190="","",IF(銘柄管理!$F$5="上昇▲",IF(AND(AD190="下降トレンド▼",OR(AE190="25日戻り売り★",AE190="5日戻り売り○")),"★逆張り売り",IF(AND(AD190="もみ合い→",OR(AE190="25日戻り売り★",AE190="5日戻り売り○")),"○逆張り売り",IF(W190&gt;=70,IF(Z190&lt;0,"◎反落確認","△過熱・様子見"),"相場上昇・見送り"))),IF(AND(T190&gt;=12,AD190="下降トレンド▼"),"★強い売り",IF(T190&gt;=12,"★強い売り",IF(AND(T190&gt;=8,OR(AE190="25日戻り売り★",AE190="5日戻り売り○")),"◎戻り売り",IF(T190&gt;=10,"○売り候補",IF(T190&gt;=6,"△注目",IF(T190&gt;=3,"様子見","見送り"))))))))</f>
        <v>相場上昇・見送り</v>
      </c>
      <c r="AG190">
        <f t="shared" si="59"/>
        <v>13</v>
      </c>
      <c r="AH190">
        <f t="shared" si="60"/>
        <v>129810</v>
      </c>
      <c r="AI190" s="412" cm="1">
        <f t="array" ref="AI190">IF(C190="","",IFERROR((INDEX(終値!$E:$E,MATCH(TEXT(C190,"0"),終値!$A:$A,0))-INDEX(終値!$E:$BL,MATCH(TEXT(C190,"0"),終値!$A:$A,0),$AN$2))/INDEX(終値!$E:$BL,MATCH(TEXT(C190,"0"),終値!$A:$A,0),$AN$2)*100,""))</f>
        <v>-13.137254901960786</v>
      </c>
      <c r="AJ190" s="412" cm="1">
        <f t="array" ref="AJ190">IFERROR((終値!$E$5-INDEX(終値!$E$5:$BL$5,1,$AN$2))/INDEX(終値!$E$5:$BL$5,1,$AN$2)*100,"")</f>
        <v>3.4532270246721688</v>
      </c>
      <c r="AK190" s="413">
        <f t="shared" si="61"/>
        <v>-16.590481926632954</v>
      </c>
      <c r="AL190" s="411">
        <f t="shared" si="62"/>
        <v>3</v>
      </c>
      <c r="AO190" s="415" t="str">
        <f t="shared" si="63"/>
        <v>上ヒゲ陰線▼</v>
      </c>
      <c r="AP190" s="416">
        <f t="shared" si="64"/>
        <v>2</v>
      </c>
      <c r="AQ190">
        <f>IF(C190&lt;&gt;"",始値!F149,"")</f>
        <v>1267</v>
      </c>
      <c r="AR190">
        <f>IF(C190&lt;&gt;"",高値!F149,"")</f>
        <v>1346</v>
      </c>
      <c r="AS190">
        <f>IF(C190&lt;&gt;"",安値!F149,"")</f>
        <v>1261</v>
      </c>
      <c r="AT190" t="str">
        <f t="shared" si="58"/>
        <v>通常</v>
      </c>
      <c r="AU190">
        <f t="shared" si="65"/>
        <v>0</v>
      </c>
    </row>
    <row r="191" spans="1:47" ht="14.25">
      <c r="A191" s="349" t="str">
        <f>IF(銘柄管理!B172&lt;&gt;"",HYPERLINK("https://kabutan.jp/stock/?code="&amp;銘柄管理!B172,"株探"),"")</f>
        <v>株探</v>
      </c>
      <c r="B191" s="350"/>
      <c r="C191" s="350">
        <f>IF(銘柄管理!B172="","",銘柄管理!B172)</f>
        <v>8303</v>
      </c>
      <c r="D191" s="350" t="str">
        <f>IF(銘柄管理!C172="","",銘柄管理!C172)</f>
        <v>ＳＢＩ新生銀行</v>
      </c>
      <c r="E191" s="351">
        <f>IF(C191&lt;&gt;"",_xll.RssMarket(C191,"現在値"),"")</f>
        <v>1445</v>
      </c>
      <c r="F191" s="351">
        <f>IF(C191&lt;&gt;"",_xll.RssMarket(C191,"始値"),"")</f>
        <v>1470</v>
      </c>
      <c r="G191" s="350">
        <f>IF(C191&lt;&gt;"",終値!F172,"")</f>
        <v>1449</v>
      </c>
      <c r="H191" s="351">
        <f>IF(C191&lt;&gt;"",_xll.RssMarket(C191,"高値"),"")</f>
        <v>1496</v>
      </c>
      <c r="I191" s="351">
        <f>IF(C191&lt;&gt;"",_xll.RssMarket(C191,"安値"),"")</f>
        <v>1445</v>
      </c>
      <c r="J191" s="351">
        <f>IF(C191&lt;&gt;"",_xll.RssMarket(C191,"出来高"),"")</f>
        <v>5468800</v>
      </c>
      <c r="K191" s="351">
        <f>IF(C191&lt;&gt;"",_xll.RssMarket(C191,"年初来高値"),"")</f>
        <v>2200</v>
      </c>
      <c r="L191" s="352">
        <f t="shared" si="44"/>
        <v>-34.31818181818182</v>
      </c>
      <c r="M191" s="351">
        <f>IF(C191&lt;&gt;"",IFERROR(AVERAGE(出来高!E172:I172),""),"")</f>
        <v>6897500</v>
      </c>
      <c r="N191" s="351">
        <f>IF(C191&lt;&gt;"",IFERROR(AVERAGE(出来高!E172:AC172),""),"")</f>
        <v>6529920</v>
      </c>
      <c r="O191" s="353">
        <f t="shared" si="45"/>
        <v>0.7928669807901414</v>
      </c>
      <c r="P191" s="350" t="str">
        <f t="shared" si="46"/>
        <v>減少↓</v>
      </c>
      <c r="Q191" s="350" t="str">
        <f t="shared" si="47"/>
        <v>中立→</v>
      </c>
      <c r="R191" s="351">
        <f t="shared" si="48"/>
        <v>1329</v>
      </c>
      <c r="S191" s="351">
        <f t="shared" si="49"/>
        <v>1503</v>
      </c>
      <c r="T191" s="350">
        <f t="shared" si="50"/>
        <v>15</v>
      </c>
      <c r="U191" s="350" t="str">
        <f t="shared" si="51"/>
        <v>要確認</v>
      </c>
      <c r="V191" s="350" t="str">
        <f t="shared" si="52"/>
        <v>安値圏</v>
      </c>
      <c r="W191" s="354" cm="1">
        <f t="array" ref="W191">IFERROR(100-100/(1+SUMPRODUCT((終値!F172:R172&gt;終値!G172:S172)*(終値!F172:R172-終値!G172:S172))/SUMPRODUCT((終値!F172:R172&lt;終値!G172:S172)*(終値!G172:S172-終値!F172:R172))),50)</f>
        <v>45.789473684210527</v>
      </c>
      <c r="X191" s="355">
        <f>IF(C191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-16.208410119446853</v>
      </c>
      <c r="Y191" s="350" t="str">
        <f t="shared" si="53"/>
        <v>★逆張り売り | 下降トレンド▼ 25日戻り売り★ MACD- RSI:45.8 前日比:-0.3% [安値圏] [15点]</v>
      </c>
      <c r="Z191" s="356">
        <f t="shared" si="54"/>
        <v>-0.27605244996549344</v>
      </c>
      <c r="AA191" s="350" t="str">
        <f t="shared" si="55"/>
        <v>下落▼</v>
      </c>
      <c r="AB191" s="351">
        <f>IF(OR(C191="",C191="TOPX",終値!E172=""),"",IFERROR(((終値!E172*0.333)+(終値!F172*0.222)+(終値!G172*0.148)+(終値!H172*0.099)+(終値!I172*0.066))/(0.333+0.222+0.148+0.099+0.066),""))</f>
        <v>1447.5541474654374</v>
      </c>
      <c r="AC191" s="351">
        <f>IF(OR(C191="",C191="TOPX",終値!E172=""),"",IFERROR(SUMPRODUCT((終値!E172:AC172)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1456.0232419547076</v>
      </c>
      <c r="AD191" s="350" t="str">
        <f t="shared" si="56"/>
        <v>下降トレンド▼</v>
      </c>
      <c r="AE191" s="350" t="str">
        <f t="shared" si="57"/>
        <v>25日戻り売り★</v>
      </c>
      <c r="AF191" t="str">
        <f>IF(T191="","",IF(銘柄管理!$F$5="上昇▲",IF(AND(AD191="下降トレンド▼",OR(AE191="25日戻り売り★",AE191="5日戻り売り○")),"★逆張り売り",IF(AND(AD191="もみ合い→",OR(AE191="25日戻り売り★",AE191="5日戻り売り○")),"○逆張り売り",IF(W191&gt;=70,IF(Z191&lt;0,"◎反落確認","△過熱・様子見"),"相場上昇・見送り"))),IF(AND(T191&gt;=12,AD191="下降トレンド▼"),"★強い売り",IF(T191&gt;=12,"★強い売り",IF(AND(T191&gt;=8,OR(AE191="25日戻り売り★",AE191="5日戻り売り○")),"◎戻り売り",IF(T191&gt;=10,"○売り候補",IF(T191&gt;=6,"△注目",IF(T191&gt;=3,"様子見","見送り"))))))))</f>
        <v>★逆張り売り</v>
      </c>
      <c r="AG191">
        <f t="shared" si="59"/>
        <v>15</v>
      </c>
      <c r="AH191">
        <f t="shared" si="60"/>
        <v>149809</v>
      </c>
      <c r="AI191" s="412" cm="1">
        <f t="array" ref="AI191">IF(C191="","",IFERROR((INDEX(終値!$E:$E,MATCH(TEXT(C191,"0"),終値!$A:$A,0))-INDEX(終値!$E:$BL,MATCH(TEXT(C191,"0"),終値!$A:$A,0),$AN$2))/INDEX(終値!$E:$BL,MATCH(TEXT(C191,"0"),終値!$A:$A,0),$AN$2)*100,""))</f>
        <v>-12.767884092967099</v>
      </c>
      <c r="AJ191" s="412" cm="1">
        <f t="array" ref="AJ191">IFERROR((終値!$E$5-INDEX(終値!$E$5:$BL$5,1,$AN$2))/INDEX(終値!$E$5:$BL$5,1,$AN$2)*100,"")</f>
        <v>3.4532270246721688</v>
      </c>
      <c r="AK191" s="413">
        <f t="shared" si="61"/>
        <v>-16.221111117639268</v>
      </c>
      <c r="AL191" s="411">
        <f t="shared" si="62"/>
        <v>3</v>
      </c>
      <c r="AO191" s="415" t="str">
        <f t="shared" si="63"/>
        <v>通常</v>
      </c>
      <c r="AP191" s="416">
        <f t="shared" si="64"/>
        <v>0</v>
      </c>
      <c r="AQ191">
        <f>IF(C191&lt;&gt;"",始値!F172,"")</f>
        <v>1493</v>
      </c>
      <c r="AR191">
        <f>IF(C191&lt;&gt;"",高値!F172,"")</f>
        <v>1509</v>
      </c>
      <c r="AS191">
        <f>IF(C191&lt;&gt;"",安値!F172,"")</f>
        <v>1435</v>
      </c>
      <c r="AT191" t="str">
        <f t="shared" si="58"/>
        <v>通常</v>
      </c>
      <c r="AU191">
        <f t="shared" si="65"/>
        <v>0</v>
      </c>
    </row>
    <row r="192" spans="1:47" ht="14.25">
      <c r="A192" s="357" t="str">
        <f>IF(銘柄管理!B173&lt;&gt;"",HYPERLINK("https://kabutan.jp/stock/?code="&amp;銘柄管理!B173,"株探"),"")</f>
        <v>株探</v>
      </c>
      <c r="B192" s="230"/>
      <c r="C192" s="230">
        <f>IF(銘柄管理!B173="","",銘柄管理!B173)</f>
        <v>4382</v>
      </c>
      <c r="D192" s="230" t="str">
        <f>IF(銘柄管理!C173="","",銘柄管理!C173)</f>
        <v>ＨＥＲＯＺ</v>
      </c>
      <c r="E192" s="358">
        <f>IF(C192&lt;&gt;"",_xll.RssMarket(C192,"現在値"),"")</f>
        <v>787</v>
      </c>
      <c r="F192" s="358">
        <f>IF(C192&lt;&gt;"",_xll.RssMarket(C192,"始値"),"")</f>
        <v>792</v>
      </c>
      <c r="G192" s="230">
        <f>IF(C192&lt;&gt;"",終値!F173,"")</f>
        <v>792</v>
      </c>
      <c r="H192" s="358">
        <f>IF(C192&lt;&gt;"",_xll.RssMarket(C192,"高値"),"")</f>
        <v>800</v>
      </c>
      <c r="I192" s="358">
        <f>IF(C192&lt;&gt;"",_xll.RssMarket(C192,"安値"),"")</f>
        <v>781</v>
      </c>
      <c r="J192" s="358">
        <f>IF(C192&lt;&gt;"",_xll.RssMarket(C192,"出来高"),"")</f>
        <v>27300</v>
      </c>
      <c r="K192" s="358">
        <f>IF(C192&lt;&gt;"",_xll.RssMarket(C192,"年初来高値"),"")</f>
        <v>995</v>
      </c>
      <c r="L192" s="359">
        <f t="shared" si="44"/>
        <v>-20.904522613065328</v>
      </c>
      <c r="M192" s="358">
        <f>IF(C192&lt;&gt;"",IFERROR(AVERAGE(出来高!E173:I173),""),"")</f>
        <v>66340</v>
      </c>
      <c r="N192" s="358">
        <f>IF(C192&lt;&gt;"",IFERROR(AVERAGE(出来高!E173:AC173),""),"")</f>
        <v>45892</v>
      </c>
      <c r="O192" s="360">
        <f t="shared" si="45"/>
        <v>0.41151643050949654</v>
      </c>
      <c r="P192" s="230" t="str">
        <f t="shared" si="46"/>
        <v>減少↓</v>
      </c>
      <c r="Q192" s="230" t="str">
        <f t="shared" si="47"/>
        <v>中立→</v>
      </c>
      <c r="R192" s="358">
        <f t="shared" si="48"/>
        <v>724</v>
      </c>
      <c r="S192" s="358">
        <f t="shared" si="49"/>
        <v>818</v>
      </c>
      <c r="T192" s="350">
        <f t="shared" si="50"/>
        <v>4</v>
      </c>
      <c r="U192" s="230" t="str">
        <f t="shared" si="51"/>
        <v>要確認</v>
      </c>
      <c r="V192" s="230" t="str">
        <f t="shared" si="52"/>
        <v>通常</v>
      </c>
      <c r="W192" s="361" cm="1">
        <f t="array" ref="W192">IFERROR(100-100/(1+SUMPRODUCT((終値!F173:R173&gt;終値!G173:S173)*(終値!F173:R173-終値!G173:S173))/SUMPRODUCT((終値!F173:R173&lt;終値!G173:S173)*(終値!G173:S173-終値!F173:R173))),50)</f>
        <v>58.82352941176471</v>
      </c>
      <c r="X192" s="362">
        <f>IF(C192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0.77487770608877327</v>
      </c>
      <c r="Y192" s="230" t="str">
        <f t="shared" si="53"/>
        <v>相場上昇・見送り | パーフェクト▲ MACD+ RSI:58.8 前日比:-0.6% [4点]</v>
      </c>
      <c r="Z192" s="363">
        <f t="shared" si="54"/>
        <v>-0.63131313131313127</v>
      </c>
      <c r="AA192" s="230" t="str">
        <f t="shared" si="55"/>
        <v>下落▼</v>
      </c>
      <c r="AB192" s="358">
        <f>IF(OR(C192="",C192="TOPX",終値!E173=""),"",IFERROR(((終値!E173*0.333)+(終値!F173*0.222)+(終値!G173*0.148)+(終値!H173*0.099)+(終値!I173*0.066))/(0.333+0.222+0.148+0.099+0.066),""))</f>
        <v>786.216589861751</v>
      </c>
      <c r="AC192" s="358">
        <f>IF(OR(C192="",C192="TOPX",終値!E173=""),"",IFERROR(SUMPRODUCT((終値!E173:AC173)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751.26817640047659</v>
      </c>
      <c r="AD192" s="230" t="str">
        <f t="shared" si="56"/>
        <v>パーフェクト▲</v>
      </c>
      <c r="AE192" s="230" t="str">
        <f t="shared" si="57"/>
        <v>なし</v>
      </c>
      <c r="AF192" t="str">
        <f>IF(T192="","",IF(銘柄管理!$F$5="上昇▲",IF(AND(AD192="下降トレンド▼",OR(AE192="25日戻り売り★",AE192="5日戻り売り○")),"★逆張り売り",IF(AND(AD192="もみ合い→",OR(AE192="25日戻り売り★",AE192="5日戻り売り○")),"○逆張り売り",IF(W192&gt;=70,IF(Z192&lt;0,"◎反落確認","△過熱・様子見"),"相場上昇・見送り"))),IF(AND(T192&gt;=12,AD192="下降トレンド▼"),"★強い売り",IF(T192&gt;=12,"★強い売り",IF(AND(T192&gt;=8,OR(AE192="25日戻り売り★",AE192="5日戻り売り○")),"◎戻り売り",IF(T192&gt;=10,"○売り候補",IF(T192&gt;=6,"△注目",IF(T192&gt;=3,"様子見","見送り"))))))))</f>
        <v>相場上昇・見送り</v>
      </c>
      <c r="AG192">
        <f t="shared" si="59"/>
        <v>0</v>
      </c>
      <c r="AH192">
        <f t="shared" si="60"/>
        <v>0</v>
      </c>
      <c r="AI192" s="412" cm="1">
        <f t="array" ref="AI192">IF(C192="","",IFERROR((INDEX(終値!$E:$E,MATCH(TEXT(C192,"0"),終値!$A:$A,0))-INDEX(終値!$E:$BL,MATCH(TEXT(C192,"0"),終値!$A:$A,0),$AN$2))/INDEX(終値!$E:$BL,MATCH(TEXT(C192,"0"),終値!$A:$A,0),$AN$2)*100,""))</f>
        <v>2.2077922077922079</v>
      </c>
      <c r="AJ192" s="412" cm="1">
        <f t="array" ref="AJ192">IFERROR((終値!$E$5-INDEX(終値!$E$5:$BL$5,1,$AN$2))/INDEX(終値!$E$5:$BL$5,1,$AN$2)*100,"")</f>
        <v>3.4532270246721688</v>
      </c>
      <c r="AK192" s="413">
        <f t="shared" si="61"/>
        <v>-1.2454348168799609</v>
      </c>
      <c r="AL192" s="411">
        <f t="shared" si="62"/>
        <v>1</v>
      </c>
      <c r="AO192" s="415" t="str">
        <f t="shared" si="63"/>
        <v>通常</v>
      </c>
      <c r="AP192" s="416">
        <f t="shared" si="64"/>
        <v>0</v>
      </c>
      <c r="AQ192">
        <f>IF(C192&lt;&gt;"",始値!F173,"")</f>
        <v>788</v>
      </c>
      <c r="AR192">
        <f>IF(C192&lt;&gt;"",高値!F173,"")</f>
        <v>805</v>
      </c>
      <c r="AS192">
        <f>IF(C192&lt;&gt;"",安値!F173,"")</f>
        <v>762</v>
      </c>
      <c r="AT192" t="str">
        <f t="shared" si="58"/>
        <v>通常</v>
      </c>
      <c r="AU192">
        <f t="shared" si="65"/>
        <v>0</v>
      </c>
    </row>
    <row r="193" spans="1:47" ht="14.25">
      <c r="A193" s="349" t="str">
        <f>IF(銘柄管理!B186&lt;&gt;"",HYPERLINK("https://kabutan.jp/stock/?code="&amp;銘柄管理!B186,"株探"),"")</f>
        <v>株探</v>
      </c>
      <c r="B193" s="350"/>
      <c r="C193" s="350">
        <f>IF(銘柄管理!B186="","",銘柄管理!B186)</f>
        <v>9506</v>
      </c>
      <c r="D193" s="350" t="str">
        <f>IF(銘柄管理!C186="","",銘柄管理!C186)</f>
        <v>東北電力</v>
      </c>
      <c r="E193" s="351">
        <f>IF(C193&lt;&gt;"",_xll.RssMarket(C193,"現在値"),"")</f>
        <v>1046</v>
      </c>
      <c r="F193" s="351">
        <f>IF(C193&lt;&gt;"",_xll.RssMarket(C193,"始値"),"")</f>
        <v>1043.5</v>
      </c>
      <c r="G193" s="350">
        <f>IF(C193&lt;&gt;"",終値!F186,"")</f>
        <v>1043.5</v>
      </c>
      <c r="H193" s="351">
        <f>IF(C193&lt;&gt;"",_xll.RssMarket(C193,"高値"),"")</f>
        <v>1053</v>
      </c>
      <c r="I193" s="351">
        <f>IF(C193&lt;&gt;"",_xll.RssMarket(C193,"安値"),"")</f>
        <v>1032.5</v>
      </c>
      <c r="J193" s="351">
        <f>IF(C193&lt;&gt;"",_xll.RssMarket(C193,"出来高"),"")</f>
        <v>1967700</v>
      </c>
      <c r="K193" s="351">
        <f>IF(C193&lt;&gt;"",_xll.RssMarket(C193,"年初来高値"),"")</f>
        <v>1323</v>
      </c>
      <c r="L193" s="352">
        <f t="shared" si="44"/>
        <v>-20.93726379440665</v>
      </c>
      <c r="M193" s="351">
        <f>IF(C193&lt;&gt;"",IFERROR(AVERAGE(出来高!E186:I186),""),"")</f>
        <v>2126880</v>
      </c>
      <c r="N193" s="351">
        <f>IF(C193&lt;&gt;"",IFERROR(AVERAGE(出来高!E186:AC186),""),"")</f>
        <v>2616836</v>
      </c>
      <c r="O193" s="353">
        <f t="shared" si="45"/>
        <v>0.92515797788309639</v>
      </c>
      <c r="P193" s="350" t="str">
        <f t="shared" si="46"/>
        <v>減少↓</v>
      </c>
      <c r="Q193" s="350" t="str">
        <f t="shared" si="47"/>
        <v>様子見▲</v>
      </c>
      <c r="R193" s="351">
        <f t="shared" si="48"/>
        <v>962</v>
      </c>
      <c r="S193" s="351">
        <f t="shared" si="49"/>
        <v>1088</v>
      </c>
      <c r="T193" s="350">
        <f t="shared" si="50"/>
        <v>4</v>
      </c>
      <c r="U193" s="350" t="str">
        <f t="shared" si="51"/>
        <v>要確認</v>
      </c>
      <c r="V193" s="350" t="str">
        <f t="shared" si="52"/>
        <v>通常</v>
      </c>
      <c r="W193" s="354" cm="1">
        <f t="array" ref="W193">IFERROR(100-100/(1+SUMPRODUCT((終値!F186:R186&gt;終値!G186:S186)*(終値!F186:R186-終値!G186:S186))/SUMPRODUCT((終値!F186:R186&lt;終値!G186:S186)*(終値!G186:S186-終値!F186:R186))),50)</f>
        <v>61.569416498993967</v>
      </c>
      <c r="X193" s="355">
        <f>IF(C193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0.86969817584099474</v>
      </c>
      <c r="Y193" s="350" t="str">
        <f t="shared" si="53"/>
        <v>相場上昇・見送り | パーフェクト▲ MACD+ RSI:61.6 前日比:+0.2% [4点]</v>
      </c>
      <c r="Z193" s="356">
        <f t="shared" si="54"/>
        <v>0.23957834211787254</v>
      </c>
      <c r="AA193" s="350" t="str">
        <f t="shared" si="55"/>
        <v>上昇▲</v>
      </c>
      <c r="AB193" s="351">
        <f>IF(OR(C193="",C193="TOPX",終値!E186=""),"",IFERROR(((終値!E186*0.333)+(終値!F186*0.222)+(終値!G186*0.148)+(終値!H186*0.099)+(終値!I186*0.066))/(0.333+0.222+0.148+0.099+0.066),""))</f>
        <v>1035.3865207373271</v>
      </c>
      <c r="AC193" s="351">
        <f>IF(OR(C193="",C193="TOPX",終値!E186=""),"",IFERROR(SUMPRODUCT((終値!E186:AC186)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1016.7145411203808</v>
      </c>
      <c r="AD193" s="350" t="str">
        <f t="shared" si="56"/>
        <v>パーフェクト▲</v>
      </c>
      <c r="AE193" s="350" t="str">
        <f t="shared" si="57"/>
        <v>なし</v>
      </c>
      <c r="AF193" t="str">
        <f>IF(T193="","",IF(銘柄管理!$F$5="上昇▲",IF(AND(AD193="下降トレンド▼",OR(AE193="25日戻り売り★",AE193="5日戻り売り○")),"★逆張り売り",IF(AND(AD193="もみ合い→",OR(AE193="25日戻り売り★",AE193="5日戻り売り○")),"○逆張り売り",IF(W193&gt;=70,IF(Z193&lt;0,"◎反落確認","△過熱・様子見"),"相場上昇・見送り"))),IF(AND(T193&gt;=12,AD193="下降トレンド▼"),"★強い売り",IF(T193&gt;=12,"★強い売り",IF(AND(T193&gt;=8,OR(AE193="25日戻り売り★",AE193="5日戻り売り○")),"◎戻り売り",IF(T193&gt;=10,"○売り候補",IF(T193&gt;=6,"△注目",IF(T193&gt;=3,"様子見","見送り"))))))))</f>
        <v>相場上昇・見送り</v>
      </c>
      <c r="AG193">
        <f t="shared" si="59"/>
        <v>0</v>
      </c>
      <c r="AH193">
        <f t="shared" si="60"/>
        <v>0</v>
      </c>
      <c r="AI193" s="412" cm="1">
        <f t="array" ref="AI193">IF(C193="","",IFERROR((INDEX(終値!$E:$E,MATCH(TEXT(C193,"0"),終値!$A:$A,0))-INDEX(終値!$E:$BL,MATCH(TEXT(C193,"0"),終値!$A:$A,0),$AN$2))/INDEX(終値!$E:$BL,MATCH(TEXT(C193,"0"),終値!$A:$A,0),$AN$2)*100,""))</f>
        <v>-0.61757719714964376</v>
      </c>
      <c r="AJ193" s="412" cm="1">
        <f t="array" ref="AJ193">IFERROR((終値!$E$5-INDEX(終値!$E$5:$BL$5,1,$AN$2))/INDEX(終値!$E$5:$BL$5,1,$AN$2)*100,"")</f>
        <v>3.4532270246721688</v>
      </c>
      <c r="AK193" s="413">
        <f t="shared" si="61"/>
        <v>-4.0708042218218123</v>
      </c>
      <c r="AL193" s="411">
        <f t="shared" si="62"/>
        <v>1</v>
      </c>
      <c r="AO193" s="415" t="str">
        <f t="shared" si="63"/>
        <v>通常</v>
      </c>
      <c r="AP193" s="416">
        <f t="shared" si="64"/>
        <v>0</v>
      </c>
      <c r="AQ193">
        <f>IF(C193&lt;&gt;"",始値!F186,"")</f>
        <v>1058.5</v>
      </c>
      <c r="AR193">
        <f>IF(C193&lt;&gt;"",高値!F186,"")</f>
        <v>1066</v>
      </c>
      <c r="AS193">
        <f>IF(C193&lt;&gt;"",安値!F186,"")</f>
        <v>1039.5</v>
      </c>
      <c r="AT193" t="str">
        <f t="shared" si="58"/>
        <v>通常</v>
      </c>
      <c r="AU193">
        <f t="shared" si="65"/>
        <v>0</v>
      </c>
    </row>
    <row r="194" spans="1:47" ht="14.25">
      <c r="A194" s="357" t="str">
        <f>IF(銘柄管理!B191&lt;&gt;"",HYPERLINK("https://kabutan.jp/stock/?code="&amp;銘柄管理!B191,"株探"),"")</f>
        <v>株探</v>
      </c>
      <c r="B194" s="230"/>
      <c r="C194" s="230" t="str">
        <f>IF(銘柄管理!B191="","",銘柄管理!B191)</f>
        <v>6485</v>
      </c>
      <c r="D194" s="230" t="str">
        <f>IF(銘柄管理!C191="","",銘柄管理!C191)</f>
        <v>前澤給装工業</v>
      </c>
      <c r="E194" s="358">
        <f>IF(C194&lt;&gt;"",_xll.RssMarket(C194,"現在値"),"")</f>
        <v>1454</v>
      </c>
      <c r="F194" s="358">
        <f>IF(C194&lt;&gt;"",_xll.RssMarket(C194,"始値"),"")</f>
        <v>1458</v>
      </c>
      <c r="G194" s="230">
        <f>IF(C194&lt;&gt;"",終値!F191,"")</f>
        <v>1449</v>
      </c>
      <c r="H194" s="358">
        <f>IF(C194&lt;&gt;"",_xll.RssMarket(C194,"高値"),"")</f>
        <v>1469</v>
      </c>
      <c r="I194" s="358">
        <f>IF(C194&lt;&gt;"",_xll.RssMarket(C194,"安値"),"")</f>
        <v>1454</v>
      </c>
      <c r="J194" s="358">
        <f>IF(C194&lt;&gt;"",_xll.RssMarket(C194,"出来高"),"")</f>
        <v>17700</v>
      </c>
      <c r="K194" s="358">
        <f>IF(C194&lt;&gt;"",_xll.RssMarket(C194,"年初来高値"),"")</f>
        <v>1787</v>
      </c>
      <c r="L194" s="359">
        <f t="shared" si="44"/>
        <v>-18.63458310016788</v>
      </c>
      <c r="M194" s="358">
        <f>IF(C194&lt;&gt;"",IFERROR(AVERAGE(出来高!E191:I191),""),"")</f>
        <v>19220</v>
      </c>
      <c r="N194" s="358">
        <f>IF(C194&lt;&gt;"",IFERROR(AVERAGE(出来高!E191:AC191),""),"")</f>
        <v>22828</v>
      </c>
      <c r="O194" s="360">
        <f t="shared" si="45"/>
        <v>0.92091571279916751</v>
      </c>
      <c r="P194" s="230" t="str">
        <f t="shared" si="46"/>
        <v>減少↓</v>
      </c>
      <c r="Q194" s="230" t="str">
        <f t="shared" si="47"/>
        <v>様子見▲</v>
      </c>
      <c r="R194" s="358">
        <f t="shared" si="48"/>
        <v>1338</v>
      </c>
      <c r="S194" s="358">
        <f t="shared" si="49"/>
        <v>1512</v>
      </c>
      <c r="T194" s="350">
        <f t="shared" si="50"/>
        <v>9</v>
      </c>
      <c r="U194" s="230" t="str">
        <f t="shared" si="51"/>
        <v>要確認</v>
      </c>
      <c r="V194" s="230" t="str">
        <f t="shared" si="52"/>
        <v>通常</v>
      </c>
      <c r="W194" s="361" cm="1">
        <f t="array" ref="W194">IFERROR(100-100/(1+SUMPRODUCT((終値!F191:R191&gt;終値!G191:S191)*(終値!F191:R191-終値!G191:S191))/SUMPRODUCT((終値!F191:R191&lt;終値!G191:S191)*(終値!G191:S191-終値!F191:R191))),50)</f>
        <v>59.313725490196077</v>
      </c>
      <c r="X194" s="362">
        <f>IF(C194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-3.5016776853910869</v>
      </c>
      <c r="Y194" s="230" t="str">
        <f t="shared" si="53"/>
        <v>相場上昇・見送り | パーフェクト▲ MACD- RSI:59.3 前日比:+0.3% [上ヒゲ陰線▼] [9点]</v>
      </c>
      <c r="Z194" s="363">
        <f t="shared" si="54"/>
        <v>0.34506556245686681</v>
      </c>
      <c r="AA194" s="230" t="str">
        <f t="shared" si="55"/>
        <v>上昇▲</v>
      </c>
      <c r="AB194" s="358">
        <f>IF(OR(C194="",C194="TOPX",終値!E191=""),"",IFERROR(((終値!E191*0.333)+(終値!F191*0.222)+(終値!G191*0.148)+(終値!H191*0.099)+(終値!I191*0.066))/(0.333+0.222+0.148+0.099+0.066),""))</f>
        <v>1440.8006912442395</v>
      </c>
      <c r="AC194" s="358">
        <f>IF(OR(C194="",C194="TOPX",終値!E191=""),"",IFERROR(SUMPRODUCT((終値!E191:AC191)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1432.8760429082233</v>
      </c>
      <c r="AD194" s="230" t="str">
        <f t="shared" si="56"/>
        <v>パーフェクト▲</v>
      </c>
      <c r="AE194" s="230" t="str">
        <f t="shared" si="57"/>
        <v>なし</v>
      </c>
      <c r="AF194" t="str">
        <f>IF(T194="","",IF(銘柄管理!$F$5="上昇▲",IF(AND(AD194="下降トレンド▼",OR(AE194="25日戻り売り★",AE194="5日戻り売り○")),"★逆張り売り",IF(AND(AD194="もみ合い→",OR(AE194="25日戻り売り★",AE194="5日戻り売り○")),"○逆張り売り",IF(W194&gt;=70,IF(Z194&lt;0,"◎反落確認","△過熱・様子見"),"相場上昇・見送り"))),IF(AND(T194&gt;=12,AD194="下降トレンド▼"),"★強い売り",IF(T194&gt;=12,"★強い売り",IF(AND(T194&gt;=8,OR(AE194="25日戻り売り★",AE194="5日戻り売り○")),"◎戻り売り",IF(T194&gt;=10,"○売り候補",IF(T194&gt;=6,"△注目",IF(T194&gt;=3,"様子見","見送り"))))))))</f>
        <v>相場上昇・見送り</v>
      </c>
      <c r="AG194">
        <f t="shared" si="59"/>
        <v>9</v>
      </c>
      <c r="AH194">
        <f t="shared" si="60"/>
        <v>89806</v>
      </c>
      <c r="AI194" s="412" cm="1">
        <f t="array" ref="AI194">IF(C194="","",IFERROR((INDEX(終値!$E:$E,MATCH(TEXT(C194,"0"),終値!$A:$A,0))-INDEX(終値!$E:$BL,MATCH(TEXT(C194,"0"),終値!$A:$A,0),$AN$2))/INDEX(終値!$E:$BL,MATCH(TEXT(C194,"0"),終値!$A:$A,0),$AN$2)*100,""))</f>
        <v>-4.5931758530183728</v>
      </c>
      <c r="AJ194" s="412" cm="1">
        <f t="array" ref="AJ194">IFERROR((終値!$E$5-INDEX(終値!$E$5:$BL$5,1,$AN$2))/INDEX(終値!$E$5:$BL$5,1,$AN$2)*100,"")</f>
        <v>3.4532270246721688</v>
      </c>
      <c r="AK194" s="413">
        <f t="shared" si="61"/>
        <v>-8.0464028776905412</v>
      </c>
      <c r="AL194" s="411">
        <f t="shared" si="62"/>
        <v>3</v>
      </c>
      <c r="AO194" s="415" t="str">
        <f t="shared" si="63"/>
        <v>上ヒゲ陰線▼</v>
      </c>
      <c r="AP194" s="416">
        <f t="shared" si="64"/>
        <v>2</v>
      </c>
      <c r="AQ194">
        <f>IF(C194&lt;&gt;"",始値!F191,"")</f>
        <v>1440</v>
      </c>
      <c r="AR194">
        <f>IF(C194&lt;&gt;"",高値!F191,"")</f>
        <v>1450</v>
      </c>
      <c r="AS194">
        <f>IF(C194&lt;&gt;"",安値!F191,"")</f>
        <v>1434</v>
      </c>
      <c r="AT194" t="str">
        <f t="shared" si="58"/>
        <v>通常</v>
      </c>
      <c r="AU194">
        <f t="shared" si="65"/>
        <v>0</v>
      </c>
    </row>
    <row r="195" spans="1:47" ht="14.25">
      <c r="A195" s="349" t="str">
        <f>IF(銘柄管理!B192&lt;&gt;"",HYPERLINK("https://kabutan.jp/stock/?code="&amp;銘柄管理!B192,"株探"),"")</f>
        <v>株探</v>
      </c>
      <c r="B195" s="350"/>
      <c r="C195" s="350">
        <f>IF(銘柄管理!B192="","",銘柄管理!B192)</f>
        <v>4887</v>
      </c>
      <c r="D195" s="350" t="str">
        <f>IF(銘柄管理!C192="","",銘柄管理!C192)</f>
        <v>サワイグループＨＤ</v>
      </c>
      <c r="E195" s="351">
        <f>IF(C195&lt;&gt;"",_xll.RssMarket(C195,"現在値"),"")</f>
        <v>1676.5</v>
      </c>
      <c r="F195" s="351">
        <f>IF(C195&lt;&gt;"",_xll.RssMarket(C195,"始値"),"")</f>
        <v>1662.5</v>
      </c>
      <c r="G195" s="350">
        <f>IF(C195&lt;&gt;"",終値!F192,"")</f>
        <v>1650.5</v>
      </c>
      <c r="H195" s="351">
        <f>IF(C195&lt;&gt;"",_xll.RssMarket(C195,"高値"),"")</f>
        <v>1683</v>
      </c>
      <c r="I195" s="351">
        <f>IF(C195&lt;&gt;"",_xll.RssMarket(C195,"安値"),"")</f>
        <v>1646.5</v>
      </c>
      <c r="J195" s="351">
        <f>IF(C195&lt;&gt;"",_xll.RssMarket(C195,"出来高"),"")</f>
        <v>653900</v>
      </c>
      <c r="K195" s="351">
        <f>IF(C195&lt;&gt;"",_xll.RssMarket(C195,"年初来高値"),"")</f>
        <v>2447</v>
      </c>
      <c r="L195" s="352">
        <f t="shared" ref="L195:L206" si="66">IF(AND(E195&lt;&gt;"",K195&lt;&gt;"",K195&lt;&gt;0),(E195-K195)/K195*100,"")</f>
        <v>-31.487535758071104</v>
      </c>
      <c r="M195" s="351">
        <f>IF(C195&lt;&gt;"",IFERROR(AVERAGE(出来高!E192:I192),""),"")</f>
        <v>479460</v>
      </c>
      <c r="N195" s="351">
        <f>IF(C195&lt;&gt;"",IFERROR(AVERAGE(出来高!E192:AC192),""),"")</f>
        <v>596512</v>
      </c>
      <c r="O195" s="353">
        <f t="shared" ref="O195:O206" si="67">IF(AND(J195&lt;&gt;"",M195&lt;&gt;"",M195&lt;&gt;0),J195/M195,"")</f>
        <v>1.3638259708839111</v>
      </c>
      <c r="P195" s="350" t="str">
        <f t="shared" ref="P195:P206" si="68">IF(O195="","",IF(O195&gt;=2,"急増↑↑",IF(O195&gt;=1.5,"増加↑",IF(O195&gt;=1,"普通→","減少↓"))))</f>
        <v>普通→</v>
      </c>
      <c r="Q195" s="350" t="str">
        <f t="shared" ref="Q195:Q206" si="69">IF(E195="","",IF(AND(E195&lt;G195,O195&gt;=1.5),"売り▼",IF(E195&gt;G195,"様子見▲","中立→")))</f>
        <v>様子見▲</v>
      </c>
      <c r="R195" s="351">
        <f t="shared" ref="R195:R206" si="70">IF(E195&lt;&gt;"",ROUND(E195*0.92,0),"")</f>
        <v>1542</v>
      </c>
      <c r="S195" s="351">
        <f t="shared" ref="S195:S206" si="71">IF(E195&lt;&gt;"",ROUND(E195*1.04,0),"")</f>
        <v>1744</v>
      </c>
      <c r="T195" s="350">
        <f t="shared" ref="T195:T206" si="72">IF(C195="","",IFERROR(IF(W195&gt;=70,3,IF(W195&gt;=60,2,IF(W195&gt;=50,1,0)))+IF(X195&lt;0,2,0)+IF(AD195="下降トレンド▼",3,IF(AD195="もみ合い→",1,0))+IF(V195="年初来安値圏●",3,IF(V195="安値圏",2,0))+IF(Q195="売り▼",2,0)+IF(P195="急増↑↑",2,IF(P195="増加↑",1,0))+IF(Z195&lt;0,1,0)+IF(L195&lt;=-30,2,IF(L195&lt;=-15,1,0))+IF(AE195="25日戻り売り★",2,IF(AE195="5日戻り売り○",1,0))+N(AL195)+N(AP195)+N(AU195),0))</f>
        <v>13</v>
      </c>
      <c r="U195" s="350" t="str">
        <f t="shared" ref="U195:U206" si="73">IF(T195="","",IF(AND(T195&gt;=3,O195&gt;=1.5),"有効",IF(T195&gt;=3,"要確認","除外")))</f>
        <v>要確認</v>
      </c>
      <c r="V195" s="350" t="str">
        <f t="shared" ref="V195:V206" si="74">IF(AND(I195&lt;&gt;"",K195&lt;&gt;""),IF(I195&lt;=K195*0.6,"年初来安値圏●",IF(I195&lt;=K195*0.75,"安値圏","通常")),"")</f>
        <v>安値圏</v>
      </c>
      <c r="W195" s="354" cm="1">
        <f t="array" ref="W195">IFERROR(100-100/(1+SUMPRODUCT((終値!F192:R192&gt;終値!G192:S192)*(終値!F192:R192-終値!G192:S192))/SUMPRODUCT((終値!F192:R192&lt;終値!G192:S192)*(終値!G192:S192-終値!F192:R192))),50)</f>
        <v>28.675136116152444</v>
      </c>
      <c r="X195" s="355">
        <f>IF(C195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-25.619543542203473</v>
      </c>
      <c r="Y195" s="350" t="str">
        <f t="shared" ref="Y195:Y206" si="75">IF(AF195="","",AF195&amp;" | "&amp;AD195&amp;IF(AE195&lt;&gt;"なし"," "&amp;AE195,"")&amp;IF(X195&lt;0," MACD-"," MACD+")&amp;" RSI:"&amp;TEXT(W195,"0.0")&amp;IF(W195&gt;=70," [過熱]",IF(W195&lt;=30," [売られ過ぎ]",""))&amp;" 前日比:"&amp;TEXT(Z195,"+0.0;-0.0;0.0")&amp;"%"&amp;IF(V195="年初来安値圏●"," [年初来安値圏]",IF(V195="安値圏"," [安値圏]",""))&amp;IF(OR(AO195="通常",AO195="-"),""," ["&amp;AO195&amp;"]")&amp;IF(OR(AT195="通常",AT195="-"),"","前日["&amp;AT195&amp;"]")&amp;" ["&amp;T195&amp;"点]")</f>
        <v>★逆張り売り | 下降トレンド▼ 5日戻り売り○ MACD- RSI:28.7 [売られ過ぎ] 前日比:+1.6% [安値圏] [13点]</v>
      </c>
      <c r="Z195" s="356">
        <f t="shared" ref="Z195:Z206" si="76">IF(AND(E195&lt;&gt;"",G195&lt;&gt;"",G195&lt;&gt;0),(E195-G195)/G195*100,"")</f>
        <v>1.5752802181157224</v>
      </c>
      <c r="AA195" s="350" t="str">
        <f t="shared" ref="AA195:AA206" si="77">IF(OR(C195="",E195="",E195=0),"",IF(E195&gt;G195,"上昇▲",IF(E195&lt;G195,"下落▼","横ばい→")))</f>
        <v>上昇▲</v>
      </c>
      <c r="AB195" s="351">
        <f>IF(OR(C195="",C195="TOPX",終値!E192=""),"",IFERROR(((終値!E192*0.333)+(終値!F192*0.222)+(終値!G192*0.148)+(終値!H192*0.099)+(終値!I192*0.066))/(0.333+0.222+0.148+0.099+0.066),""))</f>
        <v>1681.5685483870966</v>
      </c>
      <c r="AC195" s="351">
        <f>IF(OR(C195="",C195="TOPX",終値!E192=""),"",IFERROR(SUMPRODUCT((終値!E192:AC192)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1750.6901072705589</v>
      </c>
      <c r="AD195" s="350" t="str">
        <f t="shared" ref="AD195:AD206" si="78">IF(OR(C195="",AB195="",AC195="",AB195=0,AC195=0),"",IF(AND(E195&gt;AB195,AB195&gt;AC195),"パーフェクト▲",IF(E195&gt;AC195,"上昇トレンド▲",IF(AND(E195&lt;AB195,AB195&lt;AC195),"下降トレンド▼","もみ合い→"))))</f>
        <v>下降トレンド▼</v>
      </c>
      <c r="AE195" s="350" t="str">
        <f t="shared" ref="AE195:AE206" si="79">IF(OR(C195="",AB195="",AC195=""),"",IF(AND(ABS(E195-AC195)/AC195&lt;=0.02,E195&lt;AC195),"25日戻り売り★",IF(AND(ABS(E195-AB195)/AB195&lt;=0.01,E195&lt;AB195),"5日戻り売り○","なし")))</f>
        <v>5日戻り売り○</v>
      </c>
      <c r="AF195" t="str">
        <f>IF(T195="","",IF(銘柄管理!$F$5="上昇▲",IF(AND(AD195="下降トレンド▼",OR(AE195="25日戻り売り★",AE195="5日戻り売り○")),"★逆張り売り",IF(AND(AD195="もみ合い→",OR(AE195="25日戻り売り★",AE195="5日戻り売り○")),"○逆張り売り",IF(W195&gt;=70,IF(Z195&lt;0,"◎反落確認","△過熱・様子見"),"相場上昇・見送り"))),IF(AND(T195&gt;=12,AD195="下降トレンド▼"),"★強い売り",IF(T195&gt;=12,"★強い売り",IF(AND(T195&gt;=8,OR(AE195="25日戻り売り★",AE195="5日戻り売り○")),"◎戻り売り",IF(T195&gt;=10,"○売り候補",IF(T195&gt;=6,"△注目",IF(T195&gt;=3,"様子見","見送り"))))))))</f>
        <v>★逆張り売り</v>
      </c>
      <c r="AG195">
        <f t="shared" si="59"/>
        <v>13</v>
      </c>
      <c r="AH195">
        <f t="shared" si="60"/>
        <v>129805</v>
      </c>
      <c r="AI195" s="412" cm="1">
        <f t="array" ref="AI195">IF(C195="","",IFERROR((INDEX(終値!$E:$E,MATCH(TEXT(C195,"0"),終値!$A:$A,0))-INDEX(終値!$E:$BL,MATCH(TEXT(C195,"0"),終値!$A:$A,0),$AN$2))/INDEX(終値!$E:$BL,MATCH(TEXT(C195,"0"),終値!$A:$A,0),$AN$2)*100,""))</f>
        <v>-19.418409036289354</v>
      </c>
      <c r="AJ195" s="412" cm="1">
        <f t="array" ref="AJ195">IFERROR((終値!$E$5-INDEX(終値!$E$5:$BL$5,1,$AN$2))/INDEX(終値!$E$5:$BL$5,1,$AN$2)*100,"")</f>
        <v>3.4532270246721688</v>
      </c>
      <c r="AK195" s="413">
        <f t="shared" si="61"/>
        <v>-22.871636060961524</v>
      </c>
      <c r="AL195" s="411">
        <f t="shared" si="62"/>
        <v>3</v>
      </c>
      <c r="AO195" s="415" t="str">
        <f t="shared" si="63"/>
        <v>通常</v>
      </c>
      <c r="AP195" s="416">
        <f t="shared" si="64"/>
        <v>0</v>
      </c>
      <c r="AQ195">
        <f>IF(C195&lt;&gt;"",始値!F192,"")</f>
        <v>1664</v>
      </c>
      <c r="AR195">
        <f>IF(C195&lt;&gt;"",高値!F192,"")</f>
        <v>1674</v>
      </c>
      <c r="AS195">
        <f>IF(C195&lt;&gt;"",安値!F192,"")</f>
        <v>1642.5</v>
      </c>
      <c r="AT195" t="str">
        <f t="shared" ref="AT195:AT206" si="80">IF(OR(C195="",AQ195="",AR195="",AS195="",AR195-AS195&lt;=0),"-",IF(AND(AR195-MAX(G195,AQ195)&gt;=ABS(G195-AQ195)*2,MIN(G195,AQ195)-AS195&lt;=ABS(G195-AQ195)*0.5,ABS(G195-AQ195)&gt;0),"上ヒゲ陰線▼",IF(AND(G195&lt;AQ195,ABS(G195-AQ195)&gt;=(AR195-AS195)*0.7),"大陰線▼",IF(AND(MIN(G195,AQ195)-AS195&gt;=(AR195-AS195)*0.5,AR195-MAX(G195,AQ195)&lt;=(AR195-AS195)*0.2),"長い下ヒゲ(反発)","通常"))))</f>
        <v>通常</v>
      </c>
      <c r="AU195">
        <f t="shared" si="65"/>
        <v>0</v>
      </c>
    </row>
    <row r="196" spans="1:47" ht="14.25">
      <c r="A196" s="357" t="str">
        <f>IF(銘柄管理!B194&lt;&gt;"",HYPERLINK("https://kabutan.jp/stock/?code="&amp;銘柄管理!B194,"株探"),"")</f>
        <v>株探</v>
      </c>
      <c r="B196" s="230"/>
      <c r="C196" s="230">
        <f>IF(銘柄管理!B194="","",銘柄管理!B194)</f>
        <v>2702</v>
      </c>
      <c r="D196" s="230" t="str">
        <f>IF(銘柄管理!C194="","",銘柄管理!C194)</f>
        <v>日本マクドナルドＨＬＤＧ</v>
      </c>
      <c r="E196" s="358">
        <f>IF(C196&lt;&gt;"",_xll.RssMarket(C196,"現在値"),"")</f>
        <v>7410</v>
      </c>
      <c r="F196" s="358">
        <f>IF(C196&lt;&gt;"",_xll.RssMarket(C196,"始値"),"")</f>
        <v>7380</v>
      </c>
      <c r="G196" s="230">
        <f>IF(C196&lt;&gt;"",終値!F194,"")</f>
        <v>7380</v>
      </c>
      <c r="H196" s="358">
        <f>IF(C196&lt;&gt;"",_xll.RssMarket(C196,"高値"),"")</f>
        <v>7490</v>
      </c>
      <c r="I196" s="358">
        <f>IF(C196&lt;&gt;"",_xll.RssMarket(C196,"安値"),"")</f>
        <v>7350</v>
      </c>
      <c r="J196" s="358">
        <f>IF(C196&lt;&gt;"",_xll.RssMarket(C196,"出来高"),"")</f>
        <v>918600</v>
      </c>
      <c r="K196" s="358">
        <f>IF(C196&lt;&gt;"",_xll.RssMarket(C196,"年初来高値"),"")</f>
        <v>8780</v>
      </c>
      <c r="L196" s="359">
        <f t="shared" si="66"/>
        <v>-15.603644646924831</v>
      </c>
      <c r="M196" s="358">
        <f>IF(C196&lt;&gt;"",IFERROR(AVERAGE(出来高!E194:I194),""),"")</f>
        <v>849200</v>
      </c>
      <c r="N196" s="358">
        <f>IF(C196&lt;&gt;"",IFERROR(AVERAGE(出来高!E194:AC194),""),"")</f>
        <v>707332</v>
      </c>
      <c r="O196" s="360">
        <f t="shared" si="67"/>
        <v>1.081723975506359</v>
      </c>
      <c r="P196" s="230" t="str">
        <f t="shared" si="68"/>
        <v>普通→</v>
      </c>
      <c r="Q196" s="230" t="str">
        <f t="shared" si="69"/>
        <v>様子見▲</v>
      </c>
      <c r="R196" s="358">
        <f t="shared" si="70"/>
        <v>6817</v>
      </c>
      <c r="S196" s="358">
        <f t="shared" si="71"/>
        <v>7706</v>
      </c>
      <c r="T196" s="350">
        <f t="shared" si="72"/>
        <v>10</v>
      </c>
      <c r="U196" s="230" t="str">
        <f t="shared" si="73"/>
        <v>要確認</v>
      </c>
      <c r="V196" s="230" t="str">
        <f t="shared" si="74"/>
        <v>通常</v>
      </c>
      <c r="W196" s="361" cm="1">
        <f t="array" ref="W196">IFERROR(100-100/(1+SUMPRODUCT((終値!F194:R194&gt;終値!G194:S194)*(終値!F194:R194-終値!G194:S194))/SUMPRODUCT((終値!F194:R194&lt;終値!G194:S194)*(終値!G194:S194-終値!F194:R194))),50)</f>
        <v>25</v>
      </c>
      <c r="X196" s="362">
        <f>IF(C196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-89.475837748116646</v>
      </c>
      <c r="Y196" s="230" t="str">
        <f t="shared" si="75"/>
        <v>★逆張り売り | 下降トレンド▼ 5日戻り売り○ MACD- RSI:25.0 [売られ過ぎ] 前日比:+0.4% [10点]</v>
      </c>
      <c r="Z196" s="363">
        <f t="shared" si="76"/>
        <v>0.40650406504065045</v>
      </c>
      <c r="AA196" s="230" t="str">
        <f t="shared" si="77"/>
        <v>上昇▲</v>
      </c>
      <c r="AB196" s="358">
        <f>IF(OR(C196="",C196="TOPX",終値!E194=""),"",IFERROR(((終値!E194*0.333)+(終値!F194*0.222)+(終値!G194*0.148)+(終値!H194*0.099)+(終値!I194*0.066))/(0.333+0.222+0.148+0.099+0.066),""))</f>
        <v>7414.6313364055286</v>
      </c>
      <c r="AC196" s="358">
        <f>IF(OR(C196="",C196="TOPX",終値!E194=""),"",IFERROR(SUMPRODUCT((終値!E194:AC194)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7604.0286054827138</v>
      </c>
      <c r="AD196" s="230" t="str">
        <f t="shared" si="78"/>
        <v>下降トレンド▼</v>
      </c>
      <c r="AE196" s="230" t="str">
        <f t="shared" si="79"/>
        <v>5日戻り売り○</v>
      </c>
      <c r="AF196" t="str">
        <f>IF(T196="","",IF(銘柄管理!$F$5="上昇▲",IF(AND(AD196="下降トレンド▼",OR(AE196="25日戻り売り★",AE196="5日戻り売り○")),"★逆張り売り",IF(AND(AD196="もみ合い→",OR(AE196="25日戻り売り★",AE196="5日戻り売り○")),"○逆張り売り",IF(W196&gt;=70,IF(Z196&lt;0,"◎反落確認","△過熱・様子見"),"相場上昇・見送り"))),IF(AND(T196&gt;=12,AD196="下降トレンド▼"),"★強い売り",IF(T196&gt;=12,"★強い売り",IF(AND(T196&gt;=8,OR(AE196="25日戻り売り★",AE196="5日戻り売り○")),"◎戻り売り",IF(T196&gt;=10,"○売り候補",IF(T196&gt;=6,"△注目",IF(T196&gt;=3,"様子見","見送り"))))))))</f>
        <v>★逆張り売り</v>
      </c>
      <c r="AG196">
        <f t="shared" ref="AG196:AG206" si="81">IF(AND(T196&gt;=7,C196&lt;&gt;""),T196,0)</f>
        <v>10</v>
      </c>
      <c r="AH196">
        <f t="shared" ref="AH196:AH206" si="82">IF(AG196&gt;0,AG196*10000-ROW(A196),0)</f>
        <v>99804</v>
      </c>
      <c r="AI196" s="412" cm="1">
        <f t="array" ref="AI196">IF(C196="","",IFERROR((INDEX(終値!$E:$E,MATCH(TEXT(C196,"0"),終値!$A:$A,0))-INDEX(終値!$E:$BL,MATCH(TEXT(C196,"0"),終値!$A:$A,0),$AN$2))/INDEX(終値!$E:$BL,MATCH(TEXT(C196,"0"),終値!$A:$A,0),$AN$2)*100,""))</f>
        <v>-11.044417767106843</v>
      </c>
      <c r="AJ196" s="412" cm="1">
        <f t="array" ref="AJ196">IFERROR((終値!$E$5-INDEX(終値!$E$5:$BL$5,1,$AN$2))/INDEX(終値!$E$5:$BL$5,1,$AN$2)*100,"")</f>
        <v>3.4532270246721688</v>
      </c>
      <c r="AK196" s="413">
        <f t="shared" ref="AK196:AK206" si="83">IF(OR(AI196="",AJ196=""),"",AI196-AJ196)</f>
        <v>-14.497644791779011</v>
      </c>
      <c r="AL196" s="411">
        <f t="shared" ref="AL196:AL206" si="84">IF(AK196="","",IF(AK196&lt;-5,3,IF(AK196&lt;0,1,IF(AK196&lt;3,-1,-2))))</f>
        <v>3</v>
      </c>
      <c r="AO196" s="415" t="str">
        <f t="shared" ref="AO196:AO206" si="85">IF(OR($C196="",$E196="",$F196="",$H196="",$I196="",$H196-$I196&lt;=0),"-",IF(AND($H196-MAX($F196,$E196)&gt;=ABS($E196-$F196)*2,MIN($F196,$E196)-$I196&lt;=ABS($E196-$F196)*0.5,ABS($E196-$F196)&gt;0),"上ヒゲ陰線▼",IF(AND($E196&lt;$F196,ABS($E196-$F196)&gt;=($H196-$I196)*0.7),"大陰線▼",IF(AND(MIN($F196,$E196)-$I196&gt;=($H196-$I196)*0.5,$H196-MAX($F196,$E196)&lt;=($H196-$I196)*0.2),"長い下ヒゲ(反発警戒)","通常"))))</f>
        <v>通常</v>
      </c>
      <c r="AP196" s="416">
        <f t="shared" ref="AP196:AP206" si="86">IF($AO196="上ヒゲ陰線▼",2,IF($AO196="大陰線▼",2,IF($AO196="長い下ヒゲ(反発警戒)",-2,0)))</f>
        <v>0</v>
      </c>
      <c r="AQ196">
        <f>IF(C196&lt;&gt;"",始値!F194,"")</f>
        <v>7480</v>
      </c>
      <c r="AR196">
        <f>IF(C196&lt;&gt;"",高値!F194,"")</f>
        <v>7480</v>
      </c>
      <c r="AS196">
        <f>IF(C196&lt;&gt;"",安値!F194,"")</f>
        <v>7320</v>
      </c>
      <c r="AT196" t="str">
        <f t="shared" si="80"/>
        <v>通常</v>
      </c>
      <c r="AU196">
        <f t="shared" ref="AU196:AU206" si="87">IF(AT196="上ヒゲ陰線▼",2,IF(AT196="大陰線▼",2,IF(AT196="長い下ヒゲ(反発)",-2,0)))</f>
        <v>0</v>
      </c>
    </row>
    <row r="197" spans="1:47" ht="14.25">
      <c r="A197" s="349" t="str">
        <f>IF(銘柄管理!B207&lt;&gt;"",HYPERLINK("https://kabutan.jp/stock/?code="&amp;銘柄管理!B207,"株探"),"")</f>
        <v>株探</v>
      </c>
      <c r="B197" s="350"/>
      <c r="C197" s="350">
        <f>IF(銘柄管理!B207="","",銘柄管理!B207)</f>
        <v>7011</v>
      </c>
      <c r="D197" s="350" t="str">
        <f>IF(銘柄管理!C207="","",銘柄管理!C207)</f>
        <v>三菱重工業</v>
      </c>
      <c r="E197" s="351">
        <f>IF(C197&lt;&gt;"",_xll.RssMarket(C197,"現在値"),"")</f>
        <v>3860</v>
      </c>
      <c r="F197" s="351">
        <f>IF(C197&lt;&gt;"",_xll.RssMarket(C197,"始値"),"")</f>
        <v>3810</v>
      </c>
      <c r="G197" s="350">
        <f>IF(C197&lt;&gt;"",終値!F207,"")</f>
        <v>3810</v>
      </c>
      <c r="H197" s="351">
        <f>IF(C197&lt;&gt;"",_xll.RssMarket(C197,"高値"),"")</f>
        <v>3905</v>
      </c>
      <c r="I197" s="351">
        <f>IF(C197&lt;&gt;"",_xll.RssMarket(C197,"安値"),"")</f>
        <v>3796</v>
      </c>
      <c r="J197" s="351">
        <f>IF(C197&lt;&gt;"",_xll.RssMarket(C197,"出来高"),"")</f>
        <v>23776900</v>
      </c>
      <c r="K197" s="351">
        <f>IF(C197&lt;&gt;"",_xll.RssMarket(C197,"年初来高値"),"")</f>
        <v>5208</v>
      </c>
      <c r="L197" s="352">
        <f t="shared" si="66"/>
        <v>-25.883256528417821</v>
      </c>
      <c r="M197" s="351">
        <f>IF(C197&lt;&gt;"",IFERROR(AVERAGE(出来高!E207:I207),""),"")</f>
        <v>21287960</v>
      </c>
      <c r="N197" s="351">
        <f>IF(C197&lt;&gt;"",IFERROR(AVERAGE(出来高!E207:AC207),""),"")</f>
        <v>26752716</v>
      </c>
      <c r="O197" s="353">
        <f t="shared" si="67"/>
        <v>1.116917731901037</v>
      </c>
      <c r="P197" s="350" t="str">
        <f t="shared" si="68"/>
        <v>普通→</v>
      </c>
      <c r="Q197" s="350" t="str">
        <f t="shared" si="69"/>
        <v>様子見▲</v>
      </c>
      <c r="R197" s="351">
        <f t="shared" si="70"/>
        <v>3551</v>
      </c>
      <c r="S197" s="351">
        <f t="shared" si="71"/>
        <v>4014</v>
      </c>
      <c r="T197" s="350">
        <f t="shared" si="72"/>
        <v>8</v>
      </c>
      <c r="U197" s="350" t="str">
        <f t="shared" si="73"/>
        <v>要確認</v>
      </c>
      <c r="V197" s="350" t="str">
        <f t="shared" si="74"/>
        <v>安値圏</v>
      </c>
      <c r="W197" s="354" cm="1">
        <f t="array" ref="W197">IFERROR(100-100/(1+SUMPRODUCT((終値!F207:R207&gt;終値!G207:S207)*(終値!F207:R207-終値!G207:S207))/SUMPRODUCT((終値!F207:R207&lt;終値!G207:S207)*(終値!G207:S207-終値!F207:R207))),50)</f>
        <v>46.17784711388456</v>
      </c>
      <c r="X197" s="355">
        <f>IF(C197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-50.738774632918648</v>
      </c>
      <c r="Y197" s="350" t="str">
        <f t="shared" si="75"/>
        <v>相場上昇・見送り | 上昇トレンド▲ MACD- RSI:46.2 前日比:+1.3% [安値圏] [8点]</v>
      </c>
      <c r="Z197" s="356">
        <f t="shared" si="76"/>
        <v>1.3123359580052494</v>
      </c>
      <c r="AA197" s="350" t="str">
        <f t="shared" si="77"/>
        <v>上昇▲</v>
      </c>
      <c r="AB197" s="351">
        <f>IF(OR(C197="",C197="TOPX",終値!E207=""),"",IFERROR(((終値!E207*0.333)+(終値!F207*0.222)+(終値!G207*0.148)+(終値!H207*0.099)+(終値!I207*0.066))/(0.333+0.222+0.148+0.099+0.066),""))</f>
        <v>3729.4631336405532</v>
      </c>
      <c r="AC197" s="351">
        <f>IF(OR(C197="",C197="TOPX",終値!E207=""),"",IFERROR(SUMPRODUCT((終値!E207:AC207)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3773.1263408820009</v>
      </c>
      <c r="AD197" s="350" t="str">
        <f t="shared" si="78"/>
        <v>上昇トレンド▲</v>
      </c>
      <c r="AE197" s="350" t="str">
        <f t="shared" si="79"/>
        <v>なし</v>
      </c>
      <c r="AF197" t="str">
        <f>IF(T197="","",IF(銘柄管理!$F$5="上昇▲",IF(AND(AD197="下降トレンド▼",OR(AE197="25日戻り売り★",AE197="5日戻り売り○")),"★逆張り売り",IF(AND(AD197="もみ合い→",OR(AE197="25日戻り売り★",AE197="5日戻り売り○")),"○逆張り売り",IF(W197&gt;=70,IF(Z197&lt;0,"◎反落確認","△過熱・様子見"),"相場上昇・見送り"))),IF(AND(T197&gt;=12,AD197="下降トレンド▼"),"★強い売り",IF(T197&gt;=12,"★強い売り",IF(AND(T197&gt;=8,OR(AE197="25日戻り売り★",AE197="5日戻り売り○")),"◎戻り売り",IF(T197&gt;=10,"○売り候補",IF(T197&gt;=6,"△注目",IF(T197&gt;=3,"様子見","見送り"))))))))</f>
        <v>相場上昇・見送り</v>
      </c>
      <c r="AG197">
        <f t="shared" si="81"/>
        <v>8</v>
      </c>
      <c r="AH197">
        <f t="shared" si="82"/>
        <v>79803</v>
      </c>
      <c r="AI197" s="412" cm="1">
        <f t="array" ref="AI197">IF(C197="","",IFERROR((INDEX(終値!$E:$E,MATCH(TEXT(C197,"0"),終値!$A:$A,0))-INDEX(終値!$E:$BL,MATCH(TEXT(C197,"0"),終値!$A:$A,0),$AN$2))/INDEX(終値!$E:$BL,MATCH(TEXT(C197,"0"),終値!$A:$A,0),$AN$2)*100,""))</f>
        <v>-7.2561268620855355</v>
      </c>
      <c r="AJ197" s="412" cm="1">
        <f t="array" ref="AJ197">IFERROR((終値!$E$5-INDEX(終値!$E$5:$BL$5,1,$AN$2))/INDEX(終値!$E$5:$BL$5,1,$AN$2)*100,"")</f>
        <v>3.4532270246721688</v>
      </c>
      <c r="AK197" s="413">
        <f t="shared" si="83"/>
        <v>-10.709353886757704</v>
      </c>
      <c r="AL197" s="411">
        <f t="shared" si="84"/>
        <v>3</v>
      </c>
      <c r="AO197" s="415" t="str">
        <f t="shared" si="85"/>
        <v>通常</v>
      </c>
      <c r="AP197" s="416">
        <f t="shared" si="86"/>
        <v>0</v>
      </c>
      <c r="AQ197">
        <f>IF(C197&lt;&gt;"",始値!F207,"")</f>
        <v>3700</v>
      </c>
      <c r="AR197">
        <f>IF(C197&lt;&gt;"",高値!F207,"")</f>
        <v>3838</v>
      </c>
      <c r="AS197">
        <f>IF(C197&lt;&gt;"",安値!F207,"")</f>
        <v>3670</v>
      </c>
      <c r="AT197" t="str">
        <f t="shared" si="80"/>
        <v>通常</v>
      </c>
      <c r="AU197">
        <f t="shared" si="87"/>
        <v>0</v>
      </c>
    </row>
    <row r="198" spans="1:47" ht="14.25">
      <c r="A198" s="357" t="str">
        <f>IF(銘柄管理!B33&lt;&gt;"",HYPERLINK("https://kabutan.jp/stock/?code="&amp;銘柄管理!B33,"株探"),"")</f>
        <v>株探</v>
      </c>
      <c r="B198" s="230"/>
      <c r="C198" s="230">
        <f>IF(銘柄管理!B33="","",銘柄管理!B33)</f>
        <v>8601</v>
      </c>
      <c r="D198" s="230" t="str">
        <f>IF(銘柄管理!C33="","",銘柄管理!C33)</f>
        <v>大和証券Ｇ本社</v>
      </c>
      <c r="E198" s="358">
        <f>IF(C198&lt;&gt;"",_xll.RssMarket(C198,"現在値"),"")</f>
        <v>1607.5</v>
      </c>
      <c r="F198" s="358">
        <f>IF(C198&lt;&gt;"",_xll.RssMarket(C198,"始値"),"")</f>
        <v>1614</v>
      </c>
      <c r="G198" s="230">
        <f>IF(C198&lt;&gt;"",終値!F33,"")</f>
        <v>1602.5</v>
      </c>
      <c r="H198" s="358">
        <f>IF(C198&lt;&gt;"",_xll.RssMarket(C198,"高値"),"")</f>
        <v>1625.5</v>
      </c>
      <c r="I198" s="358">
        <f>IF(C198&lt;&gt;"",_xll.RssMarket(C198,"安値"),"")</f>
        <v>1593</v>
      </c>
      <c r="J198" s="358">
        <f>IF(C198&lt;&gt;"",_xll.RssMarket(C198,"出来高"),"")</f>
        <v>4357200</v>
      </c>
      <c r="K198" s="358">
        <f>IF(C198&lt;&gt;"",_xll.RssMarket(C198,"年初来高値"),"")</f>
        <v>1686.5</v>
      </c>
      <c r="L198" s="359">
        <f t="shared" si="66"/>
        <v>-4.684257337681589</v>
      </c>
      <c r="M198" s="358">
        <f>IF(C198&lt;&gt;"",IFERROR(AVERAGE(出来高!E33:I33),""),"")</f>
        <v>4202900</v>
      </c>
      <c r="N198" s="358">
        <f>IF(C198&lt;&gt;"",IFERROR(AVERAGE(出来高!E33:AC33),""),"")</f>
        <v>4267996</v>
      </c>
      <c r="O198" s="360">
        <f t="shared" si="67"/>
        <v>1.0367127459611221</v>
      </c>
      <c r="P198" s="230" t="str">
        <f t="shared" si="68"/>
        <v>普通→</v>
      </c>
      <c r="Q198" s="230" t="str">
        <f t="shared" si="69"/>
        <v>様子見▲</v>
      </c>
      <c r="R198" s="358">
        <f t="shared" si="70"/>
        <v>1479</v>
      </c>
      <c r="S198" s="358">
        <f t="shared" si="71"/>
        <v>1672</v>
      </c>
      <c r="T198" s="350">
        <f t="shared" si="72"/>
        <v>-2</v>
      </c>
      <c r="U198" s="230" t="str">
        <f t="shared" si="73"/>
        <v>除外</v>
      </c>
      <c r="V198" s="230" t="str">
        <f t="shared" si="74"/>
        <v>通常</v>
      </c>
      <c r="W198" s="361" cm="1">
        <f t="array" ref="W198">IFERROR(100-100/(1+SUMPRODUCT((終値!F33:R33&gt;終値!G33:S33)*(終値!F33:R33-終値!G33:S33))/SUMPRODUCT((終値!F33:R33&lt;終値!G33:S33)*(終値!G33:S33-終値!F33:R33))),50)</f>
        <v>69.841269841269849</v>
      </c>
      <c r="X198" s="362">
        <f>IF(C198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13.516257428185781</v>
      </c>
      <c r="Y198" s="230" t="str">
        <f t="shared" si="75"/>
        <v>相場上昇・見送り | パーフェクト▲ MACD+ RSI:69.8 前日比:+0.3%前日[長い下ヒゲ(反発)] [-2点]</v>
      </c>
      <c r="Z198" s="363">
        <f t="shared" si="76"/>
        <v>0.31201248049921998</v>
      </c>
      <c r="AA198" s="230" t="str">
        <f t="shared" si="77"/>
        <v>上昇▲</v>
      </c>
      <c r="AB198" s="358">
        <f>IF(OR(C198="",C198="TOPX",終値!E33=""),"",IFERROR(((終値!E33*0.333)+(終値!F33*0.222)+(終値!G33*0.148)+(終値!H33*0.099)+(終値!I33*0.066))/(0.333+0.222+0.148+0.099+0.066),""))</f>
        <v>1588.4314516129029</v>
      </c>
      <c r="AC198" s="358">
        <f>IF(OR(C198="",C198="TOPX",終値!E33=""),"",IFERROR(SUMPRODUCT((終値!E33:AC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1531.5125148986888</v>
      </c>
      <c r="AD198" s="230" t="str">
        <f t="shared" si="78"/>
        <v>パーフェクト▲</v>
      </c>
      <c r="AE198" s="230" t="str">
        <f t="shared" si="79"/>
        <v>なし</v>
      </c>
      <c r="AF198" t="str">
        <f>IF(T198="","",IF(銘柄管理!$F$5="上昇▲",IF(AND(AD198="下降トレンド▼",OR(AE198="25日戻り売り★",AE198="5日戻り売り○")),"★逆張り売り",IF(AND(AD198="もみ合い→",OR(AE198="25日戻り売り★",AE198="5日戻り売り○")),"○逆張り売り",IF(W198&gt;=70,IF(Z198&lt;0,"◎反落確認","△過熱・様子見"),"相場上昇・見送り"))),IF(AND(T198&gt;=12,AD198="下降トレンド▼"),"★強い売り",IF(T198&gt;=12,"★強い売り",IF(AND(T198&gt;=8,OR(AE198="25日戻り売り★",AE198="5日戻り売り○")),"◎戻り売り",IF(T198&gt;=10,"○売り候補",IF(T198&gt;=6,"△注目",IF(T198&gt;=3,"様子見","見送り"))))))))</f>
        <v>相場上昇・見送り</v>
      </c>
      <c r="AG198">
        <f t="shared" si="81"/>
        <v>0</v>
      </c>
      <c r="AH198">
        <f t="shared" si="82"/>
        <v>0</v>
      </c>
      <c r="AI198" s="412" cm="1">
        <f t="array" ref="AI198">IF(C198="","",IFERROR((INDEX(終値!$E:$E,MATCH(TEXT(C198,"0"),終値!$A:$A,0))-INDEX(終値!$E:$BL,MATCH(TEXT(C198,"0"),終値!$A:$A,0),$AN$2))/INDEX(終値!$E:$BL,MATCH(TEXT(C198,"0"),終値!$A:$A,0),$AN$2)*100,""))</f>
        <v>7.5250836120401345</v>
      </c>
      <c r="AJ198" s="412" cm="1">
        <f t="array" ref="AJ198">IFERROR((終値!$E$5-INDEX(終値!$E$5:$BL$5,1,$AN$2))/INDEX(終値!$E$5:$BL$5,1,$AN$2)*100,"")</f>
        <v>3.4532270246721688</v>
      </c>
      <c r="AK198" s="413">
        <f t="shared" si="83"/>
        <v>4.0718565873679662</v>
      </c>
      <c r="AL198" s="411">
        <f t="shared" si="84"/>
        <v>-2</v>
      </c>
      <c r="AO198" s="415" t="str">
        <f t="shared" si="85"/>
        <v>通常</v>
      </c>
      <c r="AP198" s="416">
        <f t="shared" si="86"/>
        <v>0</v>
      </c>
      <c r="AQ198">
        <f>IF(C198&lt;&gt;"",始値!F33,"")</f>
        <v>1587.5</v>
      </c>
      <c r="AR198">
        <f>IF(C198&lt;&gt;"",高値!F33,"")</f>
        <v>1607</v>
      </c>
      <c r="AS198">
        <f>IF(C198&lt;&gt;"",安値!F33,"")</f>
        <v>1568</v>
      </c>
      <c r="AT198" t="str">
        <f t="shared" si="80"/>
        <v>長い下ヒゲ(反発)</v>
      </c>
      <c r="AU198">
        <f t="shared" si="87"/>
        <v>-2</v>
      </c>
    </row>
    <row r="199" spans="1:47" ht="14.25">
      <c r="A199" s="349" t="str">
        <f>IF(銘柄管理!B40&lt;&gt;"",HYPERLINK("https://kabutan.jp/stock/?code="&amp;銘柄管理!B40,"株探"),"")</f>
        <v>株探</v>
      </c>
      <c r="B199" s="350"/>
      <c r="C199" s="350">
        <f>IF(銘柄管理!B40="","",銘柄管理!B40)</f>
        <v>8604</v>
      </c>
      <c r="D199" s="350" t="str">
        <f>IF(銘柄管理!C40="","",銘柄管理!C40)</f>
        <v>野村ホールディングス</v>
      </c>
      <c r="E199" s="351">
        <f>IF(C199&lt;&gt;"",_xll.RssMarket(C199,"現在値"),"")</f>
        <v>1451</v>
      </c>
      <c r="F199" s="351">
        <f>IF(C199&lt;&gt;"",_xll.RssMarket(C199,"始値"),"")</f>
        <v>1430</v>
      </c>
      <c r="G199" s="350">
        <f>IF(C199&lt;&gt;"",終値!F40,"")</f>
        <v>1415</v>
      </c>
      <c r="H199" s="351">
        <f>IF(C199&lt;&gt;"",_xll.RssMarket(C199,"高値"),"")</f>
        <v>1478</v>
      </c>
      <c r="I199" s="351">
        <f>IF(C199&lt;&gt;"",_xll.RssMarket(C199,"安値"),"")</f>
        <v>1428.5</v>
      </c>
      <c r="J199" s="351">
        <f>IF(C199&lt;&gt;"",_xll.RssMarket(C199,"出来高"),"")</f>
        <v>14384100</v>
      </c>
      <c r="K199" s="351">
        <f>IF(C199&lt;&gt;"",_xll.RssMarket(C199,"年初来高値"),"")</f>
        <v>1506.5</v>
      </c>
      <c r="L199" s="352">
        <f t="shared" si="66"/>
        <v>-3.6840358446730836</v>
      </c>
      <c r="M199" s="351">
        <f>IF(C199&lt;&gt;"",IFERROR(AVERAGE(出来高!E40:I40),""),"")</f>
        <v>9561740</v>
      </c>
      <c r="N199" s="351">
        <f>IF(C199&lt;&gt;"",IFERROR(AVERAGE(出来高!E40:AC40),""),"")</f>
        <v>10507100</v>
      </c>
      <c r="O199" s="353">
        <f t="shared" si="67"/>
        <v>1.504339168394037</v>
      </c>
      <c r="P199" s="350" t="str">
        <f t="shared" si="68"/>
        <v>増加↑</v>
      </c>
      <c r="Q199" s="350" t="str">
        <f t="shared" si="69"/>
        <v>様子見▲</v>
      </c>
      <c r="R199" s="351">
        <f t="shared" si="70"/>
        <v>1335</v>
      </c>
      <c r="S199" s="351">
        <f t="shared" si="71"/>
        <v>1509</v>
      </c>
      <c r="T199" s="350">
        <f t="shared" si="72"/>
        <v>2</v>
      </c>
      <c r="U199" s="350" t="str">
        <f t="shared" si="73"/>
        <v>除外</v>
      </c>
      <c r="V199" s="350" t="str">
        <f t="shared" si="74"/>
        <v>通常</v>
      </c>
      <c r="W199" s="354" cm="1">
        <f t="array" ref="W199">IFERROR(100-100/(1+SUMPRODUCT((終値!F40:R40&gt;終値!G40:S40)*(終値!F40:R40-終値!G40:S40))/SUMPRODUCT((終値!F40:R40&lt;終値!G40:S40)*(終値!G40:S40-終値!F40:R40))),50)</f>
        <v>77.203065134099617</v>
      </c>
      <c r="X199" s="355">
        <f>IF(C199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19.68387571197195</v>
      </c>
      <c r="Y199" s="350" t="str">
        <f t="shared" si="75"/>
        <v>△過熱・様子見 | パーフェクト▲ MACD+ RSI:77.2 [過熱] 前日比:+2.5% [2点]</v>
      </c>
      <c r="Z199" s="356">
        <f t="shared" si="76"/>
        <v>2.5441696113074208</v>
      </c>
      <c r="AA199" s="350" t="str">
        <f t="shared" si="77"/>
        <v>上昇▲</v>
      </c>
      <c r="AB199" s="351">
        <f>IF(OR(C199="",C199="TOPX",終値!E40=""),"",IFERROR(((終値!E40*0.333)+(終値!F40*0.222)+(終値!G40*0.148)+(終値!H40*0.099)+(終値!I40*0.066))/(0.333+0.222+0.148+0.099+0.066),""))</f>
        <v>1410.9429723502301</v>
      </c>
      <c r="AC199" s="351">
        <f>IF(OR(C199="",C199="TOPX",終値!E40=""),"",IFERROR(SUMPRODUCT((終値!E40:AC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1340.5321811680567</v>
      </c>
      <c r="AD199" s="350" t="str">
        <f t="shared" si="78"/>
        <v>パーフェクト▲</v>
      </c>
      <c r="AE199" s="350" t="str">
        <f t="shared" si="79"/>
        <v>なし</v>
      </c>
      <c r="AF199" t="str">
        <f>IF(T199="","",IF(銘柄管理!$F$5="上昇▲",IF(AND(AD199="下降トレンド▼",OR(AE199="25日戻り売り★",AE199="5日戻り売り○")),"★逆張り売り",IF(AND(AD199="もみ合い→",OR(AE199="25日戻り売り★",AE199="5日戻り売り○")),"○逆張り売り",IF(W199&gt;=70,IF(Z199&lt;0,"◎反落確認","△過熱・様子見"),"相場上昇・見送り"))),IF(AND(T199&gt;=12,AD199="下降トレンド▼"),"★強い売り",IF(T199&gt;=12,"★強い売り",IF(AND(T199&gt;=8,OR(AE199="25日戻り売り★",AE199="5日戻り売り○")),"◎戻り売り",IF(T199&gt;=10,"○売り候補",IF(T199&gt;=6,"△注目",IF(T199&gt;=3,"様子見","見送り"))))))))</f>
        <v>△過熱・様子見</v>
      </c>
      <c r="AG199">
        <f t="shared" si="81"/>
        <v>0</v>
      </c>
      <c r="AH199">
        <f t="shared" si="82"/>
        <v>0</v>
      </c>
      <c r="AI199" s="412" cm="1">
        <f t="array" ref="AI199">IF(C199="","",IFERROR((INDEX(終値!$E:$E,MATCH(TEXT(C199,"0"),終値!$A:$A,0))-INDEX(終値!$E:$BL,MATCH(TEXT(C199,"0"),終値!$A:$A,0),$AN$2))/INDEX(終値!$E:$BL,MATCH(TEXT(C199,"0"),終値!$A:$A,0),$AN$2)*100,""))</f>
        <v>14.703557312252965</v>
      </c>
      <c r="AJ199" s="412" cm="1">
        <f t="array" ref="AJ199">IFERROR((終値!$E$5-INDEX(終値!$E$5:$BL$5,1,$AN$2))/INDEX(終値!$E$5:$BL$5,1,$AN$2)*100,"")</f>
        <v>3.4532270246721688</v>
      </c>
      <c r="AK199" s="413">
        <f t="shared" si="83"/>
        <v>11.250330287580796</v>
      </c>
      <c r="AL199" s="411">
        <f t="shared" si="84"/>
        <v>-2</v>
      </c>
      <c r="AO199" s="415" t="str">
        <f t="shared" si="85"/>
        <v>通常</v>
      </c>
      <c r="AP199" s="416">
        <f t="shared" si="86"/>
        <v>0</v>
      </c>
      <c r="AQ199">
        <f>IF(C199&lt;&gt;"",始値!F40,"")</f>
        <v>1374.5</v>
      </c>
      <c r="AR199">
        <f>IF(C199&lt;&gt;"",高値!F40,"")</f>
        <v>1416.5</v>
      </c>
      <c r="AS199">
        <f>IF(C199&lt;&gt;"",安値!F40,"")</f>
        <v>1371.5</v>
      </c>
      <c r="AT199" t="str">
        <f t="shared" si="80"/>
        <v>通常</v>
      </c>
      <c r="AU199">
        <f t="shared" si="87"/>
        <v>0</v>
      </c>
    </row>
    <row r="200" spans="1:47" ht="14.25">
      <c r="A200" s="357" t="str">
        <f>IF(銘柄管理!B43&lt;&gt;"",HYPERLINK("https://kabutan.jp/stock/?code="&amp;銘柄管理!B43,"株探"),"")</f>
        <v>株探</v>
      </c>
      <c r="B200" s="230"/>
      <c r="C200" s="230">
        <f>IF(銘柄管理!B43="","",銘柄管理!B43)</f>
        <v>8750</v>
      </c>
      <c r="D200" s="230" t="str">
        <f>IF(銘柄管理!C43="","",銘柄管理!C43)</f>
        <v>第一ライフグループ</v>
      </c>
      <c r="E200" s="358">
        <f>IF(C200&lt;&gt;"",_xll.RssMarket(C200,"現在値"),"")</f>
        <v>1793</v>
      </c>
      <c r="F200" s="358">
        <f>IF(C200&lt;&gt;"",_xll.RssMarket(C200,"始値"),"")</f>
        <v>1820</v>
      </c>
      <c r="G200" s="230">
        <f>IF(C200&lt;&gt;"",終値!F43,"")</f>
        <v>1789.5</v>
      </c>
      <c r="H200" s="358">
        <f>IF(C200&lt;&gt;"",_xll.RssMarket(C200,"高値"),"")</f>
        <v>1834</v>
      </c>
      <c r="I200" s="358">
        <f>IF(C200&lt;&gt;"",_xll.RssMarket(C200,"安値"),"")</f>
        <v>1788.5</v>
      </c>
      <c r="J200" s="358">
        <f>IF(C200&lt;&gt;"",_xll.RssMarket(C200,"出来高"),"")</f>
        <v>7912400</v>
      </c>
      <c r="K200" s="358">
        <f>IF(C200&lt;&gt;"",_xll.RssMarket(C200,"年初来高値"),"")</f>
        <v>1816</v>
      </c>
      <c r="L200" s="359">
        <f t="shared" si="66"/>
        <v>-1.2665198237885462</v>
      </c>
      <c r="M200" s="358">
        <f>IF(C200&lt;&gt;"",IFERROR(AVERAGE(出来高!E43:I43),""),"")</f>
        <v>10645800</v>
      </c>
      <c r="N200" s="358">
        <f>IF(C200&lt;&gt;"",IFERROR(AVERAGE(出来高!E43:AC43),""),"")</f>
        <v>9131896</v>
      </c>
      <c r="O200" s="360">
        <f t="shared" si="67"/>
        <v>0.7432414661180935</v>
      </c>
      <c r="P200" s="230" t="str">
        <f t="shared" si="68"/>
        <v>減少↓</v>
      </c>
      <c r="Q200" s="230" t="str">
        <f t="shared" si="69"/>
        <v>様子見▲</v>
      </c>
      <c r="R200" s="358">
        <f t="shared" si="70"/>
        <v>1650</v>
      </c>
      <c r="S200" s="358">
        <f t="shared" si="71"/>
        <v>1865</v>
      </c>
      <c r="T200" s="350">
        <f t="shared" si="72"/>
        <v>1</v>
      </c>
      <c r="U200" s="230" t="str">
        <f t="shared" si="73"/>
        <v>除外</v>
      </c>
      <c r="V200" s="230" t="str">
        <f t="shared" si="74"/>
        <v>通常</v>
      </c>
      <c r="W200" s="361" cm="1">
        <f t="array" ref="W200">IFERROR(100-100/(1+SUMPRODUCT((終値!F43:R43&gt;終値!G43:S43)*(終値!F43:R43-終値!G43:S43))/SUMPRODUCT((終値!F43:R43&lt;終値!G43:S43)*(終値!G43:S43-終値!F43:R43))),50)</f>
        <v>76.109936575052856</v>
      </c>
      <c r="X200" s="362">
        <f>IF(C200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18.190940697901397</v>
      </c>
      <c r="Y200" s="230" t="str">
        <f t="shared" si="75"/>
        <v>△過熱・様子見 | パーフェクト▲ MACD+ RSI:76.1 [過熱] 前日比:+0.2% [1点]</v>
      </c>
      <c r="Z200" s="363">
        <f t="shared" si="76"/>
        <v>0.19558535903883767</v>
      </c>
      <c r="AA200" s="230" t="str">
        <f t="shared" si="77"/>
        <v>上昇▲</v>
      </c>
      <c r="AB200" s="358">
        <f>IF(OR(C200="",C200="TOPX",終値!E43=""),"",IFERROR(((終値!E43*0.333)+(終値!F43*0.222)+(終値!G43*0.148)+(終値!H43*0.099)+(終値!I43*0.066))/(0.333+0.222+0.148+0.099+0.066),""))</f>
        <v>1773.6031105990783</v>
      </c>
      <c r="AC200" s="358">
        <f>IF(OR(C200="",C200="TOPX",終値!E43=""),"",IFERROR(SUMPRODUCT((終値!E43:AC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1684.1323003575671</v>
      </c>
      <c r="AD200" s="230" t="str">
        <f t="shared" si="78"/>
        <v>パーフェクト▲</v>
      </c>
      <c r="AE200" s="230" t="str">
        <f t="shared" si="79"/>
        <v>なし</v>
      </c>
      <c r="AF200" t="str">
        <f>IF(T200="","",IF(銘柄管理!$F$5="上昇▲",IF(AND(AD200="下降トレンド▼",OR(AE200="25日戻り売り★",AE200="5日戻り売り○")),"★逆張り売り",IF(AND(AD200="もみ合い→",OR(AE200="25日戻り売り★",AE200="5日戻り売り○")),"○逆張り売り",IF(W200&gt;=70,IF(Z200&lt;0,"◎反落確認","△過熱・様子見"),"相場上昇・見送り"))),IF(AND(T200&gt;=12,AD200="下降トレンド▼"),"★強い売り",IF(T200&gt;=12,"★強い売り",IF(AND(T200&gt;=8,OR(AE200="25日戻り売り★",AE200="5日戻り売り○")),"◎戻り売り",IF(T200&gt;=10,"○売り候補",IF(T200&gt;=6,"△注目",IF(T200&gt;=3,"様子見","見送り"))))))))</f>
        <v>△過熱・様子見</v>
      </c>
      <c r="AG200">
        <f t="shared" si="81"/>
        <v>0</v>
      </c>
      <c r="AH200">
        <f t="shared" si="82"/>
        <v>0</v>
      </c>
      <c r="AI200" s="412" cm="1">
        <f t="array" ref="AI200">IF(C200="","",IFERROR((INDEX(終値!$E:$E,MATCH(TEXT(C200,"0"),終値!$A:$A,0))-INDEX(終値!$E:$BL,MATCH(TEXT(C200,"0"),終値!$A:$A,0),$AN$2))/INDEX(終値!$E:$BL,MATCH(TEXT(C200,"0"),終値!$A:$A,0),$AN$2)*100,""))</f>
        <v>19.533333333333331</v>
      </c>
      <c r="AJ200" s="412" cm="1">
        <f t="array" ref="AJ200">IFERROR((終値!$E$5-INDEX(終値!$E$5:$BL$5,1,$AN$2))/INDEX(終値!$E$5:$BL$5,1,$AN$2)*100,"")</f>
        <v>3.4532270246721688</v>
      </c>
      <c r="AK200" s="413">
        <f t="shared" si="83"/>
        <v>16.080106308661161</v>
      </c>
      <c r="AL200" s="411">
        <f t="shared" si="84"/>
        <v>-2</v>
      </c>
      <c r="AO200" s="415" t="str">
        <f t="shared" si="85"/>
        <v>通常</v>
      </c>
      <c r="AP200" s="416">
        <f t="shared" si="86"/>
        <v>0</v>
      </c>
      <c r="AQ200">
        <f>IF(C200&lt;&gt;"",始値!F43,"")</f>
        <v>1770</v>
      </c>
      <c r="AR200">
        <f>IF(C200&lt;&gt;"",高値!F43,"")</f>
        <v>1789.5</v>
      </c>
      <c r="AS200">
        <f>IF(C200&lt;&gt;"",安値!F43,"")</f>
        <v>1756.5</v>
      </c>
      <c r="AT200" t="str">
        <f t="shared" si="80"/>
        <v>通常</v>
      </c>
      <c r="AU200">
        <f t="shared" si="87"/>
        <v>0</v>
      </c>
    </row>
    <row r="201" spans="1:47" ht="14.25">
      <c r="A201" s="349" t="str">
        <f>IF(銘柄管理!B45&lt;&gt;"",HYPERLINK("https://kabutan.jp/stock/?code="&amp;銘柄管理!B45,"株探"),"")</f>
        <v>株探</v>
      </c>
      <c r="B201" s="350"/>
      <c r="C201" s="350">
        <f>IF(銘柄管理!B45="","",銘柄管理!B45)</f>
        <v>8306</v>
      </c>
      <c r="D201" s="350" t="str">
        <f>IF(銘柄管理!C45="","",銘柄管理!C45)</f>
        <v>三菱ＵＦＪフィナンシャルＧ</v>
      </c>
      <c r="E201" s="351">
        <f>IF(C201&lt;&gt;"",_xll.RssMarket(C201,"現在値"),"")</f>
        <v>3272</v>
      </c>
      <c r="F201" s="351">
        <f>IF(C201&lt;&gt;"",_xll.RssMarket(C201,"始値"),"")</f>
        <v>3266</v>
      </c>
      <c r="G201" s="350">
        <f>IF(C201&lt;&gt;"",終値!F45,"")</f>
        <v>3228</v>
      </c>
      <c r="H201" s="351">
        <f>IF(C201&lt;&gt;"",_xll.RssMarket(C201,"高値"),"")</f>
        <v>3312</v>
      </c>
      <c r="I201" s="351">
        <f>IF(C201&lt;&gt;"",_xll.RssMarket(C201,"安値"),"")</f>
        <v>3260</v>
      </c>
      <c r="J201" s="351">
        <f>IF(C201&lt;&gt;"",_xll.RssMarket(C201,"出来高"),"")</f>
        <v>42080800</v>
      </c>
      <c r="K201" s="351">
        <f>IF(C201&lt;&gt;"",_xll.RssMarket(C201,"年初来高値"),"")</f>
        <v>3327</v>
      </c>
      <c r="L201" s="352">
        <f t="shared" si="66"/>
        <v>-1.653140967838894</v>
      </c>
      <c r="M201" s="351">
        <f>IF(C201&lt;&gt;"",IFERROR(AVERAGE(出来高!E45:I45),""),"")</f>
        <v>47836200</v>
      </c>
      <c r="N201" s="351">
        <f>IF(C201&lt;&gt;"",IFERROR(AVERAGE(出来高!E45:AC45),""),"")</f>
        <v>44708120</v>
      </c>
      <c r="O201" s="353">
        <f t="shared" si="67"/>
        <v>0.87968525928062846</v>
      </c>
      <c r="P201" s="350" t="str">
        <f t="shared" si="68"/>
        <v>減少↓</v>
      </c>
      <c r="Q201" s="350" t="str">
        <f t="shared" si="69"/>
        <v>様子見▲</v>
      </c>
      <c r="R201" s="351">
        <f t="shared" si="70"/>
        <v>3010</v>
      </c>
      <c r="S201" s="351">
        <f t="shared" si="71"/>
        <v>3403</v>
      </c>
      <c r="T201" s="350">
        <f t="shared" si="72"/>
        <v>-2</v>
      </c>
      <c r="U201" s="350" t="str">
        <f t="shared" si="73"/>
        <v>除外</v>
      </c>
      <c r="V201" s="350" t="str">
        <f t="shared" si="74"/>
        <v>通常</v>
      </c>
      <c r="W201" s="354" cm="1">
        <f t="array" ref="W201">IFERROR(100-100/(1+SUMPRODUCT((終値!F45:R45&gt;終値!G45:S45)*(終値!F45:R45-終値!G45:S45))/SUMPRODUCT((終値!F45:R45&lt;終値!G45:S45)*(終値!G45:S45-終値!F45:R45))),50)</f>
        <v>65.697674418604663</v>
      </c>
      <c r="X201" s="355">
        <f>IF(C201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29.022626861277331</v>
      </c>
      <c r="Y201" s="350" t="str">
        <f t="shared" si="75"/>
        <v>相場上昇・見送り | パーフェクト▲ MACD+ RSI:65.7 前日比:+1.4%前日[長い下ヒゲ(反発)] [-2点]</v>
      </c>
      <c r="Z201" s="356">
        <f t="shared" si="76"/>
        <v>1.3630731102850062</v>
      </c>
      <c r="AA201" s="350" t="str">
        <f t="shared" si="77"/>
        <v>上昇▲</v>
      </c>
      <c r="AB201" s="351">
        <f>IF(OR(C201="",C201="TOPX",終値!E45=""),"",IFERROR(((終値!E45*0.333)+(終値!F45*0.222)+(終値!G45*0.148)+(終値!H45*0.099)+(終値!I45*0.066))/(0.333+0.222+0.148+0.099+0.066),""))</f>
        <v>3220.2822580645156</v>
      </c>
      <c r="AC201" s="351">
        <f>IF(OR(C201="",C201="TOPX",終値!E45=""),"",IFERROR(SUMPRODUCT((終値!E45:AC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3120.8605482717503</v>
      </c>
      <c r="AD201" s="350" t="str">
        <f t="shared" si="78"/>
        <v>パーフェクト▲</v>
      </c>
      <c r="AE201" s="350" t="str">
        <f t="shared" si="79"/>
        <v>なし</v>
      </c>
      <c r="AF201" t="str">
        <f>IF(T201="","",IF(銘柄管理!$F$5="上昇▲",IF(AND(AD201="下降トレンド▼",OR(AE201="25日戻り売り★",AE201="5日戻り売り○")),"★逆張り売り",IF(AND(AD201="もみ合い→",OR(AE201="25日戻り売り★",AE201="5日戻り売り○")),"○逆張り売り",IF(W201&gt;=70,IF(Z201&lt;0,"◎反落確認","△過熱・様子見"),"相場上昇・見送り"))),IF(AND(T201&gt;=12,AD201="下降トレンド▼"),"★強い売り",IF(T201&gt;=12,"★強い売り",IF(AND(T201&gt;=8,OR(AE201="25日戻り売り★",AE201="5日戻り売り○")),"◎戻り売り",IF(T201&gt;=10,"○売り候補",IF(T201&gt;=6,"△注目",IF(T201&gt;=3,"様子見","見送り"))))))))</f>
        <v>相場上昇・見送り</v>
      </c>
      <c r="AG201">
        <f t="shared" si="81"/>
        <v>0</v>
      </c>
      <c r="AH201">
        <f t="shared" si="82"/>
        <v>0</v>
      </c>
      <c r="AI201" s="412" cm="1">
        <f t="array" ref="AI201">IF(C201="","",IFERROR((INDEX(終値!$E:$E,MATCH(TEXT(C201,"0"),終値!$A:$A,0))-INDEX(終値!$E:$BL,MATCH(TEXT(C201,"0"),終値!$A:$A,0),$AN$2))/INDEX(終値!$E:$BL,MATCH(TEXT(C201,"0"),終値!$A:$A,0),$AN$2)*100,""))</f>
        <v>13.72957942301008</v>
      </c>
      <c r="AJ201" s="412" cm="1">
        <f t="array" ref="AJ201">IFERROR((終値!$E$5-INDEX(終値!$E$5:$BL$5,1,$AN$2))/INDEX(終値!$E$5:$BL$5,1,$AN$2)*100,"")</f>
        <v>3.4532270246721688</v>
      </c>
      <c r="AK201" s="413">
        <f t="shared" si="83"/>
        <v>10.276352398337911</v>
      </c>
      <c r="AL201" s="411">
        <f t="shared" si="84"/>
        <v>-2</v>
      </c>
      <c r="AO201" s="415" t="str">
        <f t="shared" si="85"/>
        <v>通常</v>
      </c>
      <c r="AP201" s="416">
        <f t="shared" si="86"/>
        <v>0</v>
      </c>
      <c r="AQ201">
        <f>IF(C201&lt;&gt;"",始値!F45,"")</f>
        <v>3225</v>
      </c>
      <c r="AR201">
        <f>IF(C201&lt;&gt;"",高値!F45,"")</f>
        <v>3236</v>
      </c>
      <c r="AS201">
        <f>IF(C201&lt;&gt;"",安値!F45,"")</f>
        <v>3186</v>
      </c>
      <c r="AT201" t="str">
        <f t="shared" si="80"/>
        <v>長い下ヒゲ(反発)</v>
      </c>
      <c r="AU201">
        <f t="shared" si="87"/>
        <v>-2</v>
      </c>
    </row>
    <row r="202" spans="1:47" ht="14.25">
      <c r="A202" s="357" t="str">
        <f>IF(銘柄管理!B75&lt;&gt;"",HYPERLINK("https://kabutan.jp/stock/?code="&amp;銘柄管理!B75,"株探"),"")</f>
        <v>株探</v>
      </c>
      <c r="B202" s="230"/>
      <c r="C202" s="230">
        <f>IF(銘柄管理!B75="","",銘柄管理!B75)</f>
        <v>7846</v>
      </c>
      <c r="D202" s="230" t="str">
        <f>IF(銘柄管理!C75="","",銘柄管理!C75)</f>
        <v>パイロットコーポレーション</v>
      </c>
      <c r="E202" s="358">
        <f>IF(C202&lt;&gt;"",_xll.RssMarket(C202,"現在値"),"")</f>
        <v>5003</v>
      </c>
      <c r="F202" s="358">
        <f>IF(C202&lt;&gt;"",_xll.RssMarket(C202,"始値"),"")</f>
        <v>4981</v>
      </c>
      <c r="G202" s="230">
        <f>IF(C202&lt;&gt;"",終値!F75,"")</f>
        <v>4950</v>
      </c>
      <c r="H202" s="358">
        <f>IF(C202&lt;&gt;"",_xll.RssMarket(C202,"高値"),"")</f>
        <v>5009</v>
      </c>
      <c r="I202" s="358">
        <f>IF(C202&lt;&gt;"",_xll.RssMarket(C202,"安値"),"")</f>
        <v>4964</v>
      </c>
      <c r="J202" s="358">
        <f>IF(C202&lt;&gt;"",_xll.RssMarket(C202,"出来高"),"")</f>
        <v>66000</v>
      </c>
      <c r="K202" s="358">
        <f>IF(C202&lt;&gt;"",_xll.RssMarket(C202,"年初来高値"),"")</f>
        <v>5134</v>
      </c>
      <c r="L202" s="359">
        <f t="shared" si="66"/>
        <v>-2.5516166731593302</v>
      </c>
      <c r="M202" s="358">
        <f>IF(C202&lt;&gt;"",IFERROR(AVERAGE(出来高!E75:I75),""),"")</f>
        <v>71700</v>
      </c>
      <c r="N202" s="358">
        <f>IF(C202&lt;&gt;"",IFERROR(AVERAGE(出来高!E75:AC75),""),"")</f>
        <v>92408</v>
      </c>
      <c r="O202" s="360">
        <f t="shared" si="67"/>
        <v>0.92050209205020916</v>
      </c>
      <c r="P202" s="230" t="str">
        <f t="shared" si="68"/>
        <v>減少↓</v>
      </c>
      <c r="Q202" s="230" t="str">
        <f t="shared" si="69"/>
        <v>様子見▲</v>
      </c>
      <c r="R202" s="358">
        <f t="shared" si="70"/>
        <v>4603</v>
      </c>
      <c r="S202" s="358">
        <f t="shared" si="71"/>
        <v>5203</v>
      </c>
      <c r="T202" s="350">
        <f t="shared" si="72"/>
        <v>-1</v>
      </c>
      <c r="U202" s="230" t="str">
        <f t="shared" si="73"/>
        <v>除外</v>
      </c>
      <c r="V202" s="230" t="str">
        <f t="shared" si="74"/>
        <v>通常</v>
      </c>
      <c r="W202" s="361" cm="1">
        <f t="array" ref="W202">IFERROR(100-100/(1+SUMPRODUCT((終値!F75:R75&gt;終値!G75:S75)*(終値!F75:R75-終値!G75:S75))/SUMPRODUCT((終値!F75:R75&lt;終値!G75:S75)*(終値!G75:S75-終値!F75:R75))),50)</f>
        <v>50.163398692810453</v>
      </c>
      <c r="X202" s="362">
        <f>IF(C202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17.096250980142941</v>
      </c>
      <c r="Y202" s="230" t="str">
        <f t="shared" si="75"/>
        <v>相場上昇・見送り | パーフェクト▲ MACD+ RSI:50.2 前日比:+1.1% [-1点]</v>
      </c>
      <c r="Z202" s="363">
        <f t="shared" si="76"/>
        <v>1.0707070707070707</v>
      </c>
      <c r="AA202" s="230" t="str">
        <f t="shared" si="77"/>
        <v>上昇▲</v>
      </c>
      <c r="AB202" s="358">
        <f>IF(OR(C202="",C202="TOPX",終値!E75=""),"",IFERROR(((終値!E75*0.333)+(終値!F75*0.222)+(終値!G75*0.148)+(終値!H75*0.099)+(終値!I75*0.066))/(0.333+0.222+0.148+0.099+0.066),""))</f>
        <v>4959.4458525345617</v>
      </c>
      <c r="AC202" s="358">
        <f>IF(OR(C202="",C202="TOPX",終値!E75=""),"",IFERROR(SUMPRODUCT((終値!E75:AC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4881.4827175208547</v>
      </c>
      <c r="AD202" s="230" t="str">
        <f t="shared" si="78"/>
        <v>パーフェクト▲</v>
      </c>
      <c r="AE202" s="230" t="str">
        <f t="shared" si="79"/>
        <v>なし</v>
      </c>
      <c r="AF202" t="str">
        <f>IF(T202="","",IF(銘柄管理!$F$5="上昇▲",IF(AND(AD202="下降トレンド▼",OR(AE202="25日戻り売り★",AE202="5日戻り売り○")),"★逆張り売り",IF(AND(AD202="もみ合い→",OR(AE202="25日戻り売り★",AE202="5日戻り売り○")),"○逆張り売り",IF(W202&gt;=70,IF(Z202&lt;0,"◎反落確認","△過熱・様子見"),"相場上昇・見送り"))),IF(AND(T202&gt;=12,AD202="下降トレンド▼"),"★強い売り",IF(T202&gt;=12,"★強い売り",IF(AND(T202&gt;=8,OR(AE202="25日戻り売り★",AE202="5日戻り売り○")),"◎戻り売り",IF(T202&gt;=10,"○売り候補",IF(T202&gt;=6,"△注目",IF(T202&gt;=3,"様子見","見送り"))))))))</f>
        <v>相場上昇・見送り</v>
      </c>
      <c r="AG202">
        <f t="shared" si="81"/>
        <v>0</v>
      </c>
      <c r="AH202">
        <f t="shared" si="82"/>
        <v>0</v>
      </c>
      <c r="AI202" s="412" cm="1">
        <f t="array" ref="AI202">IF(C202="","",IFERROR((INDEX(終値!$E:$E,MATCH(TEXT(C202,"0"),終値!$A:$A,0))-INDEX(終値!$E:$BL,MATCH(TEXT(C202,"0"),終値!$A:$A,0),$AN$2))/INDEX(終値!$E:$BL,MATCH(TEXT(C202,"0"),終値!$A:$A,0),$AN$2)*100,""))</f>
        <v>9.8835932352295188</v>
      </c>
      <c r="AJ202" s="412" cm="1">
        <f t="array" ref="AJ202">IFERROR((終値!$E$5-INDEX(終値!$E$5:$BL$5,1,$AN$2))/INDEX(終値!$E$5:$BL$5,1,$AN$2)*100,"")</f>
        <v>3.4532270246721688</v>
      </c>
      <c r="AK202" s="413">
        <f t="shared" si="83"/>
        <v>6.4303662105573505</v>
      </c>
      <c r="AL202" s="411">
        <f t="shared" si="84"/>
        <v>-2</v>
      </c>
      <c r="AO202" s="415" t="str">
        <f t="shared" si="85"/>
        <v>通常</v>
      </c>
      <c r="AP202" s="416">
        <f t="shared" si="86"/>
        <v>0</v>
      </c>
      <c r="AQ202">
        <f>IF(C202&lt;&gt;"",始値!F75,"")</f>
        <v>4930</v>
      </c>
      <c r="AR202">
        <f>IF(C202&lt;&gt;"",高値!F75,"")</f>
        <v>4973</v>
      </c>
      <c r="AS202">
        <f>IF(C202&lt;&gt;"",安値!F75,"")</f>
        <v>4900</v>
      </c>
      <c r="AT202" t="str">
        <f t="shared" si="80"/>
        <v>通常</v>
      </c>
      <c r="AU202">
        <f t="shared" si="87"/>
        <v>0</v>
      </c>
    </row>
    <row r="203" spans="1:47" ht="14.25">
      <c r="A203" s="349" t="str">
        <f>IF(銘柄管理!B115&lt;&gt;"",HYPERLINK("https://kabutan.jp/stock/?code="&amp;銘柄管理!B115,"株探"),"")</f>
        <v>株探</v>
      </c>
      <c r="B203" s="350"/>
      <c r="C203" s="350">
        <f>IF(銘柄管理!B115="","",銘柄管理!B115)</f>
        <v>9531</v>
      </c>
      <c r="D203" s="350" t="str">
        <f>IF(銘柄管理!C115="","",銘柄管理!C115)</f>
        <v>東京瓦斯</v>
      </c>
      <c r="E203" s="351">
        <f>IF(C203&lt;&gt;"",_xll.RssMarket(C203,"現在値"),"")</f>
        <v>6151</v>
      </c>
      <c r="F203" s="351">
        <f>IF(C203&lt;&gt;"",_xll.RssMarket(C203,"始値"),"")</f>
        <v>6300</v>
      </c>
      <c r="G203" s="350">
        <f>IF(C203&lt;&gt;"",終値!F115,"")</f>
        <v>6223</v>
      </c>
      <c r="H203" s="351">
        <f>IF(C203&lt;&gt;"",_xll.RssMarket(C203,"高値"),"")</f>
        <v>6300</v>
      </c>
      <c r="I203" s="351">
        <f>IF(C203&lt;&gt;"",_xll.RssMarket(C203,"安値"),"")</f>
        <v>6138</v>
      </c>
      <c r="J203" s="351">
        <f>IF(C203&lt;&gt;"",_xll.RssMarket(C203,"出来高"),"")</f>
        <v>833700</v>
      </c>
      <c r="K203" s="351">
        <f>IF(C203&lt;&gt;"",_xll.RssMarket(C203,"年初来高値"),"")</f>
        <v>7967</v>
      </c>
      <c r="L203" s="352">
        <f t="shared" si="66"/>
        <v>-22.794025354587674</v>
      </c>
      <c r="M203" s="351">
        <f>IF(C203&lt;&gt;"",IFERROR(AVERAGE(出来高!E115:I115),""),"")</f>
        <v>1032140</v>
      </c>
      <c r="N203" s="351">
        <f>IF(C203&lt;&gt;"",IFERROR(AVERAGE(出来高!E115:AC115),""),"")</f>
        <v>1346168</v>
      </c>
      <c r="O203" s="353">
        <f t="shared" si="67"/>
        <v>0.80773926017788289</v>
      </c>
      <c r="P203" s="350" t="str">
        <f t="shared" si="68"/>
        <v>減少↓</v>
      </c>
      <c r="Q203" s="350" t="str">
        <f t="shared" si="69"/>
        <v>中立→</v>
      </c>
      <c r="R203" s="351">
        <f t="shared" si="70"/>
        <v>5659</v>
      </c>
      <c r="S203" s="351">
        <f t="shared" si="71"/>
        <v>6397</v>
      </c>
      <c r="T203" s="350">
        <f t="shared" si="72"/>
        <v>12</v>
      </c>
      <c r="U203" s="350" t="str">
        <f t="shared" si="73"/>
        <v>要確認</v>
      </c>
      <c r="V203" s="350" t="str">
        <f t="shared" si="74"/>
        <v>通常</v>
      </c>
      <c r="W203" s="354" cm="1">
        <f t="array" ref="W203">IFERROR(100-100/(1+SUMPRODUCT((終値!F115:R115&gt;終値!G115:S115)*(終値!F115:R115-終値!G115:S115))/SUMPRODUCT((終値!F115:R115&lt;終値!G115:S115)*(終値!G115:S115-終値!F115:R115))),50)</f>
        <v>40.414041404140413</v>
      </c>
      <c r="X203" s="355">
        <f>IF(C203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-45.072040964973894</v>
      </c>
      <c r="Y203" s="350" t="str">
        <f t="shared" si="75"/>
        <v>相場上昇・見送り | 下降トレンド▼ MACD- RSI:40.4 前日比:-1.2% [大陰線▼] [12点]</v>
      </c>
      <c r="Z203" s="356">
        <f t="shared" si="76"/>
        <v>-1.1569982323638117</v>
      </c>
      <c r="AA203" s="350" t="str">
        <f t="shared" si="77"/>
        <v>下落▼</v>
      </c>
      <c r="AB203" s="351">
        <f>IF(OR(C203="",C203="TOPX",終値!E115=""),"",IFERROR(((終値!E115*0.333)+(終値!F115*0.222)+(終値!G115*0.148)+(終値!H115*0.099)+(終値!I115*0.066))/(0.333+0.222+0.148+0.099+0.066),""))</f>
        <v>6234.8709677419338</v>
      </c>
      <c r="AC203" s="351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6342.0846245530374</v>
      </c>
      <c r="AD203" s="350" t="str">
        <f t="shared" si="78"/>
        <v>下降トレンド▼</v>
      </c>
      <c r="AE203" s="350" t="str">
        <f t="shared" si="79"/>
        <v>なし</v>
      </c>
      <c r="AF203" t="str">
        <f>IF(T203="","",IF(銘柄管理!$F$5="上昇▲",IF(AND(AD203="下降トレンド▼",OR(AE203="25日戻り売り★",AE203="5日戻り売り○")),"★逆張り売り",IF(AND(AD203="もみ合い→",OR(AE203="25日戻り売り★",AE203="5日戻り売り○")),"○逆張り売り",IF(W203&gt;=70,IF(Z203&lt;0,"◎反落確認","△過熱・様子見"),"相場上昇・見送り"))),IF(AND(T203&gt;=12,AD203="下降トレンド▼"),"★強い売り",IF(T203&gt;=12,"★強い売り",IF(AND(T203&gt;=8,OR(AE203="25日戻り売り★",AE203="5日戻り売り○")),"◎戻り売り",IF(T203&gt;=10,"○売り候補",IF(T203&gt;=6,"△注目",IF(T203&gt;=3,"様子見","見送り"))))))))</f>
        <v>相場上昇・見送り</v>
      </c>
      <c r="AG203">
        <f t="shared" si="81"/>
        <v>12</v>
      </c>
      <c r="AH203">
        <f t="shared" si="82"/>
        <v>119797</v>
      </c>
      <c r="AI203" s="412" cm="1">
        <f t="array" ref="AI203">IF(C203="","",IFERROR((INDEX(終値!$E:$E,MATCH(TEXT(C203,"0"),終値!$A:$A,0))-INDEX(終値!$E:$BL,MATCH(TEXT(C203,"0"),終値!$A:$A,0),$AN$2))/INDEX(終値!$E:$BL,MATCH(TEXT(C203,"0"),終値!$A:$A,0),$AN$2)*100,""))</f>
        <v>-7.1547169811320757</v>
      </c>
      <c r="AJ203" s="412" cm="1">
        <f t="array" ref="AJ203">IFERROR((終値!$E$5-INDEX(終値!$E$5:$BL$5,1,$AN$2))/INDEX(終値!$E$5:$BL$5,1,$AN$2)*100,"")</f>
        <v>3.4532270246721688</v>
      </c>
      <c r="AK203" s="413">
        <f t="shared" si="83"/>
        <v>-10.607944005804244</v>
      </c>
      <c r="AL203" s="411">
        <f t="shared" si="84"/>
        <v>3</v>
      </c>
      <c r="AO203" s="415" t="str">
        <f t="shared" si="85"/>
        <v>大陰線▼</v>
      </c>
      <c r="AP203" s="416">
        <f t="shared" si="86"/>
        <v>2</v>
      </c>
      <c r="AQ203">
        <f>IF(C203&lt;&gt;"",始値!F115,"")</f>
        <v>6261</v>
      </c>
      <c r="AR203">
        <f>IF(C203&lt;&gt;"",高値!F115,"")</f>
        <v>6269</v>
      </c>
      <c r="AS203">
        <f>IF(C203&lt;&gt;"",安値!F115,"")</f>
        <v>6178</v>
      </c>
      <c r="AT203" t="str">
        <f t="shared" si="80"/>
        <v>通常</v>
      </c>
      <c r="AU203">
        <f t="shared" si="87"/>
        <v>0</v>
      </c>
    </row>
    <row r="204" spans="1:47" ht="14.25">
      <c r="A204" s="357" t="str">
        <f>IF(銘柄管理!B122&lt;&gt;"",HYPERLINK("https://kabutan.jp/stock/?code="&amp;銘柄管理!B122,"株探"),"")</f>
        <v>株探</v>
      </c>
      <c r="B204" s="230"/>
      <c r="C204" s="230">
        <f>IF(銘柄管理!B122="","",銘柄管理!B122)</f>
        <v>8334</v>
      </c>
      <c r="D204" s="230" t="str">
        <f>IF(銘柄管理!C122="","",銘柄管理!C122)</f>
        <v>群馬銀行</v>
      </c>
      <c r="E204" s="358">
        <f>IF(C204&lt;&gt;"",_xll.RssMarket(C204,"現在値"),"")</f>
        <v>2307</v>
      </c>
      <c r="F204" s="358">
        <f>IF(C204&lt;&gt;"",_xll.RssMarket(C204,"始値"),"")</f>
        <v>2360</v>
      </c>
      <c r="G204" s="230">
        <f>IF(C204&lt;&gt;"",終値!F122,"")</f>
        <v>2333</v>
      </c>
      <c r="H204" s="358">
        <f>IF(C204&lt;&gt;"",_xll.RssMarket(C204,"高値"),"")</f>
        <v>2384</v>
      </c>
      <c r="I204" s="358">
        <f>IF(C204&lt;&gt;"",_xll.RssMarket(C204,"安値"),"")</f>
        <v>2307</v>
      </c>
      <c r="J204" s="358">
        <f>IF(C204&lt;&gt;"",_xll.RssMarket(C204,"出来高"),"")</f>
        <v>881500</v>
      </c>
      <c r="K204" s="358">
        <f>IF(C204&lt;&gt;"",_xll.RssMarket(C204,"年初来高値"),"")</f>
        <v>2425</v>
      </c>
      <c r="L204" s="359">
        <f t="shared" si="66"/>
        <v>-4.8659793814432994</v>
      </c>
      <c r="M204" s="358">
        <f>IF(C204&lt;&gt;"",IFERROR(AVERAGE(出来高!E122:I122),""),"")</f>
        <v>1001920</v>
      </c>
      <c r="N204" s="358">
        <f>IF(C204&lt;&gt;"",IFERROR(AVERAGE(出来高!E122:AC122),""),"")</f>
        <v>1076364</v>
      </c>
      <c r="O204" s="360">
        <f t="shared" si="67"/>
        <v>0.879810763334398</v>
      </c>
      <c r="P204" s="230" t="str">
        <f t="shared" si="68"/>
        <v>減少↓</v>
      </c>
      <c r="Q204" s="230" t="str">
        <f t="shared" si="69"/>
        <v>中立→</v>
      </c>
      <c r="R204" s="358">
        <f t="shared" si="70"/>
        <v>2122</v>
      </c>
      <c r="S204" s="358">
        <f t="shared" si="71"/>
        <v>2399</v>
      </c>
      <c r="T204" s="350">
        <f t="shared" si="72"/>
        <v>2</v>
      </c>
      <c r="U204" s="230" t="str">
        <f t="shared" si="73"/>
        <v>除外</v>
      </c>
      <c r="V204" s="230" t="str">
        <f t="shared" si="74"/>
        <v>通常</v>
      </c>
      <c r="W204" s="361" cm="1">
        <f t="array" ref="W204">IFERROR(100-100/(1+SUMPRODUCT((終値!F122:R122&gt;終値!G122:S122)*(終値!F122:R122-終値!G122:S122))/SUMPRODUCT((終値!F122:R122&lt;終値!G122:S122)*(終値!G122:S122-終値!F122:R122))),50)</f>
        <v>57.9656862745098</v>
      </c>
      <c r="X204" s="362">
        <f>IF(C204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6.21210878884267</v>
      </c>
      <c r="Y204" s="230" t="str">
        <f t="shared" si="75"/>
        <v>相場上昇・見送り | 上昇トレンド▲ 5日戻り売り○ MACD+ RSI:58.0 前日比:-1.1%前日[長い下ヒゲ(反発)] [2点]</v>
      </c>
      <c r="Z204" s="363">
        <f t="shared" si="76"/>
        <v>-1.1144449207029576</v>
      </c>
      <c r="AA204" s="230" t="str">
        <f t="shared" si="77"/>
        <v>下落▼</v>
      </c>
      <c r="AB204" s="358">
        <f>IF(OR(C204="",C204="TOPX",終値!E122=""),"",IFERROR(((終値!E122*0.333)+(終値!F122*0.222)+(終値!G122*0.148)+(終値!H122*0.099)+(終値!I122*0.066))/(0.333+0.222+0.148+0.099+0.066),""))</f>
        <v>2325.9383640552992</v>
      </c>
      <c r="AC204" s="358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2279.8033373063163</v>
      </c>
      <c r="AD204" s="230" t="str">
        <f t="shared" si="78"/>
        <v>上昇トレンド▲</v>
      </c>
      <c r="AE204" s="230" t="str">
        <f t="shared" si="79"/>
        <v>5日戻り売り○</v>
      </c>
      <c r="AF204" t="str">
        <f>IF(T204="","",IF(銘柄管理!$F$5="上昇▲",IF(AND(AD204="下降トレンド▼",OR(AE204="25日戻り売り★",AE204="5日戻り売り○")),"★逆張り売り",IF(AND(AD204="もみ合い→",OR(AE204="25日戻り売り★",AE204="5日戻り売り○")),"○逆張り売り",IF(W204&gt;=70,IF(Z204&lt;0,"◎反落確認","△過熱・様子見"),"相場上昇・見送り"))),IF(AND(T204&gt;=12,AD204="下降トレンド▼"),"★強い売り",IF(T204&gt;=12,"★強い売り",IF(AND(T204&gt;=8,OR(AE204="25日戻り売り★",AE204="5日戻り売り○")),"◎戻り売り",IF(T204&gt;=10,"○売り候補",IF(T204&gt;=6,"△注目",IF(T204&gt;=3,"様子見","見送り"))))))))</f>
        <v>相場上昇・見送り</v>
      </c>
      <c r="AG204">
        <f t="shared" si="81"/>
        <v>0</v>
      </c>
      <c r="AH204">
        <f t="shared" si="82"/>
        <v>0</v>
      </c>
      <c r="AI204" s="412" cm="1">
        <f t="array" ref="AI204">IF(C204="","",IFERROR((INDEX(終値!$E:$E,MATCH(TEXT(C204,"0"),終値!$A:$A,0))-INDEX(終値!$E:$BL,MATCH(TEXT(C204,"0"),終値!$A:$A,0),$AN$2))/INDEX(終値!$E:$BL,MATCH(TEXT(C204,"0"),終値!$A:$A,0),$AN$2)*100,""))</f>
        <v>3.3602150537634405</v>
      </c>
      <c r="AJ204" s="412" cm="1">
        <f t="array" ref="AJ204">IFERROR((終値!$E$5-INDEX(終値!$E$5:$BL$5,1,$AN$2))/INDEX(終値!$E$5:$BL$5,1,$AN$2)*100,"")</f>
        <v>3.4532270246721688</v>
      </c>
      <c r="AK204" s="413">
        <f t="shared" si="83"/>
        <v>-9.3011970908728259E-2</v>
      </c>
      <c r="AL204" s="411">
        <f t="shared" si="84"/>
        <v>1</v>
      </c>
      <c r="AO204" s="415" t="str">
        <f t="shared" si="85"/>
        <v>通常</v>
      </c>
      <c r="AP204" s="416">
        <f t="shared" si="86"/>
        <v>0</v>
      </c>
      <c r="AQ204">
        <f>IF(C204&lt;&gt;"",始値!F122,"")</f>
        <v>2326.5</v>
      </c>
      <c r="AR204">
        <f>IF(C204&lt;&gt;"",高値!F122,"")</f>
        <v>2333.5</v>
      </c>
      <c r="AS204">
        <f>IF(C204&lt;&gt;"",安値!F122,"")</f>
        <v>2285</v>
      </c>
      <c r="AT204" t="str">
        <f t="shared" si="80"/>
        <v>長い下ヒゲ(反発)</v>
      </c>
      <c r="AU204">
        <f t="shared" si="87"/>
        <v>-2</v>
      </c>
    </row>
    <row r="205" spans="1:47" ht="14.25">
      <c r="A205" s="349" t="str">
        <f>IF(銘柄管理!B130&lt;&gt;"",HYPERLINK("https://kabutan.jp/stock/?code="&amp;銘柄管理!B130,"株探"),"")</f>
        <v>株探</v>
      </c>
      <c r="B205" s="350"/>
      <c r="C205" s="350">
        <f>IF(銘柄管理!B130="","",銘柄管理!B130)</f>
        <v>4519</v>
      </c>
      <c r="D205" s="350" t="str">
        <f>IF(銘柄管理!C130="","",銘柄管理!C130)</f>
        <v>中外製薬</v>
      </c>
      <c r="E205" s="351">
        <f>IF(C205&lt;&gt;"",_xll.RssMarket(C205,"現在値"),"")</f>
        <v>7650</v>
      </c>
      <c r="F205" s="351">
        <f>IF(C205&lt;&gt;"",_xll.RssMarket(C205,"始値"),"")</f>
        <v>7532</v>
      </c>
      <c r="G205" s="350">
        <f>IF(C205&lt;&gt;"",終値!F130,"")</f>
        <v>7523</v>
      </c>
      <c r="H205" s="351">
        <f>IF(C205&lt;&gt;"",_xll.RssMarket(C205,"高値"),"")</f>
        <v>7689</v>
      </c>
      <c r="I205" s="351">
        <f>IF(C205&lt;&gt;"",_xll.RssMarket(C205,"安値"),"")</f>
        <v>7532</v>
      </c>
      <c r="J205" s="351">
        <f>IF(C205&lt;&gt;"",_xll.RssMarket(C205,"出来高"),"")</f>
        <v>1745000</v>
      </c>
      <c r="K205" s="351">
        <f>IF(C205&lt;&gt;"",_xll.RssMarket(C205,"年初来高値"),"")</f>
        <v>10700</v>
      </c>
      <c r="L205" s="352">
        <f t="shared" si="66"/>
        <v>-28.504672897196258</v>
      </c>
      <c r="M205" s="351">
        <f>IF(C205&lt;&gt;"",IFERROR(AVERAGE(出来高!E130:I130),""),"")</f>
        <v>2307380</v>
      </c>
      <c r="N205" s="351">
        <f>IF(C205&lt;&gt;"",IFERROR(AVERAGE(出来高!E130:AC130),""),"")</f>
        <v>2484520</v>
      </c>
      <c r="O205" s="353">
        <f t="shared" si="67"/>
        <v>0.7562690150733733</v>
      </c>
      <c r="P205" s="350" t="str">
        <f t="shared" si="68"/>
        <v>減少↓</v>
      </c>
      <c r="Q205" s="350" t="str">
        <f t="shared" si="69"/>
        <v>様子見▲</v>
      </c>
      <c r="R205" s="351">
        <f t="shared" si="70"/>
        <v>7038</v>
      </c>
      <c r="S205" s="351">
        <f t="shared" si="71"/>
        <v>7956</v>
      </c>
      <c r="T205" s="350">
        <f t="shared" si="72"/>
        <v>11</v>
      </c>
      <c r="U205" s="350" t="str">
        <f t="shared" si="73"/>
        <v>要確認</v>
      </c>
      <c r="V205" s="350" t="str">
        <f t="shared" si="74"/>
        <v>安値圏</v>
      </c>
      <c r="W205" s="354" cm="1">
        <f t="array" ref="W205">IFERROR(100-100/(1+SUMPRODUCT((終値!F130:R130&gt;終値!G130:S130)*(終値!F130:R130-終値!G130:S130))/SUMPRODUCT((終値!F130:R130&lt;終値!G130:S130)*(終値!G130:S130-終値!F130:R130))),50)</f>
        <v>30.961538461538453</v>
      </c>
      <c r="X205" s="355">
        <f>IF(C205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-60.732201210798848</v>
      </c>
      <c r="Y205" s="350" t="str">
        <f t="shared" si="75"/>
        <v>○逆張り売り | もみ合い→ 25日戻り売り★ MACD- RSI:31.0 前日比:+1.7% [安値圏] [11点]</v>
      </c>
      <c r="Z205" s="356">
        <f t="shared" si="76"/>
        <v>1.6881563206167751</v>
      </c>
      <c r="AA205" s="350" t="str">
        <f t="shared" si="77"/>
        <v>上昇▲</v>
      </c>
      <c r="AB205" s="351">
        <f>IF(OR(C205="",C205="TOPX",終値!E130=""),"",IFERROR(((終値!E130*0.333)+(終値!F130*0.222)+(終値!G130*0.148)+(終値!H130*0.099)+(終値!I130*0.066))/(0.333+0.222+0.148+0.099+0.066),""))</f>
        <v>7551.2534562211986</v>
      </c>
      <c r="AC205" s="351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7653.2228843861703</v>
      </c>
      <c r="AD205" s="350" t="str">
        <f t="shared" si="78"/>
        <v>もみ合い→</v>
      </c>
      <c r="AE205" s="350" t="str">
        <f t="shared" si="79"/>
        <v>25日戻り売り★</v>
      </c>
      <c r="AF205" t="str">
        <f>IF(T205="","",IF(銘柄管理!$F$5="上昇▲",IF(AND(AD205="下降トレンド▼",OR(AE205="25日戻り売り★",AE205="5日戻り売り○")),"★逆張り売り",IF(AND(AD205="もみ合い→",OR(AE205="25日戻り売り★",AE205="5日戻り売り○")),"○逆張り売り",IF(W205&gt;=70,IF(Z205&lt;0,"◎反落確認","△過熱・様子見"),"相場上昇・見送り"))),IF(AND(T205&gt;=12,AD205="下降トレンド▼"),"★強い売り",IF(T205&gt;=12,"★強い売り",IF(AND(T205&gt;=8,OR(AE205="25日戻り売り★",AE205="5日戻り売り○")),"◎戻り売り",IF(T205&gt;=10,"○売り候補",IF(T205&gt;=6,"△注目",IF(T205&gt;=3,"様子見","見送り"))))))))</f>
        <v>○逆張り売り</v>
      </c>
      <c r="AG205">
        <f t="shared" si="81"/>
        <v>11</v>
      </c>
      <c r="AH205">
        <f t="shared" si="82"/>
        <v>109795</v>
      </c>
      <c r="AI205" s="412" cm="1">
        <f t="array" ref="AI205">IF(C205="","",IFERROR((INDEX(終値!$E:$E,MATCH(TEXT(C205,"0"),終値!$A:$A,0))-INDEX(終値!$E:$BL,MATCH(TEXT(C205,"0"),終値!$A:$A,0),$AN$2))/INDEX(終値!$E:$BL,MATCH(TEXT(C205,"0"),終値!$A:$A,0),$AN$2)*100,""))</f>
        <v>-5.5088932806324111</v>
      </c>
      <c r="AJ205" s="412" cm="1">
        <f t="array" ref="AJ205">IFERROR((終値!$E$5-INDEX(終値!$E$5:$BL$5,1,$AN$2))/INDEX(終値!$E$5:$BL$5,1,$AN$2)*100,"")</f>
        <v>3.4532270246721688</v>
      </c>
      <c r="AK205" s="413">
        <f t="shared" si="83"/>
        <v>-8.9621203053045804</v>
      </c>
      <c r="AL205" s="411">
        <f t="shared" si="84"/>
        <v>3</v>
      </c>
      <c r="AO205" s="415" t="str">
        <f t="shared" si="85"/>
        <v>通常</v>
      </c>
      <c r="AP205" s="416">
        <f t="shared" si="86"/>
        <v>0</v>
      </c>
      <c r="AQ205">
        <f>IF(C205&lt;&gt;"",始値!F130,"")</f>
        <v>7562</v>
      </c>
      <c r="AR205">
        <f>IF(C205&lt;&gt;"",高値!F130,"")</f>
        <v>7719</v>
      </c>
      <c r="AS205">
        <f>IF(C205&lt;&gt;"",安値!F130,"")</f>
        <v>7442</v>
      </c>
      <c r="AT205" t="str">
        <f t="shared" si="80"/>
        <v>通常</v>
      </c>
      <c r="AU205">
        <f t="shared" si="87"/>
        <v>0</v>
      </c>
    </row>
    <row r="206" spans="1:47" ht="14.25">
      <c r="A206" s="357" t="str">
        <f>IF(銘柄管理!B202&lt;&gt;"",HYPERLINK("https://kabutan.jp/stock/?code="&amp;銘柄管理!B202,"株探"),"")</f>
        <v>株探</v>
      </c>
      <c r="B206" s="230"/>
      <c r="C206" s="230">
        <f>IF(銘柄管理!B202="","",銘柄管理!B202)</f>
        <v>2768</v>
      </c>
      <c r="D206" s="230" t="str">
        <f>IF(銘柄管理!C202="","",銘柄管理!C202)</f>
        <v>双日</v>
      </c>
      <c r="E206" s="358">
        <f>IF(C206&lt;&gt;"",_xll.RssMarket(C206,"現在値"),"")</f>
        <v>5296</v>
      </c>
      <c r="F206" s="358">
        <f>IF(C206&lt;&gt;"",_xll.RssMarket(C206,"始値"),"")</f>
        <v>5366</v>
      </c>
      <c r="G206" s="230">
        <f>IF(C206&lt;&gt;"",終値!F202,"")</f>
        <v>5291</v>
      </c>
      <c r="H206" s="358">
        <f>IF(C206&lt;&gt;"",_xll.RssMarket(C206,"高値"),"")</f>
        <v>5372</v>
      </c>
      <c r="I206" s="358">
        <f>IF(C206&lt;&gt;"",_xll.RssMarket(C206,"安値"),"")</f>
        <v>5239</v>
      </c>
      <c r="J206" s="358">
        <f>IF(C206&lt;&gt;"",_xll.RssMarket(C206,"出来高"),"")</f>
        <v>845400</v>
      </c>
      <c r="K206" s="358">
        <f>IF(C206&lt;&gt;"",_xll.RssMarket(C206,"年初来高値"),"")</f>
        <v>7257</v>
      </c>
      <c r="L206" s="359">
        <f t="shared" si="66"/>
        <v>-27.022185476092048</v>
      </c>
      <c r="M206" s="358">
        <f>IF(C206&lt;&gt;"",IFERROR(AVERAGE(出来高!E202:I202),""),"")</f>
        <v>1167000</v>
      </c>
      <c r="N206" s="358">
        <f>IF(C206&lt;&gt;"",IFERROR(AVERAGE(出来高!E202:AC202),""),"")</f>
        <v>1260244</v>
      </c>
      <c r="O206" s="360">
        <f t="shared" si="67"/>
        <v>0.72442159383033422</v>
      </c>
      <c r="P206" s="230" t="str">
        <f t="shared" si="68"/>
        <v>減少↓</v>
      </c>
      <c r="Q206" s="230" t="str">
        <f t="shared" si="69"/>
        <v>様子見▲</v>
      </c>
      <c r="R206" s="358">
        <f t="shared" si="70"/>
        <v>4872</v>
      </c>
      <c r="S206" s="358">
        <f t="shared" si="71"/>
        <v>5508</v>
      </c>
      <c r="T206" s="350">
        <f t="shared" si="72"/>
        <v>11</v>
      </c>
      <c r="U206" s="230" t="str">
        <f t="shared" si="73"/>
        <v>要確認</v>
      </c>
      <c r="V206" s="230" t="str">
        <f t="shared" si="74"/>
        <v>安値圏</v>
      </c>
      <c r="W206" s="361" cm="1">
        <f t="array" ref="W206">IFERROR(100-100/(1+SUMPRODUCT((終値!F202:R202&gt;終値!G202:S202)*(終値!F202:R202-終値!G202:S202))/SUMPRODUCT((終値!F202:R202&lt;終値!G202:S202)*(終値!G202:S202-終値!F202:R202))),50)</f>
        <v>34.429599177800625</v>
      </c>
      <c r="X206" s="362">
        <f>IF(C206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-69.286153821658445</v>
      </c>
      <c r="Y206" s="230" t="str">
        <f t="shared" si="75"/>
        <v>○逆張り売り | もみ合い→ 25日戻り売り★ MACD- RSI:34.4 前日比:+0.1% [安値圏] [11点]</v>
      </c>
      <c r="Z206" s="363">
        <f t="shared" si="76"/>
        <v>9.45000945000945E-2</v>
      </c>
      <c r="AA206" s="230" t="str">
        <f t="shared" si="77"/>
        <v>上昇▲</v>
      </c>
      <c r="AB206" s="358">
        <f>IF(OR(C206="",C206="TOPX",終値!E202=""),"",IFERROR(((終値!E202*0.333)+(終値!F202*0.222)+(終値!G202*0.148)+(終値!H202*0.099)+(終値!I202*0.066))/(0.333+0.222+0.148+0.099+0.066),""))</f>
        <v>5211.7557603686628</v>
      </c>
      <c r="AC206" s="358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5298.4183551847427</v>
      </c>
      <c r="AD206" s="230" t="str">
        <f t="shared" si="78"/>
        <v>もみ合い→</v>
      </c>
      <c r="AE206" s="230" t="str">
        <f t="shared" si="79"/>
        <v>25日戻り売り★</v>
      </c>
      <c r="AF206" t="str">
        <f>IF(T206="","",IF(銘柄管理!$F$5="上昇▲",IF(AND(AD206="下降トレンド▼",OR(AE206="25日戻り売り★",AE206="5日戻り売り○")),"★逆張り売り",IF(AND(AD206="もみ合い→",OR(AE206="25日戻り売り★",AE206="5日戻り売り○")),"○逆張り売り",IF(W206&gt;=70,IF(Z206&lt;0,"◎反落確認","△過熱・様子見"),"相場上昇・見送り"))),IF(AND(T206&gt;=12,AD206="下降トレンド▼"),"★強い売り",IF(T206&gt;=12,"★強い売り",IF(AND(T206&gt;=8,OR(AE206="25日戻り売り★",AE206="5日戻り売り○")),"◎戻り売り",IF(T206&gt;=10,"○売り候補",IF(T206&gt;=6,"△注目",IF(T206&gt;=3,"様子見","見送り"))))))))</f>
        <v>○逆張り売り</v>
      </c>
      <c r="AG206">
        <f t="shared" si="81"/>
        <v>11</v>
      </c>
      <c r="AH206">
        <f t="shared" si="82"/>
        <v>109794</v>
      </c>
      <c r="AI206" s="412" cm="1">
        <f t="array" ref="AI206">IF(C206="","",IFERROR((INDEX(終値!$E:$E,MATCH(TEXT(C206,"0"),終値!$A:$A,0))-INDEX(終値!$E:$BL,MATCH(TEXT(C206,"0"),終値!$A:$A,0),$AN$2))/INDEX(終値!$E:$BL,MATCH(TEXT(C206,"0"),終値!$A:$A,0),$AN$2)*100,""))</f>
        <v>-9.6708169878901593</v>
      </c>
      <c r="AJ206" s="412" cm="1">
        <f t="array" ref="AJ206">IFERROR((終値!$E$5-INDEX(終値!$E$5:$BL$5,1,$AN$2))/INDEX(終値!$E$5:$BL$5,1,$AN$2)*100,"")</f>
        <v>3.4532270246721688</v>
      </c>
      <c r="AK206" s="413">
        <f t="shared" si="83"/>
        <v>-13.124044012562328</v>
      </c>
      <c r="AL206" s="411">
        <f t="shared" si="84"/>
        <v>3</v>
      </c>
      <c r="AO206" s="415" t="str">
        <f t="shared" si="85"/>
        <v>通常</v>
      </c>
      <c r="AP206" s="416">
        <f t="shared" si="86"/>
        <v>0</v>
      </c>
      <c r="AQ206">
        <f>IF(C206&lt;&gt;"",始値!F202,"")</f>
        <v>5380</v>
      </c>
      <c r="AR206">
        <f>IF(C206&lt;&gt;"",高値!F202,"")</f>
        <v>5387</v>
      </c>
      <c r="AS206">
        <f>IF(C206&lt;&gt;"",安値!F202,"")</f>
        <v>5250</v>
      </c>
      <c r="AT206" t="str">
        <f t="shared" si="80"/>
        <v>通常</v>
      </c>
      <c r="AU206">
        <f t="shared" si="87"/>
        <v>0</v>
      </c>
    </row>
  </sheetData>
  <phoneticPr fontId="16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31ED4-A8A1-4058-8EFF-4535F1CF7237}">
  <sheetPr codeName="Sheet15"/>
  <dimension ref="A1:Z206"/>
  <sheetViews>
    <sheetView topLeftCell="B1" workbookViewId="0">
      <selection activeCell="AA43" sqref="AA43"/>
    </sheetView>
  </sheetViews>
  <sheetFormatPr defaultRowHeight="17.25"/>
  <cols>
    <col min="1" max="1" width="5.875" customWidth="1"/>
    <col min="2" max="2" width="7.5" customWidth="1"/>
    <col min="4" max="4" width="21.625" customWidth="1"/>
    <col min="23" max="24" width="13.375" customWidth="1"/>
    <col min="25" max="25" width="9" style="429"/>
    <col min="26" max="26" width="133.75" bestFit="1" customWidth="1"/>
  </cols>
  <sheetData>
    <row r="1" spans="1:26" ht="21">
      <c r="A1" s="542" t="s">
        <v>777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</row>
    <row r="2" spans="1:26">
      <c r="A2" s="364" t="s">
        <v>483</v>
      </c>
      <c r="B2" s="364" t="s">
        <v>4</v>
      </c>
      <c r="C2" s="364" t="s">
        <v>7</v>
      </c>
      <c r="D2" s="364" t="s">
        <v>8</v>
      </c>
      <c r="E2" s="364" t="s">
        <v>9</v>
      </c>
      <c r="F2" s="364" t="s">
        <v>24</v>
      </c>
      <c r="G2" s="364" t="s">
        <v>10</v>
      </c>
      <c r="H2" s="364" t="s">
        <v>11</v>
      </c>
      <c r="I2" s="364" t="s">
        <v>12</v>
      </c>
      <c r="J2" s="364" t="s">
        <v>36</v>
      </c>
      <c r="K2" s="364" t="s">
        <v>37</v>
      </c>
      <c r="L2" s="364" t="s">
        <v>26</v>
      </c>
      <c r="M2" s="364" t="s">
        <v>30</v>
      </c>
      <c r="N2" s="364" t="s">
        <v>16</v>
      </c>
      <c r="O2" s="364" t="s">
        <v>17</v>
      </c>
      <c r="P2" s="364" t="s">
        <v>484</v>
      </c>
      <c r="Q2" s="364" t="s">
        <v>485</v>
      </c>
      <c r="R2" s="364" t="s">
        <v>19</v>
      </c>
      <c r="S2" s="364" t="s">
        <v>35</v>
      </c>
      <c r="T2" s="364" t="s">
        <v>486</v>
      </c>
      <c r="U2" s="364" t="s">
        <v>775</v>
      </c>
      <c r="V2" s="364" t="s">
        <v>13</v>
      </c>
      <c r="W2" s="364" t="s">
        <v>14</v>
      </c>
      <c r="X2" s="364" t="s">
        <v>776</v>
      </c>
      <c r="Y2" s="426" t="s">
        <v>21</v>
      </c>
      <c r="Z2" s="364" t="s">
        <v>33</v>
      </c>
    </row>
    <row r="3" spans="1:26">
      <c r="A3" s="350">
        <f>IF(売分析!C3&lt;&gt;"",ROW()-2,"")</f>
        <v>1</v>
      </c>
      <c r="B3" s="349" t="str">
        <f>IF(売分析!C3&lt;&gt;"",HYPERLINK("https://kabutan.jp/stock/?code="&amp;売分析!C3,"株探"),"")</f>
        <v>株探</v>
      </c>
      <c r="C3" s="365">
        <f>IF(売分析!C3&lt;&gt;"",売分析!C3,"")</f>
        <v>6613</v>
      </c>
      <c r="D3" s="350" t="str">
        <f>IF(売分析!D3&lt;&gt;"",売分析!D3,"")</f>
        <v>ＱＤレーザ</v>
      </c>
      <c r="E3" s="351">
        <f>IF(売分析!E3&lt;&gt;"",売分析!E3,"")</f>
        <v>2377</v>
      </c>
      <c r="F3" s="351">
        <f>IF(売分析!F3&lt;&gt;"",売分析!F3,"")</f>
        <v>2520</v>
      </c>
      <c r="G3" s="351">
        <f>IF(売分析!H3&lt;&gt;"",売分析!H3,"")</f>
        <v>2530</v>
      </c>
      <c r="H3" s="351">
        <f>IF(売分析!I3&lt;&gt;"",売分析!I3,"")</f>
        <v>2335</v>
      </c>
      <c r="I3" s="350">
        <f>IF(売分析!J3&lt;&gt;"",売分析!J3,"")</f>
        <v>4464000</v>
      </c>
      <c r="J3" s="351">
        <f>IF(売分析!AB3&lt;&gt;"",売分析!AB3,"")</f>
        <v>2457.190092165898</v>
      </c>
      <c r="K3" s="351">
        <f>IF(売分析!AC3&lt;&gt;"",売分析!AC3,"")</f>
        <v>2476.2240762812871</v>
      </c>
      <c r="L3" s="351">
        <f>IF(売分析!K3&lt;&gt;"",売分析!K3,"")</f>
        <v>3620</v>
      </c>
      <c r="M3" s="350" t="str">
        <f>IF(売分析!P3&lt;&gt;"",売分析!P3,"")</f>
        <v>減少↓</v>
      </c>
      <c r="N3" s="353">
        <f>IF(売分析!O3&lt;&gt;"",売分析!O3,"")</f>
        <v>0.88424405452838339</v>
      </c>
      <c r="O3" s="355">
        <f>IF(売分析!X3&lt;&gt;"",売分析!X3,"")</f>
        <v>2.3930719354884786</v>
      </c>
      <c r="P3" s="352">
        <f>IF(売分析!L3&lt;&gt;"",売分析!L3,"")</f>
        <v>-34.337016574585633</v>
      </c>
      <c r="Q3" s="351">
        <f>IF(売分析!S3&lt;&gt;"",売分析!S3,"")</f>
        <v>2472</v>
      </c>
      <c r="R3" s="351">
        <f>IF(売分析!R3&lt;&gt;"",売分析!R3,"")</f>
        <v>2187</v>
      </c>
      <c r="S3" s="350" t="str">
        <f>IF(売分析!AA3&lt;&gt;"",売分析!AA3,"")</f>
        <v>下落▼</v>
      </c>
      <c r="T3" s="356">
        <f>IF(売分析!Z3&lt;&gt;"",売分析!Z3,"")</f>
        <v>-9.2748091603053435</v>
      </c>
      <c r="U3" s="350" t="str">
        <f>IF(売分析!V3&lt;&gt;"",売分析!V3,"")</f>
        <v>安値圏</v>
      </c>
      <c r="V3" s="354">
        <f>IF(売分析!W3&lt;&gt;"",売分析!W3,"")</f>
        <v>39.352262644188102</v>
      </c>
      <c r="W3" s="350" t="str">
        <f>IF(売分析!AD3&lt;&gt;"",売分析!AD3,"")</f>
        <v>下降トレンド▼</v>
      </c>
      <c r="X3" s="350" t="str">
        <f>IF(売分析!AE3&lt;&gt;"",売分析!AE3,"")</f>
        <v>なし</v>
      </c>
      <c r="Y3" s="427">
        <f>IF(売分析!T3&lt;&gt;"",売分析!T3,"")</f>
        <v>10</v>
      </c>
      <c r="Z3" s="350" t="str">
        <f>IF(売分析!Y3&lt;&gt;"",売分析!Y3,"")</f>
        <v>相場上昇・見送り | 下降トレンド▼ MACD+ RSI:39.4 前日比:-9.3% [安値圏] [大陰線▼]前日[大陰線▼] [10点]</v>
      </c>
    </row>
    <row r="4" spans="1:26">
      <c r="A4" s="230">
        <f>IF(売分析!C4&lt;&gt;"",ROW()-2,"")</f>
        <v>2</v>
      </c>
      <c r="B4" s="357" t="str">
        <f>IF(売分析!C4&lt;&gt;"",HYPERLINK("https://kabutan.jp/stock/?code="&amp;売分析!C4,"株探"),"")</f>
        <v>株探</v>
      </c>
      <c r="C4" s="366">
        <f>IF(売分析!C4&lt;&gt;"",売分析!C4,"")</f>
        <v>3436</v>
      </c>
      <c r="D4" s="230" t="str">
        <f>IF(売分析!D4&lt;&gt;"",売分析!D4,"")</f>
        <v>ＳＵＭＣＯ</v>
      </c>
      <c r="E4" s="358">
        <f>IF(売分析!E4&lt;&gt;"",売分析!E4,"")</f>
        <v>4152</v>
      </c>
      <c r="F4" s="358">
        <f>IF(売分析!F4&lt;&gt;"",売分析!F4,"")</f>
        <v>4015</v>
      </c>
      <c r="G4" s="358">
        <f>IF(売分析!H4&lt;&gt;"",売分析!H4,"")</f>
        <v>4212</v>
      </c>
      <c r="H4" s="358">
        <f>IF(売分析!I4&lt;&gt;"",売分析!I4,"")</f>
        <v>3978</v>
      </c>
      <c r="I4" s="230">
        <f>IF(売分析!J4&lt;&gt;"",売分析!J4,"")</f>
        <v>8223600</v>
      </c>
      <c r="J4" s="358">
        <f>IF(売分析!AB4&lt;&gt;"",売分析!AB4,"")</f>
        <v>3910.440092165898</v>
      </c>
      <c r="K4" s="358">
        <f>IF(売分析!AC4&lt;&gt;"",売分析!AC4,"")</f>
        <v>3741.2884386174005</v>
      </c>
      <c r="L4" s="358">
        <f>IF(売分析!K4&lt;&gt;"",売分析!K4,"")</f>
        <v>4564</v>
      </c>
      <c r="M4" s="230" t="str">
        <f>IF(売分析!P4&lt;&gt;"",売分析!P4,"")</f>
        <v>減少↓</v>
      </c>
      <c r="N4" s="360">
        <f>IF(売分析!O4&lt;&gt;"",売分析!O4,"")</f>
        <v>0.54469007322940621</v>
      </c>
      <c r="O4" s="362">
        <f>IF(売分析!X4&lt;&gt;"",売分析!X4,"")</f>
        <v>102.19314079422429</v>
      </c>
      <c r="P4" s="359">
        <f>IF(売分析!L4&lt;&gt;"",売分析!L4,"")</f>
        <v>-9.027169149868536</v>
      </c>
      <c r="Q4" s="358">
        <f>IF(売分析!S4&lt;&gt;"",売分析!S4,"")</f>
        <v>4318</v>
      </c>
      <c r="R4" s="358">
        <f>IF(売分析!R4&lt;&gt;"",売分析!R4,"")</f>
        <v>3820</v>
      </c>
      <c r="S4" s="230" t="str">
        <f>IF(売分析!AA4&lt;&gt;"",売分析!AA4,"")</f>
        <v>下落▼</v>
      </c>
      <c r="T4" s="363">
        <f>IF(売分析!Z4&lt;&gt;"",売分析!Z4,"")</f>
        <v>-7.2202166064981949E-2</v>
      </c>
      <c r="U4" s="230" t="str">
        <f>IF(売分析!V4&lt;&gt;"",売分析!V4,"")</f>
        <v>通常</v>
      </c>
      <c r="V4" s="361">
        <f>IF(売分析!W4&lt;&gt;"",売分析!W4,"")</f>
        <v>59.827213822894166</v>
      </c>
      <c r="W4" s="230" t="str">
        <f>IF(売分析!AD4&lt;&gt;"",売分析!AD4,"")</f>
        <v>パーフェクト▲</v>
      </c>
      <c r="X4" s="230" t="str">
        <f>IF(売分析!AE4&lt;&gt;"",売分析!AE4,"")</f>
        <v>なし</v>
      </c>
      <c r="Y4" s="428">
        <f>IF(売分析!T4&lt;&gt;"",売分析!T4,"")</f>
        <v>0</v>
      </c>
      <c r="Z4" s="230" t="str">
        <f>IF(売分析!Y4&lt;&gt;"",売分析!Y4,"")</f>
        <v>相場上昇・見送り | パーフェクト▲ MACD+ RSI:59.8 前日比:-0.1% [0点]</v>
      </c>
    </row>
    <row r="5" spans="1:26">
      <c r="A5" s="350">
        <f>IF(売分析!C5&lt;&gt;"",ROW()-2,"")</f>
        <v>3</v>
      </c>
      <c r="B5" s="349" t="str">
        <f>IF(売分析!C5&lt;&gt;"",HYPERLINK("https://kabutan.jp/stock/?code="&amp;売分析!C5,"株探"),"")</f>
        <v>株探</v>
      </c>
      <c r="C5" s="365">
        <f>IF(売分析!C5&lt;&gt;"",売分析!C5,"")</f>
        <v>6254</v>
      </c>
      <c r="D5" s="350" t="str">
        <f>IF(売分析!D5&lt;&gt;"",売分析!D5,"")</f>
        <v>野村マイクロ・サイエンス</v>
      </c>
      <c r="E5" s="351">
        <f>IF(売分析!E5&lt;&gt;"",売分析!E5,"")</f>
        <v>4900</v>
      </c>
      <c r="F5" s="351">
        <f>IF(売分析!F5&lt;&gt;"",売分析!F5,"")</f>
        <v>4500</v>
      </c>
      <c r="G5" s="351">
        <f>IF(売分析!H5&lt;&gt;"",売分析!H5,"")</f>
        <v>4990</v>
      </c>
      <c r="H5" s="351">
        <f>IF(売分析!I5&lt;&gt;"",売分析!I5,"")</f>
        <v>4495</v>
      </c>
      <c r="I5" s="350">
        <f>IF(売分析!J5&lt;&gt;"",売分析!J5,"")</f>
        <v>1015700</v>
      </c>
      <c r="J5" s="351">
        <f>IF(売分析!AB5&lt;&gt;"",売分析!AB5,"")</f>
        <v>4543.7903225806449</v>
      </c>
      <c r="K5" s="351">
        <f>IF(売分析!AC5&lt;&gt;"",売分析!AC5,"")</f>
        <v>4466.0429082240753</v>
      </c>
      <c r="L5" s="351">
        <f>IF(売分析!K5&lt;&gt;"",売分析!K5,"")</f>
        <v>5290</v>
      </c>
      <c r="M5" s="350" t="str">
        <f>IF(売分析!P5&lt;&gt;"",売分析!P5,"")</f>
        <v>普通→</v>
      </c>
      <c r="N5" s="353">
        <f>IF(売分析!O5&lt;&gt;"",売分析!O5,"")</f>
        <v>1.2893193531188911</v>
      </c>
      <c r="O5" s="355">
        <f>IF(売分析!X5&lt;&gt;"",売分析!X5,"")</f>
        <v>-49.948137032865816</v>
      </c>
      <c r="P5" s="352">
        <f>IF(売分析!L5&lt;&gt;"",売分析!L5,"")</f>
        <v>-7.3724007561436666</v>
      </c>
      <c r="Q5" s="351">
        <f>IF(売分析!S5&lt;&gt;"",売分析!S5,"")</f>
        <v>5096</v>
      </c>
      <c r="R5" s="351">
        <f>IF(売分析!R5&lt;&gt;"",売分析!R5,"")</f>
        <v>4508</v>
      </c>
      <c r="S5" s="350" t="str">
        <f>IF(売分析!AA5&lt;&gt;"",売分析!AA5,"")</f>
        <v>上昇▲</v>
      </c>
      <c r="T5" s="356">
        <f>IF(売分析!Z5&lt;&gt;"",売分析!Z5,"")</f>
        <v>6.5217391304347823</v>
      </c>
      <c r="U5" s="350" t="str">
        <f>IF(売分析!V5&lt;&gt;"",売分析!V5,"")</f>
        <v>通常</v>
      </c>
      <c r="V5" s="354">
        <f>IF(売分析!W5&lt;&gt;"",売分析!W5,"")</f>
        <v>37.674418604651166</v>
      </c>
      <c r="W5" s="350" t="str">
        <f>IF(売分析!AD5&lt;&gt;"",売分析!AD5,"")</f>
        <v>パーフェクト▲</v>
      </c>
      <c r="X5" s="350" t="str">
        <f>IF(売分析!AE5&lt;&gt;"",売分析!AE5,"")</f>
        <v>なし</v>
      </c>
      <c r="Y5" s="427">
        <f>IF(売分析!T5&lt;&gt;"",売分析!T5,"")</f>
        <v>0</v>
      </c>
      <c r="Z5" s="350" t="str">
        <f>IF(売分析!Y5&lt;&gt;"",売分析!Y5,"")</f>
        <v>相場上昇・見送り | パーフェクト▲ MACD- RSI:37.7 前日比:+6.5% [0点]</v>
      </c>
    </row>
    <row r="6" spans="1:26">
      <c r="A6" s="230">
        <f>IF(売分析!C6&lt;&gt;"",ROW()-2,"")</f>
        <v>4</v>
      </c>
      <c r="B6" s="357" t="str">
        <f>IF(売分析!C6&lt;&gt;"",HYPERLINK("https://kabutan.jp/stock/?code="&amp;売分析!C6,"株探"),"")</f>
        <v>株探</v>
      </c>
      <c r="C6" s="366">
        <f>IF(売分析!C6&lt;&gt;"",売分析!C6,"")</f>
        <v>6838</v>
      </c>
      <c r="D6" s="230" t="str">
        <f>IF(売分析!D6&lt;&gt;"",売分析!D6,"")</f>
        <v>多摩川ホールディングス</v>
      </c>
      <c r="E6" s="358">
        <f>IF(売分析!E6&lt;&gt;"",売分析!E6,"")</f>
        <v>2153</v>
      </c>
      <c r="F6" s="358">
        <f>IF(売分析!F6&lt;&gt;"",売分析!F6,"")</f>
        <v>2230</v>
      </c>
      <c r="G6" s="358">
        <f>IF(売分析!H6&lt;&gt;"",売分析!H6,"")</f>
        <v>2490</v>
      </c>
      <c r="H6" s="358">
        <f>IF(売分析!I6&lt;&gt;"",売分析!I6,"")</f>
        <v>2122</v>
      </c>
      <c r="I6" s="230">
        <f>IF(売分析!J6&lt;&gt;"",売分析!J6,"")</f>
        <v>1705200</v>
      </c>
      <c r="J6" s="358">
        <f>IF(売分析!AB6&lt;&gt;"",売分析!AB6,"")</f>
        <v>2054.3721198156682</v>
      </c>
      <c r="K6" s="358">
        <f>IF(売分析!AC6&lt;&gt;"",売分析!AC6,"")</f>
        <v>2113.8271752085816</v>
      </c>
      <c r="L6" s="358">
        <f>IF(売分析!K6&lt;&gt;"",売分析!K6,"")</f>
        <v>2496</v>
      </c>
      <c r="M6" s="230" t="str">
        <f>IF(売分析!P6&lt;&gt;"",売分析!P6,"")</f>
        <v>急増↑↑</v>
      </c>
      <c r="N6" s="360">
        <f>IF(売分析!O6&lt;&gt;"",売分析!O6,"")</f>
        <v>2.7896476131269834</v>
      </c>
      <c r="O6" s="362">
        <f>IF(売分析!X6&lt;&gt;"",売分析!X6,"")</f>
        <v>0.58639980257885327</v>
      </c>
      <c r="P6" s="359">
        <f>IF(売分析!L6&lt;&gt;"",売分析!L6,"")</f>
        <v>-13.741987179487181</v>
      </c>
      <c r="Q6" s="358">
        <f>IF(売分析!S6&lt;&gt;"",売分析!S6,"")</f>
        <v>2239</v>
      </c>
      <c r="R6" s="358">
        <f>IF(売分析!R6&lt;&gt;"",売分析!R6,"")</f>
        <v>1981</v>
      </c>
      <c r="S6" s="230" t="str">
        <f>IF(売分析!AA6&lt;&gt;"",売分析!AA6,"")</f>
        <v>下落▼</v>
      </c>
      <c r="T6" s="363">
        <f>IF(売分析!Z6&lt;&gt;"",売分析!Z6,"")</f>
        <v>-5.5701754385964914</v>
      </c>
      <c r="U6" s="230" t="str">
        <f>IF(売分析!V6&lt;&gt;"",売分析!V6,"")</f>
        <v>通常</v>
      </c>
      <c r="V6" s="361">
        <f>IF(売分析!W6&lt;&gt;"",売分析!W6,"")</f>
        <v>52.445961319681459</v>
      </c>
      <c r="W6" s="230" t="str">
        <f>IF(売分析!AD6&lt;&gt;"",売分析!AD6,"")</f>
        <v>上昇トレンド▲</v>
      </c>
      <c r="X6" s="230" t="str">
        <f>IF(売分析!AE6&lt;&gt;"",売分析!AE6,"")</f>
        <v>なし</v>
      </c>
      <c r="Y6" s="428">
        <f>IF(売分析!T6&lt;&gt;"",売分析!T6,"")</f>
        <v>6</v>
      </c>
      <c r="Z6" s="230" t="str">
        <f>IF(売分析!Y6&lt;&gt;"",売分析!Y6,"")</f>
        <v>相場上昇・見送り | 上昇トレンド▲ MACD+ RSI:52.4 前日比:-5.6% [上ヒゲ陰線▼] [6点]</v>
      </c>
    </row>
    <row r="7" spans="1:26">
      <c r="A7" s="350">
        <f>IF(売分析!C7&lt;&gt;"",ROW()-2,"")</f>
        <v>5</v>
      </c>
      <c r="B7" s="349" t="str">
        <f>IF(売分析!C7&lt;&gt;"",HYPERLINK("https://kabutan.jp/stock/?code="&amp;売分析!C7,"株探"),"")</f>
        <v>株探</v>
      </c>
      <c r="C7" s="365">
        <f>IF(売分析!C7&lt;&gt;"",売分析!C7,"")</f>
        <v>5411</v>
      </c>
      <c r="D7" s="350" t="str">
        <f>IF(売分析!D7&lt;&gt;"",売分析!D7,"")</f>
        <v>ＪＦＥホールディングス</v>
      </c>
      <c r="E7" s="351">
        <f>IF(売分析!E7&lt;&gt;"",売分析!E7,"")</f>
        <v>1637</v>
      </c>
      <c r="F7" s="351">
        <f>IF(売分析!F7&lt;&gt;"",売分析!F7,"")</f>
        <v>1652</v>
      </c>
      <c r="G7" s="351">
        <f>IF(売分析!H7&lt;&gt;"",売分析!H7,"")</f>
        <v>1653</v>
      </c>
      <c r="H7" s="351">
        <f>IF(売分析!I7&lt;&gt;"",売分析!I7,"")</f>
        <v>1630.5</v>
      </c>
      <c r="I7" s="350">
        <f>IF(売分析!J7&lt;&gt;"",売分析!J7,"")</f>
        <v>2749000</v>
      </c>
      <c r="J7" s="351">
        <f>IF(売分析!AB7&lt;&gt;"",売分析!AB7,"")</f>
        <v>1624.0218894009215</v>
      </c>
      <c r="K7" s="351">
        <f>IF(売分析!AC7&lt;&gt;"",売分析!AC7,"")</f>
        <v>1627.2640047675795</v>
      </c>
      <c r="L7" s="351">
        <f>IF(売分析!K7&lt;&gt;"",売分析!K7,"")</f>
        <v>2359</v>
      </c>
      <c r="M7" s="350" t="str">
        <f>IF(売分析!P7&lt;&gt;"",売分析!P7,"")</f>
        <v>減少↓</v>
      </c>
      <c r="N7" s="353">
        <f>IF(売分析!O7&lt;&gt;"",売分析!O7,"")</f>
        <v>0.56192637108808074</v>
      </c>
      <c r="O7" s="355">
        <f>IF(売分析!X7&lt;&gt;"",売分析!X7,"")</f>
        <v>-8.0933414000210178</v>
      </c>
      <c r="P7" s="352">
        <f>IF(売分析!L7&lt;&gt;"",売分析!L7,"")</f>
        <v>-30.606189063162358</v>
      </c>
      <c r="Q7" s="351">
        <f>IF(売分析!S7&lt;&gt;"",売分析!S7,"")</f>
        <v>1702</v>
      </c>
      <c r="R7" s="351">
        <f>IF(売分析!R7&lt;&gt;"",売分析!R7,"")</f>
        <v>1506</v>
      </c>
      <c r="S7" s="350" t="str">
        <f>IF(売分析!AA7&lt;&gt;"",売分析!AA7,"")</f>
        <v>下落▼</v>
      </c>
      <c r="T7" s="356">
        <f>IF(売分析!Z7&lt;&gt;"",売分析!Z7,"")</f>
        <v>-0.60716454159077105</v>
      </c>
      <c r="U7" s="350" t="str">
        <f>IF(売分析!V7&lt;&gt;"",売分析!V7,"")</f>
        <v>安値圏</v>
      </c>
      <c r="V7" s="354">
        <f>IF(売分析!W7&lt;&gt;"",売分析!W7,"")</f>
        <v>52.689873417721515</v>
      </c>
      <c r="W7" s="350" t="str">
        <f>IF(売分析!AD7&lt;&gt;"",売分析!AD7,"")</f>
        <v>上昇トレンド▲</v>
      </c>
      <c r="X7" s="350" t="str">
        <f>IF(売分析!AE7&lt;&gt;"",売分析!AE7,"")</f>
        <v>なし</v>
      </c>
      <c r="Y7" s="427">
        <f>IF(売分析!T7&lt;&gt;"",売分析!T7,"")</f>
        <v>11</v>
      </c>
      <c r="Z7" s="350" t="str">
        <f>IF(売分析!Y7&lt;&gt;"",売分析!Y7,"")</f>
        <v>相場上昇・見送り | 上昇トレンド▲ MACD- RSI:52.7 前日比:-0.6% [安値圏] [11点]</v>
      </c>
    </row>
    <row r="8" spans="1:26">
      <c r="A8" s="230">
        <f>IF(売分析!C8&lt;&gt;"",ROW()-2,"")</f>
        <v>6</v>
      </c>
      <c r="B8" s="357" t="str">
        <f>IF(売分析!C8&lt;&gt;"",HYPERLINK("https://kabutan.jp/stock/?code="&amp;売分析!C8,"株探"),"")</f>
        <v>株探</v>
      </c>
      <c r="C8" s="366">
        <f>IF(売分析!C8&lt;&gt;"",売分析!C8,"")</f>
        <v>9348</v>
      </c>
      <c r="D8" s="230" t="str">
        <f>IF(売分析!D8&lt;&gt;"",売分析!D8,"")</f>
        <v>ｉｓｐａｃｅ</v>
      </c>
      <c r="E8" s="358">
        <f>IF(売分析!E8&lt;&gt;"",売分析!E8,"")</f>
        <v>473</v>
      </c>
      <c r="F8" s="358">
        <f>IF(売分析!F8&lt;&gt;"",売分析!F8,"")</f>
        <v>471</v>
      </c>
      <c r="G8" s="358">
        <f>IF(売分析!H8&lt;&gt;"",売分析!H8,"")</f>
        <v>494</v>
      </c>
      <c r="H8" s="358">
        <f>IF(売分析!I8&lt;&gt;"",売分析!I8,"")</f>
        <v>468</v>
      </c>
      <c r="I8" s="230">
        <f>IF(売分析!J8&lt;&gt;"",売分析!J8,"")</f>
        <v>2625000</v>
      </c>
      <c r="J8" s="358">
        <f>IF(売分析!AB8&lt;&gt;"",売分析!AB8,"")</f>
        <v>504.67626728110594</v>
      </c>
      <c r="K8" s="358">
        <f>IF(売分析!AC8&lt;&gt;"",売分析!AC8,"")</f>
        <v>556.44934445768752</v>
      </c>
      <c r="L8" s="358">
        <f>IF(売分析!K8&lt;&gt;"",売分析!K8,"")</f>
        <v>710</v>
      </c>
      <c r="M8" s="230" t="str">
        <f>IF(売分析!P8&lt;&gt;"",売分析!P8,"")</f>
        <v>減少↓</v>
      </c>
      <c r="N8" s="360">
        <f>IF(売分析!O8&lt;&gt;"",売分析!O8,"")</f>
        <v>0.89308800914522124</v>
      </c>
      <c r="O8" s="362">
        <f>IF(売分析!X8&lt;&gt;"",売分析!X8,"")</f>
        <v>-4.2534698036529335</v>
      </c>
      <c r="P8" s="359">
        <f>IF(売分析!L8&lt;&gt;"",売分析!L8,"")</f>
        <v>-33.380281690140848</v>
      </c>
      <c r="Q8" s="358">
        <f>IF(売分析!S8&lt;&gt;"",売分析!S8,"")</f>
        <v>492</v>
      </c>
      <c r="R8" s="358">
        <f>IF(売分析!R8&lt;&gt;"",売分析!R8,"")</f>
        <v>435</v>
      </c>
      <c r="S8" s="230" t="str">
        <f>IF(売分析!AA8&lt;&gt;"",売分析!AA8,"")</f>
        <v>上昇▲</v>
      </c>
      <c r="T8" s="363">
        <f>IF(売分析!Z8&lt;&gt;"",売分析!Z8,"")</f>
        <v>1.0683760683760684</v>
      </c>
      <c r="U8" s="230" t="str">
        <f>IF(売分析!V8&lt;&gt;"",売分析!V8,"")</f>
        <v>安値圏</v>
      </c>
      <c r="V8" s="361">
        <f>IF(売分析!W8&lt;&gt;"",売分析!W8,"")</f>
        <v>38.28451882845188</v>
      </c>
      <c r="W8" s="230" t="str">
        <f>IF(売分析!AD8&lt;&gt;"",売分析!AD8,"")</f>
        <v>下降トレンド▼</v>
      </c>
      <c r="X8" s="230" t="str">
        <f>IF(売分析!AE8&lt;&gt;"",売分析!AE8,"")</f>
        <v>なし</v>
      </c>
      <c r="Y8" s="428">
        <f>IF(売分析!T8&lt;&gt;"",売分析!T8,"")</f>
        <v>14</v>
      </c>
      <c r="Z8" s="230" t="str">
        <f>IF(売分析!Y8&lt;&gt;"",売分析!Y8,"")</f>
        <v>相場上昇・見送り | 下降トレンド▼ MACD- RSI:38.3 前日比:+1.1% [安値圏]前日[大陰線▼] [14点]</v>
      </c>
    </row>
    <row r="9" spans="1:26">
      <c r="A9" s="350">
        <f>IF(売分析!C9&lt;&gt;"",ROW()-2,"")</f>
        <v>7</v>
      </c>
      <c r="B9" s="349" t="str">
        <f>IF(売分析!C9&lt;&gt;"",HYPERLINK("https://kabutan.jp/stock/?code="&amp;売分析!C9,"株探"),"")</f>
        <v>株探</v>
      </c>
      <c r="C9" s="365">
        <f>IF(売分析!C9&lt;&gt;"",売分析!C9,"")</f>
        <v>4082</v>
      </c>
      <c r="D9" s="350" t="str">
        <f>IF(売分析!D9&lt;&gt;"",売分析!D9,"")</f>
        <v>第一稀元素化学工</v>
      </c>
      <c r="E9" s="351">
        <f>IF(売分析!E9&lt;&gt;"",売分析!E9,"")</f>
        <v>2065</v>
      </c>
      <c r="F9" s="351">
        <f>IF(売分析!F9&lt;&gt;"",売分析!F9,"")</f>
        <v>1990</v>
      </c>
      <c r="G9" s="351">
        <f>IF(売分析!H9&lt;&gt;"",売分析!H9,"")</f>
        <v>2130</v>
      </c>
      <c r="H9" s="351">
        <f>IF(売分析!I9&lt;&gt;"",売分析!I9,"")</f>
        <v>1941</v>
      </c>
      <c r="I9" s="350">
        <f>IF(売分析!J9&lt;&gt;"",売分析!J9,"")</f>
        <v>270500</v>
      </c>
      <c r="J9" s="351">
        <f>IF(売分析!AB9&lt;&gt;"",売分析!AB9,"")</f>
        <v>1979.6497695852529</v>
      </c>
      <c r="K9" s="351">
        <f>IF(売分析!AC9&lt;&gt;"",売分析!AC9,"")</f>
        <v>2079.8116805721088</v>
      </c>
      <c r="L9" s="351">
        <f>IF(売分析!K9&lt;&gt;"",売分析!K9,"")</f>
        <v>4400</v>
      </c>
      <c r="M9" s="350" t="str">
        <f>IF(売分析!P9&lt;&gt;"",売分析!P9,"")</f>
        <v>減少↓</v>
      </c>
      <c r="N9" s="353">
        <f>IF(売分析!O9&lt;&gt;"",売分析!O9,"")</f>
        <v>0.93449872175775583</v>
      </c>
      <c r="O9" s="355">
        <f>IF(売分析!X9&lt;&gt;"",売分析!X9,"")</f>
        <v>-28.58063039575768</v>
      </c>
      <c r="P9" s="352">
        <f>IF(売分析!L9&lt;&gt;"",売分析!L9,"")</f>
        <v>-53.068181818181813</v>
      </c>
      <c r="Q9" s="351">
        <f>IF(売分析!S9&lt;&gt;"",売分析!S9,"")</f>
        <v>2148</v>
      </c>
      <c r="R9" s="351">
        <f>IF(売分析!R9&lt;&gt;"",売分析!R9,"")</f>
        <v>1900</v>
      </c>
      <c r="S9" s="350" t="str">
        <f>IF(売分析!AA9&lt;&gt;"",売分析!AA9,"")</f>
        <v>上昇▲</v>
      </c>
      <c r="T9" s="356">
        <f>IF(売分析!Z9&lt;&gt;"",売分析!Z9,"")</f>
        <v>2.481389578163772</v>
      </c>
      <c r="U9" s="350" t="str">
        <f>IF(売分析!V9&lt;&gt;"",売分析!V9,"")</f>
        <v>年初来安値圏●</v>
      </c>
      <c r="V9" s="354">
        <f>IF(売分析!W9&lt;&gt;"",売分析!W9,"")</f>
        <v>49.489795918367342</v>
      </c>
      <c r="W9" s="350" t="str">
        <f>IF(売分析!AD9&lt;&gt;"",売分析!AD9,"")</f>
        <v>もみ合い→</v>
      </c>
      <c r="X9" s="350" t="str">
        <f>IF(売分析!AE9&lt;&gt;"",売分析!AE9,"")</f>
        <v>25日戻り売り★</v>
      </c>
      <c r="Y9" s="427">
        <f>IF(売分析!T9&lt;&gt;"",売分析!T9,"")</f>
        <v>13</v>
      </c>
      <c r="Z9" s="350" t="str">
        <f>IF(売分析!Y9&lt;&gt;"",売分析!Y9,"")</f>
        <v>○逆張り売り | もみ合い→ 25日戻り売り★ MACD- RSI:49.5 前日比:+2.5% [年初来安値圏] [13点]</v>
      </c>
    </row>
    <row r="10" spans="1:26">
      <c r="A10" s="230">
        <f>IF(売分析!C10&lt;&gt;"",ROW()-2,"")</f>
        <v>8</v>
      </c>
      <c r="B10" s="357" t="str">
        <f>IF(売分析!C10&lt;&gt;"",HYPERLINK("https://kabutan.jp/stock/?code="&amp;売分析!C10,"株探"),"")</f>
        <v>株探</v>
      </c>
      <c r="C10" s="366">
        <f>IF(売分析!C10&lt;&gt;"",売分析!C10,"")</f>
        <v>6787</v>
      </c>
      <c r="D10" s="230" t="str">
        <f>IF(売分析!D10&lt;&gt;"",売分析!D10,"")</f>
        <v>メイコー</v>
      </c>
      <c r="E10" s="358">
        <f>IF(売分析!E10&lt;&gt;"",売分析!E10,"")</f>
        <v>35750</v>
      </c>
      <c r="F10" s="358">
        <f>IF(売分析!F10&lt;&gt;"",売分析!F10,"")</f>
        <v>33850</v>
      </c>
      <c r="G10" s="358">
        <f>IF(売分析!H10&lt;&gt;"",売分析!H10,"")</f>
        <v>36600</v>
      </c>
      <c r="H10" s="358">
        <f>IF(売分析!I10&lt;&gt;"",売分析!I10,"")</f>
        <v>33600</v>
      </c>
      <c r="I10" s="230">
        <f>IF(売分析!J10&lt;&gt;"",売分析!J10,"")</f>
        <v>512700</v>
      </c>
      <c r="J10" s="358">
        <f>IF(売分析!AB10&lt;&gt;"",売分析!AB10,"")</f>
        <v>33566.209677419349</v>
      </c>
      <c r="K10" s="358">
        <f>IF(売分析!AC10&lt;&gt;"",売分析!AC10,"")</f>
        <v>35493.861740166853</v>
      </c>
      <c r="L10" s="358">
        <f>IF(売分析!K10&lt;&gt;"",売分析!K10,"")</f>
        <v>45300</v>
      </c>
      <c r="M10" s="230" t="str">
        <f>IF(売分析!P10&lt;&gt;"",売分析!P10,"")</f>
        <v>減少↓</v>
      </c>
      <c r="N10" s="360">
        <f>IF(売分析!O10&lt;&gt;"",売分析!O10,"")</f>
        <v>0.84043669267589005</v>
      </c>
      <c r="O10" s="362">
        <f>IF(売分析!X10&lt;&gt;"",売分析!X10,"")</f>
        <v>-696.2983454001951</v>
      </c>
      <c r="P10" s="359">
        <f>IF(売分析!L10&lt;&gt;"",売分析!L10,"")</f>
        <v>-21.081677704194259</v>
      </c>
      <c r="Q10" s="358">
        <f>IF(売分析!S10&lt;&gt;"",売分析!S10,"")</f>
        <v>37180</v>
      </c>
      <c r="R10" s="358">
        <f>IF(売分析!R10&lt;&gt;"",売分析!R10,"")</f>
        <v>32890</v>
      </c>
      <c r="S10" s="230" t="str">
        <f>IF(売分析!AA10&lt;&gt;"",売分析!AA10,"")</f>
        <v>上昇▲</v>
      </c>
      <c r="T10" s="363">
        <f>IF(売分析!Z10&lt;&gt;"",売分析!Z10,"")</f>
        <v>2.5824964131994261</v>
      </c>
      <c r="U10" s="230" t="str">
        <f>IF(売分析!V10&lt;&gt;"",売分析!V10,"")</f>
        <v>安値圏</v>
      </c>
      <c r="V10" s="361">
        <f>IF(売分析!W10&lt;&gt;"",売分析!W10,"")</f>
        <v>32.781168265039241</v>
      </c>
      <c r="W10" s="230" t="str">
        <f>IF(売分析!AD10&lt;&gt;"",売分析!AD10,"")</f>
        <v>上昇トレンド▲</v>
      </c>
      <c r="X10" s="230" t="str">
        <f>IF(売分析!AE10&lt;&gt;"",売分析!AE10,"")</f>
        <v>なし</v>
      </c>
      <c r="Y10" s="428">
        <f>IF(売分析!T10&lt;&gt;"",売分析!T10,"")</f>
        <v>8</v>
      </c>
      <c r="Z10" s="230" t="str">
        <f>IF(売分析!Y10&lt;&gt;"",売分析!Y10,"")</f>
        <v>相場上昇・見送り | 上昇トレンド▲ MACD- RSI:32.8 前日比:+2.6% [安値圏] [8点]</v>
      </c>
    </row>
    <row r="11" spans="1:26">
      <c r="A11" s="350">
        <f>IF(売分析!C11&lt;&gt;"",ROW()-2,"")</f>
        <v>9</v>
      </c>
      <c r="B11" s="349" t="str">
        <f>IF(売分析!C11&lt;&gt;"",HYPERLINK("https://kabutan.jp/stock/?code="&amp;売分析!C11,"株探"),"")</f>
        <v>株探</v>
      </c>
      <c r="C11" s="365">
        <f>IF(売分析!C11&lt;&gt;"",売分析!C11,"")</f>
        <v>5706</v>
      </c>
      <c r="D11" s="350" t="str">
        <f>IF(売分析!D11&lt;&gt;"",売分析!D11,"")</f>
        <v>三井金属</v>
      </c>
      <c r="E11" s="351">
        <f>IF(売分析!E11&lt;&gt;"",売分析!E11,"")</f>
        <v>47600</v>
      </c>
      <c r="F11" s="351">
        <f>IF(売分析!F11&lt;&gt;"",売分析!F11,"")</f>
        <v>47100</v>
      </c>
      <c r="G11" s="351">
        <f>IF(売分析!H11&lt;&gt;"",売分析!H11,"")</f>
        <v>48750</v>
      </c>
      <c r="H11" s="351">
        <f>IF(売分析!I11&lt;&gt;"",売分析!I11,"")</f>
        <v>46090</v>
      </c>
      <c r="I11" s="350">
        <f>IF(売分析!J11&lt;&gt;"",売分析!J11,"")</f>
        <v>1716800</v>
      </c>
      <c r="J11" s="351">
        <f>IF(売分析!AB11&lt;&gt;"",売分析!AB11,"")</f>
        <v>51081.705069124422</v>
      </c>
      <c r="K11" s="351">
        <f>IF(売分析!AC11&lt;&gt;"",売分析!AC11,"")</f>
        <v>48810.8939213349</v>
      </c>
      <c r="L11" s="351">
        <f>IF(売分析!K11&lt;&gt;"",売分析!K11,"")</f>
        <v>57700</v>
      </c>
      <c r="M11" s="350" t="str">
        <f>IF(売分析!P11&lt;&gt;"",売分析!P11,"")</f>
        <v>減少↓</v>
      </c>
      <c r="N11" s="353">
        <f>IF(売分析!O11&lt;&gt;"",売分析!O11,"")</f>
        <v>0.6892730674418045</v>
      </c>
      <c r="O11" s="355">
        <f>IF(売分析!X11&lt;&gt;"",売分析!X11,"")</f>
        <v>460.74972436604003</v>
      </c>
      <c r="P11" s="352">
        <f>IF(売分析!L11&lt;&gt;"",売分析!L11,"")</f>
        <v>-17.504332755632582</v>
      </c>
      <c r="Q11" s="351">
        <f>IF(売分析!S11&lt;&gt;"",売分析!S11,"")</f>
        <v>49504</v>
      </c>
      <c r="R11" s="351">
        <f>IF(売分析!R11&lt;&gt;"",売分析!R11,"")</f>
        <v>43792</v>
      </c>
      <c r="S11" s="350" t="str">
        <f>IF(売分析!AA11&lt;&gt;"",売分析!AA11,"")</f>
        <v>下落▼</v>
      </c>
      <c r="T11" s="356">
        <f>IF(売分析!Z11&lt;&gt;"",売分析!Z11,"")</f>
        <v>-11.589895988112927</v>
      </c>
      <c r="U11" s="350" t="str">
        <f>IF(売分析!V11&lt;&gt;"",売分析!V11,"")</f>
        <v>通常</v>
      </c>
      <c r="V11" s="354">
        <f>IF(売分析!W11&lt;&gt;"",売分析!W11,"")</f>
        <v>54.322058398381031</v>
      </c>
      <c r="W11" s="350" t="str">
        <f>IF(売分析!AD11&lt;&gt;"",売分析!AD11,"")</f>
        <v>もみ合い→</v>
      </c>
      <c r="X11" s="350" t="str">
        <f>IF(売分析!AE11&lt;&gt;"",売分析!AE11,"")</f>
        <v>なし</v>
      </c>
      <c r="Y11" s="427">
        <f>IF(売分析!T11&lt;&gt;"",売分析!T11,"")</f>
        <v>2</v>
      </c>
      <c r="Z11" s="350" t="str">
        <f>IF(売分析!Y11&lt;&gt;"",売分析!Y11,"")</f>
        <v>相場上昇・見送り | もみ合い→ MACD+ RSI:54.3 前日比:-11.6% [2点]</v>
      </c>
    </row>
    <row r="12" spans="1:26">
      <c r="A12" s="230">
        <f>IF(売分析!C12&lt;&gt;"",ROW()-2,"")</f>
        <v>10</v>
      </c>
      <c r="B12" s="357" t="str">
        <f>IF(売分析!C12&lt;&gt;"",HYPERLINK("https://kabutan.jp/stock/?code="&amp;売分析!C12,"株探"),"")</f>
        <v>株探</v>
      </c>
      <c r="C12" s="366">
        <f>IF(売分析!C12&lt;&gt;"",売分析!C12,"")</f>
        <v>5332</v>
      </c>
      <c r="D12" s="230" t="str">
        <f>IF(売分析!D12&lt;&gt;"",売分析!D12,"")</f>
        <v>ＴＯＴＯ</v>
      </c>
      <c r="E12" s="358">
        <f>IF(売分析!E12&lt;&gt;"",売分析!E12,"")</f>
        <v>8297</v>
      </c>
      <c r="F12" s="358">
        <f>IF(売分析!F12&lt;&gt;"",売分析!F12,"")</f>
        <v>8102</v>
      </c>
      <c r="G12" s="358">
        <f>IF(売分析!H12&lt;&gt;"",売分析!H12,"")</f>
        <v>8297</v>
      </c>
      <c r="H12" s="358">
        <f>IF(売分析!I12&lt;&gt;"",売分析!I12,"")</f>
        <v>7938</v>
      </c>
      <c r="I12" s="230">
        <f>IF(売分析!J12&lt;&gt;"",売分析!J12,"")</f>
        <v>1293200</v>
      </c>
      <c r="J12" s="358">
        <f>IF(売分析!AB12&lt;&gt;"",売分析!AB12,"")</f>
        <v>7995.6301843317979</v>
      </c>
      <c r="K12" s="358">
        <f>IF(売分析!AC12&lt;&gt;"",売分析!AC12,"")</f>
        <v>7578.6221692491035</v>
      </c>
      <c r="L12" s="358">
        <f>IF(売分析!K12&lt;&gt;"",売分析!K12,"")</f>
        <v>8362</v>
      </c>
      <c r="M12" s="230" t="str">
        <f>IF(売分析!P12&lt;&gt;"",売分析!P12,"")</f>
        <v>減少↓</v>
      </c>
      <c r="N12" s="360">
        <f>IF(売分析!O12&lt;&gt;"",売分析!O12,"")</f>
        <v>0.91678600292078438</v>
      </c>
      <c r="O12" s="362">
        <f>IF(売分析!X12&lt;&gt;"",売分析!X12,"")</f>
        <v>142.94742456386393</v>
      </c>
      <c r="P12" s="359">
        <f>IF(売分析!L12&lt;&gt;"",売分析!L12,"")</f>
        <v>-0.77732599856493667</v>
      </c>
      <c r="Q12" s="358">
        <f>IF(売分析!S12&lt;&gt;"",売分析!S12,"")</f>
        <v>8629</v>
      </c>
      <c r="R12" s="358">
        <f>IF(売分析!R12&lt;&gt;"",売分析!R12,"")</f>
        <v>7633</v>
      </c>
      <c r="S12" s="230" t="str">
        <f>IF(売分析!AA12&lt;&gt;"",売分析!AA12,"")</f>
        <v>上昇▲</v>
      </c>
      <c r="T12" s="363">
        <f>IF(売分析!Z12&lt;&gt;"",売分析!Z12,"")</f>
        <v>1.8786836935166993</v>
      </c>
      <c r="U12" s="230" t="str">
        <f>IF(売分析!V12&lt;&gt;"",売分析!V12,"")</f>
        <v>通常</v>
      </c>
      <c r="V12" s="361">
        <f>IF(売分析!W12&lt;&gt;"",売分析!W12,"")</f>
        <v>67.955071027419891</v>
      </c>
      <c r="W12" s="230" t="str">
        <f>IF(売分析!AD12&lt;&gt;"",売分析!AD12,"")</f>
        <v>パーフェクト▲</v>
      </c>
      <c r="X12" s="230" t="str">
        <f>IF(売分析!AE12&lt;&gt;"",売分析!AE12,"")</f>
        <v>なし</v>
      </c>
      <c r="Y12" s="428">
        <f>IF(売分析!T12&lt;&gt;"",売分析!T12,"")</f>
        <v>0</v>
      </c>
      <c r="Z12" s="230" t="str">
        <f>IF(売分析!Y12&lt;&gt;"",売分析!Y12,"")</f>
        <v>相場上昇・見送り | パーフェクト▲ MACD+ RSI:68.0 前日比:+1.9% [0点]</v>
      </c>
    </row>
    <row r="13" spans="1:26">
      <c r="A13" s="350">
        <f>IF(売分析!C13&lt;&gt;"",ROW()-2,"")</f>
        <v>11</v>
      </c>
      <c r="B13" s="349" t="str">
        <f>IF(売分析!C13&lt;&gt;"",HYPERLINK("https://kabutan.jp/stock/?code="&amp;売分析!C13,"株探"),"")</f>
        <v>株探</v>
      </c>
      <c r="C13" s="365">
        <f>IF(売分析!C13&lt;&gt;"",売分析!C13,"")</f>
        <v>3107</v>
      </c>
      <c r="D13" s="350" t="str">
        <f>IF(売分析!D13&lt;&gt;"",売分析!D13,"")</f>
        <v>ダイワボウＨＤ</v>
      </c>
      <c r="E13" s="351">
        <f>IF(売分析!E13&lt;&gt;"",売分析!E13,"")</f>
        <v>3330</v>
      </c>
      <c r="F13" s="351">
        <f>IF(売分析!F13&lt;&gt;"",売分析!F13,"")</f>
        <v>3419</v>
      </c>
      <c r="G13" s="351">
        <f>IF(売分析!H13&lt;&gt;"",売分析!H13,"")</f>
        <v>3441</v>
      </c>
      <c r="H13" s="351">
        <f>IF(売分析!I13&lt;&gt;"",売分析!I13,"")</f>
        <v>3325</v>
      </c>
      <c r="I13" s="350">
        <f>IF(売分析!J13&lt;&gt;"",売分析!J13,"")</f>
        <v>294100</v>
      </c>
      <c r="J13" s="351">
        <f>IF(売分析!AB13&lt;&gt;"",売分析!AB13,"")</f>
        <v>3387.0933179723497</v>
      </c>
      <c r="K13" s="351">
        <f>IF(売分析!AC13&lt;&gt;"",売分析!AC13,"")</f>
        <v>3449.6829558998797</v>
      </c>
      <c r="L13" s="351">
        <f>IF(売分析!K13&lt;&gt;"",売分析!K13,"")</f>
        <v>3622</v>
      </c>
      <c r="M13" s="350" t="str">
        <f>IF(売分析!P13&lt;&gt;"",売分析!P13,"")</f>
        <v>減少↓</v>
      </c>
      <c r="N13" s="353">
        <f>IF(売分析!O13&lt;&gt;"",売分析!O13,"")</f>
        <v>0.9007105230920005</v>
      </c>
      <c r="O13" s="355">
        <f>IF(売分析!X13&lt;&gt;"",売分析!X13,"")</f>
        <v>-1.5960121637153861</v>
      </c>
      <c r="P13" s="352">
        <f>IF(売分析!L13&lt;&gt;"",売分析!L13,"")</f>
        <v>-8.0618442849254546</v>
      </c>
      <c r="Q13" s="351">
        <f>IF(売分析!S13&lt;&gt;"",売分析!S13,"")</f>
        <v>3463</v>
      </c>
      <c r="R13" s="351">
        <f>IF(売分析!R13&lt;&gt;"",売分析!R13,"")</f>
        <v>3064</v>
      </c>
      <c r="S13" s="350" t="str">
        <f>IF(売分析!AA13&lt;&gt;"",売分析!AA13,"")</f>
        <v>下落▼</v>
      </c>
      <c r="T13" s="356">
        <f>IF(売分析!Z13&lt;&gt;"",売分析!Z13,"")</f>
        <v>-2.3173951305368141</v>
      </c>
      <c r="U13" s="350" t="str">
        <f>IF(売分析!V13&lt;&gt;"",売分析!V13,"")</f>
        <v>通常</v>
      </c>
      <c r="V13" s="354">
        <f>IF(売分析!W13&lt;&gt;"",売分析!W13,"")</f>
        <v>55.341880341880334</v>
      </c>
      <c r="W13" s="350" t="str">
        <f>IF(売分析!AD13&lt;&gt;"",売分析!AD13,"")</f>
        <v>下降トレンド▼</v>
      </c>
      <c r="X13" s="350" t="str">
        <f>IF(売分析!AE13&lt;&gt;"",売分析!AE13,"")</f>
        <v>なし</v>
      </c>
      <c r="Y13" s="427">
        <f>IF(売分析!T13&lt;&gt;"",売分析!T13,"")</f>
        <v>12</v>
      </c>
      <c r="Z13" s="350" t="str">
        <f>IF(売分析!Y13&lt;&gt;"",売分析!Y13,"")</f>
        <v>相場上昇・見送り | 下降トレンド▼ MACD- RSI:55.3 前日比:-2.3% [大陰線▼] [12点]</v>
      </c>
    </row>
    <row r="14" spans="1:26">
      <c r="A14" s="230">
        <f>IF(売分析!C14&lt;&gt;"",ROW()-2,"")</f>
        <v>12</v>
      </c>
      <c r="B14" s="357" t="str">
        <f>IF(売分析!C14&lt;&gt;"",HYPERLINK("https://kabutan.jp/stock/?code="&amp;売分析!C14,"株探"),"")</f>
        <v>株探</v>
      </c>
      <c r="C14" s="366">
        <f>IF(売分析!C14&lt;&gt;"",売分析!C14,"")</f>
        <v>4063</v>
      </c>
      <c r="D14" s="230" t="str">
        <f>IF(売分析!D14&lt;&gt;"",売分析!D14,"")</f>
        <v>信越化学</v>
      </c>
      <c r="E14" s="358">
        <f>IF(売分析!E14&lt;&gt;"",売分析!E14,"")</f>
        <v>7549</v>
      </c>
      <c r="F14" s="358">
        <f>IF(売分析!F14&lt;&gt;"",売分析!F14,"")</f>
        <v>7447</v>
      </c>
      <c r="G14" s="358">
        <f>IF(売分析!H14&lt;&gt;"",売分析!H14,"")</f>
        <v>7595</v>
      </c>
      <c r="H14" s="358">
        <f>IF(売分析!I14&lt;&gt;"",売分析!I14,"")</f>
        <v>7372</v>
      </c>
      <c r="I14" s="230">
        <f>IF(売分析!J14&lt;&gt;"",売分析!J14,"")</f>
        <v>4866300</v>
      </c>
      <c r="J14" s="358">
        <f>IF(売分析!AB14&lt;&gt;"",売分析!AB14,"")</f>
        <v>7319.4020737327173</v>
      </c>
      <c r="K14" s="358">
        <f>IF(売分析!AC14&lt;&gt;"",売分析!AC14,"")</f>
        <v>7283.3504171632858</v>
      </c>
      <c r="L14" s="358">
        <f>IF(売分析!K14&lt;&gt;"",売分析!K14,"")</f>
        <v>7930</v>
      </c>
      <c r="M14" s="230" t="str">
        <f>IF(売分析!P14&lt;&gt;"",売分析!P14,"")</f>
        <v>減少↓</v>
      </c>
      <c r="N14" s="360">
        <f>IF(売分析!O14&lt;&gt;"",売分析!O14,"")</f>
        <v>0.68019803640917831</v>
      </c>
      <c r="O14" s="362">
        <f>IF(売分析!X14&lt;&gt;"",売分析!X14,"")</f>
        <v>18.273848805324633</v>
      </c>
      <c r="P14" s="359">
        <f>IF(売分析!L14&lt;&gt;"",売分析!L14,"")</f>
        <v>-4.8045397225725095</v>
      </c>
      <c r="Q14" s="358">
        <f>IF(売分析!S14&lt;&gt;"",売分析!S14,"")</f>
        <v>7851</v>
      </c>
      <c r="R14" s="358">
        <f>IF(売分析!R14&lt;&gt;"",売分析!R14,"")</f>
        <v>6945</v>
      </c>
      <c r="S14" s="230" t="str">
        <f>IF(売分析!AA14&lt;&gt;"",売分析!AA14,"")</f>
        <v>上昇▲</v>
      </c>
      <c r="T14" s="363">
        <f>IF(売分析!Z14&lt;&gt;"",売分析!Z14,"")</f>
        <v>1.2744834987925946</v>
      </c>
      <c r="U14" s="230" t="str">
        <f>IF(売分析!V14&lt;&gt;"",売分析!V14,"")</f>
        <v>通常</v>
      </c>
      <c r="V14" s="361">
        <f>IF(売分析!W14&lt;&gt;"",売分析!W14,"")</f>
        <v>56.075316269491026</v>
      </c>
      <c r="W14" s="230" t="str">
        <f>IF(売分析!AD14&lt;&gt;"",売分析!AD14,"")</f>
        <v>パーフェクト▲</v>
      </c>
      <c r="X14" s="230" t="str">
        <f>IF(売分析!AE14&lt;&gt;"",売分析!AE14,"")</f>
        <v>なし</v>
      </c>
      <c r="Y14" s="428">
        <f>IF(売分析!T14&lt;&gt;"",売分析!T14,"")</f>
        <v>2</v>
      </c>
      <c r="Z14" s="230" t="str">
        <f>IF(売分析!Y14&lt;&gt;"",売分析!Y14,"")</f>
        <v>相場上昇・見送り | パーフェクト▲ MACD+ RSI:56.1 前日比:+1.3% [2点]</v>
      </c>
    </row>
    <row r="15" spans="1:26">
      <c r="A15" s="350">
        <f>IF(売分析!C15&lt;&gt;"",ROW()-2,"")</f>
        <v>13</v>
      </c>
      <c r="B15" s="349" t="str">
        <f>IF(売分析!C15&lt;&gt;"",HYPERLINK("https://kabutan.jp/stock/?code="&amp;売分析!C15,"株探"),"")</f>
        <v>株探</v>
      </c>
      <c r="C15" s="365">
        <f>IF(売分析!C15&lt;&gt;"",売分析!C15,"")</f>
        <v>9424</v>
      </c>
      <c r="D15" s="350" t="str">
        <f>IF(売分析!D15&lt;&gt;"",売分析!D15,"")</f>
        <v>日本通信</v>
      </c>
      <c r="E15" s="351">
        <f>IF(売分析!E15&lt;&gt;"",売分析!E15,"")</f>
        <v>115</v>
      </c>
      <c r="F15" s="351">
        <f>IF(売分析!F15&lt;&gt;"",売分析!F15,"")</f>
        <v>113</v>
      </c>
      <c r="G15" s="351">
        <f>IF(売分析!H15&lt;&gt;"",売分析!H15,"")</f>
        <v>117</v>
      </c>
      <c r="H15" s="351">
        <f>IF(売分析!I15&lt;&gt;"",売分析!I15,"")</f>
        <v>113</v>
      </c>
      <c r="I15" s="350">
        <f>IF(売分析!J15&lt;&gt;"",売分析!J15,"")</f>
        <v>1549700</v>
      </c>
      <c r="J15" s="351">
        <f>IF(売分析!AB15&lt;&gt;"",売分析!AB15,"")</f>
        <v>113.62557603686636</v>
      </c>
      <c r="K15" s="351">
        <f>IF(売分析!AC15&lt;&gt;"",売分析!AC15,"")</f>
        <v>116.86293206197851</v>
      </c>
      <c r="L15" s="351">
        <f>IF(売分析!K15&lt;&gt;"",売分析!K15,"")</f>
        <v>155</v>
      </c>
      <c r="M15" s="350" t="str">
        <f>IF(売分析!P15&lt;&gt;"",売分析!P15,"")</f>
        <v>減少↓</v>
      </c>
      <c r="N15" s="353">
        <f>IF(売分析!O15&lt;&gt;"",売分析!O15,"")</f>
        <v>0.90692557088849091</v>
      </c>
      <c r="O15" s="355">
        <f>IF(売分析!X15&lt;&gt;"",売分析!X15,"")</f>
        <v>-1.5282082001599946</v>
      </c>
      <c r="P15" s="352">
        <f>IF(売分析!L15&lt;&gt;"",売分析!L15,"")</f>
        <v>-25.806451612903224</v>
      </c>
      <c r="Q15" s="351">
        <f>IF(売分析!S15&lt;&gt;"",売分析!S15,"")</f>
        <v>120</v>
      </c>
      <c r="R15" s="351">
        <f>IF(売分析!R15&lt;&gt;"",売分析!R15,"")</f>
        <v>106</v>
      </c>
      <c r="S15" s="350" t="str">
        <f>IF(売分析!AA15&lt;&gt;"",売分析!AA15,"")</f>
        <v>上昇▲</v>
      </c>
      <c r="T15" s="356">
        <f>IF(売分析!Z15&lt;&gt;"",売分析!Z15,"")</f>
        <v>2.6785714285714284</v>
      </c>
      <c r="U15" s="350" t="str">
        <f>IF(売分析!V15&lt;&gt;"",売分析!V15,"")</f>
        <v>安値圏</v>
      </c>
      <c r="V15" s="354">
        <f>IF(売分析!W15&lt;&gt;"",売分析!W15,"")</f>
        <v>32.142857142857139</v>
      </c>
      <c r="W15" s="350" t="str">
        <f>IF(売分析!AD15&lt;&gt;"",売分析!AD15,"")</f>
        <v>もみ合い→</v>
      </c>
      <c r="X15" s="350" t="str">
        <f>IF(売分析!AE15&lt;&gt;"",売分析!AE15,"")</f>
        <v>25日戻り売り★</v>
      </c>
      <c r="Y15" s="427">
        <f>IF(売分析!T15&lt;&gt;"",売分析!T15,"")</f>
        <v>13</v>
      </c>
      <c r="Z15" s="350" t="str">
        <f>IF(売分析!Y15&lt;&gt;"",売分析!Y15,"")</f>
        <v>○逆張り売り | もみ合い→ 25日戻り売り★ MACD- RSI:32.1 前日比:+2.7% [安値圏]前日[大陰線▼] [13点]</v>
      </c>
    </row>
    <row r="16" spans="1:26">
      <c r="A16" s="230">
        <f>IF(売分析!C16&lt;&gt;"",ROW()-2,"")</f>
        <v>14</v>
      </c>
      <c r="B16" s="357" t="str">
        <f>IF(売分析!C16&lt;&gt;"",HYPERLINK("https://kabutan.jp/stock/?code="&amp;売分析!C16,"株探"),"")</f>
        <v>株探</v>
      </c>
      <c r="C16" s="366">
        <f>IF(売分析!C16&lt;&gt;"",売分析!C16,"")</f>
        <v>6954</v>
      </c>
      <c r="D16" s="230" t="str">
        <f>IF(売分析!D16&lt;&gt;"",売分析!D16,"")</f>
        <v>ファナック</v>
      </c>
      <c r="E16" s="358">
        <f>IF(売分析!E16&lt;&gt;"",売分析!E16,"")</f>
        <v>7515</v>
      </c>
      <c r="F16" s="358">
        <f>IF(売分析!F16&lt;&gt;"",売分析!F16,"")</f>
        <v>7270</v>
      </c>
      <c r="G16" s="358">
        <f>IF(売分析!H16&lt;&gt;"",売分析!H16,"")</f>
        <v>7515</v>
      </c>
      <c r="H16" s="358">
        <f>IF(売分析!I16&lt;&gt;"",売分析!I16,"")</f>
        <v>7223</v>
      </c>
      <c r="I16" s="230">
        <f>IF(売分析!J16&lt;&gt;"",売分析!J16,"")</f>
        <v>5209500</v>
      </c>
      <c r="J16" s="358">
        <f>IF(売分析!AB16&lt;&gt;"",売分析!AB16,"")</f>
        <v>7248.0126728110599</v>
      </c>
      <c r="K16" s="358">
        <f>IF(売分析!AC16&lt;&gt;"",売分析!AC16,"")</f>
        <v>7534.8557806912968</v>
      </c>
      <c r="L16" s="358">
        <f>IF(売分析!K16&lt;&gt;"",売分析!K16,"")</f>
        <v>8880</v>
      </c>
      <c r="M16" s="230" t="str">
        <f>IF(売分析!P16&lt;&gt;"",売分析!P16,"")</f>
        <v>減少↓</v>
      </c>
      <c r="N16" s="360">
        <f>IF(売分析!O16&lt;&gt;"",売分析!O16,"")</f>
        <v>0.80916981460311144</v>
      </c>
      <c r="O16" s="362">
        <f>IF(売分析!X16&lt;&gt;"",売分析!X16,"")</f>
        <v>-104.22530538650153</v>
      </c>
      <c r="P16" s="359">
        <f>IF(売分析!L16&lt;&gt;"",売分析!L16,"")</f>
        <v>-15.371621621621623</v>
      </c>
      <c r="Q16" s="358">
        <f>IF(売分析!S16&lt;&gt;"",売分析!S16,"")</f>
        <v>7816</v>
      </c>
      <c r="R16" s="358">
        <f>IF(売分析!R16&lt;&gt;"",売分析!R16,"")</f>
        <v>6914</v>
      </c>
      <c r="S16" s="230" t="str">
        <f>IF(売分析!AA16&lt;&gt;"",売分析!AA16,"")</f>
        <v>上昇▲</v>
      </c>
      <c r="T16" s="363">
        <f>IF(売分析!Z16&lt;&gt;"",売分析!Z16,"")</f>
        <v>1.5540540540540542</v>
      </c>
      <c r="U16" s="230" t="str">
        <f>IF(売分析!V16&lt;&gt;"",売分析!V16,"")</f>
        <v>通常</v>
      </c>
      <c r="V16" s="361">
        <f>IF(売分析!W16&lt;&gt;"",売分析!W16,"")</f>
        <v>35.075493612078972</v>
      </c>
      <c r="W16" s="230" t="str">
        <f>IF(売分析!AD16&lt;&gt;"",売分析!AD16,"")</f>
        <v>もみ合い→</v>
      </c>
      <c r="X16" s="230" t="str">
        <f>IF(売分析!AE16&lt;&gt;"",売分析!AE16,"")</f>
        <v>25日戻り売り★</v>
      </c>
      <c r="Y16" s="428">
        <f>IF(売分析!T16&lt;&gt;"",売分析!T16,"")</f>
        <v>7</v>
      </c>
      <c r="Z16" s="230" t="str">
        <f>IF(売分析!Y16&lt;&gt;"",売分析!Y16,"")</f>
        <v>○逆張り売り | もみ合い→ 25日戻り売り★ MACD- RSI:35.1 前日比:+1.6%前日[長い下ヒゲ(反発)] [7点]</v>
      </c>
    </row>
    <row r="17" spans="1:26">
      <c r="A17" s="350">
        <f>IF(売分析!C17&lt;&gt;"",ROW()-2,"")</f>
        <v>15</v>
      </c>
      <c r="B17" s="349" t="str">
        <f>IF(売分析!C17&lt;&gt;"",HYPERLINK("https://kabutan.jp/stock/?code="&amp;売分析!C17,"株探"),"")</f>
        <v>株探</v>
      </c>
      <c r="C17" s="365">
        <f>IF(売分析!C17&lt;&gt;"",売分析!C17,"")</f>
        <v>4528</v>
      </c>
      <c r="D17" s="350" t="str">
        <f>IF(売分析!D17&lt;&gt;"",売分析!D17,"")</f>
        <v>小野薬品</v>
      </c>
      <c r="E17" s="351">
        <f>IF(売分析!E17&lt;&gt;"",売分析!E17,"")</f>
        <v>2249.5</v>
      </c>
      <c r="F17" s="351">
        <f>IF(売分析!F17&lt;&gt;"",売分析!F17,"")</f>
        <v>2259</v>
      </c>
      <c r="G17" s="351">
        <f>IF(売分析!H17&lt;&gt;"",売分析!H17,"")</f>
        <v>2277</v>
      </c>
      <c r="H17" s="351">
        <f>IF(売分析!I17&lt;&gt;"",売分析!I17,"")</f>
        <v>2240</v>
      </c>
      <c r="I17" s="350">
        <f>IF(売分析!J17&lt;&gt;"",売分析!J17,"")</f>
        <v>1121900</v>
      </c>
      <c r="J17" s="351">
        <f>IF(売分析!AB17&lt;&gt;"",売分析!AB17,"")</f>
        <v>2242.3133640552996</v>
      </c>
      <c r="K17" s="351">
        <f>IF(売分析!AC17&lt;&gt;"",売分析!AC17,"")</f>
        <v>2298.6323003575676</v>
      </c>
      <c r="L17" s="351">
        <f>IF(売分析!K17&lt;&gt;"",売分析!K17,"")</f>
        <v>2674.5</v>
      </c>
      <c r="M17" s="350" t="str">
        <f>IF(売分析!P17&lt;&gt;"",売分析!P17,"")</f>
        <v>減少↓</v>
      </c>
      <c r="N17" s="353">
        <f>IF(売分析!O17&lt;&gt;"",売分析!O17,"")</f>
        <v>0.69718738736499331</v>
      </c>
      <c r="O17" s="355">
        <f>IF(売分析!X17&lt;&gt;"",売分析!X17,"")</f>
        <v>-32.97659698534062</v>
      </c>
      <c r="P17" s="352">
        <f>IF(売分析!L17&lt;&gt;"",売分析!L17,"")</f>
        <v>-15.890820714152179</v>
      </c>
      <c r="Q17" s="351">
        <f>IF(売分析!S17&lt;&gt;"",売分析!S17,"")</f>
        <v>2339</v>
      </c>
      <c r="R17" s="351">
        <f>IF(売分析!R17&lt;&gt;"",売分析!R17,"")</f>
        <v>2070</v>
      </c>
      <c r="S17" s="350" t="str">
        <f>IF(売分析!AA17&lt;&gt;"",売分析!AA17,"")</f>
        <v>下落▼</v>
      </c>
      <c r="T17" s="356">
        <f>IF(売分析!Z17&lt;&gt;"",売分析!Z17,"")</f>
        <v>-0.42054006197432497</v>
      </c>
      <c r="U17" s="350" t="str">
        <f>IF(売分析!V17&lt;&gt;"",売分析!V17,"")</f>
        <v>通常</v>
      </c>
      <c r="V17" s="354">
        <f>IF(売分析!W17&lt;&gt;"",売分析!W17,"")</f>
        <v>33.547794117647058</v>
      </c>
      <c r="W17" s="350" t="str">
        <f>IF(売分析!AD17&lt;&gt;"",売分析!AD17,"")</f>
        <v>もみ合い→</v>
      </c>
      <c r="X17" s="350" t="str">
        <f>IF(売分析!AE17&lt;&gt;"",売分析!AE17,"")</f>
        <v>なし</v>
      </c>
      <c r="Y17" s="427">
        <f>IF(売分析!T17&lt;&gt;"",売分析!T17,"")</f>
        <v>8</v>
      </c>
      <c r="Z17" s="350" t="str">
        <f>IF(売分析!Y17&lt;&gt;"",売分析!Y17,"")</f>
        <v>相場上昇・見送り | もみ合い→ MACD- RSI:33.5 前日比:-0.4% [8点]</v>
      </c>
    </row>
    <row r="18" spans="1:26">
      <c r="A18" s="230">
        <f>IF(売分析!C18&lt;&gt;"",ROW()-2,"")</f>
        <v>16</v>
      </c>
      <c r="B18" s="357" t="str">
        <f>IF(売分析!C18&lt;&gt;"",HYPERLINK("https://kabutan.jp/stock/?code="&amp;売分析!C18,"株探"),"")</f>
        <v>株探</v>
      </c>
      <c r="C18" s="366">
        <f>IF(売分析!C18&lt;&gt;"",売分析!C18,"")</f>
        <v>7729</v>
      </c>
      <c r="D18" s="230" t="str">
        <f>IF(売分析!D18&lt;&gt;"",売分析!D18,"")</f>
        <v>東京精密</v>
      </c>
      <c r="E18" s="358">
        <f>IF(売分析!E18&lt;&gt;"",売分析!E18,"")</f>
        <v>19255</v>
      </c>
      <c r="F18" s="358">
        <f>IF(売分析!F18&lt;&gt;"",売分析!F18,"")</f>
        <v>18490</v>
      </c>
      <c r="G18" s="358">
        <f>IF(売分析!H18&lt;&gt;"",売分析!H18,"")</f>
        <v>19530</v>
      </c>
      <c r="H18" s="358">
        <f>IF(売分析!I18&lt;&gt;"",売分析!I18,"")</f>
        <v>18485</v>
      </c>
      <c r="I18" s="230">
        <f>IF(売分析!J18&lt;&gt;"",売分析!J18,"")</f>
        <v>346200</v>
      </c>
      <c r="J18" s="358">
        <f>IF(売分析!AB18&lt;&gt;"",売分析!AB18,"")</f>
        <v>18756.457373271889</v>
      </c>
      <c r="K18" s="358">
        <f>IF(売分析!AC18&lt;&gt;"",売分析!AC18,"")</f>
        <v>17759.481525625735</v>
      </c>
      <c r="L18" s="358">
        <f>IF(売分析!K18&lt;&gt;"",売分析!K18,"")</f>
        <v>19880</v>
      </c>
      <c r="M18" s="230" t="str">
        <f>IF(売分析!P18&lt;&gt;"",売分析!P18,"")</f>
        <v>減少↓</v>
      </c>
      <c r="N18" s="360">
        <f>IF(売分析!O18&lt;&gt;"",売分析!O18,"")</f>
        <v>0.73369219683804521</v>
      </c>
      <c r="O18" s="362">
        <f>IF(売分析!X18&lt;&gt;"",売分析!X18,"")</f>
        <v>156.40830046291376</v>
      </c>
      <c r="P18" s="359">
        <f>IF(売分析!L18&lt;&gt;"",売分析!L18,"")</f>
        <v>-3.1438631790744465</v>
      </c>
      <c r="Q18" s="358">
        <f>IF(売分析!S18&lt;&gt;"",売分析!S18,"")</f>
        <v>20025</v>
      </c>
      <c r="R18" s="358">
        <f>IF(売分析!R18&lt;&gt;"",売分析!R18,"")</f>
        <v>17715</v>
      </c>
      <c r="S18" s="230" t="str">
        <f>IF(売分析!AA18&lt;&gt;"",売分析!AA18,"")</f>
        <v>上昇▲</v>
      </c>
      <c r="T18" s="363">
        <f>IF(売分析!Z18&lt;&gt;"",売分析!Z18,"")</f>
        <v>0.33871808233454925</v>
      </c>
      <c r="U18" s="230" t="str">
        <f>IF(売分析!V18&lt;&gt;"",売分析!V18,"")</f>
        <v>通常</v>
      </c>
      <c r="V18" s="361">
        <f>IF(売分析!W18&lt;&gt;"",売分析!W18,"")</f>
        <v>55.777166437414024</v>
      </c>
      <c r="W18" s="230" t="str">
        <f>IF(売分析!AD18&lt;&gt;"",売分析!AD18,"")</f>
        <v>パーフェクト▲</v>
      </c>
      <c r="X18" s="230" t="str">
        <f>IF(売分析!AE18&lt;&gt;"",売分析!AE18,"")</f>
        <v>なし</v>
      </c>
      <c r="Y18" s="428">
        <f>IF(売分析!T18&lt;&gt;"",売分析!T18,"")</f>
        <v>1</v>
      </c>
      <c r="Z18" s="230" t="str">
        <f>IF(売分析!Y18&lt;&gt;"",売分析!Y18,"")</f>
        <v>相場上昇・見送り | パーフェクト▲ MACD+ RSI:55.8 前日比:+0.3%前日[大陰線▼] [1点]</v>
      </c>
    </row>
    <row r="19" spans="1:26">
      <c r="A19" s="350">
        <f>IF(売分析!C19&lt;&gt;"",ROW()-2,"")</f>
        <v>17</v>
      </c>
      <c r="B19" s="349" t="str">
        <f>IF(売分析!C19&lt;&gt;"",HYPERLINK("https://kabutan.jp/stock/?code="&amp;売分析!C19,"株探"),"")</f>
        <v>株探</v>
      </c>
      <c r="C19" s="365">
        <f>IF(売分析!C19&lt;&gt;"",売分析!C19,"")</f>
        <v>8704</v>
      </c>
      <c r="D19" s="350" t="str">
        <f>IF(売分析!D19&lt;&gt;"",売分析!D19,"")</f>
        <v>トレイダーズＨＬＤＧＳ</v>
      </c>
      <c r="E19" s="351">
        <f>IF(売分析!E19&lt;&gt;"",売分析!E19,"")</f>
        <v>1157</v>
      </c>
      <c r="F19" s="351">
        <f>IF(売分析!F19&lt;&gt;"",売分析!F19,"")</f>
        <v>1146</v>
      </c>
      <c r="G19" s="351">
        <f>IF(売分析!H19&lt;&gt;"",売分析!H19,"")</f>
        <v>1175</v>
      </c>
      <c r="H19" s="351">
        <f>IF(売分析!I19&lt;&gt;"",売分析!I19,"")</f>
        <v>1145</v>
      </c>
      <c r="I19" s="350">
        <f>IF(売分析!J19&lt;&gt;"",売分析!J19,"")</f>
        <v>87800</v>
      </c>
      <c r="J19" s="351">
        <f>IF(売分析!AB19&lt;&gt;"",売分析!AB19,"")</f>
        <v>1145.2384792626729</v>
      </c>
      <c r="K19" s="351">
        <f>IF(売分析!AC19&lt;&gt;"",売分析!AC19,"")</f>
        <v>1149.7890345649578</v>
      </c>
      <c r="L19" s="351">
        <f>IF(売分析!K19&lt;&gt;"",売分析!K19,"")</f>
        <v>1243</v>
      </c>
      <c r="M19" s="350" t="str">
        <f>IF(売分析!P19&lt;&gt;"",売分析!P19,"")</f>
        <v>減少↓</v>
      </c>
      <c r="N19" s="353">
        <f>IF(売分析!O19&lt;&gt;"",売分析!O19,"")</f>
        <v>0.82255949035038411</v>
      </c>
      <c r="O19" s="355">
        <f>IF(売分析!X19&lt;&gt;"",売分析!X19,"")</f>
        <v>-1.690127726984656</v>
      </c>
      <c r="P19" s="352">
        <f>IF(売分析!L19&lt;&gt;"",売分析!L19,"")</f>
        <v>-6.9187449718423171</v>
      </c>
      <c r="Q19" s="351">
        <f>IF(売分析!S19&lt;&gt;"",売分析!S19,"")</f>
        <v>1203</v>
      </c>
      <c r="R19" s="351">
        <f>IF(売分析!R19&lt;&gt;"",売分析!R19,"")</f>
        <v>1064</v>
      </c>
      <c r="S19" s="350" t="str">
        <f>IF(売分析!AA19&lt;&gt;"",売分析!AA19,"")</f>
        <v>上昇▲</v>
      </c>
      <c r="T19" s="356">
        <f>IF(売分析!Z19&lt;&gt;"",売分析!Z19,"")</f>
        <v>0.3469210754553339</v>
      </c>
      <c r="U19" s="350" t="str">
        <f>IF(売分析!V19&lt;&gt;"",売分析!V19,"")</f>
        <v>通常</v>
      </c>
      <c r="V19" s="354">
        <f>IF(売分析!W19&lt;&gt;"",売分析!W19,"")</f>
        <v>53.135313531353134</v>
      </c>
      <c r="W19" s="350" t="str">
        <f>IF(売分析!AD19&lt;&gt;"",売分析!AD19,"")</f>
        <v>上昇トレンド▲</v>
      </c>
      <c r="X19" s="350" t="str">
        <f>IF(売分析!AE19&lt;&gt;"",売分析!AE19,"")</f>
        <v>なし</v>
      </c>
      <c r="Y19" s="427">
        <f>IF(売分析!T19&lt;&gt;"",売分析!T19,"")</f>
        <v>4</v>
      </c>
      <c r="Z19" s="350" t="str">
        <f>IF(売分析!Y19&lt;&gt;"",売分析!Y19,"")</f>
        <v>相場上昇・見送り | 上昇トレンド▲ MACD- RSI:53.1 前日比:+0.3%前日[長い下ヒゲ(反発)] [4点]</v>
      </c>
    </row>
    <row r="20" spans="1:26">
      <c r="A20" s="230">
        <f>IF(売分析!C20&lt;&gt;"",ROW()-2,"")</f>
        <v>18</v>
      </c>
      <c r="B20" s="357" t="str">
        <f>IF(売分析!C20&lt;&gt;"",HYPERLINK("https://kabutan.jp/stock/?code="&amp;売分析!C20,"株探"),"")</f>
        <v>株探</v>
      </c>
      <c r="C20" s="366">
        <f>IF(売分析!C20&lt;&gt;"",売分析!C20,"")</f>
        <v>6506</v>
      </c>
      <c r="D20" s="230" t="str">
        <f>IF(売分析!D20&lt;&gt;"",売分析!D20,"")</f>
        <v>安川電機</v>
      </c>
      <c r="E20" s="358">
        <f>IF(売分析!E20&lt;&gt;"",売分析!E20,"")</f>
        <v>7046</v>
      </c>
      <c r="F20" s="358">
        <f>IF(売分析!F20&lt;&gt;"",売分析!F20,"")</f>
        <v>6745</v>
      </c>
      <c r="G20" s="358">
        <f>IF(売分析!H20&lt;&gt;"",売分析!H20,"")</f>
        <v>7060</v>
      </c>
      <c r="H20" s="358">
        <f>IF(売分析!I20&lt;&gt;"",売分析!I20,"")</f>
        <v>6718</v>
      </c>
      <c r="I20" s="230">
        <f>IF(売分析!J20&lt;&gt;"",売分析!J20,"")</f>
        <v>3737200</v>
      </c>
      <c r="J20" s="358">
        <f>IF(売分析!AB20&lt;&gt;"",売分析!AB20,"")</f>
        <v>6675.437788018432</v>
      </c>
      <c r="K20" s="358">
        <f>IF(売分析!AC20&lt;&gt;"",売分析!AC20,"")</f>
        <v>6731.8533969010723</v>
      </c>
      <c r="L20" s="358">
        <f>IF(売分析!K20&lt;&gt;"",売分析!K20,"")</f>
        <v>7700</v>
      </c>
      <c r="M20" s="230" t="str">
        <f>IF(売分析!P20&lt;&gt;"",売分析!P20,"")</f>
        <v>減少↓</v>
      </c>
      <c r="N20" s="360">
        <f>IF(売分析!O20&lt;&gt;"",売分析!O20,"")</f>
        <v>0.78326004853982323</v>
      </c>
      <c r="O20" s="362">
        <f>IF(売分析!X20&lt;&gt;"",売分析!X20,"")</f>
        <v>-42.447333017560595</v>
      </c>
      <c r="P20" s="359">
        <f>IF(売分析!L20&lt;&gt;"",売分析!L20,"")</f>
        <v>-8.4935064935064926</v>
      </c>
      <c r="Q20" s="358">
        <f>IF(売分析!S20&lt;&gt;"",売分析!S20,"")</f>
        <v>7328</v>
      </c>
      <c r="R20" s="358">
        <f>IF(売分析!R20&lt;&gt;"",売分析!R20,"")</f>
        <v>6482</v>
      </c>
      <c r="S20" s="230" t="str">
        <f>IF(売分析!AA20&lt;&gt;"",売分析!AA20,"")</f>
        <v>上昇▲</v>
      </c>
      <c r="T20" s="363">
        <f>IF(売分析!Z20&lt;&gt;"",売分析!Z20,"")</f>
        <v>2.9364499634769907</v>
      </c>
      <c r="U20" s="230" t="str">
        <f>IF(売分析!V20&lt;&gt;"",売分析!V20,"")</f>
        <v>通常</v>
      </c>
      <c r="V20" s="361">
        <f>IF(売分析!W20&lt;&gt;"",売分析!W20,"")</f>
        <v>41.196013289036543</v>
      </c>
      <c r="W20" s="230" t="str">
        <f>IF(売分析!AD20&lt;&gt;"",売分析!AD20,"")</f>
        <v>上昇トレンド▲</v>
      </c>
      <c r="X20" s="230" t="str">
        <f>IF(売分析!AE20&lt;&gt;"",売分析!AE20,"")</f>
        <v>なし</v>
      </c>
      <c r="Y20" s="428">
        <f>IF(売分析!T20&lt;&gt;"",売分析!T20,"")</f>
        <v>3</v>
      </c>
      <c r="Z20" s="230" t="str">
        <f>IF(売分析!Y20&lt;&gt;"",売分析!Y20,"")</f>
        <v>相場上昇・見送り | 上昇トレンド▲ MACD- RSI:41.2 前日比:+2.9% [3点]</v>
      </c>
    </row>
    <row r="21" spans="1:26">
      <c r="A21" s="350">
        <f>IF(売分析!C21&lt;&gt;"",ROW()-2,"")</f>
        <v>19</v>
      </c>
      <c r="B21" s="349" t="str">
        <f>IF(売分析!C21&lt;&gt;"",HYPERLINK("https://kabutan.jp/stock/?code="&amp;売分析!C21,"株探"),"")</f>
        <v>株探</v>
      </c>
      <c r="C21" s="365">
        <f>IF(売分析!C21&lt;&gt;"",売分析!C21,"")</f>
        <v>3863</v>
      </c>
      <c r="D21" s="350" t="str">
        <f>IF(売分析!D21&lt;&gt;"",売分析!D21,"")</f>
        <v>日本製紙</v>
      </c>
      <c r="E21" s="351">
        <f>IF(売分析!E21&lt;&gt;"",売分析!E21,"")</f>
        <v>1242</v>
      </c>
      <c r="F21" s="351">
        <f>IF(売分析!F21&lt;&gt;"",売分析!F21,"")</f>
        <v>1245</v>
      </c>
      <c r="G21" s="351">
        <f>IF(売分析!H21&lt;&gt;"",売分析!H21,"")</f>
        <v>1259</v>
      </c>
      <c r="H21" s="351">
        <f>IF(売分析!I21&lt;&gt;"",売分析!I21,"")</f>
        <v>1241</v>
      </c>
      <c r="I21" s="350">
        <f>IF(売分析!J21&lt;&gt;"",売分析!J21,"")</f>
        <v>606200</v>
      </c>
      <c r="J21" s="351">
        <f>IF(売分析!AB21&lt;&gt;"",売分析!AB21,"")</f>
        <v>1229.3156682027645</v>
      </c>
      <c r="K21" s="351">
        <f>IF(売分析!AC21&lt;&gt;"",売分析!AC21,"")</f>
        <v>1273.9952324195463</v>
      </c>
      <c r="L21" s="351">
        <f>IF(売分析!K21&lt;&gt;"",売分析!K21,"")</f>
        <v>1612</v>
      </c>
      <c r="M21" s="350" t="str">
        <f>IF(売分析!P21&lt;&gt;"",売分析!P21,"")</f>
        <v>減少↓</v>
      </c>
      <c r="N21" s="353">
        <f>IF(売分析!O21&lt;&gt;"",売分析!O21,"")</f>
        <v>0.78841951930080112</v>
      </c>
      <c r="O21" s="355">
        <f>IF(売分析!X21&lt;&gt;"",売分析!X21,"")</f>
        <v>-27.691916860041374</v>
      </c>
      <c r="P21" s="352">
        <f>IF(売分析!L21&lt;&gt;"",売分析!L21,"")</f>
        <v>-22.95285359801489</v>
      </c>
      <c r="Q21" s="351">
        <f>IF(売分析!S21&lt;&gt;"",売分析!S21,"")</f>
        <v>1292</v>
      </c>
      <c r="R21" s="351">
        <f>IF(売分析!R21&lt;&gt;"",売分析!R21,"")</f>
        <v>1143</v>
      </c>
      <c r="S21" s="350" t="str">
        <f>IF(売分析!AA21&lt;&gt;"",売分析!AA21,"")</f>
        <v>上昇▲</v>
      </c>
      <c r="T21" s="356">
        <f>IF(売分析!Z21&lt;&gt;"",売分析!Z21,"")</f>
        <v>0.89358245329000818</v>
      </c>
      <c r="U21" s="350" t="str">
        <f>IF(売分析!V21&lt;&gt;"",売分析!V21,"")</f>
        <v>通常</v>
      </c>
      <c r="V21" s="354">
        <f>IF(売分析!W21&lt;&gt;"",売分析!W21,"")</f>
        <v>30.630630630630634</v>
      </c>
      <c r="W21" s="350" t="str">
        <f>IF(売分析!AD21&lt;&gt;"",売分析!AD21,"")</f>
        <v>もみ合い→</v>
      </c>
      <c r="X21" s="350" t="str">
        <f>IF(売分析!AE21&lt;&gt;"",売分析!AE21,"")</f>
        <v>なし</v>
      </c>
      <c r="Y21" s="427">
        <f>IF(売分析!T21&lt;&gt;"",売分析!T21,"")</f>
        <v>9</v>
      </c>
      <c r="Z21" s="350" t="str">
        <f>IF(売分析!Y21&lt;&gt;"",売分析!Y21,"")</f>
        <v>相場上昇・見送り | もみ合い→ MACD- RSI:30.6 前日比:+0.9% [上ヒゲ陰線▼] [9点]</v>
      </c>
    </row>
    <row r="22" spans="1:26">
      <c r="A22" s="230">
        <f>IF(売分析!C22&lt;&gt;"",ROW()-2,"")</f>
        <v>20</v>
      </c>
      <c r="B22" s="357" t="str">
        <f>IF(売分析!C22&lt;&gt;"",HYPERLINK("https://kabutan.jp/stock/?code="&amp;売分析!C22,"株探"),"")</f>
        <v>株探</v>
      </c>
      <c r="C22" s="366">
        <f>IF(売分析!C22&lt;&gt;"",売分析!C22,"")</f>
        <v>9412</v>
      </c>
      <c r="D22" s="230" t="str">
        <f>IF(売分析!D22&lt;&gt;"",売分析!D22,"")</f>
        <v>スカパーＪＳＡＴ</v>
      </c>
      <c r="E22" s="358">
        <f>IF(売分析!E22&lt;&gt;"",売分析!E22,"")</f>
        <v>3355</v>
      </c>
      <c r="F22" s="358">
        <f>IF(売分析!F22&lt;&gt;"",売分析!F22,"")</f>
        <v>3300</v>
      </c>
      <c r="G22" s="358">
        <f>IF(売分析!H22&lt;&gt;"",売分析!H22,"")</f>
        <v>3420</v>
      </c>
      <c r="H22" s="358">
        <f>IF(売分析!I22&lt;&gt;"",売分析!I22,"")</f>
        <v>3295</v>
      </c>
      <c r="I22" s="230">
        <f>IF(売分析!J22&lt;&gt;"",売分析!J22,"")</f>
        <v>1970700</v>
      </c>
      <c r="J22" s="358">
        <f>IF(売分析!AB22&lt;&gt;"",売分析!AB22,"")</f>
        <v>3327.8629032258068</v>
      </c>
      <c r="K22" s="358">
        <f>IF(売分析!AC22&lt;&gt;"",売分析!AC22,"")</f>
        <v>3692.544696066745</v>
      </c>
      <c r="L22" s="358">
        <f>IF(売分析!K22&lt;&gt;"",売分析!K22,"")</f>
        <v>4720</v>
      </c>
      <c r="M22" s="230" t="str">
        <f>IF(売分析!P22&lt;&gt;"",売分析!P22,"")</f>
        <v>減少↓</v>
      </c>
      <c r="N22" s="360">
        <f>IF(売分析!O22&lt;&gt;"",売分析!O22,"")</f>
        <v>0.63066032603477962</v>
      </c>
      <c r="O22" s="362">
        <f>IF(売分析!X22&lt;&gt;"",売分析!X22,"")</f>
        <v>-128.42959293740205</v>
      </c>
      <c r="P22" s="359">
        <f>IF(売分析!L22&lt;&gt;"",売分析!L22,"")</f>
        <v>-28.91949152542373</v>
      </c>
      <c r="Q22" s="358">
        <f>IF(売分析!S22&lt;&gt;"",売分析!S22,"")</f>
        <v>3489</v>
      </c>
      <c r="R22" s="358">
        <f>IF(売分析!R22&lt;&gt;"",売分析!R22,"")</f>
        <v>3087</v>
      </c>
      <c r="S22" s="230" t="str">
        <f>IF(売分析!AA22&lt;&gt;"",売分析!AA22,"")</f>
        <v>上昇▲</v>
      </c>
      <c r="T22" s="363">
        <f>IF(売分析!Z22&lt;&gt;"",売分析!Z22,"")</f>
        <v>2.5993883792048931</v>
      </c>
      <c r="U22" s="230" t="str">
        <f>IF(売分析!V22&lt;&gt;"",売分析!V22,"")</f>
        <v>安値圏</v>
      </c>
      <c r="V22" s="361">
        <f>IF(売分析!W22&lt;&gt;"",売分析!W22,"")</f>
        <v>31.25</v>
      </c>
      <c r="W22" s="230" t="str">
        <f>IF(売分析!AD22&lt;&gt;"",売分析!AD22,"")</f>
        <v>もみ合い→</v>
      </c>
      <c r="X22" s="230" t="str">
        <f>IF(売分析!AE22&lt;&gt;"",売分析!AE22,"")</f>
        <v>なし</v>
      </c>
      <c r="Y22" s="428">
        <f>IF(売分析!T22&lt;&gt;"",売分析!T22,"")</f>
        <v>9</v>
      </c>
      <c r="Z22" s="230" t="str">
        <f>IF(売分析!Y22&lt;&gt;"",売分析!Y22,"")</f>
        <v>相場上昇・見送り | もみ合い→ MACD- RSI:31.3 前日比:+2.6% [安値圏] [9点]</v>
      </c>
    </row>
    <row r="23" spans="1:26">
      <c r="A23" s="350">
        <f>IF(売分析!C23&lt;&gt;"",ROW()-2,"")</f>
        <v>21</v>
      </c>
      <c r="B23" s="349" t="str">
        <f>IF(売分析!C23&lt;&gt;"",HYPERLINK("https://kabutan.jp/stock/?code="&amp;売分析!C23,"株探"),"")</f>
        <v>株探</v>
      </c>
      <c r="C23" s="365">
        <f>IF(売分析!C23&lt;&gt;"",売分析!C23,"")</f>
        <v>2802</v>
      </c>
      <c r="D23" s="350" t="str">
        <f>IF(売分析!D23&lt;&gt;"",売分析!D23,"")</f>
        <v>味の素</v>
      </c>
      <c r="E23" s="351">
        <f>IF(売分析!E23&lt;&gt;"",売分析!E23,"")</f>
        <v>5340</v>
      </c>
      <c r="F23" s="351">
        <f>IF(売分析!F23&lt;&gt;"",売分析!F23,"")</f>
        <v>5187</v>
      </c>
      <c r="G23" s="351">
        <f>IF(売分析!H23&lt;&gt;"",売分析!H23,"")</f>
        <v>5350</v>
      </c>
      <c r="H23" s="351">
        <f>IF(売分析!I23&lt;&gt;"",売分析!I23,"")</f>
        <v>5084</v>
      </c>
      <c r="I23" s="350">
        <f>IF(売分析!J23&lt;&gt;"",売分析!J23,"")</f>
        <v>7021300</v>
      </c>
      <c r="J23" s="351">
        <f>IF(売分析!AB23&lt;&gt;"",売分析!AB23,"")</f>
        <v>5183.6935483870957</v>
      </c>
      <c r="K23" s="351">
        <f>IF(売分析!AC23&lt;&gt;"",売分析!AC23,"")</f>
        <v>5156.9928486293193</v>
      </c>
      <c r="L23" s="351">
        <f>IF(売分析!K23&lt;&gt;"",売分析!K23,"")</f>
        <v>5739</v>
      </c>
      <c r="M23" s="350" t="str">
        <f>IF(売分析!P23&lt;&gt;"",売分析!P23,"")</f>
        <v>普通→</v>
      </c>
      <c r="N23" s="353">
        <f>IF(売分析!O23&lt;&gt;"",売分析!O23,"")</f>
        <v>1.1591659512646106</v>
      </c>
      <c r="O23" s="355">
        <f>IF(売分析!X23&lt;&gt;"",売分析!X23,"")</f>
        <v>-23.812716178616938</v>
      </c>
      <c r="P23" s="352">
        <f>IF(売分析!L23&lt;&gt;"",売分析!L23,"")</f>
        <v>-6.9524307370622056</v>
      </c>
      <c r="Q23" s="351">
        <f>IF(売分析!S23&lt;&gt;"",売分析!S23,"")</f>
        <v>5554</v>
      </c>
      <c r="R23" s="351">
        <f>IF(売分析!R23&lt;&gt;"",売分析!R23,"")</f>
        <v>4913</v>
      </c>
      <c r="S23" s="350" t="str">
        <f>IF(売分析!AA23&lt;&gt;"",売分析!AA23,"")</f>
        <v>上昇▲</v>
      </c>
      <c r="T23" s="356">
        <f>IF(売分析!Z23&lt;&gt;"",売分析!Z23,"")</f>
        <v>3.7699183832102605</v>
      </c>
      <c r="U23" s="350" t="str">
        <f>IF(売分析!V23&lt;&gt;"",売分析!V23,"")</f>
        <v>通常</v>
      </c>
      <c r="V23" s="354">
        <f>IF(売分析!W23&lt;&gt;"",売分析!W23,"")</f>
        <v>40.108238123872518</v>
      </c>
      <c r="W23" s="350" t="str">
        <f>IF(売分析!AD23&lt;&gt;"",売分析!AD23,"")</f>
        <v>パーフェクト▲</v>
      </c>
      <c r="X23" s="350" t="str">
        <f>IF(売分析!AE23&lt;&gt;"",売分析!AE23,"")</f>
        <v>なし</v>
      </c>
      <c r="Y23" s="427">
        <f>IF(売分析!T23&lt;&gt;"",売分析!T23,"")</f>
        <v>5</v>
      </c>
      <c r="Z23" s="350" t="str">
        <f>IF(売分析!Y23&lt;&gt;"",売分析!Y23,"")</f>
        <v>相場上昇・見送り | パーフェクト▲ MACD- RSI:40.1 前日比:+3.8% [5点]</v>
      </c>
    </row>
    <row r="24" spans="1:26">
      <c r="A24" s="230">
        <f>IF(売分析!C24&lt;&gt;"",ROW()-2,"")</f>
        <v>22</v>
      </c>
      <c r="B24" s="357" t="str">
        <f>IF(売分析!C24&lt;&gt;"",HYPERLINK("https://kabutan.jp/stock/?code="&amp;売分析!C24,"株探"),"")</f>
        <v>株探</v>
      </c>
      <c r="C24" s="366">
        <f>IF(売分析!C24&lt;&gt;"",売分析!C24,"")</f>
        <v>6479</v>
      </c>
      <c r="D24" s="230" t="str">
        <f>IF(売分析!D24&lt;&gt;"",売分析!D24,"")</f>
        <v>ミネベアミツミ</v>
      </c>
      <c r="E24" s="358">
        <f>IF(売分析!E24&lt;&gt;"",売分析!E24,"")</f>
        <v>4718</v>
      </c>
      <c r="F24" s="358">
        <f>IF(売分析!F24&lt;&gt;"",売分析!F24,"")</f>
        <v>4618</v>
      </c>
      <c r="G24" s="358">
        <f>IF(売分析!H24&lt;&gt;"",売分析!H24,"")</f>
        <v>4720</v>
      </c>
      <c r="H24" s="358">
        <f>IF(売分析!I24&lt;&gt;"",売分析!I24,"")</f>
        <v>4553</v>
      </c>
      <c r="I24" s="230">
        <f>IF(売分析!J24&lt;&gt;"",売分析!J24,"")</f>
        <v>3190800</v>
      </c>
      <c r="J24" s="358">
        <f>IF(売分析!AB24&lt;&gt;"",売分析!AB24,"")</f>
        <v>4539.7361751152066</v>
      </c>
      <c r="K24" s="358">
        <f>IF(売分析!AC24&lt;&gt;"",売分析!AC24,"")</f>
        <v>4435.6257449344448</v>
      </c>
      <c r="L24" s="358">
        <f>IF(売分析!K24&lt;&gt;"",売分析!K24,"")</f>
        <v>5088</v>
      </c>
      <c r="M24" s="230" t="str">
        <f>IF(売分析!P24&lt;&gt;"",売分析!P24,"")</f>
        <v>減少↓</v>
      </c>
      <c r="N24" s="360">
        <f>IF(売分析!O24&lt;&gt;"",売分析!O24,"")</f>
        <v>0.85886399974159788</v>
      </c>
      <c r="O24" s="362">
        <f>IF(売分析!X24&lt;&gt;"",売分析!X24,"")</f>
        <v>92.931185046909377</v>
      </c>
      <c r="P24" s="359">
        <f>IF(売分析!L24&lt;&gt;"",売分析!L24,"")</f>
        <v>-7.2720125786163523</v>
      </c>
      <c r="Q24" s="358">
        <f>IF(売分析!S24&lt;&gt;"",売分析!S24,"")</f>
        <v>4907</v>
      </c>
      <c r="R24" s="358">
        <f>IF(売分析!R24&lt;&gt;"",売分析!R24,"")</f>
        <v>4341</v>
      </c>
      <c r="S24" s="230" t="str">
        <f>IF(売分析!AA24&lt;&gt;"",売分析!AA24,"")</f>
        <v>上昇▲</v>
      </c>
      <c r="T24" s="363">
        <f>IF(売分析!Z24&lt;&gt;"",売分析!Z24,"")</f>
        <v>2.1654395842355996</v>
      </c>
      <c r="U24" s="230" t="str">
        <f>IF(売分析!V24&lt;&gt;"",売分析!V24,"")</f>
        <v>通常</v>
      </c>
      <c r="V24" s="361">
        <f>IF(売分析!W24&lt;&gt;"",売分析!W24,"")</f>
        <v>59.870711089010442</v>
      </c>
      <c r="W24" s="230" t="str">
        <f>IF(売分析!AD24&lt;&gt;"",売分析!AD24,"")</f>
        <v>パーフェクト▲</v>
      </c>
      <c r="X24" s="230" t="str">
        <f>IF(売分析!AE24&lt;&gt;"",売分析!AE24,"")</f>
        <v>なし</v>
      </c>
      <c r="Y24" s="428">
        <f>IF(売分析!T24&lt;&gt;"",売分析!T24,"")</f>
        <v>-1</v>
      </c>
      <c r="Z24" s="230" t="str">
        <f>IF(売分析!Y24&lt;&gt;"",売分析!Y24,"")</f>
        <v>相場上昇・見送り | パーフェクト▲ MACD+ RSI:59.9 前日比:+2.2% [-1点]</v>
      </c>
    </row>
    <row r="25" spans="1:26">
      <c r="A25" s="350">
        <f>IF(売分析!C25&lt;&gt;"",ROW()-2,"")</f>
        <v>23</v>
      </c>
      <c r="B25" s="349" t="str">
        <f>IF(売分析!C25&lt;&gt;"",HYPERLINK("https://kabutan.jp/stock/?code="&amp;売分析!C25,"株探"),"")</f>
        <v>株探</v>
      </c>
      <c r="C25" s="365">
        <f>IF(売分析!C25&lt;&gt;"",売分析!C25,"")</f>
        <v>6134</v>
      </c>
      <c r="D25" s="350" t="str">
        <f>IF(売分析!D25&lt;&gt;"",売分析!D25,"")</f>
        <v>ＦＵＪＩ</v>
      </c>
      <c r="E25" s="351">
        <f>IF(売分析!E25&lt;&gt;"",売分析!E25,"")</f>
        <v>8323</v>
      </c>
      <c r="F25" s="351">
        <f>IF(売分析!F25&lt;&gt;"",売分析!F25,"")</f>
        <v>8217</v>
      </c>
      <c r="G25" s="351">
        <f>IF(売分析!H25&lt;&gt;"",売分析!H25,"")</f>
        <v>8377</v>
      </c>
      <c r="H25" s="351">
        <f>IF(売分析!I25&lt;&gt;"",売分析!I25,"")</f>
        <v>8162</v>
      </c>
      <c r="I25" s="350">
        <f>IF(売分析!J25&lt;&gt;"",売分析!J25,"")</f>
        <v>460000</v>
      </c>
      <c r="J25" s="351">
        <f>IF(売分析!AB25&lt;&gt;"",売分析!AB25,"")</f>
        <v>8014.4343317972343</v>
      </c>
      <c r="K25" s="351">
        <f>IF(売分析!AC25&lt;&gt;"",売分析!AC25,"")</f>
        <v>7761.5435041716319</v>
      </c>
      <c r="L25" s="351">
        <f>IF(売分析!K25&lt;&gt;"",売分析!K25,"")</f>
        <v>8701</v>
      </c>
      <c r="M25" s="350" t="str">
        <f>IF(売分析!P25&lt;&gt;"",売分析!P25,"")</f>
        <v>減少↓</v>
      </c>
      <c r="N25" s="353">
        <f>IF(売分析!O25&lt;&gt;"",売分析!O25,"")</f>
        <v>0.72434100714893079</v>
      </c>
      <c r="O25" s="355">
        <f>IF(売分析!X25&lt;&gt;"",売分析!X25,"")</f>
        <v>27.916617244935878</v>
      </c>
      <c r="P25" s="352">
        <f>IF(売分析!L25&lt;&gt;"",売分析!L25,"")</f>
        <v>-4.3443282381335475</v>
      </c>
      <c r="Q25" s="351">
        <f>IF(売分析!S25&lt;&gt;"",売分析!S25,"")</f>
        <v>8656</v>
      </c>
      <c r="R25" s="351">
        <f>IF(売分析!R25&lt;&gt;"",売分析!R25,"")</f>
        <v>7657</v>
      </c>
      <c r="S25" s="350" t="str">
        <f>IF(売分析!AA25&lt;&gt;"",売分析!AA25,"")</f>
        <v>上昇▲</v>
      </c>
      <c r="T25" s="356">
        <f>IF(売分析!Z25&lt;&gt;"",売分析!Z25,"")</f>
        <v>1.0195412064570943</v>
      </c>
      <c r="U25" s="350" t="str">
        <f>IF(売分析!V25&lt;&gt;"",売分析!V25,"")</f>
        <v>通常</v>
      </c>
      <c r="V25" s="354">
        <f>IF(売分析!W25&lt;&gt;"",売分析!W25,"")</f>
        <v>48.549723756906083</v>
      </c>
      <c r="W25" s="350" t="str">
        <f>IF(売分析!AD25&lt;&gt;"",売分析!AD25,"")</f>
        <v>パーフェクト▲</v>
      </c>
      <c r="X25" s="350" t="str">
        <f>IF(売分析!AE25&lt;&gt;"",売分析!AE25,"")</f>
        <v>なし</v>
      </c>
      <c r="Y25" s="427">
        <f>IF(売分析!T25&lt;&gt;"",売分析!T25,"")</f>
        <v>-2</v>
      </c>
      <c r="Z25" s="350" t="str">
        <f>IF(売分析!Y25&lt;&gt;"",売分析!Y25,"")</f>
        <v>相場上昇・見送り | パーフェクト▲ MACD+ RSI:48.5 前日比:+1.0% [-2点]</v>
      </c>
    </row>
    <row r="26" spans="1:26">
      <c r="A26" s="230">
        <f>IF(売分析!C26&lt;&gt;"",ROW()-2,"")</f>
        <v>24</v>
      </c>
      <c r="B26" s="357" t="str">
        <f>IF(売分析!C26&lt;&gt;"",HYPERLINK("https://kabutan.jp/stock/?code="&amp;売分析!C26,"株探"),"")</f>
        <v>株探</v>
      </c>
      <c r="C26" s="366">
        <f>IF(売分析!C26&lt;&gt;"",売分析!C26,"")</f>
        <v>8359</v>
      </c>
      <c r="D26" s="230" t="str">
        <f>IF(売分析!D26&lt;&gt;"",売分析!D26,"")</f>
        <v>八十二長野銀行</v>
      </c>
      <c r="E26" s="358">
        <f>IF(売分析!E26&lt;&gt;"",売分析!E26,"")</f>
        <v>2287</v>
      </c>
      <c r="F26" s="358">
        <f>IF(売分析!F26&lt;&gt;"",売分析!F26,"")</f>
        <v>2372</v>
      </c>
      <c r="G26" s="358">
        <f>IF(売分析!H26&lt;&gt;"",売分析!H26,"")</f>
        <v>2397</v>
      </c>
      <c r="H26" s="358">
        <f>IF(売分析!I26&lt;&gt;"",売分析!I26,"")</f>
        <v>2287</v>
      </c>
      <c r="I26" s="230">
        <f>IF(売分析!J26&lt;&gt;"",売分析!J26,"")</f>
        <v>1905900</v>
      </c>
      <c r="J26" s="358">
        <f>IF(売分析!AB26&lt;&gt;"",売分析!AB26,"")</f>
        <v>2316.8945852534562</v>
      </c>
      <c r="K26" s="358">
        <f>IF(売分析!AC26&lt;&gt;"",売分析!AC26,"")</f>
        <v>2325.6323003575676</v>
      </c>
      <c r="L26" s="358">
        <f>IF(売分析!K26&lt;&gt;"",売分析!K26,"")</f>
        <v>2470.5</v>
      </c>
      <c r="M26" s="230" t="str">
        <f>IF(売分析!P26&lt;&gt;"",売分析!P26,"")</f>
        <v>普通→</v>
      </c>
      <c r="N26" s="360">
        <f>IF(売分析!O26&lt;&gt;"",売分析!O26,"")</f>
        <v>1.1143398388624484</v>
      </c>
      <c r="O26" s="362">
        <f>IF(売分析!X26&lt;&gt;"",売分析!X26,"")</f>
        <v>2.5687741552874286</v>
      </c>
      <c r="P26" s="359">
        <f>IF(売分析!L26&lt;&gt;"",売分析!L26,"")</f>
        <v>-7.4276462254604327</v>
      </c>
      <c r="Q26" s="358">
        <f>IF(売分析!S26&lt;&gt;"",売分析!S26,"")</f>
        <v>2378</v>
      </c>
      <c r="R26" s="358">
        <f>IF(売分析!R26&lt;&gt;"",売分析!R26,"")</f>
        <v>2104</v>
      </c>
      <c r="S26" s="230" t="str">
        <f>IF(売分析!AA26&lt;&gt;"",売分析!AA26,"")</f>
        <v>下落▼</v>
      </c>
      <c r="T26" s="363">
        <f>IF(売分析!Z26&lt;&gt;"",売分析!Z26,"")</f>
        <v>-2.5149190110826938</v>
      </c>
      <c r="U26" s="230" t="str">
        <f>IF(売分析!V26&lt;&gt;"",売分析!V26,"")</f>
        <v>通常</v>
      </c>
      <c r="V26" s="361">
        <f>IF(売分析!W26&lt;&gt;"",売分析!W26,"")</f>
        <v>50</v>
      </c>
      <c r="W26" s="230" t="str">
        <f>IF(売分析!AD26&lt;&gt;"",売分析!AD26,"")</f>
        <v>下降トレンド▼</v>
      </c>
      <c r="X26" s="230" t="str">
        <f>IF(売分析!AE26&lt;&gt;"",売分析!AE26,"")</f>
        <v>25日戻り売り★</v>
      </c>
      <c r="Y26" s="428">
        <f>IF(売分析!T26&lt;&gt;"",売分析!T26,"")</f>
        <v>10</v>
      </c>
      <c r="Z26" s="230" t="str">
        <f>IF(売分析!Y26&lt;&gt;"",売分析!Y26,"")</f>
        <v>★逆張り売り | 下降トレンド▼ 25日戻り売り★ MACD+ RSI:50.0 前日比:-2.5% [大陰線▼]前日[長い下ヒゲ(反発)] [10点]</v>
      </c>
    </row>
    <row r="27" spans="1:26">
      <c r="A27" s="350">
        <f>IF(売分析!C27&lt;&gt;"",ROW()-2,"")</f>
        <v>25</v>
      </c>
      <c r="B27" s="349" t="str">
        <f>IF(売分析!C27&lt;&gt;"",HYPERLINK("https://kabutan.jp/stock/?code="&amp;売分析!C27,"株探"),"")</f>
        <v>株探</v>
      </c>
      <c r="C27" s="365">
        <f>IF(売分析!C27&lt;&gt;"",売分析!C27,"")</f>
        <v>6327</v>
      </c>
      <c r="D27" s="350" t="str">
        <f>IF(売分析!D27&lt;&gt;"",売分析!D27,"")</f>
        <v>北川精機</v>
      </c>
      <c r="E27" s="351">
        <f>IF(売分析!E27&lt;&gt;"",売分析!E27,"")</f>
        <v>5150</v>
      </c>
      <c r="F27" s="351">
        <f>IF(売分析!F27&lt;&gt;"",売分析!F27,"")</f>
        <v>4720</v>
      </c>
      <c r="G27" s="351">
        <f>IF(売分析!H27&lt;&gt;"",売分析!H27,"")</f>
        <v>5150</v>
      </c>
      <c r="H27" s="351">
        <f>IF(売分析!I27&lt;&gt;"",売分析!I27,"")</f>
        <v>4450</v>
      </c>
      <c r="I27" s="350">
        <f>IF(売分析!J27&lt;&gt;"",売分析!J27,"")</f>
        <v>918200</v>
      </c>
      <c r="J27" s="351">
        <f>IF(売分析!AB27&lt;&gt;"",売分析!AB27,"")</f>
        <v>4215.380184331796</v>
      </c>
      <c r="K27" s="351">
        <f>IF(売分析!AC27&lt;&gt;"",売分析!AC27,"")</f>
        <v>3861.5053635280087</v>
      </c>
      <c r="L27" s="351">
        <f>IF(売分析!K27&lt;&gt;"",売分析!K27,"")</f>
        <v>6910</v>
      </c>
      <c r="M27" s="350" t="str">
        <f>IF(売分析!P27&lt;&gt;"",売分析!P27,"")</f>
        <v>普通→</v>
      </c>
      <c r="N27" s="353">
        <f>IF(売分析!O27&lt;&gt;"",売分析!O27,"")</f>
        <v>1.2693190301086565</v>
      </c>
      <c r="O27" s="355">
        <f>IF(売分析!X27&lt;&gt;"",売分析!X27,"")</f>
        <v>116.13106444461528</v>
      </c>
      <c r="P27" s="352">
        <f>IF(売分析!L27&lt;&gt;"",売分析!L27,"")</f>
        <v>-25.470332850940665</v>
      </c>
      <c r="Q27" s="351">
        <f>IF(売分析!S27&lt;&gt;"",売分析!S27,"")</f>
        <v>5356</v>
      </c>
      <c r="R27" s="351">
        <f>IF(売分析!R27&lt;&gt;"",売分析!R27,"")</f>
        <v>4738</v>
      </c>
      <c r="S27" s="350" t="str">
        <f>IF(売分析!AA27&lt;&gt;"",売分析!AA27,"")</f>
        <v>上昇▲</v>
      </c>
      <c r="T27" s="356">
        <f>IF(売分析!Z27&lt;&gt;"",売分析!Z27,"")</f>
        <v>15.860517435320585</v>
      </c>
      <c r="U27" s="350" t="str">
        <f>IF(売分析!V27&lt;&gt;"",売分析!V27,"")</f>
        <v>安値圏</v>
      </c>
      <c r="V27" s="354">
        <f>IF(売分析!W27&lt;&gt;"",売分析!W27,"")</f>
        <v>57.315340909090907</v>
      </c>
      <c r="W27" s="350" t="str">
        <f>IF(売分析!AD27&lt;&gt;"",売分析!AD27,"")</f>
        <v>パーフェクト▲</v>
      </c>
      <c r="X27" s="350" t="str">
        <f>IF(売分析!AE27&lt;&gt;"",売分析!AE27,"")</f>
        <v>なし</v>
      </c>
      <c r="Y27" s="427">
        <f>IF(売分析!T27&lt;&gt;"",売分析!T27,"")</f>
        <v>2</v>
      </c>
      <c r="Z27" s="350" t="str">
        <f>IF(売分析!Y27&lt;&gt;"",売分析!Y27,"")</f>
        <v>相場上昇・見送り | パーフェクト▲ MACD+ RSI:57.3 前日比:+15.9% [安値圏] [2点]</v>
      </c>
    </row>
    <row r="28" spans="1:26">
      <c r="A28" s="230">
        <f>IF(売分析!C28&lt;&gt;"",ROW()-2,"")</f>
        <v>26</v>
      </c>
      <c r="B28" s="357" t="str">
        <f>IF(売分析!C28&lt;&gt;"",HYPERLINK("https://kabutan.jp/stock/?code="&amp;売分析!C28,"株探"),"")</f>
        <v>株探</v>
      </c>
      <c r="C28" s="366">
        <f>IF(売分析!C28&lt;&gt;"",売分析!C28,"")</f>
        <v>6232</v>
      </c>
      <c r="D28" s="230" t="str">
        <f>IF(売分析!D28&lt;&gt;"",売分析!D28,"")</f>
        <v>ＡＣＳＬ</v>
      </c>
      <c r="E28" s="358">
        <f>IF(売分析!E28&lt;&gt;"",売分析!E28,"")</f>
        <v>1764</v>
      </c>
      <c r="F28" s="358">
        <f>IF(売分析!F28&lt;&gt;"",売分析!F28,"")</f>
        <v>1865</v>
      </c>
      <c r="G28" s="358">
        <f>IF(売分析!H28&lt;&gt;"",売分析!H28,"")</f>
        <v>1895</v>
      </c>
      <c r="H28" s="358">
        <f>IF(売分析!I28&lt;&gt;"",売分析!I28,"")</f>
        <v>1761</v>
      </c>
      <c r="I28" s="230">
        <f>IF(売分析!J28&lt;&gt;"",売分析!J28,"")</f>
        <v>921600</v>
      </c>
      <c r="J28" s="358">
        <f>IF(売分析!AB28&lt;&gt;"",売分析!AB28,"")</f>
        <v>1800.3778801843316</v>
      </c>
      <c r="K28" s="358">
        <f>IF(売分析!AC28&lt;&gt;"",売分析!AC28,"")</f>
        <v>2183.0786650774721</v>
      </c>
      <c r="L28" s="358">
        <f>IF(売分析!K28&lt;&gt;"",売分析!K28,"")</f>
        <v>4130</v>
      </c>
      <c r="M28" s="230" t="str">
        <f>IF(売分析!P28&lt;&gt;"",売分析!P28,"")</f>
        <v>普通→</v>
      </c>
      <c r="N28" s="360">
        <f>IF(売分析!O28&lt;&gt;"",売分析!O28,"")</f>
        <v>1.0949009171696051</v>
      </c>
      <c r="O28" s="362">
        <f>IF(売分析!X28&lt;&gt;"",売分析!X28,"")</f>
        <v>-146.38499795015787</v>
      </c>
      <c r="P28" s="359">
        <f>IF(売分析!L28&lt;&gt;"",売分析!L28,"")</f>
        <v>-57.288135593220332</v>
      </c>
      <c r="Q28" s="358">
        <f>IF(売分析!S28&lt;&gt;"",売分析!S28,"")</f>
        <v>1835</v>
      </c>
      <c r="R28" s="358">
        <f>IF(売分析!R28&lt;&gt;"",売分析!R28,"")</f>
        <v>1623</v>
      </c>
      <c r="S28" s="230" t="str">
        <f>IF(売分析!AA28&lt;&gt;"",売分析!AA28,"")</f>
        <v>下落▼</v>
      </c>
      <c r="T28" s="363">
        <f>IF(売分析!Z28&lt;&gt;"",売分析!Z28,"")</f>
        <v>-3.8167938931297711</v>
      </c>
      <c r="U28" s="230" t="str">
        <f>IF(売分析!V28&lt;&gt;"",売分析!V28,"")</f>
        <v>年初来安値圏●</v>
      </c>
      <c r="V28" s="361">
        <f>IF(売分析!W28&lt;&gt;"",売分析!W28,"")</f>
        <v>22.810218978102199</v>
      </c>
      <c r="W28" s="230" t="str">
        <f>IF(売分析!AD28&lt;&gt;"",売分析!AD28,"")</f>
        <v>下降トレンド▼</v>
      </c>
      <c r="X28" s="230" t="str">
        <f>IF(売分析!AE28&lt;&gt;"",売分析!AE28,"")</f>
        <v>なし</v>
      </c>
      <c r="Y28" s="428">
        <f>IF(売分析!T28&lt;&gt;"",売分析!T28,"")</f>
        <v>16</v>
      </c>
      <c r="Z28" s="230" t="str">
        <f>IF(売分析!Y28&lt;&gt;"",売分析!Y28,"")</f>
        <v>相場上昇・見送り | 下降トレンド▼ MACD- RSI:22.8 [売られ過ぎ] 前日比:-3.8% [年初来安値圏] [大陰線▼] [16点]</v>
      </c>
    </row>
    <row r="29" spans="1:26">
      <c r="A29" s="350">
        <f>IF(売分析!C29&lt;&gt;"",ROW()-2,"")</f>
        <v>27</v>
      </c>
      <c r="B29" s="349" t="str">
        <f>IF(売分析!C29&lt;&gt;"",HYPERLINK("https://kabutan.jp/stock/?code="&amp;売分析!C29,"株探"),"")</f>
        <v>株探</v>
      </c>
      <c r="C29" s="365">
        <f>IF(売分析!C29&lt;&gt;"",売分析!C29,"")</f>
        <v>6516</v>
      </c>
      <c r="D29" s="350" t="str">
        <f>IF(売分析!D29&lt;&gt;"",売分析!D29,"")</f>
        <v>山洋電気</v>
      </c>
      <c r="E29" s="351">
        <f>IF(売分析!E29&lt;&gt;"",売分析!E29,"")</f>
        <v>6780</v>
      </c>
      <c r="F29" s="351">
        <f>IF(売分析!F29&lt;&gt;"",売分析!F29,"")</f>
        <v>6450</v>
      </c>
      <c r="G29" s="351">
        <f>IF(売分析!H29&lt;&gt;"",売分析!H29,"")</f>
        <v>6810</v>
      </c>
      <c r="H29" s="351">
        <f>IF(売分析!I29&lt;&gt;"",売分析!I29,"")</f>
        <v>6430</v>
      </c>
      <c r="I29" s="350">
        <f>IF(売分析!J29&lt;&gt;"",売分析!J29,"")</f>
        <v>107700</v>
      </c>
      <c r="J29" s="351">
        <f>IF(売分析!AB29&lt;&gt;"",売分析!AB29,"")</f>
        <v>6543.6059907834087</v>
      </c>
      <c r="K29" s="351">
        <f>IF(売分析!AC29&lt;&gt;"",売分析!AC29,"")</f>
        <v>6723.6233611442167</v>
      </c>
      <c r="L29" s="351">
        <f>IF(売分析!K29&lt;&gt;"",売分析!K29,"")</f>
        <v>7880</v>
      </c>
      <c r="M29" s="350" t="str">
        <f>IF(売分析!P29&lt;&gt;"",売分析!P29,"")</f>
        <v>減少↓</v>
      </c>
      <c r="N29" s="353">
        <f>IF(売分析!O29&lt;&gt;"",売分析!O29,"")</f>
        <v>0.94159818150026231</v>
      </c>
      <c r="O29" s="355">
        <f>IF(売分析!X29&lt;&gt;"",売分析!X29,"")</f>
        <v>-86.109202790966265</v>
      </c>
      <c r="P29" s="352">
        <f>IF(売分析!L29&lt;&gt;"",売分析!L29,"")</f>
        <v>-13.959390862944163</v>
      </c>
      <c r="Q29" s="351">
        <f>IF(売分析!S29&lt;&gt;"",売分析!S29,"")</f>
        <v>7051</v>
      </c>
      <c r="R29" s="351">
        <f>IF(売分析!R29&lt;&gt;"",売分析!R29,"")</f>
        <v>6238</v>
      </c>
      <c r="S29" s="350" t="str">
        <f>IF(売分析!AA29&lt;&gt;"",売分析!AA29,"")</f>
        <v>上昇▲</v>
      </c>
      <c r="T29" s="356">
        <f>IF(売分析!Z29&lt;&gt;"",売分析!Z29,"")</f>
        <v>3.0395136778115504</v>
      </c>
      <c r="U29" s="350" t="str">
        <f>IF(売分析!V29&lt;&gt;"",売分析!V29,"")</f>
        <v>通常</v>
      </c>
      <c r="V29" s="354">
        <f>IF(売分析!W29&lt;&gt;"",売分析!W29,"")</f>
        <v>38.048780487804876</v>
      </c>
      <c r="W29" s="350" t="str">
        <f>IF(売分析!AD29&lt;&gt;"",売分析!AD29,"")</f>
        <v>上昇トレンド▲</v>
      </c>
      <c r="X29" s="350" t="str">
        <f>IF(売分析!AE29&lt;&gt;"",売分析!AE29,"")</f>
        <v>なし</v>
      </c>
      <c r="Y29" s="427">
        <f>IF(売分析!T29&lt;&gt;"",売分析!T29,"")</f>
        <v>5</v>
      </c>
      <c r="Z29" s="350" t="str">
        <f>IF(売分析!Y29&lt;&gt;"",売分析!Y29,"")</f>
        <v>相場上昇・見送り | 上昇トレンド▲ MACD- RSI:38.0 前日比:+3.0% [5点]</v>
      </c>
    </row>
    <row r="30" spans="1:26">
      <c r="A30" s="230">
        <f>IF(売分析!C30&lt;&gt;"",ROW()-2,"")</f>
        <v>28</v>
      </c>
      <c r="B30" s="357" t="str">
        <f>IF(売分析!C30&lt;&gt;"",HYPERLINK("https://kabutan.jp/stock/?code="&amp;売分析!C30,"株探"),"")</f>
        <v>株探</v>
      </c>
      <c r="C30" s="366">
        <f>IF(売分析!C30&lt;&gt;"",売分析!C30,"")</f>
        <v>6981</v>
      </c>
      <c r="D30" s="230" t="str">
        <f>IF(売分析!D30&lt;&gt;"",売分析!D30,"")</f>
        <v>村田製作所</v>
      </c>
      <c r="E30" s="358">
        <f>IF(売分析!E30&lt;&gt;"",売分析!E30,"")</f>
        <v>10865</v>
      </c>
      <c r="F30" s="358">
        <f>IF(売分析!F30&lt;&gt;"",売分析!F30,"")</f>
        <v>10230</v>
      </c>
      <c r="G30" s="358">
        <f>IF(売分析!H30&lt;&gt;"",売分析!H30,"")</f>
        <v>11095</v>
      </c>
      <c r="H30" s="358">
        <f>IF(売分析!I30&lt;&gt;"",売分析!I30,"")</f>
        <v>10200</v>
      </c>
      <c r="I30" s="230">
        <f>IF(売分析!J30&lt;&gt;"",売分析!J30,"")</f>
        <v>31784100</v>
      </c>
      <c r="J30" s="358">
        <f>IF(売分析!AB30&lt;&gt;"",売分析!AB30,"")</f>
        <v>10000.721198156682</v>
      </c>
      <c r="K30" s="358">
        <f>IF(売分析!AC30&lt;&gt;"",売分析!AC30,"")</f>
        <v>8946.3635280095332</v>
      </c>
      <c r="L30" s="358">
        <f>IF(売分析!K30&lt;&gt;"",売分析!K30,"")</f>
        <v>11125</v>
      </c>
      <c r="M30" s="230" t="str">
        <f>IF(売分析!P30&lt;&gt;"",売分析!P30,"")</f>
        <v>減少↓</v>
      </c>
      <c r="N30" s="360">
        <f>IF(売分析!O30&lt;&gt;"",売分析!O30,"")</f>
        <v>0.7089174233350507</v>
      </c>
      <c r="O30" s="362">
        <f>IF(売分析!X30&lt;&gt;"",売分析!X30,"")</f>
        <v>427.93958541468783</v>
      </c>
      <c r="P30" s="359">
        <f>IF(売分析!L30&lt;&gt;"",売分析!L30,"")</f>
        <v>-2.3370786516853932</v>
      </c>
      <c r="Q30" s="358">
        <f>IF(売分析!S30&lt;&gt;"",売分析!S30,"")</f>
        <v>11300</v>
      </c>
      <c r="R30" s="358">
        <f>IF(売分析!R30&lt;&gt;"",売分析!R30,"")</f>
        <v>9996</v>
      </c>
      <c r="S30" s="230" t="str">
        <f>IF(売分析!AA30&lt;&gt;"",売分析!AA30,"")</f>
        <v>上昇▲</v>
      </c>
      <c r="T30" s="363">
        <f>IF(売分析!Z30&lt;&gt;"",売分析!Z30,"")</f>
        <v>3.1813865147198479</v>
      </c>
      <c r="U30" s="230" t="str">
        <f>IF(売分析!V30&lt;&gt;"",売分析!V30,"")</f>
        <v>通常</v>
      </c>
      <c r="V30" s="361">
        <f>IF(売分析!W30&lt;&gt;"",売分析!W30,"")</f>
        <v>66.896103896103895</v>
      </c>
      <c r="W30" s="230" t="str">
        <f>IF(売分析!AD30&lt;&gt;"",売分析!AD30,"")</f>
        <v>パーフェクト▲</v>
      </c>
      <c r="X30" s="230" t="str">
        <f>IF(売分析!AE30&lt;&gt;"",売分析!AE30,"")</f>
        <v>なし</v>
      </c>
      <c r="Y30" s="428">
        <f>IF(売分析!T30&lt;&gt;"",売分析!T30,"")</f>
        <v>0</v>
      </c>
      <c r="Z30" s="230" t="str">
        <f>IF(売分析!Y30&lt;&gt;"",売分析!Y30,"")</f>
        <v>相場上昇・見送り | パーフェクト▲ MACD+ RSI:66.9 前日比:+3.2% [0点]</v>
      </c>
    </row>
    <row r="31" spans="1:26">
      <c r="A31" s="350">
        <f>IF(売分析!C31&lt;&gt;"",ROW()-2,"")</f>
        <v>29</v>
      </c>
      <c r="B31" s="349" t="str">
        <f>IF(売分析!C31&lt;&gt;"",HYPERLINK("https://kabutan.jp/stock/?code="&amp;売分析!C31,"株探"),"")</f>
        <v>株探</v>
      </c>
      <c r="C31" s="365">
        <f>IF(売分析!C31&lt;&gt;"",売分析!C31,"")</f>
        <v>6754</v>
      </c>
      <c r="D31" s="350" t="str">
        <f>IF(売分析!D31&lt;&gt;"",売分析!D31,"")</f>
        <v>アンリツ</v>
      </c>
      <c r="E31" s="351">
        <f>IF(売分析!E31&lt;&gt;"",売分析!E31,"")</f>
        <v>4122</v>
      </c>
      <c r="F31" s="351">
        <f>IF(売分析!F31&lt;&gt;"",売分析!F31,"")</f>
        <v>4001</v>
      </c>
      <c r="G31" s="351">
        <f>IF(売分析!H31&lt;&gt;"",売分析!H31,"")</f>
        <v>4123</v>
      </c>
      <c r="H31" s="351">
        <f>IF(売分析!I31&lt;&gt;"",売分析!I31,"")</f>
        <v>3968</v>
      </c>
      <c r="I31" s="350">
        <f>IF(売分析!J31&lt;&gt;"",売分析!J31,"")</f>
        <v>1091000</v>
      </c>
      <c r="J31" s="351">
        <f>IF(売分析!AB31&lt;&gt;"",売分析!AB31,"")</f>
        <v>4024.8145161290322</v>
      </c>
      <c r="K31" s="351">
        <f>IF(売分析!AC31&lt;&gt;"",売分析!AC31,"")</f>
        <v>4301.5959475566133</v>
      </c>
      <c r="L31" s="351">
        <f>IF(売分析!K31&lt;&gt;"",売分析!K31,"")</f>
        <v>4855</v>
      </c>
      <c r="M31" s="350" t="str">
        <f>IF(売分析!P31&lt;&gt;"",売分析!P31,"")</f>
        <v>減少↓</v>
      </c>
      <c r="N31" s="353">
        <f>IF(売分析!O31&lt;&gt;"",売分析!O31,"")</f>
        <v>0.55883949883724504</v>
      </c>
      <c r="O31" s="355">
        <f>IF(売分析!X31&lt;&gt;"",売分析!X31,"")</f>
        <v>-46.1278981368323</v>
      </c>
      <c r="P31" s="352">
        <f>IF(売分析!L31&lt;&gt;"",売分析!L31,"")</f>
        <v>-15.097837281153451</v>
      </c>
      <c r="Q31" s="351">
        <f>IF(売分析!S31&lt;&gt;"",売分析!S31,"")</f>
        <v>4287</v>
      </c>
      <c r="R31" s="351">
        <f>IF(売分析!R31&lt;&gt;"",売分析!R31,"")</f>
        <v>3792</v>
      </c>
      <c r="S31" s="350" t="str">
        <f>IF(売分析!AA31&lt;&gt;"",売分析!AA31,"")</f>
        <v>上昇▲</v>
      </c>
      <c r="T31" s="356">
        <f>IF(売分析!Z31&lt;&gt;"",売分析!Z31,"")</f>
        <v>0.634765625</v>
      </c>
      <c r="U31" s="350" t="str">
        <f>IF(売分析!V31&lt;&gt;"",売分析!V31,"")</f>
        <v>通常</v>
      </c>
      <c r="V31" s="354">
        <f>IF(売分析!W31&lt;&gt;"",売分析!W31,"")</f>
        <v>34.857142857142861</v>
      </c>
      <c r="W31" s="350" t="str">
        <f>IF(売分析!AD31&lt;&gt;"",売分析!AD31,"")</f>
        <v>もみ合い→</v>
      </c>
      <c r="X31" s="350" t="str">
        <f>IF(売分析!AE31&lt;&gt;"",売分析!AE31,"")</f>
        <v>なし</v>
      </c>
      <c r="Y31" s="427">
        <f>IF(売分析!T31&lt;&gt;"",売分析!T31,"")</f>
        <v>5</v>
      </c>
      <c r="Z31" s="350" t="str">
        <f>IF(売分析!Y31&lt;&gt;"",売分析!Y31,"")</f>
        <v>相場上昇・見送り | もみ合い→ MACD- RSI:34.9 前日比:+0.6% [5点]</v>
      </c>
    </row>
    <row r="32" spans="1:26">
      <c r="A32" s="230">
        <f>IF(売分析!C32&lt;&gt;"",ROW()-2,"")</f>
        <v>30</v>
      </c>
      <c r="B32" s="357" t="str">
        <f>IF(売分析!C32&lt;&gt;"",HYPERLINK("https://kabutan.jp/stock/?code="&amp;売分析!C32,"株探"),"")</f>
        <v>株探</v>
      </c>
      <c r="C32" s="366">
        <f>IF(売分析!C32&lt;&gt;"",売分析!C32,"")</f>
        <v>1942</v>
      </c>
      <c r="D32" s="230" t="str">
        <f>IF(売分析!D32&lt;&gt;"",売分析!D32,"")</f>
        <v>関電工</v>
      </c>
      <c r="E32" s="358">
        <f>IF(売分析!E32&lt;&gt;"",売分析!E32,"")</f>
        <v>6467</v>
      </c>
      <c r="F32" s="358">
        <f>IF(売分析!F32&lt;&gt;"",売分析!F32,"")</f>
        <v>6400</v>
      </c>
      <c r="G32" s="358">
        <f>IF(売分析!H32&lt;&gt;"",売分析!H32,"")</f>
        <v>6500</v>
      </c>
      <c r="H32" s="358">
        <f>IF(売分析!I32&lt;&gt;"",売分析!I32,"")</f>
        <v>6388</v>
      </c>
      <c r="I32" s="230">
        <f>IF(売分析!J32&lt;&gt;"",売分析!J32,"")</f>
        <v>836500</v>
      </c>
      <c r="J32" s="358">
        <f>IF(売分析!AB32&lt;&gt;"",売分析!AB32,"")</f>
        <v>6173.4308755760367</v>
      </c>
      <c r="K32" s="358">
        <f>IF(売分析!AC32&lt;&gt;"",売分析!AC32,"")</f>
        <v>6154.261025029793</v>
      </c>
      <c r="L32" s="358">
        <f>IF(売分析!K32&lt;&gt;"",売分析!K32,"")</f>
        <v>7460</v>
      </c>
      <c r="M32" s="230" t="str">
        <f>IF(売分析!P32&lt;&gt;"",売分析!P32,"")</f>
        <v>減少↓</v>
      </c>
      <c r="N32" s="360">
        <f>IF(売分析!O32&lt;&gt;"",売分析!O32,"")</f>
        <v>0.85684141519677137</v>
      </c>
      <c r="O32" s="362">
        <f>IF(売分析!X32&lt;&gt;"",売分析!X32,"")</f>
        <v>-70.312264417544611</v>
      </c>
      <c r="P32" s="359">
        <f>IF(売分析!L32&lt;&gt;"",売分析!L32,"")</f>
        <v>-13.310991957104557</v>
      </c>
      <c r="Q32" s="358">
        <f>IF(売分析!S32&lt;&gt;"",売分析!S32,"")</f>
        <v>6726</v>
      </c>
      <c r="R32" s="358">
        <f>IF(売分析!R32&lt;&gt;"",売分析!R32,"")</f>
        <v>5950</v>
      </c>
      <c r="S32" s="230" t="str">
        <f>IF(売分析!AA32&lt;&gt;"",売分析!AA32,"")</f>
        <v>上昇▲</v>
      </c>
      <c r="T32" s="363">
        <f>IF(売分析!Z32&lt;&gt;"",売分析!Z32,"")</f>
        <v>3.6876703543370208</v>
      </c>
      <c r="U32" s="230" t="str">
        <f>IF(売分析!V32&lt;&gt;"",売分析!V32,"")</f>
        <v>通常</v>
      </c>
      <c r="V32" s="361">
        <f>IF(売分析!W32&lt;&gt;"",売分析!W32,"")</f>
        <v>44.608100999473955</v>
      </c>
      <c r="W32" s="230" t="str">
        <f>IF(売分析!AD32&lt;&gt;"",売分析!AD32,"")</f>
        <v>パーフェクト▲</v>
      </c>
      <c r="X32" s="230" t="str">
        <f>IF(売分析!AE32&lt;&gt;"",売分析!AE32,"")</f>
        <v>なし</v>
      </c>
      <c r="Y32" s="428">
        <f>IF(売分析!T32&lt;&gt;"",売分析!T32,"")</f>
        <v>5</v>
      </c>
      <c r="Z32" s="230" t="str">
        <f>IF(売分析!Y32&lt;&gt;"",売分析!Y32,"")</f>
        <v>相場上昇・見送り | パーフェクト▲ MACD- RSI:44.6 前日比:+3.7% [5点]</v>
      </c>
    </row>
    <row r="33" spans="1:26">
      <c r="A33" s="350">
        <f>IF(売分析!C33&lt;&gt;"",ROW()-2,"")</f>
        <v>31</v>
      </c>
      <c r="B33" s="349" t="str">
        <f>IF(売分析!C33&lt;&gt;"",HYPERLINK("https://kabutan.jp/stock/?code="&amp;売分析!C33,"株探"),"")</f>
        <v>株探</v>
      </c>
      <c r="C33" s="365">
        <f>IF(売分析!C33&lt;&gt;"",売分析!C33,"")</f>
        <v>6890</v>
      </c>
      <c r="D33" s="350" t="str">
        <f>IF(売分析!D33&lt;&gt;"",売分析!D33,"")</f>
        <v>フェローテック</v>
      </c>
      <c r="E33" s="351">
        <f>IF(売分析!E33&lt;&gt;"",売分析!E33,"")</f>
        <v>9440</v>
      </c>
      <c r="F33" s="351">
        <f>IF(売分析!F33&lt;&gt;"",売分析!F33,"")</f>
        <v>9020</v>
      </c>
      <c r="G33" s="351">
        <f>IF(売分析!H33&lt;&gt;"",売分析!H33,"")</f>
        <v>9500</v>
      </c>
      <c r="H33" s="351">
        <f>IF(売分析!I33&lt;&gt;"",売分析!I33,"")</f>
        <v>8990</v>
      </c>
      <c r="I33" s="350">
        <f>IF(売分析!J33&lt;&gt;"",売分析!J33,"")</f>
        <v>602200</v>
      </c>
      <c r="J33" s="351">
        <f>IF(売分析!AB33&lt;&gt;"",売分析!AB33,"")</f>
        <v>9056.5207373271878</v>
      </c>
      <c r="K33" s="351">
        <f>IF(売分析!AC33&lt;&gt;"",売分析!AC33,"")</f>
        <v>8745.7926102502934</v>
      </c>
      <c r="L33" s="351">
        <f>IF(売分析!K33&lt;&gt;"",売分析!K33,"")</f>
        <v>10430</v>
      </c>
      <c r="M33" s="350" t="str">
        <f>IF(売分析!P33&lt;&gt;"",売分析!P33,"")</f>
        <v>減少↓</v>
      </c>
      <c r="N33" s="353">
        <f>IF(売分析!O33&lt;&gt;"",売分析!O33,"")</f>
        <v>0.72071425151993873</v>
      </c>
      <c r="O33" s="355">
        <f>IF(売分析!X33&lt;&gt;"",売分析!X33,"")</f>
        <v>-21.724533213391624</v>
      </c>
      <c r="P33" s="352">
        <f>IF(売分析!L33&lt;&gt;"",売分析!L33,"")</f>
        <v>-9.4918504314477481</v>
      </c>
      <c r="Q33" s="351">
        <f>IF(売分析!S33&lt;&gt;"",売分析!S33,"")</f>
        <v>9818</v>
      </c>
      <c r="R33" s="351">
        <f>IF(売分析!R33&lt;&gt;"",売分析!R33,"")</f>
        <v>8685</v>
      </c>
      <c r="S33" s="350" t="str">
        <f>IF(売分析!AA33&lt;&gt;"",売分析!AA33,"")</f>
        <v>上昇▲</v>
      </c>
      <c r="T33" s="356">
        <f>IF(売分析!Z33&lt;&gt;"",売分析!Z33,"")</f>
        <v>1.5053763440860215</v>
      </c>
      <c r="U33" s="350" t="str">
        <f>IF(売分析!V33&lt;&gt;"",売分析!V33,"")</f>
        <v>通常</v>
      </c>
      <c r="V33" s="354">
        <f>IF(売分析!W33&lt;&gt;"",売分析!W33,"")</f>
        <v>50.743494423791823</v>
      </c>
      <c r="W33" s="350" t="str">
        <f>IF(売分析!AD33&lt;&gt;"",売分析!AD33,"")</f>
        <v>パーフェクト▲</v>
      </c>
      <c r="X33" s="350" t="str">
        <f>IF(売分析!AE33&lt;&gt;"",売分析!AE33,"")</f>
        <v>なし</v>
      </c>
      <c r="Y33" s="427">
        <f>IF(売分析!T33&lt;&gt;"",売分析!T33,"")</f>
        <v>6</v>
      </c>
      <c r="Z33" s="350" t="str">
        <f>IF(売分析!Y33&lt;&gt;"",売分析!Y33,"")</f>
        <v>相場上昇・見送り | パーフェクト▲ MACD- RSI:50.7 前日比:+1.5% [6点]</v>
      </c>
    </row>
    <row r="34" spans="1:26">
      <c r="A34" s="230">
        <f>IF(売分析!C34&lt;&gt;"",ROW()-2,"")</f>
        <v>32</v>
      </c>
      <c r="B34" s="357" t="str">
        <f>IF(売分析!C34&lt;&gt;"",HYPERLINK("https://kabutan.jp/stock/?code="&amp;売分析!C34,"株探"),"")</f>
        <v>株探</v>
      </c>
      <c r="C34" s="366">
        <f>IF(売分析!C34&lt;&gt;"",売分析!C34,"")</f>
        <v>4966</v>
      </c>
      <c r="D34" s="230" t="str">
        <f>IF(売分析!D34&lt;&gt;"",売分析!D34,"")</f>
        <v>上村工業</v>
      </c>
      <c r="E34" s="358">
        <f>IF(売分析!E34&lt;&gt;"",売分析!E34,"")</f>
        <v>26340</v>
      </c>
      <c r="F34" s="358">
        <f>IF(売分析!F34&lt;&gt;"",売分析!F34,"")</f>
        <v>26000</v>
      </c>
      <c r="G34" s="358">
        <f>IF(売分析!H34&lt;&gt;"",売分析!H34,"")</f>
        <v>26440</v>
      </c>
      <c r="H34" s="358">
        <f>IF(売分析!I34&lt;&gt;"",売分析!I34,"")</f>
        <v>25750</v>
      </c>
      <c r="I34" s="230">
        <f>IF(売分析!J34&lt;&gt;"",売分析!J34,"")</f>
        <v>32600</v>
      </c>
      <c r="J34" s="358">
        <f>IF(売分析!AB34&lt;&gt;"",売分析!AB34,"")</f>
        <v>25328.099078341013</v>
      </c>
      <c r="K34" s="358">
        <f>IF(売分析!AC34&lt;&gt;"",売分析!AC34,"")</f>
        <v>23863.635280095343</v>
      </c>
      <c r="L34" s="358">
        <f>IF(売分析!K34&lt;&gt;"",売分析!K34,"")</f>
        <v>26960</v>
      </c>
      <c r="M34" s="230" t="str">
        <f>IF(売分析!P34&lt;&gt;"",売分析!P34,"")</f>
        <v>減少↓</v>
      </c>
      <c r="N34" s="360">
        <f>IF(売分析!O34&lt;&gt;"",売分析!O34,"")</f>
        <v>0.76418190342240977</v>
      </c>
      <c r="O34" s="362">
        <f>IF(売分析!X34&lt;&gt;"",売分析!X34,"")</f>
        <v>96.776256870954967</v>
      </c>
      <c r="P34" s="359">
        <f>IF(売分析!L34&lt;&gt;"",売分析!L34,"")</f>
        <v>-2.2997032640949553</v>
      </c>
      <c r="Q34" s="358">
        <f>IF(売分析!S34&lt;&gt;"",売分析!S34,"")</f>
        <v>27394</v>
      </c>
      <c r="R34" s="358">
        <f>IF(売分析!R34&lt;&gt;"",売分析!R34,"")</f>
        <v>24233</v>
      </c>
      <c r="S34" s="230" t="str">
        <f>IF(売分析!AA34&lt;&gt;"",売分析!AA34,"")</f>
        <v>下落▼</v>
      </c>
      <c r="T34" s="363">
        <f>IF(売分析!Z34&lt;&gt;"",売分析!Z34,"")</f>
        <v>-0.26505111700113593</v>
      </c>
      <c r="U34" s="230" t="str">
        <f>IF(売分析!V34&lt;&gt;"",売分析!V34,"")</f>
        <v>通常</v>
      </c>
      <c r="V34" s="361">
        <f>IF(売分析!W34&lt;&gt;"",売分析!W34,"")</f>
        <v>66.710875331564978</v>
      </c>
      <c r="W34" s="230" t="str">
        <f>IF(売分析!AD34&lt;&gt;"",売分析!AD34,"")</f>
        <v>パーフェクト▲</v>
      </c>
      <c r="X34" s="230" t="str">
        <f>IF(売分析!AE34&lt;&gt;"",売分析!AE34,"")</f>
        <v>なし</v>
      </c>
      <c r="Y34" s="428">
        <f>IF(売分析!T34&lt;&gt;"",売分析!T34,"")</f>
        <v>4</v>
      </c>
      <c r="Z34" s="230" t="str">
        <f>IF(売分析!Y34&lt;&gt;"",売分析!Y34,"")</f>
        <v>相場上昇・見送り | パーフェクト▲ MACD+ RSI:66.7 前日比:-0.3% [4点]</v>
      </c>
    </row>
    <row r="35" spans="1:26">
      <c r="A35" s="350">
        <f>IF(売分析!C35&lt;&gt;"",ROW()-2,"")</f>
        <v>33</v>
      </c>
      <c r="B35" s="349" t="str">
        <f>IF(売分析!C35&lt;&gt;"",HYPERLINK("https://kabutan.jp/stock/?code="&amp;売分析!C35,"株探"),"")</f>
        <v>株探</v>
      </c>
      <c r="C35" s="365">
        <f>IF(売分析!C35&lt;&gt;"",売分析!C35,"")</f>
        <v>8035</v>
      </c>
      <c r="D35" s="350" t="str">
        <f>IF(売分析!D35&lt;&gt;"",売分析!D35,"")</f>
        <v>東京エレクトロン</v>
      </c>
      <c r="E35" s="351">
        <f>IF(売分析!E35&lt;&gt;"",売分析!E35,"")</f>
        <v>72640</v>
      </c>
      <c r="F35" s="351">
        <f>IF(売分析!F35&lt;&gt;"",売分析!F35,"")</f>
        <v>69970</v>
      </c>
      <c r="G35" s="351">
        <f>IF(売分析!H35&lt;&gt;"",売分析!H35,"")</f>
        <v>73220</v>
      </c>
      <c r="H35" s="351">
        <f>IF(売分析!I35&lt;&gt;"",売分析!I35,"")</f>
        <v>69850</v>
      </c>
      <c r="I35" s="350">
        <f>IF(売分析!J35&lt;&gt;"",売分析!J35,"")</f>
        <v>4608500</v>
      </c>
      <c r="J35" s="351">
        <f>IF(売分析!AB35&lt;&gt;"",売分析!AB35,"")</f>
        <v>69517.764976958511</v>
      </c>
      <c r="K35" s="351">
        <f>IF(売分析!AC35&lt;&gt;"",売分析!AC35,"")</f>
        <v>59506.221692491061</v>
      </c>
      <c r="L35" s="351">
        <f>IF(売分析!K35&lt;&gt;"",売分析!K35,"")</f>
        <v>74800</v>
      </c>
      <c r="M35" s="350" t="str">
        <f>IF(売分析!P35&lt;&gt;"",売分析!P35,"")</f>
        <v>減少↓</v>
      </c>
      <c r="N35" s="353">
        <f>IF(売分析!O35&lt;&gt;"",売分析!O35,"")</f>
        <v>0.76680787623253321</v>
      </c>
      <c r="O35" s="355">
        <f>IF(売分析!X35&lt;&gt;"",売分析!X35,"")</f>
        <v>2419.1556048224957</v>
      </c>
      <c r="P35" s="352">
        <f>IF(売分析!L35&lt;&gt;"",売分析!L35,"")</f>
        <v>-2.8877005347593583</v>
      </c>
      <c r="Q35" s="351">
        <f>IF(売分析!S35&lt;&gt;"",売分析!S35,"")</f>
        <v>75546</v>
      </c>
      <c r="R35" s="351">
        <f>IF(売分析!R35&lt;&gt;"",売分析!R35,"")</f>
        <v>66829</v>
      </c>
      <c r="S35" s="350" t="str">
        <f>IF(売分析!AA35&lt;&gt;"",売分析!AA35,"")</f>
        <v>上昇▲</v>
      </c>
      <c r="T35" s="356">
        <f>IF(売分析!Z35&lt;&gt;"",売分析!Z35,"")</f>
        <v>2.5119954840530623</v>
      </c>
      <c r="U35" s="350" t="str">
        <f>IF(売分析!V35&lt;&gt;"",売分析!V35,"")</f>
        <v>通常</v>
      </c>
      <c r="V35" s="354">
        <f>IF(売分析!W35&lt;&gt;"",売分析!W35,"")</f>
        <v>75.715859030837009</v>
      </c>
      <c r="W35" s="350" t="str">
        <f>IF(売分析!AD35&lt;&gt;"",売分析!AD35,"")</f>
        <v>パーフェクト▲</v>
      </c>
      <c r="X35" s="350" t="str">
        <f>IF(売分析!AE35&lt;&gt;"",売分析!AE35,"")</f>
        <v>なし</v>
      </c>
      <c r="Y35" s="427">
        <f>IF(売分析!T35&lt;&gt;"",売分析!T35,"")</f>
        <v>3</v>
      </c>
      <c r="Z35" s="350" t="str">
        <f>IF(売分析!Y35&lt;&gt;"",売分析!Y35,"")</f>
        <v>△過熱・様子見 | パーフェクト▲ MACD+ RSI:75.7 [過熱] 前日比:+2.5%前日[上ヒゲ陰線▼] [3点]</v>
      </c>
    </row>
    <row r="36" spans="1:26">
      <c r="A36" s="230">
        <f>IF(売分析!C36&lt;&gt;"",ROW()-2,"")</f>
        <v>34</v>
      </c>
      <c r="B36" s="357" t="str">
        <f>IF(売分析!C36&lt;&gt;"",HYPERLINK("https://kabutan.jp/stock/?code="&amp;売分析!C36,"株探"),"")</f>
        <v>株探</v>
      </c>
      <c r="C36" s="366" t="str">
        <f>IF(売分析!C36&lt;&gt;"",売分析!C36,"")</f>
        <v>TOPX</v>
      </c>
      <c r="D36" s="230">
        <f>IF(売分析!D36&lt;&gt;"",売分析!D36,"")</f>
        <v>4013.23</v>
      </c>
      <c r="E36" s="358" t="str">
        <f>IF(売分析!E36&lt;&gt;"",売分析!E36,"")</f>
        <v/>
      </c>
      <c r="F36" s="358" t="str">
        <f>IF(売分析!F36&lt;&gt;"",売分析!F36,"")</f>
        <v/>
      </c>
      <c r="G36" s="358" t="str">
        <f>IF(売分析!H36&lt;&gt;"",売分析!H36,"")</f>
        <v/>
      </c>
      <c r="H36" s="358" t="str">
        <f>IF(売分析!I36&lt;&gt;"",売分析!I36,"")</f>
        <v/>
      </c>
      <c r="I36" s="230" t="str">
        <f>IF(売分析!J36&lt;&gt;"",売分析!J36,"")</f>
        <v/>
      </c>
      <c r="J36" s="358" t="str">
        <f>IF(売分析!AB36&lt;&gt;"",売分析!AB36,"")</f>
        <v/>
      </c>
      <c r="K36" s="358" t="str">
        <f>IF(売分析!AC36&lt;&gt;"",売分析!AC36,"")</f>
        <v/>
      </c>
      <c r="L36" s="358" t="str">
        <f>IF(売分析!K36&lt;&gt;"",売分析!K36,"")</f>
        <v/>
      </c>
      <c r="M36" s="230" t="str">
        <f>IF(売分析!P36&lt;&gt;"",売分析!P36,"")</f>
        <v/>
      </c>
      <c r="N36" s="360" t="str">
        <f>IF(売分析!O36&lt;&gt;"",売分析!O36,"")</f>
        <v/>
      </c>
      <c r="O36" s="362">
        <f>IF(売分析!X36&lt;&gt;"",売分析!X36,"")</f>
        <v>78.258047237889514</v>
      </c>
      <c r="P36" s="359" t="str">
        <f>IF(売分析!L36&lt;&gt;"",売分析!L36,"")</f>
        <v/>
      </c>
      <c r="Q36" s="358" t="str">
        <f>IF(売分析!S36&lt;&gt;"",売分析!S36,"")</f>
        <v/>
      </c>
      <c r="R36" s="358" t="str">
        <f>IF(売分析!R36&lt;&gt;"",売分析!R36,"")</f>
        <v/>
      </c>
      <c r="S36" s="230" t="str">
        <f>IF(売分析!AA36&lt;&gt;"",売分析!AA36,"")</f>
        <v/>
      </c>
      <c r="T36" s="363" t="str">
        <f>IF(売分析!Z36&lt;&gt;"",売分析!Z36,"")</f>
        <v/>
      </c>
      <c r="U36" s="230" t="str">
        <f>IF(売分析!V36&lt;&gt;"",売分析!V36,"")</f>
        <v/>
      </c>
      <c r="V36" s="361">
        <f>IF(売分析!W36&lt;&gt;"",売分析!W36,"")</f>
        <v>54.605974395448058</v>
      </c>
      <c r="W36" s="230" t="str">
        <f>IF(売分析!AD36&lt;&gt;"",売分析!AD36,"")</f>
        <v/>
      </c>
      <c r="X36" s="230" t="str">
        <f>IF(売分析!AE36&lt;&gt;"",売分析!AE36,"")</f>
        <v/>
      </c>
      <c r="Y36" s="428">
        <f>IF(売分析!T36&lt;&gt;"",売分析!T36,"")</f>
        <v>0</v>
      </c>
      <c r="Z36" s="230" t="e">
        <f>IF(売分析!Y36&lt;&gt;"",売分析!Y36,"")</f>
        <v>#VALUE!</v>
      </c>
    </row>
    <row r="37" spans="1:26">
      <c r="A37" s="350">
        <f>IF(売分析!C37&lt;&gt;"",ROW()-2,"")</f>
        <v>35</v>
      </c>
      <c r="B37" s="349" t="str">
        <f>IF(売分析!C37&lt;&gt;"",HYPERLINK("https://kabutan.jp/stock/?code="&amp;売分析!C37,"株探"),"")</f>
        <v>株探</v>
      </c>
      <c r="C37" s="365">
        <f>IF(売分析!C37&lt;&gt;"",売分析!C37,"")</f>
        <v>5333</v>
      </c>
      <c r="D37" s="350" t="str">
        <f>IF(売分析!D37&lt;&gt;"",売分析!D37,"")</f>
        <v>ＮＧＫ</v>
      </c>
      <c r="E37" s="351">
        <f>IF(売分析!E37&lt;&gt;"",売分析!E37,"")</f>
        <v>6972</v>
      </c>
      <c r="F37" s="351">
        <f>IF(売分析!F37&lt;&gt;"",売分析!F37,"")</f>
        <v>6735</v>
      </c>
      <c r="G37" s="351">
        <f>IF(売分析!H37&lt;&gt;"",売分析!H37,"")</f>
        <v>6974</v>
      </c>
      <c r="H37" s="351">
        <f>IF(売分析!I37&lt;&gt;"",売分析!I37,"")</f>
        <v>6706</v>
      </c>
      <c r="I37" s="350">
        <f>IF(売分析!J37&lt;&gt;"",売分析!J37,"")</f>
        <v>1474400</v>
      </c>
      <c r="J37" s="351">
        <f>IF(売分析!AB37&lt;&gt;"",売分析!AB37,"")</f>
        <v>6573.9020737327191</v>
      </c>
      <c r="K37" s="351">
        <f>IF(売分析!AC37&lt;&gt;"",売分析!AC37,"")</f>
        <v>6214.7604290822374</v>
      </c>
      <c r="L37" s="351">
        <f>IF(売分析!K37&lt;&gt;"",売分析!K37,"")</f>
        <v>6807</v>
      </c>
      <c r="M37" s="350" t="str">
        <f>IF(売分析!P37&lt;&gt;"",売分析!P37,"")</f>
        <v>減少↓</v>
      </c>
      <c r="N37" s="353">
        <f>IF(売分析!O37&lt;&gt;"",売分析!O37,"")</f>
        <v>0.85952802910176285</v>
      </c>
      <c r="O37" s="355">
        <f>IF(売分析!X37&lt;&gt;"",売分析!X37,"")</f>
        <v>95.322483770433792</v>
      </c>
      <c r="P37" s="352">
        <f>IF(売分析!L37&lt;&gt;"",売分析!L37,"")</f>
        <v>2.4239753195240197</v>
      </c>
      <c r="Q37" s="351">
        <f>IF(売分析!S37&lt;&gt;"",売分析!S37,"")</f>
        <v>7251</v>
      </c>
      <c r="R37" s="351">
        <f>IF(売分析!R37&lt;&gt;"",売分析!R37,"")</f>
        <v>6414</v>
      </c>
      <c r="S37" s="350" t="str">
        <f>IF(売分析!AA37&lt;&gt;"",売分析!AA37,"")</f>
        <v>上昇▲</v>
      </c>
      <c r="T37" s="356">
        <f>IF(売分析!Z37&lt;&gt;"",売分析!Z37,"")</f>
        <v>3.3348154735437974</v>
      </c>
      <c r="U37" s="350" t="str">
        <f>IF(売分析!V37&lt;&gt;"",売分析!V37,"")</f>
        <v>通常</v>
      </c>
      <c r="V37" s="354">
        <f>IF(売分析!W37&lt;&gt;"",売分析!W37,"")</f>
        <v>59.84598459845985</v>
      </c>
      <c r="W37" s="350" t="str">
        <f>IF(売分析!AD37&lt;&gt;"",売分析!AD37,"")</f>
        <v>パーフェクト▲</v>
      </c>
      <c r="X37" s="350" t="str">
        <f>IF(売分析!AE37&lt;&gt;"",売分析!AE37,"")</f>
        <v>なし</v>
      </c>
      <c r="Y37" s="427">
        <f>IF(売分析!T37&lt;&gt;"",売分析!T37,"")</f>
        <v>-1</v>
      </c>
      <c r="Z37" s="350" t="str">
        <f>IF(売分析!Y37&lt;&gt;"",売分析!Y37,"")</f>
        <v>相場上昇・見送り | パーフェクト▲ MACD+ RSI:59.8 前日比:+3.3% [-1点]</v>
      </c>
    </row>
    <row r="38" spans="1:26">
      <c r="A38" s="230">
        <f>IF(売分析!C38&lt;&gt;"",ROW()-2,"")</f>
        <v>36</v>
      </c>
      <c r="B38" s="357" t="str">
        <f>IF(売分析!C38&lt;&gt;"",HYPERLINK("https://kabutan.jp/stock/?code="&amp;売分析!C38,"株探"),"")</f>
        <v>株探</v>
      </c>
      <c r="C38" s="366">
        <f>IF(売分析!C38&lt;&gt;"",売分析!C38,"")</f>
        <v>8572</v>
      </c>
      <c r="D38" s="230" t="str">
        <f>IF(売分析!D38&lt;&gt;"",売分析!D38,"")</f>
        <v>アコム</v>
      </c>
      <c r="E38" s="358">
        <f>IF(売分析!E38&lt;&gt;"",売分析!E38,"")</f>
        <v>450.6</v>
      </c>
      <c r="F38" s="358">
        <f>IF(売分析!F38&lt;&gt;"",売分析!F38,"")</f>
        <v>453.3</v>
      </c>
      <c r="G38" s="358">
        <f>IF(売分析!H38&lt;&gt;"",売分析!H38,"")</f>
        <v>453.7</v>
      </c>
      <c r="H38" s="358">
        <f>IF(売分析!I38&lt;&gt;"",売分析!I38,"")</f>
        <v>449</v>
      </c>
      <c r="I38" s="230">
        <f>IF(売分析!J38&lt;&gt;"",売分析!J38,"")</f>
        <v>1330300</v>
      </c>
      <c r="J38" s="358">
        <f>IF(売分析!AB38&lt;&gt;"",売分析!AB38,"")</f>
        <v>450.30334101382482</v>
      </c>
      <c r="K38" s="358">
        <f>IF(売分析!AC38&lt;&gt;"",売分析!AC38,"")</f>
        <v>454.4082240762811</v>
      </c>
      <c r="L38" s="358">
        <f>IF(売分析!K38&lt;&gt;"",売分析!K38,"")</f>
        <v>539.9</v>
      </c>
      <c r="M38" s="230" t="str">
        <f>IF(売分析!P38&lt;&gt;"",売分析!P38,"")</f>
        <v>普通→</v>
      </c>
      <c r="N38" s="360">
        <f>IF(売分析!O38&lt;&gt;"",売分析!O38,"")</f>
        <v>1.1181810540472388</v>
      </c>
      <c r="O38" s="362">
        <f>IF(売分析!X38&lt;&gt;"",売分析!X38,"")</f>
        <v>-2.5449609734157548</v>
      </c>
      <c r="P38" s="359">
        <f>IF(売分析!L38&lt;&gt;"",売分析!L38,"")</f>
        <v>-16.54010001852194</v>
      </c>
      <c r="Q38" s="358">
        <f>IF(売分析!S38&lt;&gt;"",売分析!S38,"")</f>
        <v>469</v>
      </c>
      <c r="R38" s="358">
        <f>IF(売分析!R38&lt;&gt;"",売分析!R38,"")</f>
        <v>415</v>
      </c>
      <c r="S38" s="230" t="str">
        <f>IF(売分析!AA38&lt;&gt;"",売分析!AA38,"")</f>
        <v>上昇▲</v>
      </c>
      <c r="T38" s="363">
        <f>IF(売分析!Z38&lt;&gt;"",売分析!Z38,"")</f>
        <v>0.28933897173381068</v>
      </c>
      <c r="U38" s="230" t="str">
        <f>IF(売分析!V38&lt;&gt;"",売分析!V38,"")</f>
        <v>通常</v>
      </c>
      <c r="V38" s="361">
        <f>IF(売分析!W38&lt;&gt;"",売分析!W38,"")</f>
        <v>37.12121212121216</v>
      </c>
      <c r="W38" s="230" t="str">
        <f>IF(売分析!AD38&lt;&gt;"",売分析!AD38,"")</f>
        <v>もみ合い→</v>
      </c>
      <c r="X38" s="230" t="str">
        <f>IF(売分析!AE38&lt;&gt;"",売分析!AE38,"")</f>
        <v>25日戻り売り★</v>
      </c>
      <c r="Y38" s="428">
        <f>IF(売分析!T38&lt;&gt;"",売分析!T38,"")</f>
        <v>9</v>
      </c>
      <c r="Z38" s="230" t="str">
        <f>IF(売分析!Y38&lt;&gt;"",売分析!Y38,"")</f>
        <v>○逆張り売り | もみ合い→ 25日戻り売り★ MACD- RSI:37.1 前日比:+0.3% [9点]</v>
      </c>
    </row>
    <row r="39" spans="1:26">
      <c r="A39" s="350">
        <f>IF(売分析!C39&lt;&gt;"",ROW()-2,"")</f>
        <v>37</v>
      </c>
      <c r="B39" s="349" t="str">
        <f>IF(売分析!C39&lt;&gt;"",HYPERLINK("https://kabutan.jp/stock/?code="&amp;売分析!C39,"株探"),"")</f>
        <v>株探</v>
      </c>
      <c r="C39" s="365">
        <f>IF(売分析!C39&lt;&gt;"",売分析!C39,"")</f>
        <v>6503</v>
      </c>
      <c r="D39" s="350" t="str">
        <f>IF(売分析!D39&lt;&gt;"",売分析!D39,"")</f>
        <v>三菱電機</v>
      </c>
      <c r="E39" s="351">
        <f>IF(売分析!E39&lt;&gt;"",売分析!E39,"")</f>
        <v>5863</v>
      </c>
      <c r="F39" s="351">
        <f>IF(売分析!F39&lt;&gt;"",売分析!F39,"")</f>
        <v>5853</v>
      </c>
      <c r="G39" s="351">
        <f>IF(売分析!H39&lt;&gt;"",売分析!H39,"")</f>
        <v>5925</v>
      </c>
      <c r="H39" s="351">
        <f>IF(売分析!I39&lt;&gt;"",売分析!I39,"")</f>
        <v>5790</v>
      </c>
      <c r="I39" s="350">
        <f>IF(売分析!J39&lt;&gt;"",売分析!J39,"")</f>
        <v>4255000</v>
      </c>
      <c r="J39" s="351">
        <f>IF(売分析!AB39&lt;&gt;"",売分析!AB39,"")</f>
        <v>5741.3928571428569</v>
      </c>
      <c r="K39" s="351">
        <f>IF(売分析!AC39&lt;&gt;"",売分析!AC39,"")</f>
        <v>5971.7854588796172</v>
      </c>
      <c r="L39" s="351">
        <f>IF(売分析!K39&lt;&gt;"",売分析!K39,"")</f>
        <v>6686</v>
      </c>
      <c r="M39" s="350" t="str">
        <f>IF(売分析!P39&lt;&gt;"",売分析!P39,"")</f>
        <v>減少↓</v>
      </c>
      <c r="N39" s="353">
        <f>IF(売分析!O39&lt;&gt;"",売分析!O39,"")</f>
        <v>0.5965399282189322</v>
      </c>
      <c r="O39" s="355">
        <f>IF(売分析!X39&lt;&gt;"",売分析!X39,"")</f>
        <v>-91.468259306873733</v>
      </c>
      <c r="P39" s="352">
        <f>IF(売分析!L39&lt;&gt;"",売分析!L39,"")</f>
        <v>-12.309303021238408</v>
      </c>
      <c r="Q39" s="351">
        <f>IF(売分析!S39&lt;&gt;"",売分析!S39,"")</f>
        <v>6098</v>
      </c>
      <c r="R39" s="351">
        <f>IF(売分析!R39&lt;&gt;"",売分析!R39,"")</f>
        <v>5394</v>
      </c>
      <c r="S39" s="350" t="str">
        <f>IF(売分析!AA39&lt;&gt;"",売分析!AA39,"")</f>
        <v>下落▼</v>
      </c>
      <c r="T39" s="356">
        <f>IF(売分析!Z39&lt;&gt;"",売分析!Z39,"")</f>
        <v>-0.15326975476839239</v>
      </c>
      <c r="U39" s="350" t="str">
        <f>IF(売分析!V39&lt;&gt;"",売分析!V39,"")</f>
        <v>通常</v>
      </c>
      <c r="V39" s="354">
        <f>IF(売分析!W39&lt;&gt;"",売分析!W39,"")</f>
        <v>32.340862422997958</v>
      </c>
      <c r="W39" s="350" t="str">
        <f>IF(売分析!AD39&lt;&gt;"",売分析!AD39,"")</f>
        <v>もみ合い→</v>
      </c>
      <c r="X39" s="350" t="str">
        <f>IF(売分析!AE39&lt;&gt;"",売分析!AE39,"")</f>
        <v>25日戻り売り★</v>
      </c>
      <c r="Y39" s="427">
        <f>IF(売分析!T39&lt;&gt;"",売分析!T39,"")</f>
        <v>9</v>
      </c>
      <c r="Z39" s="350" t="str">
        <f>IF(売分析!Y39&lt;&gt;"",売分析!Y39,"")</f>
        <v>○逆張り売り | もみ合い→ 25日戻り売り★ MACD- RSI:32.3 前日比:-0.2% [9点]</v>
      </c>
    </row>
    <row r="40" spans="1:26">
      <c r="A40" s="230">
        <f>IF(売分析!C40&lt;&gt;"",ROW()-2,"")</f>
        <v>38</v>
      </c>
      <c r="B40" s="357" t="str">
        <f>IF(売分析!C40&lt;&gt;"",HYPERLINK("https://kabutan.jp/stock/?code="&amp;売分析!C40,"株探"),"")</f>
        <v>株探</v>
      </c>
      <c r="C40" s="366">
        <f>IF(売分析!C40&lt;&gt;"",売分析!C40,"")</f>
        <v>1963</v>
      </c>
      <c r="D40" s="230" t="str">
        <f>IF(売分析!D40&lt;&gt;"",売分析!D40,"")</f>
        <v>日揮ホールディングス</v>
      </c>
      <c r="E40" s="358">
        <f>IF(売分析!E40&lt;&gt;"",売分析!E40,"")</f>
        <v>2760</v>
      </c>
      <c r="F40" s="358">
        <f>IF(売分析!F40&lt;&gt;"",売分析!F40,"")</f>
        <v>2680</v>
      </c>
      <c r="G40" s="358">
        <f>IF(売分析!H40&lt;&gt;"",売分析!H40,"")</f>
        <v>2806.5</v>
      </c>
      <c r="H40" s="358">
        <f>IF(売分析!I40&lt;&gt;"",売分析!I40,"")</f>
        <v>2673.5</v>
      </c>
      <c r="I40" s="230">
        <f>IF(売分析!J40&lt;&gt;"",売分析!J40,"")</f>
        <v>1864000</v>
      </c>
      <c r="J40" s="358">
        <f>IF(売分析!AB40&lt;&gt;"",売分析!AB40,"")</f>
        <v>2647.6284562211981</v>
      </c>
      <c r="K40" s="358">
        <f>IF(売分析!AC40&lt;&gt;"",売分析!AC40,"")</f>
        <v>2624.731227651966</v>
      </c>
      <c r="L40" s="358">
        <f>IF(売分析!K40&lt;&gt;"",売分析!K40,"")</f>
        <v>2927.5</v>
      </c>
      <c r="M40" s="230" t="str">
        <f>IF(売分析!P40&lt;&gt;"",売分析!P40,"")</f>
        <v>普通→</v>
      </c>
      <c r="N40" s="360">
        <f>IF(売分析!O40&lt;&gt;"",売分析!O40,"")</f>
        <v>1.2329183919145952</v>
      </c>
      <c r="O40" s="362">
        <f>IF(売分析!X40&lt;&gt;"",売分析!X40,"")</f>
        <v>-6.2286707079701955</v>
      </c>
      <c r="P40" s="359">
        <f>IF(売分析!L40&lt;&gt;"",売分析!L40,"")</f>
        <v>-5.7216054654141759</v>
      </c>
      <c r="Q40" s="358">
        <f>IF(売分析!S40&lt;&gt;"",売分析!S40,"")</f>
        <v>2870</v>
      </c>
      <c r="R40" s="358">
        <f>IF(売分析!R40&lt;&gt;"",売分析!R40,"")</f>
        <v>2539</v>
      </c>
      <c r="S40" s="230" t="str">
        <f>IF(売分析!AA40&lt;&gt;"",売分析!AA40,"")</f>
        <v>上昇▲</v>
      </c>
      <c r="T40" s="363">
        <f>IF(売分析!Z40&lt;&gt;"",売分析!Z40,"")</f>
        <v>3.6036036036036037</v>
      </c>
      <c r="U40" s="230" t="str">
        <f>IF(売分析!V40&lt;&gt;"",売分析!V40,"")</f>
        <v>通常</v>
      </c>
      <c r="V40" s="361">
        <f>IF(売分析!W40&lt;&gt;"",売分析!W40,"")</f>
        <v>38.416763678696157</v>
      </c>
      <c r="W40" s="230" t="str">
        <f>IF(売分析!AD40&lt;&gt;"",売分析!AD40,"")</f>
        <v>パーフェクト▲</v>
      </c>
      <c r="X40" s="230" t="str">
        <f>IF(売分析!AE40&lt;&gt;"",売分析!AE40,"")</f>
        <v>なし</v>
      </c>
      <c r="Y40" s="428">
        <f>IF(売分析!T40&lt;&gt;"",売分析!T40,"")</f>
        <v>-2</v>
      </c>
      <c r="Z40" s="230" t="str">
        <f>IF(売分析!Y40&lt;&gt;"",売分析!Y40,"")</f>
        <v>相場上昇・見送り | パーフェクト▲ MACD- RSI:38.4 前日比:+3.6%前日[長い下ヒゲ(反発)] [-2点]</v>
      </c>
    </row>
    <row r="41" spans="1:26">
      <c r="A41" s="350">
        <f>IF(売分析!C41&lt;&gt;"",ROW()-2,"")</f>
        <v>39</v>
      </c>
      <c r="B41" s="349" t="str">
        <f>IF(売分析!C41&lt;&gt;"",HYPERLINK("https://kabutan.jp/stock/?code="&amp;売分析!C41,"株探"),"")</f>
        <v>株探</v>
      </c>
      <c r="C41" s="365">
        <f>IF(売分析!C41&lt;&gt;"",売分析!C41,"")</f>
        <v>6323</v>
      </c>
      <c r="D41" s="350" t="str">
        <f>IF(売分析!D41&lt;&gt;"",売分析!D41,"")</f>
        <v>ローツェ</v>
      </c>
      <c r="E41" s="351">
        <f>IF(売分析!E41&lt;&gt;"",売分析!E41,"")</f>
        <v>4554</v>
      </c>
      <c r="F41" s="351">
        <f>IF(売分析!F41&lt;&gt;"",売分析!F41,"")</f>
        <v>4309</v>
      </c>
      <c r="G41" s="351">
        <f>IF(売分析!H41&lt;&gt;"",売分析!H41,"")</f>
        <v>4580</v>
      </c>
      <c r="H41" s="351">
        <f>IF(売分析!I41&lt;&gt;"",売分析!I41,"")</f>
        <v>4305</v>
      </c>
      <c r="I41" s="350">
        <f>IF(売分析!J41&lt;&gt;"",売分析!J41,"")</f>
        <v>1602600</v>
      </c>
      <c r="J41" s="351">
        <f>IF(売分析!AB41&lt;&gt;"",売分析!AB41,"")</f>
        <v>4317.7960829493086</v>
      </c>
      <c r="K41" s="351">
        <f>IF(売分析!AC41&lt;&gt;"",売分析!AC41,"")</f>
        <v>4057.2824791418334</v>
      </c>
      <c r="L41" s="351">
        <f>IF(売分析!K41&lt;&gt;"",売分析!K41,"")</f>
        <v>4590</v>
      </c>
      <c r="M41" s="350" t="str">
        <f>IF(売分析!P41&lt;&gt;"",売分析!P41,"")</f>
        <v>普通→</v>
      </c>
      <c r="N41" s="353">
        <f>IF(売分析!O41&lt;&gt;"",売分析!O41,"")</f>
        <v>1.0264391668588118</v>
      </c>
      <c r="O41" s="355">
        <f>IF(売分析!X41&lt;&gt;"",売分析!X41,"")</f>
        <v>61.079892054975971</v>
      </c>
      <c r="P41" s="352">
        <f>IF(売分析!L41&lt;&gt;"",売分析!L41,"")</f>
        <v>-0.78431372549019607</v>
      </c>
      <c r="Q41" s="351">
        <f>IF(売分析!S41&lt;&gt;"",売分析!S41,"")</f>
        <v>4736</v>
      </c>
      <c r="R41" s="351">
        <f>IF(売分析!R41&lt;&gt;"",売分析!R41,"")</f>
        <v>4190</v>
      </c>
      <c r="S41" s="350" t="str">
        <f>IF(売分析!AA41&lt;&gt;"",売分析!AA41,"")</f>
        <v>上昇▲</v>
      </c>
      <c r="T41" s="356">
        <f>IF(売分析!Z41&lt;&gt;"",売分析!Z41,"")</f>
        <v>3.2653061224489797</v>
      </c>
      <c r="U41" s="350" t="str">
        <f>IF(売分析!V41&lt;&gt;"",売分析!V41,"")</f>
        <v>通常</v>
      </c>
      <c r="V41" s="354">
        <f>IF(売分析!W41&lt;&gt;"",売分析!W41,"")</f>
        <v>60.058881256133468</v>
      </c>
      <c r="W41" s="350" t="str">
        <f>IF(売分析!AD41&lt;&gt;"",売分析!AD41,"")</f>
        <v>パーフェクト▲</v>
      </c>
      <c r="X41" s="350" t="str">
        <f>IF(売分析!AE41&lt;&gt;"",売分析!AE41,"")</f>
        <v>なし</v>
      </c>
      <c r="Y41" s="427">
        <f>IF(売分析!T41&lt;&gt;"",売分析!T41,"")</f>
        <v>0</v>
      </c>
      <c r="Z41" s="350" t="str">
        <f>IF(売分析!Y41&lt;&gt;"",売分析!Y41,"")</f>
        <v>相場上昇・見送り | パーフェクト▲ MACD+ RSI:60.1 前日比:+3.3% [0点]</v>
      </c>
    </row>
    <row r="42" spans="1:26">
      <c r="A42" s="230">
        <f>IF(売分析!C42&lt;&gt;"",ROW()-2,"")</f>
        <v>40</v>
      </c>
      <c r="B42" s="357" t="str">
        <f>IF(売分析!C42&lt;&gt;"",HYPERLINK("https://kabutan.jp/stock/?code="&amp;売分析!C42,"株探"),"")</f>
        <v>株探</v>
      </c>
      <c r="C42" s="366">
        <f>IF(売分析!C42&lt;&gt;"",売分析!C42,"")</f>
        <v>6925</v>
      </c>
      <c r="D42" s="230" t="str">
        <f>IF(売分析!D42&lt;&gt;"",売分析!D42,"")</f>
        <v>ウシオ電機</v>
      </c>
      <c r="E42" s="358">
        <f>IF(売分析!E42&lt;&gt;"",売分析!E42,"")</f>
        <v>4596</v>
      </c>
      <c r="F42" s="358">
        <f>IF(売分析!F42&lt;&gt;"",売分析!F42,"")</f>
        <v>4478</v>
      </c>
      <c r="G42" s="358">
        <f>IF(売分析!H42&lt;&gt;"",売分析!H42,"")</f>
        <v>4620</v>
      </c>
      <c r="H42" s="358">
        <f>IF(売分析!I42&lt;&gt;"",売分析!I42,"")</f>
        <v>4405</v>
      </c>
      <c r="I42" s="230">
        <f>IF(売分析!J42&lt;&gt;"",売分析!J42,"")</f>
        <v>591100</v>
      </c>
      <c r="J42" s="358">
        <f>IF(売分析!AB42&lt;&gt;"",売分析!AB42,"")</f>
        <v>4309.8686635944696</v>
      </c>
      <c r="K42" s="358">
        <f>IF(売分析!AC42&lt;&gt;"",売分析!AC42,"")</f>
        <v>4116.4445768772339</v>
      </c>
      <c r="L42" s="358">
        <f>IF(売分析!K42&lt;&gt;"",売分析!K42,"")</f>
        <v>4416</v>
      </c>
      <c r="M42" s="230" t="str">
        <f>IF(売分析!P42&lt;&gt;"",売分析!P42,"")</f>
        <v>普通→</v>
      </c>
      <c r="N42" s="360">
        <f>IF(売分析!O42&lt;&gt;"",売分析!O42,"")</f>
        <v>1.310236290286829</v>
      </c>
      <c r="O42" s="362">
        <f>IF(売分析!X42&lt;&gt;"",売分析!X42,"")</f>
        <v>35.771108386834385</v>
      </c>
      <c r="P42" s="359">
        <f>IF(売分析!L42&lt;&gt;"",売分析!L42,"")</f>
        <v>4.0760869565217392</v>
      </c>
      <c r="Q42" s="358">
        <f>IF(売分析!S42&lt;&gt;"",売分析!S42,"")</f>
        <v>4780</v>
      </c>
      <c r="R42" s="358">
        <f>IF(売分析!R42&lt;&gt;"",売分析!R42,"")</f>
        <v>4228</v>
      </c>
      <c r="S42" s="230" t="str">
        <f>IF(売分析!AA42&lt;&gt;"",売分析!AA42,"")</f>
        <v>上昇▲</v>
      </c>
      <c r="T42" s="363">
        <f>IF(売分析!Z42&lt;&gt;"",売分析!Z42,"")</f>
        <v>6.8340306834030677</v>
      </c>
      <c r="U42" s="230" t="str">
        <f>IF(売分析!V42&lt;&gt;"",売分析!V42,"")</f>
        <v>通常</v>
      </c>
      <c r="V42" s="361">
        <f>IF(売分析!W42&lt;&gt;"",売分析!W42,"")</f>
        <v>53.470031545741328</v>
      </c>
      <c r="W42" s="230" t="str">
        <f>IF(売分析!AD42&lt;&gt;"",売分析!AD42,"")</f>
        <v>パーフェクト▲</v>
      </c>
      <c r="X42" s="230" t="str">
        <f>IF(売分析!AE42&lt;&gt;"",売分析!AE42,"")</f>
        <v>なし</v>
      </c>
      <c r="Y42" s="428">
        <f>IF(売分析!T42&lt;&gt;"",売分析!T42,"")</f>
        <v>-1</v>
      </c>
      <c r="Z42" s="230" t="str">
        <f>IF(売分析!Y42&lt;&gt;"",売分析!Y42,"")</f>
        <v>相場上昇・見送り | パーフェクト▲ MACD+ RSI:53.5 前日比:+6.8% [-1点]</v>
      </c>
    </row>
    <row r="43" spans="1:26">
      <c r="A43" s="350">
        <f>IF(売分析!C43&lt;&gt;"",ROW()-2,"")</f>
        <v>41</v>
      </c>
      <c r="B43" s="349" t="str">
        <f>IF(売分析!C43&lt;&gt;"",HYPERLINK("https://kabutan.jp/stock/?code="&amp;売分析!C43,"株探"),"")</f>
        <v>株探</v>
      </c>
      <c r="C43" s="365">
        <f>IF(売分析!C43&lt;&gt;"",売分析!C43,"")</f>
        <v>3891</v>
      </c>
      <c r="D43" s="350" t="str">
        <f>IF(売分析!D43&lt;&gt;"",売分析!D43,"")</f>
        <v>ニッポン高度紙工業</v>
      </c>
      <c r="E43" s="351">
        <f>IF(売分析!E43&lt;&gt;"",売分析!E43,"")</f>
        <v>9980</v>
      </c>
      <c r="F43" s="351">
        <f>IF(売分析!F43&lt;&gt;"",売分析!F43,"")</f>
        <v>8830</v>
      </c>
      <c r="G43" s="351">
        <f>IF(売分析!H43&lt;&gt;"",売分析!H43,"")</f>
        <v>10110</v>
      </c>
      <c r="H43" s="351">
        <f>IF(売分析!I43&lt;&gt;"",売分析!I43,"")</f>
        <v>8780</v>
      </c>
      <c r="I43" s="350">
        <f>IF(売分析!J43&lt;&gt;"",売分析!J43,"")</f>
        <v>456000</v>
      </c>
      <c r="J43" s="351">
        <f>IF(売分析!AB43&lt;&gt;"",売分析!AB43,"")</f>
        <v>9270.2764976958515</v>
      </c>
      <c r="K43" s="351">
        <f>IF(売分析!AC43&lt;&gt;"",売分析!AC43,"")</f>
        <v>8269.1179976162039</v>
      </c>
      <c r="L43" s="351">
        <f>IF(売分析!K43&lt;&gt;"",売分析!K43,"")</f>
        <v>10470</v>
      </c>
      <c r="M43" s="350" t="str">
        <f>IF(売分析!P43&lt;&gt;"",売分析!P43,"")</f>
        <v>普通→</v>
      </c>
      <c r="N43" s="353">
        <f>IF(売分析!O43&lt;&gt;"",売分析!O43,"")</f>
        <v>1.0363165310667697</v>
      </c>
      <c r="O43" s="355">
        <f>IF(売分析!X43&lt;&gt;"",売分析!X43,"")</f>
        <v>341.33414796269972</v>
      </c>
      <c r="P43" s="352">
        <f>IF(売分析!L43&lt;&gt;"",売分析!L43,"")</f>
        <v>-4.6800382043935054</v>
      </c>
      <c r="Q43" s="351">
        <f>IF(売分析!S43&lt;&gt;"",売分析!S43,"")</f>
        <v>10379</v>
      </c>
      <c r="R43" s="351">
        <f>IF(売分析!R43&lt;&gt;"",売分析!R43,"")</f>
        <v>9182</v>
      </c>
      <c r="S43" s="350" t="str">
        <f>IF(売分析!AA43&lt;&gt;"",売分析!AA43,"")</f>
        <v>上昇▲</v>
      </c>
      <c r="T43" s="356">
        <f>IF(売分析!Z43&lt;&gt;"",売分析!Z43,"")</f>
        <v>11.883408071748878</v>
      </c>
      <c r="U43" s="350" t="str">
        <f>IF(売分析!V43&lt;&gt;"",売分析!V43,"")</f>
        <v>通常</v>
      </c>
      <c r="V43" s="354">
        <f>IF(売分析!W43&lt;&gt;"",売分析!W43,"")</f>
        <v>61.368209255533202</v>
      </c>
      <c r="W43" s="350" t="str">
        <f>IF(売分析!AD43&lt;&gt;"",売分析!AD43,"")</f>
        <v>パーフェクト▲</v>
      </c>
      <c r="X43" s="350" t="str">
        <f>IF(売分析!AE43&lt;&gt;"",売分析!AE43,"")</f>
        <v>なし</v>
      </c>
      <c r="Y43" s="427">
        <f>IF(売分析!T43&lt;&gt;"",売分析!T43,"")</f>
        <v>0</v>
      </c>
      <c r="Z43" s="350" t="str">
        <f>IF(売分析!Y43&lt;&gt;"",売分析!Y43,"")</f>
        <v>相場上昇・見送り | パーフェクト▲ MACD+ RSI:61.4 前日比:+11.9% [0点]</v>
      </c>
    </row>
    <row r="44" spans="1:26">
      <c r="A44" s="230">
        <f>IF(売分析!C44&lt;&gt;"",ROW()-2,"")</f>
        <v>42</v>
      </c>
      <c r="B44" s="357" t="str">
        <f>IF(売分析!C44&lt;&gt;"",HYPERLINK("https://kabutan.jp/stock/?code="&amp;売分析!C44,"株探"),"")</f>
        <v>株探</v>
      </c>
      <c r="C44" s="366">
        <f>IF(売分析!C44&lt;&gt;"",売分析!C44,"")</f>
        <v>9687</v>
      </c>
      <c r="D44" s="230" t="str">
        <f>IF(売分析!D44&lt;&gt;"",売分析!D44,"")</f>
        <v>ＫＳＫ</v>
      </c>
      <c r="E44" s="358">
        <f>IF(売分析!E44&lt;&gt;"",売分析!E44,"")</f>
        <v>4345</v>
      </c>
      <c r="F44" s="358">
        <f>IF(売分析!F44&lt;&gt;"",売分析!F44,"")</f>
        <v>4325</v>
      </c>
      <c r="G44" s="358">
        <f>IF(売分析!H44&lt;&gt;"",売分析!H44,"")</f>
        <v>4350</v>
      </c>
      <c r="H44" s="358">
        <f>IF(売分析!I44&lt;&gt;"",売分析!I44,"")</f>
        <v>4325</v>
      </c>
      <c r="I44" s="230">
        <f>IF(売分析!J44&lt;&gt;"",売分析!J44,"")</f>
        <v>1700</v>
      </c>
      <c r="J44" s="358">
        <f>IF(売分析!AB44&lt;&gt;"",売分析!AB44,"")</f>
        <v>4330.0691244239633</v>
      </c>
      <c r="K44" s="358">
        <f>IF(売分析!AC44&lt;&gt;"",売分析!AC44,"")</f>
        <v>4339.9106078665063</v>
      </c>
      <c r="L44" s="358">
        <f>IF(売分析!K44&lt;&gt;"",売分析!K44,"")</f>
        <v>5320</v>
      </c>
      <c r="M44" s="230" t="str">
        <f>IF(売分析!P44&lt;&gt;"",売分析!P44,"")</f>
        <v>普通→</v>
      </c>
      <c r="N44" s="360">
        <f>IF(売分析!O44&lt;&gt;"",売分析!O44,"")</f>
        <v>1.1333333333333333</v>
      </c>
      <c r="O44" s="362">
        <f>IF(売分析!X44&lt;&gt;"",売分析!X44,"")</f>
        <v>-4.3045267653478732</v>
      </c>
      <c r="P44" s="359">
        <f>IF(売分析!L44&lt;&gt;"",売分析!L44,"")</f>
        <v>-18.327067669172934</v>
      </c>
      <c r="Q44" s="358">
        <f>IF(売分析!S44&lt;&gt;"",売分析!S44,"")</f>
        <v>4519</v>
      </c>
      <c r="R44" s="358">
        <f>IF(売分析!R44&lt;&gt;"",売分析!R44,"")</f>
        <v>3997</v>
      </c>
      <c r="S44" s="230" t="str">
        <f>IF(売分析!AA44&lt;&gt;"",売分析!AA44,"")</f>
        <v>上昇▲</v>
      </c>
      <c r="T44" s="363">
        <f>IF(売分析!Z44&lt;&gt;"",売分析!Z44,"")</f>
        <v>1.0465116279069768</v>
      </c>
      <c r="U44" s="230" t="str">
        <f>IF(売分析!V44&lt;&gt;"",売分析!V44,"")</f>
        <v>通常</v>
      </c>
      <c r="V44" s="361">
        <f>IF(売分析!W44&lt;&gt;"",売分析!W44,"")</f>
        <v>49.152542372881356</v>
      </c>
      <c r="W44" s="230" t="str">
        <f>IF(売分析!AD44&lt;&gt;"",売分析!AD44,"")</f>
        <v>上昇トレンド▲</v>
      </c>
      <c r="X44" s="230" t="str">
        <f>IF(売分析!AE44&lt;&gt;"",売分析!AE44,"")</f>
        <v>なし</v>
      </c>
      <c r="Y44" s="428">
        <f>IF(売分析!T44&lt;&gt;"",売分析!T44,"")</f>
        <v>6</v>
      </c>
      <c r="Z44" s="230" t="str">
        <f>IF(売分析!Y44&lt;&gt;"",売分析!Y44,"")</f>
        <v>相場上昇・見送り | 上昇トレンド▲ MACD- RSI:49.2 前日比:+1.0%前日[大陰線▼] [6点]</v>
      </c>
    </row>
    <row r="45" spans="1:26">
      <c r="A45" s="350">
        <f>IF(売分析!C45&lt;&gt;"",ROW()-2,"")</f>
        <v>43</v>
      </c>
      <c r="B45" s="349" t="str">
        <f>IF(売分析!C45&lt;&gt;"",HYPERLINK("https://kabutan.jp/stock/?code="&amp;売分析!C45,"株探"),"")</f>
        <v>株探</v>
      </c>
      <c r="C45" s="365">
        <f>IF(売分析!C45&lt;&gt;"",売分析!C45,"")</f>
        <v>5801</v>
      </c>
      <c r="D45" s="350" t="str">
        <f>IF(売分析!D45&lt;&gt;"",売分析!D45,"")</f>
        <v>古河電工</v>
      </c>
      <c r="E45" s="351">
        <f>IF(売分析!E45&lt;&gt;"",売分析!E45,"")</f>
        <v>47440</v>
      </c>
      <c r="F45" s="351">
        <f>IF(売分析!F45&lt;&gt;"",売分析!F45,"")</f>
        <v>44900</v>
      </c>
      <c r="G45" s="351">
        <f>IF(売分析!H45&lt;&gt;"",売分析!H45,"")</f>
        <v>47660</v>
      </c>
      <c r="H45" s="351">
        <f>IF(売分析!I45&lt;&gt;"",売分析!I45,"")</f>
        <v>44900</v>
      </c>
      <c r="I45" s="350">
        <f>IF(売分析!J45&lt;&gt;"",売分析!J45,"")</f>
        <v>2674600</v>
      </c>
      <c r="J45" s="351">
        <f>IF(売分析!AB45&lt;&gt;"",売分析!AB45,"")</f>
        <v>44946.497695852529</v>
      </c>
      <c r="K45" s="351">
        <f>IF(売分析!AC45&lt;&gt;"",売分析!AC45,"")</f>
        <v>48547.914183551846</v>
      </c>
      <c r="L45" s="351">
        <f>IF(売分析!K45&lt;&gt;"",売分析!K45,"")</f>
        <v>62410</v>
      </c>
      <c r="M45" s="350" t="str">
        <f>IF(売分析!P45&lt;&gt;"",売分析!P45,"")</f>
        <v>減少↓</v>
      </c>
      <c r="N45" s="353">
        <f>IF(売分析!O45&lt;&gt;"",売分析!O45,"")</f>
        <v>0.74515922324687267</v>
      </c>
      <c r="O45" s="355">
        <f>IF(売分析!X45&lt;&gt;"",売分析!X45,"")</f>
        <v>-1207.9030325705753</v>
      </c>
      <c r="P45" s="352">
        <f>IF(売分析!L45&lt;&gt;"",売分析!L45,"")</f>
        <v>-23.986540618490626</v>
      </c>
      <c r="Q45" s="351">
        <f>IF(売分析!S45&lt;&gt;"",売分析!S45,"")</f>
        <v>49338</v>
      </c>
      <c r="R45" s="351">
        <f>IF(売分析!R45&lt;&gt;"",売分析!R45,"")</f>
        <v>43645</v>
      </c>
      <c r="S45" s="350" t="str">
        <f>IF(売分析!AA45&lt;&gt;"",売分析!AA45,"")</f>
        <v>上昇▲</v>
      </c>
      <c r="T45" s="356">
        <f>IF(売分析!Z45&lt;&gt;"",売分析!Z45,"")</f>
        <v>2.8398005636245394</v>
      </c>
      <c r="U45" s="350" t="str">
        <f>IF(売分析!V45&lt;&gt;"",売分析!V45,"")</f>
        <v>安値圏</v>
      </c>
      <c r="V45" s="354">
        <f>IF(売分析!W45&lt;&gt;"",売分析!W45,"")</f>
        <v>28.105533162330531</v>
      </c>
      <c r="W45" s="350" t="str">
        <f>IF(売分析!AD45&lt;&gt;"",売分析!AD45,"")</f>
        <v>もみ合い→</v>
      </c>
      <c r="X45" s="350" t="str">
        <f>IF(売分析!AE45&lt;&gt;"",売分析!AE45,"")</f>
        <v>なし</v>
      </c>
      <c r="Y45" s="427">
        <f>IF(売分析!T45&lt;&gt;"",売分析!T45,"")</f>
        <v>9</v>
      </c>
      <c r="Z45" s="350" t="str">
        <f>IF(売分析!Y45&lt;&gt;"",売分析!Y45,"")</f>
        <v>相場上昇・見送り | もみ合い→ MACD- RSI:28.1 [売られ過ぎ] 前日比:+2.8% [安値圏] [9点]</v>
      </c>
    </row>
    <row r="46" spans="1:26">
      <c r="A46" s="230">
        <f>IF(売分析!C46&lt;&gt;"",ROW()-2,"")</f>
        <v>44</v>
      </c>
      <c r="B46" s="357" t="str">
        <f>IF(売分析!C46&lt;&gt;"",HYPERLINK("https://kabutan.jp/stock/?code="&amp;売分析!C46,"株探"),"")</f>
        <v>株探</v>
      </c>
      <c r="C46" s="366">
        <f>IF(売分析!C46&lt;&gt;"",売分析!C46,"")</f>
        <v>5713</v>
      </c>
      <c r="D46" s="230" t="str">
        <f>IF(売分析!D46&lt;&gt;"",売分析!D46,"")</f>
        <v>住友鉱山</v>
      </c>
      <c r="E46" s="358">
        <f>IF(売分析!E46&lt;&gt;"",売分析!E46,"")</f>
        <v>9155</v>
      </c>
      <c r="F46" s="358">
        <f>IF(売分析!F46&lt;&gt;"",売分析!F46,"")</f>
        <v>8899</v>
      </c>
      <c r="G46" s="358">
        <f>IF(売分析!H46&lt;&gt;"",売分析!H46,"")</f>
        <v>9255</v>
      </c>
      <c r="H46" s="358">
        <f>IF(売分析!I46&lt;&gt;"",売分析!I46,"")</f>
        <v>8779</v>
      </c>
      <c r="I46" s="230">
        <f>IF(売分析!J46&lt;&gt;"",売分析!J46,"")</f>
        <v>2551700</v>
      </c>
      <c r="J46" s="358">
        <f>IF(売分析!AB46&lt;&gt;"",売分析!AB46,"")</f>
        <v>8730.5230414746529</v>
      </c>
      <c r="K46" s="358">
        <f>IF(売分析!AC46&lt;&gt;"",売分析!AC46,"")</f>
        <v>8884.4612634088189</v>
      </c>
      <c r="L46" s="358">
        <f>IF(売分析!K46&lt;&gt;"",売分析!K46,"")</f>
        <v>13300</v>
      </c>
      <c r="M46" s="230" t="str">
        <f>IF(売分析!P46&lt;&gt;"",売分析!P46,"")</f>
        <v>減少↓</v>
      </c>
      <c r="N46" s="360">
        <f>IF(売分析!O46&lt;&gt;"",売分析!O46,"")</f>
        <v>0.7754465723784576</v>
      </c>
      <c r="O46" s="362">
        <f>IF(売分析!X46&lt;&gt;"",売分析!X46,"")</f>
        <v>-157.70382981941657</v>
      </c>
      <c r="P46" s="359">
        <f>IF(売分析!L46&lt;&gt;"",売分析!L46,"")</f>
        <v>-31.165413533834585</v>
      </c>
      <c r="Q46" s="358">
        <f>IF(売分析!S46&lt;&gt;"",売分析!S46,"")</f>
        <v>9521</v>
      </c>
      <c r="R46" s="358">
        <f>IF(売分析!R46&lt;&gt;"",売分析!R46,"")</f>
        <v>8423</v>
      </c>
      <c r="S46" s="230" t="str">
        <f>IF(売分析!AA46&lt;&gt;"",売分析!AA46,"")</f>
        <v>上昇▲</v>
      </c>
      <c r="T46" s="363">
        <f>IF(売分析!Z46&lt;&gt;"",売分析!Z46,"")</f>
        <v>3.2945955094211894</v>
      </c>
      <c r="U46" s="230" t="str">
        <f>IF(売分析!V46&lt;&gt;"",売分析!V46,"")</f>
        <v>安値圏</v>
      </c>
      <c r="V46" s="361">
        <f>IF(売分析!W46&lt;&gt;"",売分析!W46,"")</f>
        <v>38.842581567039772</v>
      </c>
      <c r="W46" s="230" t="str">
        <f>IF(売分析!AD46&lt;&gt;"",売分析!AD46,"")</f>
        <v>上昇トレンド▲</v>
      </c>
      <c r="X46" s="230" t="str">
        <f>IF(売分析!AE46&lt;&gt;"",売分析!AE46,"")</f>
        <v>なし</v>
      </c>
      <c r="Y46" s="428">
        <f>IF(売分析!T46&lt;&gt;"",売分析!T46,"")</f>
        <v>11</v>
      </c>
      <c r="Z46" s="230" t="str">
        <f>IF(売分析!Y46&lt;&gt;"",売分析!Y46,"")</f>
        <v>相場上昇・見送り | 上昇トレンド▲ MACD- RSI:38.8 前日比:+3.3% [安値圏]前日[大陰線▼] [11点]</v>
      </c>
    </row>
    <row r="47" spans="1:26">
      <c r="A47" s="350">
        <f>IF(売分析!C47&lt;&gt;"",ROW()-2,"")</f>
        <v>45</v>
      </c>
      <c r="B47" s="349" t="str">
        <f>IF(売分析!C47&lt;&gt;"",HYPERLINK("https://kabutan.jp/stock/?code="&amp;売分析!C47,"株探"),"")</f>
        <v>株探</v>
      </c>
      <c r="C47" s="365">
        <f>IF(売分析!C47&lt;&gt;"",売分析!C47,"")</f>
        <v>5714</v>
      </c>
      <c r="D47" s="350" t="str">
        <f>IF(売分析!D47&lt;&gt;"",売分析!D47,"")</f>
        <v>ＤＯＷＡホールディングス</v>
      </c>
      <c r="E47" s="351">
        <f>IF(売分析!E47&lt;&gt;"",売分析!E47,"")</f>
        <v>9839</v>
      </c>
      <c r="F47" s="351">
        <f>IF(売分析!F47&lt;&gt;"",売分析!F47,"")</f>
        <v>9770</v>
      </c>
      <c r="G47" s="351">
        <f>IF(売分析!H47&lt;&gt;"",売分析!H47,"")</f>
        <v>9927</v>
      </c>
      <c r="H47" s="351">
        <f>IF(売分析!I47&lt;&gt;"",売分析!I47,"")</f>
        <v>9615</v>
      </c>
      <c r="I47" s="350">
        <f>IF(売分析!J47&lt;&gt;"",売分析!J47,"")</f>
        <v>365500</v>
      </c>
      <c r="J47" s="351">
        <f>IF(売分析!AB47&lt;&gt;"",売分析!AB47,"")</f>
        <v>9550.2880184331807</v>
      </c>
      <c r="K47" s="351">
        <f>IF(売分析!AC47&lt;&gt;"",売分析!AC47,"")</f>
        <v>9926.897497020258</v>
      </c>
      <c r="L47" s="351">
        <f>IF(売分析!K47&lt;&gt;"",売分析!K47,"")</f>
        <v>12380</v>
      </c>
      <c r="M47" s="350" t="str">
        <f>IF(売分析!P47&lt;&gt;"",売分析!P47,"")</f>
        <v>減少↓</v>
      </c>
      <c r="N47" s="353">
        <f>IF(売分析!O47&lt;&gt;"",売分析!O47,"")</f>
        <v>0.82108999415914097</v>
      </c>
      <c r="O47" s="355">
        <f>IF(売分析!X47&lt;&gt;"",売分析!X47,"")</f>
        <v>-159.00096123611183</v>
      </c>
      <c r="P47" s="352">
        <f>IF(売分析!L47&lt;&gt;"",売分析!L47,"")</f>
        <v>-20.525040387722132</v>
      </c>
      <c r="Q47" s="351">
        <f>IF(売分析!S47&lt;&gt;"",売分析!S47,"")</f>
        <v>10233</v>
      </c>
      <c r="R47" s="351">
        <f>IF(売分析!R47&lt;&gt;"",売分析!R47,"")</f>
        <v>9052</v>
      </c>
      <c r="S47" s="350" t="str">
        <f>IF(売分析!AA47&lt;&gt;"",売分析!AA47,"")</f>
        <v>上昇▲</v>
      </c>
      <c r="T47" s="356">
        <f>IF(売分析!Z47&lt;&gt;"",売分析!Z47,"")</f>
        <v>1.5900877645844087</v>
      </c>
      <c r="U47" s="350" t="str">
        <f>IF(売分析!V47&lt;&gt;"",売分析!V47,"")</f>
        <v>通常</v>
      </c>
      <c r="V47" s="354">
        <f>IF(売分析!W47&lt;&gt;"",売分析!W47,"")</f>
        <v>33.774662512980271</v>
      </c>
      <c r="W47" s="350" t="str">
        <f>IF(売分析!AD47&lt;&gt;"",売分析!AD47,"")</f>
        <v>もみ合い→</v>
      </c>
      <c r="X47" s="350" t="str">
        <f>IF(売分析!AE47&lt;&gt;"",売分析!AE47,"")</f>
        <v>25日戻り売り★</v>
      </c>
      <c r="Y47" s="427">
        <f>IF(売分析!T47&lt;&gt;"",売分析!T47,"")</f>
        <v>11</v>
      </c>
      <c r="Z47" s="350" t="str">
        <f>IF(売分析!Y47&lt;&gt;"",売分析!Y47,"")</f>
        <v>○逆張り売り | もみ合い→ 25日戻り売り★ MACD- RSI:33.8 前日比:+1.6%前日[大陰線▼] [11点]</v>
      </c>
    </row>
    <row r="48" spans="1:26">
      <c r="A48" s="230">
        <f>IF(売分析!C48&lt;&gt;"",ROW()-2,"")</f>
        <v>46</v>
      </c>
      <c r="B48" s="357" t="str">
        <f>IF(売分析!C48&lt;&gt;"",HYPERLINK("https://kabutan.jp/stock/?code="&amp;売分析!C48,"株探"),"")</f>
        <v>株探</v>
      </c>
      <c r="C48" s="366">
        <f>IF(売分析!C48&lt;&gt;"",売分析!C48,"")</f>
        <v>5703</v>
      </c>
      <c r="D48" s="230" t="str">
        <f>IF(売分析!D48&lt;&gt;"",売分析!D48,"")</f>
        <v>日本軽金属ＨＤ</v>
      </c>
      <c r="E48" s="358">
        <f>IF(売分析!E48&lt;&gt;"",売分析!E48,"")</f>
        <v>2958</v>
      </c>
      <c r="F48" s="358">
        <f>IF(売分析!F48&lt;&gt;"",売分析!F48,"")</f>
        <v>3035</v>
      </c>
      <c r="G48" s="358">
        <f>IF(売分析!H48&lt;&gt;"",売分析!H48,"")</f>
        <v>3065</v>
      </c>
      <c r="H48" s="358">
        <f>IF(売分析!I48&lt;&gt;"",売分析!I48,"")</f>
        <v>2945</v>
      </c>
      <c r="I48" s="230">
        <f>IF(売分析!J48&lt;&gt;"",売分析!J48,"")</f>
        <v>315700</v>
      </c>
      <c r="J48" s="358">
        <f>IF(売分析!AB48&lt;&gt;"",売分析!AB48,"")</f>
        <v>2996.6105990783408</v>
      </c>
      <c r="K48" s="358">
        <f>IF(売分析!AC48&lt;&gt;"",売分析!AC48,"")</f>
        <v>3093.9427890345642</v>
      </c>
      <c r="L48" s="358">
        <f>IF(売分析!K48&lt;&gt;"",売分析!K48,"")</f>
        <v>3330</v>
      </c>
      <c r="M48" s="230" t="str">
        <f>IF(売分析!P48&lt;&gt;"",売分析!P48,"")</f>
        <v>普通→</v>
      </c>
      <c r="N48" s="360">
        <f>IF(売分析!O48&lt;&gt;"",売分析!O48,"")</f>
        <v>1.0219474297552764</v>
      </c>
      <c r="O48" s="362">
        <f>IF(売分析!X48&lt;&gt;"",売分析!X48,"")</f>
        <v>-9.5713205354263664</v>
      </c>
      <c r="P48" s="359">
        <f>IF(売分析!L48&lt;&gt;"",売分析!L48,"")</f>
        <v>-11.171171171171171</v>
      </c>
      <c r="Q48" s="358">
        <f>IF(売分析!S48&lt;&gt;"",売分析!S48,"")</f>
        <v>3076</v>
      </c>
      <c r="R48" s="358">
        <f>IF(売分析!R48&lt;&gt;"",売分析!R48,"")</f>
        <v>2721</v>
      </c>
      <c r="S48" s="230" t="str">
        <f>IF(売分析!AA48&lt;&gt;"",売分析!AA48,"")</f>
        <v>下落▼</v>
      </c>
      <c r="T48" s="363">
        <f>IF(売分析!Z48&lt;&gt;"",売分析!Z48,"")</f>
        <v>-1.7275747508305648</v>
      </c>
      <c r="U48" s="230" t="str">
        <f>IF(売分析!V48&lt;&gt;"",売分析!V48,"")</f>
        <v>通常</v>
      </c>
      <c r="V48" s="361">
        <f>IF(売分析!W48&lt;&gt;"",売分析!W48,"")</f>
        <v>34.993614303959134</v>
      </c>
      <c r="W48" s="230" t="str">
        <f>IF(売分析!AD48&lt;&gt;"",売分析!AD48,"")</f>
        <v>下降トレンド▼</v>
      </c>
      <c r="X48" s="230" t="str">
        <f>IF(売分析!AE48&lt;&gt;"",売分析!AE48,"")</f>
        <v>なし</v>
      </c>
      <c r="Y48" s="428">
        <f>IF(売分析!T48&lt;&gt;"",売分析!T48,"")</f>
        <v>9</v>
      </c>
      <c r="Z48" s="230" t="str">
        <f>IF(売分析!Y48&lt;&gt;"",売分析!Y48,"")</f>
        <v>相場上昇・見送り | 下降トレンド▼ MACD- RSI:35.0 前日比:-1.7% [9点]</v>
      </c>
    </row>
    <row r="49" spans="1:26">
      <c r="A49" s="350">
        <f>IF(売分析!C49&lt;&gt;"",ROW()-2,"")</f>
        <v>47</v>
      </c>
      <c r="B49" s="349" t="str">
        <f>IF(売分析!C49&lt;&gt;"",HYPERLINK("https://kabutan.jp/stock/?code="&amp;売分析!C49,"株探"),"")</f>
        <v>株探</v>
      </c>
      <c r="C49" s="365">
        <f>IF(売分析!C49&lt;&gt;"",売分析!C49,"")</f>
        <v>8053</v>
      </c>
      <c r="D49" s="350" t="str">
        <f>IF(売分析!D49&lt;&gt;"",売分析!D49,"")</f>
        <v>住友商事</v>
      </c>
      <c r="E49" s="351">
        <f>IF(売分析!E49&lt;&gt;"",売分析!E49,"")</f>
        <v>6547</v>
      </c>
      <c r="F49" s="351">
        <f>IF(売分析!F49&lt;&gt;"",売分析!F49,"")</f>
        <v>6601</v>
      </c>
      <c r="G49" s="351">
        <f>IF(売分析!H49&lt;&gt;"",売分析!H49,"")</f>
        <v>6645</v>
      </c>
      <c r="H49" s="351">
        <f>IF(売分析!I49&lt;&gt;"",売分析!I49,"")</f>
        <v>6478</v>
      </c>
      <c r="I49" s="350">
        <f>IF(売分析!J49&lt;&gt;"",売分析!J49,"")</f>
        <v>2278500</v>
      </c>
      <c r="J49" s="351">
        <f>IF(売分析!AB49&lt;&gt;"",売分析!AB49,"")</f>
        <v>6436.2246543778792</v>
      </c>
      <c r="K49" s="351">
        <f>IF(売分析!AC49&lt;&gt;"",売分析!AC49,"")</f>
        <v>6774.2586412395685</v>
      </c>
      <c r="L49" s="351">
        <f>IF(売分析!K49&lt;&gt;"",売分析!K49,"")</f>
        <v>7775</v>
      </c>
      <c r="M49" s="350" t="str">
        <f>IF(売分析!P49&lt;&gt;"",売分析!P49,"")</f>
        <v>減少↓</v>
      </c>
      <c r="N49" s="353">
        <f>IF(売分析!O49&lt;&gt;"",売分析!O49,"")</f>
        <v>0.62134582660674553</v>
      </c>
      <c r="O49" s="355">
        <f>IF(売分析!X49&lt;&gt;"",売分析!X49,"")</f>
        <v>-115.25456238879906</v>
      </c>
      <c r="P49" s="352">
        <f>IF(売分析!L49&lt;&gt;"",売分析!L49,"")</f>
        <v>-15.794212218649516</v>
      </c>
      <c r="Q49" s="351">
        <f>IF(売分析!S49&lt;&gt;"",売分析!S49,"")</f>
        <v>6809</v>
      </c>
      <c r="R49" s="351">
        <f>IF(売分析!R49&lt;&gt;"",売分析!R49,"")</f>
        <v>6023</v>
      </c>
      <c r="S49" s="350" t="str">
        <f>IF(売分析!AA49&lt;&gt;"",売分析!AA49,"")</f>
        <v>上昇▲</v>
      </c>
      <c r="T49" s="356">
        <f>IF(売分析!Z49&lt;&gt;"",売分析!Z49,"")</f>
        <v>0.27569306172461328</v>
      </c>
      <c r="U49" s="350" t="str">
        <f>IF(売分析!V49&lt;&gt;"",売分析!V49,"")</f>
        <v>通常</v>
      </c>
      <c r="V49" s="354">
        <f>IF(売分析!W49&lt;&gt;"",売分析!W49,"")</f>
        <v>25.471698113207552</v>
      </c>
      <c r="W49" s="350" t="str">
        <f>IF(売分析!AD49&lt;&gt;"",売分析!AD49,"")</f>
        <v>もみ合い→</v>
      </c>
      <c r="X49" s="350" t="str">
        <f>IF(売分析!AE49&lt;&gt;"",売分析!AE49,"")</f>
        <v>なし</v>
      </c>
      <c r="Y49" s="427">
        <f>IF(売分析!T49&lt;&gt;"",売分析!T49,"")</f>
        <v>7</v>
      </c>
      <c r="Z49" s="350" t="str">
        <f>IF(売分析!Y49&lt;&gt;"",売分析!Y49,"")</f>
        <v>相場上昇・見送り | もみ合い→ MACD- RSI:25.5 [売られ過ぎ] 前日比:+0.3% [7点]</v>
      </c>
    </row>
    <row r="50" spans="1:26">
      <c r="A50" s="230">
        <f>IF(売分析!C50&lt;&gt;"",ROW()-2,"")</f>
        <v>48</v>
      </c>
      <c r="B50" s="357" t="str">
        <f>IF(売分析!C50&lt;&gt;"",HYPERLINK("https://kabutan.jp/stock/?code="&amp;売分析!C50,"株探"),"")</f>
        <v>株探</v>
      </c>
      <c r="C50" s="366">
        <f>IF(売分析!C50&lt;&gt;"",売分析!C50,"")</f>
        <v>6203</v>
      </c>
      <c r="D50" s="230" t="str">
        <f>IF(売分析!D50&lt;&gt;"",売分析!D50,"")</f>
        <v>豊和工業</v>
      </c>
      <c r="E50" s="358">
        <f>IF(売分析!E50&lt;&gt;"",売分析!E50,"")</f>
        <v>1630</v>
      </c>
      <c r="F50" s="358">
        <f>IF(売分析!F50&lt;&gt;"",売分析!F50,"")</f>
        <v>1573</v>
      </c>
      <c r="G50" s="358">
        <f>IF(売分析!H50&lt;&gt;"",売分析!H50,"")</f>
        <v>1679</v>
      </c>
      <c r="H50" s="358">
        <f>IF(売分析!I50&lt;&gt;"",売分析!I50,"")</f>
        <v>1570</v>
      </c>
      <c r="I50" s="230">
        <f>IF(売分析!J50&lt;&gt;"",売分析!J50,"")</f>
        <v>533500</v>
      </c>
      <c r="J50" s="358">
        <f>IF(売分析!AB50&lt;&gt;"",売分析!AB50,"")</f>
        <v>1596.5449308755758</v>
      </c>
      <c r="K50" s="358">
        <f>IF(売分析!AC50&lt;&gt;"",売分析!AC50,"")</f>
        <v>1613.2133492252676</v>
      </c>
      <c r="L50" s="358">
        <f>IF(売分析!K50&lt;&gt;"",売分析!K50,"")</f>
        <v>2030</v>
      </c>
      <c r="M50" s="230" t="str">
        <f>IF(売分析!P50&lt;&gt;"",売分析!P50,"")</f>
        <v>減少↓</v>
      </c>
      <c r="N50" s="360">
        <f>IF(売分析!O50&lt;&gt;"",売分析!O50,"")</f>
        <v>0.83947004028197381</v>
      </c>
      <c r="O50" s="362">
        <f>IF(売分析!X50&lt;&gt;"",売分析!X50,"")</f>
        <v>38.972989862243139</v>
      </c>
      <c r="P50" s="359">
        <f>IF(売分析!L50&lt;&gt;"",売分析!L50,"")</f>
        <v>-19.704433497536947</v>
      </c>
      <c r="Q50" s="358">
        <f>IF(売分析!S50&lt;&gt;"",売分析!S50,"")</f>
        <v>1695</v>
      </c>
      <c r="R50" s="358">
        <f>IF(売分析!R50&lt;&gt;"",売分析!R50,"")</f>
        <v>1500</v>
      </c>
      <c r="S50" s="230" t="str">
        <f>IF(売分析!AA50&lt;&gt;"",売分析!AA50,"")</f>
        <v>上昇▲</v>
      </c>
      <c r="T50" s="363">
        <f>IF(売分析!Z50&lt;&gt;"",売分析!Z50,"")</f>
        <v>4.7557840616966578</v>
      </c>
      <c r="U50" s="230" t="str">
        <f>IF(売分析!V50&lt;&gt;"",売分析!V50,"")</f>
        <v>通常</v>
      </c>
      <c r="V50" s="361">
        <f>IF(売分析!W50&lt;&gt;"",売分析!W50,"")</f>
        <v>57.620211898940504</v>
      </c>
      <c r="W50" s="230" t="str">
        <f>IF(売分析!AD50&lt;&gt;"",売分析!AD50,"")</f>
        <v>上昇トレンド▲</v>
      </c>
      <c r="X50" s="230" t="str">
        <f>IF(売分析!AE50&lt;&gt;"",売分析!AE50,"")</f>
        <v>なし</v>
      </c>
      <c r="Y50" s="428">
        <f>IF(売分析!T50&lt;&gt;"",売分析!T50,"")</f>
        <v>-2</v>
      </c>
      <c r="Z50" s="230" t="str">
        <f>IF(売分析!Y50&lt;&gt;"",売分析!Y50,"")</f>
        <v>相場上昇・見送り | 上昇トレンド▲ MACD+ RSI:57.6 前日比:+4.8%前日[長い下ヒゲ(反発)] [-2点]</v>
      </c>
    </row>
    <row r="51" spans="1:26">
      <c r="A51" s="350">
        <f>IF(売分析!C51&lt;&gt;"",ROW()-2,"")</f>
        <v>49</v>
      </c>
      <c r="B51" s="349" t="str">
        <f>IF(売分析!C51&lt;&gt;"",HYPERLINK("https://kabutan.jp/stock/?code="&amp;売分析!C51,"株探"),"")</f>
        <v>株探</v>
      </c>
      <c r="C51" s="365">
        <f>IF(売分析!C51&lt;&gt;"",売分析!C51,"")</f>
        <v>1961</v>
      </c>
      <c r="D51" s="350" t="str">
        <f>IF(売分析!D51&lt;&gt;"",売分析!D51,"")</f>
        <v>三機工業</v>
      </c>
      <c r="E51" s="351">
        <f>IF(売分析!E51&lt;&gt;"",売分析!E51,"")</f>
        <v>2700</v>
      </c>
      <c r="F51" s="351">
        <f>IF(売分析!F51&lt;&gt;"",売分析!F51,"")</f>
        <v>2650</v>
      </c>
      <c r="G51" s="351">
        <f>IF(売分析!H51&lt;&gt;"",売分析!H51,"")</f>
        <v>2700</v>
      </c>
      <c r="H51" s="351">
        <f>IF(売分析!I51&lt;&gt;"",売分析!I51,"")</f>
        <v>2639</v>
      </c>
      <c r="I51" s="350">
        <f>IF(売分析!J51&lt;&gt;"",売分析!J51,"")</f>
        <v>376500</v>
      </c>
      <c r="J51" s="351">
        <f>IF(売分析!AB51&lt;&gt;"",売分析!AB51,"")</f>
        <v>2586.4573732718891</v>
      </c>
      <c r="K51" s="351">
        <f>IF(売分析!AC51&lt;&gt;"",売分析!AC51,"")</f>
        <v>2404.0560190703213</v>
      </c>
      <c r="L51" s="351">
        <f>IF(売分析!K51&lt;&gt;"",売分析!K51,"")</f>
        <v>2730</v>
      </c>
      <c r="M51" s="350" t="str">
        <f>IF(売分析!P51&lt;&gt;"",売分析!P51,"")</f>
        <v>減少↓</v>
      </c>
      <c r="N51" s="353">
        <f>IF(売分析!O51&lt;&gt;"",売分析!O51,"")</f>
        <v>0.61279296875</v>
      </c>
      <c r="O51" s="355">
        <f>IF(売分析!X51&lt;&gt;"",売分析!X51,"")</f>
        <v>22.375142792320275</v>
      </c>
      <c r="P51" s="352">
        <f>IF(売分析!L51&lt;&gt;"",売分析!L51,"")</f>
        <v>-1.098901098901099</v>
      </c>
      <c r="Q51" s="351">
        <f>IF(売分析!S51&lt;&gt;"",売分析!S51,"")</f>
        <v>2808</v>
      </c>
      <c r="R51" s="351">
        <f>IF(売分析!R51&lt;&gt;"",売分析!R51,"")</f>
        <v>2484</v>
      </c>
      <c r="S51" s="350" t="str">
        <f>IF(売分析!AA51&lt;&gt;"",売分析!AA51,"")</f>
        <v>上昇▲</v>
      </c>
      <c r="T51" s="356">
        <f>IF(売分析!Z51&lt;&gt;"",売分析!Z51,"")</f>
        <v>4.2471042471042466</v>
      </c>
      <c r="U51" s="350" t="str">
        <f>IF(売分析!V51&lt;&gt;"",売分析!V51,"")</f>
        <v>通常</v>
      </c>
      <c r="V51" s="354">
        <f>IF(売分析!W51&lt;&gt;"",売分析!W51,"")</f>
        <v>76.556291390728475</v>
      </c>
      <c r="W51" s="350" t="str">
        <f>IF(売分析!AD51&lt;&gt;"",売分析!AD51,"")</f>
        <v>パーフェクト▲</v>
      </c>
      <c r="X51" s="350" t="str">
        <f>IF(売分析!AE51&lt;&gt;"",売分析!AE51,"")</f>
        <v>なし</v>
      </c>
      <c r="Y51" s="427">
        <f>IF(売分析!T51&lt;&gt;"",売分析!T51,"")</f>
        <v>2</v>
      </c>
      <c r="Z51" s="350" t="str">
        <f>IF(売分析!Y51&lt;&gt;"",売分析!Y51,"")</f>
        <v>△過熱・様子見 | パーフェクト▲ MACD+ RSI:76.6 [過熱] 前日比:+4.2% [2点]</v>
      </c>
    </row>
    <row r="52" spans="1:26">
      <c r="A52" s="230">
        <f>IF(売分析!C52&lt;&gt;"",ROW()-2,"")</f>
        <v>50</v>
      </c>
      <c r="B52" s="357" t="str">
        <f>IF(売分析!C52&lt;&gt;"",HYPERLINK("https://kabutan.jp/stock/?code="&amp;売分析!C52,"株探"),"")</f>
        <v>株探</v>
      </c>
      <c r="C52" s="366">
        <f>IF(売分析!C52&lt;&gt;"",売分析!C52,"")</f>
        <v>5857</v>
      </c>
      <c r="D52" s="230" t="str">
        <f>IF(売分析!D52&lt;&gt;"",売分析!D52,"")</f>
        <v>ＡＲＥホールディングス</v>
      </c>
      <c r="E52" s="358">
        <f>IF(売分析!E52&lt;&gt;"",売分析!E52,"")</f>
        <v>3305</v>
      </c>
      <c r="F52" s="358">
        <f>IF(売分析!F52&lt;&gt;"",売分析!F52,"")</f>
        <v>3205</v>
      </c>
      <c r="G52" s="358">
        <f>IF(売分析!H52&lt;&gt;"",売分析!H52,"")</f>
        <v>3320</v>
      </c>
      <c r="H52" s="358">
        <f>IF(売分析!I52&lt;&gt;"",売分析!I52,"")</f>
        <v>3190</v>
      </c>
      <c r="I52" s="230">
        <f>IF(売分析!J52&lt;&gt;"",売分析!J52,"")</f>
        <v>574600</v>
      </c>
      <c r="J52" s="358">
        <f>IF(売分析!AB52&lt;&gt;"",売分析!AB52,"")</f>
        <v>3168.3133640552992</v>
      </c>
      <c r="K52" s="358">
        <f>IF(売分析!AC52&lt;&gt;"",売分析!AC52,"")</f>
        <v>3278.20023837902</v>
      </c>
      <c r="L52" s="358">
        <f>IF(売分析!K52&lt;&gt;"",売分析!K52,"")</f>
        <v>4720</v>
      </c>
      <c r="M52" s="230" t="str">
        <f>IF(売分析!P52&lt;&gt;"",売分析!P52,"")</f>
        <v>減少↓</v>
      </c>
      <c r="N52" s="360">
        <f>IF(売分析!O52&lt;&gt;"",売分析!O52,"")</f>
        <v>0.92328952019796251</v>
      </c>
      <c r="O52" s="362">
        <f>IF(売分析!X52&lt;&gt;"",売分析!X52,"")</f>
        <v>-62.935431999013417</v>
      </c>
      <c r="P52" s="359">
        <f>IF(売分析!L52&lt;&gt;"",売分析!L52,"")</f>
        <v>-29.978813559322031</v>
      </c>
      <c r="Q52" s="358">
        <f>IF(売分析!S52&lt;&gt;"",売分析!S52,"")</f>
        <v>3437</v>
      </c>
      <c r="R52" s="358">
        <f>IF(売分析!R52&lt;&gt;"",売分析!R52,"")</f>
        <v>3041</v>
      </c>
      <c r="S52" s="230" t="str">
        <f>IF(売分析!AA52&lt;&gt;"",売分析!AA52,"")</f>
        <v>上昇▲</v>
      </c>
      <c r="T52" s="363">
        <f>IF(売分析!Z52&lt;&gt;"",売分析!Z52,"")</f>
        <v>3.9308176100628929</v>
      </c>
      <c r="U52" s="230" t="str">
        <f>IF(売分析!V52&lt;&gt;"",売分析!V52,"")</f>
        <v>安値圏</v>
      </c>
      <c r="V52" s="361">
        <f>IF(売分析!W52&lt;&gt;"",売分析!W52,"")</f>
        <v>37.043330501274426</v>
      </c>
      <c r="W52" s="230" t="str">
        <f>IF(売分析!AD52&lt;&gt;"",売分析!AD52,"")</f>
        <v>上昇トレンド▲</v>
      </c>
      <c r="X52" s="230" t="str">
        <f>IF(売分析!AE52&lt;&gt;"",売分析!AE52,"")</f>
        <v>なし</v>
      </c>
      <c r="Y52" s="428">
        <f>IF(売分析!T52&lt;&gt;"",売分析!T52,"")</f>
        <v>8</v>
      </c>
      <c r="Z52" s="230" t="str">
        <f>IF(売分析!Y52&lt;&gt;"",売分析!Y52,"")</f>
        <v>相場上昇・見送り | 上昇トレンド▲ MACD- RSI:37.0 前日比:+3.9% [安値圏] [8点]</v>
      </c>
    </row>
    <row r="53" spans="1:26">
      <c r="A53" s="350">
        <f>IF(売分析!C53&lt;&gt;"",ROW()-2,"")</f>
        <v>51</v>
      </c>
      <c r="B53" s="349" t="str">
        <f>IF(売分析!C53&lt;&gt;"",HYPERLINK("https://kabutan.jp/stock/?code="&amp;売分析!C53,"株探"),"")</f>
        <v>株探</v>
      </c>
      <c r="C53" s="365">
        <f>IF(売分析!C53&lt;&gt;"",売分析!C53,"")</f>
        <v>9984</v>
      </c>
      <c r="D53" s="350" t="str">
        <f>IF(売分析!D53&lt;&gt;"",売分析!D53,"")</f>
        <v>ソフトバンクグループ</v>
      </c>
      <c r="E53" s="351">
        <f>IF(売分析!E53&lt;&gt;"",売分析!E53,"")</f>
        <v>6880</v>
      </c>
      <c r="F53" s="351">
        <f>IF(売分析!F53&lt;&gt;"",売分析!F53,"")</f>
        <v>6920</v>
      </c>
      <c r="G53" s="351">
        <f>IF(売分析!H53&lt;&gt;"",売分析!H53,"")</f>
        <v>6948</v>
      </c>
      <c r="H53" s="351">
        <f>IF(売分析!I53&lt;&gt;"",売分析!I53,"")</f>
        <v>6730</v>
      </c>
      <c r="I53" s="350">
        <f>IF(売分析!J53&lt;&gt;"",売分析!J53,"")</f>
        <v>48833800</v>
      </c>
      <c r="J53" s="351">
        <f>IF(売分析!AB53&lt;&gt;"",売分析!AB53,"")</f>
        <v>6777.6405529953909</v>
      </c>
      <c r="K53" s="351">
        <f>IF(売分析!AC53&lt;&gt;"",売分析!AC53,"")</f>
        <v>6929.0595947556612</v>
      </c>
      <c r="L53" s="351">
        <f>IF(売分析!K53&lt;&gt;"",売分析!K53,"")</f>
        <v>9074</v>
      </c>
      <c r="M53" s="350" t="str">
        <f>IF(売分析!P53&lt;&gt;"",売分析!P53,"")</f>
        <v>減少↓</v>
      </c>
      <c r="N53" s="353">
        <f>IF(売分析!O53&lt;&gt;"",売分析!O53,"")</f>
        <v>0.77118509434003979</v>
      </c>
      <c r="O53" s="355">
        <f>IF(売分析!X53&lt;&gt;"",売分析!X53,"")</f>
        <v>95.504891756456345</v>
      </c>
      <c r="P53" s="352">
        <f>IF(売分析!L53&lt;&gt;"",売分析!L53,"")</f>
        <v>-24.178972889574609</v>
      </c>
      <c r="Q53" s="351">
        <f>IF(売分析!S53&lt;&gt;"",売分析!S53,"")</f>
        <v>7155</v>
      </c>
      <c r="R53" s="351">
        <f>IF(売分析!R53&lt;&gt;"",売分析!R53,"")</f>
        <v>6330</v>
      </c>
      <c r="S53" s="350" t="str">
        <f>IF(売分析!AA53&lt;&gt;"",売分析!AA53,"")</f>
        <v>下落▼</v>
      </c>
      <c r="T53" s="356">
        <f>IF(売分析!Z53&lt;&gt;"",売分析!Z53,"")</f>
        <v>-3.1258800337932975</v>
      </c>
      <c r="U53" s="350" t="str">
        <f>IF(売分析!V53&lt;&gt;"",売分析!V53,"")</f>
        <v>安値圏</v>
      </c>
      <c r="V53" s="354">
        <f>IF(売分析!W53&lt;&gt;"",売分析!W53,"")</f>
        <v>50.323886639676118</v>
      </c>
      <c r="W53" s="350" t="str">
        <f>IF(売分析!AD53&lt;&gt;"",売分析!AD53,"")</f>
        <v>もみ合い→</v>
      </c>
      <c r="X53" s="350" t="str">
        <f>IF(売分析!AE53&lt;&gt;"",売分析!AE53,"")</f>
        <v>25日戻り売り★</v>
      </c>
      <c r="Y53" s="427">
        <f>IF(売分析!T53&lt;&gt;"",売分析!T53,"")</f>
        <v>2</v>
      </c>
      <c r="Z53" s="350" t="str">
        <f>IF(売分析!Y53&lt;&gt;"",売分析!Y53,"")</f>
        <v>○逆張り売り | もみ合い→ 25日戻り売り★ MACD+ RSI:50.3 前日比:-3.1% [安値圏] [長い下ヒゲ(反発警戒)]前日[長い下ヒゲ(反発)] [2点]</v>
      </c>
    </row>
    <row r="54" spans="1:26">
      <c r="A54" s="230">
        <f>IF(売分析!C54&lt;&gt;"",ROW()-2,"")</f>
        <v>52</v>
      </c>
      <c r="B54" s="357" t="str">
        <f>IF(売分析!C54&lt;&gt;"",HYPERLINK("https://kabutan.jp/stock/?code="&amp;売分析!C54,"株探"),"")</f>
        <v>株探</v>
      </c>
      <c r="C54" s="366">
        <f>IF(売分析!C54&lt;&gt;"",売分析!C54,"")</f>
        <v>3854</v>
      </c>
      <c r="D54" s="230" t="str">
        <f>IF(売分析!D54&lt;&gt;"",売分析!D54,"")</f>
        <v>アイル</v>
      </c>
      <c r="E54" s="358">
        <f>IF(売分析!E54&lt;&gt;"",売分析!E54,"")</f>
        <v>2190</v>
      </c>
      <c r="F54" s="358">
        <f>IF(売分析!F54&lt;&gt;"",売分析!F54,"")</f>
        <v>2170</v>
      </c>
      <c r="G54" s="358">
        <f>IF(売分析!H54&lt;&gt;"",売分析!H54,"")</f>
        <v>2206</v>
      </c>
      <c r="H54" s="358">
        <f>IF(売分析!I54&lt;&gt;"",売分析!I54,"")</f>
        <v>2159</v>
      </c>
      <c r="I54" s="230">
        <f>IF(売分析!J54&lt;&gt;"",売分析!J54,"")</f>
        <v>125700</v>
      </c>
      <c r="J54" s="358">
        <f>IF(売分析!AB54&lt;&gt;"",売分析!AB54,"")</f>
        <v>2227.7626728110595</v>
      </c>
      <c r="K54" s="358">
        <f>IF(売分析!AC54&lt;&gt;"",売分析!AC54,"")</f>
        <v>2407.5220500595942</v>
      </c>
      <c r="L54" s="358">
        <f>IF(売分析!K54&lt;&gt;"",売分析!K54,"")</f>
        <v>2653</v>
      </c>
      <c r="M54" s="230" t="str">
        <f>IF(売分析!P54&lt;&gt;"",売分析!P54,"")</f>
        <v>普通→</v>
      </c>
      <c r="N54" s="360">
        <f>IF(売分析!O54&lt;&gt;"",売分析!O54,"")</f>
        <v>1.1418968023255813</v>
      </c>
      <c r="O54" s="362">
        <f>IF(売分析!X54&lt;&gt;"",売分析!X54,"")</f>
        <v>-26.050290758997562</v>
      </c>
      <c r="P54" s="359">
        <f>IF(売分析!L54&lt;&gt;"",売分析!L54,"")</f>
        <v>-17.451941198643045</v>
      </c>
      <c r="Q54" s="358">
        <f>IF(売分析!S54&lt;&gt;"",売分析!S54,"")</f>
        <v>2278</v>
      </c>
      <c r="R54" s="358">
        <f>IF(売分析!R54&lt;&gt;"",売分析!R54,"")</f>
        <v>2015</v>
      </c>
      <c r="S54" s="230" t="str">
        <f>IF(売分析!AA54&lt;&gt;"",売分析!AA54,"")</f>
        <v>上昇▲</v>
      </c>
      <c r="T54" s="363">
        <f>IF(売分析!Z54&lt;&gt;"",売分析!Z54,"")</f>
        <v>0.36663611365719523</v>
      </c>
      <c r="U54" s="230" t="str">
        <f>IF(売分析!V54&lt;&gt;"",売分析!V54,"")</f>
        <v>通常</v>
      </c>
      <c r="V54" s="361">
        <f>IF(売分析!W54&lt;&gt;"",売分析!W54,"")</f>
        <v>22.72</v>
      </c>
      <c r="W54" s="230" t="str">
        <f>IF(売分析!AD54&lt;&gt;"",売分析!AD54,"")</f>
        <v>下降トレンド▼</v>
      </c>
      <c r="X54" s="230" t="str">
        <f>IF(売分析!AE54&lt;&gt;"",売分析!AE54,"")</f>
        <v>なし</v>
      </c>
      <c r="Y54" s="428">
        <f>IF(売分析!T54&lt;&gt;"",売分析!T54,"")</f>
        <v>9</v>
      </c>
      <c r="Z54" s="230" t="str">
        <f>IF(売分析!Y54&lt;&gt;"",売分析!Y54,"")</f>
        <v>相場上昇・見送り | 下降トレンド▼ MACD- RSI:22.7 [売られ過ぎ] 前日比:+0.4% [9点]</v>
      </c>
    </row>
    <row r="55" spans="1:26">
      <c r="A55" s="350">
        <f>IF(売分析!C55&lt;&gt;"",ROW()-2,"")</f>
        <v>53</v>
      </c>
      <c r="B55" s="349" t="str">
        <f>IF(売分析!C55&lt;&gt;"",HYPERLINK("https://kabutan.jp/stock/?code="&amp;売分析!C55,"株探"),"")</f>
        <v>株探</v>
      </c>
      <c r="C55" s="365">
        <f>IF(売分析!C55&lt;&gt;"",売分析!C55,"")</f>
        <v>7806</v>
      </c>
      <c r="D55" s="350" t="str">
        <f>IF(売分析!D55&lt;&gt;"",売分析!D55,"")</f>
        <v>ＭＴＧ</v>
      </c>
      <c r="E55" s="351">
        <f>IF(売分析!E55&lt;&gt;"",売分析!E55,"")</f>
        <v>7310</v>
      </c>
      <c r="F55" s="351">
        <f>IF(売分析!F55&lt;&gt;"",売分析!F55,"")</f>
        <v>7260</v>
      </c>
      <c r="G55" s="351">
        <f>IF(売分析!H55&lt;&gt;"",売分析!H55,"")</f>
        <v>7410</v>
      </c>
      <c r="H55" s="351">
        <f>IF(売分析!I55&lt;&gt;"",売分析!I55,"")</f>
        <v>7150</v>
      </c>
      <c r="I55" s="350">
        <f>IF(売分析!J55&lt;&gt;"",売分析!J55,"")</f>
        <v>101100</v>
      </c>
      <c r="J55" s="351">
        <f>IF(売分析!AB55&lt;&gt;"",売分析!AB55,"")</f>
        <v>7213.1451612903211</v>
      </c>
      <c r="K55" s="351">
        <f>IF(売分析!AC55&lt;&gt;"",売分析!AC55,"")</f>
        <v>6976.9129916567308</v>
      </c>
      <c r="L55" s="351">
        <f>IF(売分析!K55&lt;&gt;"",売分析!K55,"")</f>
        <v>7600</v>
      </c>
      <c r="M55" s="350" t="str">
        <f>IF(売分析!P55&lt;&gt;"",売分析!P55,"")</f>
        <v>普通→</v>
      </c>
      <c r="N55" s="353">
        <f>IF(売分析!O55&lt;&gt;"",売分析!O55,"")</f>
        <v>1.1158940397350994</v>
      </c>
      <c r="O55" s="355">
        <f>IF(売分析!X55&lt;&gt;"",売分析!X55,"")</f>
        <v>66.941736752655743</v>
      </c>
      <c r="P55" s="352">
        <f>IF(売分析!L55&lt;&gt;"",売分析!L55,"")</f>
        <v>-3.8157894736842106</v>
      </c>
      <c r="Q55" s="351">
        <f>IF(売分析!S55&lt;&gt;"",売分析!S55,"")</f>
        <v>7602</v>
      </c>
      <c r="R55" s="351">
        <f>IF(売分析!R55&lt;&gt;"",売分析!R55,"")</f>
        <v>6725</v>
      </c>
      <c r="S55" s="350" t="str">
        <f>IF(売分析!AA55&lt;&gt;"",売分析!AA55,"")</f>
        <v>上昇▲</v>
      </c>
      <c r="T55" s="356">
        <f>IF(売分析!Z55&lt;&gt;"",売分析!Z55,"")</f>
        <v>0.68870523415977969</v>
      </c>
      <c r="U55" s="350" t="str">
        <f>IF(売分析!V55&lt;&gt;"",売分析!V55,"")</f>
        <v>通常</v>
      </c>
      <c r="V55" s="354">
        <f>IF(売分析!W55&lt;&gt;"",売分析!W55,"")</f>
        <v>63.141993957703924</v>
      </c>
      <c r="W55" s="350" t="str">
        <f>IF(売分析!AD55&lt;&gt;"",売分析!AD55,"")</f>
        <v>パーフェクト▲</v>
      </c>
      <c r="X55" s="350" t="str">
        <f>IF(売分析!AE55&lt;&gt;"",売分析!AE55,"")</f>
        <v>なし</v>
      </c>
      <c r="Y55" s="427">
        <f>IF(売分析!T55&lt;&gt;"",売分析!T55,"")</f>
        <v>3</v>
      </c>
      <c r="Z55" s="350" t="str">
        <f>IF(売分析!Y55&lt;&gt;"",売分析!Y55,"")</f>
        <v>相場上昇・見送り | パーフェクト▲ MACD+ RSI:63.1 前日比:+0.7% [3点]</v>
      </c>
    </row>
    <row r="56" spans="1:26">
      <c r="A56" s="230">
        <f>IF(売分析!C56&lt;&gt;"",ROW()-2,"")</f>
        <v>54</v>
      </c>
      <c r="B56" s="357" t="str">
        <f>IF(売分析!C56&lt;&gt;"",HYPERLINK("https://kabutan.jp/stock/?code="&amp;売分析!C56,"株探"),"")</f>
        <v>株探</v>
      </c>
      <c r="C56" s="366">
        <f>IF(売分析!C56&lt;&gt;"",売分析!C56,"")</f>
        <v>4062</v>
      </c>
      <c r="D56" s="230" t="str">
        <f>IF(売分析!D56&lt;&gt;"",売分析!D56,"")</f>
        <v>イビデン</v>
      </c>
      <c r="E56" s="358">
        <f>IF(売分析!E56&lt;&gt;"",売分析!E56,"")</f>
        <v>24000</v>
      </c>
      <c r="F56" s="358">
        <f>IF(売分析!F56&lt;&gt;"",売分析!F56,"")</f>
        <v>21945</v>
      </c>
      <c r="G56" s="358">
        <f>IF(売分析!H56&lt;&gt;"",売分析!H56,"")</f>
        <v>24080</v>
      </c>
      <c r="H56" s="358">
        <f>IF(売分析!I56&lt;&gt;"",売分析!I56,"")</f>
        <v>21860</v>
      </c>
      <c r="I56" s="230">
        <f>IF(売分析!J56&lt;&gt;"",売分析!J56,"")</f>
        <v>9058100</v>
      </c>
      <c r="J56" s="358">
        <f>IF(売分析!AB56&lt;&gt;"",売分析!AB56,"")</f>
        <v>21605.437788018437</v>
      </c>
      <c r="K56" s="358">
        <f>IF(売分析!AC56&lt;&gt;"",売分析!AC56,"")</f>
        <v>19716.889153754459</v>
      </c>
      <c r="L56" s="358">
        <f>IF(売分析!K56&lt;&gt;"",売分析!K56,"")</f>
        <v>23640</v>
      </c>
      <c r="M56" s="230" t="str">
        <f>IF(売分析!P56&lt;&gt;"",売分析!P56,"")</f>
        <v>普通→</v>
      </c>
      <c r="N56" s="360">
        <f>IF(売分析!O56&lt;&gt;"",売分析!O56,"")</f>
        <v>1.0175971132825401</v>
      </c>
      <c r="O56" s="362">
        <f>IF(売分析!X56&lt;&gt;"",売分析!X56,"")</f>
        <v>391.52667380463754</v>
      </c>
      <c r="P56" s="359">
        <f>IF(売分析!L56&lt;&gt;"",売分析!L56,"")</f>
        <v>1.5228426395939088</v>
      </c>
      <c r="Q56" s="358">
        <f>IF(売分析!S56&lt;&gt;"",売分析!S56,"")</f>
        <v>24960</v>
      </c>
      <c r="R56" s="358">
        <f>IF(売分析!R56&lt;&gt;"",売分析!R56,"")</f>
        <v>22080</v>
      </c>
      <c r="S56" s="230" t="str">
        <f>IF(売分析!AA56&lt;&gt;"",売分析!AA56,"")</f>
        <v>上昇▲</v>
      </c>
      <c r="T56" s="363">
        <f>IF(売分析!Z56&lt;&gt;"",売分析!Z56,"")</f>
        <v>6.9280463354867452</v>
      </c>
      <c r="U56" s="230" t="str">
        <f>IF(売分析!V56&lt;&gt;"",売分析!V56,"")</f>
        <v>通常</v>
      </c>
      <c r="V56" s="361">
        <f>IF(売分析!W56&lt;&gt;"",売分析!W56,"")</f>
        <v>54.357204486626408</v>
      </c>
      <c r="W56" s="230" t="str">
        <f>IF(売分析!AD56&lt;&gt;"",売分析!AD56,"")</f>
        <v>パーフェクト▲</v>
      </c>
      <c r="X56" s="230" t="str">
        <f>IF(売分析!AE56&lt;&gt;"",売分析!AE56,"")</f>
        <v>なし</v>
      </c>
      <c r="Y56" s="428">
        <f>IF(売分析!T56&lt;&gt;"",売分析!T56,"")</f>
        <v>-1</v>
      </c>
      <c r="Z56" s="230" t="str">
        <f>IF(売分析!Y56&lt;&gt;"",売分析!Y56,"")</f>
        <v>相場上昇・見送り | パーフェクト▲ MACD+ RSI:54.4 前日比:+6.9% [-1点]</v>
      </c>
    </row>
    <row r="57" spans="1:26">
      <c r="A57" s="350">
        <f>IF(売分析!C57&lt;&gt;"",ROW()-2,"")</f>
        <v>55</v>
      </c>
      <c r="B57" s="349" t="str">
        <f>IF(売分析!C57&lt;&gt;"",HYPERLINK("https://kabutan.jp/stock/?code="&amp;売分析!C57,"株探"),"")</f>
        <v>株探</v>
      </c>
      <c r="C57" s="365">
        <f>IF(売分析!C57&lt;&gt;"",売分析!C57,"")</f>
        <v>5802</v>
      </c>
      <c r="D57" s="350" t="str">
        <f>IF(売分析!D57&lt;&gt;"",売分析!D57,"")</f>
        <v>住友電工</v>
      </c>
      <c r="E57" s="351">
        <f>IF(売分析!E57&lt;&gt;"",売分析!E57,"")</f>
        <v>12300</v>
      </c>
      <c r="F57" s="351">
        <f>IF(売分析!F57&lt;&gt;"",売分析!F57,"")</f>
        <v>12000</v>
      </c>
      <c r="G57" s="351">
        <f>IF(売分析!H57&lt;&gt;"",売分析!H57,"")</f>
        <v>12415</v>
      </c>
      <c r="H57" s="351">
        <f>IF(売分析!I57&lt;&gt;"",売分析!I57,"")</f>
        <v>11935</v>
      </c>
      <c r="I57" s="350">
        <f>IF(売分析!J57&lt;&gt;"",売分析!J57,"")</f>
        <v>4673200</v>
      </c>
      <c r="J57" s="351">
        <f>IF(売分析!AB57&lt;&gt;"",売分析!AB57,"")</f>
        <v>11717.546082949308</v>
      </c>
      <c r="K57" s="351">
        <f>IF(売分析!AC57&lt;&gt;"",売分析!AC57,"")</f>
        <v>11989.213349225263</v>
      </c>
      <c r="L57" s="351">
        <f>IF(売分析!K57&lt;&gt;"",売分析!K57,"")</f>
        <v>14850</v>
      </c>
      <c r="M57" s="350" t="str">
        <f>IF(売分析!P57&lt;&gt;"",売分析!P57,"")</f>
        <v>減少↓</v>
      </c>
      <c r="N57" s="353">
        <f>IF(売分析!O57&lt;&gt;"",売分析!O57,"")</f>
        <v>0.61953308321512379</v>
      </c>
      <c r="O57" s="355">
        <f>IF(売分析!X57&lt;&gt;"",売分析!X57,"")</f>
        <v>52.66669386520698</v>
      </c>
      <c r="P57" s="352">
        <f>IF(売分析!L57&lt;&gt;"",売分析!L57,"")</f>
        <v>-17.171717171717169</v>
      </c>
      <c r="Q57" s="351">
        <f>IF(売分析!S57&lt;&gt;"",売分析!S57,"")</f>
        <v>12792</v>
      </c>
      <c r="R57" s="351">
        <f>IF(売分析!R57&lt;&gt;"",売分析!R57,"")</f>
        <v>11316</v>
      </c>
      <c r="S57" s="350" t="str">
        <f>IF(売分析!AA57&lt;&gt;"",売分析!AA57,"")</f>
        <v>下落▼</v>
      </c>
      <c r="T57" s="356">
        <f>IF(売分析!Z57&lt;&gt;"",売分析!Z57,"")</f>
        <v>-0.16233766233766234</v>
      </c>
      <c r="U57" s="350" t="str">
        <f>IF(売分析!V57&lt;&gt;"",売分析!V57,"")</f>
        <v>通常</v>
      </c>
      <c r="V57" s="354">
        <f>IF(売分析!W57&lt;&gt;"",売分析!W57,"")</f>
        <v>50.326022525192656</v>
      </c>
      <c r="W57" s="350" t="str">
        <f>IF(売分析!AD57&lt;&gt;"",売分析!AD57,"")</f>
        <v>上昇トレンド▲</v>
      </c>
      <c r="X57" s="350" t="str">
        <f>IF(売分析!AE57&lt;&gt;"",売分析!AE57,"")</f>
        <v>なし</v>
      </c>
      <c r="Y57" s="427">
        <f>IF(売分析!T57&lt;&gt;"",売分析!T57,"")</f>
        <v>4</v>
      </c>
      <c r="Z57" s="350" t="str">
        <f>IF(売分析!Y57&lt;&gt;"",売分析!Y57,"")</f>
        <v>相場上昇・見送り | 上昇トレンド▲ MACD+ RSI:50.3 前日比:-0.2% [4点]</v>
      </c>
    </row>
    <row r="58" spans="1:26">
      <c r="A58" s="230">
        <f>IF(売分析!C58&lt;&gt;"",ROW()-2,"")</f>
        <v>56</v>
      </c>
      <c r="B58" s="357" t="str">
        <f>IF(売分析!C58&lt;&gt;"",HYPERLINK("https://kabutan.jp/stock/?code="&amp;売分析!C58,"株探"),"")</f>
        <v>株探</v>
      </c>
      <c r="C58" s="366">
        <f>IF(売分析!C58&lt;&gt;"",売分析!C58,"")</f>
        <v>5803</v>
      </c>
      <c r="D58" s="230" t="str">
        <f>IF(売分析!D58&lt;&gt;"",売分析!D58,"")</f>
        <v>フジクラ</v>
      </c>
      <c r="E58" s="358">
        <f>IF(売分析!E58&lt;&gt;"",売分析!E58,"")</f>
        <v>4729</v>
      </c>
      <c r="F58" s="358">
        <f>IF(売分析!F58&lt;&gt;"",売分析!F58,"")</f>
        <v>4600</v>
      </c>
      <c r="G58" s="358">
        <f>IF(売分析!H58&lt;&gt;"",売分析!H58,"")</f>
        <v>4763</v>
      </c>
      <c r="H58" s="358">
        <f>IF(売分析!I58&lt;&gt;"",売分析!I58,"")</f>
        <v>4562</v>
      </c>
      <c r="I58" s="230">
        <f>IF(売分析!J58&lt;&gt;"",売分析!J58,"")</f>
        <v>35504300</v>
      </c>
      <c r="J58" s="358">
        <f>IF(売分析!AB58&lt;&gt;"",売分析!AB58,"")</f>
        <v>4543.0218894009213</v>
      </c>
      <c r="K58" s="358">
        <f>IF(売分析!AC58&lt;&gt;"",売分析!AC58,"")</f>
        <v>4808.8379022645977</v>
      </c>
      <c r="L58" s="358">
        <f>IF(売分析!K58&lt;&gt;"",売分析!K58,"")</f>
        <v>7933</v>
      </c>
      <c r="M58" s="230" t="str">
        <f>IF(売分析!P58&lt;&gt;"",売分析!P58,"")</f>
        <v>減少↓</v>
      </c>
      <c r="N58" s="360">
        <f>IF(売分析!O58&lt;&gt;"",売分析!O58,"")</f>
        <v>0.69639460353662852</v>
      </c>
      <c r="O58" s="362">
        <f>IF(売分析!X58&lt;&gt;"",売分析!X58,"")</f>
        <v>-129.06635713404194</v>
      </c>
      <c r="P58" s="359">
        <f>IF(売分析!L58&lt;&gt;"",売分析!L58,"")</f>
        <v>-40.388251607210385</v>
      </c>
      <c r="Q58" s="358">
        <f>IF(売分析!S58&lt;&gt;"",売分析!S58,"")</f>
        <v>4918</v>
      </c>
      <c r="R58" s="358">
        <f>IF(売分析!R58&lt;&gt;"",売分析!R58,"")</f>
        <v>4351</v>
      </c>
      <c r="S58" s="230" t="str">
        <f>IF(売分析!AA58&lt;&gt;"",売分析!AA58,"")</f>
        <v>下落▼</v>
      </c>
      <c r="T58" s="363">
        <f>IF(売分析!Z58&lt;&gt;"",売分析!Z58,"")</f>
        <v>-0.18995356690586745</v>
      </c>
      <c r="U58" s="230" t="str">
        <f>IF(売分析!V58&lt;&gt;"",売分析!V58,"")</f>
        <v>年初来安値圏●</v>
      </c>
      <c r="V58" s="361">
        <f>IF(売分析!W58&lt;&gt;"",売分析!W58,"")</f>
        <v>35.794261721483565</v>
      </c>
      <c r="W58" s="230" t="str">
        <f>IF(売分析!AD58&lt;&gt;"",売分析!AD58,"")</f>
        <v>もみ合い→</v>
      </c>
      <c r="X58" s="230" t="str">
        <f>IF(売分析!AE58&lt;&gt;"",売分析!AE58,"")</f>
        <v>25日戻り売り★</v>
      </c>
      <c r="Y58" s="428">
        <f>IF(売分析!T58&lt;&gt;"",売分析!T58,"")</f>
        <v>14</v>
      </c>
      <c r="Z58" s="230" t="str">
        <f>IF(売分析!Y58&lt;&gt;"",売分析!Y58,"")</f>
        <v>○逆張り売り | もみ合い→ 25日戻り売り★ MACD- RSI:35.8 前日比:-0.2% [年初来安値圏] [14点]</v>
      </c>
    </row>
    <row r="59" spans="1:26">
      <c r="A59" s="350">
        <f>IF(売分析!C59&lt;&gt;"",ROW()-2,"")</f>
        <v>57</v>
      </c>
      <c r="B59" s="349" t="str">
        <f>IF(売分析!C59&lt;&gt;"",HYPERLINK("https://kabutan.jp/stock/?code="&amp;売分析!C59,"株探"),"")</f>
        <v>株探</v>
      </c>
      <c r="C59" s="365">
        <f>IF(売分析!C59&lt;&gt;"",売分析!C59,"")</f>
        <v>6178</v>
      </c>
      <c r="D59" s="350" t="str">
        <f>IF(売分析!D59&lt;&gt;"",売分析!D59,"")</f>
        <v>日本郵政</v>
      </c>
      <c r="E59" s="351">
        <f>IF(売分析!E59&lt;&gt;"",売分析!E59,"")</f>
        <v>2196.5</v>
      </c>
      <c r="F59" s="351">
        <f>IF(売分析!F59&lt;&gt;"",売分析!F59,"")</f>
        <v>2272</v>
      </c>
      <c r="G59" s="351">
        <f>IF(売分析!H59&lt;&gt;"",売分析!H59,"")</f>
        <v>2279.5</v>
      </c>
      <c r="H59" s="351">
        <f>IF(売分析!I59&lt;&gt;"",売分析!I59,"")</f>
        <v>2196.5</v>
      </c>
      <c r="I59" s="350">
        <f>IF(売分析!J59&lt;&gt;"",売分析!J59,"")</f>
        <v>5707300</v>
      </c>
      <c r="J59" s="351">
        <f>IF(売分析!AB59&lt;&gt;"",売分析!AB59,"")</f>
        <v>2243.9130184331793</v>
      </c>
      <c r="K59" s="351">
        <f>IF(売分析!AC59&lt;&gt;"",売分析!AC59,"")</f>
        <v>2155.8849821215731</v>
      </c>
      <c r="L59" s="351">
        <f>IF(売分析!K59&lt;&gt;"",売分析!K59,"")</f>
        <v>2361</v>
      </c>
      <c r="M59" s="350" t="str">
        <f>IF(売分析!P59&lt;&gt;"",売分析!P59,"")</f>
        <v>減少↓</v>
      </c>
      <c r="N59" s="353">
        <f>IF(売分析!O59&lt;&gt;"",売分析!O59,"")</f>
        <v>0.81963046044525123</v>
      </c>
      <c r="O59" s="355">
        <f>IF(売分析!X59&lt;&gt;"",売分析!X59,"")</f>
        <v>26.38005644028226</v>
      </c>
      <c r="P59" s="352">
        <f>IF(売分析!L59&lt;&gt;"",売分析!L59,"")</f>
        <v>-6.9673867005506134</v>
      </c>
      <c r="Q59" s="351">
        <f>IF(売分析!S59&lt;&gt;"",売分析!S59,"")</f>
        <v>2284</v>
      </c>
      <c r="R59" s="351">
        <f>IF(売分析!R59&lt;&gt;"",売分析!R59,"")</f>
        <v>2021</v>
      </c>
      <c r="S59" s="350" t="str">
        <f>IF(売分析!AA59&lt;&gt;"",売分析!AA59,"")</f>
        <v>下落▼</v>
      </c>
      <c r="T59" s="356">
        <f>IF(売分析!Z59&lt;&gt;"",売分析!Z59,"")</f>
        <v>-3.0028703908147496</v>
      </c>
      <c r="U59" s="350" t="str">
        <f>IF(売分析!V59&lt;&gt;"",売分析!V59,"")</f>
        <v>通常</v>
      </c>
      <c r="V59" s="354">
        <f>IF(売分析!W59&lt;&gt;"",売分析!W59,"")</f>
        <v>71.17768595041322</v>
      </c>
      <c r="W59" s="350" t="str">
        <f>IF(売分析!AD59&lt;&gt;"",売分析!AD59,"")</f>
        <v>上昇トレンド▲</v>
      </c>
      <c r="X59" s="350" t="str">
        <f>IF(売分析!AE59&lt;&gt;"",売分析!AE59,"")</f>
        <v>なし</v>
      </c>
      <c r="Y59" s="427">
        <f>IF(売分析!T59&lt;&gt;"",売分析!T59,"")</f>
        <v>2</v>
      </c>
      <c r="Z59" s="350" t="str">
        <f>IF(売分析!Y59&lt;&gt;"",売分析!Y59,"")</f>
        <v>◎反落確認 | 上昇トレンド▲ MACD+ RSI:71.2 [過熱] 前日比:-3.0% [大陰線▼]前日[長い下ヒゲ(反発)] [2点]</v>
      </c>
    </row>
    <row r="60" spans="1:26">
      <c r="A60" s="230">
        <f>IF(売分析!C60&lt;&gt;"",ROW()-2,"")</f>
        <v>58</v>
      </c>
      <c r="B60" s="357" t="str">
        <f>IF(売分析!C60&lt;&gt;"",HYPERLINK("https://kabutan.jp/stock/?code="&amp;売分析!C60,"株探"),"")</f>
        <v>株探</v>
      </c>
      <c r="C60" s="366">
        <f>IF(売分析!C60&lt;&gt;"",売分析!C60,"")</f>
        <v>9069</v>
      </c>
      <c r="D60" s="230" t="str">
        <f>IF(売分析!D60&lt;&gt;"",売分析!D60,"")</f>
        <v>センコーグループＨＬＤＧＳ</v>
      </c>
      <c r="E60" s="358">
        <f>IF(売分析!E60&lt;&gt;"",売分析!E60,"")</f>
        <v>1907.5</v>
      </c>
      <c r="F60" s="358">
        <f>IF(売分析!F60&lt;&gt;"",売分析!F60,"")</f>
        <v>1940</v>
      </c>
      <c r="G60" s="358">
        <f>IF(売分析!H60&lt;&gt;"",売分析!H60,"")</f>
        <v>1952.5</v>
      </c>
      <c r="H60" s="358">
        <f>IF(売分析!I60&lt;&gt;"",売分析!I60,"")</f>
        <v>1898</v>
      </c>
      <c r="I60" s="230">
        <f>IF(売分析!J60&lt;&gt;"",売分析!J60,"")</f>
        <v>267400</v>
      </c>
      <c r="J60" s="358">
        <f>IF(売分析!AB60&lt;&gt;"",売分析!AB60,"")</f>
        <v>1924.2644009216588</v>
      </c>
      <c r="K60" s="358">
        <f>IF(売分析!AC60&lt;&gt;"",売分析!AC60,"")</f>
        <v>1931.87127532777</v>
      </c>
      <c r="L60" s="358">
        <f>IF(売分析!K60&lt;&gt;"",売分析!K60,"")</f>
        <v>2145</v>
      </c>
      <c r="M60" s="230" t="str">
        <f>IF(売分析!P60&lt;&gt;"",売分析!P60,"")</f>
        <v>減少↓</v>
      </c>
      <c r="N60" s="360">
        <f>IF(売分析!O60&lt;&gt;"",売分析!O60,"")</f>
        <v>0.81728712023962347</v>
      </c>
      <c r="O60" s="362">
        <f>IF(売分析!X60&lt;&gt;"",売分析!X60,"")</f>
        <v>-5.0297326450108812</v>
      </c>
      <c r="P60" s="359">
        <f>IF(売分析!L60&lt;&gt;"",売分析!L60,"")</f>
        <v>-11.072261072261073</v>
      </c>
      <c r="Q60" s="358">
        <f>IF(売分析!S60&lt;&gt;"",売分析!S60,"")</f>
        <v>1984</v>
      </c>
      <c r="R60" s="358">
        <f>IF(売分析!R60&lt;&gt;"",売分析!R60,"")</f>
        <v>1755</v>
      </c>
      <c r="S60" s="230" t="str">
        <f>IF(売分析!AA60&lt;&gt;"",売分析!AA60,"")</f>
        <v>下落▼</v>
      </c>
      <c r="T60" s="363">
        <f>IF(売分析!Z60&lt;&gt;"",売分析!Z60,"")</f>
        <v>-1.29366106080207</v>
      </c>
      <c r="U60" s="230" t="str">
        <f>IF(売分析!V60&lt;&gt;"",売分析!V60,"")</f>
        <v>通常</v>
      </c>
      <c r="V60" s="361">
        <f>IF(売分析!W60&lt;&gt;"",売分析!W60,"")</f>
        <v>49.299719887955185</v>
      </c>
      <c r="W60" s="230" t="str">
        <f>IF(売分析!AD60&lt;&gt;"",売分析!AD60,"")</f>
        <v>下降トレンド▼</v>
      </c>
      <c r="X60" s="230" t="str">
        <f>IF(売分析!AE60&lt;&gt;"",売分析!AE60,"")</f>
        <v>25日戻り売り★</v>
      </c>
      <c r="Y60" s="428">
        <f>IF(売分析!T60&lt;&gt;"",売分析!T60,"")</f>
        <v>13</v>
      </c>
      <c r="Z60" s="230" t="str">
        <f>IF(売分析!Y60&lt;&gt;"",売分析!Y60,"")</f>
        <v>★逆張り売り | 下降トレンド▼ 25日戻り売り★ MACD- RSI:49.3 前日比:-1.3%前日[大陰線▼] [13点]</v>
      </c>
    </row>
    <row r="61" spans="1:26">
      <c r="A61" s="350">
        <f>IF(売分析!C61&lt;&gt;"",ROW()-2,"")</f>
        <v>59</v>
      </c>
      <c r="B61" s="349" t="str">
        <f>IF(売分析!C61&lt;&gt;"",HYPERLINK("https://kabutan.jp/stock/?code="&amp;売分析!C61,"株探"),"")</f>
        <v>株探</v>
      </c>
      <c r="C61" s="365">
        <f>IF(売分析!C61&lt;&gt;"",売分析!C61,"")</f>
        <v>5844</v>
      </c>
      <c r="D61" s="350" t="str">
        <f>IF(売分析!D61&lt;&gt;"",売分析!D61,"")</f>
        <v>京都フィナンシャルＧ</v>
      </c>
      <c r="E61" s="351">
        <f>IF(売分析!E61&lt;&gt;"",売分析!E61,"")</f>
        <v>4535</v>
      </c>
      <c r="F61" s="351">
        <f>IF(売分析!F61&lt;&gt;"",売分析!F61,"")</f>
        <v>4726</v>
      </c>
      <c r="G61" s="351">
        <f>IF(売分析!H61&lt;&gt;"",売分析!H61,"")</f>
        <v>4733</v>
      </c>
      <c r="H61" s="351">
        <f>IF(売分析!I61&lt;&gt;"",売分析!I61,"")</f>
        <v>4519</v>
      </c>
      <c r="I61" s="350">
        <f>IF(売分析!J61&lt;&gt;"",売分析!J61,"")</f>
        <v>1291700</v>
      </c>
      <c r="J61" s="351">
        <f>IF(売分析!AB61&lt;&gt;"",売分析!AB61,"")</f>
        <v>4539.7753456221199</v>
      </c>
      <c r="K61" s="351">
        <f>IF(売分析!AC61&lt;&gt;"",売分析!AC61,"")</f>
        <v>4484.2324195470783</v>
      </c>
      <c r="L61" s="351">
        <f>IF(売分析!K61&lt;&gt;"",売分析!K61,"")</f>
        <v>4755</v>
      </c>
      <c r="M61" s="350" t="str">
        <f>IF(売分析!P61&lt;&gt;"",売分析!P61,"")</f>
        <v>普通→</v>
      </c>
      <c r="N61" s="353">
        <f>IF(売分析!O61&lt;&gt;"",売分析!O61,"")</f>
        <v>1.0444394132962467</v>
      </c>
      <c r="O61" s="355">
        <f>IF(売分析!X61&lt;&gt;"",売分析!X61,"")</f>
        <v>10.519250594054938</v>
      </c>
      <c r="P61" s="352">
        <f>IF(売分析!L61&lt;&gt;"",売分析!L61,"")</f>
        <v>-4.6267087276550996</v>
      </c>
      <c r="Q61" s="351">
        <f>IF(売分析!S61&lt;&gt;"",売分析!S61,"")</f>
        <v>4716</v>
      </c>
      <c r="R61" s="351">
        <f>IF(売分析!R61&lt;&gt;"",売分析!R61,"")</f>
        <v>4172</v>
      </c>
      <c r="S61" s="350" t="str">
        <f>IF(売分析!AA61&lt;&gt;"",売分析!AA61,"")</f>
        <v>下落▼</v>
      </c>
      <c r="T61" s="356">
        <f>IF(売分析!Z61&lt;&gt;"",売分析!Z61,"")</f>
        <v>-2.5987972508591066</v>
      </c>
      <c r="U61" s="350" t="str">
        <f>IF(売分析!V61&lt;&gt;"",売分析!V61,"")</f>
        <v>通常</v>
      </c>
      <c r="V61" s="354">
        <f>IF(売分析!W61&lt;&gt;"",売分析!W61,"")</f>
        <v>54.214360041623308</v>
      </c>
      <c r="W61" s="350" t="str">
        <f>IF(売分析!AD61&lt;&gt;"",売分析!AD61,"")</f>
        <v>上昇トレンド▲</v>
      </c>
      <c r="X61" s="350" t="str">
        <f>IF(売分析!AE61&lt;&gt;"",売分析!AE61,"")</f>
        <v>5日戻り売り○</v>
      </c>
      <c r="Y61" s="427">
        <f>IF(売分析!T61&lt;&gt;"",売分析!T61,"")</f>
        <v>6</v>
      </c>
      <c r="Z61" s="350" t="str">
        <f>IF(売分析!Y61&lt;&gt;"",売分析!Y61,"")</f>
        <v>相場上昇・見送り | 上昇トレンド▲ 5日戻り売り○ MACD+ RSI:54.2 前日比:-2.6% [大陰線▼] [6点]</v>
      </c>
    </row>
    <row r="62" spans="1:26">
      <c r="A62" s="230">
        <f>IF(売分析!C62&lt;&gt;"",ROW()-2,"")</f>
        <v>60</v>
      </c>
      <c r="B62" s="357" t="str">
        <f>IF(売分析!C62&lt;&gt;"",HYPERLINK("https://kabutan.jp/stock/?code="&amp;売分析!C62,"株探"),"")</f>
        <v>株探</v>
      </c>
      <c r="C62" s="366">
        <f>IF(売分析!C62&lt;&gt;"",売分析!C62,"")</f>
        <v>6387</v>
      </c>
      <c r="D62" s="230" t="str">
        <f>IF(売分析!D62&lt;&gt;"",売分析!D62,"")</f>
        <v>サムコ</v>
      </c>
      <c r="E62" s="358">
        <f>IF(売分析!E62&lt;&gt;"",売分析!E62,"")</f>
        <v>16190</v>
      </c>
      <c r="F62" s="358">
        <f>IF(売分析!F62&lt;&gt;"",売分析!F62,"")</f>
        <v>15420</v>
      </c>
      <c r="G62" s="358">
        <f>IF(売分析!H62&lt;&gt;"",売分析!H62,"")</f>
        <v>16300</v>
      </c>
      <c r="H62" s="358">
        <f>IF(売分析!I62&lt;&gt;"",売分析!I62,"")</f>
        <v>14700</v>
      </c>
      <c r="I62" s="230">
        <f>IF(売分析!J62&lt;&gt;"",売分析!J62,"")</f>
        <v>321300</v>
      </c>
      <c r="J62" s="358">
        <f>IF(売分析!AB62&lt;&gt;"",売分析!AB62,"")</f>
        <v>14627.281105990782</v>
      </c>
      <c r="K62" s="358">
        <f>IF(売分析!AC62&lt;&gt;"",売分析!AC62,"")</f>
        <v>12560.989272943976</v>
      </c>
      <c r="L62" s="358">
        <f>IF(売分析!K62&lt;&gt;"",売分析!K62,"")</f>
        <v>16930</v>
      </c>
      <c r="M62" s="230" t="str">
        <f>IF(売分析!P62&lt;&gt;"",売分析!P62,"")</f>
        <v>普通→</v>
      </c>
      <c r="N62" s="360">
        <f>IF(売分析!O62&lt;&gt;"",売分析!O62,"")</f>
        <v>1.4631147540983607</v>
      </c>
      <c r="O62" s="362">
        <f>IF(売分析!X62&lt;&gt;"",売分析!X62,"")</f>
        <v>310.15212606323621</v>
      </c>
      <c r="P62" s="359">
        <f>IF(売分析!L62&lt;&gt;"",売分析!L62,"")</f>
        <v>-4.370939161252215</v>
      </c>
      <c r="Q62" s="358">
        <f>IF(売分析!S62&lt;&gt;"",売分析!S62,"")</f>
        <v>16838</v>
      </c>
      <c r="R62" s="358">
        <f>IF(売分析!R62&lt;&gt;"",売分析!R62,"")</f>
        <v>14895</v>
      </c>
      <c r="S62" s="230" t="str">
        <f>IF(売分析!AA62&lt;&gt;"",売分析!AA62,"")</f>
        <v>下落▼</v>
      </c>
      <c r="T62" s="363">
        <f>IF(売分析!Z62&lt;&gt;"",売分析!Z62,"")</f>
        <v>-0.18495684340320592</v>
      </c>
      <c r="U62" s="230" t="str">
        <f>IF(売分析!V62&lt;&gt;"",売分析!V62,"")</f>
        <v>通常</v>
      </c>
      <c r="V62" s="361">
        <f>IF(売分析!W62&lt;&gt;"",売分析!W62,"")</f>
        <v>69.108561341571047</v>
      </c>
      <c r="W62" s="230" t="str">
        <f>IF(売分析!AD62&lt;&gt;"",売分析!AD62,"")</f>
        <v>パーフェクト▲</v>
      </c>
      <c r="X62" s="230" t="str">
        <f>IF(売分析!AE62&lt;&gt;"",売分析!AE62,"")</f>
        <v>なし</v>
      </c>
      <c r="Y62" s="428">
        <f>IF(売分析!T62&lt;&gt;"",売分析!T62,"")</f>
        <v>1</v>
      </c>
      <c r="Z62" s="230" t="str">
        <f>IF(売分析!Y62&lt;&gt;"",売分析!Y62,"")</f>
        <v>相場上昇・見送り | パーフェクト▲ MACD+ RSI:69.1 前日比:-0.2% [1点]</v>
      </c>
    </row>
    <row r="63" spans="1:26">
      <c r="A63" s="350">
        <f>IF(売分析!C63&lt;&gt;"",ROW()-2,"")</f>
        <v>61</v>
      </c>
      <c r="B63" s="349" t="str">
        <f>IF(売分析!C63&lt;&gt;"",HYPERLINK("https://kabutan.jp/stock/?code="&amp;売分析!C63,"株探"),"")</f>
        <v>株探</v>
      </c>
      <c r="C63" s="365">
        <f>IF(売分析!C63&lt;&gt;"",売分析!C63,"")</f>
        <v>7381</v>
      </c>
      <c r="D63" s="350" t="str">
        <f>IF(売分析!D63&lt;&gt;"",売分析!D63,"")</f>
        <v>ＣＣＩグループ</v>
      </c>
      <c r="E63" s="351">
        <f>IF(売分析!E63&lt;&gt;"",売分析!E63,"")</f>
        <v>975</v>
      </c>
      <c r="F63" s="351">
        <f>IF(売分析!F63&lt;&gt;"",売分析!F63,"")</f>
        <v>1004</v>
      </c>
      <c r="G63" s="351">
        <f>IF(売分析!H63&lt;&gt;"",売分析!H63,"")</f>
        <v>1019</v>
      </c>
      <c r="H63" s="351">
        <f>IF(売分析!I63&lt;&gt;"",売分析!I63,"")</f>
        <v>975</v>
      </c>
      <c r="I63" s="350">
        <f>IF(売分析!J63&lt;&gt;"",売分析!J63,"")</f>
        <v>444200</v>
      </c>
      <c r="J63" s="351">
        <f>IF(売分析!AB63&lt;&gt;"",売分析!AB63,"")</f>
        <v>984.9112903225805</v>
      </c>
      <c r="K63" s="351">
        <f>IF(売分析!AC63&lt;&gt;"",売分析!AC63,"")</f>
        <v>1009.9356376638854</v>
      </c>
      <c r="L63" s="351">
        <f>IF(売分析!K63&lt;&gt;"",売分析!K63,"")</f>
        <v>1094</v>
      </c>
      <c r="M63" s="350" t="str">
        <f>IF(売分析!P63&lt;&gt;"",売分析!P63,"")</f>
        <v>減少↓</v>
      </c>
      <c r="N63" s="353">
        <f>IF(売分析!O63&lt;&gt;"",売分析!O63,"")</f>
        <v>0.77451527409680565</v>
      </c>
      <c r="O63" s="355">
        <f>IF(売分析!X63&lt;&gt;"",売分析!X63,"")</f>
        <v>-7.7115754321580425</v>
      </c>
      <c r="P63" s="352">
        <f>IF(売分析!L63&lt;&gt;"",売分析!L63,"")</f>
        <v>-10.877513711151737</v>
      </c>
      <c r="Q63" s="351">
        <f>IF(売分析!S63&lt;&gt;"",売分析!S63,"")</f>
        <v>1014</v>
      </c>
      <c r="R63" s="351">
        <f>IF(売分析!R63&lt;&gt;"",売分析!R63,"")</f>
        <v>897</v>
      </c>
      <c r="S63" s="350" t="str">
        <f>IF(売分析!AA63&lt;&gt;"",売分析!AA63,"")</f>
        <v>下落▼</v>
      </c>
      <c r="T63" s="356">
        <f>IF(売分析!Z63&lt;&gt;"",売分析!Z63,"")</f>
        <v>-2.5974025974025974</v>
      </c>
      <c r="U63" s="350" t="str">
        <f>IF(売分析!V63&lt;&gt;"",売分析!V63,"")</f>
        <v>通常</v>
      </c>
      <c r="V63" s="354">
        <f>IF(売分析!W63&lt;&gt;"",売分析!W63,"")</f>
        <v>35.714285714285722</v>
      </c>
      <c r="W63" s="350" t="str">
        <f>IF(売分析!AD63&lt;&gt;"",売分析!AD63,"")</f>
        <v>下降トレンド▼</v>
      </c>
      <c r="X63" s="350" t="str">
        <f>IF(売分析!AE63&lt;&gt;"",売分析!AE63,"")</f>
        <v>なし</v>
      </c>
      <c r="Y63" s="427">
        <f>IF(売分析!T63&lt;&gt;"",売分析!T63,"")</f>
        <v>9</v>
      </c>
      <c r="Z63" s="350" t="str">
        <f>IF(売分析!Y63&lt;&gt;"",売分析!Y63,"")</f>
        <v>相場上昇・見送り | 下降トレンド▼ MACD- RSI:35.7 前日比:-2.6% [9点]</v>
      </c>
    </row>
    <row r="64" spans="1:26">
      <c r="A64" s="230">
        <f>IF(売分析!C64&lt;&gt;"",ROW()-2,"")</f>
        <v>62</v>
      </c>
      <c r="B64" s="357" t="str">
        <f>IF(売分析!C64&lt;&gt;"",HYPERLINK("https://kabutan.jp/stock/?code="&amp;売分析!C64,"株探"),"")</f>
        <v>株探</v>
      </c>
      <c r="C64" s="366">
        <f>IF(売分析!C64&lt;&gt;"",売分析!C64,"")</f>
        <v>6507</v>
      </c>
      <c r="D64" s="230" t="str">
        <f>IF(売分析!D64&lt;&gt;"",売分析!D64,"")</f>
        <v>シンフォニアテクノロジー</v>
      </c>
      <c r="E64" s="358">
        <f>IF(売分析!E64&lt;&gt;"",売分析!E64,"")</f>
        <v>15680</v>
      </c>
      <c r="F64" s="358">
        <f>IF(売分析!F64&lt;&gt;"",売分析!F64,"")</f>
        <v>14720</v>
      </c>
      <c r="G64" s="358">
        <f>IF(売分析!H64&lt;&gt;"",売分析!H64,"")</f>
        <v>15880</v>
      </c>
      <c r="H64" s="358">
        <f>IF(売分析!I64&lt;&gt;"",売分析!I64,"")</f>
        <v>14590</v>
      </c>
      <c r="I64" s="230">
        <f>IF(売分析!J64&lt;&gt;"",売分析!J64,"")</f>
        <v>248900</v>
      </c>
      <c r="J64" s="358">
        <f>IF(売分析!AB64&lt;&gt;"",売分析!AB64,"")</f>
        <v>14583.214285714283</v>
      </c>
      <c r="K64" s="358">
        <f>IF(売分析!AC64&lt;&gt;"",売分析!AC64,"")</f>
        <v>14270.7032181168</v>
      </c>
      <c r="L64" s="358">
        <f>IF(売分析!K64&lt;&gt;"",売分析!K64,"")</f>
        <v>16900</v>
      </c>
      <c r="M64" s="230" t="str">
        <f>IF(売分析!P64&lt;&gt;"",売分析!P64,"")</f>
        <v>普通→</v>
      </c>
      <c r="N64" s="360">
        <f>IF(売分析!O64&lt;&gt;"",売分析!O64,"")</f>
        <v>1.2644787644787645</v>
      </c>
      <c r="O64" s="362">
        <f>IF(売分析!X64&lt;&gt;"",売分析!X64,"")</f>
        <v>14.029111722307789</v>
      </c>
      <c r="P64" s="359">
        <f>IF(売分析!L64&lt;&gt;"",売分析!L64,"")</f>
        <v>-7.218934911242604</v>
      </c>
      <c r="Q64" s="358">
        <f>IF(売分析!S64&lt;&gt;"",売分析!S64,"")</f>
        <v>16307</v>
      </c>
      <c r="R64" s="358">
        <f>IF(売分析!R64&lt;&gt;"",売分析!R64,"")</f>
        <v>14426</v>
      </c>
      <c r="S64" s="230" t="str">
        <f>IF(売分析!AA64&lt;&gt;"",売分析!AA64,"")</f>
        <v>上昇▲</v>
      </c>
      <c r="T64" s="363">
        <f>IF(売分析!Z64&lt;&gt;"",売分析!Z64,"")</f>
        <v>6.5217391304347823</v>
      </c>
      <c r="U64" s="230" t="str">
        <f>IF(売分析!V64&lt;&gt;"",売分析!V64,"")</f>
        <v>通常</v>
      </c>
      <c r="V64" s="361">
        <f>IF(売分析!W64&lt;&gt;"",売分析!W64,"")</f>
        <v>51.856946354883085</v>
      </c>
      <c r="W64" s="230" t="str">
        <f>IF(売分析!AD64&lt;&gt;"",売分析!AD64,"")</f>
        <v>パーフェクト▲</v>
      </c>
      <c r="X64" s="230" t="str">
        <f>IF(売分析!AE64&lt;&gt;"",売分析!AE64,"")</f>
        <v>なし</v>
      </c>
      <c r="Y64" s="428">
        <f>IF(売分析!T64&lt;&gt;"",売分析!T64,"")</f>
        <v>2</v>
      </c>
      <c r="Z64" s="230" t="str">
        <f>IF(売分析!Y64&lt;&gt;"",売分析!Y64,"")</f>
        <v>相場上昇・見送り | パーフェクト▲ MACD+ RSI:51.9 前日比:+6.5% [2点]</v>
      </c>
    </row>
    <row r="65" spans="1:26">
      <c r="A65" s="350">
        <f>IF(売分析!C65&lt;&gt;"",ROW()-2,"")</f>
        <v>63</v>
      </c>
      <c r="B65" s="349" t="str">
        <f>IF(売分析!C65&lt;&gt;"",HYPERLINK("https://kabutan.jp/stock/?code="&amp;売分析!C65,"株探"),"")</f>
        <v>株探</v>
      </c>
      <c r="C65" s="365">
        <f>IF(売分析!C65&lt;&gt;"",売分析!C65,"")</f>
        <v>8015</v>
      </c>
      <c r="D65" s="350" t="str">
        <f>IF(売分析!D65&lt;&gt;"",売分析!D65,"")</f>
        <v>豊田通商</v>
      </c>
      <c r="E65" s="351">
        <f>IF(売分析!E65&lt;&gt;"",売分析!E65,"")</f>
        <v>6344</v>
      </c>
      <c r="F65" s="351">
        <f>IF(売分析!F65&lt;&gt;"",売分析!F65,"")</f>
        <v>6426</v>
      </c>
      <c r="G65" s="351">
        <f>IF(売分析!H65&lt;&gt;"",売分析!H65,"")</f>
        <v>6456</v>
      </c>
      <c r="H65" s="351">
        <f>IF(売分析!I65&lt;&gt;"",売分析!I65,"")</f>
        <v>6295</v>
      </c>
      <c r="I65" s="350">
        <f>IF(売分析!J65&lt;&gt;"",売分析!J65,"")</f>
        <v>1409400</v>
      </c>
      <c r="J65" s="351">
        <f>IF(売分析!AB65&lt;&gt;"",売分析!AB65,"")</f>
        <v>6271.4965437788023</v>
      </c>
      <c r="K65" s="351">
        <f>IF(売分析!AC65&lt;&gt;"",売分析!AC65,"")</f>
        <v>6519.5911799761607</v>
      </c>
      <c r="L65" s="351">
        <f>IF(売分析!K65&lt;&gt;"",売分析!K65,"")</f>
        <v>7559</v>
      </c>
      <c r="M65" s="350" t="str">
        <f>IF(売分析!P65&lt;&gt;"",売分析!P65,"")</f>
        <v>減少↓</v>
      </c>
      <c r="N65" s="353">
        <f>IF(売分析!O65&lt;&gt;"",売分析!O65,"")</f>
        <v>0.6546153774697866</v>
      </c>
      <c r="O65" s="355">
        <f>IF(売分析!X65&lt;&gt;"",売分析!X65,"")</f>
        <v>-107.98369480852671</v>
      </c>
      <c r="P65" s="352">
        <f>IF(売分析!L65&lt;&gt;"",売分析!L65,"")</f>
        <v>-16.073554703003044</v>
      </c>
      <c r="Q65" s="351">
        <f>IF(売分析!S65&lt;&gt;"",売分析!S65,"")</f>
        <v>6598</v>
      </c>
      <c r="R65" s="351">
        <f>IF(売分析!R65&lt;&gt;"",売分析!R65,"")</f>
        <v>5836</v>
      </c>
      <c r="S65" s="350" t="str">
        <f>IF(売分析!AA65&lt;&gt;"",売分析!AA65,"")</f>
        <v>下落▼</v>
      </c>
      <c r="T65" s="356">
        <f>IF(売分析!Z65&lt;&gt;"",売分析!Z65,"")</f>
        <v>-1.1221945137157108</v>
      </c>
      <c r="U65" s="350" t="str">
        <f>IF(売分析!V65&lt;&gt;"",売分析!V65,"")</f>
        <v>通常</v>
      </c>
      <c r="V65" s="354">
        <f>IF(売分析!W65&lt;&gt;"",売分析!W65,"")</f>
        <v>33.669548511047068</v>
      </c>
      <c r="W65" s="350" t="str">
        <f>IF(売分析!AD65&lt;&gt;"",売分析!AD65,"")</f>
        <v>もみ合い→</v>
      </c>
      <c r="X65" s="350" t="str">
        <f>IF(売分析!AE65&lt;&gt;"",売分析!AE65,"")</f>
        <v>なし</v>
      </c>
      <c r="Y65" s="427">
        <f>IF(売分析!T65&lt;&gt;"",売分析!T65,"")</f>
        <v>8</v>
      </c>
      <c r="Z65" s="350" t="str">
        <f>IF(売分析!Y65&lt;&gt;"",売分析!Y65,"")</f>
        <v>相場上昇・見送り | もみ合い→ MACD- RSI:33.7 前日比:-1.1% [8点]</v>
      </c>
    </row>
    <row r="66" spans="1:26">
      <c r="A66" s="230">
        <f>IF(売分析!C66&lt;&gt;"",ROW()-2,"")</f>
        <v>64</v>
      </c>
      <c r="B66" s="357" t="str">
        <f>IF(売分析!C66&lt;&gt;"",HYPERLINK("https://kabutan.jp/stock/?code="&amp;売分析!C66,"株探"),"")</f>
        <v>株探</v>
      </c>
      <c r="C66" s="366">
        <f>IF(売分析!C66&lt;&gt;"",売分析!C66,"")</f>
        <v>8411</v>
      </c>
      <c r="D66" s="230" t="str">
        <f>IF(売分析!D66&lt;&gt;"",売分析!D66,"")</f>
        <v>みずほフィナンシャルＧ</v>
      </c>
      <c r="E66" s="358">
        <f>IF(売分析!E66&lt;&gt;"",売分析!E66,"")</f>
        <v>8006</v>
      </c>
      <c r="F66" s="358">
        <f>IF(売分析!F66&lt;&gt;"",売分析!F66,"")</f>
        <v>7907</v>
      </c>
      <c r="G66" s="358">
        <f>IF(売分析!H66&lt;&gt;"",売分析!H66,"")</f>
        <v>8120</v>
      </c>
      <c r="H66" s="358">
        <f>IF(売分析!I66&lt;&gt;"",売分析!I66,"")</f>
        <v>7902</v>
      </c>
      <c r="I66" s="230">
        <f>IF(売分析!J66&lt;&gt;"",売分析!J66,"")</f>
        <v>12922600</v>
      </c>
      <c r="J66" s="358">
        <f>IF(売分析!AB66&lt;&gt;"",売分析!AB66,"")</f>
        <v>7767.172811059907</v>
      </c>
      <c r="K66" s="358">
        <f>IF(売分析!AC66&lt;&gt;"",売分析!AC66,"")</f>
        <v>7456.8009535160891</v>
      </c>
      <c r="L66" s="358">
        <f>IF(売分析!K66&lt;&gt;"",売分析!K66,"")</f>
        <v>7966</v>
      </c>
      <c r="M66" s="230" t="str">
        <f>IF(売分析!P66&lt;&gt;"",売分析!P66,"")</f>
        <v>普通→</v>
      </c>
      <c r="N66" s="360">
        <f>IF(売分析!O66&lt;&gt;"",売分析!O66,"")</f>
        <v>1.0866559928961124</v>
      </c>
      <c r="O66" s="362">
        <f>IF(売分析!X66&lt;&gt;"",売分析!X66,"")</f>
        <v>92.127444385630952</v>
      </c>
      <c r="P66" s="359">
        <f>IF(売分析!L66&lt;&gt;"",売分析!L66,"")</f>
        <v>0.50213406979663566</v>
      </c>
      <c r="Q66" s="358">
        <f>IF(売分析!S66&lt;&gt;"",売分析!S66,"")</f>
        <v>8326</v>
      </c>
      <c r="R66" s="358">
        <f>IF(売分析!R66&lt;&gt;"",売分析!R66,"")</f>
        <v>7366</v>
      </c>
      <c r="S66" s="230" t="str">
        <f>IF(売分析!AA66&lt;&gt;"",売分析!AA66,"")</f>
        <v>上昇▲</v>
      </c>
      <c r="T66" s="363">
        <f>IF(売分析!Z66&lt;&gt;"",売分析!Z66,"")</f>
        <v>3.2100038674745388</v>
      </c>
      <c r="U66" s="230" t="str">
        <f>IF(売分析!V66&lt;&gt;"",売分析!V66,"")</f>
        <v>通常</v>
      </c>
      <c r="V66" s="361">
        <f>IF(売分析!W66&lt;&gt;"",売分析!W66,"")</f>
        <v>63.331371394938202</v>
      </c>
      <c r="W66" s="230" t="str">
        <f>IF(売分析!AD66&lt;&gt;"",売分析!AD66,"")</f>
        <v>パーフェクト▲</v>
      </c>
      <c r="X66" s="230" t="str">
        <f>IF(売分析!AE66&lt;&gt;"",売分析!AE66,"")</f>
        <v>なし</v>
      </c>
      <c r="Y66" s="428">
        <f>IF(売分析!T66&lt;&gt;"",売分析!T66,"")</f>
        <v>0</v>
      </c>
      <c r="Z66" s="230" t="str">
        <f>IF(売分析!Y66&lt;&gt;"",売分析!Y66,"")</f>
        <v>相場上昇・見送り | パーフェクト▲ MACD+ RSI:63.3 前日比:+3.2% [0点]</v>
      </c>
    </row>
    <row r="67" spans="1:26">
      <c r="A67" s="350">
        <f>IF(売分析!C67&lt;&gt;"",ROW()-2,"")</f>
        <v>65</v>
      </c>
      <c r="B67" s="349" t="str">
        <f>IF(売分析!C67&lt;&gt;"",HYPERLINK("https://kabutan.jp/stock/?code="&amp;売分析!C67,"株探"),"")</f>
        <v>株探</v>
      </c>
      <c r="C67" s="365">
        <f>IF(売分析!C67&lt;&gt;"",売分析!C67,"")</f>
        <v>8591</v>
      </c>
      <c r="D67" s="350" t="str">
        <f>IF(売分析!D67&lt;&gt;"",売分析!D67,"")</f>
        <v>オリックス</v>
      </c>
      <c r="E67" s="351">
        <f>IF(売分析!E67&lt;&gt;"",売分析!E67,"")</f>
        <v>6336</v>
      </c>
      <c r="F67" s="351">
        <f>IF(売分析!F67&lt;&gt;"",売分析!F67,"")</f>
        <v>6403</v>
      </c>
      <c r="G67" s="351">
        <f>IF(売分析!H67&lt;&gt;"",売分析!H67,"")</f>
        <v>6417</v>
      </c>
      <c r="H67" s="351">
        <f>IF(売分析!I67&lt;&gt;"",売分析!I67,"")</f>
        <v>6280</v>
      </c>
      <c r="I67" s="350">
        <f>IF(売分析!J67&lt;&gt;"",売分析!J67,"")</f>
        <v>3297700</v>
      </c>
      <c r="J67" s="351">
        <f>IF(売分析!AB67&lt;&gt;"",売分析!AB67,"")</f>
        <v>6240.9976958525331</v>
      </c>
      <c r="K67" s="351">
        <f>IF(売分析!AC67&lt;&gt;"",売分析!AC67,"")</f>
        <v>6155.030989272942</v>
      </c>
      <c r="L67" s="351">
        <f>IF(売分析!K67&lt;&gt;"",売分析!K67,"")</f>
        <v>6438</v>
      </c>
      <c r="M67" s="350" t="str">
        <f>IF(売分析!P67&lt;&gt;"",売分析!P67,"")</f>
        <v>減少↓</v>
      </c>
      <c r="N67" s="353">
        <f>IF(売分析!O67&lt;&gt;"",売分析!O67,"")</f>
        <v>0.92208278808621058</v>
      </c>
      <c r="O67" s="355">
        <f>IF(売分析!X67&lt;&gt;"",売分析!X67,"")</f>
        <v>24.286279200284298</v>
      </c>
      <c r="P67" s="352">
        <f>IF(売分析!L67&lt;&gt;"",売分析!L67,"")</f>
        <v>-1.5843429636533086</v>
      </c>
      <c r="Q67" s="351">
        <f>IF(売分析!S67&lt;&gt;"",売分析!S67,"")</f>
        <v>6589</v>
      </c>
      <c r="R67" s="351">
        <f>IF(売分析!R67&lt;&gt;"",売分析!R67,"")</f>
        <v>5829</v>
      </c>
      <c r="S67" s="350" t="str">
        <f>IF(売分析!AA67&lt;&gt;"",売分析!AA67,"")</f>
        <v>上昇▲</v>
      </c>
      <c r="T67" s="356">
        <f>IF(売分析!Z67&lt;&gt;"",売分析!Z67,"")</f>
        <v>0.49167327517842979</v>
      </c>
      <c r="U67" s="350" t="str">
        <f>IF(売分析!V67&lt;&gt;"",売分析!V67,"")</f>
        <v>通常</v>
      </c>
      <c r="V67" s="354">
        <f>IF(売分析!W67&lt;&gt;"",売分析!W67,"")</f>
        <v>50.914340712223286</v>
      </c>
      <c r="W67" s="350" t="str">
        <f>IF(売分析!AD67&lt;&gt;"",売分析!AD67,"")</f>
        <v>パーフェクト▲</v>
      </c>
      <c r="X67" s="350" t="str">
        <f>IF(売分析!AE67&lt;&gt;"",売分析!AE67,"")</f>
        <v>なし</v>
      </c>
      <c r="Y67" s="427">
        <f>IF(売分析!T67&lt;&gt;"",売分析!T67,"")</f>
        <v>-1</v>
      </c>
      <c r="Z67" s="350" t="str">
        <f>IF(売分析!Y67&lt;&gt;"",売分析!Y67,"")</f>
        <v>相場上昇・見送り | パーフェクト▲ MACD+ RSI:50.9 前日比:+0.5% [-1点]</v>
      </c>
    </row>
    <row r="68" spans="1:26">
      <c r="A68" s="230">
        <f>IF(売分析!C68&lt;&gt;"",ROW()-2,"")</f>
        <v>66</v>
      </c>
      <c r="B68" s="357" t="str">
        <f>IF(売分析!C68&lt;&gt;"",HYPERLINK("https://kabutan.jp/stock/?code="&amp;売分析!C68,"株探"),"")</f>
        <v>株探</v>
      </c>
      <c r="C68" s="366">
        <f>IF(売分析!C68&lt;&gt;"",売分析!C68,"")</f>
        <v>8309</v>
      </c>
      <c r="D68" s="230" t="str">
        <f>IF(売分析!D68&lt;&gt;"",売分析!D68,"")</f>
        <v>三井住友トラストグルー</v>
      </c>
      <c r="E68" s="358">
        <f>IF(売分析!E68&lt;&gt;"",売分析!E68,"")</f>
        <v>6033</v>
      </c>
      <c r="F68" s="358">
        <f>IF(売分析!F68&lt;&gt;"",売分析!F68,"")</f>
        <v>6039</v>
      </c>
      <c r="G68" s="358">
        <f>IF(売分析!H68&lt;&gt;"",売分析!H68,"")</f>
        <v>6081</v>
      </c>
      <c r="H68" s="358">
        <f>IF(売分析!I68&lt;&gt;"",売分析!I68,"")</f>
        <v>6002</v>
      </c>
      <c r="I68" s="230">
        <f>IF(売分析!J68&lt;&gt;"",売分析!J68,"")</f>
        <v>2691100</v>
      </c>
      <c r="J68" s="358">
        <f>IF(売分析!AB68&lt;&gt;"",売分析!AB68,"")</f>
        <v>5980.2615207373265</v>
      </c>
      <c r="K68" s="358">
        <f>IF(売分析!AC68&lt;&gt;"",売分析!AC68,"")</f>
        <v>5770.1287246722268</v>
      </c>
      <c r="L68" s="358">
        <f>IF(売分析!K68&lt;&gt;"",売分析!K68,"")</f>
        <v>6169</v>
      </c>
      <c r="M68" s="230" t="str">
        <f>IF(売分析!P68&lt;&gt;"",売分析!P68,"")</f>
        <v>減少↓</v>
      </c>
      <c r="N68" s="360">
        <f>IF(売分析!O68&lt;&gt;"",売分析!O68,"")</f>
        <v>0.70379843501548245</v>
      </c>
      <c r="O68" s="362">
        <f>IF(売分析!X68&lt;&gt;"",売分析!X68,"")</f>
        <v>45.30327098898033</v>
      </c>
      <c r="P68" s="359">
        <f>IF(売分析!L68&lt;&gt;"",売分析!L68,"")</f>
        <v>-2.2045712433133411</v>
      </c>
      <c r="Q68" s="358">
        <f>IF(売分析!S68&lt;&gt;"",売分析!S68,"")</f>
        <v>6274</v>
      </c>
      <c r="R68" s="358">
        <f>IF(売分析!R68&lt;&gt;"",売分析!R68,"")</f>
        <v>5550</v>
      </c>
      <c r="S68" s="230" t="str">
        <f>IF(売分析!AA68&lt;&gt;"",売分析!AA68,"")</f>
        <v>上昇▲</v>
      </c>
      <c r="T68" s="363">
        <f>IF(売分析!Z68&lt;&gt;"",売分析!Z68,"")</f>
        <v>0.90316106372303051</v>
      </c>
      <c r="U68" s="230" t="str">
        <f>IF(売分析!V68&lt;&gt;"",売分析!V68,"")</f>
        <v>通常</v>
      </c>
      <c r="V68" s="361">
        <f>IF(売分析!W68&lt;&gt;"",売分析!W68,"")</f>
        <v>68.233944954128447</v>
      </c>
      <c r="W68" s="230" t="str">
        <f>IF(売分析!AD68&lt;&gt;"",売分析!AD68,"")</f>
        <v>パーフェクト▲</v>
      </c>
      <c r="X68" s="230" t="str">
        <f>IF(売分析!AE68&lt;&gt;"",売分析!AE68,"")</f>
        <v>なし</v>
      </c>
      <c r="Y68" s="428">
        <f>IF(売分析!T68&lt;&gt;"",売分析!T68,"")</f>
        <v>0</v>
      </c>
      <c r="Z68" s="230" t="str">
        <f>IF(売分析!Y68&lt;&gt;"",売分析!Y68,"")</f>
        <v>相場上昇・見送り | パーフェクト▲ MACD+ RSI:68.2 前日比:+0.9% [0点]</v>
      </c>
    </row>
    <row r="69" spans="1:26">
      <c r="A69" s="350">
        <f>IF(売分析!C69&lt;&gt;"",ROW()-2,"")</f>
        <v>67</v>
      </c>
      <c r="B69" s="349" t="str">
        <f>IF(売分析!C69&lt;&gt;"",HYPERLINK("https://kabutan.jp/stock/?code="&amp;売分析!C69,"株探"),"")</f>
        <v>株探</v>
      </c>
      <c r="C69" s="365">
        <f>IF(売分析!C69&lt;&gt;"",売分析!C69,"")</f>
        <v>5929</v>
      </c>
      <c r="D69" s="350" t="str">
        <f>IF(売分析!D69&lt;&gt;"",売分析!D69,"")</f>
        <v>三和ホールディングス</v>
      </c>
      <c r="E69" s="351">
        <f>IF(売分析!E69&lt;&gt;"",売分析!E69,"")</f>
        <v>3713</v>
      </c>
      <c r="F69" s="351">
        <f>IF(売分析!F69&lt;&gt;"",売分析!F69,"")</f>
        <v>3750</v>
      </c>
      <c r="G69" s="351">
        <f>IF(売分析!H69&lt;&gt;"",売分析!H69,"")</f>
        <v>3779</v>
      </c>
      <c r="H69" s="351">
        <f>IF(売分析!I69&lt;&gt;"",売分析!I69,"")</f>
        <v>3698</v>
      </c>
      <c r="I69" s="350">
        <f>IF(売分析!J69&lt;&gt;"",売分析!J69,"")</f>
        <v>424400</v>
      </c>
      <c r="J69" s="351">
        <f>IF(売分析!AB69&lt;&gt;"",売分析!AB69,"")</f>
        <v>3675.777649769585</v>
      </c>
      <c r="K69" s="351">
        <f>IF(売分析!AC69&lt;&gt;"",売分析!AC69,"")</f>
        <v>3535.916567342073</v>
      </c>
      <c r="L69" s="351">
        <f>IF(売分析!K69&lt;&gt;"",売分析!K69,"")</f>
        <v>4284</v>
      </c>
      <c r="M69" s="350" t="str">
        <f>IF(売分析!P69&lt;&gt;"",売分析!P69,"")</f>
        <v>減少↓</v>
      </c>
      <c r="N69" s="353">
        <f>IF(売分析!O69&lt;&gt;"",売分析!O69,"")</f>
        <v>0.65688459633481922</v>
      </c>
      <c r="O69" s="355">
        <f>IF(売分析!X69&lt;&gt;"",売分析!X69,"")</f>
        <v>34.800249961194368</v>
      </c>
      <c r="P69" s="352">
        <f>IF(売分析!L69&lt;&gt;"",売分析!L69,"")</f>
        <v>-13.328664799253035</v>
      </c>
      <c r="Q69" s="351">
        <f>IF(売分析!S69&lt;&gt;"",売分析!S69,"")</f>
        <v>3862</v>
      </c>
      <c r="R69" s="351">
        <f>IF(売分析!R69&lt;&gt;"",売分析!R69,"")</f>
        <v>3416</v>
      </c>
      <c r="S69" s="350" t="str">
        <f>IF(売分析!AA69&lt;&gt;"",売分析!AA69,"")</f>
        <v>上昇▲</v>
      </c>
      <c r="T69" s="356">
        <f>IF(売分析!Z69&lt;&gt;"",売分析!Z69,"")</f>
        <v>0.29713668287412209</v>
      </c>
      <c r="U69" s="350" t="str">
        <f>IF(売分析!V69&lt;&gt;"",売分析!V69,"")</f>
        <v>通常</v>
      </c>
      <c r="V69" s="354">
        <f>IF(売分析!W69&lt;&gt;"",売分析!W69,"")</f>
        <v>67.032967032967036</v>
      </c>
      <c r="W69" s="350" t="str">
        <f>IF(売分析!AD69&lt;&gt;"",売分析!AD69,"")</f>
        <v>パーフェクト▲</v>
      </c>
      <c r="X69" s="350" t="str">
        <f>IF(売分析!AE69&lt;&gt;"",売分析!AE69,"")</f>
        <v>なし</v>
      </c>
      <c r="Y69" s="427">
        <f>IF(売分析!T69&lt;&gt;"",売分析!T69,"")</f>
        <v>1</v>
      </c>
      <c r="Z69" s="350" t="str">
        <f>IF(売分析!Y69&lt;&gt;"",売分析!Y69,"")</f>
        <v>相場上昇・見送り | パーフェクト▲ MACD+ RSI:67.0 前日比:+0.3%前日[長い下ヒゲ(反発)] [1点]</v>
      </c>
    </row>
    <row r="70" spans="1:26">
      <c r="A70" s="230">
        <f>IF(売分析!C70&lt;&gt;"",ROW()-2,"")</f>
        <v>68</v>
      </c>
      <c r="B70" s="357" t="str">
        <f>IF(売分析!C70&lt;&gt;"",HYPERLINK("https://kabutan.jp/stock/?code="&amp;売分析!C70,"株探"),"")</f>
        <v>株探</v>
      </c>
      <c r="C70" s="366">
        <f>IF(売分析!C70&lt;&gt;"",売分析!C70,"")</f>
        <v>8316</v>
      </c>
      <c r="D70" s="230" t="str">
        <f>IF(売分析!D70&lt;&gt;"",売分析!D70,"")</f>
        <v>三井住友フィナンシャルＧ</v>
      </c>
      <c r="E70" s="358">
        <f>IF(売分析!E70&lt;&gt;"",売分析!E70,"")</f>
        <v>6450</v>
      </c>
      <c r="F70" s="358">
        <f>IF(売分析!F70&lt;&gt;"",売分析!F70,"")</f>
        <v>6544</v>
      </c>
      <c r="G70" s="358">
        <f>IF(売分析!H70&lt;&gt;"",売分析!H70,"")</f>
        <v>6578</v>
      </c>
      <c r="H70" s="358">
        <f>IF(売分析!I70&lt;&gt;"",売分析!I70,"")</f>
        <v>6450</v>
      </c>
      <c r="I70" s="230">
        <f>IF(売分析!J70&lt;&gt;"",売分析!J70,"")</f>
        <v>12405700</v>
      </c>
      <c r="J70" s="358">
        <f>IF(売分析!AB70&lt;&gt;"",売分析!AB70,"")</f>
        <v>6427.4792626728113</v>
      </c>
      <c r="K70" s="358">
        <f>IF(売分析!AC70&lt;&gt;"",売分析!AC70,"")</f>
        <v>6163.6495828367079</v>
      </c>
      <c r="L70" s="358">
        <f>IF(売分析!K70&lt;&gt;"",売分析!K70,"")</f>
        <v>6725</v>
      </c>
      <c r="M70" s="230" t="str">
        <f>IF(売分析!P70&lt;&gt;"",売分析!P70,"")</f>
        <v>減少↓</v>
      </c>
      <c r="N70" s="360">
        <f>IF(売分析!O70&lt;&gt;"",売分析!O70,"")</f>
        <v>0.73263363534679582</v>
      </c>
      <c r="O70" s="362">
        <f>IF(売分析!X70&lt;&gt;"",売分析!X70,"")</f>
        <v>72.510263135900459</v>
      </c>
      <c r="P70" s="359">
        <f>IF(売分析!L70&lt;&gt;"",売分析!L70,"")</f>
        <v>-4.0892193308550189</v>
      </c>
      <c r="Q70" s="358">
        <f>IF(売分析!S70&lt;&gt;"",売分析!S70,"")</f>
        <v>6708</v>
      </c>
      <c r="R70" s="358">
        <f>IF(売分析!R70&lt;&gt;"",売分析!R70,"")</f>
        <v>5934</v>
      </c>
      <c r="S70" s="230" t="str">
        <f>IF(売分析!AA70&lt;&gt;"",売分析!AA70,"")</f>
        <v>上昇▲</v>
      </c>
      <c r="T70" s="363">
        <f>IF(売分析!Z70&lt;&gt;"",売分析!Z70,"")</f>
        <v>0.63972538617569041</v>
      </c>
      <c r="U70" s="230" t="str">
        <f>IF(売分析!V70&lt;&gt;"",売分析!V70,"")</f>
        <v>通常</v>
      </c>
      <c r="V70" s="361">
        <f>IF(売分析!W70&lt;&gt;"",売分析!W70,"")</f>
        <v>67.971808927173058</v>
      </c>
      <c r="W70" s="230" t="str">
        <f>IF(売分析!AD70&lt;&gt;"",売分析!AD70,"")</f>
        <v>パーフェクト▲</v>
      </c>
      <c r="X70" s="230" t="str">
        <f>IF(売分析!AE70&lt;&gt;"",売分析!AE70,"")</f>
        <v>なし</v>
      </c>
      <c r="Y70" s="428">
        <f>IF(売分析!T70&lt;&gt;"",売分析!T70,"")</f>
        <v>2</v>
      </c>
      <c r="Z70" s="230" t="str">
        <f>IF(売分析!Y70&lt;&gt;"",売分析!Y70,"")</f>
        <v>相場上昇・見送り | パーフェクト▲ MACD+ RSI:68.0 前日比:+0.6% [大陰線▼] [2点]</v>
      </c>
    </row>
    <row r="71" spans="1:26">
      <c r="A71" s="350">
        <f>IF(売分析!C71&lt;&gt;"",ROW()-2,"")</f>
        <v>69</v>
      </c>
      <c r="B71" s="349" t="str">
        <f>IF(売分析!C71&lt;&gt;"",HYPERLINK("https://kabutan.jp/stock/?code="&amp;売分析!C71,"株探"),"")</f>
        <v>株探</v>
      </c>
      <c r="C71" s="365">
        <f>IF(売分析!C71&lt;&gt;"",売分析!C71,"")</f>
        <v>5901</v>
      </c>
      <c r="D71" s="350" t="str">
        <f>IF(売分析!D71&lt;&gt;"",売分析!D71,"")</f>
        <v>東洋製罐グループＨＤ</v>
      </c>
      <c r="E71" s="351">
        <f>IF(売分析!E71&lt;&gt;"",売分析!E71,"")</f>
        <v>4076</v>
      </c>
      <c r="F71" s="351">
        <f>IF(売分析!F71&lt;&gt;"",売分析!F71,"")</f>
        <v>4004</v>
      </c>
      <c r="G71" s="351">
        <f>IF(売分析!H71&lt;&gt;"",売分析!H71,"")</f>
        <v>4088</v>
      </c>
      <c r="H71" s="351">
        <f>IF(売分析!I71&lt;&gt;"",売分析!I71,"")</f>
        <v>3964</v>
      </c>
      <c r="I71" s="350">
        <f>IF(売分析!J71&lt;&gt;"",売分析!J71,"")</f>
        <v>249600</v>
      </c>
      <c r="J71" s="351">
        <f>IF(売分析!AB71&lt;&gt;"",売分析!AB71,"")</f>
        <v>3985.1301843317965</v>
      </c>
      <c r="K71" s="351">
        <f>IF(売分析!AC71&lt;&gt;"",売分析!AC71,"")</f>
        <v>3885.3504171632881</v>
      </c>
      <c r="L71" s="351">
        <f>IF(売分析!K71&lt;&gt;"",売分析!K71,"")</f>
        <v>4404</v>
      </c>
      <c r="M71" s="350" t="str">
        <f>IF(売分析!P71&lt;&gt;"",売分析!P71,"")</f>
        <v>減少↓</v>
      </c>
      <c r="N71" s="353">
        <f>IF(売分析!O71&lt;&gt;"",売分析!O71,"")</f>
        <v>0.93764087152516906</v>
      </c>
      <c r="O71" s="355">
        <f>IF(売分析!X71&lt;&gt;"",売分析!X71,"")</f>
        <v>6.2719979780217727</v>
      </c>
      <c r="P71" s="352">
        <f>IF(売分析!L71&lt;&gt;"",売分析!L71,"")</f>
        <v>-7.447774750227067</v>
      </c>
      <c r="Q71" s="351">
        <f>IF(売分析!S71&lt;&gt;"",売分析!S71,"")</f>
        <v>4239</v>
      </c>
      <c r="R71" s="351">
        <f>IF(売分析!R71&lt;&gt;"",売分析!R71,"")</f>
        <v>3750</v>
      </c>
      <c r="S71" s="350" t="str">
        <f>IF(売分析!AA71&lt;&gt;"",売分析!AA71,"")</f>
        <v>上昇▲</v>
      </c>
      <c r="T71" s="356">
        <f>IF(売分析!Z71&lt;&gt;"",売分析!Z71,"")</f>
        <v>2.1297920320721624</v>
      </c>
      <c r="U71" s="350" t="str">
        <f>IF(売分析!V71&lt;&gt;"",売分析!V71,"")</f>
        <v>通常</v>
      </c>
      <c r="V71" s="354">
        <f>IF(売分析!W71&lt;&gt;"",売分析!W71,"")</f>
        <v>51.165803108808298</v>
      </c>
      <c r="W71" s="350" t="str">
        <f>IF(売分析!AD71&lt;&gt;"",売分析!AD71,"")</f>
        <v>パーフェクト▲</v>
      </c>
      <c r="X71" s="350" t="str">
        <f>IF(売分析!AE71&lt;&gt;"",売分析!AE71,"")</f>
        <v>なし</v>
      </c>
      <c r="Y71" s="427">
        <f>IF(売分析!T71&lt;&gt;"",売分析!T71,"")</f>
        <v>-1</v>
      </c>
      <c r="Z71" s="350" t="str">
        <f>IF(売分析!Y71&lt;&gt;"",売分析!Y71,"")</f>
        <v>相場上昇・見送り | パーフェクト▲ MACD+ RSI:51.2 前日比:+2.1% [-1点]</v>
      </c>
    </row>
    <row r="72" spans="1:26">
      <c r="A72" s="230">
        <f>IF(売分析!C72&lt;&gt;"",ROW()-2,"")</f>
        <v>70</v>
      </c>
      <c r="B72" s="357" t="str">
        <f>IF(売分析!C72&lt;&gt;"",HYPERLINK("https://kabutan.jp/stock/?code="&amp;売分析!C72,"株探"),"")</f>
        <v>株探</v>
      </c>
      <c r="C72" s="366">
        <f>IF(売分析!C72&lt;&gt;"",売分析!C72,"")</f>
        <v>4980</v>
      </c>
      <c r="D72" s="230" t="str">
        <f>IF(売分析!D72&lt;&gt;"",売分析!D72,"")</f>
        <v>デクセリアルズ</v>
      </c>
      <c r="E72" s="358">
        <f>IF(売分析!E72&lt;&gt;"",売分析!E72,"")</f>
        <v>4608</v>
      </c>
      <c r="F72" s="358">
        <f>IF(売分析!F72&lt;&gt;"",売分析!F72,"")</f>
        <v>4428</v>
      </c>
      <c r="G72" s="358">
        <f>IF(売分析!H72&lt;&gt;"",売分析!H72,"")</f>
        <v>4694</v>
      </c>
      <c r="H72" s="358">
        <f>IF(売分析!I72&lt;&gt;"",売分析!I72,"")</f>
        <v>4361</v>
      </c>
      <c r="I72" s="230">
        <f>IF(売分析!J72&lt;&gt;"",売分析!J72,"")</f>
        <v>2442300</v>
      </c>
      <c r="J72" s="358">
        <f>IF(売分析!AB72&lt;&gt;"",売分析!AB72,"")</f>
        <v>4333.367511520737</v>
      </c>
      <c r="K72" s="358">
        <f>IF(売分析!AC72&lt;&gt;"",売分析!AC72,"")</f>
        <v>4113.7771156138242</v>
      </c>
      <c r="L72" s="358">
        <f>IF(売分析!K72&lt;&gt;"",売分析!K72,"")</f>
        <v>4859</v>
      </c>
      <c r="M72" s="230" t="str">
        <f>IF(売分析!P72&lt;&gt;"",売分析!P72,"")</f>
        <v>減少↓</v>
      </c>
      <c r="N72" s="360">
        <f>IF(売分析!O72&lt;&gt;"",売分析!O72,"")</f>
        <v>0.90820857225730156</v>
      </c>
      <c r="O72" s="362">
        <f>IF(売分析!X72&lt;&gt;"",売分析!X72,"")</f>
        <v>63.526836000781259</v>
      </c>
      <c r="P72" s="359">
        <f>IF(売分析!L72&lt;&gt;"",売分析!L72,"")</f>
        <v>-5.165671948960691</v>
      </c>
      <c r="Q72" s="358">
        <f>IF(売分析!S72&lt;&gt;"",売分析!S72,"")</f>
        <v>4792</v>
      </c>
      <c r="R72" s="358">
        <f>IF(売分析!R72&lt;&gt;"",売分析!R72,"")</f>
        <v>4239</v>
      </c>
      <c r="S72" s="230" t="str">
        <f>IF(売分析!AA72&lt;&gt;"",売分析!AA72,"")</f>
        <v>上昇▲</v>
      </c>
      <c r="T72" s="363">
        <f>IF(売分析!Z72&lt;&gt;"",売分析!Z72,"")</f>
        <v>0.87565674255691772</v>
      </c>
      <c r="U72" s="230" t="str">
        <f>IF(売分析!V72&lt;&gt;"",売分析!V72,"")</f>
        <v>通常</v>
      </c>
      <c r="V72" s="361">
        <f>IF(売分析!W72&lt;&gt;"",売分析!W72,"")</f>
        <v>53.703028091937249</v>
      </c>
      <c r="W72" s="230" t="str">
        <f>IF(売分析!AD72&lt;&gt;"",売分析!AD72,"")</f>
        <v>パーフェクト▲</v>
      </c>
      <c r="X72" s="230" t="str">
        <f>IF(売分析!AE72&lt;&gt;"",売分析!AE72,"")</f>
        <v>なし</v>
      </c>
      <c r="Y72" s="428">
        <f>IF(売分析!T72&lt;&gt;"",売分析!T72,"")</f>
        <v>-1</v>
      </c>
      <c r="Z72" s="230" t="str">
        <f>IF(売分析!Y72&lt;&gt;"",売分析!Y72,"")</f>
        <v>相場上昇・見送り | パーフェクト▲ MACD+ RSI:53.7 前日比:+0.9% [-1点]</v>
      </c>
    </row>
    <row r="73" spans="1:26">
      <c r="A73" s="350">
        <f>IF(売分析!C73&lt;&gt;"",ROW()-2,"")</f>
        <v>71</v>
      </c>
      <c r="B73" s="349" t="str">
        <f>IF(売分析!C73&lt;&gt;"",HYPERLINK("https://kabutan.jp/stock/?code="&amp;売分析!C73,"株探"),"")</f>
        <v>株探</v>
      </c>
      <c r="C73" s="365">
        <f>IF(売分析!C73&lt;&gt;"",売分析!C73,"")</f>
        <v>7203</v>
      </c>
      <c r="D73" s="350" t="str">
        <f>IF(売分析!D73&lt;&gt;"",売分析!D73,"")</f>
        <v>トヨタ自動車</v>
      </c>
      <c r="E73" s="351">
        <f>IF(売分析!E73&lt;&gt;"",売分析!E73,"")</f>
        <v>2810</v>
      </c>
      <c r="F73" s="351">
        <f>IF(売分析!F73&lt;&gt;"",売分析!F73,"")</f>
        <v>2862.5</v>
      </c>
      <c r="G73" s="351">
        <f>IF(売分析!H73&lt;&gt;"",売分析!H73,"")</f>
        <v>2863.5</v>
      </c>
      <c r="H73" s="351">
        <f>IF(売分析!I73&lt;&gt;"",売分析!I73,"")</f>
        <v>2803.5</v>
      </c>
      <c r="I73" s="350">
        <f>IF(売分析!J73&lt;&gt;"",売分析!J73,"")</f>
        <v>26726100</v>
      </c>
      <c r="J73" s="351">
        <f>IF(売分析!AB73&lt;&gt;"",売分析!AB73,"")</f>
        <v>2806.8842165898614</v>
      </c>
      <c r="K73" s="351">
        <f>IF(売分析!AC73&lt;&gt;"",売分析!AC73,"")</f>
        <v>2875.3676996424301</v>
      </c>
      <c r="L73" s="351">
        <f>IF(売分析!K73&lt;&gt;"",売分析!K73,"")</f>
        <v>4000</v>
      </c>
      <c r="M73" s="350" t="str">
        <f>IF(売分析!P73&lt;&gt;"",売分析!P73,"")</f>
        <v>普通→</v>
      </c>
      <c r="N73" s="353">
        <f>IF(売分析!O73&lt;&gt;"",売分析!O73,"")</f>
        <v>1.0266270552823118</v>
      </c>
      <c r="O73" s="355">
        <f>IF(売分析!X73&lt;&gt;"",売分析!X73,"")</f>
        <v>-27.15499783075029</v>
      </c>
      <c r="P73" s="352">
        <f>IF(売分析!L73&lt;&gt;"",売分析!L73,"")</f>
        <v>-29.75</v>
      </c>
      <c r="Q73" s="351">
        <f>IF(売分析!S73&lt;&gt;"",売分析!S73,"")</f>
        <v>2922</v>
      </c>
      <c r="R73" s="351">
        <f>IF(売分析!R73&lt;&gt;"",売分析!R73,"")</f>
        <v>2585</v>
      </c>
      <c r="S73" s="350" t="str">
        <f>IF(売分析!AA73&lt;&gt;"",売分析!AA73,"")</f>
        <v>下落▼</v>
      </c>
      <c r="T73" s="356">
        <f>IF(売分析!Z73&lt;&gt;"",売分析!Z73,"")</f>
        <v>-1.3169446883230904</v>
      </c>
      <c r="U73" s="350" t="str">
        <f>IF(売分析!V73&lt;&gt;"",売分析!V73,"")</f>
        <v>安値圏</v>
      </c>
      <c r="V73" s="354">
        <f>IF(売分析!W73&lt;&gt;"",売分析!W73,"")</f>
        <v>33.578656853725846</v>
      </c>
      <c r="W73" s="350" t="str">
        <f>IF(売分析!AD73&lt;&gt;"",売分析!AD73,"")</f>
        <v>もみ合い→</v>
      </c>
      <c r="X73" s="350" t="str">
        <f>IF(売分析!AE73&lt;&gt;"",売分析!AE73,"")</f>
        <v>なし</v>
      </c>
      <c r="Y73" s="427">
        <f>IF(売分析!T73&lt;&gt;"",売分析!T73,"")</f>
        <v>12</v>
      </c>
      <c r="Z73" s="350" t="str">
        <f>IF(売分析!Y73&lt;&gt;"",売分析!Y73,"")</f>
        <v>相場上昇・見送り | もみ合い→ MACD- RSI:33.6 前日比:-1.3% [安値圏] [大陰線▼] [12点]</v>
      </c>
    </row>
    <row r="74" spans="1:26">
      <c r="A74" s="230">
        <f>IF(売分析!C74&lt;&gt;"",ROW()-2,"")</f>
        <v>72</v>
      </c>
      <c r="B74" s="357" t="str">
        <f>IF(売分析!C74&lt;&gt;"",HYPERLINK("https://kabutan.jp/stock/?code="&amp;売分析!C74,"株探"),"")</f>
        <v>株探</v>
      </c>
      <c r="C74" s="366">
        <f>IF(売分析!C74&lt;&gt;"",売分析!C74,"")</f>
        <v>5892</v>
      </c>
      <c r="D74" s="230" t="str">
        <f>IF(売分析!D74&lt;&gt;"",売分析!D74,"")</f>
        <v>ＹＵＴＯＲＩ</v>
      </c>
      <c r="E74" s="358">
        <f>IF(売分析!E74&lt;&gt;"",売分析!E74,"")</f>
        <v>2192</v>
      </c>
      <c r="F74" s="358">
        <f>IF(売分析!F74&lt;&gt;"",売分析!F74,"")</f>
        <v>2046</v>
      </c>
      <c r="G74" s="358">
        <f>IF(売分析!H74&lt;&gt;"",売分析!H74,"")</f>
        <v>2214</v>
      </c>
      <c r="H74" s="358">
        <f>IF(売分析!I74&lt;&gt;"",売分析!I74,"")</f>
        <v>2046</v>
      </c>
      <c r="I74" s="230">
        <f>IF(売分析!J74&lt;&gt;"",売分析!J74,"")</f>
        <v>109600</v>
      </c>
      <c r="J74" s="358">
        <f>IF(売分析!AB74&lt;&gt;"",売分析!AB74,"")</f>
        <v>2112.8398617511516</v>
      </c>
      <c r="K74" s="358">
        <f>IF(売分析!AC74&lt;&gt;"",売分析!AC74,"")</f>
        <v>2213.3575685339674</v>
      </c>
      <c r="L74" s="358">
        <f>IF(売分析!K74&lt;&gt;"",売分析!K74,"")</f>
        <v>2993</v>
      </c>
      <c r="M74" s="230" t="str">
        <f>IF(売分析!P74&lt;&gt;"",売分析!P74,"")</f>
        <v>普通→</v>
      </c>
      <c r="N74" s="360">
        <f>IF(売分析!O74&lt;&gt;"",売分析!O74,"")</f>
        <v>1.2248547161376844</v>
      </c>
      <c r="O74" s="362">
        <f>IF(売分析!X74&lt;&gt;"",売分析!X74,"")</f>
        <v>-35.319950326183061</v>
      </c>
      <c r="P74" s="359">
        <f>IF(売分析!L74&lt;&gt;"",売分析!L74,"")</f>
        <v>-26.762445706648847</v>
      </c>
      <c r="Q74" s="358">
        <f>IF(売分析!S74&lt;&gt;"",売分析!S74,"")</f>
        <v>2280</v>
      </c>
      <c r="R74" s="358">
        <f>IF(売分析!R74&lt;&gt;"",売分析!R74,"")</f>
        <v>2017</v>
      </c>
      <c r="S74" s="230" t="str">
        <f>IF(売分析!AA74&lt;&gt;"",売分析!AA74,"")</f>
        <v>上昇▲</v>
      </c>
      <c r="T74" s="363">
        <f>IF(売分析!Z74&lt;&gt;"",売分析!Z74,"")</f>
        <v>7.4509803921568629</v>
      </c>
      <c r="U74" s="230" t="str">
        <f>IF(売分析!V74&lt;&gt;"",売分析!V74,"")</f>
        <v>安値圏</v>
      </c>
      <c r="V74" s="361">
        <f>IF(売分析!W74&lt;&gt;"",売分析!W74,"")</f>
        <v>30.854605993340726</v>
      </c>
      <c r="W74" s="230" t="str">
        <f>IF(売分析!AD74&lt;&gt;"",売分析!AD74,"")</f>
        <v>もみ合い→</v>
      </c>
      <c r="X74" s="230" t="str">
        <f>IF(売分析!AE74&lt;&gt;"",売分析!AE74,"")</f>
        <v>25日戻り売り★</v>
      </c>
      <c r="Y74" s="428">
        <f>IF(売分析!T74&lt;&gt;"",売分析!T74,"")</f>
        <v>6</v>
      </c>
      <c r="Z74" s="230" t="str">
        <f>IF(売分析!Y74&lt;&gt;"",売分析!Y74,"")</f>
        <v>○逆張り売り | もみ合い→ 25日戻り売り★ MACD- RSI:30.9 前日比:+7.5% [安値圏] [6点]</v>
      </c>
    </row>
    <row r="75" spans="1:26">
      <c r="A75" s="350">
        <f>IF(売分析!C75&lt;&gt;"",ROW()-2,"")</f>
        <v>73</v>
      </c>
      <c r="B75" s="349" t="str">
        <f>IF(売分析!C75&lt;&gt;"",HYPERLINK("https://kabutan.jp/stock/?code="&amp;売分析!C75,"株探"),"")</f>
        <v>株探</v>
      </c>
      <c r="C75" s="365">
        <f>IF(売分析!C75&lt;&gt;"",売分析!C75,"")</f>
        <v>4182</v>
      </c>
      <c r="D75" s="350" t="str">
        <f>IF(売分析!D75&lt;&gt;"",売分析!D75,"")</f>
        <v>三菱瓦斯化学</v>
      </c>
      <c r="E75" s="351">
        <f>IF(売分析!E75&lt;&gt;"",売分析!E75,"")</f>
        <v>5116</v>
      </c>
      <c r="F75" s="351">
        <f>IF(売分析!F75&lt;&gt;"",売分析!F75,"")</f>
        <v>5000</v>
      </c>
      <c r="G75" s="351">
        <f>IF(売分析!H75&lt;&gt;"",売分析!H75,"")</f>
        <v>5174</v>
      </c>
      <c r="H75" s="351">
        <f>IF(売分析!I75&lt;&gt;"",売分析!I75,"")</f>
        <v>4945</v>
      </c>
      <c r="I75" s="350">
        <f>IF(売分析!J75&lt;&gt;"",売分析!J75,"")</f>
        <v>1114200</v>
      </c>
      <c r="J75" s="351">
        <f>IF(売分析!AB75&lt;&gt;"",売分析!AB75,"")</f>
        <v>4946.202764976958</v>
      </c>
      <c r="K75" s="351">
        <f>IF(売分析!AC75&lt;&gt;"",売分析!AC75,"")</f>
        <v>5002.7723480333716</v>
      </c>
      <c r="L75" s="351">
        <f>IF(売分析!K75&lt;&gt;"",売分析!K75,"")</f>
        <v>5626</v>
      </c>
      <c r="M75" s="350" t="str">
        <f>IF(売分析!P75&lt;&gt;"",売分析!P75,"")</f>
        <v>減少↓</v>
      </c>
      <c r="N75" s="353">
        <f>IF(売分析!O75&lt;&gt;"",売分析!O75,"")</f>
        <v>0.75265475965305739</v>
      </c>
      <c r="O75" s="355">
        <f>IF(売分析!X75&lt;&gt;"",売分析!X75,"")</f>
        <v>-11.330868217112766</v>
      </c>
      <c r="P75" s="352">
        <f>IF(売分析!L75&lt;&gt;"",売分析!L75,"")</f>
        <v>-9.0650551013153216</v>
      </c>
      <c r="Q75" s="351">
        <f>IF(売分析!S75&lt;&gt;"",売分析!S75,"")</f>
        <v>5321</v>
      </c>
      <c r="R75" s="351">
        <f>IF(売分析!R75&lt;&gt;"",売分析!R75,"")</f>
        <v>4707</v>
      </c>
      <c r="S75" s="350" t="str">
        <f>IF(売分析!AA75&lt;&gt;"",売分析!AA75,"")</f>
        <v>上昇▲</v>
      </c>
      <c r="T75" s="356">
        <f>IF(売分析!Z75&lt;&gt;"",売分析!Z75,"")</f>
        <v>0.51080550098231825</v>
      </c>
      <c r="U75" s="350" t="str">
        <f>IF(売分析!V75&lt;&gt;"",売分析!V75,"")</f>
        <v>通常</v>
      </c>
      <c r="V75" s="354">
        <f>IF(売分析!W75&lt;&gt;"",売分析!W75,"")</f>
        <v>46.770789362600254</v>
      </c>
      <c r="W75" s="350" t="str">
        <f>IF(売分析!AD75&lt;&gt;"",売分析!AD75,"")</f>
        <v>上昇トレンド▲</v>
      </c>
      <c r="X75" s="350" t="str">
        <f>IF(売分析!AE75&lt;&gt;"",売分析!AE75,"")</f>
        <v>なし</v>
      </c>
      <c r="Y75" s="427">
        <f>IF(売分析!T75&lt;&gt;"",売分析!T75,"")</f>
        <v>3</v>
      </c>
      <c r="Z75" s="350" t="str">
        <f>IF(売分析!Y75&lt;&gt;"",売分析!Y75,"")</f>
        <v>相場上昇・見送り | 上昇トレンド▲ MACD- RSI:46.8 前日比:+0.5% [3点]</v>
      </c>
    </row>
    <row r="76" spans="1:26">
      <c r="A76" s="230">
        <f>IF(売分析!C76&lt;&gt;"",ROW()-2,"")</f>
        <v>74</v>
      </c>
      <c r="B76" s="357" t="str">
        <f>IF(売分析!C76&lt;&gt;"",HYPERLINK("https://kabutan.jp/stock/?code="&amp;売分析!C76,"株探"),"")</f>
        <v>株探</v>
      </c>
      <c r="C76" s="366">
        <f>IF(売分析!C76&lt;&gt;"",売分析!C76,"")</f>
        <v>7021</v>
      </c>
      <c r="D76" s="230" t="str">
        <f>IF(売分析!D76&lt;&gt;"",売分析!D76,"")</f>
        <v>ニッチツ</v>
      </c>
      <c r="E76" s="358">
        <f>IF(売分析!E76&lt;&gt;"",売分析!E76,"")</f>
        <v>1800</v>
      </c>
      <c r="F76" s="358">
        <f>IF(売分析!F76&lt;&gt;"",売分析!F76,"")</f>
        <v>1809</v>
      </c>
      <c r="G76" s="358">
        <f>IF(売分析!H76&lt;&gt;"",売分析!H76,"")</f>
        <v>1810</v>
      </c>
      <c r="H76" s="358">
        <f>IF(売分析!I76&lt;&gt;"",売分析!I76,"")</f>
        <v>1800</v>
      </c>
      <c r="I76" s="230">
        <f>IF(売分析!J76&lt;&gt;"",売分析!J76,"")</f>
        <v>800</v>
      </c>
      <c r="J76" s="358">
        <f>IF(売分析!AB76&lt;&gt;"",売分析!AB76,"")</f>
        <v>1800.0748847926263</v>
      </c>
      <c r="K76" s="358">
        <f>IF(売分析!AC76&lt;&gt;"",売分析!AC76,"")</f>
        <v>1835.1632896305118</v>
      </c>
      <c r="L76" s="358">
        <f>IF(売分析!K76&lt;&gt;"",売分析!K76,"")</f>
        <v>2539</v>
      </c>
      <c r="M76" s="230" t="str">
        <f>IF(売分析!P76&lt;&gt;"",売分析!P76,"")</f>
        <v>普通→</v>
      </c>
      <c r="N76" s="360">
        <f>IF(売分析!O76&lt;&gt;"",売分析!O76,"")</f>
        <v>1.0526315789473684</v>
      </c>
      <c r="O76" s="362">
        <f>IF(売分析!X76&lt;&gt;"",売分析!X76,"")</f>
        <v>-20.419210393289177</v>
      </c>
      <c r="P76" s="359">
        <f>IF(売分析!L76&lt;&gt;"",売分析!L76,"")</f>
        <v>-29.105947223316264</v>
      </c>
      <c r="Q76" s="358">
        <f>IF(売分析!S76&lt;&gt;"",売分析!S76,"")</f>
        <v>1872</v>
      </c>
      <c r="R76" s="358">
        <f>IF(売分析!R76&lt;&gt;"",売分析!R76,"")</f>
        <v>1656</v>
      </c>
      <c r="S76" s="230" t="str">
        <f>IF(売分析!AA76&lt;&gt;"",売分析!AA76,"")</f>
        <v>下落▼</v>
      </c>
      <c r="T76" s="363">
        <f>IF(売分析!Z76&lt;&gt;"",売分析!Z76,"")</f>
        <v>-0.49751243781094528</v>
      </c>
      <c r="U76" s="230" t="str">
        <f>IF(売分析!V76&lt;&gt;"",売分析!V76,"")</f>
        <v>安値圏</v>
      </c>
      <c r="V76" s="361">
        <f>IF(売分析!W76&lt;&gt;"",売分析!W76,"")</f>
        <v>50.666666666666671</v>
      </c>
      <c r="W76" s="230" t="str">
        <f>IF(売分析!AD76&lt;&gt;"",売分析!AD76,"")</f>
        <v>下降トレンド▼</v>
      </c>
      <c r="X76" s="230" t="str">
        <f>IF(売分析!AE76&lt;&gt;"",売分析!AE76,"")</f>
        <v>25日戻り売り★</v>
      </c>
      <c r="Y76" s="428">
        <f>IF(売分析!T76&lt;&gt;"",売分析!T76,"")</f>
        <v>17</v>
      </c>
      <c r="Z76" s="230" t="str">
        <f>IF(売分析!Y76&lt;&gt;"",売分析!Y76,"")</f>
        <v>★逆張り売り | 下降トレンド▼ 25日戻り売り★ MACD- RSI:50.7 前日比:-0.5% [安値圏] [大陰線▼] [17点]</v>
      </c>
    </row>
    <row r="77" spans="1:26">
      <c r="A77" s="350">
        <f>IF(売分析!C77&lt;&gt;"",ROW()-2,"")</f>
        <v>75</v>
      </c>
      <c r="B77" s="349" t="str">
        <f>IF(売分析!C77&lt;&gt;"",HYPERLINK("https://kabutan.jp/stock/?code="&amp;売分析!C77,"株探"),"")</f>
        <v>株探</v>
      </c>
      <c r="C77" s="365">
        <f>IF(売分析!C77&lt;&gt;"",売分析!C77,"")</f>
        <v>9449</v>
      </c>
      <c r="D77" s="350" t="str">
        <f>IF(売分析!D77&lt;&gt;"",売分析!D77,"")</f>
        <v>ＧＭＯインターネットグループ</v>
      </c>
      <c r="E77" s="351">
        <f>IF(売分析!E77&lt;&gt;"",売分析!E77,"")</f>
        <v>3098</v>
      </c>
      <c r="F77" s="351">
        <f>IF(売分析!F77&lt;&gt;"",売分析!F77,"")</f>
        <v>3100</v>
      </c>
      <c r="G77" s="351">
        <f>IF(売分析!H77&lt;&gt;"",売分析!H77,"")</f>
        <v>3128</v>
      </c>
      <c r="H77" s="351">
        <f>IF(売分析!I77&lt;&gt;"",売分析!I77,"")</f>
        <v>3063</v>
      </c>
      <c r="I77" s="350">
        <f>IF(売分析!J77&lt;&gt;"",売分析!J77,"")</f>
        <v>248200</v>
      </c>
      <c r="J77" s="351">
        <f>IF(売分析!AB77&lt;&gt;"",売分析!AB77,"")</f>
        <v>3115.5403225806449</v>
      </c>
      <c r="K77" s="351">
        <f>IF(売分析!AC77&lt;&gt;"",売分析!AC77,"")</f>
        <v>3222.6209773539917</v>
      </c>
      <c r="L77" s="351">
        <f>IF(売分析!K77&lt;&gt;"",売分析!K77,"")</f>
        <v>4118</v>
      </c>
      <c r="M77" s="350" t="str">
        <f>IF(売分析!P77&lt;&gt;"",売分析!P77,"")</f>
        <v>減少↓</v>
      </c>
      <c r="N77" s="353">
        <f>IF(売分析!O77&lt;&gt;"",売分析!O77,"")</f>
        <v>0.87443630214205181</v>
      </c>
      <c r="O77" s="355">
        <f>IF(売分析!X77&lt;&gt;"",売分析!X77,"")</f>
        <v>-20.772917421258171</v>
      </c>
      <c r="P77" s="352">
        <f>IF(売分析!L77&lt;&gt;"",売分析!L77,"")</f>
        <v>-24.769305488101022</v>
      </c>
      <c r="Q77" s="351">
        <f>IF(売分析!S77&lt;&gt;"",売分析!S77,"")</f>
        <v>3222</v>
      </c>
      <c r="R77" s="351">
        <f>IF(売分析!R77&lt;&gt;"",売分析!R77,"")</f>
        <v>2850</v>
      </c>
      <c r="S77" s="350" t="str">
        <f>IF(売分析!AA77&lt;&gt;"",売分析!AA77,"")</f>
        <v>上昇▲</v>
      </c>
      <c r="T77" s="356">
        <f>IF(売分析!Z77&lt;&gt;"",売分析!Z77,"")</f>
        <v>0.48653908530651963</v>
      </c>
      <c r="U77" s="350" t="str">
        <f>IF(売分析!V77&lt;&gt;"",売分析!V77,"")</f>
        <v>安値圏</v>
      </c>
      <c r="V77" s="354">
        <f>IF(売分析!W77&lt;&gt;"",売分析!W77,"")</f>
        <v>22.003577817531294</v>
      </c>
      <c r="W77" s="350" t="str">
        <f>IF(売分析!AD77&lt;&gt;"",売分析!AD77,"")</f>
        <v>下降トレンド▼</v>
      </c>
      <c r="X77" s="350" t="str">
        <f>IF(売分析!AE77&lt;&gt;"",売分析!AE77,"")</f>
        <v>5日戻り売り○</v>
      </c>
      <c r="Y77" s="427">
        <f>IF(売分析!T77&lt;&gt;"",売分析!T77,"")</f>
        <v>10</v>
      </c>
      <c r="Z77" s="350" t="str">
        <f>IF(売分析!Y77&lt;&gt;"",売分析!Y77,"")</f>
        <v>★逆張り売り | 下降トレンド▼ 5日戻り売り○ MACD- RSI:22.0 [売られ過ぎ] 前日比:+0.5% [安値圏]前日[長い下ヒゲ(反発)] [10点]</v>
      </c>
    </row>
    <row r="78" spans="1:26">
      <c r="A78" s="230">
        <f>IF(売分析!C78&lt;&gt;"",ROW()-2,"")</f>
        <v>76</v>
      </c>
      <c r="B78" s="357" t="str">
        <f>IF(売分析!C78&lt;&gt;"",HYPERLINK("https://kabutan.jp/stock/?code="&amp;売分析!C78,"株探"),"")</f>
        <v>株探</v>
      </c>
      <c r="C78" s="366">
        <f>IF(売分析!C78&lt;&gt;"",売分析!C78,"")</f>
        <v>9404</v>
      </c>
      <c r="D78" s="230" t="str">
        <f>IF(売分析!D78&lt;&gt;"",売分析!D78,"")</f>
        <v>日本テレビＨＬＤＳ</v>
      </c>
      <c r="E78" s="358">
        <f>IF(売分析!E78&lt;&gt;"",売分析!E78,"")</f>
        <v>2834</v>
      </c>
      <c r="F78" s="358">
        <f>IF(売分析!F78&lt;&gt;"",売分析!F78,"")</f>
        <v>2897.5</v>
      </c>
      <c r="G78" s="358">
        <f>IF(売分析!H78&lt;&gt;"",売分析!H78,"")</f>
        <v>2900</v>
      </c>
      <c r="H78" s="358">
        <f>IF(売分析!I78&lt;&gt;"",売分析!I78,"")</f>
        <v>2834</v>
      </c>
      <c r="I78" s="230">
        <f>IF(売分析!J78&lt;&gt;"",売分析!J78,"")</f>
        <v>431500</v>
      </c>
      <c r="J78" s="358">
        <f>IF(売分析!AB78&lt;&gt;"",売分析!AB78,"")</f>
        <v>2854.4976958525344</v>
      </c>
      <c r="K78" s="358">
        <f>IF(売分析!AC78&lt;&gt;"",売分析!AC78,"")</f>
        <v>2862.1579261025013</v>
      </c>
      <c r="L78" s="358">
        <f>IF(売分析!K78&lt;&gt;"",売分析!K78,"")</f>
        <v>3953</v>
      </c>
      <c r="M78" s="230" t="str">
        <f>IF(売分析!P78&lt;&gt;"",売分析!P78,"")</f>
        <v>減少↓</v>
      </c>
      <c r="N78" s="360">
        <f>IF(売分析!O78&lt;&gt;"",売分析!O78,"")</f>
        <v>0.74225066226304748</v>
      </c>
      <c r="O78" s="362">
        <f>IF(売分析!X78&lt;&gt;"",売分析!X78,"")</f>
        <v>-7.9414193258194246</v>
      </c>
      <c r="P78" s="359">
        <f>IF(売分析!L78&lt;&gt;"",売分析!L78,"")</f>
        <v>-28.30761447002277</v>
      </c>
      <c r="Q78" s="358">
        <f>IF(売分析!S78&lt;&gt;"",売分析!S78,"")</f>
        <v>2947</v>
      </c>
      <c r="R78" s="358">
        <f>IF(売分析!R78&lt;&gt;"",売分析!R78,"")</f>
        <v>2607</v>
      </c>
      <c r="S78" s="230" t="str">
        <f>IF(売分析!AA78&lt;&gt;"",売分析!AA78,"")</f>
        <v>下落▼</v>
      </c>
      <c r="T78" s="363">
        <f>IF(売分析!Z78&lt;&gt;"",売分析!Z78,"")</f>
        <v>-1.7337031900138695</v>
      </c>
      <c r="U78" s="230" t="str">
        <f>IF(売分析!V78&lt;&gt;"",売分析!V78,"")</f>
        <v>安値圏</v>
      </c>
      <c r="V78" s="361">
        <f>IF(売分析!W78&lt;&gt;"",売分析!W78,"")</f>
        <v>56.145675265553869</v>
      </c>
      <c r="W78" s="230" t="str">
        <f>IF(売分析!AD78&lt;&gt;"",売分析!AD78,"")</f>
        <v>下降トレンド▼</v>
      </c>
      <c r="X78" s="230" t="str">
        <f>IF(売分析!AE78&lt;&gt;"",売分析!AE78,"")</f>
        <v>25日戻り売り★</v>
      </c>
      <c r="Y78" s="428">
        <f>IF(売分析!T78&lt;&gt;"",売分析!T78,"")</f>
        <v>17</v>
      </c>
      <c r="Z78" s="230" t="str">
        <f>IF(売分析!Y78&lt;&gt;"",売分析!Y78,"")</f>
        <v>★逆張り売り | 下降トレンド▼ 25日戻り売り★ MACD- RSI:56.1 前日比:-1.7% [安値圏] [大陰線▼] [17点]</v>
      </c>
    </row>
    <row r="79" spans="1:26">
      <c r="A79" s="350">
        <f>IF(売分析!C79&lt;&gt;"",ROW()-2,"")</f>
        <v>77</v>
      </c>
      <c r="B79" s="349" t="str">
        <f>IF(売分析!C79&lt;&gt;"",HYPERLINK("https://kabutan.jp/stock/?code="&amp;売分析!C79,"株探"),"")</f>
        <v>株探</v>
      </c>
      <c r="C79" s="365">
        <f>IF(売分析!C79&lt;&gt;"",売分析!C79,"")</f>
        <v>9532</v>
      </c>
      <c r="D79" s="350" t="str">
        <f>IF(売分析!D79&lt;&gt;"",売分析!D79,"")</f>
        <v>大阪瓦斯</v>
      </c>
      <c r="E79" s="351">
        <f>IF(売分析!E79&lt;&gt;"",売分析!E79,"")</f>
        <v>5446</v>
      </c>
      <c r="F79" s="351">
        <f>IF(売分析!F79&lt;&gt;"",売分析!F79,"")</f>
        <v>5527</v>
      </c>
      <c r="G79" s="351">
        <f>IF(売分析!H79&lt;&gt;"",売分析!H79,"")</f>
        <v>5543</v>
      </c>
      <c r="H79" s="351">
        <f>IF(売分析!I79&lt;&gt;"",売分析!I79,"")</f>
        <v>5420</v>
      </c>
      <c r="I79" s="350">
        <f>IF(売分析!J79&lt;&gt;"",売分析!J79,"")</f>
        <v>723500</v>
      </c>
      <c r="J79" s="351">
        <f>IF(売分析!AB79&lt;&gt;"",売分析!AB79,"")</f>
        <v>5514.942396313364</v>
      </c>
      <c r="K79" s="351">
        <f>IF(売分析!AC79&lt;&gt;"",売分析!AC79,"")</f>
        <v>5536.2407628128694</v>
      </c>
      <c r="L79" s="351">
        <f>IF(売分析!K79&lt;&gt;"",売分析!K79,"")</f>
        <v>6828</v>
      </c>
      <c r="M79" s="350" t="str">
        <f>IF(売分析!P79&lt;&gt;"",売分析!P79,"")</f>
        <v>減少↓</v>
      </c>
      <c r="N79" s="353">
        <f>IF(売分析!O79&lt;&gt;"",売分析!O79,"")</f>
        <v>0.68899512418101483</v>
      </c>
      <c r="O79" s="355">
        <f>IF(売分析!X79&lt;&gt;"",売分析!X79,"")</f>
        <v>-16.048555359635429</v>
      </c>
      <c r="P79" s="352">
        <f>IF(売分析!L79&lt;&gt;"",売分析!L79,"")</f>
        <v>-20.240187463386057</v>
      </c>
      <c r="Q79" s="351">
        <f>IF(売分析!S79&lt;&gt;"",売分析!S79,"")</f>
        <v>5664</v>
      </c>
      <c r="R79" s="351">
        <f>IF(売分析!R79&lt;&gt;"",売分析!R79,"")</f>
        <v>5010</v>
      </c>
      <c r="S79" s="350" t="str">
        <f>IF(売分析!AA79&lt;&gt;"",売分析!AA79,"")</f>
        <v>下落▼</v>
      </c>
      <c r="T79" s="356">
        <f>IF(売分析!Z79&lt;&gt;"",売分析!Z79,"")</f>
        <v>-0.63856960408684549</v>
      </c>
      <c r="U79" s="350" t="str">
        <f>IF(売分析!V79&lt;&gt;"",売分析!V79,"")</f>
        <v>通常</v>
      </c>
      <c r="V79" s="354">
        <f>IF(売分析!W79&lt;&gt;"",売分析!W79,"")</f>
        <v>45.742574257425744</v>
      </c>
      <c r="W79" s="350" t="str">
        <f>IF(売分析!AD79&lt;&gt;"",売分析!AD79,"")</f>
        <v>下降トレンド▼</v>
      </c>
      <c r="X79" s="350" t="str">
        <f>IF(売分析!AE79&lt;&gt;"",売分析!AE79,"")</f>
        <v>25日戻り売り★</v>
      </c>
      <c r="Y79" s="427">
        <f>IF(売分析!T79&lt;&gt;"",売分析!T79,"")</f>
        <v>12</v>
      </c>
      <c r="Z79" s="350" t="str">
        <f>IF(売分析!Y79&lt;&gt;"",売分析!Y79,"")</f>
        <v>★逆張り売り | 下降トレンド▼ 25日戻り売り★ MACD- RSI:45.7 前日比:-0.6% [12点]</v>
      </c>
    </row>
    <row r="80" spans="1:26">
      <c r="A80" s="230">
        <f>IF(売分析!C80&lt;&gt;"",ROW()-2,"")</f>
        <v>78</v>
      </c>
      <c r="B80" s="357" t="str">
        <f>IF(売分析!C80&lt;&gt;"",HYPERLINK("https://kabutan.jp/stock/?code="&amp;売分析!C80,"株探"),"")</f>
        <v>株探</v>
      </c>
      <c r="C80" s="366">
        <f>IF(売分析!C80&lt;&gt;"",売分析!C80,"")</f>
        <v>7794</v>
      </c>
      <c r="D80" s="230" t="str">
        <f>IF(売分析!D80&lt;&gt;"",売分析!D80,"")</f>
        <v>イーディーピー</v>
      </c>
      <c r="E80" s="358">
        <f>IF(売分析!E80&lt;&gt;"",売分析!E80,"")</f>
        <v>1097</v>
      </c>
      <c r="F80" s="358">
        <f>IF(売分析!F80&lt;&gt;"",売分析!F80,"")</f>
        <v>1074</v>
      </c>
      <c r="G80" s="358">
        <f>IF(売分析!H80&lt;&gt;"",売分析!H80,"")</f>
        <v>1098</v>
      </c>
      <c r="H80" s="358">
        <f>IF(売分析!I80&lt;&gt;"",売分析!I80,"")</f>
        <v>1062</v>
      </c>
      <c r="I80" s="230">
        <f>IF(売分析!J80&lt;&gt;"",売分析!J80,"")</f>
        <v>237400</v>
      </c>
      <c r="J80" s="358">
        <f>IF(売分析!AB80&lt;&gt;"",売分析!AB80,"")</f>
        <v>1082.0472350230414</v>
      </c>
      <c r="K80" s="358">
        <f>IF(売分析!AC80&lt;&gt;"",売分析!AC80,"")</f>
        <v>1109.3015494636468</v>
      </c>
      <c r="L80" s="358">
        <f>IF(売分析!K80&lt;&gt;"",売分析!K80,"")</f>
        <v>3100</v>
      </c>
      <c r="M80" s="230" t="str">
        <f>IF(売分析!P80&lt;&gt;"",売分析!P80,"")</f>
        <v>普通→</v>
      </c>
      <c r="N80" s="360">
        <f>IF(売分析!O80&lt;&gt;"",売分析!O80,"")</f>
        <v>1.1276838305149155</v>
      </c>
      <c r="O80" s="362">
        <f>IF(売分析!X80&lt;&gt;"",売分析!X80,"")</f>
        <v>-14.158643761517624</v>
      </c>
      <c r="P80" s="359">
        <f>IF(売分析!L80&lt;&gt;"",売分析!L80,"")</f>
        <v>-64.612903225806448</v>
      </c>
      <c r="Q80" s="358">
        <f>IF(売分析!S80&lt;&gt;"",売分析!S80,"")</f>
        <v>1141</v>
      </c>
      <c r="R80" s="358">
        <f>IF(売分析!R80&lt;&gt;"",売分析!R80,"")</f>
        <v>1009</v>
      </c>
      <c r="S80" s="230" t="str">
        <f>IF(売分析!AA80&lt;&gt;"",売分析!AA80,"")</f>
        <v>上昇▲</v>
      </c>
      <c r="T80" s="363">
        <f>IF(売分析!Z80&lt;&gt;"",売分析!Z80,"")</f>
        <v>2.7153558052434459</v>
      </c>
      <c r="U80" s="230" t="str">
        <f>IF(売分析!V80&lt;&gt;"",売分析!V80,"")</f>
        <v>年初来安値圏●</v>
      </c>
      <c r="V80" s="361">
        <f>IF(売分析!W80&lt;&gt;"",売分析!W80,"")</f>
        <v>43.386243386243379</v>
      </c>
      <c r="W80" s="230" t="str">
        <f>IF(売分析!AD80&lt;&gt;"",売分析!AD80,"")</f>
        <v>もみ合い→</v>
      </c>
      <c r="X80" s="230" t="str">
        <f>IF(売分析!AE80&lt;&gt;"",売分析!AE80,"")</f>
        <v>25日戻り売り★</v>
      </c>
      <c r="Y80" s="428">
        <f>IF(売分析!T80&lt;&gt;"",売分析!T80,"")</f>
        <v>13</v>
      </c>
      <c r="Z80" s="230" t="str">
        <f>IF(売分析!Y80&lt;&gt;"",売分析!Y80,"")</f>
        <v>○逆張り売り | もみ合い→ 25日戻り売り★ MACD- RSI:43.4 前日比:+2.7% [年初来安値圏] [13点]</v>
      </c>
    </row>
    <row r="81" spans="1:26">
      <c r="A81" s="350">
        <f>IF(売分析!C81&lt;&gt;"",ROW()-2,"")</f>
        <v>79</v>
      </c>
      <c r="B81" s="349" t="str">
        <f>IF(売分析!C81&lt;&gt;"",HYPERLINK("https://kabutan.jp/stock/?code="&amp;売分析!C81,"株探"),"")</f>
        <v>株探</v>
      </c>
      <c r="C81" s="365">
        <f>IF(売分析!C81&lt;&gt;"",売分析!C81,"")</f>
        <v>3103</v>
      </c>
      <c r="D81" s="350" t="str">
        <f>IF(売分析!D81&lt;&gt;"",売分析!D81,"")</f>
        <v>ユニチカ</v>
      </c>
      <c r="E81" s="351">
        <f>IF(売分析!E81&lt;&gt;"",売分析!E81,"")</f>
        <v>1236</v>
      </c>
      <c r="F81" s="351">
        <f>IF(売分析!F81&lt;&gt;"",売分析!F81,"")</f>
        <v>1125</v>
      </c>
      <c r="G81" s="351">
        <f>IF(売分析!H81&lt;&gt;"",売分析!H81,"")</f>
        <v>1260</v>
      </c>
      <c r="H81" s="351">
        <f>IF(売分析!I81&lt;&gt;"",売分析!I81,"")</f>
        <v>1125</v>
      </c>
      <c r="I81" s="350">
        <f>IF(売分析!J81&lt;&gt;"",売分析!J81,"")</f>
        <v>6382500</v>
      </c>
      <c r="J81" s="351">
        <f>IF(売分析!AB81&lt;&gt;"",売分析!AB81,"")</f>
        <v>1180.7016129032256</v>
      </c>
      <c r="K81" s="351">
        <f>IF(売分析!AC81&lt;&gt;"",売分析!AC81,"")</f>
        <v>1306.8736591179972</v>
      </c>
      <c r="L81" s="351">
        <f>IF(売分析!K81&lt;&gt;"",売分析!K81,"")</f>
        <v>4380</v>
      </c>
      <c r="M81" s="350" t="str">
        <f>IF(売分析!P81&lt;&gt;"",売分析!P81,"")</f>
        <v>普通→</v>
      </c>
      <c r="N81" s="353">
        <f>IF(売分析!O81&lt;&gt;"",売分析!O81,"")</f>
        <v>1.3916082696307797</v>
      </c>
      <c r="O81" s="355">
        <f>IF(売分析!X81&lt;&gt;"",売分析!X81,"")</f>
        <v>-56.287797674723834</v>
      </c>
      <c r="P81" s="352">
        <f>IF(売分析!L81&lt;&gt;"",売分析!L81,"")</f>
        <v>-71.780821917808225</v>
      </c>
      <c r="Q81" s="351">
        <f>IF(売分析!S81&lt;&gt;"",売分析!S81,"")</f>
        <v>1285</v>
      </c>
      <c r="R81" s="351">
        <f>IF(売分析!R81&lt;&gt;"",売分析!R81,"")</f>
        <v>1137</v>
      </c>
      <c r="S81" s="350" t="str">
        <f>IF(売分析!AA81&lt;&gt;"",売分析!AA81,"")</f>
        <v>上昇▲</v>
      </c>
      <c r="T81" s="356">
        <f>IF(売分析!Z81&lt;&gt;"",売分析!Z81,"")</f>
        <v>9.4774136403897256</v>
      </c>
      <c r="U81" s="350" t="str">
        <f>IF(売分析!V81&lt;&gt;"",売分析!V81,"")</f>
        <v>年初来安値圏●</v>
      </c>
      <c r="V81" s="354">
        <f>IF(売分析!W81&lt;&gt;"",売分析!W81,"")</f>
        <v>19.701086956521735</v>
      </c>
      <c r="W81" s="350" t="str">
        <f>IF(売分析!AD81&lt;&gt;"",売分析!AD81,"")</f>
        <v>もみ合い→</v>
      </c>
      <c r="X81" s="350" t="str">
        <f>IF(売分析!AE81&lt;&gt;"",売分析!AE81,"")</f>
        <v>なし</v>
      </c>
      <c r="Y81" s="427">
        <f>IF(売分析!T81&lt;&gt;"",売分析!T81,"")</f>
        <v>11</v>
      </c>
      <c r="Z81" s="350" t="str">
        <f>IF(売分析!Y81&lt;&gt;"",売分析!Y81,"")</f>
        <v>相場上昇・見送り | もみ合い→ MACD- RSI:19.7 [売られ過ぎ] 前日比:+9.5% [年初来安値圏] [11点]</v>
      </c>
    </row>
    <row r="82" spans="1:26">
      <c r="A82" s="230">
        <f>IF(売分析!C82&lt;&gt;"",ROW()-2,"")</f>
        <v>80</v>
      </c>
      <c r="B82" s="357" t="str">
        <f>IF(売分析!C82&lt;&gt;"",HYPERLINK("https://kabutan.jp/stock/?code="&amp;売分析!C82,"株探"),"")</f>
        <v>株探</v>
      </c>
      <c r="C82" s="366">
        <f>IF(売分析!C82&lt;&gt;"",売分析!C82,"")</f>
        <v>4373</v>
      </c>
      <c r="D82" s="230" t="str">
        <f>IF(売分析!D82&lt;&gt;"",売分析!D82,"")</f>
        <v>シンプレクスＨＤ</v>
      </c>
      <c r="E82" s="358">
        <f>IF(売分析!E82&lt;&gt;"",売分析!E82,"")</f>
        <v>958</v>
      </c>
      <c r="F82" s="358">
        <f>IF(売分析!F82&lt;&gt;"",売分析!F82,"")</f>
        <v>966</v>
      </c>
      <c r="G82" s="358">
        <f>IF(売分析!H82&lt;&gt;"",売分析!H82,"")</f>
        <v>974</v>
      </c>
      <c r="H82" s="358">
        <f>IF(売分析!I82&lt;&gt;"",売分析!I82,"")</f>
        <v>950</v>
      </c>
      <c r="I82" s="230">
        <f>IF(売分析!J82&lt;&gt;"",売分析!J82,"")</f>
        <v>621300</v>
      </c>
      <c r="J82" s="358">
        <f>IF(売分析!AB82&lt;&gt;"",売分析!AB82,"")</f>
        <v>976.46889400921657</v>
      </c>
      <c r="K82" s="358">
        <f>IF(売分析!AC82&lt;&gt;"",売分析!AC82,"")</f>
        <v>1025.8974970202619</v>
      </c>
      <c r="L82" s="358">
        <f>IF(売分析!K82&lt;&gt;"",売分析!K82,"")</f>
        <v>1158</v>
      </c>
      <c r="M82" s="230" t="str">
        <f>IF(売分析!P82&lt;&gt;"",売分析!P82,"")</f>
        <v>減少↓</v>
      </c>
      <c r="N82" s="360">
        <f>IF(売分析!O82&lt;&gt;"",売分析!O82,"")</f>
        <v>0.67484196120174655</v>
      </c>
      <c r="O82" s="362">
        <f>IF(売分析!X82&lt;&gt;"",売分析!X82,"")</f>
        <v>1.5665999307436778</v>
      </c>
      <c r="P82" s="359">
        <f>IF(売分析!L82&lt;&gt;"",売分析!L82,"")</f>
        <v>-17.271157167530223</v>
      </c>
      <c r="Q82" s="358">
        <f>IF(売分析!S82&lt;&gt;"",売分析!S82,"")</f>
        <v>996</v>
      </c>
      <c r="R82" s="358">
        <f>IF(売分析!R82&lt;&gt;"",売分析!R82,"")</f>
        <v>881</v>
      </c>
      <c r="S82" s="230" t="str">
        <f>IF(売分析!AA82&lt;&gt;"",売分析!AA82,"")</f>
        <v>上昇▲</v>
      </c>
      <c r="T82" s="363">
        <f>IF(売分析!Z82&lt;&gt;"",売分析!Z82,"")</f>
        <v>0.10449320794148381</v>
      </c>
      <c r="U82" s="230" t="str">
        <f>IF(売分析!V82&lt;&gt;"",売分析!V82,"")</f>
        <v>通常</v>
      </c>
      <c r="V82" s="361">
        <f>IF(売分析!W82&lt;&gt;"",売分析!W82,"")</f>
        <v>40.133779264214049</v>
      </c>
      <c r="W82" s="230" t="str">
        <f>IF(売分析!AD82&lt;&gt;"",売分析!AD82,"")</f>
        <v>下降トレンド▼</v>
      </c>
      <c r="X82" s="230" t="str">
        <f>IF(売分析!AE82&lt;&gt;"",売分析!AE82,"")</f>
        <v>なし</v>
      </c>
      <c r="Y82" s="428">
        <f>IF(売分析!T82&lt;&gt;"",売分析!T82,"")</f>
        <v>5</v>
      </c>
      <c r="Z82" s="230" t="str">
        <f>IF(売分析!Y82&lt;&gt;"",売分析!Y82,"")</f>
        <v>相場上昇・見送り | 下降トレンド▼ MACD+ RSI:40.1 前日比:+0.1% [5点]</v>
      </c>
    </row>
    <row r="83" spans="1:26">
      <c r="A83" s="350">
        <f>IF(売分析!C83&lt;&gt;"",ROW()-2,"")</f>
        <v>81</v>
      </c>
      <c r="B83" s="349" t="str">
        <f>IF(売分析!C83&lt;&gt;"",HYPERLINK("https://kabutan.jp/stock/?code="&amp;売分析!C83,"株探"),"")</f>
        <v>株探</v>
      </c>
      <c r="C83" s="365">
        <f>IF(売分析!C83&lt;&gt;"",売分析!C83,"")</f>
        <v>1930</v>
      </c>
      <c r="D83" s="350" t="str">
        <f>IF(売分析!D83&lt;&gt;"",売分析!D83,"")</f>
        <v>北陸電気工事</v>
      </c>
      <c r="E83" s="351">
        <f>IF(売分析!E83&lt;&gt;"",売分析!E83,"")</f>
        <v>1699</v>
      </c>
      <c r="F83" s="351">
        <f>IF(売分析!F83&lt;&gt;"",売分析!F83,"")</f>
        <v>1664</v>
      </c>
      <c r="G83" s="351">
        <f>IF(売分析!H83&lt;&gt;"",売分析!H83,"")</f>
        <v>1701</v>
      </c>
      <c r="H83" s="351">
        <f>IF(売分析!I83&lt;&gt;"",売分析!I83,"")</f>
        <v>1664</v>
      </c>
      <c r="I83" s="350">
        <f>IF(売分析!J83&lt;&gt;"",売分析!J83,"")</f>
        <v>65400</v>
      </c>
      <c r="J83" s="351">
        <f>IF(売分析!AB83&lt;&gt;"",売分析!AB83,"")</f>
        <v>1651.9815668202762</v>
      </c>
      <c r="K83" s="351">
        <f>IF(売分析!AC83&lt;&gt;"",売分析!AC83,"")</f>
        <v>1630.650774731823</v>
      </c>
      <c r="L83" s="351">
        <f>IF(売分析!K83&lt;&gt;"",売分析!K83,"")</f>
        <v>1821</v>
      </c>
      <c r="M83" s="350" t="str">
        <f>IF(売分析!P83&lt;&gt;"",売分析!P83,"")</f>
        <v>普通→</v>
      </c>
      <c r="N83" s="353">
        <f>IF(売分析!O83&lt;&gt;"",売分析!O83,"")</f>
        <v>1.0228339067876133</v>
      </c>
      <c r="O83" s="355">
        <f>IF(売分析!X83&lt;&gt;"",売分析!X83,"")</f>
        <v>-4.8957486695926491</v>
      </c>
      <c r="P83" s="352">
        <f>IF(売分析!L83&lt;&gt;"",売分析!L83,"")</f>
        <v>-6.6996155958264687</v>
      </c>
      <c r="Q83" s="351">
        <f>IF(売分析!S83&lt;&gt;"",売分析!S83,"")</f>
        <v>1767</v>
      </c>
      <c r="R83" s="351">
        <f>IF(売分析!R83&lt;&gt;"",売分析!R83,"")</f>
        <v>1563</v>
      </c>
      <c r="S83" s="350" t="str">
        <f>IF(売分析!AA83&lt;&gt;"",売分析!AA83,"")</f>
        <v>上昇▲</v>
      </c>
      <c r="T83" s="356">
        <f>IF(売分析!Z83&lt;&gt;"",売分析!Z83,"")</f>
        <v>2.9073288915808604</v>
      </c>
      <c r="U83" s="350" t="str">
        <f>IF(売分析!V83&lt;&gt;"",売分析!V83,"")</f>
        <v>通常</v>
      </c>
      <c r="V83" s="354">
        <f>IF(売分析!W83&lt;&gt;"",売分析!W83,"")</f>
        <v>54.852320675105481</v>
      </c>
      <c r="W83" s="350" t="str">
        <f>IF(売分析!AD83&lt;&gt;"",売分析!AD83,"")</f>
        <v>パーフェクト▲</v>
      </c>
      <c r="X83" s="350" t="str">
        <f>IF(売分析!AE83&lt;&gt;"",売分析!AE83,"")</f>
        <v>なし</v>
      </c>
      <c r="Y83" s="427">
        <f>IF(売分析!T83&lt;&gt;"",売分析!T83,"")</f>
        <v>8</v>
      </c>
      <c r="Z83" s="350" t="str">
        <f>IF(売分析!Y83&lt;&gt;"",売分析!Y83,"")</f>
        <v>相場上昇・見送り | パーフェクト▲ MACD- RSI:54.9 前日比:+2.9%前日[大陰線▼] [8点]</v>
      </c>
    </row>
    <row r="84" spans="1:26">
      <c r="A84" s="230">
        <f>IF(売分析!C84&lt;&gt;"",ROW()-2,"")</f>
        <v>82</v>
      </c>
      <c r="B84" s="357" t="str">
        <f>IF(売分析!C84&lt;&gt;"",HYPERLINK("https://kabutan.jp/stock/?code="&amp;売分析!C84,"株探"),"")</f>
        <v>株探</v>
      </c>
      <c r="C84" s="366">
        <f>IF(売分析!C84&lt;&gt;"",売分析!C84,"")</f>
        <v>6920</v>
      </c>
      <c r="D84" s="230" t="str">
        <f>IF(売分析!D84&lt;&gt;"",売分析!D84,"")</f>
        <v>レーザーテック</v>
      </c>
      <c r="E84" s="358">
        <f>IF(売分析!E84&lt;&gt;"",売分析!E84,"")</f>
        <v>52700</v>
      </c>
      <c r="F84" s="358">
        <f>IF(売分析!F84&lt;&gt;"",売分析!F84,"")</f>
        <v>45870</v>
      </c>
      <c r="G84" s="358">
        <f>IF(売分析!H84&lt;&gt;"",売分析!H84,"")</f>
        <v>52980</v>
      </c>
      <c r="H84" s="358">
        <f>IF(売分析!I84&lt;&gt;"",売分析!I84,"")</f>
        <v>45770</v>
      </c>
      <c r="I84" s="230">
        <f>IF(売分析!J84&lt;&gt;"",売分析!J84,"")</f>
        <v>7716500</v>
      </c>
      <c r="J84" s="358">
        <f>IF(売分析!AB84&lt;&gt;"",売分析!AB84,"")</f>
        <v>48439.216589861746</v>
      </c>
      <c r="K84" s="358">
        <f>IF(売分析!AC84&lt;&gt;"",売分析!AC84,"")</f>
        <v>42787.616209773529</v>
      </c>
      <c r="L84" s="358">
        <f>IF(売分析!K84&lt;&gt;"",売分析!K84,"")</f>
        <v>48640</v>
      </c>
      <c r="M84" s="230" t="str">
        <f>IF(売分析!P84&lt;&gt;"",売分析!P84,"")</f>
        <v>増加↑</v>
      </c>
      <c r="N84" s="360">
        <f>IF(売分析!O84&lt;&gt;"",売分析!O84,"")</f>
        <v>1.7764318042644494</v>
      </c>
      <c r="O84" s="362">
        <f>IF(売分析!X84&lt;&gt;"",売分析!X84,"")</f>
        <v>943.60043623801903</v>
      </c>
      <c r="P84" s="359">
        <f>IF(売分析!L84&lt;&gt;"",売分析!L84,"")</f>
        <v>8.3470394736842106</v>
      </c>
      <c r="Q84" s="358">
        <f>IF(売分析!S84&lt;&gt;"",売分析!S84,"")</f>
        <v>54808</v>
      </c>
      <c r="R84" s="358">
        <f>IF(売分析!R84&lt;&gt;"",売分析!R84,"")</f>
        <v>48484</v>
      </c>
      <c r="S84" s="230" t="str">
        <f>IF(売分析!AA84&lt;&gt;"",売分析!AA84,"")</f>
        <v>上昇▲</v>
      </c>
      <c r="T84" s="363">
        <f>IF(売分析!Z84&lt;&gt;"",売分析!Z84,"")</f>
        <v>13.162980459523299</v>
      </c>
      <c r="U84" s="230" t="str">
        <f>IF(売分析!V84&lt;&gt;"",売分析!V84,"")</f>
        <v>通常</v>
      </c>
      <c r="V84" s="361">
        <f>IF(売分析!W84&lt;&gt;"",売分析!W84,"")</f>
        <v>60.9375</v>
      </c>
      <c r="W84" s="230" t="str">
        <f>IF(売分析!AD84&lt;&gt;"",売分析!AD84,"")</f>
        <v>パーフェクト▲</v>
      </c>
      <c r="X84" s="230" t="str">
        <f>IF(売分析!AE84&lt;&gt;"",売分析!AE84,"")</f>
        <v>なし</v>
      </c>
      <c r="Y84" s="428">
        <f>IF(売分析!T84&lt;&gt;"",売分析!T84,"")</f>
        <v>1</v>
      </c>
      <c r="Z84" s="230" t="str">
        <f>IF(売分析!Y84&lt;&gt;"",売分析!Y84,"")</f>
        <v>相場上昇・見送り | パーフェクト▲ MACD+ RSI:60.9 前日比:+13.2% [1点]</v>
      </c>
    </row>
    <row r="85" spans="1:26">
      <c r="A85" s="350">
        <f>IF(売分析!C85&lt;&gt;"",ROW()-2,"")</f>
        <v>83</v>
      </c>
      <c r="B85" s="349" t="str">
        <f>IF(売分析!C85&lt;&gt;"",HYPERLINK("https://kabutan.jp/stock/?code="&amp;売分析!C85,"株探"),"")</f>
        <v>株探</v>
      </c>
      <c r="C85" s="365">
        <f>IF(売分析!C85&lt;&gt;"",売分析!C85,"")</f>
        <v>6305</v>
      </c>
      <c r="D85" s="350" t="str">
        <f>IF(売分析!D85&lt;&gt;"",売分析!D85,"")</f>
        <v>日立建機</v>
      </c>
      <c r="E85" s="351">
        <f>IF(売分析!E85&lt;&gt;"",売分析!E85,"")</f>
        <v>5417</v>
      </c>
      <c r="F85" s="351">
        <f>IF(売分析!F85&lt;&gt;"",売分析!F85,"")</f>
        <v>5350</v>
      </c>
      <c r="G85" s="351">
        <f>IF(売分析!H85&lt;&gt;"",売分析!H85,"")</f>
        <v>5436</v>
      </c>
      <c r="H85" s="351">
        <f>IF(売分析!I85&lt;&gt;"",売分析!I85,"")</f>
        <v>5306</v>
      </c>
      <c r="I85" s="350">
        <f>IF(売分析!J85&lt;&gt;"",売分析!J85,"")</f>
        <v>1061100</v>
      </c>
      <c r="J85" s="351">
        <f>IF(売分析!AB85&lt;&gt;"",売分析!AB85,"")</f>
        <v>5356.2154377880188</v>
      </c>
      <c r="K85" s="351">
        <f>IF(売分析!AC85&lt;&gt;"",売分析!AC85,"")</f>
        <v>5256.0560190703181</v>
      </c>
      <c r="L85" s="351">
        <f>IF(売分析!K85&lt;&gt;"",売分析!K85,"")</f>
        <v>7225</v>
      </c>
      <c r="M85" s="350" t="str">
        <f>IF(売分析!P85&lt;&gt;"",売分析!P85,"")</f>
        <v>普通→</v>
      </c>
      <c r="N85" s="353">
        <f>IF(売分析!O85&lt;&gt;"",売分析!O85,"")</f>
        <v>1.1012516345974219</v>
      </c>
      <c r="O85" s="355">
        <f>IF(売分析!X85&lt;&gt;"",売分析!X85,"")</f>
        <v>28.292765056379721</v>
      </c>
      <c r="P85" s="352">
        <f>IF(売分析!L85&lt;&gt;"",売分析!L85,"")</f>
        <v>-25.024221453287197</v>
      </c>
      <c r="Q85" s="351">
        <f>IF(売分析!S85&lt;&gt;"",売分析!S85,"")</f>
        <v>5634</v>
      </c>
      <c r="R85" s="351">
        <f>IF(売分析!R85&lt;&gt;"",売分析!R85,"")</f>
        <v>4984</v>
      </c>
      <c r="S85" s="350" t="str">
        <f>IF(売分析!AA85&lt;&gt;"",売分析!AA85,"")</f>
        <v>下落▼</v>
      </c>
      <c r="T85" s="356">
        <f>IF(売分析!Z85&lt;&gt;"",売分析!Z85,"")</f>
        <v>-3.6907178446207785E-2</v>
      </c>
      <c r="U85" s="350" t="str">
        <f>IF(売分析!V85&lt;&gt;"",売分析!V85,"")</f>
        <v>安値圏</v>
      </c>
      <c r="V85" s="354">
        <f>IF(売分析!W85&lt;&gt;"",売分析!W85,"")</f>
        <v>64.230769230769226</v>
      </c>
      <c r="W85" s="350" t="str">
        <f>IF(売分析!AD85&lt;&gt;"",売分析!AD85,"")</f>
        <v>パーフェクト▲</v>
      </c>
      <c r="X85" s="350" t="str">
        <f>IF(売分析!AE85&lt;&gt;"",売分析!AE85,"")</f>
        <v>なし</v>
      </c>
      <c r="Y85" s="427">
        <f>IF(売分析!T85&lt;&gt;"",売分析!T85,"")</f>
        <v>9</v>
      </c>
      <c r="Z85" s="350" t="str">
        <f>IF(売分析!Y85&lt;&gt;"",売分析!Y85,"")</f>
        <v>相場上昇・見送り | パーフェクト▲ MACD+ RSI:64.2 前日比:-0.0% [安値圏]前日[大陰線▼] [9点]</v>
      </c>
    </row>
    <row r="86" spans="1:26">
      <c r="A86" s="230">
        <f>IF(売分析!C86&lt;&gt;"",ROW()-2,"")</f>
        <v>84</v>
      </c>
      <c r="B86" s="357" t="str">
        <f>IF(売分析!C86&lt;&gt;"",HYPERLINK("https://kabutan.jp/stock/?code="&amp;売分析!C86,"株探"),"")</f>
        <v>株探</v>
      </c>
      <c r="C86" s="366">
        <f>IF(売分析!C86&lt;&gt;"",売分析!C86,"")</f>
        <v>6758</v>
      </c>
      <c r="D86" s="230" t="str">
        <f>IF(売分析!D86&lt;&gt;"",売分析!D86,"")</f>
        <v>ソニーグループ</v>
      </c>
      <c r="E86" s="358">
        <f>IF(売分析!E86&lt;&gt;"",売分析!E86,"")</f>
        <v>3286</v>
      </c>
      <c r="F86" s="358">
        <f>IF(売分析!F86&lt;&gt;"",売分析!F86,"")</f>
        <v>3297</v>
      </c>
      <c r="G86" s="358">
        <f>IF(売分析!H86&lt;&gt;"",売分析!H86,"")</f>
        <v>3314</v>
      </c>
      <c r="H86" s="358">
        <f>IF(売分析!I86&lt;&gt;"",売分析!I86,"")</f>
        <v>3258</v>
      </c>
      <c r="I86" s="230">
        <f>IF(売分析!J86&lt;&gt;"",売分析!J86,"")</f>
        <v>13386100</v>
      </c>
      <c r="J86" s="358">
        <f>IF(売分析!AB86&lt;&gt;"",売分析!AB86,"")</f>
        <v>3301.2039170506905</v>
      </c>
      <c r="K86" s="358">
        <f>IF(売分析!AC86&lt;&gt;"",売分析!AC86,"")</f>
        <v>3459.9070321811664</v>
      </c>
      <c r="L86" s="358">
        <f>IF(売分析!K86&lt;&gt;"",売分析!K86,"")</f>
        <v>4124</v>
      </c>
      <c r="M86" s="230" t="str">
        <f>IF(売分析!P86&lt;&gt;"",売分析!P86,"")</f>
        <v>減少↓</v>
      </c>
      <c r="N86" s="360">
        <f>IF(売分析!O86&lt;&gt;"",売分析!O86,"")</f>
        <v>0.74390283210017327</v>
      </c>
      <c r="O86" s="362">
        <f>IF(売分析!X86&lt;&gt;"",売分析!X86,"")</f>
        <v>-38.862085504240895</v>
      </c>
      <c r="P86" s="359">
        <f>IF(売分析!L86&lt;&gt;"",売分析!L86,"")</f>
        <v>-20.320077594568382</v>
      </c>
      <c r="Q86" s="358">
        <f>IF(売分析!S86&lt;&gt;"",売分析!S86,"")</f>
        <v>3417</v>
      </c>
      <c r="R86" s="358">
        <f>IF(売分析!R86&lt;&gt;"",売分析!R86,"")</f>
        <v>3023</v>
      </c>
      <c r="S86" s="230" t="str">
        <f>IF(売分析!AA86&lt;&gt;"",売分析!AA86,"")</f>
        <v>上昇▲</v>
      </c>
      <c r="T86" s="363">
        <f>IF(売分析!Z86&lt;&gt;"",売分析!Z86,"")</f>
        <v>0.33587786259541985</v>
      </c>
      <c r="U86" s="230" t="str">
        <f>IF(売分析!V86&lt;&gt;"",売分析!V86,"")</f>
        <v>通常</v>
      </c>
      <c r="V86" s="361">
        <f>IF(売分析!W86&lt;&gt;"",売分析!W86,"")</f>
        <v>30.086313193588168</v>
      </c>
      <c r="W86" s="230" t="str">
        <f>IF(売分析!AD86&lt;&gt;"",売分析!AD86,"")</f>
        <v>下降トレンド▼</v>
      </c>
      <c r="X86" s="230" t="str">
        <f>IF(売分析!AE86&lt;&gt;"",売分析!AE86,"")</f>
        <v>5日戻り売り○</v>
      </c>
      <c r="Y86" s="428">
        <f>IF(売分析!T86&lt;&gt;"",売分析!T86,"")</f>
        <v>10</v>
      </c>
      <c r="Z86" s="230" t="str">
        <f>IF(売分析!Y86&lt;&gt;"",売分析!Y86,"")</f>
        <v>★逆張り売り | 下降トレンド▼ 5日戻り売り○ MACD- RSI:30.1 前日比:+0.3% [10点]</v>
      </c>
    </row>
    <row r="87" spans="1:26">
      <c r="A87" s="350">
        <f>IF(売分析!C87&lt;&gt;"",ROW()-2,"")</f>
        <v>85</v>
      </c>
      <c r="B87" s="349" t="str">
        <f>IF(売分析!C87&lt;&gt;"",HYPERLINK("https://kabutan.jp/stock/?code="&amp;売分析!C87,"株探"),"")</f>
        <v>株探</v>
      </c>
      <c r="C87" s="365">
        <f>IF(売分析!C87&lt;&gt;"",売分析!C87,"")</f>
        <v>5711</v>
      </c>
      <c r="D87" s="350" t="str">
        <f>IF(売分析!D87&lt;&gt;"",売分析!D87,"")</f>
        <v>三菱マテリアル</v>
      </c>
      <c r="E87" s="351">
        <f>IF(売分析!E87&lt;&gt;"",売分析!E87,"")</f>
        <v>4882</v>
      </c>
      <c r="F87" s="351">
        <f>IF(売分析!F87&lt;&gt;"",売分析!F87,"")</f>
        <v>4870</v>
      </c>
      <c r="G87" s="351">
        <f>IF(売分析!H87&lt;&gt;"",売分析!H87,"")</f>
        <v>4965</v>
      </c>
      <c r="H87" s="351">
        <f>IF(売分析!I87&lt;&gt;"",売分析!I87,"")</f>
        <v>4842</v>
      </c>
      <c r="I87" s="350">
        <f>IF(売分析!J87&lt;&gt;"",売分析!J87,"")</f>
        <v>659400</v>
      </c>
      <c r="J87" s="351">
        <f>IF(売分析!AB87&lt;&gt;"",売分析!AB87,"")</f>
        <v>4763.5080645161279</v>
      </c>
      <c r="K87" s="351">
        <f>IF(売分析!AC87&lt;&gt;"",売分析!AC87,"")</f>
        <v>4926.9082240762791</v>
      </c>
      <c r="L87" s="351">
        <f>IF(売分析!K87&lt;&gt;"",売分析!K87,"")</f>
        <v>6126</v>
      </c>
      <c r="M87" s="350" t="str">
        <f>IF(売分析!P87&lt;&gt;"",売分析!P87,"")</f>
        <v>減少↓</v>
      </c>
      <c r="N87" s="353">
        <f>IF(売分析!O87&lt;&gt;"",売分析!O87,"")</f>
        <v>0.71594536492150007</v>
      </c>
      <c r="O87" s="355">
        <f>IF(売分析!X87&lt;&gt;"",売分析!X87,"")</f>
        <v>-66.449116180208875</v>
      </c>
      <c r="P87" s="352">
        <f>IF(売分析!L87&lt;&gt;"",売分析!L87,"")</f>
        <v>-20.306888671237349</v>
      </c>
      <c r="Q87" s="351">
        <f>IF(売分析!S87&lt;&gt;"",売分析!S87,"")</f>
        <v>5077</v>
      </c>
      <c r="R87" s="351">
        <f>IF(売分析!R87&lt;&gt;"",売分析!R87,"")</f>
        <v>4491</v>
      </c>
      <c r="S87" s="350" t="str">
        <f>IF(売分析!AA87&lt;&gt;"",売分析!AA87,"")</f>
        <v>下落▼</v>
      </c>
      <c r="T87" s="356">
        <f>IF(売分析!Z87&lt;&gt;"",売分析!Z87,"")</f>
        <v>-0.32666394446712943</v>
      </c>
      <c r="U87" s="350" t="str">
        <f>IF(売分析!V87&lt;&gt;"",売分析!V87,"")</f>
        <v>通常</v>
      </c>
      <c r="V87" s="354">
        <f>IF(売分析!W87&lt;&gt;"",売分析!W87,"")</f>
        <v>39.001848428835487</v>
      </c>
      <c r="W87" s="350" t="str">
        <f>IF(売分析!AD87&lt;&gt;"",売分析!AD87,"")</f>
        <v>もみ合い→</v>
      </c>
      <c r="X87" s="350" t="str">
        <f>IF(売分析!AE87&lt;&gt;"",売分析!AE87,"")</f>
        <v>25日戻り売り★</v>
      </c>
      <c r="Y87" s="427">
        <f>IF(売分析!T87&lt;&gt;"",売分析!T87,"")</f>
        <v>12</v>
      </c>
      <c r="Z87" s="350" t="str">
        <f>IF(売分析!Y87&lt;&gt;"",売分析!Y87,"")</f>
        <v>○逆張り売り | もみ合い→ 25日戻り売り★ MACD- RSI:39.0 前日比:-0.3%前日[大陰線▼] [12点]</v>
      </c>
    </row>
    <row r="88" spans="1:26">
      <c r="A88" s="230">
        <f>IF(売分析!C88&lt;&gt;"",ROW()-2,"")</f>
        <v>86</v>
      </c>
      <c r="B88" s="357" t="str">
        <f>IF(売分析!C88&lt;&gt;"",HYPERLINK("https://kabutan.jp/stock/?code="&amp;売分析!C88,"株探"),"")</f>
        <v>株探</v>
      </c>
      <c r="C88" s="366">
        <f>IF(売分析!C88&lt;&gt;"",売分析!C88,"")</f>
        <v>5021</v>
      </c>
      <c r="D88" s="230" t="str">
        <f>IF(売分析!D88&lt;&gt;"",売分析!D88,"")</f>
        <v>コスモエネルギーＨＬＤＧＳ</v>
      </c>
      <c r="E88" s="358">
        <f>IF(売分析!E88&lt;&gt;"",売分析!E88,"")</f>
        <v>3669</v>
      </c>
      <c r="F88" s="358">
        <f>IF(売分析!F88&lt;&gt;"",売分析!F88,"")</f>
        <v>3690</v>
      </c>
      <c r="G88" s="358">
        <f>IF(売分析!H88&lt;&gt;"",売分析!H88,"")</f>
        <v>3693</v>
      </c>
      <c r="H88" s="358">
        <f>IF(売分析!I88&lt;&gt;"",売分析!I88,"")</f>
        <v>3617</v>
      </c>
      <c r="I88" s="230">
        <f>IF(売分析!J88&lt;&gt;"",売分析!J88,"")</f>
        <v>524700</v>
      </c>
      <c r="J88" s="358">
        <f>IF(売分析!AB88&lt;&gt;"",売分析!AB88,"")</f>
        <v>3619.4078341013824</v>
      </c>
      <c r="K88" s="358">
        <f>IF(売分析!AC88&lt;&gt;"",売分析!AC88,"")</f>
        <v>3663.045292014302</v>
      </c>
      <c r="L88" s="358">
        <f>IF(売分析!K88&lt;&gt;"",売分析!K88,"")</f>
        <v>5034</v>
      </c>
      <c r="M88" s="230" t="str">
        <f>IF(売分析!P88&lt;&gt;"",売分析!P88,"")</f>
        <v>減少↓</v>
      </c>
      <c r="N88" s="360">
        <f>IF(売分析!O88&lt;&gt;"",売分析!O88,"")</f>
        <v>0.74124826943180855</v>
      </c>
      <c r="O88" s="362">
        <f>IF(売分析!X88&lt;&gt;"",売分析!X88,"")</f>
        <v>-19.730722539095041</v>
      </c>
      <c r="P88" s="359">
        <f>IF(売分析!L88&lt;&gt;"",売分析!L88,"")</f>
        <v>-27.115613825983313</v>
      </c>
      <c r="Q88" s="358">
        <f>IF(売分析!S88&lt;&gt;"",売分析!S88,"")</f>
        <v>3816</v>
      </c>
      <c r="R88" s="358">
        <f>IF(売分析!R88&lt;&gt;"",売分析!R88,"")</f>
        <v>3375</v>
      </c>
      <c r="S88" s="230" t="str">
        <f>IF(売分析!AA88&lt;&gt;"",売分析!AA88,"")</f>
        <v>下落▼</v>
      </c>
      <c r="T88" s="363">
        <f>IF(売分析!Z88&lt;&gt;"",売分析!Z88,"")</f>
        <v>-0.19042437431991296</v>
      </c>
      <c r="U88" s="230" t="str">
        <f>IF(売分析!V88&lt;&gt;"",売分析!V88,"")</f>
        <v>安値圏</v>
      </c>
      <c r="V88" s="361">
        <f>IF(売分析!W88&lt;&gt;"",売分析!W88,"")</f>
        <v>49.77116704805492</v>
      </c>
      <c r="W88" s="230" t="str">
        <f>IF(売分析!AD88&lt;&gt;"",売分析!AD88,"")</f>
        <v>上昇トレンド▲</v>
      </c>
      <c r="X88" s="230" t="str">
        <f>IF(売分析!AE88&lt;&gt;"",売分析!AE88,"")</f>
        <v>なし</v>
      </c>
      <c r="Y88" s="428">
        <f>IF(売分析!T88&lt;&gt;"",売分析!T88,"")</f>
        <v>7</v>
      </c>
      <c r="Z88" s="230" t="str">
        <f>IF(売分析!Y88&lt;&gt;"",売分析!Y88,"")</f>
        <v>相場上昇・見送り | 上昇トレンド▲ MACD- RSI:49.8 前日比:-0.2% [安値圏] [長い下ヒゲ(反発警戒)] [7点]</v>
      </c>
    </row>
    <row r="89" spans="1:26">
      <c r="A89" s="350">
        <f>IF(売分析!C89&lt;&gt;"",ROW()-2,"")</f>
        <v>87</v>
      </c>
      <c r="B89" s="349" t="str">
        <f>IF(売分析!C89&lt;&gt;"",HYPERLINK("https://kabutan.jp/stock/?code="&amp;売分析!C89,"株探"),"")</f>
        <v>株探</v>
      </c>
      <c r="C89" s="365">
        <f>IF(売分析!C89&lt;&gt;"",売分析!C89,"")</f>
        <v>8058</v>
      </c>
      <c r="D89" s="350" t="str">
        <f>IF(売分析!D89&lt;&gt;"",売分析!D89,"")</f>
        <v>三菱商事</v>
      </c>
      <c r="E89" s="351">
        <f>IF(売分析!E89&lt;&gt;"",売分析!E89,"")</f>
        <v>4610</v>
      </c>
      <c r="F89" s="351">
        <f>IF(売分析!F89&lt;&gt;"",売分析!F89,"")</f>
        <v>4628</v>
      </c>
      <c r="G89" s="351">
        <f>IF(売分析!H89&lt;&gt;"",売分析!H89,"")</f>
        <v>4672</v>
      </c>
      <c r="H89" s="351">
        <f>IF(売分析!I89&lt;&gt;"",売分析!I89,"")</f>
        <v>4595</v>
      </c>
      <c r="I89" s="350">
        <f>IF(売分析!J89&lt;&gt;"",売分析!J89,"")</f>
        <v>7426100</v>
      </c>
      <c r="J89" s="351">
        <f>IF(売分析!AB89&lt;&gt;"",売分析!AB89,"")</f>
        <v>4618.4205069124419</v>
      </c>
      <c r="K89" s="351">
        <f>IF(売分析!AC89&lt;&gt;"",売分析!AC89,"")</f>
        <v>4938.1108462455277</v>
      </c>
      <c r="L89" s="351">
        <f>IF(売分析!K89&lt;&gt;"",売分析!K89,"")</f>
        <v>6012</v>
      </c>
      <c r="M89" s="350" t="str">
        <f>IF(売分析!P89&lt;&gt;"",売分析!P89,"")</f>
        <v>減少↓</v>
      </c>
      <c r="N89" s="353">
        <f>IF(売分析!O89&lt;&gt;"",売分析!O89,"")</f>
        <v>0.84718093104227177</v>
      </c>
      <c r="O89" s="355">
        <f>IF(売分析!X89&lt;&gt;"",売分析!X89,"")</f>
        <v>-108.66689685916572</v>
      </c>
      <c r="P89" s="352">
        <f>IF(売分析!L89&lt;&gt;"",売分析!L89,"")</f>
        <v>-23.320026613439786</v>
      </c>
      <c r="Q89" s="351">
        <f>IF(売分析!S89&lt;&gt;"",売分析!S89,"")</f>
        <v>4794</v>
      </c>
      <c r="R89" s="351">
        <f>IF(売分析!R89&lt;&gt;"",売分析!R89,"")</f>
        <v>4241</v>
      </c>
      <c r="S89" s="350" t="str">
        <f>IF(売分析!AA89&lt;&gt;"",売分析!AA89,"")</f>
        <v>上昇▲</v>
      </c>
      <c r="T89" s="356">
        <f>IF(売分析!Z89&lt;&gt;"",売分析!Z89,"")</f>
        <v>0.32644178454842221</v>
      </c>
      <c r="U89" s="350" t="str">
        <f>IF(売分析!V89&lt;&gt;"",売分析!V89,"")</f>
        <v>通常</v>
      </c>
      <c r="V89" s="354">
        <f>IF(売分析!W89&lt;&gt;"",売分析!W89,"")</f>
        <v>15.509039010466225</v>
      </c>
      <c r="W89" s="350" t="str">
        <f>IF(売分析!AD89&lt;&gt;"",売分析!AD89,"")</f>
        <v>下降トレンド▼</v>
      </c>
      <c r="X89" s="350" t="str">
        <f>IF(売分析!AE89&lt;&gt;"",売分析!AE89,"")</f>
        <v>5日戻り売り○</v>
      </c>
      <c r="Y89" s="427">
        <f>IF(売分析!T89&lt;&gt;"",売分析!T89,"")</f>
        <v>12</v>
      </c>
      <c r="Z89" s="350" t="str">
        <f>IF(売分析!Y89&lt;&gt;"",売分析!Y89,"")</f>
        <v>★逆張り売り | 下降トレンド▼ 5日戻り売り○ MACD- RSI:15.5 [売られ過ぎ] 前日比:+0.3%前日[大陰線▼] [12点]</v>
      </c>
    </row>
    <row r="90" spans="1:26">
      <c r="A90" s="230">
        <f>IF(売分析!C90&lt;&gt;"",ROW()-2,"")</f>
        <v>88</v>
      </c>
      <c r="B90" s="357" t="str">
        <f>IF(売分析!C90&lt;&gt;"",HYPERLINK("https://kabutan.jp/stock/?code="&amp;売分析!C90,"株探"),"")</f>
        <v>株探</v>
      </c>
      <c r="C90" s="366">
        <f>IF(売分析!C90&lt;&gt;"",売分析!C90,"")</f>
        <v>5541</v>
      </c>
      <c r="D90" s="230" t="str">
        <f>IF(売分析!D90&lt;&gt;"",売分析!D90,"")</f>
        <v>大平洋金属</v>
      </c>
      <c r="E90" s="358">
        <f>IF(売分析!E90&lt;&gt;"",売分析!E90,"")</f>
        <v>2285</v>
      </c>
      <c r="F90" s="358">
        <f>IF(売分析!F90&lt;&gt;"",売分析!F90,"")</f>
        <v>2260</v>
      </c>
      <c r="G90" s="358">
        <f>IF(売分析!H90&lt;&gt;"",売分析!H90,"")</f>
        <v>2316</v>
      </c>
      <c r="H90" s="358">
        <f>IF(売分析!I90&lt;&gt;"",売分析!I90,"")</f>
        <v>2257</v>
      </c>
      <c r="I90" s="230">
        <f>IF(売分析!J90&lt;&gt;"",売分析!J90,"")</f>
        <v>138100</v>
      </c>
      <c r="J90" s="358">
        <f>IF(売分析!AB90&lt;&gt;"",売分析!AB90,"")</f>
        <v>2231.1082949308752</v>
      </c>
      <c r="K90" s="358">
        <f>IF(売分析!AC90&lt;&gt;"",売分析!AC90,"")</f>
        <v>2241.8176400476755</v>
      </c>
      <c r="L90" s="358">
        <f>IF(売分析!K90&lt;&gt;"",売分析!K90,"")</f>
        <v>3865</v>
      </c>
      <c r="M90" s="230" t="str">
        <f>IF(売分析!P90&lt;&gt;"",売分析!P90,"")</f>
        <v>減少↓</v>
      </c>
      <c r="N90" s="360">
        <f>IF(売分析!O90&lt;&gt;"",売分析!O90,"")</f>
        <v>0.54775503728383312</v>
      </c>
      <c r="O90" s="362">
        <f>IF(売分析!X90&lt;&gt;"",売分析!X90,"")</f>
        <v>-6.5698080313950413</v>
      </c>
      <c r="P90" s="359">
        <f>IF(売分析!L90&lt;&gt;"",売分析!L90,"")</f>
        <v>-40.879689521345405</v>
      </c>
      <c r="Q90" s="358">
        <f>IF(売分析!S90&lt;&gt;"",売分析!S90,"")</f>
        <v>2376</v>
      </c>
      <c r="R90" s="358">
        <f>IF(売分析!R90&lt;&gt;"",売分析!R90,"")</f>
        <v>2102</v>
      </c>
      <c r="S90" s="230" t="str">
        <f>IF(売分析!AA90&lt;&gt;"",売分析!AA90,"")</f>
        <v>上昇▲</v>
      </c>
      <c r="T90" s="363">
        <f>IF(売分析!Z90&lt;&gt;"",売分析!Z90,"")</f>
        <v>0.61646851607221487</v>
      </c>
      <c r="U90" s="230" t="str">
        <f>IF(売分析!V90&lt;&gt;"",売分析!V90,"")</f>
        <v>年初来安値圏●</v>
      </c>
      <c r="V90" s="361">
        <f>IF(売分析!W90&lt;&gt;"",売分析!W90,"")</f>
        <v>53.422818791946312</v>
      </c>
      <c r="W90" s="230" t="str">
        <f>IF(売分析!AD90&lt;&gt;"",売分析!AD90,"")</f>
        <v>上昇トレンド▲</v>
      </c>
      <c r="X90" s="230" t="str">
        <f>IF(売分析!AE90&lt;&gt;"",売分析!AE90,"")</f>
        <v>なし</v>
      </c>
      <c r="Y90" s="428">
        <f>IF(売分析!T90&lt;&gt;"",売分析!T90,"")</f>
        <v>13</v>
      </c>
      <c r="Z90" s="230" t="str">
        <f>IF(売分析!Y90&lt;&gt;"",売分析!Y90,"")</f>
        <v>相場上昇・見送り | 上昇トレンド▲ MACD- RSI:53.4 前日比:+0.6% [年初来安値圏]前日[大陰線▼] [13点]</v>
      </c>
    </row>
    <row r="91" spans="1:26">
      <c r="A91" s="350">
        <f>IF(売分析!C91&lt;&gt;"",ROW()-2,"")</f>
        <v>89</v>
      </c>
      <c r="B91" s="349" t="str">
        <f>IF(売分析!C91&lt;&gt;"",HYPERLINK("https://kabutan.jp/stock/?code="&amp;売分析!C91,"株探"),"")</f>
        <v>株探</v>
      </c>
      <c r="C91" s="365">
        <f>IF(売分析!C91&lt;&gt;"",売分析!C91,"")</f>
        <v>8795</v>
      </c>
      <c r="D91" s="350" t="str">
        <f>IF(売分析!D91&lt;&gt;"",売分析!D91,"")</f>
        <v>Ｔ＆Ｄホールディングス</v>
      </c>
      <c r="E91" s="351">
        <f>IF(売分析!E91&lt;&gt;"",売分析!E91,"")</f>
        <v>4746</v>
      </c>
      <c r="F91" s="351">
        <f>IF(売分析!F91&lt;&gt;"",売分析!F91,"")</f>
        <v>4945</v>
      </c>
      <c r="G91" s="351">
        <f>IF(売分析!H91&lt;&gt;"",売分析!H91,"")</f>
        <v>5017</v>
      </c>
      <c r="H91" s="351">
        <f>IF(売分析!I91&lt;&gt;"",売分析!I91,"")</f>
        <v>4718</v>
      </c>
      <c r="I91" s="350">
        <f>IF(売分析!J91&lt;&gt;"",売分析!J91,"")</f>
        <v>2140500</v>
      </c>
      <c r="J91" s="351">
        <f>IF(売分析!AB91&lt;&gt;"",売分析!AB91,"")</f>
        <v>4765.2741935483873</v>
      </c>
      <c r="K91" s="351">
        <f>IF(売分析!AC91&lt;&gt;"",売分析!AC91,"")</f>
        <v>4400.3635280095341</v>
      </c>
      <c r="L91" s="351">
        <f>IF(売分析!K91&lt;&gt;"",売分析!K91,"")</f>
        <v>4981</v>
      </c>
      <c r="M91" s="350" t="str">
        <f>IF(売分析!P91&lt;&gt;"",売分析!P91,"")</f>
        <v>減少↓</v>
      </c>
      <c r="N91" s="353">
        <f>IF(売分析!O91&lt;&gt;"",売分析!O91,"")</f>
        <v>0.86610126971538626</v>
      </c>
      <c r="O91" s="355">
        <f>IF(売分析!X91&lt;&gt;"",売分析!X91,"")</f>
        <v>88.362833795712504</v>
      </c>
      <c r="P91" s="352">
        <f>IF(売分析!L91&lt;&gt;"",売分析!L91,"")</f>
        <v>-4.7179281268821525</v>
      </c>
      <c r="Q91" s="351">
        <f>IF(売分析!S91&lt;&gt;"",売分析!S91,"")</f>
        <v>4936</v>
      </c>
      <c r="R91" s="351">
        <f>IF(売分析!R91&lt;&gt;"",売分析!R91,"")</f>
        <v>4366</v>
      </c>
      <c r="S91" s="350" t="str">
        <f>IF(売分析!AA91&lt;&gt;"",売分析!AA91,"")</f>
        <v>下落▼</v>
      </c>
      <c r="T91" s="356">
        <f>IF(売分析!Z91&lt;&gt;"",売分析!Z91,"")</f>
        <v>-3.1823745410036719</v>
      </c>
      <c r="U91" s="350" t="str">
        <f>IF(売分析!V91&lt;&gt;"",売分析!V91,"")</f>
        <v>通常</v>
      </c>
      <c r="V91" s="354">
        <f>IF(売分析!W91&lt;&gt;"",売分析!W91,"")</f>
        <v>82.887266828872669</v>
      </c>
      <c r="W91" s="350" t="str">
        <f>IF(売分析!AD91&lt;&gt;"",売分析!AD91,"")</f>
        <v>上昇トレンド▲</v>
      </c>
      <c r="X91" s="350" t="str">
        <f>IF(売分析!AE91&lt;&gt;"",売分析!AE91,"")</f>
        <v>5日戻り売り○</v>
      </c>
      <c r="Y91" s="427">
        <f>IF(売分析!T91&lt;&gt;"",売分析!T91,"")</f>
        <v>3</v>
      </c>
      <c r="Z91" s="350" t="str">
        <f>IF(売分析!Y91&lt;&gt;"",売分析!Y91,"")</f>
        <v>◎反落確認 | 上昇トレンド▲ 5日戻り売り○ MACD+ RSI:82.9 [過熱] 前日比:-3.2% [3点]</v>
      </c>
    </row>
    <row r="92" spans="1:26">
      <c r="A92" s="230">
        <f>IF(売分析!C92&lt;&gt;"",ROW()-2,"")</f>
        <v>90</v>
      </c>
      <c r="B92" s="357" t="str">
        <f>IF(売分析!C92&lt;&gt;"",HYPERLINK("https://kabutan.jp/stock/?code="&amp;売分析!C92,"株探"),"")</f>
        <v>株探</v>
      </c>
      <c r="C92" s="366">
        <f>IF(売分析!C92&lt;&gt;"",売分析!C92,"")</f>
        <v>8308</v>
      </c>
      <c r="D92" s="230" t="str">
        <f>IF(売分析!D92&lt;&gt;"",売分析!D92,"")</f>
        <v>りそなホールディングス</v>
      </c>
      <c r="E92" s="358">
        <f>IF(売分析!E92&lt;&gt;"",売分析!E92,"")</f>
        <v>2161.5</v>
      </c>
      <c r="F92" s="358">
        <f>IF(売分析!F92&lt;&gt;"",売分析!F92,"")</f>
        <v>2222.5</v>
      </c>
      <c r="G92" s="358">
        <f>IF(売分析!H92&lt;&gt;"",売分析!H92,"")</f>
        <v>2232.5</v>
      </c>
      <c r="H92" s="358">
        <f>IF(売分析!I92&lt;&gt;"",売分析!I92,"")</f>
        <v>2160.5</v>
      </c>
      <c r="I92" s="230">
        <f>IF(売分析!J92&lt;&gt;"",売分析!J92,"")</f>
        <v>10336500</v>
      </c>
      <c r="J92" s="358">
        <f>IF(売分析!AB92&lt;&gt;"",売分析!AB92,"")</f>
        <v>2147.7793778801843</v>
      </c>
      <c r="K92" s="358">
        <f>IF(売分析!AC92&lt;&gt;"",売分析!AC92,"")</f>
        <v>2096.325387365911</v>
      </c>
      <c r="L92" s="358">
        <f>IF(売分析!K92&lt;&gt;"",売分析!K92,"")</f>
        <v>2277.5</v>
      </c>
      <c r="M92" s="230" t="str">
        <f>IF(売分析!P92&lt;&gt;"",売分析!P92,"")</f>
        <v>減少↓</v>
      </c>
      <c r="N92" s="360">
        <f>IF(売分析!O92&lt;&gt;"",売分析!O92,"")</f>
        <v>0.85375523453180369</v>
      </c>
      <c r="O92" s="362">
        <f>IF(売分析!X92&lt;&gt;"",売分析!X92,"")</f>
        <v>9.6562894295875594</v>
      </c>
      <c r="P92" s="359">
        <f>IF(売分析!L92&lt;&gt;"",売分析!L92,"")</f>
        <v>-5.0933040614709109</v>
      </c>
      <c r="Q92" s="358">
        <f>IF(売分析!S92&lt;&gt;"",売分析!S92,"")</f>
        <v>2248</v>
      </c>
      <c r="R92" s="358">
        <f>IF(売分析!R92&lt;&gt;"",売分析!R92,"")</f>
        <v>1989</v>
      </c>
      <c r="S92" s="230" t="str">
        <f>IF(売分析!AA92&lt;&gt;"",売分析!AA92,"")</f>
        <v>上昇▲</v>
      </c>
      <c r="T92" s="363">
        <f>IF(売分析!Z92&lt;&gt;"",売分析!Z92,"")</f>
        <v>0.79272557705758928</v>
      </c>
      <c r="U92" s="230" t="str">
        <f>IF(売分析!V92&lt;&gt;"",売分析!V92,"")</f>
        <v>通常</v>
      </c>
      <c r="V92" s="361">
        <f>IF(売分析!W92&lt;&gt;"",売分析!W92,"")</f>
        <v>52.827586206896548</v>
      </c>
      <c r="W92" s="230" t="str">
        <f>IF(売分析!AD92&lt;&gt;"",売分析!AD92,"")</f>
        <v>パーフェクト▲</v>
      </c>
      <c r="X92" s="230" t="str">
        <f>IF(売分析!AE92&lt;&gt;"",売分析!AE92,"")</f>
        <v>なし</v>
      </c>
      <c r="Y92" s="428">
        <f>IF(売分析!T92&lt;&gt;"",売分析!T92,"")</f>
        <v>0</v>
      </c>
      <c r="Z92" s="230" t="str">
        <f>IF(売分析!Y92&lt;&gt;"",売分析!Y92,"")</f>
        <v>相場上昇・見送り | パーフェクト▲ MACD+ RSI:52.8 前日比:+0.8% [大陰線▼]前日[長い下ヒゲ(反発)] [0点]</v>
      </c>
    </row>
    <row r="93" spans="1:26">
      <c r="A93" s="350">
        <f>IF(売分析!C93&lt;&gt;"",ROW()-2,"")</f>
        <v>91</v>
      </c>
      <c r="B93" s="349" t="str">
        <f>IF(売分析!C93&lt;&gt;"",HYPERLINK("https://kabutan.jp/stock/?code="&amp;売分析!C93,"株探"),"")</f>
        <v>株探</v>
      </c>
      <c r="C93" s="365">
        <f>IF(売分析!C93&lt;&gt;"",売分析!C93,"")</f>
        <v>5938</v>
      </c>
      <c r="D93" s="350" t="str">
        <f>IF(売分析!D93&lt;&gt;"",売分析!D93,"")</f>
        <v>ＬＩＸＩＬ</v>
      </c>
      <c r="E93" s="351">
        <f>IF(売分析!E93&lt;&gt;"",売分析!E93,"")</f>
        <v>1721.5</v>
      </c>
      <c r="F93" s="351">
        <f>IF(売分析!F93&lt;&gt;"",売分析!F93,"")</f>
        <v>1728</v>
      </c>
      <c r="G93" s="351">
        <f>IF(売分析!H93&lt;&gt;"",売分析!H93,"")</f>
        <v>1743.5</v>
      </c>
      <c r="H93" s="351">
        <f>IF(売分析!I93&lt;&gt;"",売分析!I93,"")</f>
        <v>1717</v>
      </c>
      <c r="I93" s="350">
        <f>IF(売分析!J93&lt;&gt;"",売分析!J93,"")</f>
        <v>1721200</v>
      </c>
      <c r="J93" s="351">
        <f>IF(売分析!AB93&lt;&gt;"",売分析!AB93,"")</f>
        <v>1727.1952764976957</v>
      </c>
      <c r="K93" s="351">
        <f>IF(売分析!AC93&lt;&gt;"",売分析!AC93,"")</f>
        <v>1700.2193087008338</v>
      </c>
      <c r="L93" s="351">
        <f>IF(売分析!K93&lt;&gt;"",売分析!K93,"")</f>
        <v>1943</v>
      </c>
      <c r="M93" s="350" t="str">
        <f>IF(売分析!P93&lt;&gt;"",売分析!P93,"")</f>
        <v>減少↓</v>
      </c>
      <c r="N93" s="353">
        <f>IF(売分析!O93&lt;&gt;"",売分析!O93,"")</f>
        <v>0.92218340798525533</v>
      </c>
      <c r="O93" s="355">
        <f>IF(売分析!X93&lt;&gt;"",売分析!X93,"")</f>
        <v>10.28163123559716</v>
      </c>
      <c r="P93" s="352">
        <f>IF(売分析!L93&lt;&gt;"",売分析!L93,"")</f>
        <v>-11.399897066392176</v>
      </c>
      <c r="Q93" s="351">
        <f>IF(売分析!S93&lt;&gt;"",売分析!S93,"")</f>
        <v>1790</v>
      </c>
      <c r="R93" s="351">
        <f>IF(売分析!R93&lt;&gt;"",売分析!R93,"")</f>
        <v>1584</v>
      </c>
      <c r="S93" s="350" t="str">
        <f>IF(売分析!AA93&lt;&gt;"",売分析!AA93,"")</f>
        <v>下落▼</v>
      </c>
      <c r="T93" s="356">
        <f>IF(売分析!Z93&lt;&gt;"",売分析!Z93,"")</f>
        <v>-0.83525345622119818</v>
      </c>
      <c r="U93" s="350" t="str">
        <f>IF(売分析!V93&lt;&gt;"",売分析!V93,"")</f>
        <v>通常</v>
      </c>
      <c r="V93" s="354">
        <f>IF(売分析!W93&lt;&gt;"",売分析!W93,"")</f>
        <v>75.138121546961329</v>
      </c>
      <c r="W93" s="350" t="str">
        <f>IF(売分析!AD93&lt;&gt;"",売分析!AD93,"")</f>
        <v>上昇トレンド▲</v>
      </c>
      <c r="X93" s="350" t="str">
        <f>IF(売分析!AE93&lt;&gt;"",売分析!AE93,"")</f>
        <v>5日戻り売り○</v>
      </c>
      <c r="Y93" s="427">
        <f>IF(売分析!T93&lt;&gt;"",売分析!T93,"")</f>
        <v>6</v>
      </c>
      <c r="Z93" s="350" t="str">
        <f>IF(売分析!Y93&lt;&gt;"",売分析!Y93,"")</f>
        <v>◎反落確認 | 上昇トレンド▲ 5日戻り売り○ MACD+ RSI:75.1 [過熱] 前日比:-0.8% [6点]</v>
      </c>
    </row>
    <row r="94" spans="1:26">
      <c r="A94" s="230">
        <f>IF(売分析!C94&lt;&gt;"",ROW()-2,"")</f>
        <v>92</v>
      </c>
      <c r="B94" s="357" t="str">
        <f>IF(売分析!C94&lt;&gt;"",HYPERLINK("https://kabutan.jp/stock/?code="&amp;売分析!C94,"株探"),"")</f>
        <v>株探</v>
      </c>
      <c r="C94" s="366">
        <f>IF(売分析!C94&lt;&gt;"",売分析!C94,"")</f>
        <v>8570</v>
      </c>
      <c r="D94" s="230" t="str">
        <f>IF(売分析!D94&lt;&gt;"",売分析!D94,"")</f>
        <v>イオンフィナンシャルサービス</v>
      </c>
      <c r="E94" s="358">
        <f>IF(売分析!E94&lt;&gt;"",売分析!E94,"")</f>
        <v>1491.5</v>
      </c>
      <c r="F94" s="358">
        <f>IF(売分析!F94&lt;&gt;"",売分析!F94,"")</f>
        <v>1514</v>
      </c>
      <c r="G94" s="358">
        <f>IF(売分析!H94&lt;&gt;"",売分析!H94,"")</f>
        <v>1519</v>
      </c>
      <c r="H94" s="358">
        <f>IF(売分析!I94&lt;&gt;"",売分析!I94,"")</f>
        <v>1491.5</v>
      </c>
      <c r="I94" s="230">
        <f>IF(売分析!J94&lt;&gt;"",売分析!J94,"")</f>
        <v>338900</v>
      </c>
      <c r="J94" s="358">
        <f>IF(売分析!AB94&lt;&gt;"",売分析!AB94,"")</f>
        <v>1495.7597926267281</v>
      </c>
      <c r="K94" s="358">
        <f>IF(売分析!AC94&lt;&gt;"",売分析!AC94,"")</f>
        <v>1502.7926102502972</v>
      </c>
      <c r="L94" s="358">
        <f>IF(売分析!K94&lt;&gt;"",売分析!K94,"")</f>
        <v>1860</v>
      </c>
      <c r="M94" s="230" t="str">
        <f>IF(売分析!P94&lt;&gt;"",売分析!P94,"")</f>
        <v>減少↓</v>
      </c>
      <c r="N94" s="360">
        <f>IF(売分析!O94&lt;&gt;"",売分析!O94,"")</f>
        <v>0.67861433720464559</v>
      </c>
      <c r="O94" s="362">
        <f>IF(売分析!X94&lt;&gt;"",売分析!X94,"")</f>
        <v>-11.879096199236301</v>
      </c>
      <c r="P94" s="359">
        <f>IF(売分析!L94&lt;&gt;"",売分析!L94,"")</f>
        <v>-19.811827956989248</v>
      </c>
      <c r="Q94" s="358">
        <f>IF(売分析!S94&lt;&gt;"",売分析!S94,"")</f>
        <v>1551</v>
      </c>
      <c r="R94" s="358">
        <f>IF(売分析!R94&lt;&gt;"",売分析!R94,"")</f>
        <v>1372</v>
      </c>
      <c r="S94" s="230" t="str">
        <f>IF(売分析!AA94&lt;&gt;"",売分析!AA94,"")</f>
        <v>下落▼</v>
      </c>
      <c r="T94" s="363">
        <f>IF(売分析!Z94&lt;&gt;"",売分析!Z94,"")</f>
        <v>-0.53351117039012996</v>
      </c>
      <c r="U94" s="230" t="str">
        <f>IF(売分析!V94&lt;&gt;"",売分析!V94,"")</f>
        <v>通常</v>
      </c>
      <c r="V94" s="361">
        <f>IF(売分析!W94&lt;&gt;"",売分析!W94,"")</f>
        <v>37.209302325581397</v>
      </c>
      <c r="W94" s="230" t="str">
        <f>IF(売分析!AD94&lt;&gt;"",売分析!AD94,"")</f>
        <v>下降トレンド▼</v>
      </c>
      <c r="X94" s="230" t="str">
        <f>IF(売分析!AE94&lt;&gt;"",売分析!AE94,"")</f>
        <v>25日戻り売り★</v>
      </c>
      <c r="Y94" s="428">
        <f>IF(売分析!T94&lt;&gt;"",売分析!T94,"")</f>
        <v>14</v>
      </c>
      <c r="Z94" s="230" t="str">
        <f>IF(売分析!Y94&lt;&gt;"",売分析!Y94,"")</f>
        <v>★逆張り売り | 下降トレンド▼ 25日戻り売り★ MACD- RSI:37.2 前日比:-0.5% [大陰線▼] [14点]</v>
      </c>
    </row>
    <row r="95" spans="1:26">
      <c r="A95" s="350">
        <f>IF(売分析!C95&lt;&gt;"",ROW()-2,"")</f>
        <v>93</v>
      </c>
      <c r="B95" s="349" t="str">
        <f>IF(売分析!C95&lt;&gt;"",HYPERLINK("https://kabutan.jp/stock/?code="&amp;売分析!C95,"株探"),"")</f>
        <v>株探</v>
      </c>
      <c r="C95" s="365">
        <f>IF(売分析!C95&lt;&gt;"",売分析!C95,"")</f>
        <v>5406</v>
      </c>
      <c r="D95" s="350" t="str">
        <f>IF(売分析!D95&lt;&gt;"",売分析!D95,"")</f>
        <v>神戸製鋼所</v>
      </c>
      <c r="E95" s="351">
        <f>IF(売分析!E95&lt;&gt;"",売分析!E95,"")</f>
        <v>1978</v>
      </c>
      <c r="F95" s="351">
        <f>IF(売分析!F95&lt;&gt;"",売分析!F95,"")</f>
        <v>1989.5</v>
      </c>
      <c r="G95" s="351">
        <f>IF(売分析!H95&lt;&gt;"",売分析!H95,"")</f>
        <v>1995</v>
      </c>
      <c r="H95" s="351">
        <f>IF(売分析!I95&lt;&gt;"",売分析!I95,"")</f>
        <v>1973</v>
      </c>
      <c r="I95" s="350">
        <f>IF(売分析!J95&lt;&gt;"",売分析!J95,"")</f>
        <v>1310000</v>
      </c>
      <c r="J95" s="351">
        <f>IF(売分析!AB95&lt;&gt;"",売分析!AB95,"")</f>
        <v>1959.1900921658985</v>
      </c>
      <c r="K95" s="351">
        <f>IF(売分析!AC95&lt;&gt;"",売分析!AC95,"")</f>
        <v>1945.8837902264593</v>
      </c>
      <c r="L95" s="351">
        <f>IF(売分析!K95&lt;&gt;"",売分析!K95,"")</f>
        <v>2379.5</v>
      </c>
      <c r="M95" s="350" t="str">
        <f>IF(売分析!P95&lt;&gt;"",売分析!P95,"")</f>
        <v>減少↓</v>
      </c>
      <c r="N95" s="353">
        <f>IF(売分析!O95&lt;&gt;"",売分析!O95,"")</f>
        <v>0.76229269711958103</v>
      </c>
      <c r="O95" s="355">
        <f>IF(売分析!X95&lt;&gt;"",売分析!X95,"")</f>
        <v>0.75855659352328075</v>
      </c>
      <c r="P95" s="352">
        <f>IF(売分析!L95&lt;&gt;"",売分析!L95,"")</f>
        <v>-16.873292708552217</v>
      </c>
      <c r="Q95" s="351">
        <f>IF(売分析!S95&lt;&gt;"",売分析!S95,"")</f>
        <v>2057</v>
      </c>
      <c r="R95" s="351">
        <f>IF(売分析!R95&lt;&gt;"",売分析!R95,"")</f>
        <v>1820</v>
      </c>
      <c r="S95" s="350" t="str">
        <f>IF(売分析!AA95&lt;&gt;"",売分析!AA95,"")</f>
        <v>下落▼</v>
      </c>
      <c r="T95" s="356">
        <f>IF(売分析!Z95&lt;&gt;"",売分析!Z95,"")</f>
        <v>-0.57803468208092479</v>
      </c>
      <c r="U95" s="350" t="str">
        <f>IF(売分析!V95&lt;&gt;"",売分析!V95,"")</f>
        <v>通常</v>
      </c>
      <c r="V95" s="354">
        <f>IF(売分析!W95&lt;&gt;"",売分析!W95,"")</f>
        <v>55.25362318840579</v>
      </c>
      <c r="W95" s="350" t="str">
        <f>IF(売分析!AD95&lt;&gt;"",売分析!AD95,"")</f>
        <v>パーフェクト▲</v>
      </c>
      <c r="X95" s="350" t="str">
        <f>IF(売分析!AE95&lt;&gt;"",売分析!AE95,"")</f>
        <v>なし</v>
      </c>
      <c r="Y95" s="427">
        <f>IF(売分析!T95&lt;&gt;"",売分析!T95,"")</f>
        <v>4</v>
      </c>
      <c r="Z95" s="350" t="str">
        <f>IF(売分析!Y95&lt;&gt;"",売分析!Y95,"")</f>
        <v>相場上昇・見送り | パーフェクト▲ MACD+ RSI:55.3 前日比:-0.6% [4点]</v>
      </c>
    </row>
    <row r="96" spans="1:26">
      <c r="A96" s="230">
        <f>IF(売分析!C96&lt;&gt;"",ROW()-2,"")</f>
        <v>94</v>
      </c>
      <c r="B96" s="357" t="str">
        <f>IF(売分析!C96&lt;&gt;"",HYPERLINK("https://kabutan.jp/stock/?code="&amp;売分析!C96,"株探"),"")</f>
        <v>株探</v>
      </c>
      <c r="C96" s="366">
        <f>IF(売分析!C96&lt;&gt;"",売分析!C96,"")</f>
        <v>5947</v>
      </c>
      <c r="D96" s="230" t="str">
        <f>IF(売分析!D96&lt;&gt;"",売分析!D96,"")</f>
        <v>リンナイ</v>
      </c>
      <c r="E96" s="358">
        <f>IF(売分析!E96&lt;&gt;"",売分析!E96,"")</f>
        <v>3465</v>
      </c>
      <c r="F96" s="358">
        <f>IF(売分析!F96&lt;&gt;"",売分析!F96,"")</f>
        <v>3428</v>
      </c>
      <c r="G96" s="358">
        <f>IF(売分析!H96&lt;&gt;"",売分析!H96,"")</f>
        <v>3465</v>
      </c>
      <c r="H96" s="358">
        <f>IF(売分析!I96&lt;&gt;"",売分析!I96,"")</f>
        <v>3428</v>
      </c>
      <c r="I96" s="230">
        <f>IF(売分析!J96&lt;&gt;"",売分析!J96,"")</f>
        <v>423300</v>
      </c>
      <c r="J96" s="358">
        <f>IF(売分析!AB96&lt;&gt;"",売分析!AB96,"")</f>
        <v>3467.8790322580644</v>
      </c>
      <c r="K96" s="358">
        <f>IF(売分析!AC96&lt;&gt;"",売分析!AC96,"")</f>
        <v>3456.2145411203796</v>
      </c>
      <c r="L96" s="358">
        <f>IF(売分析!K96&lt;&gt;"",売分析!K96,"")</f>
        <v>4456</v>
      </c>
      <c r="M96" s="230" t="str">
        <f>IF(売分析!P96&lt;&gt;"",売分析!P96,"")</f>
        <v>減少↓</v>
      </c>
      <c r="N96" s="360">
        <f>IF(売分析!O96&lt;&gt;"",売分析!O96,"")</f>
        <v>0.99891447989427973</v>
      </c>
      <c r="O96" s="362">
        <f>IF(売分析!X96&lt;&gt;"",売分析!X96,"")</f>
        <v>-4.6373771588005184</v>
      </c>
      <c r="P96" s="359">
        <f>IF(売分析!L96&lt;&gt;"",売分析!L96,"")</f>
        <v>-22.239676840215438</v>
      </c>
      <c r="Q96" s="358">
        <f>IF(売分析!S96&lt;&gt;"",売分析!S96,"")</f>
        <v>3604</v>
      </c>
      <c r="R96" s="358">
        <f>IF(売分析!R96&lt;&gt;"",売分析!R96,"")</f>
        <v>3188</v>
      </c>
      <c r="S96" s="230" t="str">
        <f>IF(売分析!AA96&lt;&gt;"",売分析!AA96,"")</f>
        <v>上昇▲</v>
      </c>
      <c r="T96" s="363">
        <f>IF(売分析!Z96&lt;&gt;"",売分析!Z96,"")</f>
        <v>1.2861736334405145</v>
      </c>
      <c r="U96" s="230" t="str">
        <f>IF(売分析!V96&lt;&gt;"",売分析!V96,"")</f>
        <v>通常</v>
      </c>
      <c r="V96" s="361">
        <f>IF(売分析!W96&lt;&gt;"",売分析!W96,"")</f>
        <v>41.650294695481328</v>
      </c>
      <c r="W96" s="230" t="str">
        <f>IF(売分析!AD96&lt;&gt;"",売分析!AD96,"")</f>
        <v>上昇トレンド▲</v>
      </c>
      <c r="X96" s="230" t="str">
        <f>IF(売分析!AE96&lt;&gt;"",売分析!AE96,"")</f>
        <v>5日戻り売り○</v>
      </c>
      <c r="Y96" s="428">
        <f>IF(売分析!T96&lt;&gt;"",売分析!T96,"")</f>
        <v>1</v>
      </c>
      <c r="Z96" s="230" t="str">
        <f>IF(売分析!Y96&lt;&gt;"",売分析!Y96,"")</f>
        <v>相場上昇・見送り | 上昇トレンド▲ 5日戻り売り○ MACD- RSI:41.7 前日比:+1.3%前日[長い下ヒゲ(反発)] [1点]</v>
      </c>
    </row>
    <row r="97" spans="1:26">
      <c r="A97" s="350">
        <f>IF(売分析!C97&lt;&gt;"",ROW()-2,"")</f>
        <v>95</v>
      </c>
      <c r="B97" s="349" t="str">
        <f>IF(売分析!C97&lt;&gt;"",HYPERLINK("https://kabutan.jp/stock/?code="&amp;売分析!C97,"株探"),"")</f>
        <v>株探</v>
      </c>
      <c r="C97" s="365">
        <f>IF(売分析!C97&lt;&gt;"",売分析!C97,"")</f>
        <v>5449</v>
      </c>
      <c r="D97" s="350" t="str">
        <f>IF(売分析!D97&lt;&gt;"",売分析!D97,"")</f>
        <v>大阪製鐵</v>
      </c>
      <c r="E97" s="351">
        <f>IF(売分析!E97&lt;&gt;"",売分析!E97,"")</f>
        <v>2238</v>
      </c>
      <c r="F97" s="351">
        <f>IF(売分析!F97&lt;&gt;"",売分析!F97,"")</f>
        <v>2380</v>
      </c>
      <c r="G97" s="351">
        <f>IF(売分析!H97&lt;&gt;"",売分析!H97,"")</f>
        <v>2401</v>
      </c>
      <c r="H97" s="351">
        <f>IF(売分析!I97&lt;&gt;"",売分析!I97,"")</f>
        <v>2238</v>
      </c>
      <c r="I97" s="350">
        <f>IF(売分析!J97&lt;&gt;"",売分析!J97,"")</f>
        <v>91100</v>
      </c>
      <c r="J97" s="351">
        <f>IF(売分析!AB97&lt;&gt;"",売分析!AB97,"")</f>
        <v>2311.7442396313363</v>
      </c>
      <c r="K97" s="351">
        <f>IF(売分析!AC97&lt;&gt;"",売分析!AC97,"")</f>
        <v>2367.7628128724668</v>
      </c>
      <c r="L97" s="351">
        <f>IF(売分析!K97&lt;&gt;"",売分析!K97,"")</f>
        <v>3935</v>
      </c>
      <c r="M97" s="350" t="str">
        <f>IF(売分析!P97&lt;&gt;"",売分析!P97,"")</f>
        <v>増加↑</v>
      </c>
      <c r="N97" s="353">
        <f>IF(売分析!O97&lt;&gt;"",売分析!O97,"")</f>
        <v>1.8853476821192052</v>
      </c>
      <c r="O97" s="355">
        <f>IF(売分析!X97&lt;&gt;"",売分析!X97,"")</f>
        <v>-20.047815028717196</v>
      </c>
      <c r="P97" s="352">
        <f>IF(売分析!L97&lt;&gt;"",売分析!L97,"")</f>
        <v>-43.125794155019058</v>
      </c>
      <c r="Q97" s="351">
        <f>IF(売分析!S97&lt;&gt;"",売分析!S97,"")</f>
        <v>2328</v>
      </c>
      <c r="R97" s="351">
        <f>IF(売分析!R97&lt;&gt;"",売分析!R97,"")</f>
        <v>2059</v>
      </c>
      <c r="S97" s="350" t="str">
        <f>IF(売分析!AA97&lt;&gt;"",売分析!AA97,"")</f>
        <v>下落▼</v>
      </c>
      <c r="T97" s="356">
        <f>IF(売分析!Z97&lt;&gt;"",売分析!Z97,"")</f>
        <v>-6.982543640897755</v>
      </c>
      <c r="U97" s="350" t="str">
        <f>IF(売分析!V97&lt;&gt;"",売分析!V97,"")</f>
        <v>年初来安値圏●</v>
      </c>
      <c r="V97" s="354">
        <f>IF(売分析!W97&lt;&gt;"",売分析!W97,"")</f>
        <v>44.191343963553528</v>
      </c>
      <c r="W97" s="350" t="str">
        <f>IF(売分析!AD97&lt;&gt;"",売分析!AD97,"")</f>
        <v>下降トレンド▼</v>
      </c>
      <c r="X97" s="350" t="str">
        <f>IF(売分析!AE97&lt;&gt;"",売分析!AE97,"")</f>
        <v>なし</v>
      </c>
      <c r="Y97" s="427">
        <f>IF(売分析!T97&lt;&gt;"",売分析!T97,"")</f>
        <v>19</v>
      </c>
      <c r="Z97" s="350" t="str">
        <f>IF(売分析!Y97&lt;&gt;"",売分析!Y97,"")</f>
        <v>相場上昇・見送り | 下降トレンド▼ MACD- RSI:44.2 前日比:-7.0% [年初来安値圏] [大陰線▼] [19点]</v>
      </c>
    </row>
    <row r="98" spans="1:26">
      <c r="A98" s="230">
        <f>IF(売分析!C98&lt;&gt;"",ROW()-2,"")</f>
        <v>96</v>
      </c>
      <c r="B98" s="357" t="str">
        <f>IF(売分析!C98&lt;&gt;"",HYPERLINK("https://kabutan.jp/stock/?code="&amp;売分析!C98,"株探"),"")</f>
        <v>株探</v>
      </c>
      <c r="C98" s="366">
        <f>IF(売分析!C98&lt;&gt;"",売分析!C98,"")</f>
        <v>6027</v>
      </c>
      <c r="D98" s="230" t="str">
        <f>IF(売分析!D98&lt;&gt;"",売分析!D98,"")</f>
        <v>弁護士ドットコム</v>
      </c>
      <c r="E98" s="358">
        <f>IF(売分析!E98&lt;&gt;"",売分析!E98,"")</f>
        <v>2134</v>
      </c>
      <c r="F98" s="358">
        <f>IF(売分析!F98&lt;&gt;"",売分析!F98,"")</f>
        <v>2110</v>
      </c>
      <c r="G98" s="358">
        <f>IF(売分析!H98&lt;&gt;"",売分析!H98,"")</f>
        <v>2174</v>
      </c>
      <c r="H98" s="358">
        <f>IF(売分析!I98&lt;&gt;"",売分析!I98,"")</f>
        <v>2097</v>
      </c>
      <c r="I98" s="230">
        <f>IF(売分析!J98&lt;&gt;"",売分析!J98,"")</f>
        <v>110400</v>
      </c>
      <c r="J98" s="358">
        <f>IF(売分析!AB98&lt;&gt;"",売分析!AB98,"")</f>
        <v>2121.7707373271887</v>
      </c>
      <c r="K98" s="358">
        <f>IF(売分析!AC98&lt;&gt;"",売分析!AC98,"")</f>
        <v>2312.1239570917751</v>
      </c>
      <c r="L98" s="358">
        <f>IF(売分析!K98&lt;&gt;"",売分析!K98,"")</f>
        <v>3490</v>
      </c>
      <c r="M98" s="230" t="str">
        <f>IF(売分析!P98&lt;&gt;"",売分析!P98,"")</f>
        <v>普通→</v>
      </c>
      <c r="N98" s="360">
        <f>IF(売分析!O98&lt;&gt;"",売分析!O98,"")</f>
        <v>1.0926365795724466</v>
      </c>
      <c r="O98" s="362">
        <f>IF(売分析!X98&lt;&gt;"",売分析!X98,"")</f>
        <v>-68.028114663726228</v>
      </c>
      <c r="P98" s="359">
        <f>IF(売分析!L98&lt;&gt;"",売分析!L98,"")</f>
        <v>-38.853868194842406</v>
      </c>
      <c r="Q98" s="358">
        <f>IF(売分析!S98&lt;&gt;"",売分析!S98,"")</f>
        <v>2219</v>
      </c>
      <c r="R98" s="358">
        <f>IF(売分析!R98&lt;&gt;"",売分析!R98,"")</f>
        <v>1963</v>
      </c>
      <c r="S98" s="230" t="str">
        <f>IF(売分析!AA98&lt;&gt;"",売分析!AA98,"")</f>
        <v>上昇▲</v>
      </c>
      <c r="T98" s="363">
        <f>IF(売分析!Z98&lt;&gt;"",売分析!Z98,"")</f>
        <v>1.3776722090261282</v>
      </c>
      <c r="U98" s="230" t="str">
        <f>IF(売分析!V98&lt;&gt;"",売分析!V98,"")</f>
        <v>安値圏</v>
      </c>
      <c r="V98" s="361">
        <f>IF(売分析!W98&lt;&gt;"",売分析!W98,"")</f>
        <v>10.732538330494023</v>
      </c>
      <c r="W98" s="230" t="str">
        <f>IF(売分析!AD98&lt;&gt;"",売分析!AD98,"")</f>
        <v>もみ合い→</v>
      </c>
      <c r="X98" s="230" t="str">
        <f>IF(売分析!AE98&lt;&gt;"",売分析!AE98,"")</f>
        <v>なし</v>
      </c>
      <c r="Y98" s="428">
        <f>IF(売分析!T98&lt;&gt;"",売分析!T98,"")</f>
        <v>10</v>
      </c>
      <c r="Z98" s="230" t="str">
        <f>IF(売分析!Y98&lt;&gt;"",売分析!Y98,"")</f>
        <v>相場上昇・見送り | もみ合い→ MACD- RSI:10.7 [売られ過ぎ] 前日比:+1.4% [安値圏] [10点]</v>
      </c>
    </row>
    <row r="99" spans="1:26">
      <c r="A99" s="350">
        <f>IF(売分析!C99&lt;&gt;"",ROW()-2,"")</f>
        <v>97</v>
      </c>
      <c r="B99" s="349" t="str">
        <f>IF(売分析!C99&lt;&gt;"",HYPERLINK("https://kabutan.jp/stock/?code="&amp;売分析!C99,"株探"),"")</f>
        <v>株探</v>
      </c>
      <c r="C99" s="365">
        <f>IF(売分析!C99&lt;&gt;"",売分析!C99,"")</f>
        <v>9202</v>
      </c>
      <c r="D99" s="350" t="str">
        <f>IF(売分析!D99&lt;&gt;"",売分析!D99,"")</f>
        <v>ＡＮＡホールディングス</v>
      </c>
      <c r="E99" s="351">
        <f>IF(売分析!E99&lt;&gt;"",売分析!E99,"")</f>
        <v>3033</v>
      </c>
      <c r="F99" s="351">
        <f>IF(売分析!F99&lt;&gt;"",売分析!F99,"")</f>
        <v>3050</v>
      </c>
      <c r="G99" s="351">
        <f>IF(売分析!H99&lt;&gt;"",売分析!H99,"")</f>
        <v>3076</v>
      </c>
      <c r="H99" s="351">
        <f>IF(売分析!I99&lt;&gt;"",売分析!I99,"")</f>
        <v>3026</v>
      </c>
      <c r="I99" s="350">
        <f>IF(売分析!J99&lt;&gt;"",売分析!J99,"")</f>
        <v>2230900</v>
      </c>
      <c r="J99" s="351">
        <f>IF(売分析!AB99&lt;&gt;"",売分析!AB99,"")</f>
        <v>2960.4498847926266</v>
      </c>
      <c r="K99" s="351">
        <f>IF(売分析!AC99&lt;&gt;"",売分析!AC99,"")</f>
        <v>2865.2979737783057</v>
      </c>
      <c r="L99" s="351">
        <f>IF(売分析!K99&lt;&gt;"",売分析!K99,"")</f>
        <v>3419</v>
      </c>
      <c r="M99" s="350" t="str">
        <f>IF(売分析!P99&lt;&gt;"",売分析!P99,"")</f>
        <v>減少↓</v>
      </c>
      <c r="N99" s="353">
        <f>IF(売分析!O99&lt;&gt;"",売分析!O99,"")</f>
        <v>0.88006027756081007</v>
      </c>
      <c r="O99" s="355">
        <f>IF(売分析!X99&lt;&gt;"",売分析!X99,"")</f>
        <v>15.95943205473759</v>
      </c>
      <c r="P99" s="352">
        <f>IF(売分析!L99&lt;&gt;"",売分析!L99,"")</f>
        <v>-11.28985083357707</v>
      </c>
      <c r="Q99" s="351">
        <f>IF(売分析!S99&lt;&gt;"",売分析!S99,"")</f>
        <v>3154</v>
      </c>
      <c r="R99" s="351">
        <f>IF(売分析!R99&lt;&gt;"",売分析!R99,"")</f>
        <v>2790</v>
      </c>
      <c r="S99" s="350" t="str">
        <f>IF(売分析!AA99&lt;&gt;"",売分析!AA99,"")</f>
        <v>下落▼</v>
      </c>
      <c r="T99" s="356">
        <f>IF(売分析!Z99&lt;&gt;"",売分析!Z99,"")</f>
        <v>-0.32862306933946761</v>
      </c>
      <c r="U99" s="350" t="str">
        <f>IF(売分析!V99&lt;&gt;"",売分析!V99,"")</f>
        <v>通常</v>
      </c>
      <c r="V99" s="354">
        <f>IF(売分析!W99&lt;&gt;"",売分析!W99,"")</f>
        <v>63.299131807419101</v>
      </c>
      <c r="W99" s="350" t="str">
        <f>IF(売分析!AD99&lt;&gt;"",売分析!AD99,"")</f>
        <v>パーフェクト▲</v>
      </c>
      <c r="X99" s="350" t="str">
        <f>IF(売分析!AE99&lt;&gt;"",売分析!AE99,"")</f>
        <v>なし</v>
      </c>
      <c r="Y99" s="427">
        <f>IF(売分析!T99&lt;&gt;"",売分析!T99,"")</f>
        <v>-1</v>
      </c>
      <c r="Z99" s="350" t="str">
        <f>IF(売分析!Y99&lt;&gt;"",売分析!Y99,"")</f>
        <v>相場上昇・見送り | パーフェクト▲ MACD+ RSI:63.3 前日比:-0.3%前日[長い下ヒゲ(反発)] [-1点]</v>
      </c>
    </row>
    <row r="100" spans="1:26">
      <c r="A100" s="230">
        <f>IF(売分析!C100&lt;&gt;"",ROW()-2,"")</f>
        <v>98</v>
      </c>
      <c r="B100" s="357" t="str">
        <f>IF(売分析!C100&lt;&gt;"",HYPERLINK("https://kabutan.jp/stock/?code="&amp;売分析!C100,"株探"),"")</f>
        <v>株探</v>
      </c>
      <c r="C100" s="366">
        <f>IF(売分析!C100&lt;&gt;"",売分析!C100,"")</f>
        <v>6841</v>
      </c>
      <c r="D100" s="230" t="str">
        <f>IF(売分析!D100&lt;&gt;"",売分析!D100,"")</f>
        <v>横河電機</v>
      </c>
      <c r="E100" s="358">
        <f>IF(売分析!E100&lt;&gt;"",売分析!E100,"")</f>
        <v>5380</v>
      </c>
      <c r="F100" s="358">
        <f>IF(売分析!F100&lt;&gt;"",売分析!F100,"")</f>
        <v>5151</v>
      </c>
      <c r="G100" s="358">
        <f>IF(売分析!H100&lt;&gt;"",売分析!H100,"")</f>
        <v>5413</v>
      </c>
      <c r="H100" s="358">
        <f>IF(売分析!I100&lt;&gt;"",売分析!I100,"")</f>
        <v>5150</v>
      </c>
      <c r="I100" s="230">
        <f>IF(売分析!J100&lt;&gt;"",売分析!J100,"")</f>
        <v>1378800</v>
      </c>
      <c r="J100" s="358">
        <f>IF(売分析!AB100&lt;&gt;"",売分析!AB100,"")</f>
        <v>5133.5253456221189</v>
      </c>
      <c r="K100" s="358">
        <f>IF(売分析!AC100&lt;&gt;"",売分析!AC100,"")</f>
        <v>5046.5065554231214</v>
      </c>
      <c r="L100" s="358">
        <f>IF(売分析!K100&lt;&gt;"",売分析!K100,"")</f>
        <v>6317</v>
      </c>
      <c r="M100" s="230" t="str">
        <f>IF(売分析!P100&lt;&gt;"",売分析!P100,"")</f>
        <v>減少↓</v>
      </c>
      <c r="N100" s="360">
        <f>IF(売分析!O100&lt;&gt;"",売分析!O100,"")</f>
        <v>0.94762886597938145</v>
      </c>
      <c r="O100" s="362">
        <f>IF(売分析!X100&lt;&gt;"",売分析!X100,"")</f>
        <v>25.604315014788881</v>
      </c>
      <c r="P100" s="359">
        <f>IF(売分析!L100&lt;&gt;"",売分析!L100,"")</f>
        <v>-14.832990343517494</v>
      </c>
      <c r="Q100" s="358">
        <f>IF(売分析!S100&lt;&gt;"",売分析!S100,"")</f>
        <v>5595</v>
      </c>
      <c r="R100" s="358">
        <f>IF(売分析!R100&lt;&gt;"",売分析!R100,"")</f>
        <v>4950</v>
      </c>
      <c r="S100" s="230" t="str">
        <f>IF(売分析!AA100&lt;&gt;"",売分析!AA100,"")</f>
        <v>上昇▲</v>
      </c>
      <c r="T100" s="363">
        <f>IF(売分析!Z100&lt;&gt;"",売分析!Z100,"")</f>
        <v>2.8680688336520075</v>
      </c>
      <c r="U100" s="230" t="str">
        <f>IF(売分析!V100&lt;&gt;"",売分析!V100,"")</f>
        <v>通常</v>
      </c>
      <c r="V100" s="361">
        <f>IF(売分析!W100&lt;&gt;"",売分析!W100,"")</f>
        <v>55.698529411764703</v>
      </c>
      <c r="W100" s="230" t="str">
        <f>IF(売分析!AD100&lt;&gt;"",売分析!AD100,"")</f>
        <v>パーフェクト▲</v>
      </c>
      <c r="X100" s="230" t="str">
        <f>IF(売分析!AE100&lt;&gt;"",売分析!AE100,"")</f>
        <v>なし</v>
      </c>
      <c r="Y100" s="428">
        <f>IF(売分析!T100&lt;&gt;"",売分析!T100,"")</f>
        <v>0</v>
      </c>
      <c r="Z100" s="230" t="str">
        <f>IF(売分析!Y100&lt;&gt;"",売分析!Y100,"")</f>
        <v>相場上昇・見送り | パーフェクト▲ MACD+ RSI:55.7 前日比:+2.9% [0点]</v>
      </c>
    </row>
    <row r="101" spans="1:26">
      <c r="A101" s="350">
        <f>IF(売分析!C101&lt;&gt;"",ROW()-2,"")</f>
        <v>99</v>
      </c>
      <c r="B101" s="349" t="str">
        <f>IF(売分析!C101&lt;&gt;"",HYPERLINK("https://kabutan.jp/stock/?code="&amp;売分析!C101,"株探"),"")</f>
        <v>株探</v>
      </c>
      <c r="C101" s="365">
        <f>IF(売分析!C101&lt;&gt;"",売分析!C101,"")</f>
        <v>7167</v>
      </c>
      <c r="D101" s="350" t="str">
        <f>IF(売分析!D101&lt;&gt;"",売分析!D101,"")</f>
        <v>めぶきフィナンシャルＧ</v>
      </c>
      <c r="E101" s="351">
        <f>IF(売分析!E101&lt;&gt;"",売分析!E101,"")</f>
        <v>1388.5</v>
      </c>
      <c r="F101" s="351">
        <f>IF(売分析!F101&lt;&gt;"",売分析!F101,"")</f>
        <v>1429</v>
      </c>
      <c r="G101" s="351">
        <f>IF(売分析!H101&lt;&gt;"",売分析!H101,"")</f>
        <v>1446.5</v>
      </c>
      <c r="H101" s="351">
        <f>IF(売分析!I101&lt;&gt;"",売分析!I101,"")</f>
        <v>1388.5</v>
      </c>
      <c r="I101" s="350">
        <f>IF(売分析!J101&lt;&gt;"",売分析!J101,"")</f>
        <v>2240800</v>
      </c>
      <c r="J101" s="351">
        <f>IF(売分析!AB101&lt;&gt;"",売分析!AB101,"")</f>
        <v>1394.2546082949307</v>
      </c>
      <c r="K101" s="351">
        <f>IF(売分析!AC101&lt;&gt;"",売分析!AC101,"")</f>
        <v>1368.1710369487482</v>
      </c>
      <c r="L101" s="351">
        <f>IF(売分析!K101&lt;&gt;"",売分析!K101,"")</f>
        <v>1456.5</v>
      </c>
      <c r="M101" s="350" t="str">
        <f>IF(売分析!P101&lt;&gt;"",売分析!P101,"")</f>
        <v>減少↓</v>
      </c>
      <c r="N101" s="353">
        <f>IF(売分析!O101&lt;&gt;"",売分析!O101,"")</f>
        <v>0.77225825573300433</v>
      </c>
      <c r="O101" s="355">
        <f>IF(売分析!X101&lt;&gt;"",売分析!X101,"")</f>
        <v>0.60691015328166031</v>
      </c>
      <c r="P101" s="352">
        <f>IF(売分析!L101&lt;&gt;"",売分析!L101,"")</f>
        <v>-4.6687263989014758</v>
      </c>
      <c r="Q101" s="351">
        <f>IF(売分析!S101&lt;&gt;"",売分析!S101,"")</f>
        <v>1444</v>
      </c>
      <c r="R101" s="351">
        <f>IF(売分析!R101&lt;&gt;"",売分析!R101,"")</f>
        <v>1277</v>
      </c>
      <c r="S101" s="350" t="str">
        <f>IF(売分析!AA101&lt;&gt;"",売分析!AA101,"")</f>
        <v>下落▼</v>
      </c>
      <c r="T101" s="356">
        <f>IF(売分析!Z101&lt;&gt;"",売分析!Z101,"")</f>
        <v>-1.7338995046001413</v>
      </c>
      <c r="U101" s="350" t="str">
        <f>IF(売分析!V101&lt;&gt;"",売分析!V101,"")</f>
        <v>通常</v>
      </c>
      <c r="V101" s="354">
        <f>IF(売分析!W101&lt;&gt;"",売分析!W101,"")</f>
        <v>55.580357142857146</v>
      </c>
      <c r="W101" s="350" t="str">
        <f>IF(売分析!AD101&lt;&gt;"",売分析!AD101,"")</f>
        <v>上昇トレンド▲</v>
      </c>
      <c r="X101" s="350" t="str">
        <f>IF(売分析!AE101&lt;&gt;"",売分析!AE101,"")</f>
        <v>5日戻り売り○</v>
      </c>
      <c r="Y101" s="427">
        <f>IF(売分析!T101&lt;&gt;"",売分析!T101,"")</f>
        <v>2</v>
      </c>
      <c r="Z101" s="350" t="str">
        <f>IF(売分析!Y101&lt;&gt;"",売分析!Y101,"")</f>
        <v>相場上昇・見送り | 上昇トレンド▲ 5日戻り売り○ MACD+ RSI:55.6 前日比:-1.7%前日[長い下ヒゲ(反発)] [2点]</v>
      </c>
    </row>
    <row r="102" spans="1:26">
      <c r="A102" s="230">
        <f>IF(売分析!C102&lt;&gt;"",ROW()-2,"")</f>
        <v>100</v>
      </c>
      <c r="B102" s="357" t="str">
        <f>IF(売分析!C102&lt;&gt;"",HYPERLINK("https://kabutan.jp/stock/?code="&amp;売分析!C102,"株探"),"")</f>
        <v>株探</v>
      </c>
      <c r="C102" s="366">
        <f>IF(売分析!C102&lt;&gt;"",売分析!C102,"")</f>
        <v>7182</v>
      </c>
      <c r="D102" s="230" t="str">
        <f>IF(売分析!D102&lt;&gt;"",売分析!D102,"")</f>
        <v>ゆうちょ銀行</v>
      </c>
      <c r="E102" s="358">
        <f>IF(売分析!E102&lt;&gt;"",売分析!E102,"")</f>
        <v>3125</v>
      </c>
      <c r="F102" s="358">
        <f>IF(売分析!F102&lt;&gt;"",売分析!F102,"")</f>
        <v>3188</v>
      </c>
      <c r="G102" s="358">
        <f>IF(売分析!H102&lt;&gt;"",売分析!H102,"")</f>
        <v>3235</v>
      </c>
      <c r="H102" s="358">
        <f>IF(売分析!I102&lt;&gt;"",売分析!I102,"")</f>
        <v>3125</v>
      </c>
      <c r="I102" s="230">
        <f>IF(売分析!J102&lt;&gt;"",売分析!J102,"")</f>
        <v>6055800</v>
      </c>
      <c r="J102" s="358">
        <f>IF(売分析!AB102&lt;&gt;"",売分析!AB102,"")</f>
        <v>3151.8191244239624</v>
      </c>
      <c r="K102" s="358">
        <f>IF(売分析!AC102&lt;&gt;"",売分析!AC102,"")</f>
        <v>3100.4362336114414</v>
      </c>
      <c r="L102" s="358">
        <f>IF(売分析!K102&lt;&gt;"",売分析!K102,"")</f>
        <v>3308</v>
      </c>
      <c r="M102" s="230" t="str">
        <f>IF(売分析!P102&lt;&gt;"",売分析!P102,"")</f>
        <v>減少↓</v>
      </c>
      <c r="N102" s="360">
        <f>IF(売分析!O102&lt;&gt;"",売分析!O102,"")</f>
        <v>0.79580218879111864</v>
      </c>
      <c r="O102" s="362">
        <f>IF(売分析!X102&lt;&gt;"",売分析!X102,"")</f>
        <v>23.552438116693793</v>
      </c>
      <c r="P102" s="359">
        <f>IF(売分析!L102&lt;&gt;"",売分析!L102,"")</f>
        <v>-5.5320435308343407</v>
      </c>
      <c r="Q102" s="358">
        <f>IF(売分析!S102&lt;&gt;"",売分析!S102,"")</f>
        <v>3250</v>
      </c>
      <c r="R102" s="358">
        <f>IF(売分析!R102&lt;&gt;"",売分析!R102,"")</f>
        <v>2875</v>
      </c>
      <c r="S102" s="230" t="str">
        <f>IF(売分析!AA102&lt;&gt;"",売分析!AA102,"")</f>
        <v>下落▼</v>
      </c>
      <c r="T102" s="363">
        <f>IF(売分析!Z102&lt;&gt;"",売分析!Z102,"")</f>
        <v>-1.4195583596214512</v>
      </c>
      <c r="U102" s="230" t="str">
        <f>IF(売分析!V102&lt;&gt;"",売分析!V102,"")</f>
        <v>通常</v>
      </c>
      <c r="V102" s="361">
        <f>IF(売分析!W102&lt;&gt;"",売分析!W102,"")</f>
        <v>54.258849557522126</v>
      </c>
      <c r="W102" s="230" t="str">
        <f>IF(売分析!AD102&lt;&gt;"",売分析!AD102,"")</f>
        <v>上昇トレンド▲</v>
      </c>
      <c r="X102" s="230" t="str">
        <f>IF(売分析!AE102&lt;&gt;"",売分析!AE102,"")</f>
        <v>5日戻り売り○</v>
      </c>
      <c r="Y102" s="428">
        <f>IF(売分析!T102&lt;&gt;"",売分析!T102,"")</f>
        <v>-1</v>
      </c>
      <c r="Z102" s="230" t="str">
        <f>IF(売分析!Y102&lt;&gt;"",売分析!Y102,"")</f>
        <v>相場上昇・見送り | 上昇トレンド▲ 5日戻り売り○ MACD+ RSI:54.3 前日比:-1.4%前日[長い下ヒゲ(反発)] [-1点]</v>
      </c>
    </row>
    <row r="103" spans="1:26">
      <c r="A103" s="350">
        <f>IF(売分析!C103&lt;&gt;"",ROW()-2,"")</f>
        <v>101</v>
      </c>
      <c r="B103" s="349" t="str">
        <f>IF(売分析!C103&lt;&gt;"",HYPERLINK("https://kabutan.jp/stock/?code="&amp;売分析!C103,"株探"),"")</f>
        <v>株探</v>
      </c>
      <c r="C103" s="365">
        <f>IF(売分析!C103&lt;&gt;"",売分析!C103,"")</f>
        <v>4661</v>
      </c>
      <c r="D103" s="350" t="str">
        <f>IF(売分析!D103&lt;&gt;"",売分析!D103,"")</f>
        <v>オリエンタルランド</v>
      </c>
      <c r="E103" s="351">
        <f>IF(売分析!E103&lt;&gt;"",売分析!E103,"")</f>
        <v>2291</v>
      </c>
      <c r="F103" s="351">
        <f>IF(売分析!F103&lt;&gt;"",売分析!F103,"")</f>
        <v>2290</v>
      </c>
      <c r="G103" s="351">
        <f>IF(売分析!H103&lt;&gt;"",売分析!H103,"")</f>
        <v>2303.5</v>
      </c>
      <c r="H103" s="351">
        <f>IF(売分析!I103&lt;&gt;"",売分析!I103,"")</f>
        <v>2260.5</v>
      </c>
      <c r="I103" s="350">
        <f>IF(売分析!J103&lt;&gt;"",売分析!J103,"")</f>
        <v>4234100</v>
      </c>
      <c r="J103" s="351">
        <f>IF(売分析!AB103&lt;&gt;"",売分析!AB103,"")</f>
        <v>2284.4130184331793</v>
      </c>
      <c r="K103" s="351">
        <f>IF(売分析!AC103&lt;&gt;"",売分析!AC103,"")</f>
        <v>2232.6209773539913</v>
      </c>
      <c r="L103" s="351">
        <f>IF(売分析!K103&lt;&gt;"",売分析!K103,"")</f>
        <v>2947</v>
      </c>
      <c r="M103" s="350" t="str">
        <f>IF(売分析!P103&lt;&gt;"",売分析!P103,"")</f>
        <v>減少↓</v>
      </c>
      <c r="N103" s="353">
        <f>IF(売分析!O103&lt;&gt;"",売分析!O103,"")</f>
        <v>0.75446718127454548</v>
      </c>
      <c r="O103" s="355">
        <f>IF(売分析!X103&lt;&gt;"",売分析!X103,"")</f>
        <v>12.932807008466625</v>
      </c>
      <c r="P103" s="352">
        <f>IF(売分析!L103&lt;&gt;"",売分析!L103,"")</f>
        <v>-22.259925347811333</v>
      </c>
      <c r="Q103" s="351">
        <f>IF(売分析!S103&lt;&gt;"",売分析!S103,"")</f>
        <v>2383</v>
      </c>
      <c r="R103" s="351">
        <f>IF(売分析!R103&lt;&gt;"",売分析!R103,"")</f>
        <v>2108</v>
      </c>
      <c r="S103" s="350" t="str">
        <f>IF(売分析!AA103&lt;&gt;"",売分析!AA103,"")</f>
        <v>上昇▲</v>
      </c>
      <c r="T103" s="356">
        <f>IF(売分析!Z103&lt;&gt;"",売分析!Z103,"")</f>
        <v>0.65905096660808438</v>
      </c>
      <c r="U103" s="350" t="str">
        <f>IF(売分析!V103&lt;&gt;"",売分析!V103,"")</f>
        <v>通常</v>
      </c>
      <c r="V103" s="354">
        <f>IF(売分析!W103&lt;&gt;"",売分析!W103,"")</f>
        <v>64.625850340136054</v>
      </c>
      <c r="W103" s="350" t="str">
        <f>IF(売分析!AD103&lt;&gt;"",売分析!AD103,"")</f>
        <v>パーフェクト▲</v>
      </c>
      <c r="X103" s="350" t="str">
        <f>IF(売分析!AE103&lt;&gt;"",売分析!AE103,"")</f>
        <v>なし</v>
      </c>
      <c r="Y103" s="427">
        <f>IF(売分析!T103&lt;&gt;"",売分析!T103,"")</f>
        <v>1</v>
      </c>
      <c r="Z103" s="350" t="str">
        <f>IF(売分析!Y103&lt;&gt;"",売分析!Y103,"")</f>
        <v>相場上昇・見送り | パーフェクト▲ MACD+ RSI:64.6 前日比:+0.7% [1点]</v>
      </c>
    </row>
    <row r="104" spans="1:26">
      <c r="A104" s="230">
        <f>IF(売分析!C104&lt;&gt;"",ROW()-2,"")</f>
        <v>102</v>
      </c>
      <c r="B104" s="357" t="str">
        <f>IF(売分析!C104&lt;&gt;"",HYPERLINK("https://kabutan.jp/stock/?code="&amp;売分析!C104,"株探"),"")</f>
        <v>株探</v>
      </c>
      <c r="C104" s="366">
        <f>IF(売分析!C104&lt;&gt;"",売分析!C104,"")</f>
        <v>9020</v>
      </c>
      <c r="D104" s="230" t="str">
        <f>IF(売分析!D104&lt;&gt;"",売分析!D104,"")</f>
        <v>東日本旅客鉄道</v>
      </c>
      <c r="E104" s="358">
        <f>IF(売分析!E104&lt;&gt;"",売分析!E104,"")</f>
        <v>3345</v>
      </c>
      <c r="F104" s="358">
        <f>IF(売分析!F104&lt;&gt;"",売分析!F104,"")</f>
        <v>3445</v>
      </c>
      <c r="G104" s="358">
        <f>IF(売分析!H104&lt;&gt;"",売分析!H104,"")</f>
        <v>3455</v>
      </c>
      <c r="H104" s="358">
        <f>IF(売分析!I104&lt;&gt;"",売分析!I104,"")</f>
        <v>3336</v>
      </c>
      <c r="I104" s="230">
        <f>IF(売分析!J104&lt;&gt;"",売分析!J104,"")</f>
        <v>2698700</v>
      </c>
      <c r="J104" s="358">
        <f>IF(売分析!AB104&lt;&gt;"",売分析!AB104,"")</f>
        <v>3384.3928571428564</v>
      </c>
      <c r="K104" s="358">
        <f>IF(売分析!AC104&lt;&gt;"",売分析!AC104,"")</f>
        <v>3455.9952324195456</v>
      </c>
      <c r="L104" s="358">
        <f>IF(売分析!K104&lt;&gt;"",売分析!K104,"")</f>
        <v>4211</v>
      </c>
      <c r="M104" s="230" t="str">
        <f>IF(売分析!P104&lt;&gt;"",売分析!P104,"")</f>
        <v>減少↓</v>
      </c>
      <c r="N104" s="360">
        <f>IF(売分析!O104&lt;&gt;"",売分析!O104,"")</f>
        <v>0.76889982962089221</v>
      </c>
      <c r="O104" s="362">
        <f>IF(売分析!X104&lt;&gt;"",売分析!X104,"")</f>
        <v>-44.773703525328074</v>
      </c>
      <c r="P104" s="359">
        <f>IF(売分析!L104&lt;&gt;"",売分析!L104,"")</f>
        <v>-20.565186416528142</v>
      </c>
      <c r="Q104" s="358">
        <f>IF(売分析!S104&lt;&gt;"",売分析!S104,"")</f>
        <v>3479</v>
      </c>
      <c r="R104" s="358">
        <f>IF(売分析!R104&lt;&gt;"",売分析!R104,"")</f>
        <v>3077</v>
      </c>
      <c r="S104" s="230" t="str">
        <f>IF(売分析!AA104&lt;&gt;"",売分析!AA104,"")</f>
        <v>下落▼</v>
      </c>
      <c r="T104" s="363">
        <f>IF(売分析!Z104&lt;&gt;"",売分析!Z104,"")</f>
        <v>-1.5597410241318423</v>
      </c>
      <c r="U104" s="230" t="str">
        <f>IF(売分析!V104&lt;&gt;"",売分析!V104,"")</f>
        <v>通常</v>
      </c>
      <c r="V104" s="361">
        <f>IF(売分析!W104&lt;&gt;"",売分析!W104,"")</f>
        <v>31.690140845070431</v>
      </c>
      <c r="W104" s="230" t="str">
        <f>IF(売分析!AD104&lt;&gt;"",売分析!AD104,"")</f>
        <v>下降トレンド▼</v>
      </c>
      <c r="X104" s="230" t="str">
        <f>IF(売分析!AE104&lt;&gt;"",売分析!AE104,"")</f>
        <v>なし</v>
      </c>
      <c r="Y104" s="428">
        <f>IF(売分析!T104&lt;&gt;"",売分析!T104,"")</f>
        <v>10</v>
      </c>
      <c r="Z104" s="230" t="str">
        <f>IF(売分析!Y104&lt;&gt;"",売分析!Y104,"")</f>
        <v>相場上昇・見送り | 下降トレンド▼ MACD- RSI:31.7 前日比:-1.6% [大陰線▼]前日[長い下ヒゲ(反発)] [10点]</v>
      </c>
    </row>
    <row r="105" spans="1:26">
      <c r="A105" s="350">
        <f>IF(売分析!C105&lt;&gt;"",ROW()-2,"")</f>
        <v>103</v>
      </c>
      <c r="B105" s="349" t="str">
        <f>IF(売分析!C105&lt;&gt;"",HYPERLINK("https://kabutan.jp/stock/?code="&amp;売分析!C105,"株探"),"")</f>
        <v>株探</v>
      </c>
      <c r="C105" s="365">
        <f>IF(売分析!C105&lt;&gt;"",売分析!C105,"")</f>
        <v>9501</v>
      </c>
      <c r="D105" s="350" t="str">
        <f>IF(売分析!D105&lt;&gt;"",売分析!D105,"")</f>
        <v>東京電力ＨＤ</v>
      </c>
      <c r="E105" s="351">
        <f>IF(売分析!E105&lt;&gt;"",売分析!E105,"")</f>
        <v>508.1</v>
      </c>
      <c r="F105" s="351">
        <f>IF(売分析!F105&lt;&gt;"",売分析!F105,"")</f>
        <v>523.20000000000005</v>
      </c>
      <c r="G105" s="351">
        <f>IF(売分析!H105&lt;&gt;"",売分析!H105,"")</f>
        <v>523.5</v>
      </c>
      <c r="H105" s="351">
        <f>IF(売分析!I105&lt;&gt;"",売分析!I105,"")</f>
        <v>507.4</v>
      </c>
      <c r="I105" s="350">
        <f>IF(売分析!J105&lt;&gt;"",売分析!J105,"")</f>
        <v>21276700</v>
      </c>
      <c r="J105" s="351">
        <f>IF(売分析!AB105&lt;&gt;"",売分析!AB105,"")</f>
        <v>508.48052995391703</v>
      </c>
      <c r="K105" s="351">
        <f>IF(売分析!AC105&lt;&gt;"",売分析!AC105,"")</f>
        <v>540.6063170440998</v>
      </c>
      <c r="L105" s="351">
        <f>IF(売分析!K105&lt;&gt;"",売分析!K105,"")</f>
        <v>760</v>
      </c>
      <c r="M105" s="350" t="str">
        <f>IF(売分析!P105&lt;&gt;"",売分析!P105,"")</f>
        <v>減少↓</v>
      </c>
      <c r="N105" s="353">
        <f>IF(売分析!O105&lt;&gt;"",売分析!O105,"")</f>
        <v>0.71775698538490296</v>
      </c>
      <c r="O105" s="355">
        <f>IF(売分析!X105&lt;&gt;"",売分析!X105,"")</f>
        <v>-8.7907850691969998</v>
      </c>
      <c r="P105" s="352">
        <f>IF(売分析!L105&lt;&gt;"",売分析!L105,"")</f>
        <v>-33.14473684210526</v>
      </c>
      <c r="Q105" s="351">
        <f>IF(売分析!S105&lt;&gt;"",売分析!S105,"")</f>
        <v>528</v>
      </c>
      <c r="R105" s="351">
        <f>IF(売分析!R105&lt;&gt;"",売分析!R105,"")</f>
        <v>467</v>
      </c>
      <c r="S105" s="350" t="str">
        <f>IF(売分析!AA105&lt;&gt;"",売分析!AA105,"")</f>
        <v>下落▼</v>
      </c>
      <c r="T105" s="356">
        <f>IF(売分析!Z105&lt;&gt;"",売分析!Z105,"")</f>
        <v>-1.05160662122687</v>
      </c>
      <c r="U105" s="350" t="str">
        <f>IF(売分析!V105&lt;&gt;"",売分析!V105,"")</f>
        <v>安値圏</v>
      </c>
      <c r="V105" s="354">
        <f>IF(売分析!W105&lt;&gt;"",売分析!W105,"")</f>
        <v>33.017077798861465</v>
      </c>
      <c r="W105" s="350" t="str">
        <f>IF(売分析!AD105&lt;&gt;"",売分析!AD105,"")</f>
        <v>下降トレンド▼</v>
      </c>
      <c r="X105" s="350" t="str">
        <f>IF(売分析!AE105&lt;&gt;"",売分析!AE105,"")</f>
        <v>5日戻り売り○</v>
      </c>
      <c r="Y105" s="427">
        <f>IF(売分析!T105&lt;&gt;"",売分析!T105,"")</f>
        <v>18</v>
      </c>
      <c r="Z105" s="350" t="str">
        <f>IF(売分析!Y105&lt;&gt;"",売分析!Y105,"")</f>
        <v>★逆張り売り | 下降トレンド▼ 5日戻り売り○ MACD- RSI:33.0 前日比:-1.1% [安値圏] [大陰線▼]前日[大陰線▼] [18点]</v>
      </c>
    </row>
    <row r="106" spans="1:26">
      <c r="A106" s="230">
        <f>IF(売分析!C106&lt;&gt;"",ROW()-2,"")</f>
        <v>104</v>
      </c>
      <c r="B106" s="357" t="str">
        <f>IF(売分析!C106&lt;&gt;"",HYPERLINK("https://kabutan.jp/stock/?code="&amp;売分析!C106,"株探"),"")</f>
        <v>株探</v>
      </c>
      <c r="C106" s="366">
        <f>IF(売分析!C106&lt;&gt;"",売分析!C106,"")</f>
        <v>6744</v>
      </c>
      <c r="D106" s="230" t="str">
        <f>IF(売分析!D106&lt;&gt;"",売分析!D106,"")</f>
        <v>能美防災</v>
      </c>
      <c r="E106" s="358">
        <f>IF(売分析!E106&lt;&gt;"",売分析!E106,"")</f>
        <v>4175</v>
      </c>
      <c r="F106" s="358">
        <f>IF(売分析!F106&lt;&gt;"",売分析!F106,"")</f>
        <v>4200</v>
      </c>
      <c r="G106" s="358">
        <f>IF(売分析!H106&lt;&gt;"",売分析!H106,"")</f>
        <v>4230</v>
      </c>
      <c r="H106" s="358">
        <f>IF(売分析!I106&lt;&gt;"",売分析!I106,"")</f>
        <v>4155</v>
      </c>
      <c r="I106" s="230">
        <f>IF(売分析!J106&lt;&gt;"",売分析!J106,"")</f>
        <v>65600</v>
      </c>
      <c r="J106" s="358">
        <f>IF(売分析!AB106&lt;&gt;"",売分析!AB106,"")</f>
        <v>4203.0817972350223</v>
      </c>
      <c r="K106" s="358">
        <f>IF(売分析!AC106&lt;&gt;"",売分析!AC106,"")</f>
        <v>4454.0107270560175</v>
      </c>
      <c r="L106" s="358">
        <f>IF(売分析!K106&lt;&gt;"",売分析!K106,"")</f>
        <v>5020</v>
      </c>
      <c r="M106" s="230" t="str">
        <f>IF(売分析!P106&lt;&gt;"",売分析!P106,"")</f>
        <v>減少↓</v>
      </c>
      <c r="N106" s="360">
        <f>IF(売分析!O106&lt;&gt;"",売分析!O106,"")</f>
        <v>0.94144661308840416</v>
      </c>
      <c r="O106" s="362">
        <f>IF(売分析!X106&lt;&gt;"",売分析!X106,"")</f>
        <v>-59.164371375461997</v>
      </c>
      <c r="P106" s="359">
        <f>IF(売分析!L106&lt;&gt;"",売分析!L106,"")</f>
        <v>-16.832669322709162</v>
      </c>
      <c r="Q106" s="358">
        <f>IF(売分析!S106&lt;&gt;"",売分析!S106,"")</f>
        <v>4342</v>
      </c>
      <c r="R106" s="358">
        <f>IF(売分析!R106&lt;&gt;"",売分析!R106,"")</f>
        <v>3841</v>
      </c>
      <c r="S106" s="230" t="str">
        <f>IF(売分析!AA106&lt;&gt;"",売分析!AA106,"")</f>
        <v>下落▼</v>
      </c>
      <c r="T106" s="363">
        <f>IF(売分析!Z106&lt;&gt;"",売分析!Z106,"")</f>
        <v>-0.23894862604540024</v>
      </c>
      <c r="U106" s="230" t="str">
        <f>IF(売分析!V106&lt;&gt;"",売分析!V106,"")</f>
        <v>通常</v>
      </c>
      <c r="V106" s="361">
        <f>IF(売分析!W106&lt;&gt;"",売分析!W106,"")</f>
        <v>23.039215686274503</v>
      </c>
      <c r="W106" s="230" t="str">
        <f>IF(売分析!AD106&lt;&gt;"",売分析!AD106,"")</f>
        <v>下降トレンド▼</v>
      </c>
      <c r="X106" s="230" t="str">
        <f>IF(売分析!AE106&lt;&gt;"",売分析!AE106,"")</f>
        <v>5日戻り売り○</v>
      </c>
      <c r="Y106" s="428">
        <f>IF(売分析!T106&lt;&gt;"",売分析!T106,"")</f>
        <v>13</v>
      </c>
      <c r="Z106" s="230" t="str">
        <f>IF(売分析!Y106&lt;&gt;"",売分析!Y106,"")</f>
        <v>★逆張り売り | 下降トレンド▼ 5日戻り売り○ MACD- RSI:23.0 [売られ過ぎ] 前日比:-0.2%前日[大陰線▼] [13点]</v>
      </c>
    </row>
    <row r="107" spans="1:26">
      <c r="A107" s="350">
        <f>IF(売分析!C107&lt;&gt;"",ROW()-2,"")</f>
        <v>105</v>
      </c>
      <c r="B107" s="349" t="str">
        <f>IF(売分析!C107&lt;&gt;"",HYPERLINK("https://kabutan.jp/stock/?code="&amp;売分析!C107,"株探"),"")</f>
        <v>株探</v>
      </c>
      <c r="C107" s="365">
        <f>IF(売分析!C107&lt;&gt;"",売分析!C107,"")</f>
        <v>9416</v>
      </c>
      <c r="D107" s="350" t="str">
        <f>IF(売分析!D107&lt;&gt;"",売分析!D107,"")</f>
        <v>ビジョン</v>
      </c>
      <c r="E107" s="351">
        <f>IF(売分析!E107&lt;&gt;"",売分析!E107,"")</f>
        <v>1015</v>
      </c>
      <c r="F107" s="351">
        <f>IF(売分析!F107&lt;&gt;"",売分析!F107,"")</f>
        <v>1020</v>
      </c>
      <c r="G107" s="351">
        <f>IF(売分析!H107&lt;&gt;"",売分析!H107,"")</f>
        <v>1026</v>
      </c>
      <c r="H107" s="351">
        <f>IF(売分析!I107&lt;&gt;"",売分析!I107,"")</f>
        <v>1012</v>
      </c>
      <c r="I107" s="350">
        <f>IF(売分析!J107&lt;&gt;"",売分析!J107,"")</f>
        <v>504700</v>
      </c>
      <c r="J107" s="351">
        <f>IF(売分析!AB107&lt;&gt;"",売分析!AB107,"")</f>
        <v>1015.1370967741935</v>
      </c>
      <c r="K107" s="351">
        <f>IF(売分析!AC107&lt;&gt;"",売分析!AC107,"")</f>
        <v>1030.4648390941593</v>
      </c>
      <c r="L107" s="351">
        <f>IF(売分析!K107&lt;&gt;"",売分析!K107,"")</f>
        <v>1343</v>
      </c>
      <c r="M107" s="350" t="str">
        <f>IF(売分析!P107&lt;&gt;"",売分析!P107,"")</f>
        <v>普通→</v>
      </c>
      <c r="N107" s="353">
        <f>IF(売分析!O107&lt;&gt;"",売分析!O107,"")</f>
        <v>1.2597344249201279</v>
      </c>
      <c r="O107" s="355">
        <f>IF(売分析!X107&lt;&gt;"",売分析!X107,"")</f>
        <v>-6.4015538988769549</v>
      </c>
      <c r="P107" s="352">
        <f>IF(売分析!L107&lt;&gt;"",売分析!L107,"")</f>
        <v>-24.422933730454208</v>
      </c>
      <c r="Q107" s="351">
        <f>IF(売分析!S107&lt;&gt;"",売分析!S107,"")</f>
        <v>1056</v>
      </c>
      <c r="R107" s="351">
        <f>IF(売分析!R107&lt;&gt;"",売分析!R107,"")</f>
        <v>934</v>
      </c>
      <c r="S107" s="350" t="str">
        <f>IF(売分析!AA107&lt;&gt;"",売分析!AA107,"")</f>
        <v>下落▼</v>
      </c>
      <c r="T107" s="356">
        <f>IF(売分析!Z107&lt;&gt;"",売分析!Z107,"")</f>
        <v>-0.29469548133595286</v>
      </c>
      <c r="U107" s="350" t="str">
        <f>IF(売分析!V107&lt;&gt;"",売分析!V107,"")</f>
        <v>通常</v>
      </c>
      <c r="V107" s="354">
        <f>IF(売分析!W107&lt;&gt;"",売分析!W107,"")</f>
        <v>27.624309392265189</v>
      </c>
      <c r="W107" s="350" t="str">
        <f>IF(売分析!AD107&lt;&gt;"",売分析!AD107,"")</f>
        <v>下降トレンド▼</v>
      </c>
      <c r="X107" s="350" t="str">
        <f>IF(売分析!AE107&lt;&gt;"",売分析!AE107,"")</f>
        <v>25日戻り売り★</v>
      </c>
      <c r="Y107" s="427">
        <f>IF(売分析!T107&lt;&gt;"",売分析!T107,"")</f>
        <v>10</v>
      </c>
      <c r="Z107" s="350" t="str">
        <f>IF(売分析!Y107&lt;&gt;"",売分析!Y107,"")</f>
        <v>★逆張り売り | 下降トレンド▼ 25日戻り売り★ MACD- RSI:27.6 [売られ過ぎ] 前日比:-0.3%前日[長い下ヒゲ(反発)] [10点]</v>
      </c>
    </row>
    <row r="108" spans="1:26">
      <c r="A108" s="230">
        <f>IF(売分析!C108&lt;&gt;"",ROW()-2,"")</f>
        <v>106</v>
      </c>
      <c r="B108" s="357" t="str">
        <f>IF(売分析!C108&lt;&gt;"",HYPERLINK("https://kabutan.jp/stock/?code="&amp;売分析!C108,"株探"),"")</f>
        <v>株探</v>
      </c>
      <c r="C108" s="366">
        <f>IF(売分析!C108&lt;&gt;"",売分析!C108,"")</f>
        <v>6227</v>
      </c>
      <c r="D108" s="230" t="str">
        <f>IF(売分析!D108&lt;&gt;"",売分析!D108,"")</f>
        <v>ＡＩメカテック</v>
      </c>
      <c r="E108" s="358">
        <f>IF(売分析!E108&lt;&gt;"",売分析!E108,"")</f>
        <v>8160</v>
      </c>
      <c r="F108" s="358">
        <f>IF(売分析!F108&lt;&gt;"",売分析!F108,"")</f>
        <v>7930</v>
      </c>
      <c r="G108" s="358">
        <f>IF(売分析!H108&lt;&gt;"",売分析!H108,"")</f>
        <v>8830</v>
      </c>
      <c r="H108" s="358">
        <f>IF(売分析!I108&lt;&gt;"",売分析!I108,"")</f>
        <v>7920</v>
      </c>
      <c r="I108" s="230">
        <f>IF(売分析!J108&lt;&gt;"",売分析!J108,"")</f>
        <v>1363100</v>
      </c>
      <c r="J108" s="358">
        <f>IF(売分析!AB108&lt;&gt;"",売分析!AB108,"")</f>
        <v>7849.0668202764964</v>
      </c>
      <c r="K108" s="358">
        <f>IF(売分析!AC108&lt;&gt;"",売分析!AC108,"")</f>
        <v>6884.6245530393298</v>
      </c>
      <c r="L108" s="358">
        <f>IF(売分析!K108&lt;&gt;"",売分析!K108,"")</f>
        <v>9190</v>
      </c>
      <c r="M108" s="230" t="str">
        <f>IF(売分析!P108&lt;&gt;"",売分析!P108,"")</f>
        <v>減少↓</v>
      </c>
      <c r="N108" s="360">
        <f>IF(売分析!O108&lt;&gt;"",売分析!O108,"")</f>
        <v>0.88484258357676082</v>
      </c>
      <c r="O108" s="362">
        <f>IF(売分析!X108&lt;&gt;"",売分析!X108,"")</f>
        <v>199.61110735196689</v>
      </c>
      <c r="P108" s="359">
        <f>IF(売分析!L108&lt;&gt;"",売分析!L108,"")</f>
        <v>-11.207834602829161</v>
      </c>
      <c r="Q108" s="358">
        <f>IF(売分析!S108&lt;&gt;"",売分析!S108,"")</f>
        <v>8486</v>
      </c>
      <c r="R108" s="358">
        <f>IF(売分析!R108&lt;&gt;"",売分析!R108,"")</f>
        <v>7507</v>
      </c>
      <c r="S108" s="230" t="str">
        <f>IF(売分析!AA108&lt;&gt;"",売分析!AA108,"")</f>
        <v>上昇▲</v>
      </c>
      <c r="T108" s="363">
        <f>IF(売分析!Z108&lt;&gt;"",売分析!Z108,"")</f>
        <v>0.99009900990099009</v>
      </c>
      <c r="U108" s="230" t="str">
        <f>IF(売分析!V108&lt;&gt;"",売分析!V108,"")</f>
        <v>通常</v>
      </c>
      <c r="V108" s="361">
        <f>IF(売分析!W108&lt;&gt;"",売分析!W108,"")</f>
        <v>70.043103448275872</v>
      </c>
      <c r="W108" s="230" t="str">
        <f>IF(売分析!AD108&lt;&gt;"",売分析!AD108,"")</f>
        <v>パーフェクト▲</v>
      </c>
      <c r="X108" s="230" t="str">
        <f>IF(売分析!AE108&lt;&gt;"",売分析!AE108,"")</f>
        <v>なし</v>
      </c>
      <c r="Y108" s="428">
        <f>IF(売分析!T108&lt;&gt;"",売分析!T108,"")</f>
        <v>3</v>
      </c>
      <c r="Z108" s="230" t="str">
        <f>IF(売分析!Y108&lt;&gt;"",売分析!Y108,"")</f>
        <v>△過熱・様子見 | パーフェクト▲ MACD+ RSI:70.0 [過熱] 前日比:+1.0% [上ヒゲ陰線▼] [3点]</v>
      </c>
    </row>
    <row r="109" spans="1:26">
      <c r="A109" s="350">
        <f>IF(売分析!C109&lt;&gt;"",ROW()-2,"")</f>
        <v>107</v>
      </c>
      <c r="B109" s="349" t="str">
        <f>IF(売分析!C109&lt;&gt;"",HYPERLINK("https://kabutan.jp/stock/?code="&amp;売分析!C109,"株探"),"")</f>
        <v>株探</v>
      </c>
      <c r="C109" s="365">
        <f>IF(売分析!C109&lt;&gt;"",売分析!C109,"")</f>
        <v>3110</v>
      </c>
      <c r="D109" s="350" t="str">
        <f>IF(売分析!D109&lt;&gt;"",売分析!D109,"")</f>
        <v>日東紡績</v>
      </c>
      <c r="E109" s="351">
        <f>IF(売分析!E109&lt;&gt;"",売分析!E109,"")</f>
        <v>21170</v>
      </c>
      <c r="F109" s="351">
        <f>IF(売分析!F109&lt;&gt;"",売分析!F109,"")</f>
        <v>20690</v>
      </c>
      <c r="G109" s="351">
        <f>IF(売分析!H109&lt;&gt;"",売分析!H109,"")</f>
        <v>21630</v>
      </c>
      <c r="H109" s="351">
        <f>IF(売分析!I109&lt;&gt;"",売分析!I109,"")</f>
        <v>20600</v>
      </c>
      <c r="I109" s="350">
        <f>IF(売分析!J109&lt;&gt;"",売分析!J109,"")</f>
        <v>1745900</v>
      </c>
      <c r="J109" s="351">
        <f>IF(売分析!AB109&lt;&gt;"",売分析!AB109,"")</f>
        <v>20136.105990783406</v>
      </c>
      <c r="K109" s="351">
        <f>IF(売分析!AC109&lt;&gt;"",売分析!AC109,"")</f>
        <v>21368.760429082238</v>
      </c>
      <c r="L109" s="351">
        <f>IF(売分析!K109&lt;&gt;"",売分析!K109,"")</f>
        <v>32900</v>
      </c>
      <c r="M109" s="350" t="str">
        <f>IF(売分析!P109&lt;&gt;"",売分析!P109,"")</f>
        <v>減少↓</v>
      </c>
      <c r="N109" s="353">
        <f>IF(売分析!O109&lt;&gt;"",売分析!O109,"")</f>
        <v>0.76854338160848701</v>
      </c>
      <c r="O109" s="355">
        <f>IF(売分析!X109&lt;&gt;"",売分析!X109,"")</f>
        <v>-664.33780185400974</v>
      </c>
      <c r="P109" s="352">
        <f>IF(売分析!L109&lt;&gt;"",売分析!L109,"")</f>
        <v>-35.653495440729479</v>
      </c>
      <c r="Q109" s="351">
        <f>IF(売分析!S109&lt;&gt;"",売分析!S109,"")</f>
        <v>22017</v>
      </c>
      <c r="R109" s="351">
        <f>IF(売分析!R109&lt;&gt;"",売分析!R109,"")</f>
        <v>19476</v>
      </c>
      <c r="S109" s="350" t="str">
        <f>IF(売分析!AA109&lt;&gt;"",売分析!AA109,"")</f>
        <v>下落▼</v>
      </c>
      <c r="T109" s="356">
        <f>IF(売分析!Z109&lt;&gt;"",売分析!Z109,"")</f>
        <v>-2.3974181650530202</v>
      </c>
      <c r="U109" s="350" t="str">
        <f>IF(売分析!V109&lt;&gt;"",売分析!V109,"")</f>
        <v>安値圏</v>
      </c>
      <c r="V109" s="354">
        <f>IF(売分析!W109&lt;&gt;"",売分析!W109,"")</f>
        <v>33.446136491821775</v>
      </c>
      <c r="W109" s="350" t="str">
        <f>IF(売分析!AD109&lt;&gt;"",売分析!AD109,"")</f>
        <v>もみ合い→</v>
      </c>
      <c r="X109" s="350" t="str">
        <f>IF(売分析!AE109&lt;&gt;"",売分析!AE109,"")</f>
        <v>25日戻り売り★</v>
      </c>
      <c r="Y109" s="427">
        <f>IF(売分析!T109&lt;&gt;"",売分析!T109,"")</f>
        <v>13</v>
      </c>
      <c r="Z109" s="350" t="str">
        <f>IF(売分析!Y109&lt;&gt;"",売分析!Y109,"")</f>
        <v>○逆張り売り | もみ合い→ 25日戻り売り★ MACD- RSI:33.4 前日比:-2.4% [安値圏] [13点]</v>
      </c>
    </row>
    <row r="110" spans="1:26">
      <c r="A110" s="230">
        <f>IF(売分析!C110&lt;&gt;"",ROW()-2,"")</f>
        <v>108</v>
      </c>
      <c r="B110" s="357" t="str">
        <f>IF(売分析!C110&lt;&gt;"",HYPERLINK("https://kabutan.jp/stock/?code="&amp;売分析!C110,"株探"),"")</f>
        <v>株探</v>
      </c>
      <c r="C110" s="366" t="str">
        <f>IF(売分析!C110&lt;&gt;"",売分析!C110,"")</f>
        <v>4568</v>
      </c>
      <c r="D110" s="230" t="str">
        <f>IF(売分析!D110&lt;&gt;"",売分析!D110,"")</f>
        <v>第一三共</v>
      </c>
      <c r="E110" s="358">
        <f>IF(売分析!E110&lt;&gt;"",売分析!E110,"")</f>
        <v>2595.5</v>
      </c>
      <c r="F110" s="358">
        <f>IF(売分析!F110&lt;&gt;"",売分析!F110,"")</f>
        <v>2550</v>
      </c>
      <c r="G110" s="358">
        <f>IF(売分析!H110&lt;&gt;"",売分析!H110,"")</f>
        <v>2632</v>
      </c>
      <c r="H110" s="358">
        <f>IF(売分析!I110&lt;&gt;"",売分析!I110,"")</f>
        <v>2545</v>
      </c>
      <c r="I110" s="230">
        <f>IF(売分析!J110&lt;&gt;"",売分析!J110,"")</f>
        <v>7992100</v>
      </c>
      <c r="J110" s="358">
        <f>IF(売分析!AB110&lt;&gt;"",売分析!AB110,"")</f>
        <v>2540.1895161290322</v>
      </c>
      <c r="K110" s="358">
        <f>IF(売分析!AC110&lt;&gt;"",売分析!AC110,"")</f>
        <v>2563.9165673420721</v>
      </c>
      <c r="L110" s="358">
        <f>IF(売分析!K110&lt;&gt;"",売分析!K110,"")</f>
        <v>3625</v>
      </c>
      <c r="M110" s="230" t="str">
        <f>IF(売分析!P110&lt;&gt;"",売分析!P110,"")</f>
        <v>普通→</v>
      </c>
      <c r="N110" s="360">
        <f>IF(売分析!O110&lt;&gt;"",売分析!O110,"")</f>
        <v>1.1295264584587641</v>
      </c>
      <c r="O110" s="362">
        <f>IF(売分析!X110&lt;&gt;"",売分析!X110,"")</f>
        <v>-20.507582421518237</v>
      </c>
      <c r="P110" s="359">
        <f>IF(売分析!L110&lt;&gt;"",売分析!L110,"")</f>
        <v>-28.4</v>
      </c>
      <c r="Q110" s="358">
        <f>IF(売分析!S110&lt;&gt;"",売分析!S110,"")</f>
        <v>2699</v>
      </c>
      <c r="R110" s="358">
        <f>IF(売分析!R110&lt;&gt;"",売分析!R110,"")</f>
        <v>2388</v>
      </c>
      <c r="S110" s="230" t="str">
        <f>IF(売分析!AA110&lt;&gt;"",売分析!AA110,"")</f>
        <v>上昇▲</v>
      </c>
      <c r="T110" s="363">
        <f>IF(売分析!Z110&lt;&gt;"",売分析!Z110,"")</f>
        <v>3.0164715221274063</v>
      </c>
      <c r="U110" s="230" t="str">
        <f>IF(売分析!V110&lt;&gt;"",売分析!V110,"")</f>
        <v>安値圏</v>
      </c>
      <c r="V110" s="361">
        <f>IF(売分析!W110&lt;&gt;"",売分析!W110,"")</f>
        <v>34.764309764309772</v>
      </c>
      <c r="W110" s="230" t="str">
        <f>IF(売分析!AD110&lt;&gt;"",売分析!AD110,"")</f>
        <v>上昇トレンド▲</v>
      </c>
      <c r="X110" s="230" t="str">
        <f>IF(売分析!AE110&lt;&gt;"",売分析!AE110,"")</f>
        <v>なし</v>
      </c>
      <c r="Y110" s="428">
        <f>IF(売分析!T110&lt;&gt;"",売分析!T110,"")</f>
        <v>4</v>
      </c>
      <c r="Z110" s="230" t="str">
        <f>IF(売分析!Y110&lt;&gt;"",売分析!Y110,"")</f>
        <v>相場上昇・見送り | 上昇トレンド▲ MACD- RSI:34.8 前日比:+3.0% [安値圏]前日[長い下ヒゲ(反発)] [4点]</v>
      </c>
    </row>
    <row r="111" spans="1:26">
      <c r="A111" s="350">
        <f>IF(売分析!C111&lt;&gt;"",ROW()-2,"")</f>
        <v>109</v>
      </c>
      <c r="B111" s="349" t="str">
        <f>IF(売分析!C111&lt;&gt;"",HYPERLINK("https://kabutan.jp/stock/?code="&amp;売分析!C111,"株探"),"")</f>
        <v>株探</v>
      </c>
      <c r="C111" s="365">
        <f>IF(売分析!C111&lt;&gt;"",売分析!C111,"")</f>
        <v>6522</v>
      </c>
      <c r="D111" s="350" t="str">
        <f>IF(売分析!D111&lt;&gt;"",売分析!D111,"")</f>
        <v>アスタリスク</v>
      </c>
      <c r="E111" s="351">
        <f>IF(売分析!E111&lt;&gt;"",売分析!E111,"")</f>
        <v>731</v>
      </c>
      <c r="F111" s="351">
        <f>IF(売分析!F111&lt;&gt;"",売分析!F111,"")</f>
        <v>720</v>
      </c>
      <c r="G111" s="351">
        <f>IF(売分析!H111&lt;&gt;"",売分析!H111,"")</f>
        <v>740</v>
      </c>
      <c r="H111" s="351">
        <f>IF(売分析!I111&lt;&gt;"",売分析!I111,"")</f>
        <v>716</v>
      </c>
      <c r="I111" s="350">
        <f>IF(売分析!J111&lt;&gt;"",売分析!J111,"")</f>
        <v>95600</v>
      </c>
      <c r="J111" s="351">
        <f>IF(売分析!AB111&lt;&gt;"",売分析!AB111,"")</f>
        <v>727.26728110599072</v>
      </c>
      <c r="K111" s="351">
        <f>IF(売分析!AC111&lt;&gt;"",売分析!AC111,"")</f>
        <v>816.61501787842644</v>
      </c>
      <c r="L111" s="351">
        <f>IF(売分析!K111&lt;&gt;"",売分析!K111,"")</f>
        <v>1699</v>
      </c>
      <c r="M111" s="350" t="str">
        <f>IF(売分析!P111&lt;&gt;"",売分析!P111,"")</f>
        <v>減少↓</v>
      </c>
      <c r="N111" s="353">
        <f>IF(売分析!O111&lt;&gt;"",売分析!O111,"")</f>
        <v>0.64980967917346388</v>
      </c>
      <c r="O111" s="355">
        <f>IF(売分析!X111&lt;&gt;"",売分析!X111,"")</f>
        <v>-32.155039623625498</v>
      </c>
      <c r="P111" s="352">
        <f>IF(売分析!L111&lt;&gt;"",売分析!L111,"")</f>
        <v>-56.974690994702769</v>
      </c>
      <c r="Q111" s="351">
        <f>IF(売分析!S111&lt;&gt;"",売分析!S111,"")</f>
        <v>760</v>
      </c>
      <c r="R111" s="351">
        <f>IF(売分析!R111&lt;&gt;"",売分析!R111,"")</f>
        <v>673</v>
      </c>
      <c r="S111" s="350" t="str">
        <f>IF(売分析!AA111&lt;&gt;"",売分析!AA111,"")</f>
        <v>上昇▲</v>
      </c>
      <c r="T111" s="356">
        <f>IF(売分析!Z111&lt;&gt;"",売分析!Z111,"")</f>
        <v>1.5277777777777777</v>
      </c>
      <c r="U111" s="350" t="str">
        <f>IF(売分析!V111&lt;&gt;"",売分析!V111,"")</f>
        <v>年初来安値圏●</v>
      </c>
      <c r="V111" s="354">
        <f>IF(売分析!W111&lt;&gt;"",売分析!W111,"")</f>
        <v>31.133671742808801</v>
      </c>
      <c r="W111" s="350" t="str">
        <f>IF(売分析!AD111&lt;&gt;"",売分析!AD111,"")</f>
        <v>もみ合い→</v>
      </c>
      <c r="X111" s="350" t="str">
        <f>IF(売分析!AE111&lt;&gt;"",売分析!AE111,"")</f>
        <v>なし</v>
      </c>
      <c r="Y111" s="427">
        <f>IF(売分析!T111&lt;&gt;"",売分析!T111,"")</f>
        <v>11</v>
      </c>
      <c r="Z111" s="350" t="str">
        <f>IF(売分析!Y111&lt;&gt;"",売分析!Y111,"")</f>
        <v>相場上昇・見送り | もみ合い→ MACD- RSI:31.1 前日比:+1.5% [年初来安値圏] [11点]</v>
      </c>
    </row>
    <row r="112" spans="1:26">
      <c r="A112" s="230">
        <f>IF(売分析!C112&lt;&gt;"",ROW()-2,"")</f>
        <v>110</v>
      </c>
      <c r="B112" s="357" t="str">
        <f>IF(売分析!C112&lt;&gt;"",HYPERLINK("https://kabutan.jp/stock/?code="&amp;売分析!C112,"株探"),"")</f>
        <v>株探</v>
      </c>
      <c r="C112" s="366">
        <f>IF(売分析!C112&lt;&gt;"",売分析!C112,"")</f>
        <v>4417</v>
      </c>
      <c r="D112" s="230" t="str">
        <f>IF(売分析!D112&lt;&gt;"",売分析!D112,"")</f>
        <v>グローバルセキュ</v>
      </c>
      <c r="E112" s="358">
        <f>IF(売分析!E112&lt;&gt;"",売分析!E112,"")</f>
        <v>3240</v>
      </c>
      <c r="F112" s="358">
        <f>IF(売分析!F112&lt;&gt;"",売分析!F112,"")</f>
        <v>3070</v>
      </c>
      <c r="G112" s="358">
        <f>IF(売分析!H112&lt;&gt;"",売分析!H112,"")</f>
        <v>3260</v>
      </c>
      <c r="H112" s="358">
        <f>IF(売分析!I112&lt;&gt;"",売分析!I112,"")</f>
        <v>3070</v>
      </c>
      <c r="I112" s="230">
        <f>IF(売分析!J112&lt;&gt;"",売分析!J112,"")</f>
        <v>49100</v>
      </c>
      <c r="J112" s="358">
        <f>IF(売分析!AB112&lt;&gt;"",売分析!AB112,"")</f>
        <v>3115.5460829493086</v>
      </c>
      <c r="K112" s="358">
        <f>IF(売分析!AC112&lt;&gt;"",売分析!AC112,"")</f>
        <v>3126.9404052443365</v>
      </c>
      <c r="L112" s="358">
        <f>IF(売分析!K112&lt;&gt;"",売分析!K112,"")</f>
        <v>3675</v>
      </c>
      <c r="M112" s="230" t="str">
        <f>IF(売分析!P112&lt;&gt;"",売分析!P112,"")</f>
        <v>普通→</v>
      </c>
      <c r="N112" s="360">
        <f>IF(売分析!O112&lt;&gt;"",売分析!O112,"")</f>
        <v>1.1752034466251795</v>
      </c>
      <c r="O112" s="362">
        <f>IF(売分析!X112&lt;&gt;"",売分析!X112,"")</f>
        <v>2.6531410330408107</v>
      </c>
      <c r="P112" s="359">
        <f>IF(売分析!L112&lt;&gt;"",売分析!L112,"")</f>
        <v>-11.836734693877551</v>
      </c>
      <c r="Q112" s="358">
        <f>IF(売分析!S112&lt;&gt;"",売分析!S112,"")</f>
        <v>3370</v>
      </c>
      <c r="R112" s="358">
        <f>IF(売分析!R112&lt;&gt;"",売分析!R112,"")</f>
        <v>2981</v>
      </c>
      <c r="S112" s="230" t="str">
        <f>IF(売分析!AA112&lt;&gt;"",売分析!AA112,"")</f>
        <v>上昇▲</v>
      </c>
      <c r="T112" s="363">
        <f>IF(売分析!Z112&lt;&gt;"",売分析!Z112,"")</f>
        <v>5.5374592833876219</v>
      </c>
      <c r="U112" s="230" t="str">
        <f>IF(売分析!V112&lt;&gt;"",売分析!V112,"")</f>
        <v>通常</v>
      </c>
      <c r="V112" s="361">
        <f>IF(売分析!W112&lt;&gt;"",売分析!W112,"")</f>
        <v>39.683933274802463</v>
      </c>
      <c r="W112" s="230" t="str">
        <f>IF(売分析!AD112&lt;&gt;"",売分析!AD112,"")</f>
        <v>上昇トレンド▲</v>
      </c>
      <c r="X112" s="230" t="str">
        <f>IF(売分析!AE112&lt;&gt;"",売分析!AE112,"")</f>
        <v>なし</v>
      </c>
      <c r="Y112" s="428">
        <f>IF(売分析!T112&lt;&gt;"",売分析!T112,"")</f>
        <v>-2</v>
      </c>
      <c r="Z112" s="230" t="str">
        <f>IF(売分析!Y112&lt;&gt;"",売分析!Y112,"")</f>
        <v>相場上昇・見送り | 上昇トレンド▲ MACD+ RSI:39.7 前日比:+5.5% [-2点]</v>
      </c>
    </row>
    <row r="113" spans="1:26">
      <c r="A113" s="350">
        <f>IF(売分析!C113&lt;&gt;"",ROW()-2,"")</f>
        <v>111</v>
      </c>
      <c r="B113" s="349" t="str">
        <f>IF(売分析!C113&lt;&gt;"",HYPERLINK("https://kabutan.jp/stock/?code="&amp;売分析!C113,"株探"),"")</f>
        <v>株探</v>
      </c>
      <c r="C113" s="365">
        <f>IF(売分析!C113&lt;&gt;"",売分析!C113,"")</f>
        <v>6857</v>
      </c>
      <c r="D113" s="350" t="str">
        <f>IF(売分析!D113&lt;&gt;"",売分析!D113,"")</f>
        <v>アドバンテスト</v>
      </c>
      <c r="E113" s="351">
        <f>IF(売分析!E113&lt;&gt;"",売分析!E113,"")</f>
        <v>30060</v>
      </c>
      <c r="F113" s="351">
        <f>IF(売分析!F113&lt;&gt;"",売分析!F113,"")</f>
        <v>29640</v>
      </c>
      <c r="G113" s="351">
        <f>IF(売分析!H113&lt;&gt;"",売分析!H113,"")</f>
        <v>31170</v>
      </c>
      <c r="H113" s="351">
        <f>IF(売分析!I113&lt;&gt;"",売分析!I113,"")</f>
        <v>29585</v>
      </c>
      <c r="I113" s="350">
        <f>IF(売分析!J113&lt;&gt;"",売分析!J113,"")</f>
        <v>7837500</v>
      </c>
      <c r="J113" s="351">
        <f>IF(売分析!AB113&lt;&gt;"",売分析!AB113,"")</f>
        <v>28741.238479262669</v>
      </c>
      <c r="K113" s="351">
        <f>IF(売分析!AC113&lt;&gt;"",売分析!AC113,"")</f>
        <v>27328.802145411188</v>
      </c>
      <c r="L113" s="351">
        <f>IF(売分析!K113&lt;&gt;"",売分析!K113,"")</f>
        <v>32400</v>
      </c>
      <c r="M113" s="350" t="str">
        <f>IF(売分析!P113&lt;&gt;"",売分析!P113,"")</f>
        <v>減少↓</v>
      </c>
      <c r="N113" s="353">
        <f>IF(売分析!O113&lt;&gt;"",売分析!O113,"")</f>
        <v>0.85795072653511606</v>
      </c>
      <c r="O113" s="355">
        <f>IF(売分析!X113&lt;&gt;"",売分析!X113,"")</f>
        <v>130.73819152282522</v>
      </c>
      <c r="P113" s="352">
        <f>IF(売分析!L113&lt;&gt;"",売分析!L113,"")</f>
        <v>-7.2222222222222214</v>
      </c>
      <c r="Q113" s="351">
        <f>IF(売分析!S113&lt;&gt;"",売分析!S113,"")</f>
        <v>31262</v>
      </c>
      <c r="R113" s="351">
        <f>IF(売分析!R113&lt;&gt;"",売分析!R113,"")</f>
        <v>27655</v>
      </c>
      <c r="S113" s="350" t="str">
        <f>IF(売分析!AA113&lt;&gt;"",売分析!AA113,"")</f>
        <v>下落▼</v>
      </c>
      <c r="T113" s="356">
        <f>IF(売分析!Z113&lt;&gt;"",売分析!Z113,"")</f>
        <v>-0.92287409360580097</v>
      </c>
      <c r="U113" s="350" t="str">
        <f>IF(売分析!V113&lt;&gt;"",売分析!V113,"")</f>
        <v>通常</v>
      </c>
      <c r="V113" s="354">
        <f>IF(売分析!W113&lt;&gt;"",売分析!W113,"")</f>
        <v>62.806888970318795</v>
      </c>
      <c r="W113" s="350" t="str">
        <f>IF(売分析!AD113&lt;&gt;"",売分析!AD113,"")</f>
        <v>パーフェクト▲</v>
      </c>
      <c r="X113" s="350" t="str">
        <f>IF(売分析!AE113&lt;&gt;"",売分析!AE113,"")</f>
        <v>なし</v>
      </c>
      <c r="Y113" s="427">
        <f>IF(売分析!T113&lt;&gt;"",売分析!T113,"")</f>
        <v>4</v>
      </c>
      <c r="Z113" s="350" t="str">
        <f>IF(売分析!Y113&lt;&gt;"",売分析!Y113,"")</f>
        <v>相場上昇・見送り | パーフェクト▲ MACD+ RSI:62.8 前日比:-0.9% [上ヒゲ陰線▼] [4点]</v>
      </c>
    </row>
    <row r="114" spans="1:26">
      <c r="A114" s="230">
        <f>IF(売分析!C114&lt;&gt;"",ROW()-2,"")</f>
        <v>112</v>
      </c>
      <c r="B114" s="357" t="str">
        <f>IF(売分析!C114&lt;&gt;"",HYPERLINK("https://kabutan.jp/stock/?code="&amp;売分析!C114,"株探"),"")</f>
        <v>株探</v>
      </c>
      <c r="C114" s="366">
        <f>IF(売分析!C114&lt;&gt;"",売分析!C114,"")</f>
        <v>8892</v>
      </c>
      <c r="D114" s="230" t="str">
        <f>IF(売分析!D114&lt;&gt;"",売分析!D114,"")</f>
        <v>エスコン</v>
      </c>
      <c r="E114" s="358">
        <f>IF(売分析!E114&lt;&gt;"",売分析!E114,"")</f>
        <v>1077</v>
      </c>
      <c r="F114" s="358">
        <f>IF(売分析!F114&lt;&gt;"",売分析!F114,"")</f>
        <v>1105</v>
      </c>
      <c r="G114" s="358">
        <f>IF(売分析!H114&lt;&gt;"",売分析!H114,"")</f>
        <v>1105</v>
      </c>
      <c r="H114" s="358">
        <f>IF(売分析!I114&lt;&gt;"",売分析!I114,"")</f>
        <v>1077</v>
      </c>
      <c r="I114" s="230">
        <f>IF(売分析!J114&lt;&gt;"",売分析!J114,"")</f>
        <v>181300</v>
      </c>
      <c r="J114" s="358">
        <f>IF(売分析!AB114&lt;&gt;"",売分析!AB114,"")</f>
        <v>1091.5990783410136</v>
      </c>
      <c r="K114" s="358">
        <f>IF(売分析!AC114&lt;&gt;"",売分析!AC114,"")</f>
        <v>1098.8688915375442</v>
      </c>
      <c r="L114" s="358">
        <f>IF(売分析!K114&lt;&gt;"",売分析!K114,"")</f>
        <v>1267</v>
      </c>
      <c r="M114" s="230" t="str">
        <f>IF(売分析!P114&lt;&gt;"",売分析!P114,"")</f>
        <v>普通→</v>
      </c>
      <c r="N114" s="360">
        <f>IF(売分析!O114&lt;&gt;"",売分析!O114,"")</f>
        <v>1.0363553218246255</v>
      </c>
      <c r="O114" s="362">
        <f>IF(売分析!X114&lt;&gt;"",売分析!X114,"")</f>
        <v>-5.5769247608848218</v>
      </c>
      <c r="P114" s="359">
        <f>IF(売分析!L114&lt;&gt;"",売分析!L114,"")</f>
        <v>-14.99605367008682</v>
      </c>
      <c r="Q114" s="358">
        <f>IF(売分析!S114&lt;&gt;"",売分析!S114,"")</f>
        <v>1120</v>
      </c>
      <c r="R114" s="358">
        <f>IF(売分析!R114&lt;&gt;"",売分析!R114,"")</f>
        <v>991</v>
      </c>
      <c r="S114" s="230" t="str">
        <f>IF(売分析!AA114&lt;&gt;"",売分析!AA114,"")</f>
        <v>下落▼</v>
      </c>
      <c r="T114" s="363">
        <f>IF(売分析!Z114&lt;&gt;"",売分析!Z114,"")</f>
        <v>-2.0018198362147408</v>
      </c>
      <c r="U114" s="230" t="str">
        <f>IF(売分析!V114&lt;&gt;"",売分析!V114,"")</f>
        <v>通常</v>
      </c>
      <c r="V114" s="361">
        <f>IF(売分析!W114&lt;&gt;"",売分析!W114,"")</f>
        <v>47.878787878787875</v>
      </c>
      <c r="W114" s="230" t="str">
        <f>IF(売分析!AD114&lt;&gt;"",売分析!AD114,"")</f>
        <v>下降トレンド▼</v>
      </c>
      <c r="X114" s="230" t="str">
        <f>IF(売分析!AE114&lt;&gt;"",売分析!AE114,"")</f>
        <v>25日戻り売り★</v>
      </c>
      <c r="Y114" s="428">
        <f>IF(売分析!T114&lt;&gt;"",売分析!T114,"")</f>
        <v>13</v>
      </c>
      <c r="Z114" s="230" t="str">
        <f>IF(売分析!Y114&lt;&gt;"",売分析!Y114,"")</f>
        <v>★逆張り売り | 下降トレンド▼ 25日戻り売り★ MACD- RSI:47.9 前日比:-2.0% [大陰線▼] [13点]</v>
      </c>
    </row>
    <row r="115" spans="1:26">
      <c r="A115" s="350">
        <f>IF(売分析!C115&lt;&gt;"",ROW()-2,"")</f>
        <v>113</v>
      </c>
      <c r="B115" s="349" t="str">
        <f>IF(売分析!C115&lt;&gt;"",HYPERLINK("https://kabutan.jp/stock/?code="&amp;売分析!C115,"株探"),"")</f>
        <v>株探</v>
      </c>
      <c r="C115" s="365">
        <f>IF(売分析!C115&lt;&gt;"",売分析!C115,"")</f>
        <v>4709</v>
      </c>
      <c r="D115" s="350" t="str">
        <f>IF(売分析!D115&lt;&gt;"",売分析!D115,"")</f>
        <v>ＩＤホールディングス</v>
      </c>
      <c r="E115" s="351">
        <f>IF(売分析!E115&lt;&gt;"",売分析!E115,"")</f>
        <v>1092</v>
      </c>
      <c r="F115" s="351">
        <f>IF(売分析!F115&lt;&gt;"",売分析!F115,"")</f>
        <v>1112</v>
      </c>
      <c r="G115" s="351">
        <f>IF(売分析!H115&lt;&gt;"",売分析!H115,"")</f>
        <v>1134</v>
      </c>
      <c r="H115" s="351">
        <f>IF(売分析!I115&lt;&gt;"",売分析!I115,"")</f>
        <v>1091</v>
      </c>
      <c r="I115" s="350">
        <f>IF(売分析!J115&lt;&gt;"",売分析!J115,"")</f>
        <v>132900</v>
      </c>
      <c r="J115" s="351">
        <f>IF(売分析!AB115&lt;&gt;"",売分析!AB115,"")</f>
        <v>1086.7753456221196</v>
      </c>
      <c r="K115" s="351">
        <f>IF(売分析!AC115&lt;&gt;"",売分析!AC115,"")</f>
        <v>1046.6150178784264</v>
      </c>
      <c r="L115" s="351">
        <f>IF(売分析!K115&lt;&gt;"",売分析!K115,"")</f>
        <v>1110</v>
      </c>
      <c r="M115" s="350" t="str">
        <f>IF(売分析!P115&lt;&gt;"",売分析!P115,"")</f>
        <v>普通→</v>
      </c>
      <c r="N115" s="353">
        <f>IF(売分析!O115&lt;&gt;"",売分析!O115,"")</f>
        <v>1.0643921191734742</v>
      </c>
      <c r="O115" s="355">
        <f>IF(売分析!X115&lt;&gt;"",売分析!X115,"")</f>
        <v>5.2288518104271589</v>
      </c>
      <c r="P115" s="352">
        <f>IF(売分析!L115&lt;&gt;"",売分析!L115,"")</f>
        <v>-1.6216216216216217</v>
      </c>
      <c r="Q115" s="351">
        <f>IF(売分析!S115&lt;&gt;"",売分析!S115,"")</f>
        <v>1136</v>
      </c>
      <c r="R115" s="351">
        <f>IF(売分析!R115&lt;&gt;"",売分析!R115,"")</f>
        <v>1005</v>
      </c>
      <c r="S115" s="350" t="str">
        <f>IF(売分析!AA115&lt;&gt;"",売分析!AA115,"")</f>
        <v>下落▼</v>
      </c>
      <c r="T115" s="356">
        <f>IF(売分析!Z115&lt;&gt;"",売分析!Z115,"")</f>
        <v>-1.6216216216216217</v>
      </c>
      <c r="U115" s="350" t="str">
        <f>IF(売分析!V115&lt;&gt;"",売分析!V115,"")</f>
        <v>通常</v>
      </c>
      <c r="V115" s="354">
        <f>IF(売分析!W115&lt;&gt;"",売分析!W115,"")</f>
        <v>63.414634146341463</v>
      </c>
      <c r="W115" s="350" t="str">
        <f>IF(売分析!AD115&lt;&gt;"",売分析!AD115,"")</f>
        <v>パーフェクト▲</v>
      </c>
      <c r="X115" s="350" t="str">
        <f>IF(売分析!AE115&lt;&gt;"",売分析!AE115,"")</f>
        <v>なし</v>
      </c>
      <c r="Y115" s="427">
        <f>IF(売分析!T115&lt;&gt;"",売分析!T115,"")</f>
        <v>1</v>
      </c>
      <c r="Z115" s="350" t="str">
        <f>IF(売分析!Y115&lt;&gt;"",売分析!Y115,"")</f>
        <v>相場上昇・見送り | パーフェクト▲ MACD+ RSI:63.4 前日比:-1.6% [1点]</v>
      </c>
    </row>
    <row r="116" spans="1:26">
      <c r="A116" s="230">
        <f>IF(売分析!C116&lt;&gt;"",ROW()-2,"")</f>
        <v>114</v>
      </c>
      <c r="B116" s="357" t="str">
        <f>IF(売分析!C116&lt;&gt;"",HYPERLINK("https://kabutan.jp/stock/?code="&amp;売分析!C116,"株探"),"")</f>
        <v>株探</v>
      </c>
      <c r="C116" s="366">
        <f>IF(売分析!C116&lt;&gt;"",売分析!C116,"")</f>
        <v>7981</v>
      </c>
      <c r="D116" s="230" t="str">
        <f>IF(売分析!D116&lt;&gt;"",売分析!D116,"")</f>
        <v>タカラスタンダ－ド</v>
      </c>
      <c r="E116" s="358">
        <f>IF(売分析!E116&lt;&gt;"",売分析!E116,"")</f>
        <v>3000</v>
      </c>
      <c r="F116" s="358">
        <f>IF(売分析!F116&lt;&gt;"",売分析!F116,"")</f>
        <v>3010</v>
      </c>
      <c r="G116" s="358">
        <f>IF(売分析!H116&lt;&gt;"",売分析!H116,"")</f>
        <v>3020</v>
      </c>
      <c r="H116" s="358">
        <f>IF(売分析!I116&lt;&gt;"",売分析!I116,"")</f>
        <v>2994</v>
      </c>
      <c r="I116" s="230">
        <f>IF(売分析!J116&lt;&gt;"",売分析!J116,"")</f>
        <v>47900</v>
      </c>
      <c r="J116" s="358">
        <f>IF(売分析!AB116&lt;&gt;"",売分析!AB116,"")</f>
        <v>2974.0368663594472</v>
      </c>
      <c r="K116" s="358">
        <f>IF(売分析!AC116&lt;&gt;"",売分析!AC116,"")</f>
        <v>2960.0452920143025</v>
      </c>
      <c r="L116" s="358">
        <f>IF(売分析!K116&lt;&gt;"",売分析!K116,"")</f>
        <v>3265</v>
      </c>
      <c r="M116" s="230" t="str">
        <f>IF(売分析!P116&lt;&gt;"",売分析!P116,"")</f>
        <v>減少↓</v>
      </c>
      <c r="N116" s="360">
        <f>IF(売分析!O116&lt;&gt;"",売分析!O116,"")</f>
        <v>0.50816889454699765</v>
      </c>
      <c r="O116" s="362">
        <f>IF(売分析!X116&lt;&gt;"",売分析!X116,"")</f>
        <v>0.55517853517949334</v>
      </c>
      <c r="P116" s="359">
        <f>IF(売分析!L116&lt;&gt;"",売分析!L116,"")</f>
        <v>-8.1163859111791741</v>
      </c>
      <c r="Q116" s="358">
        <f>IF(売分析!S116&lt;&gt;"",売分析!S116,"")</f>
        <v>3120</v>
      </c>
      <c r="R116" s="358">
        <f>IF(売分析!R116&lt;&gt;"",売分析!R116,"")</f>
        <v>2760</v>
      </c>
      <c r="S116" s="230" t="str">
        <f>IF(売分析!AA116&lt;&gt;"",売分析!AA116,"")</f>
        <v>上昇▲</v>
      </c>
      <c r="T116" s="363">
        <f>IF(売分析!Z116&lt;&gt;"",売分析!Z116,"")</f>
        <v>1.1122345803842264</v>
      </c>
      <c r="U116" s="230" t="str">
        <f>IF(売分析!V116&lt;&gt;"",売分析!V116,"")</f>
        <v>通常</v>
      </c>
      <c r="V116" s="361">
        <f>IF(売分析!W116&lt;&gt;"",売分析!W116,"")</f>
        <v>60</v>
      </c>
      <c r="W116" s="230" t="str">
        <f>IF(売分析!AD116&lt;&gt;"",売分析!AD116,"")</f>
        <v>パーフェクト▲</v>
      </c>
      <c r="X116" s="230" t="str">
        <f>IF(売分析!AE116&lt;&gt;"",売分析!AE116,"")</f>
        <v>なし</v>
      </c>
      <c r="Y116" s="428">
        <f>IF(売分析!T116&lt;&gt;"",売分析!T116,"")</f>
        <v>3</v>
      </c>
      <c r="Z116" s="230" t="str">
        <f>IF(売分析!Y116&lt;&gt;"",売分析!Y116,"")</f>
        <v>相場上昇・見送り | パーフェクト▲ MACD+ RSI:60.0 前日比:+1.1% [3点]</v>
      </c>
    </row>
    <row r="117" spans="1:26">
      <c r="A117" s="350">
        <f>IF(売分析!C117&lt;&gt;"",ROW()-2,"")</f>
        <v>115</v>
      </c>
      <c r="B117" s="349" t="str">
        <f>IF(売分析!C117&lt;&gt;"",HYPERLINK("https://kabutan.jp/stock/?code="&amp;売分析!C117,"株探"),"")</f>
        <v>株探</v>
      </c>
      <c r="C117" s="365">
        <f>IF(売分析!C117&lt;&gt;"",売分析!C117,"")</f>
        <v>1938</v>
      </c>
      <c r="D117" s="350" t="str">
        <f>IF(売分析!D117&lt;&gt;"",売分析!D117,"")</f>
        <v>日本リーテック</v>
      </c>
      <c r="E117" s="351">
        <f>IF(売分析!E117&lt;&gt;"",売分析!E117,"")</f>
        <v>2767</v>
      </c>
      <c r="F117" s="351">
        <f>IF(売分析!F117&lt;&gt;"",売分析!F117,"")</f>
        <v>2804</v>
      </c>
      <c r="G117" s="351">
        <f>IF(売分析!H117&lt;&gt;"",売分析!H117,"")</f>
        <v>2841</v>
      </c>
      <c r="H117" s="351">
        <f>IF(売分析!I117&lt;&gt;"",売分析!I117,"")</f>
        <v>2767</v>
      </c>
      <c r="I117" s="350">
        <f>IF(売分析!J117&lt;&gt;"",売分析!J117,"")</f>
        <v>67700</v>
      </c>
      <c r="J117" s="351">
        <f>IF(売分析!AB117&lt;&gt;"",売分析!AB117,"")</f>
        <v>2737.7315668202759</v>
      </c>
      <c r="K117" s="351">
        <f>IF(売分析!AC117&lt;&gt;"",売分析!AC117,"")</f>
        <v>2754.7163289630489</v>
      </c>
      <c r="L117" s="351">
        <f>IF(売分析!K117&lt;&gt;"",売分析!K117,"")</f>
        <v>3245</v>
      </c>
      <c r="M117" s="350" t="str">
        <f>IF(売分析!P117&lt;&gt;"",売分析!P117,"")</f>
        <v>減少↓</v>
      </c>
      <c r="N117" s="353">
        <f>IF(売分析!O117&lt;&gt;"",売分析!O117,"")</f>
        <v>0.90896885069817401</v>
      </c>
      <c r="O117" s="355">
        <f>IF(売分析!X117&lt;&gt;"",売分析!X117,"")</f>
        <v>-10.255577358610481</v>
      </c>
      <c r="P117" s="352">
        <f>IF(売分析!L117&lt;&gt;"",売分析!L117,"")</f>
        <v>-14.730354391371339</v>
      </c>
      <c r="Q117" s="351">
        <f>IF(売分析!S117&lt;&gt;"",売分析!S117,"")</f>
        <v>2878</v>
      </c>
      <c r="R117" s="351">
        <f>IF(売分析!R117&lt;&gt;"",売分析!R117,"")</f>
        <v>2546</v>
      </c>
      <c r="S117" s="350" t="str">
        <f>IF(売分析!AA117&lt;&gt;"",売分析!AA117,"")</f>
        <v>上昇▲</v>
      </c>
      <c r="T117" s="356">
        <f>IF(売分析!Z117&lt;&gt;"",売分析!Z117,"")</f>
        <v>0.32632342277012327</v>
      </c>
      <c r="U117" s="350" t="str">
        <f>IF(売分析!V117&lt;&gt;"",売分析!V117,"")</f>
        <v>通常</v>
      </c>
      <c r="V117" s="354">
        <f>IF(売分析!W117&lt;&gt;"",売分析!W117,"")</f>
        <v>44.285714285714278</v>
      </c>
      <c r="W117" s="350" t="str">
        <f>IF(売分析!AD117&lt;&gt;"",売分析!AD117,"")</f>
        <v>上昇トレンド▲</v>
      </c>
      <c r="X117" s="350" t="str">
        <f>IF(売分析!AE117&lt;&gt;"",売分析!AE117,"")</f>
        <v>なし</v>
      </c>
      <c r="Y117" s="427">
        <f>IF(売分析!T117&lt;&gt;"",売分析!T117,"")</f>
        <v>5</v>
      </c>
      <c r="Z117" s="350" t="str">
        <f>IF(売分析!Y117&lt;&gt;"",売分析!Y117,"")</f>
        <v>相場上昇・見送り | 上昇トレンド▲ MACD- RSI:44.3 前日比:+0.3% [5点]</v>
      </c>
    </row>
    <row r="118" spans="1:26">
      <c r="A118" s="230">
        <f>IF(売分析!C118&lt;&gt;"",ROW()-2,"")</f>
        <v>116</v>
      </c>
      <c r="B118" s="357" t="str">
        <f>IF(売分析!C118&lt;&gt;"",HYPERLINK("https://kabutan.jp/stock/?code="&amp;売分析!C118,"株探"),"")</f>
        <v>株探</v>
      </c>
      <c r="C118" s="366">
        <f>IF(売分析!C118&lt;&gt;"",売分析!C118,"")</f>
        <v>5410</v>
      </c>
      <c r="D118" s="230" t="str">
        <f>IF(売分析!D118&lt;&gt;"",売分析!D118,"")</f>
        <v>合同製鐵</v>
      </c>
      <c r="E118" s="358">
        <f>IF(売分析!E118&lt;&gt;"",売分析!E118,"")</f>
        <v>2617</v>
      </c>
      <c r="F118" s="358">
        <f>IF(売分析!F118&lt;&gt;"",売分析!F118,"")</f>
        <v>2610</v>
      </c>
      <c r="G118" s="358">
        <f>IF(売分析!H118&lt;&gt;"",売分析!H118,"")</f>
        <v>2668</v>
      </c>
      <c r="H118" s="358">
        <f>IF(売分析!I118&lt;&gt;"",売分析!I118,"")</f>
        <v>2609</v>
      </c>
      <c r="I118" s="230">
        <f>IF(売分析!J118&lt;&gt;"",売分析!J118,"")</f>
        <v>101300</v>
      </c>
      <c r="J118" s="358">
        <f>IF(売分析!AB118&lt;&gt;"",売分析!AB118,"")</f>
        <v>2594.1129032258063</v>
      </c>
      <c r="K118" s="358">
        <f>IF(売分析!AC118&lt;&gt;"",売分析!AC118,"")</f>
        <v>2626.7377830750875</v>
      </c>
      <c r="L118" s="358">
        <f>IF(売分析!K118&lt;&gt;"",売分析!K118,"")</f>
        <v>4280</v>
      </c>
      <c r="M118" s="230" t="str">
        <f>IF(売分析!P118&lt;&gt;"",売分析!P118,"")</f>
        <v>減少↓</v>
      </c>
      <c r="N118" s="360">
        <f>IF(売分析!O118&lt;&gt;"",売分析!O118,"")</f>
        <v>0.92410144134282068</v>
      </c>
      <c r="O118" s="362">
        <f>IF(売分析!X118&lt;&gt;"",売分析!X118,"")</f>
        <v>-24.178616775259343</v>
      </c>
      <c r="P118" s="359">
        <f>IF(売分析!L118&lt;&gt;"",売分析!L118,"")</f>
        <v>-38.855140186915889</v>
      </c>
      <c r="Q118" s="358">
        <f>IF(売分析!S118&lt;&gt;"",売分析!S118,"")</f>
        <v>2722</v>
      </c>
      <c r="R118" s="358">
        <f>IF(売分析!R118&lt;&gt;"",売分析!R118,"")</f>
        <v>2408</v>
      </c>
      <c r="S118" s="230" t="str">
        <f>IF(売分析!AA118&lt;&gt;"",売分析!AA118,"")</f>
        <v>上昇▲</v>
      </c>
      <c r="T118" s="363">
        <f>IF(売分析!Z118&lt;&gt;"",売分析!Z118,"")</f>
        <v>0.88666152659984576</v>
      </c>
      <c r="U118" s="230" t="str">
        <f>IF(売分析!V118&lt;&gt;"",売分析!V118,"")</f>
        <v>安値圏</v>
      </c>
      <c r="V118" s="361">
        <f>IF(売分析!W118&lt;&gt;"",売分析!W118,"")</f>
        <v>43.415637860082299</v>
      </c>
      <c r="W118" s="230" t="str">
        <f>IF(売分析!AD118&lt;&gt;"",売分析!AD118,"")</f>
        <v>もみ合い→</v>
      </c>
      <c r="X118" s="230" t="str">
        <f>IF(売分析!AE118&lt;&gt;"",売分析!AE118,"")</f>
        <v>25日戻り売り★</v>
      </c>
      <c r="Y118" s="428">
        <f>IF(売分析!T118&lt;&gt;"",売分析!T118,"")</f>
        <v>14</v>
      </c>
      <c r="Z118" s="230" t="str">
        <f>IF(売分析!Y118&lt;&gt;"",売分析!Y118,"")</f>
        <v>○逆張り売り | もみ合い→ 25日戻り売り★ MACD- RSI:43.4 前日比:+0.9% [安値圏] [上ヒゲ陰線▼] [14点]</v>
      </c>
    </row>
    <row r="119" spans="1:26">
      <c r="A119" s="350">
        <f>IF(売分析!C119&lt;&gt;"",ROW()-2,"")</f>
        <v>117</v>
      </c>
      <c r="B119" s="349" t="str">
        <f>IF(売分析!C119&lt;&gt;"",HYPERLINK("https://kabutan.jp/stock/?code="&amp;売分析!C119,"株探"),"")</f>
        <v>株探</v>
      </c>
      <c r="C119" s="365" t="str">
        <f>IF(売分析!C119&lt;&gt;"",売分析!C119,"")</f>
        <v>7181</v>
      </c>
      <c r="D119" s="350" t="str">
        <f>IF(売分析!D119&lt;&gt;"",売分析!D119,"")</f>
        <v>かんぽ生命保険</v>
      </c>
      <c r="E119" s="351">
        <f>IF(売分析!E119&lt;&gt;"",売分析!E119,"")</f>
        <v>1516</v>
      </c>
      <c r="F119" s="351">
        <f>IF(売分析!F119&lt;&gt;"",売分析!F119,"")</f>
        <v>1580</v>
      </c>
      <c r="G119" s="351">
        <f>IF(売分析!H119&lt;&gt;"",売分析!H119,"")</f>
        <v>1596</v>
      </c>
      <c r="H119" s="351">
        <f>IF(売分析!I119&lt;&gt;"",売分析!I119,"")</f>
        <v>1516</v>
      </c>
      <c r="I119" s="350">
        <f>IF(売分析!J119&lt;&gt;"",売分析!J119,"")</f>
        <v>1669300</v>
      </c>
      <c r="J119" s="351">
        <f>IF(売分析!AB119&lt;&gt;"",売分析!AB119,"")</f>
        <v>1537.6370967741932</v>
      </c>
      <c r="K119" s="351">
        <f>IF(売分析!AC119&lt;&gt;"",売分析!AC119,"")</f>
        <v>1495.9278903456482</v>
      </c>
      <c r="L119" s="351">
        <f>IF(売分析!K119&lt;&gt;"",売分析!K119,"")</f>
        <v>1676.5</v>
      </c>
      <c r="M119" s="350" t="str">
        <f>IF(売分析!P119&lt;&gt;"",売分析!P119,"")</f>
        <v>減少↓</v>
      </c>
      <c r="N119" s="353">
        <f>IF(売分析!O119&lt;&gt;"",売分析!O119,"")</f>
        <v>0.6403096255494779</v>
      </c>
      <c r="O119" s="355">
        <f>IF(売分析!X119&lt;&gt;"",売分析!X119,"")</f>
        <v>0.19216662222038394</v>
      </c>
      <c r="P119" s="352">
        <f>IF(売分析!L119&lt;&gt;"",売分析!L119,"")</f>
        <v>-9.5735162541008059</v>
      </c>
      <c r="Q119" s="351">
        <f>IF(売分析!S119&lt;&gt;"",売分析!S119,"")</f>
        <v>1577</v>
      </c>
      <c r="R119" s="351">
        <f>IF(売分析!R119&lt;&gt;"",売分析!R119,"")</f>
        <v>1395</v>
      </c>
      <c r="S119" s="350" t="str">
        <f>IF(売分析!AA119&lt;&gt;"",売分析!AA119,"")</f>
        <v>下落▼</v>
      </c>
      <c r="T119" s="356">
        <f>IF(売分析!Z119&lt;&gt;"",売分析!Z119,"")</f>
        <v>-2.8205128205128207</v>
      </c>
      <c r="U119" s="350" t="str">
        <f>IF(売分析!V119&lt;&gt;"",売分析!V119,"")</f>
        <v>通常</v>
      </c>
      <c r="V119" s="354">
        <f>IF(売分析!W119&lt;&gt;"",売分析!W119,"")</f>
        <v>61.366622864651781</v>
      </c>
      <c r="W119" s="350" t="str">
        <f>IF(売分析!AD119&lt;&gt;"",売分析!AD119,"")</f>
        <v>上昇トレンド▲</v>
      </c>
      <c r="X119" s="350" t="str">
        <f>IF(売分析!AE119&lt;&gt;"",売分析!AE119,"")</f>
        <v>なし</v>
      </c>
      <c r="Y119" s="427">
        <f>IF(売分析!T119&lt;&gt;"",売分析!T119,"")</f>
        <v>6</v>
      </c>
      <c r="Z119" s="350" t="str">
        <f>IF(売分析!Y119&lt;&gt;"",売分析!Y119,"")</f>
        <v>相場上昇・見送り | 上昇トレンド▲ MACD+ RSI:61.4 前日比:-2.8% [大陰線▼]前日[長い下ヒゲ(反発)] [6点]</v>
      </c>
    </row>
    <row r="120" spans="1:26">
      <c r="A120" s="230">
        <f>IF(売分析!C120&lt;&gt;"",ROW()-2,"")</f>
        <v>118</v>
      </c>
      <c r="B120" s="357" t="str">
        <f>IF(売分析!C120&lt;&gt;"",HYPERLINK("https://kabutan.jp/stock/?code="&amp;売分析!C120,"株探"),"")</f>
        <v>株探</v>
      </c>
      <c r="C120" s="366">
        <f>IF(売分析!C120&lt;&gt;"",売分析!C120,"")</f>
        <v>6146</v>
      </c>
      <c r="D120" s="230" t="str">
        <f>IF(売分析!D120&lt;&gt;"",売分析!D120,"")</f>
        <v>ディスコ</v>
      </c>
      <c r="E120" s="358">
        <f>IF(売分析!E120&lt;&gt;"",売分析!E120,"")</f>
        <v>83700</v>
      </c>
      <c r="F120" s="358">
        <f>IF(売分析!F120&lt;&gt;"",売分析!F120,"")</f>
        <v>80050</v>
      </c>
      <c r="G120" s="358">
        <f>IF(売分析!H120&lt;&gt;"",売分析!H120,"")</f>
        <v>85390</v>
      </c>
      <c r="H120" s="358">
        <f>IF(売分析!I120&lt;&gt;"",売分析!I120,"")</f>
        <v>80000</v>
      </c>
      <c r="I120" s="230">
        <f>IF(売分析!J120&lt;&gt;"",売分析!J120,"")</f>
        <v>2169600</v>
      </c>
      <c r="J120" s="358">
        <f>IF(売分析!AB120&lt;&gt;"",売分析!AB120,"")</f>
        <v>81941.566820276494</v>
      </c>
      <c r="K120" s="358">
        <f>IF(売分析!AC120&lt;&gt;"",売分析!AC120,"")</f>
        <v>72714.469606674567</v>
      </c>
      <c r="L120" s="358">
        <f>IF(売分析!K120&lt;&gt;"",売分析!K120,"")</f>
        <v>86140</v>
      </c>
      <c r="M120" s="230" t="str">
        <f>IF(売分析!P120&lt;&gt;"",売分析!P120,"")</f>
        <v>減少↓</v>
      </c>
      <c r="N120" s="360">
        <f>IF(売分析!O120&lt;&gt;"",売分析!O120,"")</f>
        <v>0.78341313343588193</v>
      </c>
      <c r="O120" s="362">
        <f>IF(売分析!X120&lt;&gt;"",売分析!X120,"")</f>
        <v>1859.6301728633116</v>
      </c>
      <c r="P120" s="359">
        <f>IF(売分析!L120&lt;&gt;"",売分析!L120,"")</f>
        <v>-2.8325980961225912</v>
      </c>
      <c r="Q120" s="358">
        <f>IF(売分析!S120&lt;&gt;"",売分析!S120,"")</f>
        <v>87048</v>
      </c>
      <c r="R120" s="358">
        <f>IF(売分析!R120&lt;&gt;"",売分析!R120,"")</f>
        <v>77004</v>
      </c>
      <c r="S120" s="230" t="str">
        <f>IF(売分析!AA120&lt;&gt;"",売分析!AA120,"")</f>
        <v>上昇▲</v>
      </c>
      <c r="T120" s="363">
        <f>IF(売分析!Z120&lt;&gt;"",売分析!Z120,"")</f>
        <v>2.6364193746167999</v>
      </c>
      <c r="U120" s="230" t="str">
        <f>IF(売分析!V120&lt;&gt;"",売分析!V120,"")</f>
        <v>通常</v>
      </c>
      <c r="V120" s="361">
        <f>IF(売分析!W120&lt;&gt;"",売分析!W120,"")</f>
        <v>67.700915564598176</v>
      </c>
      <c r="W120" s="230" t="str">
        <f>IF(売分析!AD120&lt;&gt;"",売分析!AD120,"")</f>
        <v>パーフェクト▲</v>
      </c>
      <c r="X120" s="230" t="str">
        <f>IF(売分析!AE120&lt;&gt;"",売分析!AE120,"")</f>
        <v>なし</v>
      </c>
      <c r="Y120" s="428">
        <f>IF(売分析!T120&lt;&gt;"",売分析!T120,"")</f>
        <v>2</v>
      </c>
      <c r="Z120" s="230" t="str">
        <f>IF(売分析!Y120&lt;&gt;"",売分析!Y120,"")</f>
        <v>相場上昇・見送り | パーフェクト▲ MACD+ RSI:67.7 前日比:+2.6%前日[大陰線▼] [2点]</v>
      </c>
    </row>
    <row r="121" spans="1:26">
      <c r="A121" s="350">
        <f>IF(売分析!C121&lt;&gt;"",ROW()-2,"")</f>
        <v>119</v>
      </c>
      <c r="B121" s="349" t="str">
        <f>IF(売分析!C121&lt;&gt;"",HYPERLINK("https://kabutan.jp/stock/?code="&amp;売分析!C121,"株探"),"")</f>
        <v>株探</v>
      </c>
      <c r="C121" s="365">
        <f>IF(売分析!C121&lt;&gt;"",売分析!C121,"")</f>
        <v>1812</v>
      </c>
      <c r="D121" s="350" t="str">
        <f>IF(売分析!D121&lt;&gt;"",売分析!D121,"")</f>
        <v>鹿島建設</v>
      </c>
      <c r="E121" s="351">
        <f>IF(売分析!E121&lt;&gt;"",売分析!E121,"")</f>
        <v>5920</v>
      </c>
      <c r="F121" s="351">
        <f>IF(売分析!F121&lt;&gt;"",売分析!F121,"")</f>
        <v>5968</v>
      </c>
      <c r="G121" s="351">
        <f>IF(売分析!H121&lt;&gt;"",売分析!H121,"")</f>
        <v>6044</v>
      </c>
      <c r="H121" s="351">
        <f>IF(売分析!I121&lt;&gt;"",売分析!I121,"")</f>
        <v>5871</v>
      </c>
      <c r="I121" s="350">
        <f>IF(売分析!J121&lt;&gt;"",売分析!J121,"")</f>
        <v>2120900</v>
      </c>
      <c r="J121" s="351">
        <f>IF(売分析!AB121&lt;&gt;"",売分析!AB121,"")</f>
        <v>5766.1497695852531</v>
      </c>
      <c r="K121" s="351">
        <f>IF(売分析!AC121&lt;&gt;"",売分析!AC121,"")</f>
        <v>5678.5947556615001</v>
      </c>
      <c r="L121" s="351">
        <f>IF(売分析!K121&lt;&gt;"",売分析!K121,"")</f>
        <v>8040</v>
      </c>
      <c r="M121" s="350" t="str">
        <f>IF(売分析!P121&lt;&gt;"",売分析!P121,"")</f>
        <v>減少↓</v>
      </c>
      <c r="N121" s="353">
        <f>IF(売分析!O121&lt;&gt;"",売分析!O121,"")</f>
        <v>0.96110099060152077</v>
      </c>
      <c r="O121" s="355">
        <f>IF(売分析!X121&lt;&gt;"",売分析!X121,"")</f>
        <v>-18.323743527079387</v>
      </c>
      <c r="P121" s="352">
        <f>IF(売分析!L121&lt;&gt;"",売分析!L121,"")</f>
        <v>-26.368159203980102</v>
      </c>
      <c r="Q121" s="351">
        <f>IF(売分析!S121&lt;&gt;"",売分析!S121,"")</f>
        <v>6157</v>
      </c>
      <c r="R121" s="351">
        <f>IF(売分析!R121&lt;&gt;"",売分析!R121,"")</f>
        <v>5446</v>
      </c>
      <c r="S121" s="350" t="str">
        <f>IF(売分析!AA121&lt;&gt;"",売分析!AA121,"")</f>
        <v>上昇▲</v>
      </c>
      <c r="T121" s="356">
        <f>IF(売分析!Z121&lt;&gt;"",売分析!Z121,"")</f>
        <v>0.35599254110866252</v>
      </c>
      <c r="U121" s="350" t="str">
        <f>IF(売分析!V121&lt;&gt;"",売分析!V121,"")</f>
        <v>安値圏</v>
      </c>
      <c r="V121" s="354">
        <f>IF(売分析!W121&lt;&gt;"",売分析!W121,"")</f>
        <v>56.96275071633238</v>
      </c>
      <c r="W121" s="350" t="str">
        <f>IF(売分析!AD121&lt;&gt;"",売分析!AD121,"")</f>
        <v>パーフェクト▲</v>
      </c>
      <c r="X121" s="350" t="str">
        <f>IF(売分析!AE121&lt;&gt;"",売分析!AE121,"")</f>
        <v>なし</v>
      </c>
      <c r="Y121" s="427">
        <f>IF(売分析!T121&lt;&gt;"",売分析!T121,"")</f>
        <v>11</v>
      </c>
      <c r="Z121" s="350" t="str">
        <f>IF(売分析!Y121&lt;&gt;"",売分析!Y121,"")</f>
        <v>相場上昇・見送り | パーフェクト▲ MACD- RSI:57.0 前日比:+0.4% [安値圏]前日[大陰線▼] [11点]</v>
      </c>
    </row>
    <row r="122" spans="1:26">
      <c r="A122" s="230">
        <f>IF(売分析!C122&lt;&gt;"",ROW()-2,"")</f>
        <v>120</v>
      </c>
      <c r="B122" s="357" t="str">
        <f>IF(売分析!C122&lt;&gt;"",HYPERLINK("https://kabutan.jp/stock/?code="&amp;売分析!C122,"株探"),"")</f>
        <v>株探</v>
      </c>
      <c r="C122" s="366">
        <f>IF(売分析!C122&lt;&gt;"",売分析!C122,"")</f>
        <v>1662</v>
      </c>
      <c r="D122" s="230" t="str">
        <f>IF(売分析!D122&lt;&gt;"",売分析!D122,"")</f>
        <v>石油資源開発</v>
      </c>
      <c r="E122" s="358">
        <f>IF(売分析!E122&lt;&gt;"",売分析!E122,"")</f>
        <v>1645</v>
      </c>
      <c r="F122" s="358">
        <f>IF(売分析!F122&lt;&gt;"",売分析!F122,"")</f>
        <v>1636</v>
      </c>
      <c r="G122" s="358">
        <f>IF(売分析!H122&lt;&gt;"",売分析!H122,"")</f>
        <v>1660</v>
      </c>
      <c r="H122" s="358">
        <f>IF(売分析!I122&lt;&gt;"",売分析!I122,"")</f>
        <v>1621</v>
      </c>
      <c r="I122" s="230">
        <f>IF(売分析!J122&lt;&gt;"",売分析!J122,"")</f>
        <v>1154600</v>
      </c>
      <c r="J122" s="358">
        <f>IF(売分析!AB122&lt;&gt;"",売分析!AB122,"")</f>
        <v>1650.1509216589861</v>
      </c>
      <c r="K122" s="358">
        <f>IF(売分析!AC122&lt;&gt;"",売分析!AC122,"")</f>
        <v>1763.237187127532</v>
      </c>
      <c r="L122" s="358">
        <f>IF(売分析!K122&lt;&gt;"",売分析!K122,"")</f>
        <v>2819</v>
      </c>
      <c r="M122" s="230" t="str">
        <f>IF(売分析!P122&lt;&gt;"",売分析!P122,"")</f>
        <v>減少↓</v>
      </c>
      <c r="N122" s="360">
        <f>IF(売分析!O122&lt;&gt;"",売分析!O122,"")</f>
        <v>0.77590957353870138</v>
      </c>
      <c r="O122" s="362">
        <f>IF(売分析!X122&lt;&gt;"",売分析!X122,"")</f>
        <v>-40.992252397119501</v>
      </c>
      <c r="P122" s="359">
        <f>IF(売分析!L122&lt;&gt;"",売分析!L122,"")</f>
        <v>-41.645973749556582</v>
      </c>
      <c r="Q122" s="358">
        <f>IF(売分析!S122&lt;&gt;"",売分析!S122,"")</f>
        <v>1711</v>
      </c>
      <c r="R122" s="358">
        <f>IF(売分析!R122&lt;&gt;"",売分析!R122,"")</f>
        <v>1513</v>
      </c>
      <c r="S122" s="230" t="str">
        <f>IF(売分析!AA122&lt;&gt;"",売分析!AA122,"")</f>
        <v>下落▼</v>
      </c>
      <c r="T122" s="363">
        <f>IF(売分析!Z122&lt;&gt;"",売分析!Z122,"")</f>
        <v>-0.18203883495145631</v>
      </c>
      <c r="U122" s="230" t="str">
        <f>IF(売分析!V122&lt;&gt;"",売分析!V122,"")</f>
        <v>年初来安値圏●</v>
      </c>
      <c r="V122" s="361">
        <f>IF(売分析!W122&lt;&gt;"",売分析!W122,"")</f>
        <v>23.033707865168537</v>
      </c>
      <c r="W122" s="230" t="str">
        <f>IF(売分析!AD122&lt;&gt;"",売分析!AD122,"")</f>
        <v>下降トレンド▼</v>
      </c>
      <c r="X122" s="230" t="str">
        <f>IF(売分析!AE122&lt;&gt;"",売分析!AE122,"")</f>
        <v>5日戻り売り○</v>
      </c>
      <c r="Y122" s="428">
        <f>IF(売分析!T122&lt;&gt;"",売分析!T122,"")</f>
        <v>15</v>
      </c>
      <c r="Z122" s="230" t="str">
        <f>IF(売分析!Y122&lt;&gt;"",売分析!Y122,"")</f>
        <v>★逆張り売り | 下降トレンド▼ 5日戻り売り○ MACD- RSI:23.0 [売られ過ぎ] 前日比:-0.2% [年初来安値圏] [15点]</v>
      </c>
    </row>
    <row r="123" spans="1:26">
      <c r="A123" s="350">
        <f>IF(売分析!C123&lt;&gt;"",ROW()-2,"")</f>
        <v>121</v>
      </c>
      <c r="B123" s="349" t="str">
        <f>IF(売分析!C123&lt;&gt;"",HYPERLINK("https://kabutan.jp/stock/?code="&amp;売分析!C123,"株探"),"")</f>
        <v>株探</v>
      </c>
      <c r="C123" s="365">
        <f>IF(売分析!C123&lt;&gt;"",売分析!C123,"")</f>
        <v>3861</v>
      </c>
      <c r="D123" s="350" t="str">
        <f>IF(売分析!D123&lt;&gt;"",売分析!D123,"")</f>
        <v>王子ホールディングス</v>
      </c>
      <c r="E123" s="351">
        <f>IF(売分析!E123&lt;&gt;"",売分析!E123,"")</f>
        <v>799.6</v>
      </c>
      <c r="F123" s="351">
        <f>IF(売分析!F123&lt;&gt;"",売分析!F123,"")</f>
        <v>800.6</v>
      </c>
      <c r="G123" s="351">
        <f>IF(売分析!H123&lt;&gt;"",売分析!H123,"")</f>
        <v>805.9</v>
      </c>
      <c r="H123" s="351">
        <f>IF(売分析!I123&lt;&gt;"",売分析!I123,"")</f>
        <v>796.8</v>
      </c>
      <c r="I123" s="350">
        <f>IF(売分析!J123&lt;&gt;"",売分析!J123,"")</f>
        <v>3088900</v>
      </c>
      <c r="J123" s="351">
        <f>IF(売分析!AB123&lt;&gt;"",売分析!AB123,"")</f>
        <v>793.68755760368663</v>
      </c>
      <c r="K123" s="351">
        <f>IF(売分析!AC123&lt;&gt;"",売分析!AC123,"")</f>
        <v>789.87640047675768</v>
      </c>
      <c r="L123" s="351">
        <f>IF(売分析!K123&lt;&gt;"",売分析!K123,"")</f>
        <v>990.7</v>
      </c>
      <c r="M123" s="350" t="str">
        <f>IF(売分析!P123&lt;&gt;"",売分析!P123,"")</f>
        <v>減少↓</v>
      </c>
      <c r="N123" s="353">
        <f>IF(売分析!O123&lt;&gt;"",売分析!O123,"")</f>
        <v>0.80458542582675197</v>
      </c>
      <c r="O123" s="355">
        <f>IF(売分析!X123&lt;&gt;"",売分析!X123,"")</f>
        <v>-1.9078922858315082</v>
      </c>
      <c r="P123" s="352">
        <f>IF(売分析!L123&lt;&gt;"",売分析!L123,"")</f>
        <v>-19.289391339456952</v>
      </c>
      <c r="Q123" s="351">
        <f>IF(売分析!S123&lt;&gt;"",売分析!S123,"")</f>
        <v>832</v>
      </c>
      <c r="R123" s="351">
        <f>IF(売分析!R123&lt;&gt;"",売分析!R123,"")</f>
        <v>736</v>
      </c>
      <c r="S123" s="350" t="str">
        <f>IF(売分析!AA123&lt;&gt;"",売分析!AA123,"")</f>
        <v>上昇▲</v>
      </c>
      <c r="T123" s="356">
        <f>IF(売分析!Z123&lt;&gt;"",売分析!Z123,"")</f>
        <v>0.71797455598942506</v>
      </c>
      <c r="U123" s="350" t="str">
        <f>IF(売分析!V123&lt;&gt;"",売分析!V123,"")</f>
        <v>通常</v>
      </c>
      <c r="V123" s="354">
        <f>IF(売分析!W123&lt;&gt;"",売分析!W123,"")</f>
        <v>60.659599528857463</v>
      </c>
      <c r="W123" s="350" t="str">
        <f>IF(売分析!AD123&lt;&gt;"",売分析!AD123,"")</f>
        <v>パーフェクト▲</v>
      </c>
      <c r="X123" s="350" t="str">
        <f>IF(売分析!AE123&lt;&gt;"",売分析!AE123,"")</f>
        <v>なし</v>
      </c>
      <c r="Y123" s="427">
        <f>IF(売分析!T123&lt;&gt;"",売分析!T123,"")</f>
        <v>8</v>
      </c>
      <c r="Z123" s="350" t="str">
        <f>IF(売分析!Y123&lt;&gt;"",売分析!Y123,"")</f>
        <v>相場上昇・見送り | パーフェクト▲ MACD- RSI:60.7 前日比:+0.7% [8点]</v>
      </c>
    </row>
    <row r="124" spans="1:26">
      <c r="A124" s="230">
        <f>IF(売分析!C124&lt;&gt;"",ROW()-2,"")</f>
        <v>122</v>
      </c>
      <c r="B124" s="357" t="str">
        <f>IF(売分析!C124&lt;&gt;"",HYPERLINK("https://kabutan.jp/stock/?code="&amp;売分析!C124,"株探"),"")</f>
        <v>株探</v>
      </c>
      <c r="C124" s="366">
        <f>IF(売分析!C124&lt;&gt;"",売分析!C124,"")</f>
        <v>4540</v>
      </c>
      <c r="D124" s="230" t="str">
        <f>IF(売分析!D124&lt;&gt;"",売分析!D124,"")</f>
        <v>ツムラ</v>
      </c>
      <c r="E124" s="358">
        <f>IF(売分析!E124&lt;&gt;"",売分析!E124,"")</f>
        <v>3704</v>
      </c>
      <c r="F124" s="358">
        <f>IF(売分析!F124&lt;&gt;"",売分析!F124,"")</f>
        <v>3776</v>
      </c>
      <c r="G124" s="358">
        <f>IF(売分析!H124&lt;&gt;"",売分析!H124,"")</f>
        <v>3784</v>
      </c>
      <c r="H124" s="358">
        <f>IF(売分析!I124&lt;&gt;"",売分析!I124,"")</f>
        <v>3703</v>
      </c>
      <c r="I124" s="230">
        <f>IF(売分析!J124&lt;&gt;"",売分析!J124,"")</f>
        <v>162100</v>
      </c>
      <c r="J124" s="358">
        <f>IF(売分析!AB124&lt;&gt;"",売分析!AB124,"")</f>
        <v>3730.1244239631328</v>
      </c>
      <c r="K124" s="358">
        <f>IF(売分析!AC124&lt;&gt;"",売分析!AC124,"")</f>
        <v>3746.6483909415965</v>
      </c>
      <c r="L124" s="358">
        <f>IF(売分析!K124&lt;&gt;"",売分析!K124,"")</f>
        <v>4403</v>
      </c>
      <c r="M124" s="230" t="str">
        <f>IF(売分析!P124&lt;&gt;"",売分析!P124,"")</f>
        <v>減少↓</v>
      </c>
      <c r="N124" s="360">
        <f>IF(売分析!O124&lt;&gt;"",売分析!O124,"")</f>
        <v>0.76246472248353714</v>
      </c>
      <c r="O124" s="362">
        <f>IF(売分析!X124&lt;&gt;"",売分析!X124,"")</f>
        <v>-11.111764097134255</v>
      </c>
      <c r="P124" s="359">
        <f>IF(売分析!L124&lt;&gt;"",売分析!L124,"")</f>
        <v>-15.875539404951169</v>
      </c>
      <c r="Q124" s="358">
        <f>IF(売分析!S124&lt;&gt;"",売分析!S124,"")</f>
        <v>3852</v>
      </c>
      <c r="R124" s="358">
        <f>IF(売分析!R124&lt;&gt;"",売分析!R124,"")</f>
        <v>3408</v>
      </c>
      <c r="S124" s="230" t="str">
        <f>IF(売分析!AA124&lt;&gt;"",売分析!AA124,"")</f>
        <v>下落▼</v>
      </c>
      <c r="T124" s="363">
        <f>IF(売分析!Z124&lt;&gt;"",売分析!Z124,"")</f>
        <v>-1.5155543738367456</v>
      </c>
      <c r="U124" s="230" t="str">
        <f>IF(売分析!V124&lt;&gt;"",売分析!V124,"")</f>
        <v>通常</v>
      </c>
      <c r="V124" s="361">
        <f>IF(売分析!W124&lt;&gt;"",売分析!W124,"")</f>
        <v>50.810810810810807</v>
      </c>
      <c r="W124" s="230" t="str">
        <f>IF(売分析!AD124&lt;&gt;"",売分析!AD124,"")</f>
        <v>下降トレンド▼</v>
      </c>
      <c r="X124" s="230" t="str">
        <f>IF(売分析!AE124&lt;&gt;"",売分析!AE124,"")</f>
        <v>25日戻り売り★</v>
      </c>
      <c r="Y124" s="428">
        <f>IF(売分析!T124&lt;&gt;"",売分析!T124,"")</f>
        <v>13</v>
      </c>
      <c r="Z124" s="230" t="str">
        <f>IF(売分析!Y124&lt;&gt;"",売分析!Y124,"")</f>
        <v>★逆張り売り | 下降トレンド▼ 25日戻り売り★ MACD- RSI:50.8 前日比:-1.5% [大陰線▼] [13点]</v>
      </c>
    </row>
    <row r="125" spans="1:26">
      <c r="A125" s="350">
        <f>IF(売分析!C125&lt;&gt;"",ROW()-2,"")</f>
        <v>123</v>
      </c>
      <c r="B125" s="349" t="str">
        <f>IF(売分析!C125&lt;&gt;"",HYPERLINK("https://kabutan.jp/stock/?code="&amp;売分析!C125,"株探"),"")</f>
        <v>株探</v>
      </c>
      <c r="C125" s="365">
        <f>IF(売分析!C125&lt;&gt;"",売分析!C125,"")</f>
        <v>4536</v>
      </c>
      <c r="D125" s="350" t="str">
        <f>IF(売分析!D125&lt;&gt;"",売分析!D125,"")</f>
        <v>参天製薬</v>
      </c>
      <c r="E125" s="351">
        <f>IF(売分析!E125&lt;&gt;"",売分析!E125,"")</f>
        <v>1882</v>
      </c>
      <c r="F125" s="351">
        <f>IF(売分析!F125&lt;&gt;"",売分析!F125,"")</f>
        <v>1935.5</v>
      </c>
      <c r="G125" s="351">
        <f>IF(売分析!H125&lt;&gt;"",売分析!H125,"")</f>
        <v>1935.5</v>
      </c>
      <c r="H125" s="351">
        <f>IF(売分析!I125&lt;&gt;"",売分析!I125,"")</f>
        <v>1863.5</v>
      </c>
      <c r="I125" s="350">
        <f>IF(売分析!J125&lt;&gt;"",売分析!J125,"")</f>
        <v>896900</v>
      </c>
      <c r="J125" s="351">
        <f>IF(売分析!AB125&lt;&gt;"",売分析!AB125,"")</f>
        <v>1909.3312211981565</v>
      </c>
      <c r="K125" s="351">
        <f>IF(売分析!AC125&lt;&gt;"",売分析!AC125,"")</f>
        <v>1895.7622169249096</v>
      </c>
      <c r="L125" s="351">
        <f>IF(売分析!K125&lt;&gt;"",売分析!K125,"")</f>
        <v>2043</v>
      </c>
      <c r="M125" s="350" t="str">
        <f>IF(売分析!P125&lt;&gt;"",売分析!P125,"")</f>
        <v>減少↓</v>
      </c>
      <c r="N125" s="353">
        <f>IF(売分析!O125&lt;&gt;"",売分析!O125,"")</f>
        <v>0.87908964381628207</v>
      </c>
      <c r="O125" s="355">
        <f>IF(売分析!X125&lt;&gt;"",売分析!X125,"")</f>
        <v>6.3418876050304789</v>
      </c>
      <c r="P125" s="352">
        <f>IF(売分析!L125&lt;&gt;"",売分析!L125,"")</f>
        <v>-7.8805677924620658</v>
      </c>
      <c r="Q125" s="351">
        <f>IF(売分析!S125&lt;&gt;"",売分析!S125,"")</f>
        <v>1957</v>
      </c>
      <c r="R125" s="351">
        <f>IF(売分析!R125&lt;&gt;"",売分析!R125,"")</f>
        <v>1731</v>
      </c>
      <c r="S125" s="350" t="str">
        <f>IF(売分析!AA125&lt;&gt;"",売分析!AA125,"")</f>
        <v>下落▼</v>
      </c>
      <c r="T125" s="356">
        <f>IF(売分析!Z125&lt;&gt;"",売分析!Z125,"")</f>
        <v>-1.9536337587913521</v>
      </c>
      <c r="U125" s="350" t="str">
        <f>IF(売分析!V125&lt;&gt;"",売分析!V125,"")</f>
        <v>通常</v>
      </c>
      <c r="V125" s="354">
        <f>IF(売分析!W125&lt;&gt;"",売分析!W125,"")</f>
        <v>49.046793760831889</v>
      </c>
      <c r="W125" s="350" t="str">
        <f>IF(売分析!AD125&lt;&gt;"",売分析!AD125,"")</f>
        <v>もみ合い→</v>
      </c>
      <c r="X125" s="350" t="str">
        <f>IF(売分析!AE125&lt;&gt;"",売分析!AE125,"")</f>
        <v>25日戻り売り★</v>
      </c>
      <c r="Y125" s="427">
        <f>IF(売分析!T125&lt;&gt;"",売分析!T125,"")</f>
        <v>7</v>
      </c>
      <c r="Z125" s="350" t="str">
        <f>IF(売分析!Y125&lt;&gt;"",売分析!Y125,"")</f>
        <v>○逆張り売り | もみ合い→ 25日戻り売り★ MACD+ RSI:49.0 前日比:-2.0% [大陰線▼] [7点]</v>
      </c>
    </row>
    <row r="126" spans="1:26">
      <c r="A126" s="230">
        <f>IF(売分析!C126&lt;&gt;"",ROW()-2,"")</f>
        <v>124</v>
      </c>
      <c r="B126" s="357" t="str">
        <f>IF(売分析!C126&lt;&gt;"",HYPERLINK("https://kabutan.jp/stock/?code="&amp;売分析!C126,"株探"),"")</f>
        <v>株探</v>
      </c>
      <c r="C126" s="366">
        <f>IF(売分析!C126&lt;&gt;"",売分析!C126,"")</f>
        <v>6501</v>
      </c>
      <c r="D126" s="230" t="str">
        <f>IF(売分析!D126&lt;&gt;"",売分析!D126,"")</f>
        <v>日立</v>
      </c>
      <c r="E126" s="358">
        <f>IF(売分析!E126&lt;&gt;"",売分析!E126,"")</f>
        <v>4701</v>
      </c>
      <c r="F126" s="358">
        <f>IF(売分析!F126&lt;&gt;"",売分析!F126,"")</f>
        <v>4692</v>
      </c>
      <c r="G126" s="358">
        <f>IF(売分析!H126&lt;&gt;"",売分析!H126,"")</f>
        <v>4736</v>
      </c>
      <c r="H126" s="358">
        <f>IF(売分析!I126&lt;&gt;"",売分析!I126,"")</f>
        <v>4670</v>
      </c>
      <c r="I126" s="230">
        <f>IF(売分析!J126&lt;&gt;"",売分析!J126,"")</f>
        <v>11385900</v>
      </c>
      <c r="J126" s="358">
        <f>IF(売分析!AB126&lt;&gt;"",売分析!AB126,"")</f>
        <v>4706.3271889400921</v>
      </c>
      <c r="K126" s="358">
        <f>IF(売分析!AC126&lt;&gt;"",売分析!AC126,"")</f>
        <v>4928.452920143025</v>
      </c>
      <c r="L126" s="358">
        <f>IF(売分析!K126&lt;&gt;"",売分析!K126,"")</f>
        <v>6039</v>
      </c>
      <c r="M126" s="230" t="str">
        <f>IF(売分析!P126&lt;&gt;"",売分析!P126,"")</f>
        <v>減少↓</v>
      </c>
      <c r="N126" s="360">
        <f>IF(売分析!O126&lt;&gt;"",売分析!O126,"")</f>
        <v>0.79139205876342689</v>
      </c>
      <c r="O126" s="362">
        <f>IF(売分析!X126&lt;&gt;"",売分析!X126,"")</f>
        <v>-23.331775719531834</v>
      </c>
      <c r="P126" s="359">
        <f>IF(売分析!L126&lt;&gt;"",売分析!L126,"")</f>
        <v>-22.15598609041232</v>
      </c>
      <c r="Q126" s="358">
        <f>IF(売分析!S126&lt;&gt;"",売分析!S126,"")</f>
        <v>4889</v>
      </c>
      <c r="R126" s="358">
        <f>IF(売分析!R126&lt;&gt;"",売分析!R126,"")</f>
        <v>4325</v>
      </c>
      <c r="S126" s="230" t="str">
        <f>IF(売分析!AA126&lt;&gt;"",売分析!AA126,"")</f>
        <v>下落▼</v>
      </c>
      <c r="T126" s="363">
        <f>IF(売分析!Z126&lt;&gt;"",売分析!Z126,"")</f>
        <v>-0.96903307352011803</v>
      </c>
      <c r="U126" s="230" t="str">
        <f>IF(売分析!V126&lt;&gt;"",売分析!V126,"")</f>
        <v>通常</v>
      </c>
      <c r="V126" s="361">
        <f>IF(売分析!W126&lt;&gt;"",売分析!W126,"")</f>
        <v>39.947609692206939</v>
      </c>
      <c r="W126" s="230" t="str">
        <f>IF(売分析!AD126&lt;&gt;"",売分析!AD126,"")</f>
        <v>下降トレンド▼</v>
      </c>
      <c r="X126" s="230" t="str">
        <f>IF(売分析!AE126&lt;&gt;"",売分析!AE126,"")</f>
        <v>5日戻り売り○</v>
      </c>
      <c r="Y126" s="428">
        <f>IF(売分析!T126&lt;&gt;"",売分析!T126,"")</f>
        <v>9</v>
      </c>
      <c r="Z126" s="230" t="str">
        <f>IF(売分析!Y126&lt;&gt;"",売分析!Y126,"")</f>
        <v>★逆張り売り | 下降トレンド▼ 5日戻り売り○ MACD- RSI:39.9 前日比:-1.0% [9点]</v>
      </c>
    </row>
    <row r="127" spans="1:26">
      <c r="A127" s="350">
        <f>IF(売分析!C127&lt;&gt;"",ROW()-2,"")</f>
        <v>125</v>
      </c>
      <c r="B127" s="349" t="str">
        <f>IF(売分析!C127&lt;&gt;"",HYPERLINK("https://kabutan.jp/stock/?code="&amp;売分析!C127,"株探"),"")</f>
        <v>株探</v>
      </c>
      <c r="C127" s="365">
        <f>IF(売分析!C127&lt;&gt;"",売分析!C127,"")</f>
        <v>4008</v>
      </c>
      <c r="D127" s="350" t="str">
        <f>IF(売分析!D127&lt;&gt;"",売分析!D127,"")</f>
        <v>住友精化</v>
      </c>
      <c r="E127" s="351">
        <f>IF(売分析!E127&lt;&gt;"",売分析!E127,"")</f>
        <v>1318</v>
      </c>
      <c r="F127" s="351">
        <f>IF(売分析!F127&lt;&gt;"",売分析!F127,"")</f>
        <v>1322</v>
      </c>
      <c r="G127" s="351">
        <f>IF(売分析!H127&lt;&gt;"",売分析!H127,"")</f>
        <v>1335</v>
      </c>
      <c r="H127" s="351">
        <f>IF(売分析!I127&lt;&gt;"",売分析!I127,"")</f>
        <v>1317</v>
      </c>
      <c r="I127" s="350">
        <f>IF(売分析!J127&lt;&gt;"",売分析!J127,"")</f>
        <v>131300</v>
      </c>
      <c r="J127" s="351">
        <f>IF(売分析!AB127&lt;&gt;"",売分析!AB127,"")</f>
        <v>1300.5967741935481</v>
      </c>
      <c r="K127" s="351">
        <f>IF(売分析!AC127&lt;&gt;"",売分析!AC127,"")</f>
        <v>1281.3146603098921</v>
      </c>
      <c r="L127" s="351">
        <f>IF(売分析!K127&lt;&gt;"",売分析!K127,"")</f>
        <v>1346</v>
      </c>
      <c r="M127" s="350" t="str">
        <f>IF(売分析!P127&lt;&gt;"",売分析!P127,"")</f>
        <v>減少↓</v>
      </c>
      <c r="N127" s="353">
        <f>IF(売分析!O127&lt;&gt;"",売分析!O127,"")</f>
        <v>0.98499624906226557</v>
      </c>
      <c r="O127" s="355">
        <f>IF(売分析!X127&lt;&gt;"",売分析!X127,"")</f>
        <v>3.3467654305272845</v>
      </c>
      <c r="P127" s="352">
        <f>IF(売分析!L127&lt;&gt;"",売分析!L127,"")</f>
        <v>-2.0802377414561661</v>
      </c>
      <c r="Q127" s="351">
        <f>IF(売分析!S127&lt;&gt;"",売分析!S127,"")</f>
        <v>1371</v>
      </c>
      <c r="R127" s="351">
        <f>IF(売分析!R127&lt;&gt;"",売分析!R127,"")</f>
        <v>1213</v>
      </c>
      <c r="S127" s="350" t="str">
        <f>IF(売分析!AA127&lt;&gt;"",売分析!AA127,"")</f>
        <v>下落▼</v>
      </c>
      <c r="T127" s="356">
        <f>IF(売分析!Z127&lt;&gt;"",売分析!Z127,"")</f>
        <v>-0.22710068130204392</v>
      </c>
      <c r="U127" s="350" t="str">
        <f>IF(売分析!V127&lt;&gt;"",売分析!V127,"")</f>
        <v>通常</v>
      </c>
      <c r="V127" s="354">
        <f>IF(売分析!W127&lt;&gt;"",売分析!W127,"")</f>
        <v>53.310104529616723</v>
      </c>
      <c r="W127" s="350" t="str">
        <f>IF(売分析!AD127&lt;&gt;"",売分析!AD127,"")</f>
        <v>パーフェクト▲</v>
      </c>
      <c r="X127" s="350" t="str">
        <f>IF(売分析!AE127&lt;&gt;"",売分析!AE127,"")</f>
        <v>なし</v>
      </c>
      <c r="Y127" s="427">
        <f>IF(売分析!T127&lt;&gt;"",売分析!T127,"")</f>
        <v>3</v>
      </c>
      <c r="Z127" s="350" t="str">
        <f>IF(売分析!Y127&lt;&gt;"",売分析!Y127,"")</f>
        <v>相場上昇・見送り | パーフェクト▲ MACD+ RSI:53.3 前日比:-0.2% [上ヒゲ陰線▼] [3点]</v>
      </c>
    </row>
    <row r="128" spans="1:26">
      <c r="A128" s="230">
        <f>IF(売分析!C128&lt;&gt;"",ROW()-2,"")</f>
        <v>126</v>
      </c>
      <c r="B128" s="357" t="str">
        <f>IF(売分析!C128&lt;&gt;"",HYPERLINK("https://kabutan.jp/stock/?code="&amp;売分析!C128,"株探"),"")</f>
        <v>株探</v>
      </c>
      <c r="C128" s="366">
        <f>IF(売分析!C128&lt;&gt;"",売分析!C128,"")</f>
        <v>9882</v>
      </c>
      <c r="D128" s="230" t="str">
        <f>IF(売分析!D128&lt;&gt;"",売分析!D128,"")</f>
        <v>イエローハット</v>
      </c>
      <c r="E128" s="358">
        <f>IF(売分析!E128&lt;&gt;"",売分析!E128,"")</f>
        <v>1736</v>
      </c>
      <c r="F128" s="358">
        <f>IF(売分析!F128&lt;&gt;"",売分析!F128,"")</f>
        <v>1743</v>
      </c>
      <c r="G128" s="358">
        <f>IF(売分析!H128&lt;&gt;"",売分析!H128,"")</f>
        <v>1757</v>
      </c>
      <c r="H128" s="358">
        <f>IF(売分析!I128&lt;&gt;"",売分析!I128,"")</f>
        <v>1735</v>
      </c>
      <c r="I128" s="230">
        <f>IF(売分析!J128&lt;&gt;"",売分析!J128,"")</f>
        <v>140600</v>
      </c>
      <c r="J128" s="358">
        <f>IF(売分析!AB128&lt;&gt;"",売分析!AB128,"")</f>
        <v>1734.1993087557603</v>
      </c>
      <c r="K128" s="358">
        <f>IF(売分析!AC128&lt;&gt;"",売分析!AC128,"")</f>
        <v>1677.1001191895105</v>
      </c>
      <c r="L128" s="358">
        <f>IF(売分析!K128&lt;&gt;"",売分析!K128,"")</f>
        <v>1759</v>
      </c>
      <c r="M128" s="230" t="str">
        <f>IF(売分析!P128&lt;&gt;"",売分析!P128,"")</f>
        <v>減少↓</v>
      </c>
      <c r="N128" s="360">
        <f>IF(売分析!O128&lt;&gt;"",売分析!O128,"")</f>
        <v>0.85315533980582525</v>
      </c>
      <c r="O128" s="362">
        <f>IF(売分析!X128&lt;&gt;"",売分析!X128,"")</f>
        <v>14.592035870227846</v>
      </c>
      <c r="P128" s="359">
        <f>IF(売分析!L128&lt;&gt;"",売分析!L128,"")</f>
        <v>-1.3075611142694712</v>
      </c>
      <c r="Q128" s="358">
        <f>IF(売分析!S128&lt;&gt;"",売分析!S128,"")</f>
        <v>1805</v>
      </c>
      <c r="R128" s="358">
        <f>IF(売分析!R128&lt;&gt;"",売分析!R128,"")</f>
        <v>1597</v>
      </c>
      <c r="S128" s="230" t="str">
        <f>IF(売分析!AA128&lt;&gt;"",売分析!AA128,"")</f>
        <v>下落▼</v>
      </c>
      <c r="T128" s="363">
        <f>IF(売分析!Z128&lt;&gt;"",売分析!Z128,"")</f>
        <v>-0.40160642570281119</v>
      </c>
      <c r="U128" s="230" t="str">
        <f>IF(売分析!V128&lt;&gt;"",売分析!V128,"")</f>
        <v>通常</v>
      </c>
      <c r="V128" s="361">
        <f>IF(売分析!W128&lt;&gt;"",売分析!W128,"")</f>
        <v>73.962264150943398</v>
      </c>
      <c r="W128" s="230" t="str">
        <f>IF(売分析!AD128&lt;&gt;"",売分析!AD128,"")</f>
        <v>パーフェクト▲</v>
      </c>
      <c r="X128" s="230" t="str">
        <f>IF(売分析!AE128&lt;&gt;"",売分析!AE128,"")</f>
        <v>なし</v>
      </c>
      <c r="Y128" s="428">
        <f>IF(売分析!T128&lt;&gt;"",売分析!T128,"")</f>
        <v>2</v>
      </c>
      <c r="Z128" s="230" t="str">
        <f>IF(売分析!Y128&lt;&gt;"",売分析!Y128,"")</f>
        <v>◎反落確認 | パーフェクト▲ MACD+ RSI:74.0 [過熱] 前日比:-0.4% [上ヒゲ陰線▼]前日[長い下ヒゲ(反発)] [2点]</v>
      </c>
    </row>
    <row r="129" spans="1:26">
      <c r="A129" s="350">
        <f>IF(売分析!C129&lt;&gt;"",ROW()-2,"")</f>
        <v>127</v>
      </c>
      <c r="B129" s="349" t="str">
        <f>IF(売分析!C129&lt;&gt;"",HYPERLINK("https://kabutan.jp/stock/?code="&amp;売分析!C129,"株探"),"")</f>
        <v>株探</v>
      </c>
      <c r="C129" s="365">
        <f>IF(売分析!C129&lt;&gt;"",売分析!C129,"")</f>
        <v>8801</v>
      </c>
      <c r="D129" s="350" t="str">
        <f>IF(売分析!D129&lt;&gt;"",売分析!D129,"")</f>
        <v>三井不動産</v>
      </c>
      <c r="E129" s="351">
        <f>IF(売分析!E129&lt;&gt;"",売分析!E129,"")</f>
        <v>1516.5</v>
      </c>
      <c r="F129" s="351">
        <f>IF(売分析!F129&lt;&gt;"",売分析!F129,"")</f>
        <v>1544.5</v>
      </c>
      <c r="G129" s="351">
        <f>IF(売分析!H129&lt;&gt;"",売分析!H129,"")</f>
        <v>1554.5</v>
      </c>
      <c r="H129" s="351">
        <f>IF(売分析!I129&lt;&gt;"",売分析!I129,"")</f>
        <v>1516.5</v>
      </c>
      <c r="I129" s="350">
        <f>IF(売分析!J129&lt;&gt;"",売分析!J129,"")</f>
        <v>9010400</v>
      </c>
      <c r="J129" s="351">
        <f>IF(売分析!AB129&lt;&gt;"",売分析!AB129,"")</f>
        <v>1531.7620967741934</v>
      </c>
      <c r="K129" s="351">
        <f>IF(売分析!AC129&lt;&gt;"",売分析!AC129,"")</f>
        <v>1520.6483909415967</v>
      </c>
      <c r="L129" s="351">
        <f>IF(売分析!K129&lt;&gt;"",売分析!K129,"")</f>
        <v>2158</v>
      </c>
      <c r="M129" s="350" t="str">
        <f>IF(売分析!P129&lt;&gt;"",売分析!P129,"")</f>
        <v>減少↓</v>
      </c>
      <c r="N129" s="353">
        <f>IF(売分析!O129&lt;&gt;"",売分析!O129,"")</f>
        <v>0.69339465101711328</v>
      </c>
      <c r="O129" s="355">
        <f>IF(売分析!X129&lt;&gt;"",売分析!X129,"")</f>
        <v>-2.1262085106213817</v>
      </c>
      <c r="P129" s="352">
        <f>IF(売分析!L129&lt;&gt;"",売分析!L129,"")</f>
        <v>-29.726598702502315</v>
      </c>
      <c r="Q129" s="351">
        <f>IF(売分析!S129&lt;&gt;"",売分析!S129,"")</f>
        <v>1577</v>
      </c>
      <c r="R129" s="351">
        <f>IF(売分析!R129&lt;&gt;"",売分析!R129,"")</f>
        <v>1395</v>
      </c>
      <c r="S129" s="350" t="str">
        <f>IF(売分析!AA129&lt;&gt;"",売分析!AA129,"")</f>
        <v>下落▼</v>
      </c>
      <c r="T129" s="356">
        <f>IF(売分析!Z129&lt;&gt;"",売分析!Z129,"")</f>
        <v>-0.88235294117647056</v>
      </c>
      <c r="U129" s="350" t="str">
        <f>IF(売分析!V129&lt;&gt;"",売分析!V129,"")</f>
        <v>安値圏</v>
      </c>
      <c r="V129" s="354">
        <f>IF(売分析!W129&lt;&gt;"",売分析!W129,"")</f>
        <v>50.899742930591266</v>
      </c>
      <c r="W129" s="350" t="str">
        <f>IF(売分析!AD129&lt;&gt;"",売分析!AD129,"")</f>
        <v>もみ合い→</v>
      </c>
      <c r="X129" s="350" t="str">
        <f>IF(売分析!AE129&lt;&gt;"",売分析!AE129,"")</f>
        <v>25日戻り売り★</v>
      </c>
      <c r="Y129" s="427">
        <f>IF(売分析!T129&lt;&gt;"",売分析!T129,"")</f>
        <v>15</v>
      </c>
      <c r="Z129" s="350" t="str">
        <f>IF(売分析!Y129&lt;&gt;"",売分析!Y129,"")</f>
        <v>○逆張り売り | もみ合い→ 25日戻り売り★ MACD- RSI:50.9 前日比:-0.9% [安値圏] [大陰線▼]前日[大陰線▼] [15点]</v>
      </c>
    </row>
    <row r="130" spans="1:26">
      <c r="A130" s="230">
        <f>IF(売分析!C130&lt;&gt;"",ROW()-2,"")</f>
        <v>128</v>
      </c>
      <c r="B130" s="357" t="str">
        <f>IF(売分析!C130&lt;&gt;"",HYPERLINK("https://kabutan.jp/stock/?code="&amp;売分析!C130,"株探"),"")</f>
        <v>株探</v>
      </c>
      <c r="C130" s="366">
        <f>IF(売分析!C130&lt;&gt;"",売分析!C130,"")</f>
        <v>6777</v>
      </c>
      <c r="D130" s="230" t="str">
        <f>IF(売分析!D130&lt;&gt;"",売分析!D130,"")</f>
        <v>ＳＡＮＴＥＣＨＯＬＤＩＮＧＳ</v>
      </c>
      <c r="E130" s="358">
        <f>IF(売分析!E130&lt;&gt;"",売分析!E130,"")</f>
        <v>27070</v>
      </c>
      <c r="F130" s="358">
        <f>IF(売分析!F130&lt;&gt;"",売分析!F130,"")</f>
        <v>26230</v>
      </c>
      <c r="G130" s="358">
        <f>IF(売分析!H130&lt;&gt;"",売分析!H130,"")</f>
        <v>27580</v>
      </c>
      <c r="H130" s="358">
        <f>IF(売分析!I130&lt;&gt;"",売分析!I130,"")</f>
        <v>25600</v>
      </c>
      <c r="I130" s="230">
        <f>IF(売分析!J130&lt;&gt;"",売分析!J130,"")</f>
        <v>118600</v>
      </c>
      <c r="J130" s="358">
        <f>IF(売分析!AB130&lt;&gt;"",売分析!AB130,"")</f>
        <v>24671.785714285717</v>
      </c>
      <c r="K130" s="358">
        <f>IF(売分析!AC130&lt;&gt;"",売分析!AC130,"")</f>
        <v>25713.837902264586</v>
      </c>
      <c r="L130" s="358">
        <f>IF(売分析!K130&lt;&gt;"",売分析!K130,"")</f>
        <v>34700</v>
      </c>
      <c r="M130" s="230" t="str">
        <f>IF(売分析!P130&lt;&gt;"",売分析!P130,"")</f>
        <v>減少↓</v>
      </c>
      <c r="N130" s="360">
        <f>IF(売分析!O130&lt;&gt;"",売分析!O130,"")</f>
        <v>0.78470292444091572</v>
      </c>
      <c r="O130" s="362">
        <f>IF(売分析!X130&lt;&gt;"",売分析!X130,"")</f>
        <v>-546.1836538116986</v>
      </c>
      <c r="P130" s="359">
        <f>IF(売分析!L130&lt;&gt;"",売分析!L130,"")</f>
        <v>-21.988472622478387</v>
      </c>
      <c r="Q130" s="358">
        <f>IF(売分析!S130&lt;&gt;"",売分析!S130,"")</f>
        <v>28153</v>
      </c>
      <c r="R130" s="358">
        <f>IF(売分析!R130&lt;&gt;"",売分析!R130,"")</f>
        <v>24904</v>
      </c>
      <c r="S130" s="230" t="str">
        <f>IF(売分析!AA130&lt;&gt;"",売分析!AA130,"")</f>
        <v>上昇▲</v>
      </c>
      <c r="T130" s="363">
        <f>IF(売分析!Z130&lt;&gt;"",売分析!Z130,"")</f>
        <v>16.580534022394488</v>
      </c>
      <c r="U130" s="230" t="str">
        <f>IF(売分析!V130&lt;&gt;"",売分析!V130,"")</f>
        <v>安値圏</v>
      </c>
      <c r="V130" s="361">
        <f>IF(売分析!W130&lt;&gt;"",売分析!W130,"")</f>
        <v>31.764705882352942</v>
      </c>
      <c r="W130" s="230" t="str">
        <f>IF(売分析!AD130&lt;&gt;"",売分析!AD130,"")</f>
        <v>上昇トレンド▲</v>
      </c>
      <c r="X130" s="230" t="str">
        <f>IF(売分析!AE130&lt;&gt;"",売分析!AE130,"")</f>
        <v>なし</v>
      </c>
      <c r="Y130" s="428">
        <f>IF(売分析!T130&lt;&gt;"",売分析!T130,"")</f>
        <v>10</v>
      </c>
      <c r="Z130" s="230" t="str">
        <f>IF(売分析!Y130&lt;&gt;"",売分析!Y130,"")</f>
        <v>相場上昇・見送り | 上昇トレンド▲ MACD- RSI:31.8 前日比:+16.6% [安値圏]前日[大陰線▼] [10点]</v>
      </c>
    </row>
    <row r="131" spans="1:26">
      <c r="A131" s="350">
        <f>IF(売分析!C131&lt;&gt;"",ROW()-2,"")</f>
        <v>129</v>
      </c>
      <c r="B131" s="349" t="str">
        <f>IF(売分析!C131&lt;&gt;"",HYPERLINK("https://kabutan.jp/stock/?code="&amp;売分析!C131,"株探"),"")</f>
        <v>株探</v>
      </c>
      <c r="C131" s="365">
        <f>IF(売分析!C131&lt;&gt;"",売分析!C131,"")</f>
        <v>4888</v>
      </c>
      <c r="D131" s="350" t="str">
        <f>IF(売分析!D131&lt;&gt;"",売分析!D131,"")</f>
        <v>ステラファーマ</v>
      </c>
      <c r="E131" s="351">
        <f>IF(売分析!E131&lt;&gt;"",売分析!E131,"")</f>
        <v>350</v>
      </c>
      <c r="F131" s="351">
        <f>IF(売分析!F131&lt;&gt;"",売分析!F131,"")</f>
        <v>333</v>
      </c>
      <c r="G131" s="351">
        <f>IF(売分析!H131&lt;&gt;"",売分析!H131,"")</f>
        <v>361</v>
      </c>
      <c r="H131" s="351">
        <f>IF(売分析!I131&lt;&gt;"",売分析!I131,"")</f>
        <v>333</v>
      </c>
      <c r="I131" s="350">
        <f>IF(売分析!J131&lt;&gt;"",売分析!J131,"")</f>
        <v>331200</v>
      </c>
      <c r="J131" s="351">
        <f>IF(売分析!AB131&lt;&gt;"",売分析!AB131,"")</f>
        <v>335.42626728110599</v>
      </c>
      <c r="K131" s="351">
        <f>IF(売分析!AC131&lt;&gt;"",売分析!AC131,"")</f>
        <v>358.72228843861723</v>
      </c>
      <c r="L131" s="351">
        <f>IF(売分析!K131&lt;&gt;"",売分析!K131,"")</f>
        <v>995</v>
      </c>
      <c r="M131" s="350" t="str">
        <f>IF(売分析!P131&lt;&gt;"",売分析!P131,"")</f>
        <v>普通→</v>
      </c>
      <c r="N131" s="353">
        <f>IF(売分析!O131&lt;&gt;"",売分析!O131,"")</f>
        <v>1.0813634582734752</v>
      </c>
      <c r="O131" s="355">
        <f>IF(売分析!X131&lt;&gt;"",売分析!X131,"")</f>
        <v>-15.107308180656503</v>
      </c>
      <c r="P131" s="352">
        <f>IF(売分析!L131&lt;&gt;"",売分析!L131,"")</f>
        <v>-64.824120603015075</v>
      </c>
      <c r="Q131" s="351">
        <f>IF(売分析!S131&lt;&gt;"",売分析!S131,"")</f>
        <v>364</v>
      </c>
      <c r="R131" s="351">
        <f>IF(売分析!R131&lt;&gt;"",売分析!R131,"")</f>
        <v>322</v>
      </c>
      <c r="S131" s="350" t="str">
        <f>IF(売分析!AA131&lt;&gt;"",売分析!AA131,"")</f>
        <v>上昇▲</v>
      </c>
      <c r="T131" s="356">
        <f>IF(売分析!Z131&lt;&gt;"",売分析!Z131,"")</f>
        <v>5.4216867469879517</v>
      </c>
      <c r="U131" s="350" t="str">
        <f>IF(売分析!V131&lt;&gt;"",売分析!V131,"")</f>
        <v>年初来安値圏●</v>
      </c>
      <c r="V131" s="354">
        <f>IF(売分析!W131&lt;&gt;"",売分析!W131,"")</f>
        <v>23.831775700934571</v>
      </c>
      <c r="W131" s="350" t="str">
        <f>IF(売分析!AD131&lt;&gt;"",売分析!AD131,"")</f>
        <v>もみ合い→</v>
      </c>
      <c r="X131" s="350" t="str">
        <f>IF(売分析!AE131&lt;&gt;"",売分析!AE131,"")</f>
        <v>なし</v>
      </c>
      <c r="Y131" s="427">
        <f>IF(売分析!T131&lt;&gt;"",売分析!T131,"")</f>
        <v>11</v>
      </c>
      <c r="Z131" s="350" t="str">
        <f>IF(売分析!Y131&lt;&gt;"",売分析!Y131,"")</f>
        <v>相場上昇・見送り | もみ合い→ MACD- RSI:23.8 [売られ過ぎ] 前日比:+5.4% [年初来安値圏] [11点]</v>
      </c>
    </row>
    <row r="132" spans="1:26">
      <c r="A132" s="230">
        <f>IF(売分析!C132&lt;&gt;"",ROW()-2,"")</f>
        <v>130</v>
      </c>
      <c r="B132" s="357" t="str">
        <f>IF(売分析!C132&lt;&gt;"",HYPERLINK("https://kabutan.jp/stock/?code="&amp;売分析!C132,"株探"),"")</f>
        <v>株探</v>
      </c>
      <c r="C132" s="366">
        <f>IF(売分析!C132&lt;&gt;"",売分析!C132,"")</f>
        <v>4088</v>
      </c>
      <c r="D132" s="230" t="str">
        <f>IF(売分析!D132&lt;&gt;"",売分析!D132,"")</f>
        <v>エア・ウォーター</v>
      </c>
      <c r="E132" s="358">
        <f>IF(売分析!E132&lt;&gt;"",売分析!E132,"")</f>
        <v>2490</v>
      </c>
      <c r="F132" s="358">
        <f>IF(売分析!F132&lt;&gt;"",売分析!F132,"")</f>
        <v>2500</v>
      </c>
      <c r="G132" s="358">
        <f>IF(売分析!H132&lt;&gt;"",売分析!H132,"")</f>
        <v>2530</v>
      </c>
      <c r="H132" s="358">
        <f>IF(売分析!I132&lt;&gt;"",売分析!I132,"")</f>
        <v>2478</v>
      </c>
      <c r="I132" s="230">
        <f>IF(売分析!J132&lt;&gt;"",売分析!J132,"")</f>
        <v>546500</v>
      </c>
      <c r="J132" s="358">
        <f>IF(売分析!AB132&lt;&gt;"",売分析!AB132,"")</f>
        <v>2477.4182027649772</v>
      </c>
      <c r="K132" s="358">
        <f>IF(売分析!AC132&lt;&gt;"",売分析!AC132,"")</f>
        <v>2462.0309892729433</v>
      </c>
      <c r="L132" s="358">
        <f>IF(売分析!K132&lt;&gt;"",売分析!K132,"")</f>
        <v>2678</v>
      </c>
      <c r="M132" s="230" t="str">
        <f>IF(売分析!P132&lt;&gt;"",売分析!P132,"")</f>
        <v>減少↓</v>
      </c>
      <c r="N132" s="360">
        <f>IF(売分析!O132&lt;&gt;"",売分析!O132,"")</f>
        <v>0.62037415429323883</v>
      </c>
      <c r="O132" s="362">
        <f>IF(売分析!X132&lt;&gt;"",売分析!X132,"")</f>
        <v>2.862660653799594</v>
      </c>
      <c r="P132" s="359">
        <f>IF(売分析!L132&lt;&gt;"",売分析!L132,"")</f>
        <v>-7.0201643017177</v>
      </c>
      <c r="Q132" s="358">
        <f>IF(売分析!S132&lt;&gt;"",売分析!S132,"")</f>
        <v>2590</v>
      </c>
      <c r="R132" s="358">
        <f>IF(売分析!R132&lt;&gt;"",売分析!R132,"")</f>
        <v>2291</v>
      </c>
      <c r="S132" s="230" t="str">
        <f>IF(売分析!AA132&lt;&gt;"",売分析!AA132,"")</f>
        <v>下落▼</v>
      </c>
      <c r="T132" s="363">
        <f>IF(売分析!Z132&lt;&gt;"",売分析!Z132,"")</f>
        <v>-1.1904761904761905</v>
      </c>
      <c r="U132" s="230" t="str">
        <f>IF(売分析!V132&lt;&gt;"",売分析!V132,"")</f>
        <v>通常</v>
      </c>
      <c r="V132" s="361">
        <f>IF(売分析!W132&lt;&gt;"",売分析!W132,"")</f>
        <v>50.404858299595148</v>
      </c>
      <c r="W132" s="230" t="str">
        <f>IF(売分析!AD132&lt;&gt;"",売分析!AD132,"")</f>
        <v>パーフェクト▲</v>
      </c>
      <c r="X132" s="230" t="str">
        <f>IF(売分析!AE132&lt;&gt;"",売分析!AE132,"")</f>
        <v>なし</v>
      </c>
      <c r="Y132" s="428">
        <f>IF(売分析!T132&lt;&gt;"",売分析!T132,"")</f>
        <v>0</v>
      </c>
      <c r="Z132" s="230" t="str">
        <f>IF(売分析!Y132&lt;&gt;"",売分析!Y132,"")</f>
        <v>相場上昇・見送り | パーフェクト▲ MACD+ RSI:50.4 前日比:-1.2% [0点]</v>
      </c>
    </row>
    <row r="133" spans="1:26">
      <c r="A133" s="350">
        <f>IF(売分析!C133&lt;&gt;"",ROW()-2,"")</f>
        <v>131</v>
      </c>
      <c r="B133" s="349" t="str">
        <f>IF(売分析!C133&lt;&gt;"",HYPERLINK("https://kabutan.jp/stock/?code="&amp;売分析!C133,"株探"),"")</f>
        <v>株探</v>
      </c>
      <c r="C133" s="365">
        <f>IF(売分析!C133&lt;&gt;"",売分析!C133,"")</f>
        <v>4733</v>
      </c>
      <c r="D133" s="350" t="str">
        <f>IF(売分析!D133&lt;&gt;"",売分析!D133,"")</f>
        <v>オービックビジネスＣ</v>
      </c>
      <c r="E133" s="351">
        <f>IF(売分析!E133&lt;&gt;"",売分析!E133,"")</f>
        <v>5893</v>
      </c>
      <c r="F133" s="351">
        <f>IF(売分析!F133&lt;&gt;"",売分析!F133,"")</f>
        <v>5844</v>
      </c>
      <c r="G133" s="351">
        <f>IF(売分析!H133&lt;&gt;"",売分析!H133,"")</f>
        <v>5939</v>
      </c>
      <c r="H133" s="351">
        <f>IF(売分析!I133&lt;&gt;"",売分析!I133,"")</f>
        <v>5824</v>
      </c>
      <c r="I133" s="350">
        <f>IF(売分析!J133&lt;&gt;"",売分析!J133,"")</f>
        <v>292500</v>
      </c>
      <c r="J133" s="351">
        <f>IF(売分析!AB133&lt;&gt;"",売分析!AB133,"")</f>
        <v>5882.557603686636</v>
      </c>
      <c r="K133" s="351">
        <f>IF(売分析!AC133&lt;&gt;"",売分析!AC133,"")</f>
        <v>6035.6007151370677</v>
      </c>
      <c r="L133" s="351">
        <f>IF(売分析!K133&lt;&gt;"",売分析!K133,"")</f>
        <v>8595</v>
      </c>
      <c r="M133" s="350" t="str">
        <f>IF(売分析!P133&lt;&gt;"",売分析!P133,"")</f>
        <v>普通→</v>
      </c>
      <c r="N133" s="353">
        <f>IF(売分析!O133&lt;&gt;"",売分析!O133,"")</f>
        <v>1.2006403415154749</v>
      </c>
      <c r="O133" s="355">
        <f>IF(売分析!X133&lt;&gt;"",売分析!X133,"")</f>
        <v>-24.443633353100267</v>
      </c>
      <c r="P133" s="352">
        <f>IF(売分析!L133&lt;&gt;"",売分析!L133,"")</f>
        <v>-31.436881908086097</v>
      </c>
      <c r="Q133" s="351">
        <f>IF(売分析!S133&lt;&gt;"",売分析!S133,"")</f>
        <v>6129</v>
      </c>
      <c r="R133" s="351">
        <f>IF(売分析!R133&lt;&gt;"",売分析!R133,"")</f>
        <v>5422</v>
      </c>
      <c r="S133" s="350" t="str">
        <f>IF(売分析!AA133&lt;&gt;"",売分析!AA133,"")</f>
        <v>上昇▲</v>
      </c>
      <c r="T133" s="356">
        <f>IF(売分析!Z133&lt;&gt;"",売分析!Z133,"")</f>
        <v>0.89025851737716144</v>
      </c>
      <c r="U133" s="350" t="str">
        <f>IF(売分析!V133&lt;&gt;"",売分析!V133,"")</f>
        <v>安値圏</v>
      </c>
      <c r="V133" s="354">
        <f>IF(売分析!W133&lt;&gt;"",売分析!W133,"")</f>
        <v>44.54976303317536</v>
      </c>
      <c r="W133" s="350" t="str">
        <f>IF(売分析!AD133&lt;&gt;"",売分析!AD133,"")</f>
        <v>もみ合い→</v>
      </c>
      <c r="X133" s="350" t="str">
        <f>IF(売分析!AE133&lt;&gt;"",売分析!AE133,"")</f>
        <v>なし</v>
      </c>
      <c r="Y133" s="427">
        <f>IF(売分析!T133&lt;&gt;"",売分析!T133,"")</f>
        <v>10</v>
      </c>
      <c r="Z133" s="350" t="str">
        <f>IF(売分析!Y133&lt;&gt;"",売分析!Y133,"")</f>
        <v>相場上昇・見送り | もみ合い→ MACD- RSI:44.5 前日比:+0.9% [安値圏] [10点]</v>
      </c>
    </row>
    <row r="134" spans="1:26">
      <c r="A134" s="230">
        <f>IF(売分析!C134&lt;&gt;"",ROW()-2,"")</f>
        <v>132</v>
      </c>
      <c r="B134" s="357" t="str">
        <f>IF(売分析!C134&lt;&gt;"",HYPERLINK("https://kabutan.jp/stock/?code="&amp;売分析!C134,"株探"),"")</f>
        <v>株探</v>
      </c>
      <c r="C134" s="366">
        <f>IF(売分析!C134&lt;&gt;"",売分析!C134,"")</f>
        <v>9551</v>
      </c>
      <c r="D134" s="230" t="str">
        <f>IF(売分析!D134&lt;&gt;"",売分析!D134,"")</f>
        <v>メタウォーター</v>
      </c>
      <c r="E134" s="358">
        <f>IF(売分析!E134&lt;&gt;"",売分析!E134,"")</f>
        <v>3410</v>
      </c>
      <c r="F134" s="358">
        <f>IF(売分析!F134&lt;&gt;"",売分析!F134,"")</f>
        <v>3365</v>
      </c>
      <c r="G134" s="358">
        <f>IF(売分析!H134&lt;&gt;"",売分析!H134,"")</f>
        <v>3435</v>
      </c>
      <c r="H134" s="358">
        <f>IF(売分析!I134&lt;&gt;"",売分析!I134,"")</f>
        <v>3350</v>
      </c>
      <c r="I134" s="230">
        <f>IF(売分析!J134&lt;&gt;"",売分析!J134,"")</f>
        <v>90900</v>
      </c>
      <c r="J134" s="358">
        <f>IF(売分析!AB134&lt;&gt;"",売分析!AB134,"")</f>
        <v>3292.3559907834097</v>
      </c>
      <c r="K134" s="358">
        <f>IF(売分析!AC134&lt;&gt;"",売分析!AC134,"")</f>
        <v>3284.350417163289</v>
      </c>
      <c r="L134" s="358">
        <f>IF(売分析!K134&lt;&gt;"",売分析!K134,"")</f>
        <v>4220</v>
      </c>
      <c r="M134" s="230" t="str">
        <f>IF(売分析!P134&lt;&gt;"",売分析!P134,"")</f>
        <v>減少↓</v>
      </c>
      <c r="N134" s="360">
        <f>IF(売分析!O134&lt;&gt;"",売分析!O134,"")</f>
        <v>0.83180819912152271</v>
      </c>
      <c r="O134" s="362">
        <f>IF(売分析!X134&lt;&gt;"",売分析!X134,"")</f>
        <v>-5.6604965789542803</v>
      </c>
      <c r="P134" s="359">
        <f>IF(売分析!L134&lt;&gt;"",売分析!L134,"")</f>
        <v>-19.194312796208532</v>
      </c>
      <c r="Q134" s="358">
        <f>IF(売分析!S134&lt;&gt;"",売分析!S134,"")</f>
        <v>3546</v>
      </c>
      <c r="R134" s="358">
        <f>IF(売分析!R134&lt;&gt;"",売分析!R134,"")</f>
        <v>3137</v>
      </c>
      <c r="S134" s="230" t="str">
        <f>IF(売分析!AA134&lt;&gt;"",売分析!AA134,"")</f>
        <v>上昇▲</v>
      </c>
      <c r="T134" s="363">
        <f>IF(売分析!Z134&lt;&gt;"",売分析!Z134,"")</f>
        <v>2.0958083832335328</v>
      </c>
      <c r="U134" s="230" t="str">
        <f>IF(売分析!V134&lt;&gt;"",売分析!V134,"")</f>
        <v>通常</v>
      </c>
      <c r="V134" s="361">
        <f>IF(売分析!W134&lt;&gt;"",売分析!W134,"")</f>
        <v>52.941176470588232</v>
      </c>
      <c r="W134" s="230" t="str">
        <f>IF(売分析!AD134&lt;&gt;"",売分析!AD134,"")</f>
        <v>パーフェクト▲</v>
      </c>
      <c r="X134" s="230" t="str">
        <f>IF(売分析!AE134&lt;&gt;"",売分析!AE134,"")</f>
        <v>なし</v>
      </c>
      <c r="Y134" s="428">
        <f>IF(売分析!T134&lt;&gt;"",売分析!T134,"")</f>
        <v>5</v>
      </c>
      <c r="Z134" s="230" t="str">
        <f>IF(売分析!Y134&lt;&gt;"",売分析!Y134,"")</f>
        <v>相場上昇・見送り | パーフェクト▲ MACD- RSI:52.9 前日比:+2.1% [5点]</v>
      </c>
    </row>
    <row r="135" spans="1:26">
      <c r="A135" s="350">
        <f>IF(売分析!C135&lt;&gt;"",ROW()-2,"")</f>
        <v>133</v>
      </c>
      <c r="B135" s="349" t="str">
        <f>IF(売分析!C135&lt;&gt;"",HYPERLINK("https://kabutan.jp/stock/?code="&amp;売分析!C135,"株探"),"")</f>
        <v>株探</v>
      </c>
      <c r="C135" s="365">
        <f>IF(売分析!C135&lt;&gt;"",売分析!C135,"")</f>
        <v>2359</v>
      </c>
      <c r="D135" s="350" t="str">
        <f>IF(売分析!D135&lt;&gt;"",売分析!D135,"")</f>
        <v>コア</v>
      </c>
      <c r="E135" s="351">
        <f>IF(売分析!E135&lt;&gt;"",売分析!E135,"")</f>
        <v>2020</v>
      </c>
      <c r="F135" s="351">
        <f>IF(売分析!F135&lt;&gt;"",売分析!F135,"")</f>
        <v>2010</v>
      </c>
      <c r="G135" s="351">
        <f>IF(売分析!H135&lt;&gt;"",売分析!H135,"")</f>
        <v>2030</v>
      </c>
      <c r="H135" s="351">
        <f>IF(売分析!I135&lt;&gt;"",売分析!I135,"")</f>
        <v>2007</v>
      </c>
      <c r="I135" s="350">
        <f>IF(売分析!J135&lt;&gt;"",売分析!J135,"")</f>
        <v>13800</v>
      </c>
      <c r="J135" s="351">
        <f>IF(売分析!AB135&lt;&gt;"",売分析!AB135,"")</f>
        <v>2011.978110599078</v>
      </c>
      <c r="K135" s="351">
        <f>IF(売分析!AC135&lt;&gt;"",売分析!AC135,"")</f>
        <v>2038.319427890345</v>
      </c>
      <c r="L135" s="351">
        <f>IF(売分析!K135&lt;&gt;"",売分析!K135,"")</f>
        <v>2348</v>
      </c>
      <c r="M135" s="350" t="str">
        <f>IF(売分析!P135&lt;&gt;"",売分析!P135,"")</f>
        <v>減少↓</v>
      </c>
      <c r="N135" s="353">
        <f>IF(売分析!O135&lt;&gt;"",売分析!O135,"")</f>
        <v>0.71949947862356622</v>
      </c>
      <c r="O135" s="355">
        <f>IF(売分析!X135&lt;&gt;"",売分析!X135,"")</f>
        <v>-7.3144257062003817</v>
      </c>
      <c r="P135" s="352">
        <f>IF(売分析!L135&lt;&gt;"",売分析!L135,"")</f>
        <v>-13.969335604770016</v>
      </c>
      <c r="Q135" s="351">
        <f>IF(売分析!S135&lt;&gt;"",売分析!S135,"")</f>
        <v>2101</v>
      </c>
      <c r="R135" s="351">
        <f>IF(売分析!R135&lt;&gt;"",売分析!R135,"")</f>
        <v>1858</v>
      </c>
      <c r="S135" s="350" t="str">
        <f>IF(売分析!AA135&lt;&gt;"",売分析!AA135,"")</f>
        <v>上昇▲</v>
      </c>
      <c r="T135" s="356">
        <f>IF(売分析!Z135&lt;&gt;"",売分析!Z135,"")</f>
        <v>0.74812967581047385</v>
      </c>
      <c r="U135" s="350" t="str">
        <f>IF(売分析!V135&lt;&gt;"",売分析!V135,"")</f>
        <v>通常</v>
      </c>
      <c r="V135" s="354">
        <f>IF(売分析!W135&lt;&gt;"",売分析!W135,"")</f>
        <v>35.646687697160885</v>
      </c>
      <c r="W135" s="350" t="str">
        <f>IF(売分析!AD135&lt;&gt;"",売分析!AD135,"")</f>
        <v>もみ合い→</v>
      </c>
      <c r="X135" s="350" t="str">
        <f>IF(売分析!AE135&lt;&gt;"",売分析!AE135,"")</f>
        <v>25日戻り売り★</v>
      </c>
      <c r="Y135" s="427">
        <f>IF(売分析!T135&lt;&gt;"",売分析!T135,"")</f>
        <v>6</v>
      </c>
      <c r="Z135" s="350" t="str">
        <f>IF(売分析!Y135&lt;&gt;"",売分析!Y135,"")</f>
        <v>○逆張り売り | もみ合い→ 25日戻り売り★ MACD- RSI:35.6 前日比:+0.7%前日[長い下ヒゲ(反発)] [6点]</v>
      </c>
    </row>
    <row r="136" spans="1:26">
      <c r="A136" s="230">
        <f>IF(売分析!C136&lt;&gt;"",ROW()-2,"")</f>
        <v>134</v>
      </c>
      <c r="B136" s="357" t="str">
        <f>IF(売分析!C136&lt;&gt;"",HYPERLINK("https://kabutan.jp/stock/?code="&amp;売分析!C136,"株探"),"")</f>
        <v>株探</v>
      </c>
      <c r="C136" s="366">
        <f>IF(売分析!C136&lt;&gt;"",売分析!C136,"")</f>
        <v>8103</v>
      </c>
      <c r="D136" s="230" t="str">
        <f>IF(売分析!D136&lt;&gt;"",売分析!D136,"")</f>
        <v>明和産業</v>
      </c>
      <c r="E136" s="358">
        <f>IF(売分析!E136&lt;&gt;"",売分析!E136,"")</f>
        <v>873</v>
      </c>
      <c r="F136" s="358">
        <f>IF(売分析!F136&lt;&gt;"",売分析!F136,"")</f>
        <v>876</v>
      </c>
      <c r="G136" s="358">
        <f>IF(売分析!H136&lt;&gt;"",売分析!H136,"")</f>
        <v>886</v>
      </c>
      <c r="H136" s="358">
        <f>IF(売分析!I136&lt;&gt;"",売分析!I136,"")</f>
        <v>872</v>
      </c>
      <c r="I136" s="230">
        <f>IF(売分析!J136&lt;&gt;"",売分析!J136,"")</f>
        <v>141300</v>
      </c>
      <c r="J136" s="358">
        <f>IF(売分析!AB136&lt;&gt;"",売分析!AB136,"")</f>
        <v>870.31221198156675</v>
      </c>
      <c r="K136" s="358">
        <f>IF(売分析!AC136&lt;&gt;"",売分析!AC136,"")</f>
        <v>879.85458879618545</v>
      </c>
      <c r="L136" s="358">
        <f>IF(売分析!K136&lt;&gt;"",売分析!K136,"")</f>
        <v>1041</v>
      </c>
      <c r="M136" s="230" t="str">
        <f>IF(売分析!P136&lt;&gt;"",売分析!P136,"")</f>
        <v>減少↓</v>
      </c>
      <c r="N136" s="360">
        <f>IF(売分析!O136&lt;&gt;"",売分析!O136,"")</f>
        <v>0.56456768419370307</v>
      </c>
      <c r="O136" s="362">
        <f>IF(売分析!X136&lt;&gt;"",売分析!X136,"")</f>
        <v>-3.4961689865025392</v>
      </c>
      <c r="P136" s="359">
        <f>IF(売分析!L136&lt;&gt;"",売分析!L136,"")</f>
        <v>-16.138328530259365</v>
      </c>
      <c r="Q136" s="358">
        <f>IF(売分析!S136&lt;&gt;"",売分析!S136,"")</f>
        <v>908</v>
      </c>
      <c r="R136" s="358">
        <f>IF(売分析!R136&lt;&gt;"",売分析!R136,"")</f>
        <v>803</v>
      </c>
      <c r="S136" s="230" t="str">
        <f>IF(売分析!AA136&lt;&gt;"",売分析!AA136,"")</f>
        <v>上昇▲</v>
      </c>
      <c r="T136" s="363">
        <f>IF(売分析!Z136&lt;&gt;"",売分析!Z136,"")</f>
        <v>0.11467889908256881</v>
      </c>
      <c r="U136" s="230" t="str">
        <f>IF(売分析!V136&lt;&gt;"",売分析!V136,"")</f>
        <v>通常</v>
      </c>
      <c r="V136" s="361">
        <f>IF(売分析!W136&lt;&gt;"",売分析!W136,"")</f>
        <v>29.411764705882362</v>
      </c>
      <c r="W136" s="230" t="str">
        <f>IF(売分析!AD136&lt;&gt;"",売分析!AD136,"")</f>
        <v>もみ合い→</v>
      </c>
      <c r="X136" s="230" t="str">
        <f>IF(売分析!AE136&lt;&gt;"",売分析!AE136,"")</f>
        <v>25日戻り売り★</v>
      </c>
      <c r="Y136" s="428">
        <f>IF(売分析!T136&lt;&gt;"",売分析!T136,"")</f>
        <v>9</v>
      </c>
      <c r="Z136" s="230" t="str">
        <f>IF(売分析!Y136&lt;&gt;"",売分析!Y136,"")</f>
        <v>○逆張り売り | もみ合い→ 25日戻り売り★ MACD- RSI:29.4 [売られ過ぎ] 前日比:+0.1% [上ヒゲ陰線▼]前日[長い下ヒゲ(反発)] [9点]</v>
      </c>
    </row>
    <row r="137" spans="1:26">
      <c r="A137" s="350">
        <f>IF(売分析!C137&lt;&gt;"",ROW()-2,"")</f>
        <v>135</v>
      </c>
      <c r="B137" s="349" t="str">
        <f>IF(売分析!C137&lt;&gt;"",HYPERLINK("https://kabutan.jp/stock/?code="&amp;売分析!C137,"株探"),"")</f>
        <v>株探</v>
      </c>
      <c r="C137" s="365">
        <f>IF(売分析!C137&lt;&gt;"",売分析!C137,"")</f>
        <v>7236</v>
      </c>
      <c r="D137" s="350" t="str">
        <f>IF(売分析!D137&lt;&gt;"",売分析!D137,"")</f>
        <v>ティラド</v>
      </c>
      <c r="E137" s="351">
        <f>IF(売分析!E137&lt;&gt;"",売分析!E137,"")</f>
        <v>14250</v>
      </c>
      <c r="F137" s="351">
        <f>IF(売分析!F137&lt;&gt;"",売分析!F137,"")</f>
        <v>14220</v>
      </c>
      <c r="G137" s="351">
        <f>IF(売分析!H137&lt;&gt;"",売分析!H137,"")</f>
        <v>14520</v>
      </c>
      <c r="H137" s="351">
        <f>IF(売分析!I137&lt;&gt;"",売分析!I137,"")</f>
        <v>14110</v>
      </c>
      <c r="I137" s="350">
        <f>IF(売分析!J137&lt;&gt;"",売分析!J137,"")</f>
        <v>27800</v>
      </c>
      <c r="J137" s="351">
        <f>IF(売分析!AB137&lt;&gt;"",売分析!AB137,"")</f>
        <v>14187.649769585252</v>
      </c>
      <c r="K137" s="351">
        <f>IF(売分析!AC137&lt;&gt;"",売分析!AC137,"")</f>
        <v>14394.934445768768</v>
      </c>
      <c r="L137" s="351">
        <f>IF(売分析!K137&lt;&gt;"",売分析!K137,"")</f>
        <v>15900</v>
      </c>
      <c r="M137" s="350" t="str">
        <f>IF(売分析!P137&lt;&gt;"",売分析!P137,"")</f>
        <v>減少↓</v>
      </c>
      <c r="N137" s="353">
        <f>IF(売分析!O137&lt;&gt;"",売分析!O137,"")</f>
        <v>0.84652862362971981</v>
      </c>
      <c r="O137" s="355">
        <f>IF(売分析!X137&lt;&gt;"",売分析!X137,"")</f>
        <v>-55.834165873926395</v>
      </c>
      <c r="P137" s="352">
        <f>IF(売分析!L137&lt;&gt;"",売分析!L137,"")</f>
        <v>-10.377358490566039</v>
      </c>
      <c r="Q137" s="351">
        <f>IF(売分析!S137&lt;&gt;"",売分析!S137,"")</f>
        <v>14820</v>
      </c>
      <c r="R137" s="351">
        <f>IF(売分析!R137&lt;&gt;"",売分析!R137,"")</f>
        <v>13110</v>
      </c>
      <c r="S137" s="350" t="str">
        <f>IF(売分析!AA137&lt;&gt;"",売分析!AA137,"")</f>
        <v>上昇▲</v>
      </c>
      <c r="T137" s="356">
        <f>IF(売分析!Z137&lt;&gt;"",売分析!Z137,"")</f>
        <v>0.14054813773717498</v>
      </c>
      <c r="U137" s="350" t="str">
        <f>IF(売分析!V137&lt;&gt;"",売分析!V137,"")</f>
        <v>通常</v>
      </c>
      <c r="V137" s="354">
        <f>IF(売分析!W137&lt;&gt;"",売分析!W137,"")</f>
        <v>34.526854219948845</v>
      </c>
      <c r="W137" s="350" t="str">
        <f>IF(売分析!AD137&lt;&gt;"",売分析!AD137,"")</f>
        <v>もみ合い→</v>
      </c>
      <c r="X137" s="350" t="str">
        <f>IF(売分析!AE137&lt;&gt;"",売分析!AE137,"")</f>
        <v>25日戻り売り★</v>
      </c>
      <c r="Y137" s="427">
        <f>IF(売分析!T137&lt;&gt;"",売分析!T137,"")</f>
        <v>8</v>
      </c>
      <c r="Z137" s="350" t="str">
        <f>IF(売分析!Y137&lt;&gt;"",売分析!Y137,"")</f>
        <v>○逆張り売り | もみ合い→ 25日戻り売り★ MACD- RSI:34.5 前日比:+0.1%前日[大陰線▼] [8点]</v>
      </c>
    </row>
    <row r="138" spans="1:26">
      <c r="A138" s="230">
        <f>IF(売分析!C138&lt;&gt;"",ROW()-2,"")</f>
        <v>136</v>
      </c>
      <c r="B138" s="357" t="str">
        <f>IF(売分析!C138&lt;&gt;"",HYPERLINK("https://kabutan.jp/stock/?code="&amp;売分析!C138,"株探"),"")</f>
        <v>株探</v>
      </c>
      <c r="C138" s="366">
        <f>IF(売分析!C138&lt;&gt;"",売分析!C138,"")</f>
        <v>5243</v>
      </c>
      <c r="D138" s="230" t="str">
        <f>IF(売分析!D138&lt;&gt;"",売分析!D138,"")</f>
        <v>ＮＯＴＥ</v>
      </c>
      <c r="E138" s="358">
        <f>IF(売分析!E138&lt;&gt;"",売分析!E138,"")</f>
        <v>1821</v>
      </c>
      <c r="F138" s="358">
        <f>IF(売分析!F138&lt;&gt;"",売分析!F138,"")</f>
        <v>1749</v>
      </c>
      <c r="G138" s="358">
        <f>IF(売分析!H138&lt;&gt;"",売分析!H138,"")</f>
        <v>1855</v>
      </c>
      <c r="H138" s="358">
        <f>IF(売分析!I138&lt;&gt;"",売分析!I138,"")</f>
        <v>1720</v>
      </c>
      <c r="I138" s="230">
        <f>IF(売分析!J138&lt;&gt;"",売分析!J138,"")</f>
        <v>265800</v>
      </c>
      <c r="J138" s="358">
        <f>IF(売分析!AB138&lt;&gt;"",売分析!AB138,"")</f>
        <v>1742.1451612903224</v>
      </c>
      <c r="K138" s="358">
        <f>IF(売分析!AC138&lt;&gt;"",売分析!AC138,"")</f>
        <v>1905.5685339690094</v>
      </c>
      <c r="L138" s="358">
        <f>IF(売分析!K138&lt;&gt;"",売分析!K138,"")</f>
        <v>3405</v>
      </c>
      <c r="M138" s="230" t="str">
        <f>IF(売分析!P138&lt;&gt;"",売分析!P138,"")</f>
        <v>普通→</v>
      </c>
      <c r="N138" s="360">
        <f>IF(売分析!O138&lt;&gt;"",売分析!O138,"")</f>
        <v>1.3153206650831355</v>
      </c>
      <c r="O138" s="362">
        <f>IF(売分析!X138&lt;&gt;"",売分析!X138,"")</f>
        <v>-66.329091024879745</v>
      </c>
      <c r="P138" s="359">
        <f>IF(売分析!L138&lt;&gt;"",売分析!L138,"")</f>
        <v>-46.519823788546255</v>
      </c>
      <c r="Q138" s="358">
        <f>IF(売分析!S138&lt;&gt;"",売分析!S138,"")</f>
        <v>1894</v>
      </c>
      <c r="R138" s="358">
        <f>IF(売分析!R138&lt;&gt;"",売分析!R138,"")</f>
        <v>1675</v>
      </c>
      <c r="S138" s="230" t="str">
        <f>IF(売分析!AA138&lt;&gt;"",売分析!AA138,"")</f>
        <v>上昇▲</v>
      </c>
      <c r="T138" s="363">
        <f>IF(売分析!Z138&lt;&gt;"",売分析!Z138,"")</f>
        <v>5.3819444444444446</v>
      </c>
      <c r="U138" s="230" t="str">
        <f>IF(売分析!V138&lt;&gt;"",売分析!V138,"")</f>
        <v>年初来安値圏●</v>
      </c>
      <c r="V138" s="361">
        <f>IF(売分析!W138&lt;&gt;"",売分析!W138,"")</f>
        <v>20.129032258064512</v>
      </c>
      <c r="W138" s="230" t="str">
        <f>IF(売分析!AD138&lt;&gt;"",売分析!AD138,"")</f>
        <v>もみ合い→</v>
      </c>
      <c r="X138" s="230" t="str">
        <f>IF(売分析!AE138&lt;&gt;"",売分析!AE138,"")</f>
        <v>なし</v>
      </c>
      <c r="Y138" s="428">
        <f>IF(売分析!T138&lt;&gt;"",売分析!T138,"")</f>
        <v>11</v>
      </c>
      <c r="Z138" s="230" t="str">
        <f>IF(売分析!Y138&lt;&gt;"",売分析!Y138,"")</f>
        <v>相場上昇・見送り | もみ合い→ MACD- RSI:20.1 [売られ過ぎ] 前日比:+5.4% [年初来安値圏] [11点]</v>
      </c>
    </row>
    <row r="139" spans="1:26">
      <c r="A139" s="350">
        <f>IF(売分析!C139&lt;&gt;"",ROW()-2,"")</f>
        <v>137</v>
      </c>
      <c r="B139" s="349" t="str">
        <f>IF(売分析!C139&lt;&gt;"",HYPERLINK("https://kabutan.jp/stock/?code="&amp;売分析!C139,"株探"),"")</f>
        <v>株探</v>
      </c>
      <c r="C139" s="365">
        <f>IF(売分析!C139&lt;&gt;"",売分析!C139,"")</f>
        <v>6701</v>
      </c>
      <c r="D139" s="350" t="str">
        <f>IF(売分析!D139&lt;&gt;"",売分析!D139,"")</f>
        <v>日本電気</v>
      </c>
      <c r="E139" s="351">
        <f>IF(売分析!E139&lt;&gt;"",売分析!E139,"")</f>
        <v>3852</v>
      </c>
      <c r="F139" s="351">
        <f>IF(売分析!F139&lt;&gt;"",売分析!F139,"")</f>
        <v>3877</v>
      </c>
      <c r="G139" s="351">
        <f>IF(売分析!H139&lt;&gt;"",売分析!H139,"")</f>
        <v>3891</v>
      </c>
      <c r="H139" s="351">
        <f>IF(売分析!I139&lt;&gt;"",売分析!I139,"")</f>
        <v>3796</v>
      </c>
      <c r="I139" s="350">
        <f>IF(売分析!J139&lt;&gt;"",売分析!J139,"")</f>
        <v>5022300</v>
      </c>
      <c r="J139" s="351">
        <f>IF(売分析!AB139&lt;&gt;"",売分析!AB139,"")</f>
        <v>3884.7304147465438</v>
      </c>
      <c r="K139" s="351">
        <f>IF(売分析!AC139&lt;&gt;"",売分析!AC139,"")</f>
        <v>4080.7628128724659</v>
      </c>
      <c r="L139" s="351">
        <f>IF(売分析!K139&lt;&gt;"",売分析!K139,"")</f>
        <v>6036</v>
      </c>
      <c r="M139" s="350" t="str">
        <f>IF(売分析!P139&lt;&gt;"",売分析!P139,"")</f>
        <v>減少↓</v>
      </c>
      <c r="N139" s="353">
        <f>IF(売分析!O139&lt;&gt;"",売分析!O139,"")</f>
        <v>0.78142795795291176</v>
      </c>
      <c r="O139" s="355">
        <f>IF(売分析!X139&lt;&gt;"",売分析!X139,"")</f>
        <v>-22.131187833098465</v>
      </c>
      <c r="P139" s="352">
        <f>IF(売分析!L139&lt;&gt;"",売分析!L139,"")</f>
        <v>-36.182902584493043</v>
      </c>
      <c r="Q139" s="351">
        <f>IF(売分析!S139&lt;&gt;"",売分析!S139,"")</f>
        <v>4006</v>
      </c>
      <c r="R139" s="351">
        <f>IF(売分析!R139&lt;&gt;"",売分析!R139,"")</f>
        <v>3544</v>
      </c>
      <c r="S139" s="350" t="str">
        <f>IF(売分析!AA139&lt;&gt;"",売分析!AA139,"")</f>
        <v>上昇▲</v>
      </c>
      <c r="T139" s="356">
        <f>IF(売分析!Z139&lt;&gt;"",売分析!Z139,"")</f>
        <v>7.7942322681215898E-2</v>
      </c>
      <c r="U139" s="350" t="str">
        <f>IF(売分析!V139&lt;&gt;"",売分析!V139,"")</f>
        <v>安値圏</v>
      </c>
      <c r="V139" s="354">
        <f>IF(売分析!W139&lt;&gt;"",売分析!W139,"")</f>
        <v>38.221814848762605</v>
      </c>
      <c r="W139" s="350" t="str">
        <f>IF(売分析!AD139&lt;&gt;"",売分析!AD139,"")</f>
        <v>下降トレンド▼</v>
      </c>
      <c r="X139" s="350" t="str">
        <f>IF(売分析!AE139&lt;&gt;"",売分析!AE139,"")</f>
        <v>5日戻り売り○</v>
      </c>
      <c r="Y139" s="427">
        <f>IF(売分析!T139&lt;&gt;"",売分析!T139,"")</f>
        <v>11</v>
      </c>
      <c r="Z139" s="350" t="str">
        <f>IF(売分析!Y139&lt;&gt;"",売分析!Y139,"")</f>
        <v>★逆張り売り | 下降トレンド▼ 5日戻り売り○ MACD- RSI:38.2 前日比:+0.1% [安値圏] [長い下ヒゲ(反発警戒)] [11点]</v>
      </c>
    </row>
    <row r="140" spans="1:26">
      <c r="A140" s="230">
        <f>IF(売分析!C140&lt;&gt;"",ROW()-2,"")</f>
        <v>138</v>
      </c>
      <c r="B140" s="357" t="str">
        <f>IF(売分析!C140&lt;&gt;"",HYPERLINK("https://kabutan.jp/stock/?code="&amp;売分析!C140,"株探"),"")</f>
        <v>株探</v>
      </c>
      <c r="C140" s="366">
        <f>IF(売分析!C140&lt;&gt;"",売分析!C140,"")</f>
        <v>5019</v>
      </c>
      <c r="D140" s="230" t="str">
        <f>IF(売分析!D140&lt;&gt;"",売分析!D140,"")</f>
        <v>出光興産</v>
      </c>
      <c r="E140" s="358">
        <f>IF(売分析!E140&lt;&gt;"",売分析!E140,"")</f>
        <v>1284.5</v>
      </c>
      <c r="F140" s="358">
        <f>IF(売分析!F140&lt;&gt;"",売分析!F140,"")</f>
        <v>1284.5</v>
      </c>
      <c r="G140" s="358">
        <f>IF(売分析!H140&lt;&gt;"",売分析!H140,"")</f>
        <v>1293</v>
      </c>
      <c r="H140" s="358">
        <f>IF(売分析!I140&lt;&gt;"",売分析!I140,"")</f>
        <v>1251</v>
      </c>
      <c r="I140" s="230">
        <f>IF(売分析!J140&lt;&gt;"",売分析!J140,"")</f>
        <v>4040400</v>
      </c>
      <c r="J140" s="358">
        <f>IF(売分析!AB140&lt;&gt;"",売分析!AB140,"")</f>
        <v>1300.780529953917</v>
      </c>
      <c r="K140" s="358">
        <f>IF(売分析!AC140&lt;&gt;"",売分析!AC140,"")</f>
        <v>1344.7485101311077</v>
      </c>
      <c r="L140" s="358">
        <f>IF(売分析!K140&lt;&gt;"",売分析!K140,"")</f>
        <v>1671</v>
      </c>
      <c r="M140" s="230" t="str">
        <f>IF(売分析!P140&lt;&gt;"",売分析!P140,"")</f>
        <v>減少↓</v>
      </c>
      <c r="N140" s="360">
        <f>IF(売分析!O140&lt;&gt;"",売分析!O140,"")</f>
        <v>0.98736107445529453</v>
      </c>
      <c r="O140" s="362">
        <f>IF(売分析!X140&lt;&gt;"",売分析!X140,"")</f>
        <v>-3.862528309696927</v>
      </c>
      <c r="P140" s="359">
        <f>IF(売分析!L140&lt;&gt;"",売分析!L140,"")</f>
        <v>-23.129862357869538</v>
      </c>
      <c r="Q140" s="358">
        <f>IF(売分析!S140&lt;&gt;"",売分析!S140,"")</f>
        <v>1336</v>
      </c>
      <c r="R140" s="358">
        <f>IF(売分析!R140&lt;&gt;"",売分析!R140,"")</f>
        <v>1182</v>
      </c>
      <c r="S140" s="230" t="str">
        <f>IF(売分析!AA140&lt;&gt;"",売分析!AA140,"")</f>
        <v>下落▼</v>
      </c>
      <c r="T140" s="363">
        <f>IF(売分析!Z140&lt;&gt;"",売分析!Z140,"")</f>
        <v>-0.23300970873786409</v>
      </c>
      <c r="U140" s="230" t="str">
        <f>IF(売分析!V140&lt;&gt;"",売分析!V140,"")</f>
        <v>安値圏</v>
      </c>
      <c r="V140" s="361">
        <f>IF(売分析!W140&lt;&gt;"",売分析!W140,"")</f>
        <v>46.362339514978608</v>
      </c>
      <c r="W140" s="230" t="str">
        <f>IF(売分析!AD140&lt;&gt;"",売分析!AD140,"")</f>
        <v>下降トレンド▼</v>
      </c>
      <c r="X140" s="230" t="str">
        <f>IF(売分析!AE140&lt;&gt;"",売分析!AE140,"")</f>
        <v>なし</v>
      </c>
      <c r="Y140" s="428">
        <f>IF(売分析!T140&lt;&gt;"",売分析!T140,"")</f>
        <v>12</v>
      </c>
      <c r="Z140" s="230" t="str">
        <f>IF(売分析!Y140&lt;&gt;"",売分析!Y140,"")</f>
        <v>相場上昇・見送り | 下降トレンド▼ MACD- RSI:46.4 前日比:-0.2% [安値圏] [12点]</v>
      </c>
    </row>
    <row r="141" spans="1:26">
      <c r="A141" s="350">
        <f>IF(売分析!C141&lt;&gt;"",ROW()-2,"")</f>
        <v>139</v>
      </c>
      <c r="B141" s="349" t="str">
        <f>IF(売分析!C141&lt;&gt;"",HYPERLINK("https://kabutan.jp/stock/?code="&amp;売分析!C141,"株探"),"")</f>
        <v>株探</v>
      </c>
      <c r="C141" s="365">
        <f>IF(売分析!C141&lt;&gt;"",売分析!C141,"")</f>
        <v>5020</v>
      </c>
      <c r="D141" s="350" t="str">
        <f>IF(売分析!D141&lt;&gt;"",売分析!D141,"")</f>
        <v>ＥＮＥＯＳホールディングス</v>
      </c>
      <c r="E141" s="351">
        <f>IF(売分析!E141&lt;&gt;"",売分析!E141,"")</f>
        <v>1246.5</v>
      </c>
      <c r="F141" s="351">
        <f>IF(売分析!F141&lt;&gt;"",売分析!F141,"")</f>
        <v>1240</v>
      </c>
      <c r="G141" s="351">
        <f>IF(売分析!H141&lt;&gt;"",売分析!H141,"")</f>
        <v>1259</v>
      </c>
      <c r="H141" s="351">
        <f>IF(売分析!I141&lt;&gt;"",売分析!I141,"")</f>
        <v>1228.5</v>
      </c>
      <c r="I141" s="350">
        <f>IF(売分析!J141&lt;&gt;"",売分析!J141,"")</f>
        <v>6788300</v>
      </c>
      <c r="J141" s="351">
        <f>IF(売分析!AB141&lt;&gt;"",売分析!AB141,"")</f>
        <v>1237.5910138248848</v>
      </c>
      <c r="K141" s="351">
        <f>IF(売分析!AC141&lt;&gt;"",売分析!AC141,"")</f>
        <v>1273.5756853396897</v>
      </c>
      <c r="L141" s="351">
        <f>IF(売分析!K141&lt;&gt;"",売分析!K141,"")</f>
        <v>1552.5</v>
      </c>
      <c r="M141" s="350" t="str">
        <f>IF(売分析!P141&lt;&gt;"",売分析!P141,"")</f>
        <v>減少↓</v>
      </c>
      <c r="N141" s="353">
        <f>IF(売分析!O141&lt;&gt;"",売分析!O141,"")</f>
        <v>0.7905948066226276</v>
      </c>
      <c r="O141" s="355">
        <f>IF(売分析!X141&lt;&gt;"",売分析!X141,"")</f>
        <v>-10.834497231719524</v>
      </c>
      <c r="P141" s="352">
        <f>IF(売分析!L141&lt;&gt;"",売分析!L141,"")</f>
        <v>-19.710144927536234</v>
      </c>
      <c r="Q141" s="351">
        <f>IF(売分析!S141&lt;&gt;"",売分析!S141,"")</f>
        <v>1296</v>
      </c>
      <c r="R141" s="351">
        <f>IF(売分析!R141&lt;&gt;"",売分析!R141,"")</f>
        <v>1147</v>
      </c>
      <c r="S141" s="350" t="str">
        <f>IF(売分析!AA141&lt;&gt;"",売分析!AA141,"")</f>
        <v>上昇▲</v>
      </c>
      <c r="T141" s="356">
        <f>IF(売分析!Z141&lt;&gt;"",売分析!Z141,"")</f>
        <v>0.44319097502014509</v>
      </c>
      <c r="U141" s="350" t="str">
        <f>IF(売分析!V141&lt;&gt;"",売分析!V141,"")</f>
        <v>通常</v>
      </c>
      <c r="V141" s="354">
        <f>IF(売分析!W141&lt;&gt;"",売分析!W141,"")</f>
        <v>41.32379248658318</v>
      </c>
      <c r="W141" s="350" t="str">
        <f>IF(売分析!AD141&lt;&gt;"",売分析!AD141,"")</f>
        <v>もみ合い→</v>
      </c>
      <c r="X141" s="350" t="str">
        <f>IF(売分析!AE141&lt;&gt;"",売分析!AE141,"")</f>
        <v>なし</v>
      </c>
      <c r="Y141" s="427">
        <f>IF(売分析!T141&lt;&gt;"",売分析!T141,"")</f>
        <v>7</v>
      </c>
      <c r="Z141" s="350" t="str">
        <f>IF(売分析!Y141&lt;&gt;"",売分析!Y141,"")</f>
        <v>相場上昇・見送り | もみ合い→ MACD- RSI:41.3 前日比:+0.4% [7点]</v>
      </c>
    </row>
    <row r="142" spans="1:26">
      <c r="A142" s="230">
        <f>IF(売分析!C142&lt;&gt;"",ROW()-2,"")</f>
        <v>140</v>
      </c>
      <c r="B142" s="357" t="str">
        <f>IF(売分析!C142&lt;&gt;"",HYPERLINK("https://kabutan.jp/stock/?code="&amp;売分析!C142,"株探"),"")</f>
        <v>株探</v>
      </c>
      <c r="C142" s="366">
        <f>IF(売分析!C142&lt;&gt;"",売分析!C142,"")</f>
        <v>3941</v>
      </c>
      <c r="D142" s="230" t="str">
        <f>IF(売分析!D142&lt;&gt;"",売分析!D142,"")</f>
        <v>レンゴー</v>
      </c>
      <c r="E142" s="358">
        <f>IF(売分析!E142&lt;&gt;"",売分析!E142,"")</f>
        <v>1408</v>
      </c>
      <c r="F142" s="358">
        <f>IF(売分析!F142&lt;&gt;"",売分析!F142,"")</f>
        <v>1416.5</v>
      </c>
      <c r="G142" s="358">
        <f>IF(売分析!H142&lt;&gt;"",売分析!H142,"")</f>
        <v>1429</v>
      </c>
      <c r="H142" s="358">
        <f>IF(売分析!I142&lt;&gt;"",売分析!I142,"")</f>
        <v>1400</v>
      </c>
      <c r="I142" s="230">
        <f>IF(売分析!J142&lt;&gt;"",売分析!J142,"")</f>
        <v>825300</v>
      </c>
      <c r="J142" s="358">
        <f>IF(売分析!AB142&lt;&gt;"",売分析!AB142,"")</f>
        <v>1399.5887096774193</v>
      </c>
      <c r="K142" s="358">
        <f>IF(売分析!AC142&lt;&gt;"",売分析!AC142,"")</f>
        <v>1391.4791418355182</v>
      </c>
      <c r="L142" s="358">
        <f>IF(売分析!K142&lt;&gt;"",売分析!K142,"")</f>
        <v>1565</v>
      </c>
      <c r="M142" s="230" t="str">
        <f>IF(売分析!P142&lt;&gt;"",売分析!P142,"")</f>
        <v>普通→</v>
      </c>
      <c r="N142" s="360">
        <f>IF(売分析!O142&lt;&gt;"",売分析!O142,"")</f>
        <v>1.0278220583839792</v>
      </c>
      <c r="O142" s="362">
        <f>IF(売分析!X142&lt;&gt;"",売分析!X142,"")</f>
        <v>1.6214291969010901</v>
      </c>
      <c r="P142" s="359">
        <f>IF(売分析!L142&lt;&gt;"",売分析!L142,"")</f>
        <v>-10.031948881789138</v>
      </c>
      <c r="Q142" s="358">
        <f>IF(売分析!S142&lt;&gt;"",売分析!S142,"")</f>
        <v>1464</v>
      </c>
      <c r="R142" s="358">
        <f>IF(売分析!R142&lt;&gt;"",売分析!R142,"")</f>
        <v>1295</v>
      </c>
      <c r="S142" s="230" t="str">
        <f>IF(売分析!AA142&lt;&gt;"",売分析!AA142,"")</f>
        <v>下落▼</v>
      </c>
      <c r="T142" s="363">
        <f>IF(売分析!Z142&lt;&gt;"",売分析!Z142,"")</f>
        <v>-0.35385704175513089</v>
      </c>
      <c r="U142" s="230" t="str">
        <f>IF(売分析!V142&lt;&gt;"",売分析!V142,"")</f>
        <v>通常</v>
      </c>
      <c r="V142" s="361">
        <f>IF(売分析!W142&lt;&gt;"",売分析!W142,"")</f>
        <v>55.2</v>
      </c>
      <c r="W142" s="230" t="str">
        <f>IF(売分析!AD142&lt;&gt;"",売分析!AD142,"")</f>
        <v>パーフェクト▲</v>
      </c>
      <c r="X142" s="230" t="str">
        <f>IF(売分析!AE142&lt;&gt;"",売分析!AE142,"")</f>
        <v>なし</v>
      </c>
      <c r="Y142" s="428">
        <f>IF(売分析!T142&lt;&gt;"",売分析!T142,"")</f>
        <v>1</v>
      </c>
      <c r="Z142" s="230" t="str">
        <f>IF(売分析!Y142&lt;&gt;"",売分析!Y142,"")</f>
        <v>相場上昇・見送り | パーフェクト▲ MACD+ RSI:55.2 前日比:-0.4%前日[長い下ヒゲ(反発)] [1点]</v>
      </c>
    </row>
    <row r="143" spans="1:26">
      <c r="A143" s="350">
        <f>IF(売分析!C143&lt;&gt;"",ROW()-2,"")</f>
        <v>141</v>
      </c>
      <c r="B143" s="349" t="str">
        <f>IF(売分析!C143&lt;&gt;"",HYPERLINK("https://kabutan.jp/stock/?code="&amp;売分析!C143,"株探"),"")</f>
        <v>株探</v>
      </c>
      <c r="C143" s="365">
        <f>IF(売分析!C143&lt;&gt;"",売分析!C143,"")</f>
        <v>3003</v>
      </c>
      <c r="D143" s="350" t="str">
        <f>IF(売分析!D143&lt;&gt;"",売分析!D143,"")</f>
        <v>ヒューリック</v>
      </c>
      <c r="E143" s="351">
        <f>IF(売分析!E143&lt;&gt;"",売分析!E143,"")</f>
        <v>1716</v>
      </c>
      <c r="F143" s="351">
        <f>IF(売分析!F143&lt;&gt;"",売分析!F143,"")</f>
        <v>1733</v>
      </c>
      <c r="G143" s="351">
        <f>IF(売分析!H143&lt;&gt;"",売分析!H143,"")</f>
        <v>1733</v>
      </c>
      <c r="H143" s="351">
        <f>IF(売分析!I143&lt;&gt;"",売分析!I143,"")</f>
        <v>1702.5</v>
      </c>
      <c r="I143" s="350">
        <f>IF(売分析!J143&lt;&gt;"",売分析!J143,"")</f>
        <v>1869700</v>
      </c>
      <c r="J143" s="351">
        <f>IF(売分析!AB143&lt;&gt;"",売分析!AB143,"")</f>
        <v>1716.1802995391704</v>
      </c>
      <c r="K143" s="351">
        <f>IF(売分析!AC143&lt;&gt;"",売分析!AC143,"")</f>
        <v>1697.7294398092961</v>
      </c>
      <c r="L143" s="351">
        <f>IF(売分析!K143&lt;&gt;"",売分析!K143,"")</f>
        <v>2094</v>
      </c>
      <c r="M143" s="350" t="str">
        <f>IF(売分析!P143&lt;&gt;"",売分析!P143,"")</f>
        <v>減少↓</v>
      </c>
      <c r="N143" s="353">
        <f>IF(売分析!O143&lt;&gt;"",売分析!O143,"")</f>
        <v>0.59462399104422548</v>
      </c>
      <c r="O143" s="355">
        <f>IF(売分析!X143&lt;&gt;"",売分析!X143,"")</f>
        <v>-1.1565849649127813</v>
      </c>
      <c r="P143" s="352">
        <f>IF(売分析!L143&lt;&gt;"",売分析!L143,"")</f>
        <v>-18.05157593123209</v>
      </c>
      <c r="Q143" s="351">
        <f>IF(売分析!S143&lt;&gt;"",売分析!S143,"")</f>
        <v>1785</v>
      </c>
      <c r="R143" s="351">
        <f>IF(売分析!R143&lt;&gt;"",売分析!R143,"")</f>
        <v>1579</v>
      </c>
      <c r="S143" s="350" t="str">
        <f>IF(売分析!AA143&lt;&gt;"",売分析!AA143,"")</f>
        <v>上昇▲</v>
      </c>
      <c r="T143" s="356">
        <f>IF(売分析!Z143&lt;&gt;"",売分析!Z143,"")</f>
        <v>0.67468465825755353</v>
      </c>
      <c r="U143" s="350" t="str">
        <f>IF(売分析!V143&lt;&gt;"",売分析!V143,"")</f>
        <v>通常</v>
      </c>
      <c r="V143" s="354">
        <f>IF(売分析!W143&lt;&gt;"",売分析!W143,"")</f>
        <v>56.81818181818182</v>
      </c>
      <c r="W143" s="350" t="str">
        <f>IF(売分析!AD143&lt;&gt;"",売分析!AD143,"")</f>
        <v>上昇トレンド▲</v>
      </c>
      <c r="X143" s="350" t="str">
        <f>IF(売分析!AE143&lt;&gt;"",売分析!AE143,"")</f>
        <v>5日戻り売り○</v>
      </c>
      <c r="Y143" s="427">
        <f>IF(売分析!T143&lt;&gt;"",売分析!T143,"")</f>
        <v>8</v>
      </c>
      <c r="Z143" s="350" t="str">
        <f>IF(売分析!Y143&lt;&gt;"",売分析!Y143,"")</f>
        <v>相場上昇・見送り | 上昇トレンド▲ 5日戻り売り○ MACD- RSI:56.8 前日比:+0.7% [8点]</v>
      </c>
    </row>
    <row r="144" spans="1:26">
      <c r="A144" s="230">
        <f>IF(売分析!C144&lt;&gt;"",ROW()-2,"")</f>
        <v>142</v>
      </c>
      <c r="B144" s="357" t="str">
        <f>IF(売分析!C144&lt;&gt;"",HYPERLINK("https://kabutan.jp/stock/?code="&amp;売分析!C144,"株探"),"")</f>
        <v>株探</v>
      </c>
      <c r="C144" s="366">
        <f>IF(売分析!C144&lt;&gt;"",売分析!C144,"")</f>
        <v>7746</v>
      </c>
      <c r="D144" s="230" t="str">
        <f>IF(売分析!D144&lt;&gt;"",売分析!D144,"")</f>
        <v>岡本硝子</v>
      </c>
      <c r="E144" s="358">
        <f>IF(売分析!E144&lt;&gt;"",売分析!E144,"")</f>
        <v>828</v>
      </c>
      <c r="F144" s="358">
        <f>IF(売分析!F144&lt;&gt;"",売分析!F144,"")</f>
        <v>852</v>
      </c>
      <c r="G144" s="358">
        <f>IF(売分析!H144&lt;&gt;"",売分析!H144,"")</f>
        <v>857</v>
      </c>
      <c r="H144" s="358">
        <f>IF(売分析!I144&lt;&gt;"",売分析!I144,"")</f>
        <v>811</v>
      </c>
      <c r="I144" s="230">
        <f>IF(売分析!J144&lt;&gt;"",売分析!J144,"")</f>
        <v>1408400</v>
      </c>
      <c r="J144" s="358">
        <f>IF(売分析!AB144&lt;&gt;"",売分析!AB144,"")</f>
        <v>801.8732718894006</v>
      </c>
      <c r="K144" s="358">
        <f>IF(売分析!AC144&lt;&gt;"",売分析!AC144,"")</f>
        <v>802.80572109654327</v>
      </c>
      <c r="L144" s="358">
        <f>IF(売分析!K144&lt;&gt;"",売分析!K144,"")</f>
        <v>1638</v>
      </c>
      <c r="M144" s="230" t="str">
        <f>IF(売分析!P144&lt;&gt;"",売分析!P144,"")</f>
        <v>減少↓</v>
      </c>
      <c r="N144" s="360">
        <f>IF(売分析!O144&lt;&gt;"",売分析!O144,"")</f>
        <v>0.57966958339850017</v>
      </c>
      <c r="O144" s="362">
        <f>IF(売分析!X144&lt;&gt;"",売分析!X144,"")</f>
        <v>-16.230891700730922</v>
      </c>
      <c r="P144" s="359">
        <f>IF(売分析!L144&lt;&gt;"",売分析!L144,"")</f>
        <v>-49.450549450549453</v>
      </c>
      <c r="Q144" s="358">
        <f>IF(売分析!S144&lt;&gt;"",売分析!S144,"")</f>
        <v>861</v>
      </c>
      <c r="R144" s="358">
        <f>IF(売分析!R144&lt;&gt;"",売分析!R144,"")</f>
        <v>762</v>
      </c>
      <c r="S144" s="230" t="str">
        <f>IF(売分析!AA144&lt;&gt;"",売分析!AA144,"")</f>
        <v>下落▼</v>
      </c>
      <c r="T144" s="363">
        <f>IF(売分析!Z144&lt;&gt;"",売分析!Z144,"")</f>
        <v>-7.6923076923076925</v>
      </c>
      <c r="U144" s="230" t="str">
        <f>IF(売分析!V144&lt;&gt;"",売分析!V144,"")</f>
        <v>年初来安値圏●</v>
      </c>
      <c r="V144" s="361">
        <f>IF(売分析!W144&lt;&gt;"",売分析!W144,"")</f>
        <v>50.401606425702802</v>
      </c>
      <c r="W144" s="230" t="str">
        <f>IF(売分析!AD144&lt;&gt;"",売分析!AD144,"")</f>
        <v>上昇トレンド▲</v>
      </c>
      <c r="X144" s="230" t="str">
        <f>IF(売分析!AE144&lt;&gt;"",売分析!AE144,"")</f>
        <v>なし</v>
      </c>
      <c r="Y144" s="428">
        <f>IF(売分析!T144&lt;&gt;"",売分析!T144,"")</f>
        <v>8</v>
      </c>
      <c r="Z144" s="230" t="str">
        <f>IF(売分析!Y144&lt;&gt;"",売分析!Y144,"")</f>
        <v>相場上昇・見送り | 上昇トレンド▲ MACD- RSI:50.4 前日比:-7.7% [年初来安値圏] [8点]</v>
      </c>
    </row>
    <row r="145" spans="1:26">
      <c r="A145" s="350">
        <f>IF(売分析!C145&lt;&gt;"",ROW()-2,"")</f>
        <v>143</v>
      </c>
      <c r="B145" s="349" t="str">
        <f>IF(売分析!C145&lt;&gt;"",HYPERLINK("https://kabutan.jp/stock/?code="&amp;売分析!C145,"株探"),"")</f>
        <v>株探</v>
      </c>
      <c r="C145" s="365">
        <f>IF(売分析!C145&lt;&gt;"",売分析!C145,"")</f>
        <v>4188</v>
      </c>
      <c r="D145" s="350" t="str">
        <f>IF(売分析!D145&lt;&gt;"",売分析!D145,"")</f>
        <v>三菱ケミカルグループ</v>
      </c>
      <c r="E145" s="351">
        <f>IF(売分析!E145&lt;&gt;"",売分析!E145,"")</f>
        <v>1140</v>
      </c>
      <c r="F145" s="351">
        <f>IF(売分析!F145&lt;&gt;"",売分析!F145,"")</f>
        <v>1098</v>
      </c>
      <c r="G145" s="351">
        <f>IF(売分析!H145&lt;&gt;"",売分析!H145,"")</f>
        <v>1140</v>
      </c>
      <c r="H145" s="351">
        <f>IF(売分析!I145&lt;&gt;"",売分析!I145,"")</f>
        <v>1093</v>
      </c>
      <c r="I145" s="350">
        <f>IF(売分析!J145&lt;&gt;"",売分析!J145,"")</f>
        <v>7563000</v>
      </c>
      <c r="J145" s="351">
        <f>IF(売分析!AB145&lt;&gt;"",売分析!AB145,"")</f>
        <v>1099.7511520737326</v>
      </c>
      <c r="K145" s="351">
        <f>IF(売分析!AC145&lt;&gt;"",売分析!AC145,"")</f>
        <v>1070.4723480333728</v>
      </c>
      <c r="L145" s="351">
        <f>IF(売分析!K145&lt;&gt;"",売分析!K145,"")</f>
        <v>1171</v>
      </c>
      <c r="M145" s="350" t="str">
        <f>IF(売分析!P145&lt;&gt;"",売分析!P145,"")</f>
        <v>普通→</v>
      </c>
      <c r="N145" s="353">
        <f>IF(売分析!O145&lt;&gt;"",売分析!O145,"")</f>
        <v>1.21006838334352</v>
      </c>
      <c r="O145" s="355">
        <f>IF(売分析!X145&lt;&gt;"",売分析!X145,"")</f>
        <v>6.0984120697826256</v>
      </c>
      <c r="P145" s="352">
        <f>IF(売分析!L145&lt;&gt;"",売分析!L145,"")</f>
        <v>-2.6473099914602902</v>
      </c>
      <c r="Q145" s="351">
        <f>IF(売分析!S145&lt;&gt;"",売分析!S145,"")</f>
        <v>1186</v>
      </c>
      <c r="R145" s="351">
        <f>IF(売分析!R145&lt;&gt;"",売分析!R145,"")</f>
        <v>1049</v>
      </c>
      <c r="S145" s="350" t="str">
        <f>IF(売分析!AA145&lt;&gt;"",売分析!AA145,"")</f>
        <v>上昇▲</v>
      </c>
      <c r="T145" s="356">
        <f>IF(売分析!Z145&lt;&gt;"",売分析!Z145,"")</f>
        <v>3.2141240380262559</v>
      </c>
      <c r="U145" s="350" t="str">
        <f>IF(売分析!V145&lt;&gt;"",売分析!V145,"")</f>
        <v>通常</v>
      </c>
      <c r="V145" s="354">
        <f>IF(売分析!W145&lt;&gt;"",売分析!W145,"")</f>
        <v>52.500000000000007</v>
      </c>
      <c r="W145" s="350" t="str">
        <f>IF(売分析!AD145&lt;&gt;"",売分析!AD145,"")</f>
        <v>パーフェクト▲</v>
      </c>
      <c r="X145" s="350" t="str">
        <f>IF(売分析!AE145&lt;&gt;"",売分析!AE145,"")</f>
        <v>なし</v>
      </c>
      <c r="Y145" s="427">
        <f>IF(売分析!T145&lt;&gt;"",売分析!T145,"")</f>
        <v>-1</v>
      </c>
      <c r="Z145" s="350" t="str">
        <f>IF(売分析!Y145&lt;&gt;"",売分析!Y145,"")</f>
        <v>相場上昇・見送り | パーフェクト▲ MACD+ RSI:52.5 前日比:+3.2% [-1点]</v>
      </c>
    </row>
    <row r="146" spans="1:26">
      <c r="A146" s="230">
        <f>IF(売分析!C146&lt;&gt;"",ROW()-2,"")</f>
        <v>144</v>
      </c>
      <c r="B146" s="357" t="str">
        <f>IF(売分析!C146&lt;&gt;"",HYPERLINK("https://kabutan.jp/stock/?code="&amp;売分析!C146,"株探"),"")</f>
        <v>株探</v>
      </c>
      <c r="C146" s="366">
        <f>IF(売分析!C146&lt;&gt;"",売分析!C146,"")</f>
        <v>9227</v>
      </c>
      <c r="D146" s="230" t="str">
        <f>IF(売分析!D146&lt;&gt;"",売分析!D146,"")</f>
        <v>マイクロ波化学</v>
      </c>
      <c r="E146" s="358">
        <f>IF(売分析!E146&lt;&gt;"",売分析!E146,"")</f>
        <v>881</v>
      </c>
      <c r="F146" s="358">
        <f>IF(売分析!F146&lt;&gt;"",売分析!F146,"")</f>
        <v>877</v>
      </c>
      <c r="G146" s="358">
        <f>IF(売分析!H146&lt;&gt;"",売分析!H146,"")</f>
        <v>896</v>
      </c>
      <c r="H146" s="358">
        <f>IF(売分析!I146&lt;&gt;"",売分析!I146,"")</f>
        <v>868</v>
      </c>
      <c r="I146" s="230">
        <f>IF(売分析!J146&lt;&gt;"",売分析!J146,"")</f>
        <v>110100</v>
      </c>
      <c r="J146" s="358">
        <f>IF(売分析!AB146&lt;&gt;"",売分析!AB146,"")</f>
        <v>874.76958525345606</v>
      </c>
      <c r="K146" s="358">
        <f>IF(売分析!AC146&lt;&gt;"",売分析!AC146,"")</f>
        <v>917.47079856972539</v>
      </c>
      <c r="L146" s="358">
        <f>IF(売分析!K146&lt;&gt;"",売分析!K146,"")</f>
        <v>1620</v>
      </c>
      <c r="M146" s="230" t="str">
        <f>IF(売分析!P146&lt;&gt;"",売分析!P146,"")</f>
        <v>減少↓</v>
      </c>
      <c r="N146" s="360">
        <f>IF(売分析!O146&lt;&gt;"",売分析!O146,"")</f>
        <v>0.61874789254804985</v>
      </c>
      <c r="O146" s="362">
        <f>IF(売分析!X146&lt;&gt;"",売分析!X146,"")</f>
        <v>-7.9897229331431845</v>
      </c>
      <c r="P146" s="359">
        <f>IF(売分析!L146&lt;&gt;"",売分析!L146,"")</f>
        <v>-45.617283950617285</v>
      </c>
      <c r="Q146" s="358">
        <f>IF(売分析!S146&lt;&gt;"",売分析!S146,"")</f>
        <v>916</v>
      </c>
      <c r="R146" s="358">
        <f>IF(売分析!R146&lt;&gt;"",売分析!R146,"")</f>
        <v>811</v>
      </c>
      <c r="S146" s="230" t="str">
        <f>IF(売分析!AA146&lt;&gt;"",売分析!AA146,"")</f>
        <v>上昇▲</v>
      </c>
      <c r="T146" s="363">
        <f>IF(売分析!Z146&lt;&gt;"",売分析!Z146,"")</f>
        <v>1.8497109826589597</v>
      </c>
      <c r="U146" s="230" t="str">
        <f>IF(売分析!V146&lt;&gt;"",売分析!V146,"")</f>
        <v>年初来安値圏●</v>
      </c>
      <c r="V146" s="361">
        <f>IF(売分析!W146&lt;&gt;"",売分析!W146,"")</f>
        <v>44.412607449856736</v>
      </c>
      <c r="W146" s="230" t="str">
        <f>IF(売分析!AD146&lt;&gt;"",売分析!AD146,"")</f>
        <v>もみ合い→</v>
      </c>
      <c r="X146" s="230" t="str">
        <f>IF(売分析!AE146&lt;&gt;"",売分析!AE146,"")</f>
        <v>なし</v>
      </c>
      <c r="Y146" s="428">
        <f>IF(売分析!T146&lt;&gt;"",売分析!T146,"")</f>
        <v>11</v>
      </c>
      <c r="Z146" s="230" t="str">
        <f>IF(売分析!Y146&lt;&gt;"",売分析!Y146,"")</f>
        <v>相場上昇・見送り | もみ合い→ MACD- RSI:44.4 前日比:+1.8% [年初来安値圏]前日[大陰線▼] [11点]</v>
      </c>
    </row>
    <row r="147" spans="1:26">
      <c r="A147" s="350">
        <f>IF(売分析!C147&lt;&gt;"",ROW()-2,"")</f>
        <v>145</v>
      </c>
      <c r="B147" s="349" t="str">
        <f>IF(売分析!C147&lt;&gt;"",HYPERLINK("https://kabutan.jp/stock/?code="&amp;売分析!C147,"株探"),"")</f>
        <v>株探</v>
      </c>
      <c r="C147" s="365">
        <f>IF(売分析!C147&lt;&gt;"",売分析!C147,"")</f>
        <v>5838</v>
      </c>
      <c r="D147" s="350" t="str">
        <f>IF(売分析!D147&lt;&gt;"",売分析!D147,"")</f>
        <v>楽天銀行</v>
      </c>
      <c r="E147" s="351">
        <f>IF(売分析!E147&lt;&gt;"",売分析!E147,"")</f>
        <v>5161</v>
      </c>
      <c r="F147" s="351">
        <f>IF(売分析!F147&lt;&gt;"",売分析!F147,"")</f>
        <v>5250</v>
      </c>
      <c r="G147" s="351">
        <f>IF(売分析!H147&lt;&gt;"",売分析!H147,"")</f>
        <v>5311</v>
      </c>
      <c r="H147" s="351">
        <f>IF(売分析!I147&lt;&gt;"",売分析!I147,"")</f>
        <v>5158</v>
      </c>
      <c r="I147" s="350">
        <f>IF(売分析!J147&lt;&gt;"",売分析!J147,"")</f>
        <v>1008700</v>
      </c>
      <c r="J147" s="351">
        <f>IF(売分析!AB147&lt;&gt;"",売分析!AB147,"")</f>
        <v>5162.2684331797227</v>
      </c>
      <c r="K147" s="351">
        <f>IF(売分析!AC147&lt;&gt;"",売分析!AC147,"")</f>
        <v>5156.437425506555</v>
      </c>
      <c r="L147" s="351">
        <f>IF(売分析!K147&lt;&gt;"",売分析!K147,"")</f>
        <v>9317</v>
      </c>
      <c r="M147" s="350" t="str">
        <f>IF(売分析!P147&lt;&gt;"",売分析!P147,"")</f>
        <v>減少↓</v>
      </c>
      <c r="N147" s="353">
        <f>IF(売分析!O147&lt;&gt;"",売分析!O147,"")</f>
        <v>0.42471578947368421</v>
      </c>
      <c r="O147" s="355">
        <f>IF(売分析!X147&lt;&gt;"",売分析!X147,"")</f>
        <v>-77.40856714124584</v>
      </c>
      <c r="P147" s="352">
        <f>IF(売分析!L147&lt;&gt;"",売分析!L147,"")</f>
        <v>-44.606633036385105</v>
      </c>
      <c r="Q147" s="351">
        <f>IF(売分析!S147&lt;&gt;"",売分析!S147,"")</f>
        <v>5367</v>
      </c>
      <c r="R147" s="351">
        <f>IF(売分析!R147&lt;&gt;"",売分析!R147,"")</f>
        <v>4748</v>
      </c>
      <c r="S147" s="350" t="str">
        <f>IF(売分析!AA147&lt;&gt;"",売分析!AA147,"")</f>
        <v>下落▼</v>
      </c>
      <c r="T147" s="356">
        <f>IF(売分析!Z147&lt;&gt;"",売分析!Z147,"")</f>
        <v>-1.5827612509534708</v>
      </c>
      <c r="U147" s="350" t="str">
        <f>IF(売分析!V147&lt;&gt;"",売分析!V147,"")</f>
        <v>年初来安値圏●</v>
      </c>
      <c r="V147" s="354">
        <f>IF(売分析!W147&lt;&gt;"",売分析!W147,"")</f>
        <v>54.199772985244039</v>
      </c>
      <c r="W147" s="350" t="str">
        <f>IF(売分析!AD147&lt;&gt;"",売分析!AD147,"")</f>
        <v>上昇トレンド▲</v>
      </c>
      <c r="X147" s="350" t="str">
        <f>IF(売分析!AE147&lt;&gt;"",売分析!AE147,"")</f>
        <v>5日戻り売り○</v>
      </c>
      <c r="Y147" s="427">
        <f>IF(売分析!T147&lt;&gt;"",売分析!T147,"")</f>
        <v>13</v>
      </c>
      <c r="Z147" s="350" t="str">
        <f>IF(売分析!Y147&lt;&gt;"",売分析!Y147,"")</f>
        <v>相場上昇・見送り | 上昇トレンド▲ 5日戻り売り○ MACD- RSI:54.2 前日比:-1.6% [年初来安値圏] [13点]</v>
      </c>
    </row>
    <row r="148" spans="1:26">
      <c r="A148" s="230">
        <f>IF(売分析!C148&lt;&gt;"",ROW()-2,"")</f>
        <v>146</v>
      </c>
      <c r="B148" s="357" t="str">
        <f>IF(売分析!C148&lt;&gt;"",HYPERLINK("https://kabutan.jp/stock/?code="&amp;売分析!C148,"株探"),"")</f>
        <v>株探</v>
      </c>
      <c r="C148" s="366">
        <f>IF(売分析!C148&lt;&gt;"",売分析!C148,"")</f>
        <v>7685</v>
      </c>
      <c r="D148" s="230" t="str">
        <f>IF(売分析!D148&lt;&gt;"",売分析!D148,"")</f>
        <v>ＢＵＹＳＥＬＬＴＥＣＨ</v>
      </c>
      <c r="E148" s="358">
        <f>IF(売分析!E148&lt;&gt;"",売分析!E148,"")</f>
        <v>3595</v>
      </c>
      <c r="F148" s="358">
        <f>IF(売分析!F148&lt;&gt;"",売分析!F148,"")</f>
        <v>3505</v>
      </c>
      <c r="G148" s="358">
        <f>IF(売分析!H148&lt;&gt;"",売分析!H148,"")</f>
        <v>3725</v>
      </c>
      <c r="H148" s="358">
        <f>IF(売分析!I148&lt;&gt;"",売分析!I148,"")</f>
        <v>3500</v>
      </c>
      <c r="I148" s="230">
        <f>IF(売分析!J148&lt;&gt;"",売分析!J148,"")</f>
        <v>236400</v>
      </c>
      <c r="J148" s="358">
        <f>IF(売分析!AB148&lt;&gt;"",売分析!AB148,"")</f>
        <v>3675.7142857142849</v>
      </c>
      <c r="K148" s="358">
        <f>IF(売分析!AC148&lt;&gt;"",売分析!AC148,"")</f>
        <v>3741.2812872467225</v>
      </c>
      <c r="L148" s="358">
        <f>IF(売分析!K148&lt;&gt;"",売分析!K148,"")</f>
        <v>4155</v>
      </c>
      <c r="M148" s="230" t="str">
        <f>IF(売分析!P148&lt;&gt;"",売分析!P148,"")</f>
        <v>減少↓</v>
      </c>
      <c r="N148" s="360">
        <f>IF(売分析!O148&lt;&gt;"",売分析!O148,"")</f>
        <v>0.76154886927388699</v>
      </c>
      <c r="O148" s="362">
        <f>IF(売分析!X148&lt;&gt;"",売分析!X148,"")</f>
        <v>-0.97194305024140704</v>
      </c>
      <c r="P148" s="359">
        <f>IF(売分析!L148&lt;&gt;"",売分析!L148,"")</f>
        <v>-13.477737665463296</v>
      </c>
      <c r="Q148" s="358">
        <f>IF(売分析!S148&lt;&gt;"",売分析!S148,"")</f>
        <v>3739</v>
      </c>
      <c r="R148" s="358">
        <f>IF(売分析!R148&lt;&gt;"",売分析!R148,"")</f>
        <v>3307</v>
      </c>
      <c r="S148" s="230" t="str">
        <f>IF(売分析!AA148&lt;&gt;"",売分析!AA148,"")</f>
        <v>下落▼</v>
      </c>
      <c r="T148" s="363">
        <f>IF(売分析!Z148&lt;&gt;"",売分析!Z148,"")</f>
        <v>-0.96418732782369143</v>
      </c>
      <c r="U148" s="230" t="str">
        <f>IF(売分析!V148&lt;&gt;"",売分析!V148,"")</f>
        <v>通常</v>
      </c>
      <c r="V148" s="361">
        <f>IF(売分析!W148&lt;&gt;"",売分析!W148,"")</f>
        <v>42.585551330798481</v>
      </c>
      <c r="W148" s="230" t="str">
        <f>IF(売分析!AD148&lt;&gt;"",売分析!AD148,"")</f>
        <v>下降トレンド▼</v>
      </c>
      <c r="X148" s="230" t="str">
        <f>IF(売分析!AE148&lt;&gt;"",売分析!AE148,"")</f>
        <v>なし</v>
      </c>
      <c r="Y148" s="428">
        <f>IF(売分析!T148&lt;&gt;"",売分析!T148,"")</f>
        <v>5</v>
      </c>
      <c r="Z148" s="230" t="str">
        <f>IF(売分析!Y148&lt;&gt;"",売分析!Y148,"")</f>
        <v>相場上昇・見送り | 下降トレンド▼ MACD- RSI:42.6 前日比:-1.0% [5点]</v>
      </c>
    </row>
    <row r="149" spans="1:26">
      <c r="A149" s="350">
        <f>IF(売分析!C149&lt;&gt;"",ROW()-2,"")</f>
        <v>147</v>
      </c>
      <c r="B149" s="349" t="str">
        <f>IF(売分析!C149&lt;&gt;"",HYPERLINK("https://kabutan.jp/stock/?code="&amp;売分析!C149,"株探"),"")</f>
        <v>株探</v>
      </c>
      <c r="C149" s="365">
        <f>IF(売分析!C149&lt;&gt;"",売分析!C149,"")</f>
        <v>8934</v>
      </c>
      <c r="D149" s="350" t="str">
        <f>IF(売分析!D149&lt;&gt;"",売分析!D149,"")</f>
        <v>サンフロンティア不動産</v>
      </c>
      <c r="E149" s="351">
        <f>IF(売分析!E149&lt;&gt;"",売分析!E149,"")</f>
        <v>2359</v>
      </c>
      <c r="F149" s="351">
        <f>IF(売分析!F149&lt;&gt;"",売分析!F149,"")</f>
        <v>2388</v>
      </c>
      <c r="G149" s="351">
        <f>IF(売分析!H149&lt;&gt;"",売分析!H149,"")</f>
        <v>2395</v>
      </c>
      <c r="H149" s="351">
        <f>IF(売分析!I149&lt;&gt;"",売分析!I149,"")</f>
        <v>2353</v>
      </c>
      <c r="I149" s="350">
        <f>IF(売分析!J149&lt;&gt;"",売分析!J149,"")</f>
        <v>100500</v>
      </c>
      <c r="J149" s="351">
        <f>IF(売分析!AB149&lt;&gt;"",売分析!AB149,"")</f>
        <v>2366.3997695852536</v>
      </c>
      <c r="K149" s="351">
        <f>IF(売分析!AC149&lt;&gt;"",売分析!AC149,"")</f>
        <v>2363.6817640047666</v>
      </c>
      <c r="L149" s="351">
        <f>IF(売分析!K149&lt;&gt;"",売分析!K149,"")</f>
        <v>2885</v>
      </c>
      <c r="M149" s="350" t="str">
        <f>IF(売分析!P149&lt;&gt;"",売分析!P149,"")</f>
        <v>減少↓</v>
      </c>
      <c r="N149" s="353">
        <f>IF(売分析!O149&lt;&gt;"",売分析!O149,"")</f>
        <v>0.77248270561106835</v>
      </c>
      <c r="O149" s="355">
        <f>IF(売分析!X149&lt;&gt;"",売分析!X149,"")</f>
        <v>-8.7196135950225653</v>
      </c>
      <c r="P149" s="352">
        <f>IF(売分析!L149&lt;&gt;"",売分析!L149,"")</f>
        <v>-18.232235701906411</v>
      </c>
      <c r="Q149" s="351">
        <f>IF(売分析!S149&lt;&gt;"",売分析!S149,"")</f>
        <v>2453</v>
      </c>
      <c r="R149" s="351">
        <f>IF(売分析!R149&lt;&gt;"",売分析!R149,"")</f>
        <v>2170</v>
      </c>
      <c r="S149" s="350" t="str">
        <f>IF(売分析!AA149&lt;&gt;"",売分析!AA149,"")</f>
        <v>下落▼</v>
      </c>
      <c r="T149" s="356">
        <f>IF(売分析!Z149&lt;&gt;"",売分析!Z149,"")</f>
        <v>-8.4709868699703511E-2</v>
      </c>
      <c r="U149" s="350" t="str">
        <f>IF(売分析!V149&lt;&gt;"",売分析!V149,"")</f>
        <v>通常</v>
      </c>
      <c r="V149" s="354">
        <f>IF(売分析!W149&lt;&gt;"",売分析!W149,"")</f>
        <v>52.777777777777779</v>
      </c>
      <c r="W149" s="350" t="str">
        <f>IF(売分析!AD149&lt;&gt;"",売分析!AD149,"")</f>
        <v>もみ合い→</v>
      </c>
      <c r="X149" s="350" t="str">
        <f>IF(売分析!AE149&lt;&gt;"",売分析!AE149,"")</f>
        <v>25日戻り売り★</v>
      </c>
      <c r="Y149" s="427">
        <f>IF(売分析!T149&lt;&gt;"",売分析!T149,"")</f>
        <v>11</v>
      </c>
      <c r="Z149" s="350" t="str">
        <f>IF(売分析!Y149&lt;&gt;"",売分析!Y149,"")</f>
        <v>○逆張り売り | もみ合い→ 25日戻り売り★ MACD- RSI:52.8 前日比:-0.1% [11点]</v>
      </c>
    </row>
    <row r="150" spans="1:26">
      <c r="A150" s="230">
        <f>IF(売分析!C150&lt;&gt;"",ROW()-2,"")</f>
        <v>148</v>
      </c>
      <c r="B150" s="357" t="str">
        <f>IF(売分析!C150&lt;&gt;"",HYPERLINK("https://kabutan.jp/stock/?code="&amp;売分析!C150,"株探"),"")</f>
        <v>株探</v>
      </c>
      <c r="C150" s="366">
        <f>IF(売分析!C150&lt;&gt;"",売分析!C150,"")</f>
        <v>6085</v>
      </c>
      <c r="D150" s="230" t="str">
        <f>IF(売分析!D150&lt;&gt;"",売分析!D150,"")</f>
        <v>アーキテクツＳＪ</v>
      </c>
      <c r="E150" s="358">
        <f>IF(売分析!E150&lt;&gt;"",売分析!E150,"")</f>
        <v>320</v>
      </c>
      <c r="F150" s="358">
        <f>IF(売分析!F150&lt;&gt;"",売分析!F150,"")</f>
        <v>321</v>
      </c>
      <c r="G150" s="358">
        <f>IF(売分析!H150&lt;&gt;"",売分析!H150,"")</f>
        <v>327</v>
      </c>
      <c r="H150" s="358">
        <f>IF(売分析!I150&lt;&gt;"",売分析!I150,"")</f>
        <v>308</v>
      </c>
      <c r="I150" s="230">
        <f>IF(売分析!J150&lt;&gt;"",売分析!J150,"")</f>
        <v>1747900</v>
      </c>
      <c r="J150" s="358">
        <f>IF(売分析!AB150&lt;&gt;"",売分析!AB150,"")</f>
        <v>338.17511520737321</v>
      </c>
      <c r="K150" s="358">
        <f>IF(売分析!AC150&lt;&gt;"",売分析!AC150,"")</f>
        <v>368.60071513706771</v>
      </c>
      <c r="L150" s="358">
        <f>IF(売分析!K150&lt;&gt;"",売分析!K150,"")</f>
        <v>720</v>
      </c>
      <c r="M150" s="230" t="str">
        <f>IF(売分析!P150&lt;&gt;"",売分析!P150,"")</f>
        <v>減少↓</v>
      </c>
      <c r="N150" s="360">
        <f>IF(売分析!O150&lt;&gt;"",売分析!O150,"")</f>
        <v>0.42486217926903969</v>
      </c>
      <c r="O150" s="362">
        <f>IF(売分析!X150&lt;&gt;"",売分析!X150,"")</f>
        <v>-21.069503540453184</v>
      </c>
      <c r="P150" s="359">
        <f>IF(売分析!L150&lt;&gt;"",売分析!L150,"")</f>
        <v>-55.555555555555557</v>
      </c>
      <c r="Q150" s="358">
        <f>IF(売分析!S150&lt;&gt;"",売分析!S150,"")</f>
        <v>333</v>
      </c>
      <c r="R150" s="358">
        <f>IF(売分析!R150&lt;&gt;"",売分析!R150,"")</f>
        <v>294</v>
      </c>
      <c r="S150" s="230" t="str">
        <f>IF(売分析!AA150&lt;&gt;"",売分析!AA150,"")</f>
        <v>上昇▲</v>
      </c>
      <c r="T150" s="363">
        <f>IF(売分析!Z150&lt;&gt;"",売分析!Z150,"")</f>
        <v>2.2364217252396164</v>
      </c>
      <c r="U150" s="230" t="str">
        <f>IF(売分析!V150&lt;&gt;"",売分析!V150,"")</f>
        <v>年初来安値圏●</v>
      </c>
      <c r="V150" s="361">
        <f>IF(売分析!W150&lt;&gt;"",売分析!W150,"")</f>
        <v>33.542319749216304</v>
      </c>
      <c r="W150" s="230" t="str">
        <f>IF(売分析!AD150&lt;&gt;"",売分析!AD150,"")</f>
        <v>下降トレンド▼</v>
      </c>
      <c r="X150" s="230" t="str">
        <f>IF(売分析!AE150&lt;&gt;"",売分析!AE150,"")</f>
        <v>なし</v>
      </c>
      <c r="Y150" s="428">
        <f>IF(売分析!T150&lt;&gt;"",売分析!T150,"")</f>
        <v>13</v>
      </c>
      <c r="Z150" s="230" t="str">
        <f>IF(売分析!Y150&lt;&gt;"",売分析!Y150,"")</f>
        <v>相場上昇・見送り | 下降トレンド▼ MACD- RSI:33.5 前日比:+2.2% [年初来安値圏] [13点]</v>
      </c>
    </row>
    <row r="151" spans="1:26">
      <c r="A151" s="350">
        <f>IF(売分析!C151&lt;&gt;"",ROW()-2,"")</f>
        <v>149</v>
      </c>
      <c r="B151" s="349" t="str">
        <f>IF(売分析!C151&lt;&gt;"",HYPERLINK("https://kabutan.jp/stock/?code="&amp;売分析!C151,"株探"),"")</f>
        <v>株探</v>
      </c>
      <c r="C151" s="365">
        <f>IF(売分析!C151&lt;&gt;"",売分析!C151,"")</f>
        <v>4307</v>
      </c>
      <c r="D151" s="350" t="str">
        <f>IF(売分析!D151&lt;&gt;"",売分析!D151,"")</f>
        <v>野村総合研究所</v>
      </c>
      <c r="E151" s="351">
        <f>IF(売分析!E151&lt;&gt;"",売分析!E151,"")</f>
        <v>4596</v>
      </c>
      <c r="F151" s="351">
        <f>IF(売分析!F151&lt;&gt;"",売分析!F151,"")</f>
        <v>4550</v>
      </c>
      <c r="G151" s="351">
        <f>IF(売分析!H151&lt;&gt;"",売分析!H151,"")</f>
        <v>4649</v>
      </c>
      <c r="H151" s="351">
        <f>IF(売分析!I151&lt;&gt;"",売分析!I151,"")</f>
        <v>4475</v>
      </c>
      <c r="I151" s="350">
        <f>IF(売分析!J151&lt;&gt;"",売分析!J151,"")</f>
        <v>1885500</v>
      </c>
      <c r="J151" s="351">
        <f>IF(売分析!AB151&lt;&gt;"",売分析!AB151,"")</f>
        <v>4560.2373271889392</v>
      </c>
      <c r="K151" s="351">
        <f>IF(売分析!AC151&lt;&gt;"",売分析!AC151,"")</f>
        <v>4689.0286054827147</v>
      </c>
      <c r="L151" s="351">
        <f>IF(売分析!K151&lt;&gt;"",売分析!K151,"")</f>
        <v>6300</v>
      </c>
      <c r="M151" s="350" t="str">
        <f>IF(売分析!P151&lt;&gt;"",売分析!P151,"")</f>
        <v>減少↓</v>
      </c>
      <c r="N151" s="353">
        <f>IF(売分析!O151&lt;&gt;"",売分析!O151,"")</f>
        <v>0.88370937655252579</v>
      </c>
      <c r="O151" s="355">
        <f>IF(売分析!X151&lt;&gt;"",売分析!X151,"")</f>
        <v>2.1919009389466737</v>
      </c>
      <c r="P151" s="352">
        <f>IF(売分析!L151&lt;&gt;"",売分析!L151,"")</f>
        <v>-27.047619047619047</v>
      </c>
      <c r="Q151" s="351">
        <f>IF(売分析!S151&lt;&gt;"",売分析!S151,"")</f>
        <v>4780</v>
      </c>
      <c r="R151" s="351">
        <f>IF(売分析!R151&lt;&gt;"",売分析!R151,"")</f>
        <v>4228</v>
      </c>
      <c r="S151" s="350" t="str">
        <f>IF(売分析!AA151&lt;&gt;"",売分析!AA151,"")</f>
        <v>上昇▲</v>
      </c>
      <c r="T151" s="356">
        <f>IF(売分析!Z151&lt;&gt;"",売分析!Z151,"")</f>
        <v>2.0199778024417312</v>
      </c>
      <c r="U151" s="350" t="str">
        <f>IF(売分析!V151&lt;&gt;"",売分析!V151,"")</f>
        <v>安値圏</v>
      </c>
      <c r="V151" s="354">
        <f>IF(売分析!W151&lt;&gt;"",売分析!W151,"")</f>
        <v>46.711739397664417</v>
      </c>
      <c r="W151" s="350" t="str">
        <f>IF(売分析!AD151&lt;&gt;"",売分析!AD151,"")</f>
        <v>もみ合い→</v>
      </c>
      <c r="X151" s="350" t="str">
        <f>IF(売分析!AE151&lt;&gt;"",売分析!AE151,"")</f>
        <v>25日戻り売り★</v>
      </c>
      <c r="Y151" s="427">
        <f>IF(売分析!T151&lt;&gt;"",売分析!T151,"")</f>
        <v>2</v>
      </c>
      <c r="Z151" s="350" t="str">
        <f>IF(売分析!Y151&lt;&gt;"",売分析!Y151,"")</f>
        <v>○逆張り売り | もみ合い→ 25日戻り売り★ MACD+ RSI:46.7 前日比:+2.0% [安値圏]前日[長い下ヒゲ(反発)] [2点]</v>
      </c>
    </row>
    <row r="152" spans="1:26">
      <c r="A152" s="230">
        <f>IF(売分析!C152&lt;&gt;"",ROW()-2,"")</f>
        <v>150</v>
      </c>
      <c r="B152" s="357" t="str">
        <f>IF(売分析!C152&lt;&gt;"",HYPERLINK("https://kabutan.jp/stock/?code="&amp;売分析!C152,"株探"),"")</f>
        <v>株探</v>
      </c>
      <c r="C152" s="366">
        <f>IF(売分析!C152&lt;&gt;"",売分析!C152,"")</f>
        <v>4091</v>
      </c>
      <c r="D152" s="230" t="str">
        <f>IF(売分析!D152&lt;&gt;"",売分析!D152,"")</f>
        <v>日本酸素ＨＬＤＧＳ</v>
      </c>
      <c r="E152" s="358">
        <f>IF(売分析!E152&lt;&gt;"",売分析!E152,"")</f>
        <v>5590</v>
      </c>
      <c r="F152" s="358">
        <f>IF(売分析!F152&lt;&gt;"",売分析!F152,"")</f>
        <v>5561</v>
      </c>
      <c r="G152" s="358">
        <f>IF(売分析!H152&lt;&gt;"",売分析!H152,"")</f>
        <v>5615</v>
      </c>
      <c r="H152" s="358">
        <f>IF(売分析!I152&lt;&gt;"",売分析!I152,"")</f>
        <v>5480</v>
      </c>
      <c r="I152" s="230">
        <f>IF(売分析!J152&lt;&gt;"",売分析!J152,"")</f>
        <v>375300</v>
      </c>
      <c r="J152" s="358">
        <f>IF(売分析!AB152&lt;&gt;"",売分析!AB152,"")</f>
        <v>5485.9665898617495</v>
      </c>
      <c r="K152" s="358">
        <f>IF(売分析!AC152&lt;&gt;"",売分析!AC152,"")</f>
        <v>5706.8152562574469</v>
      </c>
      <c r="L152" s="358">
        <f>IF(売分析!K152&lt;&gt;"",売分析!K152,"")</f>
        <v>6509</v>
      </c>
      <c r="M152" s="230" t="str">
        <f>IF(売分析!P152&lt;&gt;"",売分析!P152,"")</f>
        <v>減少↓</v>
      </c>
      <c r="N152" s="360">
        <f>IF(売分析!O152&lt;&gt;"",売分析!O152,"")</f>
        <v>0.7161667048316922</v>
      </c>
      <c r="O152" s="362">
        <f>IF(売分析!X152&lt;&gt;"",売分析!X152,"")</f>
        <v>-96.63383670528583</v>
      </c>
      <c r="P152" s="359">
        <f>IF(売分析!L152&lt;&gt;"",売分析!L152,"")</f>
        <v>-14.118912275311107</v>
      </c>
      <c r="Q152" s="358">
        <f>IF(売分析!S152&lt;&gt;"",売分析!S152,"")</f>
        <v>5814</v>
      </c>
      <c r="R152" s="358">
        <f>IF(売分析!R152&lt;&gt;"",売分析!R152,"")</f>
        <v>5143</v>
      </c>
      <c r="S152" s="230" t="str">
        <f>IF(売分析!AA152&lt;&gt;"",売分析!AA152,"")</f>
        <v>上昇▲</v>
      </c>
      <c r="T152" s="363">
        <f>IF(売分析!Z152&lt;&gt;"",売分析!Z152,"")</f>
        <v>1.0119262739428985</v>
      </c>
      <c r="U152" s="230" t="str">
        <f>IF(売分析!V152&lt;&gt;"",売分析!V152,"")</f>
        <v>通常</v>
      </c>
      <c r="V152" s="361">
        <f>IF(売分析!W152&lt;&gt;"",売分析!W152,"")</f>
        <v>23.802914642609295</v>
      </c>
      <c r="W152" s="230" t="str">
        <f>IF(売分析!AD152&lt;&gt;"",売分析!AD152,"")</f>
        <v>もみ合い→</v>
      </c>
      <c r="X152" s="230" t="str">
        <f>IF(売分析!AE152&lt;&gt;"",売分析!AE152,"")</f>
        <v>なし</v>
      </c>
      <c r="Y152" s="428">
        <f>IF(売分析!T152&lt;&gt;"",売分析!T152,"")</f>
        <v>4</v>
      </c>
      <c r="Z152" s="230" t="str">
        <f>IF(売分析!Y152&lt;&gt;"",売分析!Y152,"")</f>
        <v>相場上昇・見送り | もみ合い→ MACD- RSI:23.8 [売られ過ぎ] 前日比:+1.0% [長い下ヒゲ(反発警戒)] [4点]</v>
      </c>
    </row>
    <row r="153" spans="1:26">
      <c r="A153" s="350">
        <f>IF(売分析!C153&lt;&gt;"",ROW()-2,"")</f>
        <v>151</v>
      </c>
      <c r="B153" s="349" t="str">
        <f>IF(売分析!C153&lt;&gt;"",HYPERLINK("https://kabutan.jp/stock/?code="&amp;売分析!C153,"株探"),"")</f>
        <v>株探</v>
      </c>
      <c r="C153" s="365">
        <f>IF(売分析!C153&lt;&gt;"",売分析!C153,"")</f>
        <v>9733</v>
      </c>
      <c r="D153" s="350" t="str">
        <f>IF(売分析!D153&lt;&gt;"",売分析!D153,"")</f>
        <v>ナガセ</v>
      </c>
      <c r="E153" s="351">
        <f>IF(売分析!E153&lt;&gt;"",売分析!E153,"")</f>
        <v>2201</v>
      </c>
      <c r="F153" s="351">
        <f>IF(売分析!F153&lt;&gt;"",売分析!F153,"")</f>
        <v>2234</v>
      </c>
      <c r="G153" s="351">
        <f>IF(売分析!H153&lt;&gt;"",売分析!H153,"")</f>
        <v>2238</v>
      </c>
      <c r="H153" s="351">
        <f>IF(売分析!I153&lt;&gt;"",売分析!I153,"")</f>
        <v>2201</v>
      </c>
      <c r="I153" s="350">
        <f>IF(売分析!J153&lt;&gt;"",売分析!J153,"")</f>
        <v>27000</v>
      </c>
      <c r="J153" s="351">
        <f>IF(売分析!AB153&lt;&gt;"",売分析!AB153,"")</f>
        <v>2213.4677419354839</v>
      </c>
      <c r="K153" s="351">
        <f>IF(売分析!AC153&lt;&gt;"",売分析!AC153,"")</f>
        <v>2236.0190703218109</v>
      </c>
      <c r="L153" s="351">
        <f>IF(売分析!K153&lt;&gt;"",売分析!K153,"")</f>
        <v>2877</v>
      </c>
      <c r="M153" s="350" t="str">
        <f>IF(売分析!P153&lt;&gt;"",売分析!P153,"")</f>
        <v>普通→</v>
      </c>
      <c r="N153" s="353">
        <f>IF(売分析!O153&lt;&gt;"",売分析!O153,"")</f>
        <v>1.1231281198003327</v>
      </c>
      <c r="O153" s="355">
        <f>IF(売分析!X153&lt;&gt;"",売分析!X153,"")</f>
        <v>-11.285626435385439</v>
      </c>
      <c r="P153" s="352">
        <f>IF(売分析!L153&lt;&gt;"",売分析!L153,"")</f>
        <v>-23.496697949252692</v>
      </c>
      <c r="Q153" s="351">
        <f>IF(売分析!S153&lt;&gt;"",売分析!S153,"")</f>
        <v>2289</v>
      </c>
      <c r="R153" s="351">
        <f>IF(売分析!R153&lt;&gt;"",売分析!R153,"")</f>
        <v>2025</v>
      </c>
      <c r="S153" s="350" t="str">
        <f>IF(売分析!AA153&lt;&gt;"",売分析!AA153,"")</f>
        <v>下落▼</v>
      </c>
      <c r="T153" s="356">
        <f>IF(売分析!Z153&lt;&gt;"",売分析!Z153,"")</f>
        <v>-9.0785292782569221E-2</v>
      </c>
      <c r="U153" s="350" t="str">
        <f>IF(売分析!V153&lt;&gt;"",売分析!V153,"")</f>
        <v>通常</v>
      </c>
      <c r="V153" s="354">
        <f>IF(売分析!W153&lt;&gt;"",売分析!W153,"")</f>
        <v>36.742424242424242</v>
      </c>
      <c r="W153" s="350" t="str">
        <f>IF(売分析!AD153&lt;&gt;"",売分析!AD153,"")</f>
        <v>下降トレンド▼</v>
      </c>
      <c r="X153" s="350" t="str">
        <f>IF(売分析!AE153&lt;&gt;"",売分析!AE153,"")</f>
        <v>25日戻り売り★</v>
      </c>
      <c r="Y153" s="427">
        <f>IF(売分析!T153&lt;&gt;"",売分析!T153,"")</f>
        <v>16</v>
      </c>
      <c r="Z153" s="350" t="str">
        <f>IF(売分析!Y153&lt;&gt;"",売分析!Y153,"")</f>
        <v>★逆張り売り | 下降トレンド▼ 25日戻り売り★ MACD- RSI:36.7 前日比:-0.1% [大陰線▼]前日[大陰線▼] [16点]</v>
      </c>
    </row>
    <row r="154" spans="1:26">
      <c r="A154" s="230">
        <f>IF(売分析!C154&lt;&gt;"",ROW()-2,"")</f>
        <v>152</v>
      </c>
      <c r="B154" s="357" t="str">
        <f>IF(売分析!C154&lt;&gt;"",HYPERLINK("https://kabutan.jp/stock/?code="&amp;売分析!C154,"株探"),"")</f>
        <v>株探</v>
      </c>
      <c r="C154" s="366">
        <f>IF(売分析!C154&lt;&gt;"",売分析!C154,"")</f>
        <v>2327</v>
      </c>
      <c r="D154" s="230" t="str">
        <f>IF(売分析!D154&lt;&gt;"",売分析!D154,"")</f>
        <v>日鉄ソリューションズ</v>
      </c>
      <c r="E154" s="358">
        <f>IF(売分析!E154&lt;&gt;"",売分析!E154,"")</f>
        <v>3135</v>
      </c>
      <c r="F154" s="358">
        <f>IF(売分析!F154&lt;&gt;"",売分析!F154,"")</f>
        <v>3133</v>
      </c>
      <c r="G154" s="358">
        <f>IF(売分析!H154&lt;&gt;"",売分析!H154,"")</f>
        <v>3167</v>
      </c>
      <c r="H154" s="358">
        <f>IF(売分析!I154&lt;&gt;"",売分析!I154,"")</f>
        <v>3086</v>
      </c>
      <c r="I154" s="230">
        <f>IF(売分析!J154&lt;&gt;"",売分析!J154,"")</f>
        <v>325900</v>
      </c>
      <c r="J154" s="358">
        <f>IF(売分析!AB154&lt;&gt;"",売分析!AB154,"")</f>
        <v>3164.897465437788</v>
      </c>
      <c r="K154" s="358">
        <f>IF(売分析!AC154&lt;&gt;"",売分析!AC154,"")</f>
        <v>3378.8235995232399</v>
      </c>
      <c r="L154" s="358">
        <f>IF(売分析!K154&lt;&gt;"",売分析!K154,"")</f>
        <v>4655</v>
      </c>
      <c r="M154" s="230" t="str">
        <f>IF(売分析!P154&lt;&gt;"",売分析!P154,"")</f>
        <v>普通→</v>
      </c>
      <c r="N154" s="360">
        <f>IF(売分析!O154&lt;&gt;"",売分析!O154,"")</f>
        <v>1.2156818860041778</v>
      </c>
      <c r="O154" s="362">
        <f>IF(売分析!X154&lt;&gt;"",売分析!X154,"")</f>
        <v>-51.756590338281967</v>
      </c>
      <c r="P154" s="359">
        <f>IF(売分析!L154&lt;&gt;"",売分析!L154,"")</f>
        <v>-32.653061224489797</v>
      </c>
      <c r="Q154" s="358">
        <f>IF(売分析!S154&lt;&gt;"",売分析!S154,"")</f>
        <v>3260</v>
      </c>
      <c r="R154" s="358">
        <f>IF(売分析!R154&lt;&gt;"",売分析!R154,"")</f>
        <v>2884</v>
      </c>
      <c r="S154" s="230" t="str">
        <f>IF(売分析!AA154&lt;&gt;"",売分析!AA154,"")</f>
        <v>上昇▲</v>
      </c>
      <c r="T154" s="363">
        <f>IF(売分析!Z154&lt;&gt;"",売分析!Z154,"")</f>
        <v>0.48076923076923078</v>
      </c>
      <c r="U154" s="230" t="str">
        <f>IF(売分析!V154&lt;&gt;"",売分析!V154,"")</f>
        <v>安値圏</v>
      </c>
      <c r="V154" s="361">
        <f>IF(売分析!W154&lt;&gt;"",売分析!W154,"")</f>
        <v>12.798874824191273</v>
      </c>
      <c r="W154" s="230" t="str">
        <f>IF(売分析!AD154&lt;&gt;"",売分析!AD154,"")</f>
        <v>下降トレンド▼</v>
      </c>
      <c r="X154" s="230" t="str">
        <f>IF(売分析!AE154&lt;&gt;"",売分析!AE154,"")</f>
        <v>5日戻り売り○</v>
      </c>
      <c r="Y154" s="428">
        <f>IF(売分析!T154&lt;&gt;"",売分析!T154,"")</f>
        <v>15</v>
      </c>
      <c r="Z154" s="230" t="str">
        <f>IF(売分析!Y154&lt;&gt;"",売分析!Y154,"")</f>
        <v>★逆張り売り | 下降トレンド▼ 5日戻り売り○ MACD- RSI:12.8 [売られ過ぎ] 前日比:+0.5% [安値圏]前日[大陰線▼] [15点]</v>
      </c>
    </row>
    <row r="155" spans="1:26">
      <c r="A155" s="350">
        <f>IF(売分析!C155&lt;&gt;"",ROW()-2,"")</f>
        <v>153</v>
      </c>
      <c r="B155" s="349" t="str">
        <f>IF(売分析!C155&lt;&gt;"",HYPERLINK("https://kabutan.jp/stock/?code="&amp;売分析!C155,"株探"),"")</f>
        <v>株探</v>
      </c>
      <c r="C155" s="365">
        <f>IF(売分析!C155&lt;&gt;"",売分析!C155,"")</f>
        <v>6436</v>
      </c>
      <c r="D155" s="350" t="str">
        <f>IF(売分析!D155&lt;&gt;"",売分析!D155,"")</f>
        <v>アマノ</v>
      </c>
      <c r="E155" s="351">
        <f>IF(売分析!E155&lt;&gt;"",売分析!E155,"")</f>
        <v>3565</v>
      </c>
      <c r="F155" s="351">
        <f>IF(売分析!F155&lt;&gt;"",売分析!F155,"")</f>
        <v>3595</v>
      </c>
      <c r="G155" s="351">
        <f>IF(売分析!H155&lt;&gt;"",売分析!H155,"")</f>
        <v>3599</v>
      </c>
      <c r="H155" s="351">
        <f>IF(売分析!I155&lt;&gt;"",売分析!I155,"")</f>
        <v>3546</v>
      </c>
      <c r="I155" s="350">
        <f>IF(売分析!J155&lt;&gt;"",売分析!J155,"")</f>
        <v>212400</v>
      </c>
      <c r="J155" s="351">
        <f>IF(売分析!AB155&lt;&gt;"",売分析!AB155,"")</f>
        <v>3577.1543778801838</v>
      </c>
      <c r="K155" s="351">
        <f>IF(売分析!AC155&lt;&gt;"",売分析!AC155,"")</f>
        <v>3581.3682955899867</v>
      </c>
      <c r="L155" s="351">
        <f>IF(売分析!K155&lt;&gt;"",売分析!K155,"")</f>
        <v>4310</v>
      </c>
      <c r="M155" s="350" t="str">
        <f>IF(売分析!P155&lt;&gt;"",売分析!P155,"")</f>
        <v>普通→</v>
      </c>
      <c r="N155" s="353">
        <f>IF(売分析!O155&lt;&gt;"",売分析!O155,"")</f>
        <v>1.0216450216450217</v>
      </c>
      <c r="O155" s="355">
        <f>IF(売分析!X155&lt;&gt;"",売分析!X155,"")</f>
        <v>-7.8359808787645306</v>
      </c>
      <c r="P155" s="352">
        <f>IF(売分析!L155&lt;&gt;"",売分析!L155,"")</f>
        <v>-17.28538283062645</v>
      </c>
      <c r="Q155" s="351">
        <f>IF(売分析!S155&lt;&gt;"",売分析!S155,"")</f>
        <v>3708</v>
      </c>
      <c r="R155" s="351">
        <f>IF(売分析!R155&lt;&gt;"",売分析!R155,"")</f>
        <v>3280</v>
      </c>
      <c r="S155" s="350" t="str">
        <f>IF(売分析!AA155&lt;&gt;"",売分析!AA155,"")</f>
        <v>上昇▲</v>
      </c>
      <c r="T155" s="356">
        <f>IF(売分析!Z155&lt;&gt;"",売分析!Z155,"")</f>
        <v>5.6132472635419595E-2</v>
      </c>
      <c r="U155" s="350" t="str">
        <f>IF(売分析!V155&lt;&gt;"",売分析!V155,"")</f>
        <v>通常</v>
      </c>
      <c r="V155" s="354">
        <f>IF(売分析!W155&lt;&gt;"",売分析!W155,"")</f>
        <v>45.079365079365076</v>
      </c>
      <c r="W155" s="350" t="str">
        <f>IF(売分析!AD155&lt;&gt;"",売分析!AD155,"")</f>
        <v>下降トレンド▼</v>
      </c>
      <c r="X155" s="350" t="str">
        <f>IF(売分析!AE155&lt;&gt;"",売分析!AE155,"")</f>
        <v>25日戻り売り★</v>
      </c>
      <c r="Y155" s="427">
        <f>IF(売分析!T155&lt;&gt;"",売分析!T155,"")</f>
        <v>9</v>
      </c>
      <c r="Z155" s="350" t="str">
        <f>IF(売分析!Y155&lt;&gt;"",売分析!Y155,"")</f>
        <v>★逆張り売り | 下降トレンド▼ 25日戻り売り★ MACD- RSI:45.1 前日比:+0.1%前日[長い下ヒゲ(反発)] [9点]</v>
      </c>
    </row>
    <row r="156" spans="1:26">
      <c r="A156" s="230">
        <f>IF(売分析!C156&lt;&gt;"",ROW()-2,"")</f>
        <v>154</v>
      </c>
      <c r="B156" s="357" t="str">
        <f>IF(売分析!C156&lt;&gt;"",HYPERLINK("https://kabutan.jp/stock/?code="&amp;売分析!C156,"株探"),"")</f>
        <v>株探</v>
      </c>
      <c r="C156" s="366">
        <f>IF(売分析!C156&lt;&gt;"",売分析!C156,"")</f>
        <v>5440</v>
      </c>
      <c r="D156" s="230" t="str">
        <f>IF(売分析!D156&lt;&gt;"",売分析!D156,"")</f>
        <v>共英製鋼</v>
      </c>
      <c r="E156" s="358">
        <f>IF(売分析!E156&lt;&gt;"",売分析!E156,"")</f>
        <v>1755</v>
      </c>
      <c r="F156" s="358">
        <f>IF(売分析!F156&lt;&gt;"",売分析!F156,"")</f>
        <v>1744</v>
      </c>
      <c r="G156" s="358">
        <f>IF(売分析!H156&lt;&gt;"",売分析!H156,"")</f>
        <v>1787</v>
      </c>
      <c r="H156" s="358">
        <f>IF(売分析!I156&lt;&gt;"",売分析!I156,"")</f>
        <v>1742</v>
      </c>
      <c r="I156" s="230">
        <f>IF(売分析!J156&lt;&gt;"",売分析!J156,"")</f>
        <v>113000</v>
      </c>
      <c r="J156" s="358">
        <f>IF(売分析!AB156&lt;&gt;"",売分析!AB156,"")</f>
        <v>1748.0034562211983</v>
      </c>
      <c r="K156" s="358">
        <f>IF(売分析!AC156&lt;&gt;"",売分析!AC156,"")</f>
        <v>1770.7342073897494</v>
      </c>
      <c r="L156" s="358">
        <f>IF(売分析!K156&lt;&gt;"",売分析!K156,"")</f>
        <v>2696</v>
      </c>
      <c r="M156" s="230" t="str">
        <f>IF(売分析!P156&lt;&gt;"",売分析!P156,"")</f>
        <v>普通→</v>
      </c>
      <c r="N156" s="360">
        <f>IF(売分析!O156&lt;&gt;"",売分析!O156,"")</f>
        <v>1.0378398236590742</v>
      </c>
      <c r="O156" s="362">
        <f>IF(売分析!X156&lt;&gt;"",売分析!X156,"")</f>
        <v>-14.513134903418177</v>
      </c>
      <c r="P156" s="359">
        <f>IF(売分析!L156&lt;&gt;"",売分析!L156,"")</f>
        <v>-34.903560830860535</v>
      </c>
      <c r="Q156" s="358">
        <f>IF(売分析!S156&lt;&gt;"",売分析!S156,"")</f>
        <v>1825</v>
      </c>
      <c r="R156" s="358">
        <f>IF(売分析!R156&lt;&gt;"",売分析!R156,"")</f>
        <v>1615</v>
      </c>
      <c r="S156" s="230" t="str">
        <f>IF(売分析!AA156&lt;&gt;"",売分析!AA156,"")</f>
        <v>上昇▲</v>
      </c>
      <c r="T156" s="363">
        <f>IF(売分析!Z156&lt;&gt;"",売分析!Z156,"")</f>
        <v>0.11409013120365087</v>
      </c>
      <c r="U156" s="230" t="str">
        <f>IF(売分析!V156&lt;&gt;"",売分析!V156,"")</f>
        <v>安値圏</v>
      </c>
      <c r="V156" s="361">
        <f>IF(売分析!W156&lt;&gt;"",売分析!W156,"")</f>
        <v>30.290456431535276</v>
      </c>
      <c r="W156" s="230" t="str">
        <f>IF(売分析!AD156&lt;&gt;"",売分析!AD156,"")</f>
        <v>もみ合い→</v>
      </c>
      <c r="X156" s="230" t="str">
        <f>IF(売分析!AE156&lt;&gt;"",売分析!AE156,"")</f>
        <v>25日戻り売り★</v>
      </c>
      <c r="Y156" s="428">
        <f>IF(売分析!T156&lt;&gt;"",売分析!T156,"")</f>
        <v>14</v>
      </c>
      <c r="Z156" s="230" t="str">
        <f>IF(売分析!Y156&lt;&gt;"",売分析!Y156,"")</f>
        <v>○逆張り売り | もみ合い→ 25日戻り売り★ MACD- RSI:30.3 前日比:+0.1% [安値圏] [上ヒゲ陰線▼] [14点]</v>
      </c>
    </row>
    <row r="157" spans="1:26">
      <c r="A157" s="350">
        <f>IF(売分析!C157&lt;&gt;"",ROW()-2,"")</f>
        <v>155</v>
      </c>
      <c r="B157" s="349" t="str">
        <f>IF(売分析!C157&lt;&gt;"",HYPERLINK("https://kabutan.jp/stock/?code="&amp;売分析!C157,"株探"),"")</f>
        <v>株探</v>
      </c>
      <c r="C157" s="365">
        <f>IF(売分析!C157&lt;&gt;"",売分析!C157,"")</f>
        <v>9505</v>
      </c>
      <c r="D157" s="350" t="str">
        <f>IF(売分析!D157&lt;&gt;"",売分析!D157,"")</f>
        <v>北陸電力</v>
      </c>
      <c r="E157" s="351">
        <f>IF(売分析!E157&lt;&gt;"",売分析!E157,"")</f>
        <v>850</v>
      </c>
      <c r="F157" s="351">
        <f>IF(売分析!F157&lt;&gt;"",売分析!F157,"")</f>
        <v>849</v>
      </c>
      <c r="G157" s="351">
        <f>IF(売分析!H157&lt;&gt;"",売分析!H157,"")</f>
        <v>859.5</v>
      </c>
      <c r="H157" s="351">
        <f>IF(売分析!I157&lt;&gt;"",売分析!I157,"")</f>
        <v>840.1</v>
      </c>
      <c r="I157" s="350">
        <f>IF(売分析!J157&lt;&gt;"",売分析!J157,"")</f>
        <v>883400</v>
      </c>
      <c r="J157" s="351">
        <f>IF(売分析!AB157&lt;&gt;"",売分析!AB157,"")</f>
        <v>853.84827188940085</v>
      </c>
      <c r="K157" s="351">
        <f>IF(売分析!AC157&lt;&gt;"",売分析!AC157,"")</f>
        <v>847.07759237187076</v>
      </c>
      <c r="L157" s="351">
        <f>IF(売分析!K157&lt;&gt;"",売分析!K157,"")</f>
        <v>1142</v>
      </c>
      <c r="M157" s="350" t="str">
        <f>IF(売分析!P157&lt;&gt;"",売分析!P157,"")</f>
        <v>減少↓</v>
      </c>
      <c r="N157" s="353">
        <f>IF(売分析!O157&lt;&gt;"",売分析!O157,"")</f>
        <v>0.93491374748650646</v>
      </c>
      <c r="O157" s="355">
        <f>IF(売分析!X157&lt;&gt;"",売分析!X157,"")</f>
        <v>-3.8066611871565783</v>
      </c>
      <c r="P157" s="352">
        <f>IF(売分析!L157&lt;&gt;"",売分析!L157,"")</f>
        <v>-25.569176882661999</v>
      </c>
      <c r="Q157" s="351">
        <f>IF(売分析!S157&lt;&gt;"",売分析!S157,"")</f>
        <v>884</v>
      </c>
      <c r="R157" s="351">
        <f>IF(売分析!R157&lt;&gt;"",売分析!R157,"")</f>
        <v>782</v>
      </c>
      <c r="S157" s="350" t="str">
        <f>IF(売分析!AA157&lt;&gt;"",売分析!AA157,"")</f>
        <v>下落▼</v>
      </c>
      <c r="T157" s="356">
        <f>IF(売分析!Z157&lt;&gt;"",売分析!Z157,"")</f>
        <v>-0.19960079840319894</v>
      </c>
      <c r="U157" s="350" t="str">
        <f>IF(売分析!V157&lt;&gt;"",売分析!V157,"")</f>
        <v>安値圏</v>
      </c>
      <c r="V157" s="354">
        <f>IF(売分析!W157&lt;&gt;"",売分析!W157,"")</f>
        <v>50.79834417504437</v>
      </c>
      <c r="W157" s="350" t="str">
        <f>IF(売分析!AD157&lt;&gt;"",売分析!AD157,"")</f>
        <v>上昇トレンド▲</v>
      </c>
      <c r="X157" s="350" t="str">
        <f>IF(売分析!AE157&lt;&gt;"",売分析!AE157,"")</f>
        <v>5日戻り売り○</v>
      </c>
      <c r="Y157" s="427">
        <f>IF(売分析!T157&lt;&gt;"",売分析!T157,"")</f>
        <v>13</v>
      </c>
      <c r="Z157" s="350" t="str">
        <f>IF(売分析!Y157&lt;&gt;"",売分析!Y157,"")</f>
        <v>相場上昇・見送り | 上昇トレンド▲ 5日戻り売り○ MACD- RSI:50.8 前日比:-0.2% [安値圏]前日[大陰線▼] [13点]</v>
      </c>
    </row>
    <row r="158" spans="1:26">
      <c r="A158" s="230">
        <f>IF(売分析!C158&lt;&gt;"",ROW()-2,"")</f>
        <v>156</v>
      </c>
      <c r="B158" s="357" t="str">
        <f>IF(売分析!C158&lt;&gt;"",HYPERLINK("https://kabutan.jp/stock/?code="&amp;売分析!C158,"株探"),"")</f>
        <v>株探</v>
      </c>
      <c r="C158" s="366">
        <f>IF(売分析!C158&lt;&gt;"",売分析!C158,"")</f>
        <v>8091</v>
      </c>
      <c r="D158" s="230" t="str">
        <f>IF(売分析!D158&lt;&gt;"",売分析!D158,"")</f>
        <v>ニチモウ</v>
      </c>
      <c r="E158" s="358">
        <f>IF(売分析!E158&lt;&gt;"",売分析!E158,"")</f>
        <v>2211</v>
      </c>
      <c r="F158" s="358">
        <f>IF(売分析!F158&lt;&gt;"",売分析!F158,"")</f>
        <v>2219</v>
      </c>
      <c r="G158" s="358">
        <f>IF(売分析!H158&lt;&gt;"",売分析!H158,"")</f>
        <v>2240</v>
      </c>
      <c r="H158" s="358">
        <f>IF(売分析!I158&lt;&gt;"",売分析!I158,"")</f>
        <v>2211</v>
      </c>
      <c r="I158" s="230">
        <f>IF(売分析!J158&lt;&gt;"",売分析!J158,"")</f>
        <v>13300</v>
      </c>
      <c r="J158" s="358">
        <f>IF(売分析!AB158&lt;&gt;"",売分析!AB158,"")</f>
        <v>2201.6543778801843</v>
      </c>
      <c r="K158" s="358">
        <f>IF(売分析!AC158&lt;&gt;"",売分析!AC158,"")</f>
        <v>2183.3003575685334</v>
      </c>
      <c r="L158" s="358">
        <f>IF(売分析!K158&lt;&gt;"",売分析!K158,"")</f>
        <v>2730</v>
      </c>
      <c r="M158" s="230" t="str">
        <f>IF(売分析!P158&lt;&gt;"",売分析!P158,"")</f>
        <v>普通→</v>
      </c>
      <c r="N158" s="360">
        <f>IF(売分析!O158&lt;&gt;"",売分析!O158,"")</f>
        <v>1.0326086956521738</v>
      </c>
      <c r="O158" s="362">
        <f>IF(売分析!X158&lt;&gt;"",売分析!X158,"")</f>
        <v>1.8308582664303685</v>
      </c>
      <c r="P158" s="359">
        <f>IF(売分析!L158&lt;&gt;"",売分析!L158,"")</f>
        <v>-19.010989010989011</v>
      </c>
      <c r="Q158" s="358">
        <f>IF(売分析!S158&lt;&gt;"",売分析!S158,"")</f>
        <v>2299</v>
      </c>
      <c r="R158" s="358">
        <f>IF(売分析!R158&lt;&gt;"",売分析!R158,"")</f>
        <v>2034</v>
      </c>
      <c r="S158" s="230" t="str">
        <f>IF(売分析!AA158&lt;&gt;"",売分析!AA158,"")</f>
        <v>下落▼</v>
      </c>
      <c r="T158" s="363">
        <f>IF(売分析!Z158&lt;&gt;"",売分析!Z158,"")</f>
        <v>-0.13550135501355012</v>
      </c>
      <c r="U158" s="230" t="str">
        <f>IF(売分析!V158&lt;&gt;"",売分析!V158,"")</f>
        <v>通常</v>
      </c>
      <c r="V158" s="361">
        <f>IF(売分析!W158&lt;&gt;"",売分析!W158,"")</f>
        <v>62.578616352201259</v>
      </c>
      <c r="W158" s="230" t="str">
        <f>IF(売分析!AD158&lt;&gt;"",売分析!AD158,"")</f>
        <v>パーフェクト▲</v>
      </c>
      <c r="X158" s="230" t="str">
        <f>IF(売分析!AE158&lt;&gt;"",売分析!AE158,"")</f>
        <v>なし</v>
      </c>
      <c r="Y158" s="428">
        <f>IF(売分析!T158&lt;&gt;"",売分析!T158,"")</f>
        <v>7</v>
      </c>
      <c r="Z158" s="230" t="str">
        <f>IF(売分析!Y158&lt;&gt;"",売分析!Y158,"")</f>
        <v>相場上昇・見送り | パーフェクト▲ MACD+ RSI:62.6 前日比:-0.1% [上ヒゲ陰線▼]前日[長い下ヒゲ(反発)] [7点]</v>
      </c>
    </row>
    <row r="159" spans="1:26">
      <c r="A159" s="350">
        <f>IF(売分析!C159&lt;&gt;"",ROW()-2,"")</f>
        <v>157</v>
      </c>
      <c r="B159" s="349" t="str">
        <f>IF(売分析!C159&lt;&gt;"",HYPERLINK("https://kabutan.jp/stock/?code="&amp;売分析!C159,"株探"),"")</f>
        <v>株探</v>
      </c>
      <c r="C159" s="365">
        <f>IF(売分析!C159&lt;&gt;"",売分析!C159,"")</f>
        <v>9022</v>
      </c>
      <c r="D159" s="350" t="str">
        <f>IF(売分析!D159&lt;&gt;"",売分析!D159,"")</f>
        <v>東海旅客鉄道</v>
      </c>
      <c r="E159" s="351">
        <f>IF(売分析!E159&lt;&gt;"",売分析!E159,"")</f>
        <v>3297</v>
      </c>
      <c r="F159" s="351">
        <f>IF(売分析!F159&lt;&gt;"",売分析!F159,"")</f>
        <v>3364</v>
      </c>
      <c r="G159" s="351">
        <f>IF(売分析!H159&lt;&gt;"",売分析!H159,"")</f>
        <v>3371</v>
      </c>
      <c r="H159" s="351">
        <f>IF(売分析!I159&lt;&gt;"",売分析!I159,"")</f>
        <v>3284</v>
      </c>
      <c r="I159" s="350">
        <f>IF(売分析!J159&lt;&gt;"",売分析!J159,"")</f>
        <v>3410000</v>
      </c>
      <c r="J159" s="351">
        <f>IF(売分析!AB159&lt;&gt;"",売分析!AB159,"")</f>
        <v>3350.691244239631</v>
      </c>
      <c r="K159" s="351">
        <f>IF(売分析!AC159&lt;&gt;"",売分析!AC159,"")</f>
        <v>3422.2133492252674</v>
      </c>
      <c r="L159" s="351">
        <f>IF(売分析!K159&lt;&gt;"",売分析!K159,"")</f>
        <v>4830</v>
      </c>
      <c r="M159" s="350" t="str">
        <f>IF(売分析!P159&lt;&gt;"",売分析!P159,"")</f>
        <v>減少↓</v>
      </c>
      <c r="N159" s="353">
        <f>IF(売分析!O159&lt;&gt;"",売分析!O159,"")</f>
        <v>0.92051203144317928</v>
      </c>
      <c r="O159" s="355">
        <f>IF(売分析!X159&lt;&gt;"",売分析!X159,"")</f>
        <v>-29.393989388589944</v>
      </c>
      <c r="P159" s="352">
        <f>IF(売分析!L159&lt;&gt;"",売分析!L159,"")</f>
        <v>-31.739130434782609</v>
      </c>
      <c r="Q159" s="351">
        <f>IF(売分析!S159&lt;&gt;"",売分析!S159,"")</f>
        <v>3429</v>
      </c>
      <c r="R159" s="351">
        <f>IF(売分析!R159&lt;&gt;"",売分析!R159,"")</f>
        <v>3033</v>
      </c>
      <c r="S159" s="350" t="str">
        <f>IF(売分析!AA159&lt;&gt;"",売分析!AA159,"")</f>
        <v>下落▼</v>
      </c>
      <c r="T159" s="356">
        <f>IF(売分析!Z159&lt;&gt;"",売分析!Z159,"")</f>
        <v>-1.6114592658907789</v>
      </c>
      <c r="U159" s="350" t="str">
        <f>IF(売分析!V159&lt;&gt;"",売分析!V159,"")</f>
        <v>安値圏</v>
      </c>
      <c r="V159" s="354">
        <f>IF(売分析!W159&lt;&gt;"",売分析!W159,"")</f>
        <v>34.222919937205646</v>
      </c>
      <c r="W159" s="350" t="str">
        <f>IF(売分析!AD159&lt;&gt;"",売分析!AD159,"")</f>
        <v>下降トレンド▼</v>
      </c>
      <c r="X159" s="350" t="str">
        <f>IF(売分析!AE159&lt;&gt;"",売分析!AE159,"")</f>
        <v>なし</v>
      </c>
      <c r="Y159" s="427">
        <f>IF(売分析!T159&lt;&gt;"",売分析!T159,"")</f>
        <v>15</v>
      </c>
      <c r="Z159" s="350" t="str">
        <f>IF(売分析!Y159&lt;&gt;"",売分析!Y159,"")</f>
        <v>相場上昇・見送り | 下降トレンド▼ MACD- RSI:34.2 前日比:-1.6% [安値圏] [大陰線▼] [15点]</v>
      </c>
    </row>
    <row r="160" spans="1:26">
      <c r="A160" s="230">
        <f>IF(売分析!C160&lt;&gt;"",ROW()-2,"")</f>
        <v>158</v>
      </c>
      <c r="B160" s="357" t="str">
        <f>IF(売分析!C160&lt;&gt;"",HYPERLINK("https://kabutan.jp/stock/?code="&amp;売分析!C160,"株探"),"")</f>
        <v>株探</v>
      </c>
      <c r="C160" s="366">
        <f>IF(売分析!C160&lt;&gt;"",売分析!C160,"")</f>
        <v>9536</v>
      </c>
      <c r="D160" s="230" t="str">
        <f>IF(売分析!D160&lt;&gt;"",売分析!D160,"")</f>
        <v>西部ガスＨＬＤＧＳ</v>
      </c>
      <c r="E160" s="358">
        <f>IF(売分析!E160&lt;&gt;"",売分析!E160,"")</f>
        <v>2240</v>
      </c>
      <c r="F160" s="358">
        <f>IF(売分析!F160&lt;&gt;"",売分析!F160,"")</f>
        <v>2242</v>
      </c>
      <c r="G160" s="358">
        <f>IF(売分析!H160&lt;&gt;"",売分析!H160,"")</f>
        <v>2262</v>
      </c>
      <c r="H160" s="358">
        <f>IF(売分析!I160&lt;&gt;"",売分析!I160,"")</f>
        <v>2237</v>
      </c>
      <c r="I160" s="230">
        <f>IF(売分析!J160&lt;&gt;"",売分析!J160,"")</f>
        <v>55900</v>
      </c>
      <c r="J160" s="358">
        <f>IF(売分析!AB160&lt;&gt;"",売分析!AB160,"")</f>
        <v>2238.2511520737326</v>
      </c>
      <c r="K160" s="358">
        <f>IF(売分析!AC160&lt;&gt;"",売分析!AC160,"")</f>
        <v>2215.8986889153753</v>
      </c>
      <c r="L160" s="358">
        <f>IF(売分析!K160&lt;&gt;"",売分析!K160,"")</f>
        <v>2634</v>
      </c>
      <c r="M160" s="230" t="str">
        <f>IF(売分析!P160&lt;&gt;"",売分析!P160,"")</f>
        <v>減少↓</v>
      </c>
      <c r="N160" s="360">
        <f>IF(売分析!O160&lt;&gt;"",売分析!O160,"")</f>
        <v>0.87180286961946352</v>
      </c>
      <c r="O160" s="362">
        <f>IF(売分析!X160&lt;&gt;"",売分析!X160,"")</f>
        <v>1.9415178375966207</v>
      </c>
      <c r="P160" s="359">
        <f>IF(売分析!L160&lt;&gt;"",売分析!L160,"")</f>
        <v>-14.958238420653</v>
      </c>
      <c r="Q160" s="358">
        <f>IF(売分析!S160&lt;&gt;"",売分析!S160,"")</f>
        <v>2330</v>
      </c>
      <c r="R160" s="358">
        <f>IF(売分析!R160&lt;&gt;"",売分析!R160,"")</f>
        <v>2061</v>
      </c>
      <c r="S160" s="230" t="str">
        <f>IF(売分析!AA160&lt;&gt;"",売分析!AA160,"")</f>
        <v>上昇▲</v>
      </c>
      <c r="T160" s="363">
        <f>IF(売分析!Z160&lt;&gt;"",売分析!Z160,"")</f>
        <v>8.936550491510277E-2</v>
      </c>
      <c r="U160" s="230" t="str">
        <f>IF(売分析!V160&lt;&gt;"",売分析!V160,"")</f>
        <v>通常</v>
      </c>
      <c r="V160" s="361">
        <f>IF(売分析!W160&lt;&gt;"",売分析!W160,"")</f>
        <v>58.695652173913047</v>
      </c>
      <c r="W160" s="230" t="str">
        <f>IF(売分析!AD160&lt;&gt;"",売分析!AD160,"")</f>
        <v>パーフェクト▲</v>
      </c>
      <c r="X160" s="230" t="str">
        <f>IF(売分析!AE160&lt;&gt;"",売分析!AE160,"")</f>
        <v>なし</v>
      </c>
      <c r="Y160" s="428">
        <f>IF(売分析!T160&lt;&gt;"",売分析!T160,"")</f>
        <v>2</v>
      </c>
      <c r="Z160" s="230" t="str">
        <f>IF(売分析!Y160&lt;&gt;"",売分析!Y160,"")</f>
        <v>相場上昇・見送り | パーフェクト▲ MACD+ RSI:58.7 前日比:+0.1% [2点]</v>
      </c>
    </row>
    <row r="161" spans="1:26">
      <c r="A161" s="350">
        <f>IF(売分析!C161&lt;&gt;"",ROW()-2,"")</f>
        <v>159</v>
      </c>
      <c r="B161" s="349" t="str">
        <f>IF(売分析!C161&lt;&gt;"",HYPERLINK("https://kabutan.jp/stock/?code="&amp;売分析!C161,"株探"),"")</f>
        <v>株探</v>
      </c>
      <c r="C161" s="365">
        <f>IF(売分析!C161&lt;&gt;"",売分析!C161,"")</f>
        <v>2127</v>
      </c>
      <c r="D161" s="350" t="str">
        <f>IF(売分析!D161&lt;&gt;"",売分析!D161,"")</f>
        <v>日本Ｍ＆Ａセンターホールデ</v>
      </c>
      <c r="E161" s="351">
        <f>IF(売分析!E161&lt;&gt;"",売分析!E161,"")</f>
        <v>650.9</v>
      </c>
      <c r="F161" s="351">
        <f>IF(売分析!F161&lt;&gt;"",売分析!F161,"")</f>
        <v>645</v>
      </c>
      <c r="G161" s="351">
        <f>IF(売分析!H161&lt;&gt;"",売分析!H161,"")</f>
        <v>653.4</v>
      </c>
      <c r="H161" s="351">
        <f>IF(売分析!I161&lt;&gt;"",売分析!I161,"")</f>
        <v>640.79999999999995</v>
      </c>
      <c r="I161" s="350">
        <f>IF(売分析!J161&lt;&gt;"",売分析!J161,"")</f>
        <v>1269200</v>
      </c>
      <c r="J161" s="351">
        <f>IF(売分析!AB161&lt;&gt;"",売分析!AB161,"")</f>
        <v>643.27396313364068</v>
      </c>
      <c r="K161" s="351">
        <f>IF(売分析!AC161&lt;&gt;"",売分析!AC161,"")</f>
        <v>644.40119189511279</v>
      </c>
      <c r="L161" s="351">
        <f>IF(売分析!K161&lt;&gt;"",売分析!K161,"")</f>
        <v>763.7</v>
      </c>
      <c r="M161" s="350" t="str">
        <f>IF(売分析!P161&lt;&gt;"",売分析!P161,"")</f>
        <v>減少↓</v>
      </c>
      <c r="N161" s="353">
        <f>IF(売分析!O161&lt;&gt;"",売分析!O161,"")</f>
        <v>0.87961743710582851</v>
      </c>
      <c r="O161" s="355">
        <f>IF(売分析!X161&lt;&gt;"",売分析!X161,"")</f>
        <v>-1.8756853036353505</v>
      </c>
      <c r="P161" s="352">
        <f>IF(売分析!L161&lt;&gt;"",売分析!L161,"")</f>
        <v>-14.770197721618445</v>
      </c>
      <c r="Q161" s="351">
        <f>IF(売分析!S161&lt;&gt;"",売分析!S161,"")</f>
        <v>677</v>
      </c>
      <c r="R161" s="351">
        <f>IF(売分析!R161&lt;&gt;"",売分析!R161,"")</f>
        <v>599</v>
      </c>
      <c r="S161" s="350" t="str">
        <f>IF(売分析!AA161&lt;&gt;"",売分析!AA161,"")</f>
        <v>上昇▲</v>
      </c>
      <c r="T161" s="356">
        <f>IF(売分析!Z161&lt;&gt;"",売分析!Z161,"")</f>
        <v>1.9739934200219369</v>
      </c>
      <c r="U161" s="350" t="str">
        <f>IF(売分析!V161&lt;&gt;"",売分析!V161,"")</f>
        <v>通常</v>
      </c>
      <c r="V161" s="354">
        <f>IF(売分析!W161&lt;&gt;"",売分析!W161,"")</f>
        <v>41.358024691357976</v>
      </c>
      <c r="W161" s="350" t="str">
        <f>IF(売分析!AD161&lt;&gt;"",売分析!AD161,"")</f>
        <v>上昇トレンド▲</v>
      </c>
      <c r="X161" s="350" t="str">
        <f>IF(売分析!AE161&lt;&gt;"",売分析!AE161,"")</f>
        <v>なし</v>
      </c>
      <c r="Y161" s="427">
        <f>IF(売分析!T161&lt;&gt;"",売分析!T161,"")</f>
        <v>3</v>
      </c>
      <c r="Z161" s="350" t="str">
        <f>IF(売分析!Y161&lt;&gt;"",売分析!Y161,"")</f>
        <v>相場上昇・見送り | 上昇トレンド▲ MACD- RSI:41.4 前日比:+2.0% [3点]</v>
      </c>
    </row>
    <row r="162" spans="1:26">
      <c r="A162" s="230">
        <f>IF(売分析!C162&lt;&gt;"",ROW()-2,"")</f>
        <v>160</v>
      </c>
      <c r="B162" s="357" t="str">
        <f>IF(売分析!C162&lt;&gt;"",HYPERLINK("https://kabutan.jp/stock/?code="&amp;売分析!C162,"株探"),"")</f>
        <v>株探</v>
      </c>
      <c r="C162" s="366">
        <f>IF(売分析!C162&lt;&gt;"",売分析!C162,"")</f>
        <v>6753</v>
      </c>
      <c r="D162" s="230" t="str">
        <f>IF(売分析!D162&lt;&gt;"",売分析!D162,"")</f>
        <v>シャープ</v>
      </c>
      <c r="E162" s="358">
        <f>IF(売分析!E162&lt;&gt;"",売分析!E162,"")</f>
        <v>594.4</v>
      </c>
      <c r="F162" s="358">
        <f>IF(売分析!F162&lt;&gt;"",売分析!F162,"")</f>
        <v>594</v>
      </c>
      <c r="G162" s="358">
        <f>IF(売分析!H162&lt;&gt;"",売分析!H162,"")</f>
        <v>601</v>
      </c>
      <c r="H162" s="358">
        <f>IF(売分析!I162&lt;&gt;"",売分析!I162,"")</f>
        <v>589</v>
      </c>
      <c r="I162" s="230">
        <f>IF(売分析!J162&lt;&gt;"",売分析!J162,"")</f>
        <v>2353100</v>
      </c>
      <c r="J162" s="358">
        <f>IF(売分析!AB162&lt;&gt;"",売分析!AB162,"")</f>
        <v>602.92523041474647</v>
      </c>
      <c r="K162" s="358">
        <f>IF(売分析!AC162&lt;&gt;"",売分析!AC162,"")</f>
        <v>624.30631704409996</v>
      </c>
      <c r="L162" s="358">
        <f>IF(売分析!K162&lt;&gt;"",売分析!K162,"")</f>
        <v>830.5</v>
      </c>
      <c r="M162" s="230" t="str">
        <f>IF(売分析!P162&lt;&gt;"",売分析!P162,"")</f>
        <v>減少↓</v>
      </c>
      <c r="N162" s="360">
        <f>IF(売分析!O162&lt;&gt;"",売分析!O162,"")</f>
        <v>0.72723957399726791</v>
      </c>
      <c r="O162" s="362">
        <f>IF(売分析!X162&lt;&gt;"",売分析!X162,"")</f>
        <v>1.1685373289975587</v>
      </c>
      <c r="P162" s="359">
        <f>IF(売分析!L162&lt;&gt;"",売分析!L162,"")</f>
        <v>-28.428657435279952</v>
      </c>
      <c r="Q162" s="358">
        <f>IF(売分析!S162&lt;&gt;"",売分析!S162,"")</f>
        <v>618</v>
      </c>
      <c r="R162" s="358">
        <f>IF(売分析!R162&lt;&gt;"",売分析!R162,"")</f>
        <v>547</v>
      </c>
      <c r="S162" s="230" t="str">
        <f>IF(売分析!AA162&lt;&gt;"",売分析!AA162,"")</f>
        <v>上昇▲</v>
      </c>
      <c r="T162" s="363">
        <f>IF(売分析!Z162&lt;&gt;"",売分析!Z162,"")</f>
        <v>0.10104412260020593</v>
      </c>
      <c r="U162" s="230" t="str">
        <f>IF(売分析!V162&lt;&gt;"",売分析!V162,"")</f>
        <v>安値圏</v>
      </c>
      <c r="V162" s="361">
        <f>IF(売分析!W162&lt;&gt;"",売分析!W162,"")</f>
        <v>36.66666666666665</v>
      </c>
      <c r="W162" s="230" t="str">
        <f>IF(売分析!AD162&lt;&gt;"",売分析!AD162,"")</f>
        <v>下降トレンド▼</v>
      </c>
      <c r="X162" s="230" t="str">
        <f>IF(売分析!AE162&lt;&gt;"",売分析!AE162,"")</f>
        <v>なし</v>
      </c>
      <c r="Y162" s="428">
        <f>IF(売分析!T162&lt;&gt;"",売分析!T162,"")</f>
        <v>7</v>
      </c>
      <c r="Z162" s="230" t="str">
        <f>IF(売分析!Y162&lt;&gt;"",売分析!Y162,"")</f>
        <v>相場上昇・見送り | 下降トレンド▼ MACD+ RSI:36.7 前日比:+0.1% [安値圏]前日[大陰線▼] [7点]</v>
      </c>
    </row>
    <row r="163" spans="1:26">
      <c r="A163" s="350">
        <f>IF(売分析!C163&lt;&gt;"",ROW()-2,"")</f>
        <v>161</v>
      </c>
      <c r="B163" s="349" t="str">
        <f>IF(売分析!C163&lt;&gt;"",HYPERLINK("https://kabutan.jp/stock/?code="&amp;売分析!C163,"株探"),"")</f>
        <v>株探</v>
      </c>
      <c r="C163" s="365" t="str">
        <f>IF(売分析!C163&lt;&gt;"",売分析!C163,"")</f>
        <v>9064</v>
      </c>
      <c r="D163" s="350" t="str">
        <f>IF(売分析!D163&lt;&gt;"",売分析!D163,"")</f>
        <v>ヤマトホールディングス</v>
      </c>
      <c r="E163" s="351">
        <f>IF(売分析!E163&lt;&gt;"",売分析!E163,"")</f>
        <v>1769.5</v>
      </c>
      <c r="F163" s="351">
        <f>IF(売分析!F163&lt;&gt;"",売分析!F163,"")</f>
        <v>1770</v>
      </c>
      <c r="G163" s="351">
        <f>IF(売分析!H163&lt;&gt;"",売分析!H163,"")</f>
        <v>1780</v>
      </c>
      <c r="H163" s="351">
        <f>IF(売分析!I163&lt;&gt;"",売分析!I163,"")</f>
        <v>1763</v>
      </c>
      <c r="I163" s="350">
        <f>IF(売分析!J163&lt;&gt;"",売分析!J163,"")</f>
        <v>830300</v>
      </c>
      <c r="J163" s="351">
        <f>IF(売分析!AB163&lt;&gt;"",売分析!AB163,"")</f>
        <v>1781.3675115207375</v>
      </c>
      <c r="K163" s="351">
        <f>IF(売分析!AC163&lt;&gt;"",売分析!AC163,"")</f>
        <v>1786.4404052443381</v>
      </c>
      <c r="L163" s="351">
        <f>IF(売分析!K163&lt;&gt;"",売分析!K163,"")</f>
        <v>2275</v>
      </c>
      <c r="M163" s="350" t="str">
        <f>IF(売分析!P163&lt;&gt;"",売分析!P163,"")</f>
        <v>減少↓</v>
      </c>
      <c r="N163" s="353">
        <f>IF(売分析!O163&lt;&gt;"",売分析!O163,"")</f>
        <v>0.73939836500614453</v>
      </c>
      <c r="O163" s="355">
        <f>IF(売分析!X163&lt;&gt;"",売分析!X163,"")</f>
        <v>3.7881399782686458</v>
      </c>
      <c r="P163" s="352">
        <f>IF(売分析!L163&lt;&gt;"",売分析!L163,"")</f>
        <v>-22.219780219780219</v>
      </c>
      <c r="Q163" s="351">
        <f>IF(売分析!S163&lt;&gt;"",売分析!S163,"")</f>
        <v>1840</v>
      </c>
      <c r="R163" s="351">
        <f>IF(売分析!R163&lt;&gt;"",売分析!R163,"")</f>
        <v>1628</v>
      </c>
      <c r="S163" s="350" t="str">
        <f>IF(売分析!AA163&lt;&gt;"",売分析!AA163,"")</f>
        <v>下落▼</v>
      </c>
      <c r="T163" s="356">
        <f>IF(売分析!Z163&lt;&gt;"",売分析!Z163,"")</f>
        <v>-0.28176951253874327</v>
      </c>
      <c r="U163" s="350" t="str">
        <f>IF(売分析!V163&lt;&gt;"",売分析!V163,"")</f>
        <v>通常</v>
      </c>
      <c r="V163" s="354">
        <f>IF(売分析!W163&lt;&gt;"",売分析!W163,"")</f>
        <v>50.24154589371981</v>
      </c>
      <c r="W163" s="350" t="str">
        <f>IF(売分析!AD163&lt;&gt;"",売分析!AD163,"")</f>
        <v>下降トレンド▼</v>
      </c>
      <c r="X163" s="350" t="str">
        <f>IF(売分析!AE163&lt;&gt;"",売分析!AE163,"")</f>
        <v>25日戻り売り★</v>
      </c>
      <c r="Y163" s="427">
        <f>IF(売分析!T163&lt;&gt;"",売分析!T163,"")</f>
        <v>9</v>
      </c>
      <c r="Z163" s="350" t="str">
        <f>IF(売分析!Y163&lt;&gt;"",売分析!Y163,"")</f>
        <v>★逆張り売り | 下降トレンド▼ 25日戻り売り★ MACD+ RSI:50.2 前日比:-0.3% [9点]</v>
      </c>
    </row>
    <row r="164" spans="1:26">
      <c r="A164" s="230">
        <f>IF(売分析!C164&lt;&gt;"",ROW()-2,"")</f>
        <v>162</v>
      </c>
      <c r="B164" s="357" t="str">
        <f>IF(売分析!C164&lt;&gt;"",HYPERLINK("https://kabutan.jp/stock/?code="&amp;売分析!C164,"株探"),"")</f>
        <v>株探</v>
      </c>
      <c r="C164" s="366">
        <f>IF(売分析!C164&lt;&gt;"",売分析!C164,"")</f>
        <v>9101</v>
      </c>
      <c r="D164" s="230" t="str">
        <f>IF(売分析!D164&lt;&gt;"",売分析!D164,"")</f>
        <v>日本郵船</v>
      </c>
      <c r="E164" s="358">
        <f>IF(売分析!E164&lt;&gt;"",売分析!E164,"")</f>
        <v>5348</v>
      </c>
      <c r="F164" s="358">
        <f>IF(売分析!F164&lt;&gt;"",売分析!F164,"")</f>
        <v>5409</v>
      </c>
      <c r="G164" s="358">
        <f>IF(売分析!H164&lt;&gt;"",売分析!H164,"")</f>
        <v>5410</v>
      </c>
      <c r="H164" s="358">
        <f>IF(売分析!I164&lt;&gt;"",売分析!I164,"")</f>
        <v>5281</v>
      </c>
      <c r="I164" s="230">
        <f>IF(売分析!J164&lt;&gt;"",売分析!J164,"")</f>
        <v>3087700</v>
      </c>
      <c r="J164" s="358">
        <f>IF(売分析!AB164&lt;&gt;"",売分析!AB164,"")</f>
        <v>5478.4239631336395</v>
      </c>
      <c r="K164" s="358">
        <f>IF(売分析!AC164&lt;&gt;"",売分析!AC164,"")</f>
        <v>5468.5637663885545</v>
      </c>
      <c r="L164" s="358">
        <f>IF(売分析!K164&lt;&gt;"",売分析!K164,"")</f>
        <v>6394</v>
      </c>
      <c r="M164" s="230" t="str">
        <f>IF(売分析!P164&lt;&gt;"",売分析!P164,"")</f>
        <v>普通→</v>
      </c>
      <c r="N164" s="360">
        <f>IF(売分析!O164&lt;&gt;"",売分析!O164,"")</f>
        <v>1.0118431228617495</v>
      </c>
      <c r="O164" s="362">
        <f>IF(売分析!X164&lt;&gt;"",売分析!X164,"")</f>
        <v>14.235355577758128</v>
      </c>
      <c r="P164" s="359">
        <f>IF(売分析!L164&lt;&gt;"",売分析!L164,"")</f>
        <v>-16.359086643728496</v>
      </c>
      <c r="Q164" s="358">
        <f>IF(売分析!S164&lt;&gt;"",売分析!S164,"")</f>
        <v>5562</v>
      </c>
      <c r="R164" s="358">
        <f>IF(売分析!R164&lt;&gt;"",売分析!R164,"")</f>
        <v>4920</v>
      </c>
      <c r="S164" s="230" t="str">
        <f>IF(売分析!AA164&lt;&gt;"",売分析!AA164,"")</f>
        <v>下落▼</v>
      </c>
      <c r="T164" s="363">
        <f>IF(売分析!Z164&lt;&gt;"",売分析!Z164,"")</f>
        <v>-2.1587998536406876</v>
      </c>
      <c r="U164" s="230" t="str">
        <f>IF(売分析!V164&lt;&gt;"",売分析!V164,"")</f>
        <v>通常</v>
      </c>
      <c r="V164" s="361">
        <f>IF(売分析!W164&lt;&gt;"",売分析!W164,"")</f>
        <v>57.481940144478841</v>
      </c>
      <c r="W164" s="230" t="str">
        <f>IF(売分析!AD164&lt;&gt;"",売分析!AD164,"")</f>
        <v>もみ合い→</v>
      </c>
      <c r="X164" s="230" t="str">
        <f>IF(売分析!AE164&lt;&gt;"",売分析!AE164,"")</f>
        <v>なし</v>
      </c>
      <c r="Y164" s="428">
        <f>IF(売分析!T164&lt;&gt;"",売分析!T164,"")</f>
        <v>5</v>
      </c>
      <c r="Z164" s="230" t="str">
        <f>IF(売分析!Y164&lt;&gt;"",売分析!Y164,"")</f>
        <v>相場上昇・見送り | もみ合い→ MACD+ RSI:57.5 前日比:-2.2% [長い下ヒゲ(反発警戒)] [5点]</v>
      </c>
    </row>
    <row r="165" spans="1:26">
      <c r="A165" s="350">
        <f>IF(売分析!C165&lt;&gt;"",ROW()-2,"")</f>
        <v>163</v>
      </c>
      <c r="B165" s="349" t="str">
        <f>IF(売分析!C165&lt;&gt;"",HYPERLINK("https://kabutan.jp/stock/?code="&amp;売分析!C165,"株探"),"")</f>
        <v>株探</v>
      </c>
      <c r="C165" s="365">
        <f>IF(売分析!C165&lt;&gt;"",売分析!C165,"")</f>
        <v>5423</v>
      </c>
      <c r="D165" s="350" t="str">
        <f>IF(売分析!D165&lt;&gt;"",売分析!D165,"")</f>
        <v>東京製鐵</v>
      </c>
      <c r="E165" s="351">
        <f>IF(売分析!E165&lt;&gt;"",売分析!E165,"")</f>
        <v>1771</v>
      </c>
      <c r="F165" s="351">
        <f>IF(売分析!F165&lt;&gt;"",売分析!F165,"")</f>
        <v>1755</v>
      </c>
      <c r="G165" s="351">
        <f>IF(売分析!H165&lt;&gt;"",売分析!H165,"")</f>
        <v>1788</v>
      </c>
      <c r="H165" s="351">
        <f>IF(売分析!I165&lt;&gt;"",売分析!I165,"")</f>
        <v>1749</v>
      </c>
      <c r="I165" s="350">
        <f>IF(売分析!J165&lt;&gt;"",売分析!J165,"")</f>
        <v>385700</v>
      </c>
      <c r="J165" s="351">
        <f>IF(売分析!AB165&lt;&gt;"",売分析!AB165,"")</f>
        <v>1737.4193548387098</v>
      </c>
      <c r="K165" s="351">
        <f>IF(売分析!AC165&lt;&gt;"",売分析!AC165,"")</f>
        <v>1720.5196662693677</v>
      </c>
      <c r="L165" s="351">
        <f>IF(売分析!K165&lt;&gt;"",売分析!K165,"")</f>
        <v>1973</v>
      </c>
      <c r="M165" s="350" t="str">
        <f>IF(売分析!P165&lt;&gt;"",売分析!P165,"")</f>
        <v>普通→</v>
      </c>
      <c r="N165" s="353">
        <f>IF(売分析!O165&lt;&gt;"",売分析!O165,"")</f>
        <v>1.1317488262910798</v>
      </c>
      <c r="O165" s="355">
        <f>IF(売分析!X165&lt;&gt;"",売分析!X165,"")</f>
        <v>-1.2460545536316658</v>
      </c>
      <c r="P165" s="352">
        <f>IF(売分析!L165&lt;&gt;"",売分析!L165,"")</f>
        <v>-10.238215914850482</v>
      </c>
      <c r="Q165" s="351">
        <f>IF(売分析!S165&lt;&gt;"",売分析!S165,"")</f>
        <v>1842</v>
      </c>
      <c r="R165" s="351">
        <f>IF(売分析!R165&lt;&gt;"",売分析!R165,"")</f>
        <v>1629</v>
      </c>
      <c r="S165" s="350" t="str">
        <f>IF(売分析!AA165&lt;&gt;"",売分析!AA165,"")</f>
        <v>上昇▲</v>
      </c>
      <c r="T165" s="356">
        <f>IF(売分析!Z165&lt;&gt;"",売分析!Z165,"")</f>
        <v>1.6647531572904706</v>
      </c>
      <c r="U165" s="350" t="str">
        <f>IF(売分析!V165&lt;&gt;"",売分析!V165,"")</f>
        <v>通常</v>
      </c>
      <c r="V165" s="354">
        <f>IF(売分析!W165&lt;&gt;"",売分析!W165,"")</f>
        <v>53.744493392070488</v>
      </c>
      <c r="W165" s="350" t="str">
        <f>IF(売分析!AD165&lt;&gt;"",売分析!AD165,"")</f>
        <v>パーフェクト▲</v>
      </c>
      <c r="X165" s="350" t="str">
        <f>IF(売分析!AE165&lt;&gt;"",売分析!AE165,"")</f>
        <v>なし</v>
      </c>
      <c r="Y165" s="427">
        <f>IF(売分析!T165&lt;&gt;"",売分析!T165,"")</f>
        <v>2</v>
      </c>
      <c r="Z165" s="350" t="str">
        <f>IF(売分析!Y165&lt;&gt;"",売分析!Y165,"")</f>
        <v>相場上昇・見送り | パーフェクト▲ MACD- RSI:53.7 前日比:+1.7% [2点]</v>
      </c>
    </row>
    <row r="166" spans="1:26">
      <c r="A166" s="230">
        <f>IF(売分析!C166&lt;&gt;"",ROW()-2,"")</f>
        <v>164</v>
      </c>
      <c r="B166" s="357" t="str">
        <f>IF(売分析!C166&lt;&gt;"",HYPERLINK("https://kabutan.jp/stock/?code="&amp;売分析!C166,"株探"),"")</f>
        <v>株探</v>
      </c>
      <c r="C166" s="366">
        <f>IF(売分析!C166&lt;&gt;"",売分析!C166,"")</f>
        <v>1605</v>
      </c>
      <c r="D166" s="230" t="str">
        <f>IF(売分析!D166&lt;&gt;"",売分析!D166,"")</f>
        <v>ＩＮＰＥＸ</v>
      </c>
      <c r="E166" s="358">
        <f>IF(売分析!E166&lt;&gt;"",売分析!E166,"")</f>
        <v>3406</v>
      </c>
      <c r="F166" s="358">
        <f>IF(売分析!F166&lt;&gt;"",売分析!F166,"")</f>
        <v>3328</v>
      </c>
      <c r="G166" s="358">
        <f>IF(売分析!H166&lt;&gt;"",売分析!H166,"")</f>
        <v>3428</v>
      </c>
      <c r="H166" s="358">
        <f>IF(売分析!I166&lt;&gt;"",売分析!I166,"")</f>
        <v>3293</v>
      </c>
      <c r="I166" s="230">
        <f>IF(売分析!J166&lt;&gt;"",売分析!J166,"")</f>
        <v>7587200</v>
      </c>
      <c r="J166" s="358">
        <f>IF(売分析!AB166&lt;&gt;"",売分析!AB166,"")</f>
        <v>3453.7062211981561</v>
      </c>
      <c r="K166" s="358">
        <f>IF(売分析!AC166&lt;&gt;"",売分析!AC166,"")</f>
        <v>3625.0274135876025</v>
      </c>
      <c r="L166" s="358">
        <f>IF(売分析!K166&lt;&gt;"",売分析!K166,"")</f>
        <v>4955</v>
      </c>
      <c r="M166" s="230" t="str">
        <f>IF(売分析!P166&lt;&gt;"",売分析!P166,"")</f>
        <v>普通→</v>
      </c>
      <c r="N166" s="360">
        <f>IF(売分析!O166&lt;&gt;"",売分析!O166,"")</f>
        <v>1.2590355447877601</v>
      </c>
      <c r="O166" s="362">
        <f>IF(売分析!X166&lt;&gt;"",売分析!X166,"")</f>
        <v>-49.259485987446169</v>
      </c>
      <c r="P166" s="359">
        <f>IF(売分析!L166&lt;&gt;"",売分析!L166,"")</f>
        <v>-31.261352169525729</v>
      </c>
      <c r="Q166" s="358">
        <f>IF(売分析!S166&lt;&gt;"",売分析!S166,"")</f>
        <v>3542</v>
      </c>
      <c r="R166" s="358">
        <f>IF(売分析!R166&lt;&gt;"",売分析!R166,"")</f>
        <v>3134</v>
      </c>
      <c r="S166" s="230" t="str">
        <f>IF(売分析!AA166&lt;&gt;"",売分析!AA166,"")</f>
        <v>上昇▲</v>
      </c>
      <c r="T166" s="363">
        <f>IF(売分析!Z166&lt;&gt;"",売分析!Z166,"")</f>
        <v>0.82889283599763175</v>
      </c>
      <c r="U166" s="230" t="str">
        <f>IF(売分析!V166&lt;&gt;"",売分析!V166,"")</f>
        <v>安値圏</v>
      </c>
      <c r="V166" s="361">
        <f>IF(売分析!W166&lt;&gt;"",売分析!W166,"")</f>
        <v>38.835725677830943</v>
      </c>
      <c r="W166" s="230" t="str">
        <f>IF(売分析!AD166&lt;&gt;"",売分析!AD166,"")</f>
        <v>下降トレンド▼</v>
      </c>
      <c r="X166" s="230" t="str">
        <f>IF(売分析!AE166&lt;&gt;"",売分析!AE166,"")</f>
        <v>なし</v>
      </c>
      <c r="Y166" s="428">
        <f>IF(売分析!T166&lt;&gt;"",売分析!T166,"")</f>
        <v>14</v>
      </c>
      <c r="Z166" s="230" t="str">
        <f>IF(売分析!Y166&lt;&gt;"",売分析!Y166,"")</f>
        <v>相場上昇・見送り | 下降トレンド▼ MACD- RSI:38.8 前日比:+0.8% [安値圏]前日[大陰線▼] [14点]</v>
      </c>
    </row>
    <row r="167" spans="1:26">
      <c r="A167" s="350">
        <f>IF(売分析!C167&lt;&gt;"",ROW()-2,"")</f>
        <v>165</v>
      </c>
      <c r="B167" s="349" t="str">
        <f>IF(売分析!C167&lt;&gt;"",HYPERLINK("https://kabutan.jp/stock/?code="&amp;売分析!C167,"株探"),"")</f>
        <v>株探</v>
      </c>
      <c r="C167" s="365">
        <f>IF(売分析!C167&lt;&gt;"",売分析!C167,"")</f>
        <v>8002</v>
      </c>
      <c r="D167" s="350" t="str">
        <f>IF(売分析!D167&lt;&gt;"",売分析!D167,"")</f>
        <v>丸紅</v>
      </c>
      <c r="E167" s="351">
        <f>IF(売分析!E167&lt;&gt;"",売分析!E167,"")</f>
        <v>4949</v>
      </c>
      <c r="F167" s="351">
        <f>IF(売分析!F167&lt;&gt;"",売分析!F167,"")</f>
        <v>4981</v>
      </c>
      <c r="G167" s="351">
        <f>IF(売分析!H167&lt;&gt;"",売分析!H167,"")</f>
        <v>5019</v>
      </c>
      <c r="H167" s="351">
        <f>IF(売分析!I167&lt;&gt;"",売分析!I167,"")</f>
        <v>4886</v>
      </c>
      <c r="I167" s="350">
        <f>IF(売分析!J167&lt;&gt;"",売分析!J167,"")</f>
        <v>3994600</v>
      </c>
      <c r="J167" s="351">
        <f>IF(売分析!AB167&lt;&gt;"",売分析!AB167,"")</f>
        <v>4905.9781105990778</v>
      </c>
      <c r="K167" s="351">
        <f>IF(売分析!AC167&lt;&gt;"",売分析!AC167,"")</f>
        <v>5066.7270560190682</v>
      </c>
      <c r="L167" s="351">
        <f>IF(売分析!K167&lt;&gt;"",売分析!K167,"")</f>
        <v>6328</v>
      </c>
      <c r="M167" s="350" t="str">
        <f>IF(売分析!P167&lt;&gt;"",売分析!P167,"")</f>
        <v>減少↓</v>
      </c>
      <c r="N167" s="353">
        <f>IF(売分析!O167&lt;&gt;"",売分析!O167,"")</f>
        <v>0.90866491360563406</v>
      </c>
      <c r="O167" s="355">
        <f>IF(売分析!X167&lt;&gt;"",売分析!X167,"")</f>
        <v>-78.536347860002024</v>
      </c>
      <c r="P167" s="352">
        <f>IF(売分析!L167&lt;&gt;"",売分析!L167,"")</f>
        <v>-21.792035398230087</v>
      </c>
      <c r="Q167" s="351">
        <f>IF(売分析!S167&lt;&gt;"",売分析!S167,"")</f>
        <v>5147</v>
      </c>
      <c r="R167" s="351">
        <f>IF(売分析!R167&lt;&gt;"",売分析!R167,"")</f>
        <v>4553</v>
      </c>
      <c r="S167" s="350" t="str">
        <f>IF(売分析!AA167&lt;&gt;"",売分析!AA167,"")</f>
        <v>上昇▲</v>
      </c>
      <c r="T167" s="356">
        <f>IF(売分析!Z167&lt;&gt;"",売分析!Z167,"")</f>
        <v>0.56899004267425324</v>
      </c>
      <c r="U167" s="350" t="str">
        <f>IF(売分析!V167&lt;&gt;"",売分析!V167,"")</f>
        <v>通常</v>
      </c>
      <c r="V167" s="354">
        <f>IF(売分析!W167&lt;&gt;"",売分析!W167,"")</f>
        <v>29.824561403508781</v>
      </c>
      <c r="W167" s="350" t="str">
        <f>IF(売分析!AD167&lt;&gt;"",売分析!AD167,"")</f>
        <v>もみ合い→</v>
      </c>
      <c r="X167" s="350" t="str">
        <f>IF(売分析!AE167&lt;&gt;"",売分析!AE167,"")</f>
        <v>なし</v>
      </c>
      <c r="Y167" s="427">
        <f>IF(売分析!T167&lt;&gt;"",売分析!T167,"")</f>
        <v>7</v>
      </c>
      <c r="Z167" s="350" t="str">
        <f>IF(売分析!Y167&lt;&gt;"",売分析!Y167,"")</f>
        <v>相場上昇・見送り | もみ合い→ MACD- RSI:29.8 [売られ過ぎ] 前日比:+0.6% [7点]</v>
      </c>
    </row>
    <row r="168" spans="1:26">
      <c r="A168" s="230">
        <f>IF(売分析!C168&lt;&gt;"",ROW()-2,"")</f>
        <v>166</v>
      </c>
      <c r="B168" s="357" t="str">
        <f>IF(売分析!C168&lt;&gt;"",HYPERLINK("https://kabutan.jp/stock/?code="&amp;売分析!C168,"株探"),"")</f>
        <v>株探</v>
      </c>
      <c r="C168" s="366">
        <f>IF(売分析!C168&lt;&gt;"",売分析!C168,"")</f>
        <v>8725</v>
      </c>
      <c r="D168" s="230" t="str">
        <f>IF(売分析!D168&lt;&gt;"",売分析!D168,"")</f>
        <v>ＭＳ＆ＡＤ</v>
      </c>
      <c r="E168" s="358">
        <f>IF(売分析!E168&lt;&gt;"",売分析!E168,"")</f>
        <v>4557</v>
      </c>
      <c r="F168" s="358">
        <f>IF(売分析!F168&lt;&gt;"",売分析!F168,"")</f>
        <v>4656</v>
      </c>
      <c r="G168" s="358">
        <f>IF(売分析!H168&lt;&gt;"",売分析!H168,"")</f>
        <v>4689</v>
      </c>
      <c r="H168" s="358">
        <f>IF(売分析!I168&lt;&gt;"",売分析!I168,"")</f>
        <v>4554</v>
      </c>
      <c r="I168" s="230">
        <f>IF(売分析!J168&lt;&gt;"",売分析!J168,"")</f>
        <v>3959300</v>
      </c>
      <c r="J168" s="358">
        <f>IF(売分析!AB168&lt;&gt;"",売分析!AB168,"")</f>
        <v>4581.3813364055295</v>
      </c>
      <c r="K168" s="358">
        <f>IF(売分析!AC168&lt;&gt;"",売分析!AC168,"")</f>
        <v>4418.7902264600698</v>
      </c>
      <c r="L168" s="358">
        <f>IF(売分析!K168&lt;&gt;"",売分析!K168,"")</f>
        <v>4742</v>
      </c>
      <c r="M168" s="230" t="str">
        <f>IF(売分析!P168&lt;&gt;"",売分析!P168,"")</f>
        <v>減少↓</v>
      </c>
      <c r="N168" s="360">
        <f>IF(売分析!O168&lt;&gt;"",売分析!O168,"")</f>
        <v>0.94741401176341089</v>
      </c>
      <c r="O168" s="362">
        <f>IF(売分析!X168&lt;&gt;"",売分析!X168,"")</f>
        <v>32.579127842413982</v>
      </c>
      <c r="P168" s="359">
        <f>IF(売分析!L168&lt;&gt;"",売分析!L168,"")</f>
        <v>-3.901307465204555</v>
      </c>
      <c r="Q168" s="358">
        <f>IF(売分析!S168&lt;&gt;"",売分析!S168,"")</f>
        <v>4739</v>
      </c>
      <c r="R168" s="358">
        <f>IF(売分析!R168&lt;&gt;"",売分析!R168,"")</f>
        <v>4192</v>
      </c>
      <c r="S168" s="230" t="str">
        <f>IF(売分析!AA168&lt;&gt;"",売分析!AA168,"")</f>
        <v>下落▼</v>
      </c>
      <c r="T168" s="363">
        <f>IF(売分析!Z168&lt;&gt;"",売分析!Z168,"")</f>
        <v>-1.278162911611785</v>
      </c>
      <c r="U168" s="230" t="str">
        <f>IF(売分析!V168&lt;&gt;"",売分析!V168,"")</f>
        <v>通常</v>
      </c>
      <c r="V168" s="361">
        <f>IF(売分析!W168&lt;&gt;"",売分析!W168,"")</f>
        <v>77.100271002710031</v>
      </c>
      <c r="W168" s="230" t="str">
        <f>IF(売分析!AD168&lt;&gt;"",売分析!AD168,"")</f>
        <v>上昇トレンド▲</v>
      </c>
      <c r="X168" s="230" t="str">
        <f>IF(売分析!AE168&lt;&gt;"",売分析!AE168,"")</f>
        <v>5日戻り売り○</v>
      </c>
      <c r="Y168" s="428">
        <f>IF(売分析!T168&lt;&gt;"",売分析!T168,"")</f>
        <v>4</v>
      </c>
      <c r="Z168" s="230" t="str">
        <f>IF(売分析!Y168&lt;&gt;"",売分析!Y168,"")</f>
        <v>◎反落確認 | 上昇トレンド▲ 5日戻り売り○ MACD+ RSI:77.1 [過熱] 前日比:-1.3% [大陰線▼]前日[長い下ヒゲ(反発)] [4点]</v>
      </c>
    </row>
    <row r="169" spans="1:26">
      <c r="A169" s="350">
        <f>IF(売分析!C169&lt;&gt;"",ROW()-2,"")</f>
        <v>167</v>
      </c>
      <c r="B169" s="349" t="str">
        <f>IF(売分析!C169&lt;&gt;"",HYPERLINK("https://kabutan.jp/stock/?code="&amp;売分析!C169,"株探"),"")</f>
        <v>株探</v>
      </c>
      <c r="C169" s="365">
        <f>IF(売分析!C169&lt;&gt;"",売分析!C169,"")</f>
        <v>3401</v>
      </c>
      <c r="D169" s="350" t="str">
        <f>IF(売分析!D169&lt;&gt;"",売分析!D169,"")</f>
        <v>帝人</v>
      </c>
      <c r="E169" s="351">
        <f>IF(売分析!E169&lt;&gt;"",売分析!E169,"")</f>
        <v>1648</v>
      </c>
      <c r="F169" s="351">
        <f>IF(売分析!F169&lt;&gt;"",売分析!F169,"")</f>
        <v>1648.5</v>
      </c>
      <c r="G169" s="351">
        <f>IF(売分析!H169&lt;&gt;"",売分析!H169,"")</f>
        <v>1675</v>
      </c>
      <c r="H169" s="351">
        <f>IF(売分析!I169&lt;&gt;"",売分析!I169,"")</f>
        <v>1628</v>
      </c>
      <c r="I169" s="350">
        <f>IF(売分析!J169&lt;&gt;"",売分析!J169,"")</f>
        <v>982500</v>
      </c>
      <c r="J169" s="351">
        <f>IF(売分析!AB169&lt;&gt;"",売分析!AB169,"")</f>
        <v>1637.8035714285711</v>
      </c>
      <c r="K169" s="351">
        <f>IF(売分析!AC169&lt;&gt;"",売分析!AC169,"")</f>
        <v>1628.466030989272</v>
      </c>
      <c r="L169" s="351">
        <f>IF(売分析!K169&lt;&gt;"",売分析!K169,"")</f>
        <v>1773</v>
      </c>
      <c r="M169" s="350" t="str">
        <f>IF(売分析!P169&lt;&gt;"",売分析!P169,"")</f>
        <v>普通→</v>
      </c>
      <c r="N169" s="353">
        <f>IF(売分析!O169&lt;&gt;"",売分析!O169,"")</f>
        <v>1.2211643631301581</v>
      </c>
      <c r="O169" s="355">
        <f>IF(売分析!X169&lt;&gt;"",売分析!X169,"")</f>
        <v>1.29754735530787</v>
      </c>
      <c r="P169" s="352">
        <f>IF(売分析!L169&lt;&gt;"",売分析!L169,"")</f>
        <v>-7.0501974055273546</v>
      </c>
      <c r="Q169" s="351">
        <f>IF(売分析!S169&lt;&gt;"",売分析!S169,"")</f>
        <v>1714</v>
      </c>
      <c r="R169" s="351">
        <f>IF(売分析!R169&lt;&gt;"",売分析!R169,"")</f>
        <v>1516</v>
      </c>
      <c r="S169" s="350" t="str">
        <f>IF(売分析!AA169&lt;&gt;"",売分析!AA169,"")</f>
        <v>上昇▲</v>
      </c>
      <c r="T169" s="356">
        <f>IF(売分析!Z169&lt;&gt;"",売分析!Z169,"")</f>
        <v>0.42656916514320536</v>
      </c>
      <c r="U169" s="350" t="str">
        <f>IF(売分析!V169&lt;&gt;"",売分析!V169,"")</f>
        <v>通常</v>
      </c>
      <c r="V169" s="354">
        <f>IF(売分析!W169&lt;&gt;"",売分析!W169,"")</f>
        <v>52.199999999999996</v>
      </c>
      <c r="W169" s="350" t="str">
        <f>IF(売分析!AD169&lt;&gt;"",売分析!AD169,"")</f>
        <v>パーフェクト▲</v>
      </c>
      <c r="X169" s="350" t="str">
        <f>IF(売分析!AE169&lt;&gt;"",売分析!AE169,"")</f>
        <v>なし</v>
      </c>
      <c r="Y169" s="427">
        <f>IF(売分析!T169&lt;&gt;"",売分析!T169,"")</f>
        <v>4</v>
      </c>
      <c r="Z169" s="350" t="str">
        <f>IF(売分析!Y169&lt;&gt;"",売分析!Y169,"")</f>
        <v>相場上昇・見送り | パーフェクト▲ MACD+ RSI:52.2 前日比:+0.4% [4点]</v>
      </c>
    </row>
    <row r="170" spans="1:26">
      <c r="A170" s="230">
        <f>IF(売分析!C170&lt;&gt;"",ROW()-2,"")</f>
        <v>168</v>
      </c>
      <c r="B170" s="357" t="str">
        <f>IF(売分析!C170&lt;&gt;"",HYPERLINK("https://kabutan.jp/stock/?code="&amp;売分析!C170,"株探"),"")</f>
        <v>株探</v>
      </c>
      <c r="C170" s="366">
        <f>IF(売分析!C170&lt;&gt;"",売分析!C170,"")</f>
        <v>5233</v>
      </c>
      <c r="D170" s="230" t="str">
        <f>IF(売分析!D170&lt;&gt;"",売分析!D170,"")</f>
        <v>太平洋セメント</v>
      </c>
      <c r="E170" s="358">
        <f>IF(売分析!E170&lt;&gt;"",売分析!E170,"")</f>
        <v>4425</v>
      </c>
      <c r="F170" s="358">
        <f>IF(売分析!F170&lt;&gt;"",売分析!F170,"")</f>
        <v>4367</v>
      </c>
      <c r="G170" s="358">
        <f>IF(売分析!H170&lt;&gt;"",売分析!H170,"")</f>
        <v>4447</v>
      </c>
      <c r="H170" s="358">
        <f>IF(売分析!I170&lt;&gt;"",売分析!I170,"")</f>
        <v>4302</v>
      </c>
      <c r="I170" s="230">
        <f>IF(売分析!J170&lt;&gt;"",売分析!J170,"")</f>
        <v>606300</v>
      </c>
      <c r="J170" s="358">
        <f>IF(売分析!AB170&lt;&gt;"",売分析!AB170,"")</f>
        <v>4310.3894009216583</v>
      </c>
      <c r="K170" s="358">
        <f>IF(売分析!AC170&lt;&gt;"",売分析!AC170,"")</f>
        <v>4247.9558998808088</v>
      </c>
      <c r="L170" s="358">
        <f>IF(売分析!K170&lt;&gt;"",売分析!K170,"")</f>
        <v>4968</v>
      </c>
      <c r="M170" s="230" t="str">
        <f>IF(売分析!P170&lt;&gt;"",売分析!P170,"")</f>
        <v>減少↓</v>
      </c>
      <c r="N170" s="360">
        <f>IF(売分析!O170&lt;&gt;"",売分析!O170,"")</f>
        <v>0.85941486647389009</v>
      </c>
      <c r="O170" s="362">
        <f>IF(売分析!X170&lt;&gt;"",売分析!X170,"")</f>
        <v>36.447366849893115</v>
      </c>
      <c r="P170" s="359">
        <f>IF(売分析!L170&lt;&gt;"",売分析!L170,"")</f>
        <v>-10.929951690821255</v>
      </c>
      <c r="Q170" s="358">
        <f>IF(売分析!S170&lt;&gt;"",売分析!S170,"")</f>
        <v>4602</v>
      </c>
      <c r="R170" s="358">
        <f>IF(売分析!R170&lt;&gt;"",売分析!R170,"")</f>
        <v>4071</v>
      </c>
      <c r="S170" s="230" t="str">
        <f>IF(売分析!AA170&lt;&gt;"",売分析!AA170,"")</f>
        <v>上昇▲</v>
      </c>
      <c r="T170" s="363">
        <f>IF(売分析!Z170&lt;&gt;"",売分析!Z170,"")</f>
        <v>1.2585812356979404</v>
      </c>
      <c r="U170" s="230" t="str">
        <f>IF(売分析!V170&lt;&gt;"",売分析!V170,"")</f>
        <v>通常</v>
      </c>
      <c r="V170" s="361">
        <f>IF(売分析!W170&lt;&gt;"",売分析!W170,"")</f>
        <v>58.569299552906109</v>
      </c>
      <c r="W170" s="230" t="str">
        <f>IF(売分析!AD170&lt;&gt;"",売分析!AD170,"")</f>
        <v>パーフェクト▲</v>
      </c>
      <c r="X170" s="230" t="str">
        <f>IF(売分析!AE170&lt;&gt;"",売分析!AE170,"")</f>
        <v>なし</v>
      </c>
      <c r="Y170" s="428">
        <f>IF(売分析!T170&lt;&gt;"",売分析!T170,"")</f>
        <v>1</v>
      </c>
      <c r="Z170" s="230" t="str">
        <f>IF(売分析!Y170&lt;&gt;"",売分析!Y170,"")</f>
        <v>相場上昇・見送り | パーフェクト▲ MACD+ RSI:58.6 前日比:+1.3%前日[上ヒゲ陰線▼] [1点]</v>
      </c>
    </row>
    <row r="171" spans="1:26">
      <c r="A171" s="350">
        <f>IF(売分析!C171&lt;&gt;"",ROW()-2,"")</f>
        <v>169</v>
      </c>
      <c r="B171" s="349" t="str">
        <f>IF(売分析!C171&lt;&gt;"",HYPERLINK("https://kabutan.jp/stock/?code="&amp;売分析!C171,"株探"),"")</f>
        <v>株探</v>
      </c>
      <c r="C171" s="365">
        <f>IF(売分析!C171&lt;&gt;"",売分析!C171,"")</f>
        <v>8593</v>
      </c>
      <c r="D171" s="350" t="str">
        <f>IF(売分析!D171&lt;&gt;"",売分析!D171,"")</f>
        <v>三菱ＨＣキャピタル</v>
      </c>
      <c r="E171" s="351">
        <f>IF(売分析!E171&lt;&gt;"",売分析!E171,"")</f>
        <v>1325</v>
      </c>
      <c r="F171" s="351">
        <f>IF(売分析!F171&lt;&gt;"",売分析!F171,"")</f>
        <v>1330</v>
      </c>
      <c r="G171" s="351">
        <f>IF(売分析!H171&lt;&gt;"",売分析!H171,"")</f>
        <v>1338</v>
      </c>
      <c r="H171" s="351">
        <f>IF(売分析!I171&lt;&gt;"",売分析!I171,"")</f>
        <v>1318.5</v>
      </c>
      <c r="I171" s="350">
        <f>IF(売分析!J171&lt;&gt;"",売分析!J171,"")</f>
        <v>3327500</v>
      </c>
      <c r="J171" s="351">
        <f>IF(売分析!AB171&lt;&gt;"",売分析!AB171,"")</f>
        <v>1320.2459677419354</v>
      </c>
      <c r="K171" s="351">
        <f>IF(売分析!AC171&lt;&gt;"",売分析!AC171,"")</f>
        <v>1317.7079856972582</v>
      </c>
      <c r="L171" s="351">
        <f>IF(売分析!K171&lt;&gt;"",売分析!K171,"")</f>
        <v>1541.5</v>
      </c>
      <c r="M171" s="350" t="str">
        <f>IF(売分析!P171&lt;&gt;"",売分析!P171,"")</f>
        <v>減少↓</v>
      </c>
      <c r="N171" s="353">
        <f>IF(売分析!O171&lt;&gt;"",売分析!O171,"")</f>
        <v>0.68712520443394509</v>
      </c>
      <c r="O171" s="355">
        <f>IF(売分析!X171&lt;&gt;"",売分析!X171,"")</f>
        <v>-6.7325464995485618</v>
      </c>
      <c r="P171" s="352">
        <f>IF(売分析!L171&lt;&gt;"",売分析!L171,"")</f>
        <v>-14.044761595848199</v>
      </c>
      <c r="Q171" s="351">
        <f>IF(売分析!S171&lt;&gt;"",売分析!S171,"")</f>
        <v>1378</v>
      </c>
      <c r="R171" s="351">
        <f>IF(売分析!R171&lt;&gt;"",売分析!R171,"")</f>
        <v>1219</v>
      </c>
      <c r="S171" s="350" t="str">
        <f>IF(売分析!AA171&lt;&gt;"",売分析!AA171,"")</f>
        <v>上昇▲</v>
      </c>
      <c r="T171" s="356">
        <f>IF(売分析!Z171&lt;&gt;"",売分析!Z171,"")</f>
        <v>0.79878280715100802</v>
      </c>
      <c r="U171" s="350" t="str">
        <f>IF(売分析!V171&lt;&gt;"",売分析!V171,"")</f>
        <v>通常</v>
      </c>
      <c r="V171" s="354">
        <f>IF(売分析!W171&lt;&gt;"",売分析!W171,"")</f>
        <v>49.825783972125436</v>
      </c>
      <c r="W171" s="350" t="str">
        <f>IF(売分析!AD171&lt;&gt;"",売分析!AD171,"")</f>
        <v>パーフェクト▲</v>
      </c>
      <c r="X171" s="350" t="str">
        <f>IF(売分析!AE171&lt;&gt;"",売分析!AE171,"")</f>
        <v>なし</v>
      </c>
      <c r="Y171" s="427">
        <f>IF(売分析!T171&lt;&gt;"",売分析!T171,"")</f>
        <v>7</v>
      </c>
      <c r="Z171" s="350" t="str">
        <f>IF(売分析!Y171&lt;&gt;"",売分析!Y171,"")</f>
        <v>相場上昇・見送り | パーフェクト▲ MACD- RSI:49.8 前日比:+0.8%前日[大陰線▼] [7点]</v>
      </c>
    </row>
    <row r="172" spans="1:26">
      <c r="A172" s="230">
        <f>IF(売分析!C172&lt;&gt;"",ROW()-2,"")</f>
        <v>170</v>
      </c>
      <c r="B172" s="357" t="str">
        <f>IF(売分析!C172&lt;&gt;"",HYPERLINK("https://kabutan.jp/stock/?code="&amp;売分析!C172,"株探"),"")</f>
        <v>株探</v>
      </c>
      <c r="C172" s="366">
        <f>IF(売分析!C172&lt;&gt;"",売分析!C172,"")</f>
        <v>3402</v>
      </c>
      <c r="D172" s="230" t="str">
        <f>IF(売分析!D172&lt;&gt;"",売分析!D172,"")</f>
        <v>東レ</v>
      </c>
      <c r="E172" s="358">
        <f>IF(売分析!E172&lt;&gt;"",売分析!E172,"")</f>
        <v>1190</v>
      </c>
      <c r="F172" s="358">
        <f>IF(売分析!F172&lt;&gt;"",売分析!F172,"")</f>
        <v>1170.5</v>
      </c>
      <c r="G172" s="358">
        <f>IF(売分析!H172&lt;&gt;"",売分析!H172,"")</f>
        <v>1190.5</v>
      </c>
      <c r="H172" s="358">
        <f>IF(売分析!I172&lt;&gt;"",売分析!I172,"")</f>
        <v>1170</v>
      </c>
      <c r="I172" s="230">
        <f>IF(売分析!J172&lt;&gt;"",売分析!J172,"")</f>
        <v>2949300</v>
      </c>
      <c r="J172" s="358">
        <f>IF(売分析!AB172&lt;&gt;"",売分析!AB172,"")</f>
        <v>1164.9925115207373</v>
      </c>
      <c r="K172" s="358">
        <f>IF(売分析!AC172&lt;&gt;"",売分析!AC172,"")</f>
        <v>1136.0125148986883</v>
      </c>
      <c r="L172" s="358">
        <f>IF(売分析!K172&lt;&gt;"",売分析!K172,"")</f>
        <v>1353.5</v>
      </c>
      <c r="M172" s="230" t="str">
        <f>IF(売分析!P172&lt;&gt;"",売分析!P172,"")</f>
        <v>減少↓</v>
      </c>
      <c r="N172" s="360">
        <f>IF(売分析!O172&lt;&gt;"",売分析!O172,"")</f>
        <v>0.73795595233925004</v>
      </c>
      <c r="O172" s="362">
        <f>IF(売分析!X172&lt;&gt;"",売分析!X172,"")</f>
        <v>4.2701401852427807</v>
      </c>
      <c r="P172" s="359">
        <f>IF(売分析!L172&lt;&gt;"",売分析!L172,"")</f>
        <v>-12.07979312892501</v>
      </c>
      <c r="Q172" s="358">
        <f>IF(売分析!S172&lt;&gt;"",売分析!S172,"")</f>
        <v>1238</v>
      </c>
      <c r="R172" s="358">
        <f>IF(売分析!R172&lt;&gt;"",売分析!R172,"")</f>
        <v>1095</v>
      </c>
      <c r="S172" s="230" t="str">
        <f>IF(売分析!AA172&lt;&gt;"",売分析!AA172,"")</f>
        <v>上昇▲</v>
      </c>
      <c r="T172" s="363">
        <f>IF(売分析!Z172&lt;&gt;"",売分析!Z172,"")</f>
        <v>1.1045029736618521</v>
      </c>
      <c r="U172" s="230" t="str">
        <f>IF(売分析!V172&lt;&gt;"",売分析!V172,"")</f>
        <v>通常</v>
      </c>
      <c r="V172" s="361">
        <f>IF(売分析!W172&lt;&gt;"",売分析!W172,"")</f>
        <v>55.920114122681881</v>
      </c>
      <c r="W172" s="230" t="str">
        <f>IF(売分析!AD172&lt;&gt;"",売分析!AD172,"")</f>
        <v>パーフェクト▲</v>
      </c>
      <c r="X172" s="230" t="str">
        <f>IF(売分析!AE172&lt;&gt;"",売分析!AE172,"")</f>
        <v>なし</v>
      </c>
      <c r="Y172" s="428">
        <f>IF(売分析!T172&lt;&gt;"",売分析!T172,"")</f>
        <v>4</v>
      </c>
      <c r="Z172" s="230" t="str">
        <f>IF(売分析!Y172&lt;&gt;"",売分析!Y172,"")</f>
        <v>相場上昇・見送り | パーフェクト▲ MACD+ RSI:55.9 前日比:+1.1%前日[大陰線▼] [4点]</v>
      </c>
    </row>
    <row r="173" spans="1:26">
      <c r="A173" s="350">
        <f>IF(売分析!C173&lt;&gt;"",ROW()-2,"")</f>
        <v>171</v>
      </c>
      <c r="B173" s="349" t="str">
        <f>IF(売分析!C173&lt;&gt;"",HYPERLINK("https://kabutan.jp/stock/?code="&amp;売分析!C173,"株探"),"")</f>
        <v>株探</v>
      </c>
      <c r="C173" s="365">
        <f>IF(売分析!C173&lt;&gt;"",売分析!C173,"")</f>
        <v>5401</v>
      </c>
      <c r="D173" s="350" t="str">
        <f>IF(売分析!D173&lt;&gt;"",売分析!D173,"")</f>
        <v>日本製鉄</v>
      </c>
      <c r="E173" s="351">
        <f>IF(売分析!E173&lt;&gt;"",売分析!E173,"")</f>
        <v>557.5</v>
      </c>
      <c r="F173" s="351">
        <f>IF(売分析!F173&lt;&gt;"",売分析!F173,"")</f>
        <v>566</v>
      </c>
      <c r="G173" s="351">
        <f>IF(売分析!H173&lt;&gt;"",売分析!H173,"")</f>
        <v>566.29999999999995</v>
      </c>
      <c r="H173" s="351">
        <f>IF(売分析!I173&lt;&gt;"",売分析!I173,"")</f>
        <v>556.6</v>
      </c>
      <c r="I173" s="350">
        <f>IF(売分析!J173&lt;&gt;"",売分析!J173,"")</f>
        <v>23078200</v>
      </c>
      <c r="J173" s="351">
        <f>IF(売分析!AB173&lt;&gt;"",売分析!AB173,"")</f>
        <v>554.94596774193542</v>
      </c>
      <c r="K173" s="351">
        <f>IF(売分析!AC173&lt;&gt;"",売分析!AC173,"")</f>
        <v>550.73075089392114</v>
      </c>
      <c r="L173" s="351">
        <f>IF(売分析!K173&lt;&gt;"",売分析!K173,"")</f>
        <v>699.8</v>
      </c>
      <c r="M173" s="350" t="str">
        <f>IF(売分析!P173&lt;&gt;"",売分析!P173,"")</f>
        <v>減少↓</v>
      </c>
      <c r="N173" s="353">
        <f>IF(売分析!O173&lt;&gt;"",売分析!O173,"")</f>
        <v>0.86103240913123713</v>
      </c>
      <c r="O173" s="355">
        <f>IF(売分析!X173&lt;&gt;"",売分析!X173,"")</f>
        <v>-0.93965208427005109</v>
      </c>
      <c r="P173" s="352">
        <f>IF(売分析!L173&lt;&gt;"",売分析!L173,"")</f>
        <v>-20.334381251786219</v>
      </c>
      <c r="Q173" s="351">
        <f>IF(売分析!S173&lt;&gt;"",売分析!S173,"")</f>
        <v>580</v>
      </c>
      <c r="R173" s="351">
        <f>IF(売分析!R173&lt;&gt;"",売分析!R173,"")</f>
        <v>513</v>
      </c>
      <c r="S173" s="350" t="str">
        <f>IF(売分析!AA173&lt;&gt;"",売分析!AA173,"")</f>
        <v>下落▼</v>
      </c>
      <c r="T173" s="356">
        <f>IF(売分析!Z173&lt;&gt;"",売分析!Z173,"")</f>
        <v>-1.5017667844522968</v>
      </c>
      <c r="U173" s="350" t="str">
        <f>IF(売分析!V173&lt;&gt;"",売分析!V173,"")</f>
        <v>通常</v>
      </c>
      <c r="V173" s="354">
        <f>IF(売分析!W173&lt;&gt;"",売分析!W173,"")</f>
        <v>54.328621908127182</v>
      </c>
      <c r="W173" s="350" t="str">
        <f>IF(売分析!AD173&lt;&gt;"",売分析!AD173,"")</f>
        <v>パーフェクト▲</v>
      </c>
      <c r="X173" s="350" t="str">
        <f>IF(売分析!AE173&lt;&gt;"",売分析!AE173,"")</f>
        <v>なし</v>
      </c>
      <c r="Y173" s="427">
        <f>IF(売分析!T173&lt;&gt;"",売分析!T173,"")</f>
        <v>8</v>
      </c>
      <c r="Z173" s="350" t="str">
        <f>IF(売分析!Y173&lt;&gt;"",売分析!Y173,"")</f>
        <v>相場上昇・見送り | パーフェクト▲ MACD- RSI:54.3 前日比:-1.5% [大陰線▼] [8点]</v>
      </c>
    </row>
    <row r="174" spans="1:26">
      <c r="A174" s="230">
        <f>IF(売分析!C174&lt;&gt;"",ROW()-2,"")</f>
        <v>172</v>
      </c>
      <c r="B174" s="357" t="str">
        <f>IF(売分析!C174&lt;&gt;"",HYPERLINK("https://kabutan.jp/stock/?code="&amp;売分析!C174,"株探"),"")</f>
        <v>株探</v>
      </c>
      <c r="C174" s="366">
        <f>IF(売分析!C174&lt;&gt;"",売分析!C174,"")</f>
        <v>8766</v>
      </c>
      <c r="D174" s="230" t="str">
        <f>IF(売分析!D174&lt;&gt;"",売分析!D174,"")</f>
        <v>東京海上ＨＤ</v>
      </c>
      <c r="E174" s="358">
        <f>IF(売分析!E174&lt;&gt;"",売分析!E174,"")</f>
        <v>7252</v>
      </c>
      <c r="F174" s="358">
        <f>IF(売分析!F174&lt;&gt;"",売分析!F174,"")</f>
        <v>7408</v>
      </c>
      <c r="G174" s="358">
        <f>IF(売分析!H174&lt;&gt;"",売分析!H174,"")</f>
        <v>7421</v>
      </c>
      <c r="H174" s="358">
        <f>IF(売分析!I174&lt;&gt;"",売分析!I174,"")</f>
        <v>7252</v>
      </c>
      <c r="I174" s="230">
        <f>IF(売分析!J174&lt;&gt;"",売分析!J174,"")</f>
        <v>4299600</v>
      </c>
      <c r="J174" s="358">
        <f>IF(売分析!AB174&lt;&gt;"",売分析!AB174,"")</f>
        <v>7302.7004608294919</v>
      </c>
      <c r="K174" s="358">
        <f>IF(売分析!AC174&lt;&gt;"",売分析!AC174,"")</f>
        <v>7281.9249106078641</v>
      </c>
      <c r="L174" s="358">
        <f>IF(売分析!K174&lt;&gt;"",売分析!K174,"")</f>
        <v>8038</v>
      </c>
      <c r="M174" s="230" t="str">
        <f>IF(売分析!P174&lt;&gt;"",売分析!P174,"")</f>
        <v>減少↓</v>
      </c>
      <c r="N174" s="360">
        <f>IF(売分析!O174&lt;&gt;"",売分析!O174,"")</f>
        <v>0.74787097851497275</v>
      </c>
      <c r="O174" s="362">
        <f>IF(売分析!X174&lt;&gt;"",売分析!X174,"")</f>
        <v>-31.722998817855114</v>
      </c>
      <c r="P174" s="359">
        <f>IF(売分析!L174&lt;&gt;"",売分析!L174,"")</f>
        <v>-9.77855187857676</v>
      </c>
      <c r="Q174" s="358">
        <f>IF(売分析!S174&lt;&gt;"",売分析!S174,"")</f>
        <v>7542</v>
      </c>
      <c r="R174" s="358">
        <f>IF(売分析!R174&lt;&gt;"",売分析!R174,"")</f>
        <v>6672</v>
      </c>
      <c r="S174" s="230" t="str">
        <f>IF(売分析!AA174&lt;&gt;"",売分析!AA174,"")</f>
        <v>下落▼</v>
      </c>
      <c r="T174" s="363">
        <f>IF(売分析!Z174&lt;&gt;"",売分析!Z174,"")</f>
        <v>-0.49396267837541163</v>
      </c>
      <c r="U174" s="230" t="str">
        <f>IF(売分析!V174&lt;&gt;"",売分析!V174,"")</f>
        <v>通常</v>
      </c>
      <c r="V174" s="361">
        <f>IF(売分析!W174&lt;&gt;"",売分析!W174,"")</f>
        <v>45.63876651982379</v>
      </c>
      <c r="W174" s="230" t="str">
        <f>IF(売分析!AD174&lt;&gt;"",売分析!AD174,"")</f>
        <v>もみ合い→</v>
      </c>
      <c r="X174" s="230" t="str">
        <f>IF(売分析!AE174&lt;&gt;"",売分析!AE174,"")</f>
        <v>25日戻り売り★</v>
      </c>
      <c r="Y174" s="428">
        <f>IF(売分析!T174&lt;&gt;"",売分析!T174,"")</f>
        <v>9</v>
      </c>
      <c r="Z174" s="230" t="str">
        <f>IF(売分析!Y174&lt;&gt;"",売分析!Y174,"")</f>
        <v>○逆張り売り | もみ合い→ 25日戻り売り★ MACD- RSI:45.6 前日比:-0.5% [大陰線▼] [9点]</v>
      </c>
    </row>
    <row r="175" spans="1:26">
      <c r="A175" s="350">
        <f>IF(売分析!C175&lt;&gt;"",ROW()-2,"")</f>
        <v>173</v>
      </c>
      <c r="B175" s="349" t="str">
        <f>IF(売分析!C175&lt;&gt;"",HYPERLINK("https://kabutan.jp/stock/?code="&amp;売分析!C175,"株探"),"")</f>
        <v>株探</v>
      </c>
      <c r="C175" s="365">
        <f>IF(売分析!C175&lt;&gt;"",売分析!C175,"")</f>
        <v>5201</v>
      </c>
      <c r="D175" s="350" t="str">
        <f>IF(売分析!D175&lt;&gt;"",売分析!D175,"")</f>
        <v>ＡＧＣ</v>
      </c>
      <c r="E175" s="351">
        <f>IF(売分析!E175&lt;&gt;"",売分析!E175,"")</f>
        <v>7421</v>
      </c>
      <c r="F175" s="351">
        <f>IF(売分析!F175&lt;&gt;"",売分析!F175,"")</f>
        <v>7224</v>
      </c>
      <c r="G175" s="351">
        <f>IF(売分析!H175&lt;&gt;"",売分析!H175,"")</f>
        <v>7421</v>
      </c>
      <c r="H175" s="351">
        <f>IF(売分析!I175&lt;&gt;"",売分析!I175,"")</f>
        <v>7190</v>
      </c>
      <c r="I175" s="350">
        <f>IF(売分析!J175&lt;&gt;"",売分析!J175,"")</f>
        <v>1363900</v>
      </c>
      <c r="J175" s="351">
        <f>IF(売分析!AB175&lt;&gt;"",売分析!AB175,"")</f>
        <v>7225.8974654377871</v>
      </c>
      <c r="K175" s="351">
        <f>IF(売分析!AC175&lt;&gt;"",売分析!AC175,"")</f>
        <v>7075.3003575685298</v>
      </c>
      <c r="L175" s="351">
        <f>IF(売分析!K175&lt;&gt;"",売分析!K175,"")</f>
        <v>8315</v>
      </c>
      <c r="M175" s="350" t="str">
        <f>IF(売分析!P175&lt;&gt;"",売分析!P175,"")</f>
        <v>減少↓</v>
      </c>
      <c r="N175" s="353">
        <f>IF(売分析!O175&lt;&gt;"",売分析!O175,"")</f>
        <v>0.91296722716075829</v>
      </c>
      <c r="O175" s="355">
        <f>IF(売分析!X175&lt;&gt;"",売分析!X175,"")</f>
        <v>141.00198615660975</v>
      </c>
      <c r="P175" s="352">
        <f>IF(売分析!L175&lt;&gt;"",売分析!L175,"")</f>
        <v>-10.751653638003608</v>
      </c>
      <c r="Q175" s="351">
        <f>IF(売分析!S175&lt;&gt;"",売分析!S175,"")</f>
        <v>7718</v>
      </c>
      <c r="R175" s="351">
        <f>IF(売分析!R175&lt;&gt;"",売分析!R175,"")</f>
        <v>6827</v>
      </c>
      <c r="S175" s="350" t="str">
        <f>IF(売分析!AA175&lt;&gt;"",売分析!AA175,"")</f>
        <v>上昇▲</v>
      </c>
      <c r="T175" s="356">
        <f>IF(売分析!Z175&lt;&gt;"",売分析!Z175,"")</f>
        <v>2.077028885832187</v>
      </c>
      <c r="U175" s="350" t="str">
        <f>IF(売分析!V175&lt;&gt;"",売分析!V175,"")</f>
        <v>通常</v>
      </c>
      <c r="V175" s="354">
        <f>IF(売分析!W175&lt;&gt;"",売分析!W175,"")</f>
        <v>58.891789962286047</v>
      </c>
      <c r="W175" s="350" t="str">
        <f>IF(売分析!AD175&lt;&gt;"",売分析!AD175,"")</f>
        <v>パーフェクト▲</v>
      </c>
      <c r="X175" s="350" t="str">
        <f>IF(売分析!AE175&lt;&gt;"",売分析!AE175,"")</f>
        <v>なし</v>
      </c>
      <c r="Y175" s="427">
        <f>IF(売分析!T175&lt;&gt;"",売分析!T175,"")</f>
        <v>1</v>
      </c>
      <c r="Z175" s="350" t="str">
        <f>IF(売分析!Y175&lt;&gt;"",売分析!Y175,"")</f>
        <v>相場上昇・見送り | パーフェクト▲ MACD+ RSI:58.9 前日比:+2.1%前日[大陰線▼] [1点]</v>
      </c>
    </row>
    <row r="176" spans="1:26">
      <c r="A176" s="230">
        <f>IF(売分析!C176&lt;&gt;"",ROW()-2,"")</f>
        <v>174</v>
      </c>
      <c r="B176" s="357" t="str">
        <f>IF(売分析!C176&lt;&gt;"",HYPERLINK("https://kabutan.jp/stock/?code="&amp;売分析!C176,"株探"),"")</f>
        <v>株探</v>
      </c>
      <c r="C176" s="366">
        <f>IF(売分析!C176&lt;&gt;"",売分析!C176,"")</f>
        <v>8630</v>
      </c>
      <c r="D176" s="230" t="str">
        <f>IF(売分析!D176&lt;&gt;"",売分析!D176,"")</f>
        <v>ＳＯＭＰＯホールディングス</v>
      </c>
      <c r="E176" s="358">
        <f>IF(売分析!E176&lt;&gt;"",売分析!E176,"")</f>
        <v>6194</v>
      </c>
      <c r="F176" s="358">
        <f>IF(売分析!F176&lt;&gt;"",売分析!F176,"")</f>
        <v>6330</v>
      </c>
      <c r="G176" s="358">
        <f>IF(売分析!H176&lt;&gt;"",売分析!H176,"")</f>
        <v>6406</v>
      </c>
      <c r="H176" s="358">
        <f>IF(売分析!I176&lt;&gt;"",売分析!I176,"")</f>
        <v>6194</v>
      </c>
      <c r="I176" s="230">
        <f>IF(売分析!J176&lt;&gt;"",売分析!J176,"")</f>
        <v>1584400</v>
      </c>
      <c r="J176" s="358">
        <f>IF(売分析!AB176&lt;&gt;"",売分析!AB176,"")</f>
        <v>6194.2073732718891</v>
      </c>
      <c r="K176" s="358">
        <f>IF(売分析!AC176&lt;&gt;"",売分析!AC176,"")</f>
        <v>6018.7914183551829</v>
      </c>
      <c r="L176" s="358">
        <f>IF(売分析!K176&lt;&gt;"",売分析!K176,"")</f>
        <v>6435</v>
      </c>
      <c r="M176" s="230" t="str">
        <f>IF(売分析!P176&lt;&gt;"",売分析!P176,"")</f>
        <v>減少↓</v>
      </c>
      <c r="N176" s="360">
        <f>IF(売分析!O176&lt;&gt;"",売分析!O176,"")</f>
        <v>0.66447467749240907</v>
      </c>
      <c r="O176" s="362">
        <f>IF(売分析!X176&lt;&gt;"",売分析!X176,"")</f>
        <v>33.003876786645378</v>
      </c>
      <c r="P176" s="359">
        <f>IF(売分析!L176&lt;&gt;"",売分析!L176,"")</f>
        <v>-3.7451437451437455</v>
      </c>
      <c r="Q176" s="358">
        <f>IF(売分析!S176&lt;&gt;"",売分析!S176,"")</f>
        <v>6442</v>
      </c>
      <c r="R176" s="358">
        <f>IF(売分析!R176&lt;&gt;"",売分析!R176,"")</f>
        <v>5698</v>
      </c>
      <c r="S176" s="230" t="str">
        <f>IF(売分析!AA176&lt;&gt;"",売分析!AA176,"")</f>
        <v>下落▼</v>
      </c>
      <c r="T176" s="363">
        <f>IF(売分析!Z176&lt;&gt;"",売分析!Z176,"")</f>
        <v>-0.86427656850192069</v>
      </c>
      <c r="U176" s="230" t="str">
        <f>IF(売分析!V176&lt;&gt;"",売分析!V176,"")</f>
        <v>通常</v>
      </c>
      <c r="V176" s="361">
        <f>IF(売分析!W176&lt;&gt;"",売分析!W176,"")</f>
        <v>72.807017543859644</v>
      </c>
      <c r="W176" s="230" t="str">
        <f>IF(売分析!AD176&lt;&gt;"",売分析!AD176,"")</f>
        <v>上昇トレンド▲</v>
      </c>
      <c r="X176" s="230" t="str">
        <f>IF(売分析!AE176&lt;&gt;"",売分析!AE176,"")</f>
        <v>5日戻り売り○</v>
      </c>
      <c r="Y176" s="428">
        <f>IF(売分析!T176&lt;&gt;"",売分析!T176,"")</f>
        <v>4</v>
      </c>
      <c r="Z176" s="230" t="str">
        <f>IF(売分析!Y176&lt;&gt;"",売分析!Y176,"")</f>
        <v>◎反落確認 | 上昇トレンド▲ 5日戻り売り○ MACD+ RSI:72.8 [過熱] 前日比:-0.9%前日[長い下ヒゲ(反発)] [4点]</v>
      </c>
    </row>
    <row r="177" spans="1:26">
      <c r="A177" s="350">
        <f>IF(売分析!C177&lt;&gt;"",ROW()-2,"")</f>
        <v>175</v>
      </c>
      <c r="B177" s="349" t="str">
        <f>IF(売分析!C177&lt;&gt;"",HYPERLINK("https://kabutan.jp/stock/?code="&amp;売分析!C177,"株探"),"")</f>
        <v>株探</v>
      </c>
      <c r="C177" s="365">
        <f>IF(売分析!C177&lt;&gt;"",売分析!C177,"")</f>
        <v>4676</v>
      </c>
      <c r="D177" s="350" t="str">
        <f>IF(売分析!D177&lt;&gt;"",売分析!D177,"")</f>
        <v>フジ・メディア・ＨＤ</v>
      </c>
      <c r="E177" s="351">
        <f>IF(売分析!E177&lt;&gt;"",売分析!E177,"")</f>
        <v>4007</v>
      </c>
      <c r="F177" s="351">
        <f>IF(売分析!F177&lt;&gt;"",売分析!F177,"")</f>
        <v>4050</v>
      </c>
      <c r="G177" s="351">
        <f>IF(売分析!H177&lt;&gt;"",売分析!H177,"")</f>
        <v>4063</v>
      </c>
      <c r="H177" s="351">
        <f>IF(売分析!I177&lt;&gt;"",売分析!I177,"")</f>
        <v>3999</v>
      </c>
      <c r="I177" s="350">
        <f>IF(売分析!J177&lt;&gt;"",売分析!J177,"")</f>
        <v>435200</v>
      </c>
      <c r="J177" s="351">
        <f>IF(売分析!AB177&lt;&gt;"",売分析!AB177,"")</f>
        <v>4035.7269585253457</v>
      </c>
      <c r="K177" s="351">
        <f>IF(売分析!AC177&lt;&gt;"",売分析!AC177,"")</f>
        <v>3943.2157330154919</v>
      </c>
      <c r="L177" s="351">
        <f>IF(売分析!K177&lt;&gt;"",売分析!K177,"")</f>
        <v>4466</v>
      </c>
      <c r="M177" s="350" t="str">
        <f>IF(売分析!P177&lt;&gt;"",売分析!P177,"")</f>
        <v>減少↓</v>
      </c>
      <c r="N177" s="353">
        <f>IF(売分析!O177&lt;&gt;"",売分析!O177,"")</f>
        <v>0.86369770580296901</v>
      </c>
      <c r="O177" s="355">
        <f>IF(売分析!X177&lt;&gt;"",売分析!X177,"")</f>
        <v>37.634491460324625</v>
      </c>
      <c r="P177" s="352">
        <f>IF(売分析!L177&lt;&gt;"",売分析!L177,"")</f>
        <v>-10.277653381101656</v>
      </c>
      <c r="Q177" s="351">
        <f>IF(売分析!S177&lt;&gt;"",売分析!S177,"")</f>
        <v>4167</v>
      </c>
      <c r="R177" s="351">
        <f>IF(売分析!R177&lt;&gt;"",売分析!R177,"")</f>
        <v>3686</v>
      </c>
      <c r="S177" s="350" t="str">
        <f>IF(売分析!AA177&lt;&gt;"",売分析!AA177,"")</f>
        <v>下落▼</v>
      </c>
      <c r="T177" s="356">
        <f>IF(売分析!Z177&lt;&gt;"",売分析!Z177,"")</f>
        <v>-0.34817209649340958</v>
      </c>
      <c r="U177" s="350" t="str">
        <f>IF(売分析!V177&lt;&gt;"",売分析!V177,"")</f>
        <v>通常</v>
      </c>
      <c r="V177" s="354">
        <f>IF(売分析!W177&lt;&gt;"",売分析!W177,"")</f>
        <v>63.670411985018724</v>
      </c>
      <c r="W177" s="350" t="str">
        <f>IF(売分析!AD177&lt;&gt;"",売分析!AD177,"")</f>
        <v>上昇トレンド▲</v>
      </c>
      <c r="X177" s="350" t="str">
        <f>IF(売分析!AE177&lt;&gt;"",売分析!AE177,"")</f>
        <v>5日戻り売り○</v>
      </c>
      <c r="Y177" s="427">
        <f>IF(売分析!T177&lt;&gt;"",売分析!T177,"")</f>
        <v>1</v>
      </c>
      <c r="Z177" s="350" t="str">
        <f>IF(売分析!Y177&lt;&gt;"",売分析!Y177,"")</f>
        <v>相場上昇・見送り | 上昇トレンド▲ 5日戻り売り○ MACD+ RSI:63.7 前日比:-0.3%前日[長い下ヒゲ(反発)] [1点]</v>
      </c>
    </row>
    <row r="178" spans="1:26">
      <c r="A178" s="230">
        <f>IF(売分析!C178&lt;&gt;"",ROW()-2,"")</f>
        <v>176</v>
      </c>
      <c r="B178" s="357" t="str">
        <f>IF(売分析!C178&lt;&gt;"",HYPERLINK("https://kabutan.jp/stock/?code="&amp;売分析!C178,"株探"),"")</f>
        <v>株探</v>
      </c>
      <c r="C178" s="366">
        <f>IF(売分析!C178&lt;&gt;"",売分析!C178,"")</f>
        <v>4045</v>
      </c>
      <c r="D178" s="230" t="str">
        <f>IF(売分析!D178&lt;&gt;"",売分析!D178,"")</f>
        <v>東亞合成</v>
      </c>
      <c r="E178" s="358">
        <f>IF(売分析!E178&lt;&gt;"",売分析!E178,"")</f>
        <v>1758.5</v>
      </c>
      <c r="F178" s="358">
        <f>IF(売分析!F178&lt;&gt;"",売分析!F178,"")</f>
        <v>1758.5</v>
      </c>
      <c r="G178" s="358">
        <f>IF(売分析!H178&lt;&gt;"",売分析!H178,"")</f>
        <v>1768.5</v>
      </c>
      <c r="H178" s="358">
        <f>IF(売分析!I178&lt;&gt;"",売分析!I178,"")</f>
        <v>1749</v>
      </c>
      <c r="I178" s="230">
        <f>IF(売分析!J178&lt;&gt;"",売分析!J178,"")</f>
        <v>170600</v>
      </c>
      <c r="J178" s="358">
        <f>IF(売分析!AB178&lt;&gt;"",売分析!AB178,"")</f>
        <v>1742.5921658986174</v>
      </c>
      <c r="K178" s="358">
        <f>IF(売分析!AC178&lt;&gt;"",売分析!AC178,"")</f>
        <v>1734.0458879618584</v>
      </c>
      <c r="L178" s="358">
        <f>IF(売分析!K178&lt;&gt;"",売分析!K178,"")</f>
        <v>1922.5</v>
      </c>
      <c r="M178" s="230" t="str">
        <f>IF(売分析!P178&lt;&gt;"",売分析!P178,"")</f>
        <v>減少↓</v>
      </c>
      <c r="N178" s="360">
        <f>IF(売分析!O178&lt;&gt;"",売分析!O178,"")</f>
        <v>0.71765101800437492</v>
      </c>
      <c r="O178" s="362">
        <f>IF(売分析!X178&lt;&gt;"",売分析!X178,"")</f>
        <v>1.2140262857285506</v>
      </c>
      <c r="P178" s="359">
        <f>IF(売分析!L178&lt;&gt;"",売分析!L178,"")</f>
        <v>-8.5305591677503241</v>
      </c>
      <c r="Q178" s="358">
        <f>IF(売分析!S178&lt;&gt;"",売分析!S178,"")</f>
        <v>1829</v>
      </c>
      <c r="R178" s="358">
        <f>IF(売分析!R178&lt;&gt;"",売分析!R178,"")</f>
        <v>1618</v>
      </c>
      <c r="S178" s="230" t="str">
        <f>IF(売分析!AA178&lt;&gt;"",売分析!AA178,"")</f>
        <v>下落▼</v>
      </c>
      <c r="T178" s="363">
        <f>IF(売分析!Z178&lt;&gt;"",売分析!Z178,"")</f>
        <v>-2.8425241614553721E-2</v>
      </c>
      <c r="U178" s="230" t="str">
        <f>IF(売分析!V178&lt;&gt;"",売分析!V178,"")</f>
        <v>通常</v>
      </c>
      <c r="V178" s="361">
        <f>IF(売分析!W178&lt;&gt;"",売分析!W178,"")</f>
        <v>56.96821515892421</v>
      </c>
      <c r="W178" s="230" t="str">
        <f>IF(売分析!AD178&lt;&gt;"",売分析!AD178,"")</f>
        <v>パーフェクト▲</v>
      </c>
      <c r="X178" s="230" t="str">
        <f>IF(売分析!AE178&lt;&gt;"",売分析!AE178,"")</f>
        <v>なし</v>
      </c>
      <c r="Y178" s="428">
        <f>IF(売分析!T178&lt;&gt;"",売分析!T178,"")</f>
        <v>3</v>
      </c>
      <c r="Z178" s="230" t="str">
        <f>IF(売分析!Y178&lt;&gt;"",売分析!Y178,"")</f>
        <v>相場上昇・見送り | パーフェクト▲ MACD+ RSI:57.0 前日比:-0.0% [3点]</v>
      </c>
    </row>
    <row r="179" spans="1:26">
      <c r="A179" s="350">
        <f>IF(売分析!C179&lt;&gt;"",ROW()-2,"")</f>
        <v>177</v>
      </c>
      <c r="B179" s="349" t="str">
        <f>IF(売分析!C179&lt;&gt;"",HYPERLINK("https://kabutan.jp/stock/?code="&amp;売分析!C179,"株探"),"")</f>
        <v>株探</v>
      </c>
      <c r="C179" s="365">
        <f>IF(売分析!C179&lt;&gt;"",売分析!C179,"")</f>
        <v>8281</v>
      </c>
      <c r="D179" s="350" t="str">
        <f>IF(売分析!D179&lt;&gt;"",売分析!D179,"")</f>
        <v>ゼビオホールディングス</v>
      </c>
      <c r="E179" s="351">
        <f>IF(売分析!E179&lt;&gt;"",売分析!E179,"")</f>
        <v>1050</v>
      </c>
      <c r="F179" s="351">
        <f>IF(売分析!F179&lt;&gt;"",売分析!F179,"")</f>
        <v>1056</v>
      </c>
      <c r="G179" s="351">
        <f>IF(売分析!H179&lt;&gt;"",売分析!H179,"")</f>
        <v>1065</v>
      </c>
      <c r="H179" s="351">
        <f>IF(売分析!I179&lt;&gt;"",売分析!I179,"")</f>
        <v>1050</v>
      </c>
      <c r="I179" s="350">
        <f>IF(売分析!J179&lt;&gt;"",売分析!J179,"")</f>
        <v>86700</v>
      </c>
      <c r="J179" s="351">
        <f>IF(売分析!AB179&lt;&gt;"",売分析!AB179,"")</f>
        <v>1057.1797235023041</v>
      </c>
      <c r="K179" s="351">
        <f>IF(売分析!AC179&lt;&gt;"",売分析!AC179,"")</f>
        <v>1041.8057210965428</v>
      </c>
      <c r="L179" s="351">
        <f>IF(売分析!K179&lt;&gt;"",売分析!K179,"")</f>
        <v>1168</v>
      </c>
      <c r="M179" s="350" t="str">
        <f>IF(売分析!P179&lt;&gt;"",売分析!P179,"")</f>
        <v>減少↓</v>
      </c>
      <c r="N179" s="353">
        <f>IF(売分析!O179&lt;&gt;"",売分析!O179,"")</f>
        <v>0.77771797631862216</v>
      </c>
      <c r="O179" s="355">
        <f>IF(売分析!X179&lt;&gt;"",売分析!X179,"")</f>
        <v>4.0652406672534198</v>
      </c>
      <c r="P179" s="352">
        <f>IF(売分析!L179&lt;&gt;"",売分析!L179,"")</f>
        <v>-10.102739726027398</v>
      </c>
      <c r="Q179" s="351">
        <f>IF(売分析!S179&lt;&gt;"",売分析!S179,"")</f>
        <v>1092</v>
      </c>
      <c r="R179" s="351">
        <f>IF(売分析!R179&lt;&gt;"",売分析!R179,"")</f>
        <v>966</v>
      </c>
      <c r="S179" s="350" t="str">
        <f>IF(売分析!AA179&lt;&gt;"",売分析!AA179,"")</f>
        <v>下落▼</v>
      </c>
      <c r="T179" s="356">
        <f>IF(売分析!Z179&lt;&gt;"",売分析!Z179,"")</f>
        <v>-0.28490028490028491</v>
      </c>
      <c r="U179" s="350" t="str">
        <f>IF(売分析!V179&lt;&gt;"",売分析!V179,"")</f>
        <v>通常</v>
      </c>
      <c r="V179" s="354">
        <f>IF(売分析!W179&lt;&gt;"",売分析!W179,"")</f>
        <v>49.090909090909093</v>
      </c>
      <c r="W179" s="350" t="str">
        <f>IF(売分析!AD179&lt;&gt;"",売分析!AD179,"")</f>
        <v>上昇トレンド▲</v>
      </c>
      <c r="X179" s="350" t="str">
        <f>IF(売分析!AE179&lt;&gt;"",売分析!AE179,"")</f>
        <v>5日戻り売り○</v>
      </c>
      <c r="Y179" s="427">
        <f>IF(売分析!T179&lt;&gt;"",売分析!T179,"")</f>
        <v>0</v>
      </c>
      <c r="Z179" s="350" t="str">
        <f>IF(売分析!Y179&lt;&gt;"",売分析!Y179,"")</f>
        <v>相場上昇・見送り | 上昇トレンド▲ 5日戻り売り○ MACD+ RSI:49.1 前日比:-0.3% [0点]</v>
      </c>
    </row>
    <row r="180" spans="1:26">
      <c r="A180" s="230">
        <f>IF(売分析!C180&lt;&gt;"",ROW()-2,"")</f>
        <v>178</v>
      </c>
      <c r="B180" s="357" t="str">
        <f>IF(売分析!C180&lt;&gt;"",HYPERLINK("https://kabutan.jp/stock/?code="&amp;売分析!C180,"株探"),"")</f>
        <v>株探</v>
      </c>
      <c r="C180" s="366">
        <f>IF(売分析!C180&lt;&gt;"",売分析!C180,"")</f>
        <v>1833</v>
      </c>
      <c r="D180" s="230" t="str">
        <f>IF(売分析!D180&lt;&gt;"",売分析!D180,"")</f>
        <v>奥村組</v>
      </c>
      <c r="E180" s="358">
        <f>IF(売分析!E180&lt;&gt;"",売分析!E180,"")</f>
        <v>5700</v>
      </c>
      <c r="F180" s="358">
        <f>IF(売分析!F180&lt;&gt;"",売分析!F180,"")</f>
        <v>5760</v>
      </c>
      <c r="G180" s="358">
        <f>IF(売分析!H180&lt;&gt;"",売分析!H180,"")</f>
        <v>5790</v>
      </c>
      <c r="H180" s="358">
        <f>IF(売分析!I180&lt;&gt;"",売分析!I180,"")</f>
        <v>5700</v>
      </c>
      <c r="I180" s="230">
        <f>IF(売分析!J180&lt;&gt;"",売分析!J180,"")</f>
        <v>53400</v>
      </c>
      <c r="J180" s="358">
        <f>IF(売分析!AB180&lt;&gt;"",売分析!AB180,"")</f>
        <v>5667.1313364055286</v>
      </c>
      <c r="K180" s="358">
        <f>IF(売分析!AC180&lt;&gt;"",売分析!AC180,"")</f>
        <v>5642.3480333730604</v>
      </c>
      <c r="L180" s="358">
        <f>IF(売分析!K180&lt;&gt;"",売分析!K180,"")</f>
        <v>7490</v>
      </c>
      <c r="M180" s="230" t="str">
        <f>IF(売分析!P180&lt;&gt;"",売分析!P180,"")</f>
        <v>減少↓</v>
      </c>
      <c r="N180" s="360">
        <f>IF(売分析!O180&lt;&gt;"",売分析!O180,"")</f>
        <v>0.55474755869520054</v>
      </c>
      <c r="O180" s="362">
        <f>IF(売分析!X180&lt;&gt;"",売分析!X180,"")</f>
        <v>-13.858835610712049</v>
      </c>
      <c r="P180" s="359">
        <f>IF(売分析!L180&lt;&gt;"",売分析!L180,"")</f>
        <v>-23.89853137516689</v>
      </c>
      <c r="Q180" s="358">
        <f>IF(売分析!S180&lt;&gt;"",売分析!S180,"")</f>
        <v>5928</v>
      </c>
      <c r="R180" s="358">
        <f>IF(売分析!R180&lt;&gt;"",売分析!R180,"")</f>
        <v>5244</v>
      </c>
      <c r="S180" s="230" t="str">
        <f>IF(売分析!AA180&lt;&gt;"",売分析!AA180,"")</f>
        <v>下落▼</v>
      </c>
      <c r="T180" s="363">
        <f>IF(売分析!Z180&lt;&gt;"",売分析!Z180,"")</f>
        <v>-0.34965034965034963</v>
      </c>
      <c r="U180" s="230" t="str">
        <f>IF(売分析!V180&lt;&gt;"",売分析!V180,"")</f>
        <v>通常</v>
      </c>
      <c r="V180" s="361">
        <f>IF(売分析!W180&lt;&gt;"",売分析!W180,"")</f>
        <v>64.444444444444443</v>
      </c>
      <c r="W180" s="230" t="str">
        <f>IF(売分析!AD180&lt;&gt;"",売分析!AD180,"")</f>
        <v>パーフェクト▲</v>
      </c>
      <c r="X180" s="230" t="str">
        <f>IF(売分析!AE180&lt;&gt;"",売分析!AE180,"")</f>
        <v>なし</v>
      </c>
      <c r="Y180" s="428">
        <f>IF(売分析!T180&lt;&gt;"",売分析!T180,"")</f>
        <v>9</v>
      </c>
      <c r="Z180" s="230" t="str">
        <f>IF(売分析!Y180&lt;&gt;"",売分析!Y180,"")</f>
        <v>相場上昇・見送り | パーフェクト▲ MACD- RSI:64.4 前日比:-0.3% [9点]</v>
      </c>
    </row>
    <row r="181" spans="1:26">
      <c r="A181" s="350">
        <f>IF(売分析!C181&lt;&gt;"",ROW()-2,"")</f>
        <v>179</v>
      </c>
      <c r="B181" s="349" t="str">
        <f>IF(売分析!C181&lt;&gt;"",HYPERLINK("https://kabutan.jp/stock/?code="&amp;売分析!C181,"株探"),"")</f>
        <v>株探</v>
      </c>
      <c r="C181" s="365">
        <f>IF(売分析!C181&lt;&gt;"",売分析!C181,"")</f>
        <v>1925</v>
      </c>
      <c r="D181" s="350" t="str">
        <f>IF(売分析!D181&lt;&gt;"",売分析!D181,"")</f>
        <v>大和ハウス</v>
      </c>
      <c r="E181" s="351">
        <f>IF(売分析!E181&lt;&gt;"",売分析!E181,"")</f>
        <v>4358</v>
      </c>
      <c r="F181" s="351">
        <f>IF(売分析!F181&lt;&gt;"",売分析!F181,"")</f>
        <v>4400</v>
      </c>
      <c r="G181" s="351">
        <f>IF(売分析!H181&lt;&gt;"",売分析!H181,"")</f>
        <v>4435</v>
      </c>
      <c r="H181" s="351">
        <f>IF(売分析!I181&lt;&gt;"",売分析!I181,"")</f>
        <v>4358</v>
      </c>
      <c r="I181" s="350">
        <f>IF(売分析!J181&lt;&gt;"",売分析!J181,"")</f>
        <v>2281300</v>
      </c>
      <c r="J181" s="351">
        <f>IF(売分析!AB181&lt;&gt;"",売分析!AB181,"")</f>
        <v>4338.2361751152075</v>
      </c>
      <c r="K181" s="351">
        <f>IF(売分析!AC181&lt;&gt;"",売分析!AC181,"")</f>
        <v>4350.3396901072692</v>
      </c>
      <c r="L181" s="351">
        <f>IF(売分析!K181&lt;&gt;"",売分析!K181,"")</f>
        <v>5805</v>
      </c>
      <c r="M181" s="350" t="str">
        <f>IF(売分析!P181&lt;&gt;"",売分析!P181,"")</f>
        <v>減少↓</v>
      </c>
      <c r="N181" s="353">
        <f>IF(売分析!O181&lt;&gt;"",売分析!O181,"")</f>
        <v>0.9538962016424426</v>
      </c>
      <c r="O181" s="355">
        <f>IF(売分析!X181&lt;&gt;"",売分析!X181,"")</f>
        <v>-29.991834468372872</v>
      </c>
      <c r="P181" s="352">
        <f>IF(売分析!L181&lt;&gt;"",売分析!L181,"")</f>
        <v>-24.926787252368648</v>
      </c>
      <c r="Q181" s="351">
        <f>IF(売分析!S181&lt;&gt;"",売分析!S181,"")</f>
        <v>4532</v>
      </c>
      <c r="R181" s="351">
        <f>IF(売分析!R181&lt;&gt;"",売分析!R181,"")</f>
        <v>4009</v>
      </c>
      <c r="S181" s="350" t="str">
        <f>IF(売分析!AA181&lt;&gt;"",売分析!AA181,"")</f>
        <v>上昇▲</v>
      </c>
      <c r="T181" s="356">
        <f>IF(売分析!Z181&lt;&gt;"",売分析!Z181,"")</f>
        <v>0.2761159687068569</v>
      </c>
      <c r="U181" s="350" t="str">
        <f>IF(売分析!V181&lt;&gt;"",売分析!V181,"")</f>
        <v>通常</v>
      </c>
      <c r="V181" s="354">
        <f>IF(売分析!W181&lt;&gt;"",売分析!W181,"")</f>
        <v>44.310575635876837</v>
      </c>
      <c r="W181" s="350" t="str">
        <f>IF(売分析!AD181&lt;&gt;"",売分析!AD181,"")</f>
        <v>上昇トレンド▲</v>
      </c>
      <c r="X181" s="350" t="str">
        <f>IF(売分析!AE181&lt;&gt;"",売分析!AE181,"")</f>
        <v>なし</v>
      </c>
      <c r="Y181" s="427">
        <f>IF(売分析!T181&lt;&gt;"",売分析!T181,"")</f>
        <v>6</v>
      </c>
      <c r="Z181" s="350" t="str">
        <f>IF(売分析!Y181&lt;&gt;"",売分析!Y181,"")</f>
        <v>相場上昇・見送り | 上昇トレンド▲ MACD- RSI:44.3 前日比:+0.3% [6点]</v>
      </c>
    </row>
    <row r="182" spans="1:26">
      <c r="A182" s="230">
        <f>IF(売分析!C182&lt;&gt;"",ROW()-2,"")</f>
        <v>180</v>
      </c>
      <c r="B182" s="357" t="str">
        <f>IF(売分析!C182&lt;&gt;"",HYPERLINK("https://kabutan.jp/stock/?code="&amp;売分析!C182,"株探"),"")</f>
        <v>株探</v>
      </c>
      <c r="C182" s="366">
        <f>IF(売分析!C182&lt;&gt;"",売分析!C182,"")</f>
        <v>2914</v>
      </c>
      <c r="D182" s="230" t="str">
        <f>IF(売分析!D182&lt;&gt;"",売分析!D182,"")</f>
        <v>日本たばこ産業</v>
      </c>
      <c r="E182" s="358">
        <f>IF(売分析!E182&lt;&gt;"",売分析!E182,"")</f>
        <v>6071</v>
      </c>
      <c r="F182" s="358">
        <f>IF(売分析!F182&lt;&gt;"",売分析!F182,"")</f>
        <v>6133</v>
      </c>
      <c r="G182" s="358">
        <f>IF(売分析!H182&lt;&gt;"",売分析!H182,"")</f>
        <v>6160</v>
      </c>
      <c r="H182" s="358">
        <f>IF(売分析!I182&lt;&gt;"",売分析!I182,"")</f>
        <v>6071</v>
      </c>
      <c r="I182" s="230">
        <f>IF(売分析!J182&lt;&gt;"",売分析!J182,"")</f>
        <v>3469400</v>
      </c>
      <c r="J182" s="358">
        <f>IF(売分析!AB182&lt;&gt;"",売分析!AB182,"")</f>
        <v>6129.995391705068</v>
      </c>
      <c r="K182" s="358">
        <f>IF(売分析!AC182&lt;&gt;"",売分析!AC182,"")</f>
        <v>6144.9272943980905</v>
      </c>
      <c r="L182" s="358">
        <f>IF(売分析!K182&lt;&gt;"",売分析!K182,"")</f>
        <v>6474</v>
      </c>
      <c r="M182" s="230" t="str">
        <f>IF(売分析!P182&lt;&gt;"",売分析!P182,"")</f>
        <v>減少↓</v>
      </c>
      <c r="N182" s="360">
        <f>IF(売分析!O182&lt;&gt;"",売分析!O182,"")</f>
        <v>0.72245452122342901</v>
      </c>
      <c r="O182" s="362">
        <f>IF(売分析!X182&lt;&gt;"",売分析!X182,"")</f>
        <v>-9.3974343155305178</v>
      </c>
      <c r="P182" s="359">
        <f>IF(売分析!L182&lt;&gt;"",売分析!L182,"")</f>
        <v>-6.2248995983935735</v>
      </c>
      <c r="Q182" s="358">
        <f>IF(売分析!S182&lt;&gt;"",売分析!S182,"")</f>
        <v>6314</v>
      </c>
      <c r="R182" s="358">
        <f>IF(売分析!R182&lt;&gt;"",売分析!R182,"")</f>
        <v>5585</v>
      </c>
      <c r="S182" s="230" t="str">
        <f>IF(売分析!AA182&lt;&gt;"",売分析!AA182,"")</f>
        <v>下落▼</v>
      </c>
      <c r="T182" s="363">
        <f>IF(売分析!Z182&lt;&gt;"",売分析!Z182,"")</f>
        <v>-0.45909165436956878</v>
      </c>
      <c r="U182" s="230" t="str">
        <f>IF(売分析!V182&lt;&gt;"",売分析!V182,"")</f>
        <v>通常</v>
      </c>
      <c r="V182" s="361">
        <f>IF(売分析!W182&lt;&gt;"",売分析!W182,"")</f>
        <v>50.103734439834021</v>
      </c>
      <c r="W182" s="230" t="str">
        <f>IF(売分析!AD182&lt;&gt;"",売分析!AD182,"")</f>
        <v>下降トレンド▼</v>
      </c>
      <c r="X182" s="230" t="str">
        <f>IF(売分析!AE182&lt;&gt;"",売分析!AE182,"")</f>
        <v>25日戻り売り★</v>
      </c>
      <c r="Y182" s="428">
        <f>IF(売分析!T182&lt;&gt;"",売分析!T182,"")</f>
        <v>10</v>
      </c>
      <c r="Z182" s="230" t="str">
        <f>IF(売分析!Y182&lt;&gt;"",売分析!Y182,"")</f>
        <v>★逆張り売り | 下降トレンド▼ 25日戻り売り★ MACD- RSI:50.1 前日比:-0.5%前日[長い下ヒゲ(反発)] [10点]</v>
      </c>
    </row>
    <row r="183" spans="1:26">
      <c r="A183" s="350">
        <f>IF(売分析!C183&lt;&gt;"",ROW()-2,"")</f>
        <v>181</v>
      </c>
      <c r="B183" s="349" t="str">
        <f>IF(売分析!C183&lt;&gt;"",HYPERLINK("https://kabutan.jp/stock/?code="&amp;売分析!C183,"株探"),"")</f>
        <v>株探</v>
      </c>
      <c r="C183" s="365">
        <f>IF(売分析!C183&lt;&gt;"",売分析!C183,"")</f>
        <v>3407</v>
      </c>
      <c r="D183" s="350" t="str">
        <f>IF(売分析!D183&lt;&gt;"",売分析!D183,"")</f>
        <v>旭化成</v>
      </c>
      <c r="E183" s="351">
        <f>IF(売分析!E183&lt;&gt;"",売分析!E183,"")</f>
        <v>1790</v>
      </c>
      <c r="F183" s="351">
        <f>IF(売分析!F183&lt;&gt;"",売分析!F183,"")</f>
        <v>1765</v>
      </c>
      <c r="G183" s="351">
        <f>IF(売分析!H183&lt;&gt;"",売分析!H183,"")</f>
        <v>1790</v>
      </c>
      <c r="H183" s="351">
        <f>IF(売分析!I183&lt;&gt;"",売分析!I183,"")</f>
        <v>1750</v>
      </c>
      <c r="I183" s="350">
        <f>IF(売分析!J183&lt;&gt;"",売分析!J183,"")</f>
        <v>3657500</v>
      </c>
      <c r="J183" s="351">
        <f>IF(売分析!AB183&lt;&gt;"",売分析!AB183,"")</f>
        <v>1776.4481566820273</v>
      </c>
      <c r="K183" s="351">
        <f>IF(売分析!AC183&lt;&gt;"",売分析!AC183,"")</f>
        <v>1755.2973778307505</v>
      </c>
      <c r="L183" s="351">
        <f>IF(売分析!K183&lt;&gt;"",売分析!K183,"")</f>
        <v>1889</v>
      </c>
      <c r="M183" s="350" t="str">
        <f>IF(売分析!P183&lt;&gt;"",売分析!P183,"")</f>
        <v>減少↓</v>
      </c>
      <c r="N183" s="353">
        <f>IF(売分析!O183&lt;&gt;"",売分析!O183,"")</f>
        <v>0.74450804455445541</v>
      </c>
      <c r="O183" s="355">
        <f>IF(売分析!X183&lt;&gt;"",売分析!X183,"")</f>
        <v>8.4256713726770158</v>
      </c>
      <c r="P183" s="352">
        <f>IF(売分析!L183&lt;&gt;"",売分析!L183,"")</f>
        <v>-5.2408681842244569</v>
      </c>
      <c r="Q183" s="351">
        <f>IF(売分析!S183&lt;&gt;"",売分析!S183,"")</f>
        <v>1862</v>
      </c>
      <c r="R183" s="351">
        <f>IF(売分析!R183&lt;&gt;"",売分析!R183,"")</f>
        <v>1647</v>
      </c>
      <c r="S183" s="350" t="str">
        <f>IF(売分析!AA183&lt;&gt;"",売分析!AA183,"")</f>
        <v>上昇▲</v>
      </c>
      <c r="T183" s="356">
        <f>IF(売分析!Z183&lt;&gt;"",売分析!Z183,"")</f>
        <v>1.6179392563156401</v>
      </c>
      <c r="U183" s="350" t="str">
        <f>IF(売分析!V183&lt;&gt;"",売分析!V183,"")</f>
        <v>通常</v>
      </c>
      <c r="V183" s="354">
        <f>IF(売分析!W183&lt;&gt;"",売分析!W183,"")</f>
        <v>48.336594911937375</v>
      </c>
      <c r="W183" s="350" t="str">
        <f>IF(売分析!AD183&lt;&gt;"",売分析!AD183,"")</f>
        <v>パーフェクト▲</v>
      </c>
      <c r="X183" s="350" t="str">
        <f>IF(売分析!AE183&lt;&gt;"",売分析!AE183,"")</f>
        <v>なし</v>
      </c>
      <c r="Y183" s="427">
        <f>IF(売分析!T183&lt;&gt;"",売分析!T183,"")</f>
        <v>-1</v>
      </c>
      <c r="Z183" s="350" t="str">
        <f>IF(売分析!Y183&lt;&gt;"",売分析!Y183,"")</f>
        <v>相場上昇・見送り | パーフェクト▲ MACD+ RSI:48.3 前日比:+1.6% [-1点]</v>
      </c>
    </row>
    <row r="184" spans="1:26">
      <c r="A184" s="230">
        <f>IF(売分析!C184&lt;&gt;"",ROW()-2,"")</f>
        <v>182</v>
      </c>
      <c r="B184" s="357" t="str">
        <f>IF(売分析!C184&lt;&gt;"",HYPERLINK("https://kabutan.jp/stock/?code="&amp;売分析!C184,"株探"),"")</f>
        <v>株探</v>
      </c>
      <c r="C184" s="366">
        <f>IF(売分析!C184&lt;&gt;"",売分析!C184,"")</f>
        <v>4523</v>
      </c>
      <c r="D184" s="230" t="str">
        <f>IF(売分析!D184&lt;&gt;"",売分析!D184,"")</f>
        <v>エーザイ</v>
      </c>
      <c r="E184" s="358">
        <f>IF(売分析!E184&lt;&gt;"",売分析!E184,"")</f>
        <v>3829</v>
      </c>
      <c r="F184" s="358">
        <f>IF(売分析!F184&lt;&gt;"",売分析!F184,"")</f>
        <v>3857</v>
      </c>
      <c r="G184" s="358">
        <f>IF(売分析!H184&lt;&gt;"",売分析!H184,"")</f>
        <v>3886</v>
      </c>
      <c r="H184" s="358">
        <f>IF(売分析!I184&lt;&gt;"",売分析!I184,"")</f>
        <v>3813</v>
      </c>
      <c r="I184" s="230">
        <f>IF(売分析!J184&lt;&gt;"",売分析!J184,"")</f>
        <v>1988700</v>
      </c>
      <c r="J184" s="358">
        <f>IF(売分析!AB184&lt;&gt;"",売分析!AB184,"")</f>
        <v>3781.5829493087549</v>
      </c>
      <c r="K184" s="358">
        <f>IF(売分析!AC184&lt;&gt;"",売分析!AC184,"")</f>
        <v>3932.8271752085802</v>
      </c>
      <c r="L184" s="358">
        <f>IF(売分析!K184&lt;&gt;"",売分析!K184,"")</f>
        <v>5243</v>
      </c>
      <c r="M184" s="230" t="str">
        <f>IF(売分析!P184&lt;&gt;"",売分析!P184,"")</f>
        <v>普通→</v>
      </c>
      <c r="N184" s="360">
        <f>IF(売分析!O184&lt;&gt;"",売分析!O184,"")</f>
        <v>1.0642157649703001</v>
      </c>
      <c r="O184" s="362">
        <f>IF(売分析!X184&lt;&gt;"",売分析!X184,"")</f>
        <v>-76.773751288611038</v>
      </c>
      <c r="P184" s="359">
        <f>IF(売分析!L184&lt;&gt;"",売分析!L184,"")</f>
        <v>-26.969292389853138</v>
      </c>
      <c r="Q184" s="358">
        <f>IF(売分析!S184&lt;&gt;"",売分析!S184,"")</f>
        <v>3982</v>
      </c>
      <c r="R184" s="358">
        <f>IF(売分析!R184&lt;&gt;"",売分析!R184,"")</f>
        <v>3523</v>
      </c>
      <c r="S184" s="230" t="str">
        <f>IF(売分析!AA184&lt;&gt;"",売分析!AA184,"")</f>
        <v>上昇▲</v>
      </c>
      <c r="T184" s="363">
        <f>IF(売分析!Z184&lt;&gt;"",売分析!Z184,"")</f>
        <v>2.1066666666666669</v>
      </c>
      <c r="U184" s="230" t="str">
        <f>IF(売分析!V184&lt;&gt;"",売分析!V184,"")</f>
        <v>安値圏</v>
      </c>
      <c r="V184" s="361">
        <f>IF(売分析!W184&lt;&gt;"",売分析!W184,"")</f>
        <v>27.335640138408309</v>
      </c>
      <c r="W184" s="230" t="str">
        <f>IF(売分析!AD184&lt;&gt;"",売分析!AD184,"")</f>
        <v>もみ合い→</v>
      </c>
      <c r="X184" s="230" t="str">
        <f>IF(売分析!AE184&lt;&gt;"",売分析!AE184,"")</f>
        <v>なし</v>
      </c>
      <c r="Y184" s="428">
        <f>IF(売分析!T184&lt;&gt;"",売分析!T184,"")</f>
        <v>9</v>
      </c>
      <c r="Z184" s="230" t="str">
        <f>IF(売分析!Y184&lt;&gt;"",売分析!Y184,"")</f>
        <v>相場上昇・見送り | もみ合い→ MACD- RSI:27.3 [売られ過ぎ] 前日比:+2.1% [安値圏] [9点]</v>
      </c>
    </row>
    <row r="185" spans="1:26">
      <c r="A185" s="350">
        <f>IF(売分析!C185&lt;&gt;"",ROW()-2,"")</f>
        <v>183</v>
      </c>
      <c r="B185" s="349" t="str">
        <f>IF(売分析!C185&lt;&gt;"",HYPERLINK("https://kabutan.jp/stock/?code="&amp;売分析!C185,"株探"),"")</f>
        <v>株探</v>
      </c>
      <c r="C185" s="365">
        <f>IF(売分析!C185&lt;&gt;"",売分析!C185,"")</f>
        <v>8424</v>
      </c>
      <c r="D185" s="350" t="str">
        <f>IF(売分析!D185&lt;&gt;"",売分析!D185,"")</f>
        <v>芙蓉総合リース</v>
      </c>
      <c r="E185" s="351">
        <f>IF(売分析!E185&lt;&gt;"",売分析!E185,"")</f>
        <v>4236</v>
      </c>
      <c r="F185" s="351">
        <f>IF(売分析!F185&lt;&gt;"",売分析!F185,"")</f>
        <v>4302</v>
      </c>
      <c r="G185" s="351">
        <f>IF(売分析!H185&lt;&gt;"",売分析!H185,"")</f>
        <v>4333</v>
      </c>
      <c r="H185" s="351">
        <f>IF(売分析!I185&lt;&gt;"",売分析!I185,"")</f>
        <v>4236</v>
      </c>
      <c r="I185" s="350">
        <f>IF(売分析!J185&lt;&gt;"",売分析!J185,"")</f>
        <v>168700</v>
      </c>
      <c r="J185" s="351">
        <f>IF(売分析!AB185&lt;&gt;"",売分析!AB185,"")</f>
        <v>4265.7304147465438</v>
      </c>
      <c r="K185" s="351">
        <f>IF(売分析!AC185&lt;&gt;"",売分析!AC185,"")</f>
        <v>4230.9809296781868</v>
      </c>
      <c r="L185" s="351">
        <f>IF(売分析!K185&lt;&gt;"",売分析!K185,"")</f>
        <v>4664</v>
      </c>
      <c r="M185" s="350" t="str">
        <f>IF(売分析!P185&lt;&gt;"",売分析!P185,"")</f>
        <v>普通→</v>
      </c>
      <c r="N185" s="353">
        <f>IF(売分析!O185&lt;&gt;"",売分析!O185,"")</f>
        <v>1.0919093851132686</v>
      </c>
      <c r="O185" s="355">
        <f>IF(売分析!X185&lt;&gt;"",売分析!X185,"")</f>
        <v>-8.5874685060834963</v>
      </c>
      <c r="P185" s="352">
        <f>IF(売分析!L185&lt;&gt;"",売分析!L185,"")</f>
        <v>-9.1766723842195539</v>
      </c>
      <c r="Q185" s="351">
        <f>IF(売分析!S185&lt;&gt;"",売分析!S185,"")</f>
        <v>4405</v>
      </c>
      <c r="R185" s="351">
        <f>IF(売分析!R185&lt;&gt;"",売分析!R185,"")</f>
        <v>3897</v>
      </c>
      <c r="S185" s="350" t="str">
        <f>IF(売分析!AA185&lt;&gt;"",売分析!AA185,"")</f>
        <v>下落▼</v>
      </c>
      <c r="T185" s="356">
        <f>IF(売分析!Z185&lt;&gt;"",売分析!Z185,"")</f>
        <v>-1.051156271899089</v>
      </c>
      <c r="U185" s="350" t="str">
        <f>IF(売分析!V185&lt;&gt;"",売分析!V185,"")</f>
        <v>通常</v>
      </c>
      <c r="V185" s="354">
        <f>IF(売分析!W185&lt;&gt;"",売分析!W185,"")</f>
        <v>54.653465346534645</v>
      </c>
      <c r="W185" s="350" t="str">
        <f>IF(売分析!AD185&lt;&gt;"",売分析!AD185,"")</f>
        <v>上昇トレンド▲</v>
      </c>
      <c r="X185" s="350" t="str">
        <f>IF(売分析!AE185&lt;&gt;"",売分析!AE185,"")</f>
        <v>5日戻り売り○</v>
      </c>
      <c r="Y185" s="427">
        <f>IF(売分析!T185&lt;&gt;"",売分析!T185,"")</f>
        <v>10</v>
      </c>
      <c r="Z185" s="350" t="str">
        <f>IF(売分析!Y185&lt;&gt;"",売分析!Y185,"")</f>
        <v>相場上昇・見送り | 上昇トレンド▲ 5日戻り売り○ MACD- RSI:54.7 前日比:-1.1%前日[大陰線▼] [10点]</v>
      </c>
    </row>
    <row r="186" spans="1:26">
      <c r="A186" s="230">
        <f>IF(売分析!C186&lt;&gt;"",ROW()-2,"")</f>
        <v>184</v>
      </c>
      <c r="B186" s="357" t="str">
        <f>IF(売分析!C186&lt;&gt;"",HYPERLINK("https://kabutan.jp/stock/?code="&amp;売分析!C186,"株探"),"")</f>
        <v>株探</v>
      </c>
      <c r="C186" s="366">
        <f>IF(売分析!C186&lt;&gt;"",売分析!C186,"")</f>
        <v>6330</v>
      </c>
      <c r="D186" s="230" t="str">
        <f>IF(売分析!D186&lt;&gt;"",売分析!D186,"")</f>
        <v>東洋エンジニア</v>
      </c>
      <c r="E186" s="358">
        <f>IF(売分析!E186&lt;&gt;"",売分析!E186,"")</f>
        <v>2198</v>
      </c>
      <c r="F186" s="358">
        <f>IF(売分析!F186&lt;&gt;"",売分析!F186,"")</f>
        <v>2091</v>
      </c>
      <c r="G186" s="358">
        <f>IF(売分析!H186&lt;&gt;"",売分析!H186,"")</f>
        <v>2266</v>
      </c>
      <c r="H186" s="358">
        <f>IF(売分析!I186&lt;&gt;"",売分析!I186,"")</f>
        <v>2091</v>
      </c>
      <c r="I186" s="230">
        <f>IF(売分析!J186&lt;&gt;"",売分析!J186,"")</f>
        <v>1837600</v>
      </c>
      <c r="J186" s="358">
        <f>IF(売分析!AB186&lt;&gt;"",売分析!AB186,"")</f>
        <v>2056.8847926267281</v>
      </c>
      <c r="K186" s="358">
        <f>IF(売分析!AC186&lt;&gt;"",売分析!AC186,"")</f>
        <v>2027.0548271752077</v>
      </c>
      <c r="L186" s="358">
        <f>IF(売分析!K186&lt;&gt;"",売分析!K186,"")</f>
        <v>8760</v>
      </c>
      <c r="M186" s="230" t="str">
        <f>IF(売分析!P186&lt;&gt;"",売分析!P186,"")</f>
        <v>普通→</v>
      </c>
      <c r="N186" s="360">
        <f>IF(売分析!O186&lt;&gt;"",売分析!O186,"")</f>
        <v>1.4586210728516773</v>
      </c>
      <c r="O186" s="362">
        <f>IF(売分析!X186&lt;&gt;"",売分析!X186,"")</f>
        <v>-16.152659419914471</v>
      </c>
      <c r="P186" s="359">
        <f>IF(売分析!L186&lt;&gt;"",売分析!L186,"")</f>
        <v>-74.908675799086751</v>
      </c>
      <c r="Q186" s="358">
        <f>IF(売分析!S186&lt;&gt;"",売分析!S186,"")</f>
        <v>2286</v>
      </c>
      <c r="R186" s="358">
        <f>IF(売分析!R186&lt;&gt;"",売分析!R186,"")</f>
        <v>2022</v>
      </c>
      <c r="S186" s="230" t="str">
        <f>IF(売分析!AA186&lt;&gt;"",売分析!AA186,"")</f>
        <v>上昇▲</v>
      </c>
      <c r="T186" s="363">
        <f>IF(売分析!Z186&lt;&gt;"",売分析!Z186,"")</f>
        <v>5.2681992337164747</v>
      </c>
      <c r="U186" s="230" t="str">
        <f>IF(売分析!V186&lt;&gt;"",売分析!V186,"")</f>
        <v>年初来安値圏●</v>
      </c>
      <c r="V186" s="361">
        <f>IF(売分析!W186&lt;&gt;"",売分析!W186,"")</f>
        <v>45.948717948717949</v>
      </c>
      <c r="W186" s="230" t="str">
        <f>IF(売分析!AD186&lt;&gt;"",売分析!AD186,"")</f>
        <v>パーフェクト▲</v>
      </c>
      <c r="X186" s="230" t="str">
        <f>IF(売分析!AE186&lt;&gt;"",売分析!AE186,"")</f>
        <v>なし</v>
      </c>
      <c r="Y186" s="428">
        <f>IF(売分析!T186&lt;&gt;"",売分析!T186,"")</f>
        <v>6</v>
      </c>
      <c r="Z186" s="230" t="str">
        <f>IF(売分析!Y186&lt;&gt;"",売分析!Y186,"")</f>
        <v>相場上昇・見送り | パーフェクト▲ MACD- RSI:45.9 前日比:+5.3% [年初来安値圏]前日[長い下ヒゲ(反発)] [6点]</v>
      </c>
    </row>
    <row r="187" spans="1:26">
      <c r="A187" s="350">
        <f>IF(売分析!C187&lt;&gt;"",ROW()-2,"")</f>
        <v>185</v>
      </c>
      <c r="B187" s="349" t="str">
        <f>IF(売分析!C187&lt;&gt;"",HYPERLINK("https://kabutan.jp/stock/?code="&amp;売分析!C187,"株探"),"")</f>
        <v>株探</v>
      </c>
      <c r="C187" s="365">
        <f>IF(売分析!C187&lt;&gt;"",売分析!C187,"")</f>
        <v>2160</v>
      </c>
      <c r="D187" s="350" t="str">
        <f>IF(売分析!D187&lt;&gt;"",売分析!D187,"")</f>
        <v>ジーエヌアイグループ</v>
      </c>
      <c r="E187" s="351">
        <f>IF(売分析!E187&lt;&gt;"",売分析!E187,"")</f>
        <v>2542</v>
      </c>
      <c r="F187" s="351">
        <f>IF(売分析!F187&lt;&gt;"",売分析!F187,"")</f>
        <v>2500</v>
      </c>
      <c r="G187" s="351">
        <f>IF(売分析!H187&lt;&gt;"",売分析!H187,"")</f>
        <v>2595</v>
      </c>
      <c r="H187" s="351">
        <f>IF(売分析!I187&lt;&gt;"",売分析!I187,"")</f>
        <v>2500</v>
      </c>
      <c r="I187" s="350">
        <f>IF(売分析!J187&lt;&gt;"",売分析!J187,"")</f>
        <v>850200</v>
      </c>
      <c r="J187" s="351">
        <f>IF(売分析!AB187&lt;&gt;"",売分析!AB187,"")</f>
        <v>2556.7016129032254</v>
      </c>
      <c r="K187" s="351">
        <f>IF(売分析!AC187&lt;&gt;"",売分析!AC187,"")</f>
        <v>2682.3230035756847</v>
      </c>
      <c r="L187" s="351">
        <f>IF(売分析!K187&lt;&gt;"",売分析!K187,"")</f>
        <v>3740</v>
      </c>
      <c r="M187" s="350" t="str">
        <f>IF(売分析!P187&lt;&gt;"",売分析!P187,"")</f>
        <v>減少↓</v>
      </c>
      <c r="N187" s="353">
        <f>IF(売分析!O187&lt;&gt;"",売分析!O187,"")</f>
        <v>0.61371215730434403</v>
      </c>
      <c r="O187" s="355">
        <f>IF(売分析!X187&lt;&gt;"",売分析!X187,"")</f>
        <v>-29.731835025612327</v>
      </c>
      <c r="P187" s="352">
        <f>IF(売分析!L187&lt;&gt;"",売分析!L187,"")</f>
        <v>-32.032085561497325</v>
      </c>
      <c r="Q187" s="351">
        <f>IF(売分析!S187&lt;&gt;"",売分析!S187,"")</f>
        <v>2644</v>
      </c>
      <c r="R187" s="351">
        <f>IF(売分析!R187&lt;&gt;"",売分析!R187,"")</f>
        <v>2339</v>
      </c>
      <c r="S187" s="350" t="str">
        <f>IF(売分析!AA187&lt;&gt;"",売分析!AA187,"")</f>
        <v>上昇▲</v>
      </c>
      <c r="T187" s="356">
        <f>IF(売分析!Z187&lt;&gt;"",売分析!Z187,"")</f>
        <v>1.965503409546731</v>
      </c>
      <c r="U187" s="350" t="str">
        <f>IF(売分析!V187&lt;&gt;"",売分析!V187,"")</f>
        <v>安値圏</v>
      </c>
      <c r="V187" s="354">
        <f>IF(売分析!W187&lt;&gt;"",売分析!W187,"")</f>
        <v>31.400437636761495</v>
      </c>
      <c r="W187" s="350" t="str">
        <f>IF(売分析!AD187&lt;&gt;"",売分析!AD187,"")</f>
        <v>下降トレンド▼</v>
      </c>
      <c r="X187" s="350" t="str">
        <f>IF(売分析!AE187&lt;&gt;"",売分析!AE187,"")</f>
        <v>5日戻り売り○</v>
      </c>
      <c r="Y187" s="427">
        <f>IF(売分析!T187&lt;&gt;"",売分析!T187,"")</f>
        <v>13</v>
      </c>
      <c r="Z187" s="350" t="str">
        <f>IF(売分析!Y187&lt;&gt;"",売分析!Y187,"")</f>
        <v>★逆張り売り | 下降トレンド▼ 5日戻り売り○ MACD- RSI:31.4 前日比:+2.0% [安値圏] [13点]</v>
      </c>
    </row>
    <row r="188" spans="1:26">
      <c r="A188" s="230">
        <f>IF(売分析!C188&lt;&gt;"",ROW()-2,"")</f>
        <v>186</v>
      </c>
      <c r="B188" s="357" t="str">
        <f>IF(売分析!C188&lt;&gt;"",HYPERLINK("https://kabutan.jp/stock/?code="&amp;売分析!C188,"株探"),"")</f>
        <v>株探</v>
      </c>
      <c r="C188" s="366">
        <f>IF(売分析!C188&lt;&gt;"",売分析!C188,"")</f>
        <v>4422</v>
      </c>
      <c r="D188" s="230" t="str">
        <f>IF(売分析!D188&lt;&gt;"",売分析!D188,"")</f>
        <v>ＶＡＬＵＥＮＥＸ</v>
      </c>
      <c r="E188" s="358">
        <f>IF(売分析!E188&lt;&gt;"",売分析!E188,"")</f>
        <v>632</v>
      </c>
      <c r="F188" s="358">
        <f>IF(売分析!F188&lt;&gt;"",売分析!F188,"")</f>
        <v>665</v>
      </c>
      <c r="G188" s="358">
        <f>IF(売分析!H188&lt;&gt;"",売分析!H188,"")</f>
        <v>703</v>
      </c>
      <c r="H188" s="358">
        <f>IF(売分析!I188&lt;&gt;"",売分析!I188,"")</f>
        <v>632</v>
      </c>
      <c r="I188" s="230">
        <f>IF(売分析!J188&lt;&gt;"",売分析!J188,"")</f>
        <v>243000</v>
      </c>
      <c r="J188" s="358">
        <f>IF(売分析!AB188&lt;&gt;"",売分析!AB188,"")</f>
        <v>657.65207373271892</v>
      </c>
      <c r="K188" s="358">
        <f>IF(売分析!AC188&lt;&gt;"",売分析!AC188,"")</f>
        <v>737.9511323003577</v>
      </c>
      <c r="L188" s="358">
        <f>IF(売分析!K188&lt;&gt;"",売分析!K188,"")</f>
        <v>1630</v>
      </c>
      <c r="M188" s="230" t="str">
        <f>IF(売分析!P188&lt;&gt;"",売分析!P188,"")</f>
        <v>減少↓</v>
      </c>
      <c r="N188" s="360">
        <f>IF(売分析!O188&lt;&gt;"",売分析!O188,"")</f>
        <v>0.57926102502979737</v>
      </c>
      <c r="O188" s="362">
        <f>IF(売分析!X188&lt;&gt;"",売分析!X188,"")</f>
        <v>-18.735061037497871</v>
      </c>
      <c r="P188" s="359">
        <f>IF(売分析!L188&lt;&gt;"",売分析!L188,"")</f>
        <v>-61.226993865030678</v>
      </c>
      <c r="Q188" s="358">
        <f>IF(売分析!S188&lt;&gt;"",売分析!S188,"")</f>
        <v>657</v>
      </c>
      <c r="R188" s="358">
        <f>IF(売分析!R188&lt;&gt;"",売分析!R188,"")</f>
        <v>581</v>
      </c>
      <c r="S188" s="230" t="str">
        <f>IF(売分析!AA188&lt;&gt;"",売分析!AA188,"")</f>
        <v>上昇▲</v>
      </c>
      <c r="T188" s="363">
        <f>IF(売分析!Z188&lt;&gt;"",売分析!Z188,"")</f>
        <v>1.1199999999999999</v>
      </c>
      <c r="U188" s="230" t="str">
        <f>IF(売分析!V188&lt;&gt;"",売分析!V188,"")</f>
        <v>年初来安値圏●</v>
      </c>
      <c r="V188" s="361">
        <f>IF(売分析!W188&lt;&gt;"",売分析!W188,"")</f>
        <v>36.953807740324599</v>
      </c>
      <c r="W188" s="230" t="str">
        <f>IF(売分析!AD188&lt;&gt;"",売分析!AD188,"")</f>
        <v>下降トレンド▼</v>
      </c>
      <c r="X188" s="230" t="str">
        <f>IF(売分析!AE188&lt;&gt;"",売分析!AE188,"")</f>
        <v>なし</v>
      </c>
      <c r="Y188" s="428">
        <f>IF(売分析!T188&lt;&gt;"",売分析!T188,"")</f>
        <v>13</v>
      </c>
      <c r="Z188" s="230" t="str">
        <f>IF(売分析!Y188&lt;&gt;"",売分析!Y188,"")</f>
        <v>相場上昇・見送り | 下降トレンド▼ MACD- RSI:37.0 前日比:+1.1% [年初来安値圏] [13点]</v>
      </c>
    </row>
    <row r="189" spans="1:26">
      <c r="A189" s="350">
        <f>IF(売分析!C189&lt;&gt;"",ROW()-2,"")</f>
        <v>187</v>
      </c>
      <c r="B189" s="349" t="str">
        <f>IF(売分析!C189&lt;&gt;"",HYPERLINK("https://kabutan.jp/stock/?code="&amp;売分析!C189,"株探"),"")</f>
        <v>株探</v>
      </c>
      <c r="C189" s="365">
        <f>IF(売分析!C189&lt;&gt;"",売分析!C189,"")</f>
        <v>6740</v>
      </c>
      <c r="D189" s="350" t="str">
        <f>IF(売分析!D189&lt;&gt;"",売分析!D189,"")</f>
        <v>ジャパンディスプレイ</v>
      </c>
      <c r="E189" s="351">
        <f>IF(売分析!E189&lt;&gt;"",売分析!E189,"")</f>
        <v>51</v>
      </c>
      <c r="F189" s="351">
        <f>IF(売分析!F189&lt;&gt;"",売分析!F189,"")</f>
        <v>45</v>
      </c>
      <c r="G189" s="351">
        <f>IF(売分析!H189&lt;&gt;"",売分析!H189,"")</f>
        <v>53</v>
      </c>
      <c r="H189" s="351">
        <f>IF(売分析!I189&lt;&gt;"",売分析!I189,"")</f>
        <v>44</v>
      </c>
      <c r="I189" s="350">
        <f>IF(売分析!J189&lt;&gt;"",売分析!J189,"")</f>
        <v>38359900</v>
      </c>
      <c r="J189" s="351">
        <f>IF(売分析!AB189&lt;&gt;"",売分析!AB189,"")</f>
        <v>50.358294930875566</v>
      </c>
      <c r="K189" s="351">
        <f>IF(売分析!AC189&lt;&gt;"",売分析!AC189,"")</f>
        <v>57.576877234803312</v>
      </c>
      <c r="L189" s="351">
        <f>IF(売分析!K189&lt;&gt;"",売分析!K189,"")</f>
        <v>164</v>
      </c>
      <c r="M189" s="350" t="str">
        <f>IF(売分析!P189&lt;&gt;"",売分析!P189,"")</f>
        <v>減少↓</v>
      </c>
      <c r="N189" s="353">
        <f>IF(売分析!O189&lt;&gt;"",売分析!O189,"")</f>
        <v>0.62436643569171713</v>
      </c>
      <c r="O189" s="355">
        <f>IF(売分析!X189&lt;&gt;"",売分析!X189,"")</f>
        <v>-2.7159676642559276</v>
      </c>
      <c r="P189" s="352">
        <f>IF(売分析!L189&lt;&gt;"",売分析!L189,"")</f>
        <v>-68.902439024390233</v>
      </c>
      <c r="Q189" s="351">
        <f>IF(売分析!S189&lt;&gt;"",売分析!S189,"")</f>
        <v>53</v>
      </c>
      <c r="R189" s="351">
        <f>IF(売分析!R189&lt;&gt;"",売分析!R189,"")</f>
        <v>47</v>
      </c>
      <c r="S189" s="350" t="str">
        <f>IF(売分析!AA189&lt;&gt;"",売分析!AA189,"")</f>
        <v>上昇▲</v>
      </c>
      <c r="T189" s="356">
        <f>IF(売分析!Z189&lt;&gt;"",売分析!Z189,"")</f>
        <v>13.333333333333334</v>
      </c>
      <c r="U189" s="350" t="str">
        <f>IF(売分析!V189&lt;&gt;"",売分析!V189,"")</f>
        <v>年初来安値圏●</v>
      </c>
      <c r="V189" s="354">
        <f>IF(売分析!W189&lt;&gt;"",売分析!W189,"")</f>
        <v>26.31578947368422</v>
      </c>
      <c r="W189" s="350" t="str">
        <f>IF(売分析!AD189&lt;&gt;"",売分析!AD189,"")</f>
        <v>もみ合い→</v>
      </c>
      <c r="X189" s="350" t="str">
        <f>IF(売分析!AE189&lt;&gt;"",売分析!AE189,"")</f>
        <v>なし</v>
      </c>
      <c r="Y189" s="427">
        <f>IF(売分析!T189&lt;&gt;"",売分析!T189,"")</f>
        <v>11</v>
      </c>
      <c r="Z189" s="350" t="str">
        <f>IF(売分析!Y189&lt;&gt;"",売分析!Y189,"")</f>
        <v>相場上昇・見送り | もみ合い→ MACD- RSI:26.3 [売られ過ぎ] 前日比:+13.3% [年初来安値圏] [11点]</v>
      </c>
    </row>
    <row r="190" spans="1:26">
      <c r="A190" s="230">
        <f>IF(売分析!C190&lt;&gt;"",ROW()-2,"")</f>
        <v>188</v>
      </c>
      <c r="B190" s="357" t="str">
        <f>IF(売分析!C190&lt;&gt;"",HYPERLINK("https://kabutan.jp/stock/?code="&amp;売分析!C190,"株探"),"")</f>
        <v>株探</v>
      </c>
      <c r="C190" s="366">
        <f>IF(売分析!C190&lt;&gt;"",売分析!C190,"")</f>
        <v>7375</v>
      </c>
      <c r="D190" s="230" t="str">
        <f>IF(売分析!D190&lt;&gt;"",売分析!D190,"")</f>
        <v>リファインバースグループ</v>
      </c>
      <c r="E190" s="358">
        <f>IF(売分析!E190&lt;&gt;"",売分析!E190,"")</f>
        <v>1329</v>
      </c>
      <c r="F190" s="358">
        <f>IF(売分析!F190&lt;&gt;"",売分析!F190,"")</f>
        <v>1312</v>
      </c>
      <c r="G190" s="358">
        <f>IF(売分析!H190&lt;&gt;"",売分析!H190,"")</f>
        <v>1369</v>
      </c>
      <c r="H190" s="358">
        <f>IF(売分析!I190&lt;&gt;"",売分析!I190,"")</f>
        <v>1312</v>
      </c>
      <c r="I190" s="230">
        <f>IF(売分析!J190&lt;&gt;"",売分析!J190,"")</f>
        <v>59600</v>
      </c>
      <c r="J190" s="358">
        <f>IF(売分析!AB190&lt;&gt;"",売分析!AB190,"")</f>
        <v>1321.2868663594468</v>
      </c>
      <c r="K190" s="358">
        <f>IF(売分析!AC190&lt;&gt;"",売分析!AC190,"")</f>
        <v>1477.9570917759233</v>
      </c>
      <c r="L190" s="358">
        <f>IF(売分析!K190&lt;&gt;"",売分析!K190,"")</f>
        <v>2660</v>
      </c>
      <c r="M190" s="230" t="str">
        <f>IF(売分析!P190&lt;&gt;"",売分析!P190,"")</f>
        <v>減少↓</v>
      </c>
      <c r="N190" s="360">
        <f>IF(売分析!O190&lt;&gt;"",売分析!O190,"")</f>
        <v>0.70666350486127583</v>
      </c>
      <c r="O190" s="362">
        <f>IF(売分析!X190&lt;&gt;"",売分析!X190,"")</f>
        <v>-65.305468100095368</v>
      </c>
      <c r="P190" s="359">
        <f>IF(売分析!L190&lt;&gt;"",売分析!L190,"")</f>
        <v>-50.037593984962406</v>
      </c>
      <c r="Q190" s="358">
        <f>IF(売分析!S190&lt;&gt;"",売分析!S190,"")</f>
        <v>1382</v>
      </c>
      <c r="R190" s="358">
        <f>IF(売分析!R190&lt;&gt;"",売分析!R190,"")</f>
        <v>1223</v>
      </c>
      <c r="S190" s="230" t="str">
        <f>IF(売分析!AA190&lt;&gt;"",売分析!AA190,"")</f>
        <v>上昇▲</v>
      </c>
      <c r="T190" s="363">
        <f>IF(売分析!Z190&lt;&gt;"",売分析!Z190,"")</f>
        <v>0.30188679245283018</v>
      </c>
      <c r="U190" s="230" t="str">
        <f>IF(売分析!V190&lt;&gt;"",売分析!V190,"")</f>
        <v>年初来安値圏●</v>
      </c>
      <c r="V190" s="361">
        <f>IF(売分析!W190&lt;&gt;"",売分析!W190,"")</f>
        <v>11.668928086838534</v>
      </c>
      <c r="W190" s="230" t="str">
        <f>IF(売分析!AD190&lt;&gt;"",売分析!AD190,"")</f>
        <v>もみ合い→</v>
      </c>
      <c r="X190" s="230" t="str">
        <f>IF(売分析!AE190&lt;&gt;"",売分析!AE190,"")</f>
        <v>なし</v>
      </c>
      <c r="Y190" s="428">
        <f>IF(売分析!T190&lt;&gt;"",売分析!T190,"")</f>
        <v>13</v>
      </c>
      <c r="Z190" s="230" t="str">
        <f>IF(売分析!Y190&lt;&gt;"",売分析!Y190,"")</f>
        <v>相場上昇・見送り | もみ合い→ MACD- RSI:11.7 [売られ過ぎ] 前日比:+0.3% [年初来安値圏] [上ヒゲ陰線▼] [13点]</v>
      </c>
    </row>
    <row r="191" spans="1:26">
      <c r="A191" s="350">
        <f>IF(売分析!C191&lt;&gt;"",ROW()-2,"")</f>
        <v>189</v>
      </c>
      <c r="B191" s="349" t="str">
        <f>IF(売分析!C191&lt;&gt;"",HYPERLINK("https://kabutan.jp/stock/?code="&amp;売分析!C191,"株探"),"")</f>
        <v>株探</v>
      </c>
      <c r="C191" s="365">
        <f>IF(売分析!C191&lt;&gt;"",売分析!C191,"")</f>
        <v>8303</v>
      </c>
      <c r="D191" s="350" t="str">
        <f>IF(売分析!D191&lt;&gt;"",売分析!D191,"")</f>
        <v>ＳＢＩ新生銀行</v>
      </c>
      <c r="E191" s="351">
        <f>IF(売分析!E191&lt;&gt;"",売分析!E191,"")</f>
        <v>1445</v>
      </c>
      <c r="F191" s="351">
        <f>IF(売分析!F191&lt;&gt;"",売分析!F191,"")</f>
        <v>1470</v>
      </c>
      <c r="G191" s="351">
        <f>IF(売分析!H191&lt;&gt;"",売分析!H191,"")</f>
        <v>1496</v>
      </c>
      <c r="H191" s="351">
        <f>IF(売分析!I191&lt;&gt;"",売分析!I191,"")</f>
        <v>1445</v>
      </c>
      <c r="I191" s="350">
        <f>IF(売分析!J191&lt;&gt;"",売分析!J191,"")</f>
        <v>5468800</v>
      </c>
      <c r="J191" s="351">
        <f>IF(売分析!AB191&lt;&gt;"",売分析!AB191,"")</f>
        <v>1447.5541474654374</v>
      </c>
      <c r="K191" s="351">
        <f>IF(売分析!AC191&lt;&gt;"",売分析!AC191,"")</f>
        <v>1456.0232419547076</v>
      </c>
      <c r="L191" s="351">
        <f>IF(売分析!K191&lt;&gt;"",売分析!K191,"")</f>
        <v>2200</v>
      </c>
      <c r="M191" s="350" t="str">
        <f>IF(売分析!P191&lt;&gt;"",売分析!P191,"")</f>
        <v>減少↓</v>
      </c>
      <c r="N191" s="353">
        <f>IF(売分析!O191&lt;&gt;"",売分析!O191,"")</f>
        <v>0.7928669807901414</v>
      </c>
      <c r="O191" s="355">
        <f>IF(売分析!X191&lt;&gt;"",売分析!X191,"")</f>
        <v>-16.208410119446853</v>
      </c>
      <c r="P191" s="352">
        <f>IF(売分析!L191&lt;&gt;"",売分析!L191,"")</f>
        <v>-34.31818181818182</v>
      </c>
      <c r="Q191" s="351">
        <f>IF(売分析!S191&lt;&gt;"",売分析!S191,"")</f>
        <v>1503</v>
      </c>
      <c r="R191" s="351">
        <f>IF(売分析!R191&lt;&gt;"",売分析!R191,"")</f>
        <v>1329</v>
      </c>
      <c r="S191" s="350" t="str">
        <f>IF(売分析!AA191&lt;&gt;"",売分析!AA191,"")</f>
        <v>下落▼</v>
      </c>
      <c r="T191" s="356">
        <f>IF(売分析!Z191&lt;&gt;"",売分析!Z191,"")</f>
        <v>-0.27605244996549344</v>
      </c>
      <c r="U191" s="350" t="str">
        <f>IF(売分析!V191&lt;&gt;"",売分析!V191,"")</f>
        <v>安値圏</v>
      </c>
      <c r="V191" s="354">
        <f>IF(売分析!W191&lt;&gt;"",売分析!W191,"")</f>
        <v>45.789473684210527</v>
      </c>
      <c r="W191" s="350" t="str">
        <f>IF(売分析!AD191&lt;&gt;"",売分析!AD191,"")</f>
        <v>下降トレンド▼</v>
      </c>
      <c r="X191" s="350" t="str">
        <f>IF(売分析!AE191&lt;&gt;"",売分析!AE191,"")</f>
        <v>25日戻り売り★</v>
      </c>
      <c r="Y191" s="427">
        <f>IF(売分析!T191&lt;&gt;"",売分析!T191,"")</f>
        <v>15</v>
      </c>
      <c r="Z191" s="350" t="str">
        <f>IF(売分析!Y191&lt;&gt;"",売分析!Y191,"")</f>
        <v>★逆張り売り | 下降トレンド▼ 25日戻り売り★ MACD- RSI:45.8 前日比:-0.3% [安値圏] [15点]</v>
      </c>
    </row>
    <row r="192" spans="1:26">
      <c r="A192" s="230">
        <f>IF(売分析!C192&lt;&gt;"",ROW()-2,"")</f>
        <v>190</v>
      </c>
      <c r="B192" s="357" t="str">
        <f>IF(売分析!C192&lt;&gt;"",HYPERLINK("https://kabutan.jp/stock/?code="&amp;売分析!C192,"株探"),"")</f>
        <v>株探</v>
      </c>
      <c r="C192" s="366">
        <f>IF(売分析!C192&lt;&gt;"",売分析!C192,"")</f>
        <v>4382</v>
      </c>
      <c r="D192" s="230" t="str">
        <f>IF(売分析!D192&lt;&gt;"",売分析!D192,"")</f>
        <v>ＨＥＲＯＺ</v>
      </c>
      <c r="E192" s="358">
        <f>IF(売分析!E192&lt;&gt;"",売分析!E192,"")</f>
        <v>787</v>
      </c>
      <c r="F192" s="358">
        <f>IF(売分析!F192&lt;&gt;"",売分析!F192,"")</f>
        <v>792</v>
      </c>
      <c r="G192" s="358">
        <f>IF(売分析!H192&lt;&gt;"",売分析!H192,"")</f>
        <v>800</v>
      </c>
      <c r="H192" s="358">
        <f>IF(売分析!I192&lt;&gt;"",売分析!I192,"")</f>
        <v>781</v>
      </c>
      <c r="I192" s="230">
        <f>IF(売分析!J192&lt;&gt;"",売分析!J192,"")</f>
        <v>27300</v>
      </c>
      <c r="J192" s="358">
        <f>IF(売分析!AB192&lt;&gt;"",売分析!AB192,"")</f>
        <v>786.216589861751</v>
      </c>
      <c r="K192" s="358">
        <f>IF(売分析!AC192&lt;&gt;"",売分析!AC192,"")</f>
        <v>751.26817640047659</v>
      </c>
      <c r="L192" s="358">
        <f>IF(売分析!K192&lt;&gt;"",売分析!K192,"")</f>
        <v>995</v>
      </c>
      <c r="M192" s="230" t="str">
        <f>IF(売分析!P192&lt;&gt;"",売分析!P192,"")</f>
        <v>減少↓</v>
      </c>
      <c r="N192" s="360">
        <f>IF(売分析!O192&lt;&gt;"",売分析!O192,"")</f>
        <v>0.41151643050949654</v>
      </c>
      <c r="O192" s="362">
        <f>IF(売分析!X192&lt;&gt;"",売分析!X192,"")</f>
        <v>0.77487770608877327</v>
      </c>
      <c r="P192" s="359">
        <f>IF(売分析!L192&lt;&gt;"",売分析!L192,"")</f>
        <v>-20.904522613065328</v>
      </c>
      <c r="Q192" s="358">
        <f>IF(売分析!S192&lt;&gt;"",売分析!S192,"")</f>
        <v>818</v>
      </c>
      <c r="R192" s="358">
        <f>IF(売分析!R192&lt;&gt;"",売分析!R192,"")</f>
        <v>724</v>
      </c>
      <c r="S192" s="230" t="str">
        <f>IF(売分析!AA192&lt;&gt;"",売分析!AA192,"")</f>
        <v>下落▼</v>
      </c>
      <c r="T192" s="363">
        <f>IF(売分析!Z192&lt;&gt;"",売分析!Z192,"")</f>
        <v>-0.63131313131313127</v>
      </c>
      <c r="U192" s="230" t="str">
        <f>IF(売分析!V192&lt;&gt;"",売分析!V192,"")</f>
        <v>通常</v>
      </c>
      <c r="V192" s="361">
        <f>IF(売分析!W192&lt;&gt;"",売分析!W192,"")</f>
        <v>58.82352941176471</v>
      </c>
      <c r="W192" s="230" t="str">
        <f>IF(売分析!AD192&lt;&gt;"",売分析!AD192,"")</f>
        <v>パーフェクト▲</v>
      </c>
      <c r="X192" s="230" t="str">
        <f>IF(売分析!AE192&lt;&gt;"",売分析!AE192,"")</f>
        <v>なし</v>
      </c>
      <c r="Y192" s="428">
        <f>IF(売分析!T192&lt;&gt;"",売分析!T192,"")</f>
        <v>4</v>
      </c>
      <c r="Z192" s="230" t="str">
        <f>IF(売分析!Y192&lt;&gt;"",売分析!Y192,"")</f>
        <v>相場上昇・見送り | パーフェクト▲ MACD+ RSI:58.8 前日比:-0.6% [4点]</v>
      </c>
    </row>
    <row r="193" spans="1:26">
      <c r="A193" s="350">
        <f>IF(売分析!C193&lt;&gt;"",ROW()-2,"")</f>
        <v>191</v>
      </c>
      <c r="B193" s="349" t="str">
        <f>IF(売分析!C193&lt;&gt;"",HYPERLINK("https://kabutan.jp/stock/?code="&amp;売分析!C193,"株探"),"")</f>
        <v>株探</v>
      </c>
      <c r="C193" s="365">
        <f>IF(売分析!C193&lt;&gt;"",売分析!C193,"")</f>
        <v>9506</v>
      </c>
      <c r="D193" s="350" t="str">
        <f>IF(売分析!D193&lt;&gt;"",売分析!D193,"")</f>
        <v>東北電力</v>
      </c>
      <c r="E193" s="351">
        <f>IF(売分析!E193&lt;&gt;"",売分析!E193,"")</f>
        <v>1046</v>
      </c>
      <c r="F193" s="351">
        <f>IF(売分析!F193&lt;&gt;"",売分析!F193,"")</f>
        <v>1043.5</v>
      </c>
      <c r="G193" s="351">
        <f>IF(売分析!H193&lt;&gt;"",売分析!H193,"")</f>
        <v>1053</v>
      </c>
      <c r="H193" s="351">
        <f>IF(売分析!I193&lt;&gt;"",売分析!I193,"")</f>
        <v>1032.5</v>
      </c>
      <c r="I193" s="350">
        <f>IF(売分析!J193&lt;&gt;"",売分析!J193,"")</f>
        <v>1967700</v>
      </c>
      <c r="J193" s="351">
        <f>IF(売分析!AB193&lt;&gt;"",売分析!AB193,"")</f>
        <v>1035.3865207373271</v>
      </c>
      <c r="K193" s="351">
        <f>IF(売分析!AC193&lt;&gt;"",売分析!AC193,"")</f>
        <v>1016.7145411203808</v>
      </c>
      <c r="L193" s="351">
        <f>IF(売分析!K193&lt;&gt;"",売分析!K193,"")</f>
        <v>1323</v>
      </c>
      <c r="M193" s="350" t="str">
        <f>IF(売分析!P193&lt;&gt;"",売分析!P193,"")</f>
        <v>減少↓</v>
      </c>
      <c r="N193" s="353">
        <f>IF(売分析!O193&lt;&gt;"",売分析!O193,"")</f>
        <v>0.92515797788309639</v>
      </c>
      <c r="O193" s="355">
        <f>IF(売分析!X193&lt;&gt;"",売分析!X193,"")</f>
        <v>0.86969817584099474</v>
      </c>
      <c r="P193" s="352">
        <f>IF(売分析!L193&lt;&gt;"",売分析!L193,"")</f>
        <v>-20.93726379440665</v>
      </c>
      <c r="Q193" s="351">
        <f>IF(売分析!S193&lt;&gt;"",売分析!S193,"")</f>
        <v>1088</v>
      </c>
      <c r="R193" s="351">
        <f>IF(売分析!R193&lt;&gt;"",売分析!R193,"")</f>
        <v>962</v>
      </c>
      <c r="S193" s="350" t="str">
        <f>IF(売分析!AA193&lt;&gt;"",売分析!AA193,"")</f>
        <v>上昇▲</v>
      </c>
      <c r="T193" s="356">
        <f>IF(売分析!Z193&lt;&gt;"",売分析!Z193,"")</f>
        <v>0.23957834211787254</v>
      </c>
      <c r="U193" s="350" t="str">
        <f>IF(売分析!V193&lt;&gt;"",売分析!V193,"")</f>
        <v>通常</v>
      </c>
      <c r="V193" s="354">
        <f>IF(売分析!W193&lt;&gt;"",売分析!W193,"")</f>
        <v>61.569416498993967</v>
      </c>
      <c r="W193" s="350" t="str">
        <f>IF(売分析!AD193&lt;&gt;"",売分析!AD193,"")</f>
        <v>パーフェクト▲</v>
      </c>
      <c r="X193" s="350" t="str">
        <f>IF(売分析!AE193&lt;&gt;"",売分析!AE193,"")</f>
        <v>なし</v>
      </c>
      <c r="Y193" s="427">
        <f>IF(売分析!T193&lt;&gt;"",売分析!T193,"")</f>
        <v>4</v>
      </c>
      <c r="Z193" s="350" t="str">
        <f>IF(売分析!Y193&lt;&gt;"",売分析!Y193,"")</f>
        <v>相場上昇・見送り | パーフェクト▲ MACD+ RSI:61.6 前日比:+0.2% [4点]</v>
      </c>
    </row>
    <row r="194" spans="1:26">
      <c r="A194" s="230">
        <f>IF(売分析!C194&lt;&gt;"",ROW()-2,"")</f>
        <v>192</v>
      </c>
      <c r="B194" s="357" t="str">
        <f>IF(売分析!C194&lt;&gt;"",HYPERLINK("https://kabutan.jp/stock/?code="&amp;売分析!C194,"株探"),"")</f>
        <v>株探</v>
      </c>
      <c r="C194" s="366" t="str">
        <f>IF(売分析!C194&lt;&gt;"",売分析!C194,"")</f>
        <v>6485</v>
      </c>
      <c r="D194" s="230" t="str">
        <f>IF(売分析!D194&lt;&gt;"",売分析!D194,"")</f>
        <v>前澤給装工業</v>
      </c>
      <c r="E194" s="358">
        <f>IF(売分析!E194&lt;&gt;"",売分析!E194,"")</f>
        <v>1454</v>
      </c>
      <c r="F194" s="358">
        <f>IF(売分析!F194&lt;&gt;"",売分析!F194,"")</f>
        <v>1458</v>
      </c>
      <c r="G194" s="358">
        <f>IF(売分析!H194&lt;&gt;"",売分析!H194,"")</f>
        <v>1469</v>
      </c>
      <c r="H194" s="358">
        <f>IF(売分析!I194&lt;&gt;"",売分析!I194,"")</f>
        <v>1454</v>
      </c>
      <c r="I194" s="230">
        <f>IF(売分析!J194&lt;&gt;"",売分析!J194,"")</f>
        <v>17700</v>
      </c>
      <c r="J194" s="358">
        <f>IF(売分析!AB194&lt;&gt;"",売分析!AB194,"")</f>
        <v>1440.8006912442395</v>
      </c>
      <c r="K194" s="358">
        <f>IF(売分析!AC194&lt;&gt;"",売分析!AC194,"")</f>
        <v>1432.8760429082233</v>
      </c>
      <c r="L194" s="358">
        <f>IF(売分析!K194&lt;&gt;"",売分析!K194,"")</f>
        <v>1787</v>
      </c>
      <c r="M194" s="230" t="str">
        <f>IF(売分析!P194&lt;&gt;"",売分析!P194,"")</f>
        <v>減少↓</v>
      </c>
      <c r="N194" s="360">
        <f>IF(売分析!O194&lt;&gt;"",売分析!O194,"")</f>
        <v>0.92091571279916751</v>
      </c>
      <c r="O194" s="362">
        <f>IF(売分析!X194&lt;&gt;"",売分析!X194,"")</f>
        <v>-3.5016776853910869</v>
      </c>
      <c r="P194" s="359">
        <f>IF(売分析!L194&lt;&gt;"",売分析!L194,"")</f>
        <v>-18.63458310016788</v>
      </c>
      <c r="Q194" s="358">
        <f>IF(売分析!S194&lt;&gt;"",売分析!S194,"")</f>
        <v>1512</v>
      </c>
      <c r="R194" s="358">
        <f>IF(売分析!R194&lt;&gt;"",売分析!R194,"")</f>
        <v>1338</v>
      </c>
      <c r="S194" s="230" t="str">
        <f>IF(売分析!AA194&lt;&gt;"",売分析!AA194,"")</f>
        <v>上昇▲</v>
      </c>
      <c r="T194" s="363">
        <f>IF(売分析!Z194&lt;&gt;"",売分析!Z194,"")</f>
        <v>0.34506556245686681</v>
      </c>
      <c r="U194" s="230" t="str">
        <f>IF(売分析!V194&lt;&gt;"",売分析!V194,"")</f>
        <v>通常</v>
      </c>
      <c r="V194" s="361">
        <f>IF(売分析!W194&lt;&gt;"",売分析!W194,"")</f>
        <v>59.313725490196077</v>
      </c>
      <c r="W194" s="230" t="str">
        <f>IF(売分析!AD194&lt;&gt;"",売分析!AD194,"")</f>
        <v>パーフェクト▲</v>
      </c>
      <c r="X194" s="230" t="str">
        <f>IF(売分析!AE194&lt;&gt;"",売分析!AE194,"")</f>
        <v>なし</v>
      </c>
      <c r="Y194" s="428">
        <f>IF(売分析!T194&lt;&gt;"",売分析!T194,"")</f>
        <v>9</v>
      </c>
      <c r="Z194" s="230" t="str">
        <f>IF(売分析!Y194&lt;&gt;"",売分析!Y194,"")</f>
        <v>相場上昇・見送り | パーフェクト▲ MACD- RSI:59.3 前日比:+0.3% [上ヒゲ陰線▼] [9点]</v>
      </c>
    </row>
    <row r="195" spans="1:26">
      <c r="A195" s="350">
        <f>IF(売分析!C195&lt;&gt;"",ROW()-2,"")</f>
        <v>193</v>
      </c>
      <c r="B195" s="349" t="str">
        <f>IF(売分析!C195&lt;&gt;"",HYPERLINK("https://kabutan.jp/stock/?code="&amp;売分析!C195,"株探"),"")</f>
        <v>株探</v>
      </c>
      <c r="C195" s="365">
        <f>IF(売分析!C195&lt;&gt;"",売分析!C195,"")</f>
        <v>4887</v>
      </c>
      <c r="D195" s="350" t="str">
        <f>IF(売分析!D195&lt;&gt;"",売分析!D195,"")</f>
        <v>サワイグループＨＤ</v>
      </c>
      <c r="E195" s="351">
        <f>IF(売分析!E195&lt;&gt;"",売分析!E195,"")</f>
        <v>1676.5</v>
      </c>
      <c r="F195" s="351">
        <f>IF(売分析!F195&lt;&gt;"",売分析!F195,"")</f>
        <v>1662.5</v>
      </c>
      <c r="G195" s="351">
        <f>IF(売分析!H195&lt;&gt;"",売分析!H195,"")</f>
        <v>1683</v>
      </c>
      <c r="H195" s="351">
        <f>IF(売分析!I195&lt;&gt;"",売分析!I195,"")</f>
        <v>1646.5</v>
      </c>
      <c r="I195" s="350">
        <f>IF(売分析!J195&lt;&gt;"",売分析!J195,"")</f>
        <v>653900</v>
      </c>
      <c r="J195" s="351">
        <f>IF(売分析!AB195&lt;&gt;"",売分析!AB195,"")</f>
        <v>1681.5685483870966</v>
      </c>
      <c r="K195" s="351">
        <f>IF(売分析!AC195&lt;&gt;"",売分析!AC195,"")</f>
        <v>1750.6901072705589</v>
      </c>
      <c r="L195" s="351">
        <f>IF(売分析!K195&lt;&gt;"",売分析!K195,"")</f>
        <v>2447</v>
      </c>
      <c r="M195" s="350" t="str">
        <f>IF(売分析!P195&lt;&gt;"",売分析!P195,"")</f>
        <v>普通→</v>
      </c>
      <c r="N195" s="353">
        <f>IF(売分析!O195&lt;&gt;"",売分析!O195,"")</f>
        <v>1.3638259708839111</v>
      </c>
      <c r="O195" s="355">
        <f>IF(売分析!X195&lt;&gt;"",売分析!X195,"")</f>
        <v>-25.619543542203473</v>
      </c>
      <c r="P195" s="352">
        <f>IF(売分析!L195&lt;&gt;"",売分析!L195,"")</f>
        <v>-31.487535758071104</v>
      </c>
      <c r="Q195" s="351">
        <f>IF(売分析!S195&lt;&gt;"",売分析!S195,"")</f>
        <v>1744</v>
      </c>
      <c r="R195" s="351">
        <f>IF(売分析!R195&lt;&gt;"",売分析!R195,"")</f>
        <v>1542</v>
      </c>
      <c r="S195" s="350" t="str">
        <f>IF(売分析!AA195&lt;&gt;"",売分析!AA195,"")</f>
        <v>上昇▲</v>
      </c>
      <c r="T195" s="356">
        <f>IF(売分析!Z195&lt;&gt;"",売分析!Z195,"")</f>
        <v>1.5752802181157224</v>
      </c>
      <c r="U195" s="350" t="str">
        <f>IF(売分析!V195&lt;&gt;"",売分析!V195,"")</f>
        <v>安値圏</v>
      </c>
      <c r="V195" s="354">
        <f>IF(売分析!W195&lt;&gt;"",売分析!W195,"")</f>
        <v>28.675136116152444</v>
      </c>
      <c r="W195" s="350" t="str">
        <f>IF(売分析!AD195&lt;&gt;"",売分析!AD195,"")</f>
        <v>下降トレンド▼</v>
      </c>
      <c r="X195" s="350" t="str">
        <f>IF(売分析!AE195&lt;&gt;"",売分析!AE195,"")</f>
        <v>5日戻り売り○</v>
      </c>
      <c r="Y195" s="427">
        <f>IF(売分析!T195&lt;&gt;"",売分析!T195,"")</f>
        <v>13</v>
      </c>
      <c r="Z195" s="350" t="str">
        <f>IF(売分析!Y195&lt;&gt;"",売分析!Y195,"")</f>
        <v>★逆張り売り | 下降トレンド▼ 5日戻り売り○ MACD- RSI:28.7 [売られ過ぎ] 前日比:+1.6% [安値圏] [13点]</v>
      </c>
    </row>
    <row r="196" spans="1:26">
      <c r="A196" s="230">
        <f>IF(売分析!C196&lt;&gt;"",ROW()-2,"")</f>
        <v>194</v>
      </c>
      <c r="B196" s="357" t="str">
        <f>IF(売分析!C196&lt;&gt;"",HYPERLINK("https://kabutan.jp/stock/?code="&amp;売分析!C196,"株探"),"")</f>
        <v>株探</v>
      </c>
      <c r="C196" s="366">
        <f>IF(売分析!C196&lt;&gt;"",売分析!C196,"")</f>
        <v>2702</v>
      </c>
      <c r="D196" s="230" t="str">
        <f>IF(売分析!D196&lt;&gt;"",売分析!D196,"")</f>
        <v>日本マクドナルドＨＬＤＧ</v>
      </c>
      <c r="E196" s="358">
        <f>IF(売分析!E196&lt;&gt;"",売分析!E196,"")</f>
        <v>7410</v>
      </c>
      <c r="F196" s="358">
        <f>IF(売分析!F196&lt;&gt;"",売分析!F196,"")</f>
        <v>7380</v>
      </c>
      <c r="G196" s="358">
        <f>IF(売分析!H196&lt;&gt;"",売分析!H196,"")</f>
        <v>7490</v>
      </c>
      <c r="H196" s="358">
        <f>IF(売分析!I196&lt;&gt;"",売分析!I196,"")</f>
        <v>7350</v>
      </c>
      <c r="I196" s="230">
        <f>IF(売分析!J196&lt;&gt;"",売分析!J196,"")</f>
        <v>918600</v>
      </c>
      <c r="J196" s="358">
        <f>IF(売分析!AB196&lt;&gt;"",売分析!AB196,"")</f>
        <v>7414.6313364055286</v>
      </c>
      <c r="K196" s="358">
        <f>IF(売分析!AC196&lt;&gt;"",売分析!AC196,"")</f>
        <v>7604.0286054827138</v>
      </c>
      <c r="L196" s="358">
        <f>IF(売分析!K196&lt;&gt;"",売分析!K196,"")</f>
        <v>8780</v>
      </c>
      <c r="M196" s="230" t="str">
        <f>IF(売分析!P196&lt;&gt;"",売分析!P196,"")</f>
        <v>普通→</v>
      </c>
      <c r="N196" s="360">
        <f>IF(売分析!O196&lt;&gt;"",売分析!O196,"")</f>
        <v>1.081723975506359</v>
      </c>
      <c r="O196" s="362">
        <f>IF(売分析!X196&lt;&gt;"",売分析!X196,"")</f>
        <v>-89.475837748116646</v>
      </c>
      <c r="P196" s="359">
        <f>IF(売分析!L196&lt;&gt;"",売分析!L196,"")</f>
        <v>-15.603644646924831</v>
      </c>
      <c r="Q196" s="358">
        <f>IF(売分析!S196&lt;&gt;"",売分析!S196,"")</f>
        <v>7706</v>
      </c>
      <c r="R196" s="358">
        <f>IF(売分析!R196&lt;&gt;"",売分析!R196,"")</f>
        <v>6817</v>
      </c>
      <c r="S196" s="230" t="str">
        <f>IF(売分析!AA196&lt;&gt;"",売分析!AA196,"")</f>
        <v>上昇▲</v>
      </c>
      <c r="T196" s="363">
        <f>IF(売分析!Z196&lt;&gt;"",売分析!Z196,"")</f>
        <v>0.40650406504065045</v>
      </c>
      <c r="U196" s="230" t="str">
        <f>IF(売分析!V196&lt;&gt;"",売分析!V196,"")</f>
        <v>通常</v>
      </c>
      <c r="V196" s="361">
        <f>IF(売分析!W196&lt;&gt;"",売分析!W196,"")</f>
        <v>25</v>
      </c>
      <c r="W196" s="230" t="str">
        <f>IF(売分析!AD196&lt;&gt;"",売分析!AD196,"")</f>
        <v>下降トレンド▼</v>
      </c>
      <c r="X196" s="230" t="str">
        <f>IF(売分析!AE196&lt;&gt;"",売分析!AE196,"")</f>
        <v>5日戻り売り○</v>
      </c>
      <c r="Y196" s="428">
        <f>IF(売分析!T196&lt;&gt;"",売分析!T196,"")</f>
        <v>10</v>
      </c>
      <c r="Z196" s="230" t="str">
        <f>IF(売分析!Y196&lt;&gt;"",売分析!Y196,"")</f>
        <v>★逆張り売り | 下降トレンド▼ 5日戻り売り○ MACD- RSI:25.0 [売られ過ぎ] 前日比:+0.4% [10点]</v>
      </c>
    </row>
    <row r="197" spans="1:26">
      <c r="A197" s="350">
        <f>IF(売分析!C197&lt;&gt;"",ROW()-2,"")</f>
        <v>195</v>
      </c>
      <c r="B197" s="349" t="str">
        <f>IF(売分析!C197&lt;&gt;"",HYPERLINK("https://kabutan.jp/stock/?code="&amp;売分析!C197,"株探"),"")</f>
        <v>株探</v>
      </c>
      <c r="C197" s="365">
        <f>IF(売分析!C197&lt;&gt;"",売分析!C197,"")</f>
        <v>7011</v>
      </c>
      <c r="D197" s="350" t="str">
        <f>IF(売分析!D197&lt;&gt;"",売分析!D197,"")</f>
        <v>三菱重工業</v>
      </c>
      <c r="E197" s="351">
        <f>IF(売分析!E197&lt;&gt;"",売分析!E197,"")</f>
        <v>3860</v>
      </c>
      <c r="F197" s="351">
        <f>IF(売分析!F197&lt;&gt;"",売分析!F197,"")</f>
        <v>3810</v>
      </c>
      <c r="G197" s="351">
        <f>IF(売分析!H197&lt;&gt;"",売分析!H197,"")</f>
        <v>3905</v>
      </c>
      <c r="H197" s="351">
        <f>IF(売分析!I197&lt;&gt;"",売分析!I197,"")</f>
        <v>3796</v>
      </c>
      <c r="I197" s="350">
        <f>IF(売分析!J197&lt;&gt;"",売分析!J197,"")</f>
        <v>23776900</v>
      </c>
      <c r="J197" s="351">
        <f>IF(売分析!AB197&lt;&gt;"",売分析!AB197,"")</f>
        <v>3729.4631336405532</v>
      </c>
      <c r="K197" s="351">
        <f>IF(売分析!AC197&lt;&gt;"",売分析!AC197,"")</f>
        <v>3773.1263408820009</v>
      </c>
      <c r="L197" s="351">
        <f>IF(売分析!K197&lt;&gt;"",売分析!K197,"")</f>
        <v>5208</v>
      </c>
      <c r="M197" s="350" t="str">
        <f>IF(売分析!P197&lt;&gt;"",売分析!P197,"")</f>
        <v>普通→</v>
      </c>
      <c r="N197" s="353">
        <f>IF(売分析!O197&lt;&gt;"",売分析!O197,"")</f>
        <v>1.116917731901037</v>
      </c>
      <c r="O197" s="355">
        <f>IF(売分析!X197&lt;&gt;"",売分析!X197,"")</f>
        <v>-50.738774632918648</v>
      </c>
      <c r="P197" s="352">
        <f>IF(売分析!L197&lt;&gt;"",売分析!L197,"")</f>
        <v>-25.883256528417821</v>
      </c>
      <c r="Q197" s="351">
        <f>IF(売分析!S197&lt;&gt;"",売分析!S197,"")</f>
        <v>4014</v>
      </c>
      <c r="R197" s="351">
        <f>IF(売分析!R197&lt;&gt;"",売分析!R197,"")</f>
        <v>3551</v>
      </c>
      <c r="S197" s="350" t="str">
        <f>IF(売分析!AA197&lt;&gt;"",売分析!AA197,"")</f>
        <v>上昇▲</v>
      </c>
      <c r="T197" s="356">
        <f>IF(売分析!Z197&lt;&gt;"",売分析!Z197,"")</f>
        <v>1.3123359580052494</v>
      </c>
      <c r="U197" s="350" t="str">
        <f>IF(売分析!V197&lt;&gt;"",売分析!V197,"")</f>
        <v>安値圏</v>
      </c>
      <c r="V197" s="354">
        <f>IF(売分析!W197&lt;&gt;"",売分析!W197,"")</f>
        <v>46.17784711388456</v>
      </c>
      <c r="W197" s="350" t="str">
        <f>IF(売分析!AD197&lt;&gt;"",売分析!AD197,"")</f>
        <v>上昇トレンド▲</v>
      </c>
      <c r="X197" s="350" t="str">
        <f>IF(売分析!AE197&lt;&gt;"",売分析!AE197,"")</f>
        <v>なし</v>
      </c>
      <c r="Y197" s="427">
        <f>IF(売分析!T197&lt;&gt;"",売分析!T197,"")</f>
        <v>8</v>
      </c>
      <c r="Z197" s="350" t="str">
        <f>IF(売分析!Y197&lt;&gt;"",売分析!Y197,"")</f>
        <v>相場上昇・見送り | 上昇トレンド▲ MACD- RSI:46.2 前日比:+1.3% [安値圏] [8点]</v>
      </c>
    </row>
    <row r="198" spans="1:26">
      <c r="A198" s="230">
        <f>IF(売分析!C198&lt;&gt;"",ROW()-2,"")</f>
        <v>196</v>
      </c>
      <c r="B198" s="357" t="str">
        <f>IF(売分析!C198&lt;&gt;"",HYPERLINK("https://kabutan.jp/stock/?code="&amp;売分析!C198,"株探"),"")</f>
        <v>株探</v>
      </c>
      <c r="C198" s="366">
        <f>IF(売分析!C198&lt;&gt;"",売分析!C198,"")</f>
        <v>8601</v>
      </c>
      <c r="D198" s="230" t="str">
        <f>IF(売分析!D198&lt;&gt;"",売分析!D198,"")</f>
        <v>大和証券Ｇ本社</v>
      </c>
      <c r="E198" s="358">
        <f>IF(売分析!E198&lt;&gt;"",売分析!E198,"")</f>
        <v>1607.5</v>
      </c>
      <c r="F198" s="358">
        <f>IF(売分析!F198&lt;&gt;"",売分析!F198,"")</f>
        <v>1614</v>
      </c>
      <c r="G198" s="358">
        <f>IF(売分析!H198&lt;&gt;"",売分析!H198,"")</f>
        <v>1625.5</v>
      </c>
      <c r="H198" s="358">
        <f>IF(売分析!I198&lt;&gt;"",売分析!I198,"")</f>
        <v>1593</v>
      </c>
      <c r="I198" s="230">
        <f>IF(売分析!J198&lt;&gt;"",売分析!J198,"")</f>
        <v>4357200</v>
      </c>
      <c r="J198" s="358">
        <f>IF(売分析!AB198&lt;&gt;"",売分析!AB198,"")</f>
        <v>1588.4314516129029</v>
      </c>
      <c r="K198" s="358">
        <f>IF(売分析!AC198&lt;&gt;"",売分析!AC198,"")</f>
        <v>1531.5125148986888</v>
      </c>
      <c r="L198" s="358">
        <f>IF(売分析!K198&lt;&gt;"",売分析!K198,"")</f>
        <v>1686.5</v>
      </c>
      <c r="M198" s="230" t="str">
        <f>IF(売分析!P198&lt;&gt;"",売分析!P198,"")</f>
        <v>普通→</v>
      </c>
      <c r="N198" s="360">
        <f>IF(売分析!O198&lt;&gt;"",売分析!O198,"")</f>
        <v>1.0367127459611221</v>
      </c>
      <c r="O198" s="362">
        <f>IF(売分析!X198&lt;&gt;"",売分析!X198,"")</f>
        <v>13.516257428185781</v>
      </c>
      <c r="P198" s="359">
        <f>IF(売分析!L198&lt;&gt;"",売分析!L198,"")</f>
        <v>-4.684257337681589</v>
      </c>
      <c r="Q198" s="358">
        <f>IF(売分析!S198&lt;&gt;"",売分析!S198,"")</f>
        <v>1672</v>
      </c>
      <c r="R198" s="358">
        <f>IF(売分析!R198&lt;&gt;"",売分析!R198,"")</f>
        <v>1479</v>
      </c>
      <c r="S198" s="230" t="str">
        <f>IF(売分析!AA198&lt;&gt;"",売分析!AA198,"")</f>
        <v>上昇▲</v>
      </c>
      <c r="T198" s="363">
        <f>IF(売分析!Z198&lt;&gt;"",売分析!Z198,"")</f>
        <v>0.31201248049921998</v>
      </c>
      <c r="U198" s="230" t="str">
        <f>IF(売分析!V198&lt;&gt;"",売分析!V198,"")</f>
        <v>通常</v>
      </c>
      <c r="V198" s="361">
        <f>IF(売分析!W198&lt;&gt;"",売分析!W198,"")</f>
        <v>69.841269841269849</v>
      </c>
      <c r="W198" s="230" t="str">
        <f>IF(売分析!AD198&lt;&gt;"",売分析!AD198,"")</f>
        <v>パーフェクト▲</v>
      </c>
      <c r="X198" s="230" t="str">
        <f>IF(売分析!AE198&lt;&gt;"",売分析!AE198,"")</f>
        <v>なし</v>
      </c>
      <c r="Y198" s="428">
        <f>IF(売分析!T198&lt;&gt;"",売分析!T198,"")</f>
        <v>-2</v>
      </c>
      <c r="Z198" s="230" t="str">
        <f>IF(売分析!Y198&lt;&gt;"",売分析!Y198,"")</f>
        <v>相場上昇・見送り | パーフェクト▲ MACD+ RSI:69.8 前日比:+0.3%前日[長い下ヒゲ(反発)] [-2点]</v>
      </c>
    </row>
    <row r="199" spans="1:26">
      <c r="A199" s="350">
        <f>IF(売分析!C199&lt;&gt;"",ROW()-2,"")</f>
        <v>197</v>
      </c>
      <c r="B199" s="349" t="str">
        <f>IF(売分析!C199&lt;&gt;"",HYPERLINK("https://kabutan.jp/stock/?code="&amp;売分析!C199,"株探"),"")</f>
        <v>株探</v>
      </c>
      <c r="C199" s="365">
        <f>IF(売分析!C199&lt;&gt;"",売分析!C199,"")</f>
        <v>8604</v>
      </c>
      <c r="D199" s="350" t="str">
        <f>IF(売分析!D199&lt;&gt;"",売分析!D199,"")</f>
        <v>野村ホールディングス</v>
      </c>
      <c r="E199" s="351">
        <f>IF(売分析!E199&lt;&gt;"",売分析!E199,"")</f>
        <v>1451</v>
      </c>
      <c r="F199" s="351">
        <f>IF(売分析!F199&lt;&gt;"",売分析!F199,"")</f>
        <v>1430</v>
      </c>
      <c r="G199" s="351">
        <f>IF(売分析!H199&lt;&gt;"",売分析!H199,"")</f>
        <v>1478</v>
      </c>
      <c r="H199" s="351">
        <f>IF(売分析!I199&lt;&gt;"",売分析!I199,"")</f>
        <v>1428.5</v>
      </c>
      <c r="I199" s="350">
        <f>IF(売分析!J199&lt;&gt;"",売分析!J199,"")</f>
        <v>14384100</v>
      </c>
      <c r="J199" s="351">
        <f>IF(売分析!AB199&lt;&gt;"",売分析!AB199,"")</f>
        <v>1410.9429723502301</v>
      </c>
      <c r="K199" s="351">
        <f>IF(売分析!AC199&lt;&gt;"",売分析!AC199,"")</f>
        <v>1340.5321811680567</v>
      </c>
      <c r="L199" s="351">
        <f>IF(売分析!K199&lt;&gt;"",売分析!K199,"")</f>
        <v>1506.5</v>
      </c>
      <c r="M199" s="350" t="str">
        <f>IF(売分析!P199&lt;&gt;"",売分析!P199,"")</f>
        <v>増加↑</v>
      </c>
      <c r="N199" s="353">
        <f>IF(売分析!O199&lt;&gt;"",売分析!O199,"")</f>
        <v>1.504339168394037</v>
      </c>
      <c r="O199" s="355">
        <f>IF(売分析!X199&lt;&gt;"",売分析!X199,"")</f>
        <v>19.68387571197195</v>
      </c>
      <c r="P199" s="352">
        <f>IF(売分析!L199&lt;&gt;"",売分析!L199,"")</f>
        <v>-3.6840358446730836</v>
      </c>
      <c r="Q199" s="351">
        <f>IF(売分析!S199&lt;&gt;"",売分析!S199,"")</f>
        <v>1509</v>
      </c>
      <c r="R199" s="351">
        <f>IF(売分析!R199&lt;&gt;"",売分析!R199,"")</f>
        <v>1335</v>
      </c>
      <c r="S199" s="350" t="str">
        <f>IF(売分析!AA199&lt;&gt;"",売分析!AA199,"")</f>
        <v>上昇▲</v>
      </c>
      <c r="T199" s="356">
        <f>IF(売分析!Z199&lt;&gt;"",売分析!Z199,"")</f>
        <v>2.5441696113074208</v>
      </c>
      <c r="U199" s="350" t="str">
        <f>IF(売分析!V199&lt;&gt;"",売分析!V199,"")</f>
        <v>通常</v>
      </c>
      <c r="V199" s="354">
        <f>IF(売分析!W199&lt;&gt;"",売分析!W199,"")</f>
        <v>77.203065134099617</v>
      </c>
      <c r="W199" s="350" t="str">
        <f>IF(売分析!AD199&lt;&gt;"",売分析!AD199,"")</f>
        <v>パーフェクト▲</v>
      </c>
      <c r="X199" s="350" t="str">
        <f>IF(売分析!AE199&lt;&gt;"",売分析!AE199,"")</f>
        <v>なし</v>
      </c>
      <c r="Y199" s="427">
        <f>IF(売分析!T199&lt;&gt;"",売分析!T199,"")</f>
        <v>2</v>
      </c>
      <c r="Z199" s="350" t="str">
        <f>IF(売分析!Y199&lt;&gt;"",売分析!Y199,"")</f>
        <v>△過熱・様子見 | パーフェクト▲ MACD+ RSI:77.2 [過熱] 前日比:+2.5% [2点]</v>
      </c>
    </row>
    <row r="200" spans="1:26">
      <c r="A200" s="230">
        <f>IF(売分析!C200&lt;&gt;"",ROW()-2,"")</f>
        <v>198</v>
      </c>
      <c r="B200" s="357" t="str">
        <f>IF(売分析!C200&lt;&gt;"",HYPERLINK("https://kabutan.jp/stock/?code="&amp;売分析!C200,"株探"),"")</f>
        <v>株探</v>
      </c>
      <c r="C200" s="366">
        <f>IF(売分析!C200&lt;&gt;"",売分析!C200,"")</f>
        <v>8750</v>
      </c>
      <c r="D200" s="230" t="str">
        <f>IF(売分析!D200&lt;&gt;"",売分析!D200,"")</f>
        <v>第一ライフグループ</v>
      </c>
      <c r="E200" s="358">
        <f>IF(売分析!E200&lt;&gt;"",売分析!E200,"")</f>
        <v>1793</v>
      </c>
      <c r="F200" s="358">
        <f>IF(売分析!F200&lt;&gt;"",売分析!F200,"")</f>
        <v>1820</v>
      </c>
      <c r="G200" s="358">
        <f>IF(売分析!H200&lt;&gt;"",売分析!H200,"")</f>
        <v>1834</v>
      </c>
      <c r="H200" s="358">
        <f>IF(売分析!I200&lt;&gt;"",売分析!I200,"")</f>
        <v>1788.5</v>
      </c>
      <c r="I200" s="230">
        <f>IF(売分析!J200&lt;&gt;"",売分析!J200,"")</f>
        <v>7912400</v>
      </c>
      <c r="J200" s="358">
        <f>IF(売分析!AB200&lt;&gt;"",売分析!AB200,"")</f>
        <v>1773.6031105990783</v>
      </c>
      <c r="K200" s="358">
        <f>IF(売分析!AC200&lt;&gt;"",売分析!AC200,"")</f>
        <v>1684.1323003575671</v>
      </c>
      <c r="L200" s="358">
        <f>IF(売分析!K200&lt;&gt;"",売分析!K200,"")</f>
        <v>1816</v>
      </c>
      <c r="M200" s="230" t="str">
        <f>IF(売分析!P200&lt;&gt;"",売分析!P200,"")</f>
        <v>減少↓</v>
      </c>
      <c r="N200" s="360">
        <f>IF(売分析!O200&lt;&gt;"",売分析!O200,"")</f>
        <v>0.7432414661180935</v>
      </c>
      <c r="O200" s="362">
        <f>IF(売分析!X200&lt;&gt;"",売分析!X200,"")</f>
        <v>18.190940697901397</v>
      </c>
      <c r="P200" s="359">
        <f>IF(売分析!L200&lt;&gt;"",売分析!L200,"")</f>
        <v>-1.2665198237885462</v>
      </c>
      <c r="Q200" s="358">
        <f>IF(売分析!S200&lt;&gt;"",売分析!S200,"")</f>
        <v>1865</v>
      </c>
      <c r="R200" s="358">
        <f>IF(売分析!R200&lt;&gt;"",売分析!R200,"")</f>
        <v>1650</v>
      </c>
      <c r="S200" s="230" t="str">
        <f>IF(売分析!AA200&lt;&gt;"",売分析!AA200,"")</f>
        <v>上昇▲</v>
      </c>
      <c r="T200" s="363">
        <f>IF(売分析!Z200&lt;&gt;"",売分析!Z200,"")</f>
        <v>0.19558535903883767</v>
      </c>
      <c r="U200" s="230" t="str">
        <f>IF(売分析!V200&lt;&gt;"",売分析!V200,"")</f>
        <v>通常</v>
      </c>
      <c r="V200" s="361">
        <f>IF(売分析!W200&lt;&gt;"",売分析!W200,"")</f>
        <v>76.109936575052856</v>
      </c>
      <c r="W200" s="230" t="str">
        <f>IF(売分析!AD200&lt;&gt;"",売分析!AD200,"")</f>
        <v>パーフェクト▲</v>
      </c>
      <c r="X200" s="230" t="str">
        <f>IF(売分析!AE200&lt;&gt;"",売分析!AE200,"")</f>
        <v>なし</v>
      </c>
      <c r="Y200" s="428">
        <f>IF(売分析!T200&lt;&gt;"",売分析!T200,"")</f>
        <v>1</v>
      </c>
      <c r="Z200" s="230" t="str">
        <f>IF(売分析!Y200&lt;&gt;"",売分析!Y200,"")</f>
        <v>△過熱・様子見 | パーフェクト▲ MACD+ RSI:76.1 [過熱] 前日比:+0.2% [1点]</v>
      </c>
    </row>
    <row r="201" spans="1:26">
      <c r="A201" s="350">
        <f>IF(売分析!C201&lt;&gt;"",ROW()-2,"")</f>
        <v>199</v>
      </c>
      <c r="B201" s="349" t="str">
        <f>IF(売分析!C201&lt;&gt;"",HYPERLINK("https://kabutan.jp/stock/?code="&amp;売分析!C201,"株探"),"")</f>
        <v>株探</v>
      </c>
      <c r="C201" s="365">
        <f>IF(売分析!C201&lt;&gt;"",売分析!C201,"")</f>
        <v>8306</v>
      </c>
      <c r="D201" s="350" t="str">
        <f>IF(売分析!D201&lt;&gt;"",売分析!D201,"")</f>
        <v>三菱ＵＦＪフィナンシャルＧ</v>
      </c>
      <c r="E201" s="351">
        <f>IF(売分析!E201&lt;&gt;"",売分析!E201,"")</f>
        <v>3272</v>
      </c>
      <c r="F201" s="351">
        <f>IF(売分析!F201&lt;&gt;"",売分析!F201,"")</f>
        <v>3266</v>
      </c>
      <c r="G201" s="351">
        <f>IF(売分析!H201&lt;&gt;"",売分析!H201,"")</f>
        <v>3312</v>
      </c>
      <c r="H201" s="351">
        <f>IF(売分析!I201&lt;&gt;"",売分析!I201,"")</f>
        <v>3260</v>
      </c>
      <c r="I201" s="350">
        <f>IF(売分析!J201&lt;&gt;"",売分析!J201,"")</f>
        <v>42080800</v>
      </c>
      <c r="J201" s="351">
        <f>IF(売分析!AB201&lt;&gt;"",売分析!AB201,"")</f>
        <v>3220.2822580645156</v>
      </c>
      <c r="K201" s="351">
        <f>IF(売分析!AC201&lt;&gt;"",売分析!AC201,"")</f>
        <v>3120.8605482717503</v>
      </c>
      <c r="L201" s="351">
        <f>IF(売分析!K201&lt;&gt;"",売分析!K201,"")</f>
        <v>3327</v>
      </c>
      <c r="M201" s="350" t="str">
        <f>IF(売分析!P201&lt;&gt;"",売分析!P201,"")</f>
        <v>減少↓</v>
      </c>
      <c r="N201" s="353">
        <f>IF(売分析!O201&lt;&gt;"",売分析!O201,"")</f>
        <v>0.87968525928062846</v>
      </c>
      <c r="O201" s="355">
        <f>IF(売分析!X201&lt;&gt;"",売分析!X201,"")</f>
        <v>29.022626861277331</v>
      </c>
      <c r="P201" s="352">
        <f>IF(売分析!L201&lt;&gt;"",売分析!L201,"")</f>
        <v>-1.653140967838894</v>
      </c>
      <c r="Q201" s="351">
        <f>IF(売分析!S201&lt;&gt;"",売分析!S201,"")</f>
        <v>3403</v>
      </c>
      <c r="R201" s="351">
        <f>IF(売分析!R201&lt;&gt;"",売分析!R201,"")</f>
        <v>3010</v>
      </c>
      <c r="S201" s="350" t="str">
        <f>IF(売分析!AA201&lt;&gt;"",売分析!AA201,"")</f>
        <v>上昇▲</v>
      </c>
      <c r="T201" s="356">
        <f>IF(売分析!Z201&lt;&gt;"",売分析!Z201,"")</f>
        <v>1.3630731102850062</v>
      </c>
      <c r="U201" s="350" t="str">
        <f>IF(売分析!V201&lt;&gt;"",売分析!V201,"")</f>
        <v>通常</v>
      </c>
      <c r="V201" s="354">
        <f>IF(売分析!W201&lt;&gt;"",売分析!W201,"")</f>
        <v>65.697674418604663</v>
      </c>
      <c r="W201" s="350" t="str">
        <f>IF(売分析!AD201&lt;&gt;"",売分析!AD201,"")</f>
        <v>パーフェクト▲</v>
      </c>
      <c r="X201" s="350" t="str">
        <f>IF(売分析!AE201&lt;&gt;"",売分析!AE201,"")</f>
        <v>なし</v>
      </c>
      <c r="Y201" s="427">
        <f>IF(売分析!T201&lt;&gt;"",売分析!T201,"")</f>
        <v>-2</v>
      </c>
      <c r="Z201" s="350" t="str">
        <f>IF(売分析!Y201&lt;&gt;"",売分析!Y201,"")</f>
        <v>相場上昇・見送り | パーフェクト▲ MACD+ RSI:65.7 前日比:+1.4%前日[長い下ヒゲ(反発)] [-2点]</v>
      </c>
    </row>
    <row r="202" spans="1:26">
      <c r="A202" s="230">
        <f>IF(売分析!C202&lt;&gt;"",ROW()-2,"")</f>
        <v>200</v>
      </c>
      <c r="B202" s="357" t="str">
        <f>IF(売分析!C202&lt;&gt;"",HYPERLINK("https://kabutan.jp/stock/?code="&amp;売分析!C202,"株探"),"")</f>
        <v>株探</v>
      </c>
      <c r="C202" s="366">
        <f>IF(売分析!C202&lt;&gt;"",売分析!C202,"")</f>
        <v>7846</v>
      </c>
      <c r="D202" s="230" t="str">
        <f>IF(売分析!D202&lt;&gt;"",売分析!D202,"")</f>
        <v>パイロットコーポレーション</v>
      </c>
      <c r="E202" s="358">
        <f>IF(売分析!E202&lt;&gt;"",売分析!E202,"")</f>
        <v>5003</v>
      </c>
      <c r="F202" s="358">
        <f>IF(売分析!F202&lt;&gt;"",売分析!F202,"")</f>
        <v>4981</v>
      </c>
      <c r="G202" s="358">
        <f>IF(売分析!H202&lt;&gt;"",売分析!H202,"")</f>
        <v>5009</v>
      </c>
      <c r="H202" s="358">
        <f>IF(売分析!I202&lt;&gt;"",売分析!I202,"")</f>
        <v>4964</v>
      </c>
      <c r="I202" s="230">
        <f>IF(売分析!J202&lt;&gt;"",売分析!J202,"")</f>
        <v>66000</v>
      </c>
      <c r="J202" s="358">
        <f>IF(売分析!AB202&lt;&gt;"",売分析!AB202,"")</f>
        <v>4959.4458525345617</v>
      </c>
      <c r="K202" s="358">
        <f>IF(売分析!AC202&lt;&gt;"",売分析!AC202,"")</f>
        <v>4881.4827175208547</v>
      </c>
      <c r="L202" s="358">
        <f>IF(売分析!K202&lt;&gt;"",売分析!K202,"")</f>
        <v>5134</v>
      </c>
      <c r="M202" s="230" t="str">
        <f>IF(売分析!P202&lt;&gt;"",売分析!P202,"")</f>
        <v>減少↓</v>
      </c>
      <c r="N202" s="360">
        <f>IF(売分析!O202&lt;&gt;"",売分析!O202,"")</f>
        <v>0.92050209205020916</v>
      </c>
      <c r="O202" s="362">
        <f>IF(売分析!X202&lt;&gt;"",売分析!X202,"")</f>
        <v>17.096250980142941</v>
      </c>
      <c r="P202" s="359">
        <f>IF(売分析!L202&lt;&gt;"",売分析!L202,"")</f>
        <v>-2.5516166731593302</v>
      </c>
      <c r="Q202" s="358">
        <f>IF(売分析!S202&lt;&gt;"",売分析!S202,"")</f>
        <v>5203</v>
      </c>
      <c r="R202" s="358">
        <f>IF(売分析!R202&lt;&gt;"",売分析!R202,"")</f>
        <v>4603</v>
      </c>
      <c r="S202" s="230" t="str">
        <f>IF(売分析!AA202&lt;&gt;"",売分析!AA202,"")</f>
        <v>上昇▲</v>
      </c>
      <c r="T202" s="363">
        <f>IF(売分析!Z202&lt;&gt;"",売分析!Z202,"")</f>
        <v>1.0707070707070707</v>
      </c>
      <c r="U202" s="230" t="str">
        <f>IF(売分析!V202&lt;&gt;"",売分析!V202,"")</f>
        <v>通常</v>
      </c>
      <c r="V202" s="361">
        <f>IF(売分析!W202&lt;&gt;"",売分析!W202,"")</f>
        <v>50.163398692810453</v>
      </c>
      <c r="W202" s="230" t="str">
        <f>IF(売分析!AD202&lt;&gt;"",売分析!AD202,"")</f>
        <v>パーフェクト▲</v>
      </c>
      <c r="X202" s="230" t="str">
        <f>IF(売分析!AE202&lt;&gt;"",売分析!AE202,"")</f>
        <v>なし</v>
      </c>
      <c r="Y202" s="428">
        <f>IF(売分析!T202&lt;&gt;"",売分析!T202,"")</f>
        <v>-1</v>
      </c>
      <c r="Z202" s="230" t="str">
        <f>IF(売分析!Y202&lt;&gt;"",売分析!Y202,"")</f>
        <v>相場上昇・見送り | パーフェクト▲ MACD+ RSI:50.2 前日比:+1.1% [-1点]</v>
      </c>
    </row>
    <row r="203" spans="1:26">
      <c r="A203" s="350">
        <f>IF(売分析!C203&lt;&gt;"",ROW()-2,"")</f>
        <v>201</v>
      </c>
      <c r="B203" s="349" t="str">
        <f>IF(売分析!C203&lt;&gt;"",HYPERLINK("https://kabutan.jp/stock/?code="&amp;売分析!C203,"株探"),"")</f>
        <v>株探</v>
      </c>
      <c r="C203" s="365">
        <f>IF(売分析!C203&lt;&gt;"",売分析!C203,"")</f>
        <v>9531</v>
      </c>
      <c r="D203" s="350" t="str">
        <f>IF(売分析!D203&lt;&gt;"",売分析!D203,"")</f>
        <v>東京瓦斯</v>
      </c>
      <c r="E203" s="351">
        <f>IF(売分析!E203&lt;&gt;"",売分析!E203,"")</f>
        <v>6151</v>
      </c>
      <c r="F203" s="351">
        <f>IF(売分析!F203&lt;&gt;"",売分析!F203,"")</f>
        <v>6300</v>
      </c>
      <c r="G203" s="351">
        <f>IF(売分析!H203&lt;&gt;"",売分析!H203,"")</f>
        <v>6300</v>
      </c>
      <c r="H203" s="351">
        <f>IF(売分析!I203&lt;&gt;"",売分析!I203,"")</f>
        <v>6138</v>
      </c>
      <c r="I203" s="350">
        <f>IF(売分析!J203&lt;&gt;"",売分析!J203,"")</f>
        <v>833700</v>
      </c>
      <c r="J203" s="351">
        <f>IF(売分析!AB203&lt;&gt;"",売分析!AB203,"")</f>
        <v>6234.8709677419338</v>
      </c>
      <c r="K203" s="351">
        <f>IF(売分析!AC203&lt;&gt;"",売分析!AC203,"")</f>
        <v>6342.0846245530374</v>
      </c>
      <c r="L203" s="351">
        <f>IF(売分析!K203&lt;&gt;"",売分析!K203,"")</f>
        <v>7967</v>
      </c>
      <c r="M203" s="350" t="str">
        <f>IF(売分析!P203&lt;&gt;"",売分析!P203,"")</f>
        <v>減少↓</v>
      </c>
      <c r="N203" s="353">
        <f>IF(売分析!O203&lt;&gt;"",売分析!O203,"")</f>
        <v>0.80773926017788289</v>
      </c>
      <c r="O203" s="355">
        <f>IF(売分析!X203&lt;&gt;"",売分析!X203,"")</f>
        <v>-45.072040964973894</v>
      </c>
      <c r="P203" s="352">
        <f>IF(売分析!L203&lt;&gt;"",売分析!L203,"")</f>
        <v>-22.794025354587674</v>
      </c>
      <c r="Q203" s="351">
        <f>IF(売分析!S203&lt;&gt;"",売分析!S203,"")</f>
        <v>6397</v>
      </c>
      <c r="R203" s="351">
        <f>IF(売分析!R203&lt;&gt;"",売分析!R203,"")</f>
        <v>5659</v>
      </c>
      <c r="S203" s="350" t="str">
        <f>IF(売分析!AA203&lt;&gt;"",売分析!AA203,"")</f>
        <v>下落▼</v>
      </c>
      <c r="T203" s="356">
        <f>IF(売分析!Z203&lt;&gt;"",売分析!Z203,"")</f>
        <v>-1.1569982323638117</v>
      </c>
      <c r="U203" s="350" t="str">
        <f>IF(売分析!V203&lt;&gt;"",売分析!V203,"")</f>
        <v>通常</v>
      </c>
      <c r="V203" s="354">
        <f>IF(売分析!W203&lt;&gt;"",売分析!W203,"")</f>
        <v>40.414041404140413</v>
      </c>
      <c r="W203" s="350" t="str">
        <f>IF(売分析!AD203&lt;&gt;"",売分析!AD203,"")</f>
        <v>下降トレンド▼</v>
      </c>
      <c r="X203" s="350" t="str">
        <f>IF(売分析!AE203&lt;&gt;"",売分析!AE203,"")</f>
        <v>なし</v>
      </c>
      <c r="Y203" s="427">
        <f>IF(売分析!T203&lt;&gt;"",売分析!T203,"")</f>
        <v>12</v>
      </c>
      <c r="Z203" s="350" t="str">
        <f>IF(売分析!Y203&lt;&gt;"",売分析!Y203,"")</f>
        <v>相場上昇・見送り | 下降トレンド▼ MACD- RSI:40.4 前日比:-1.2% [大陰線▼] [12点]</v>
      </c>
    </row>
    <row r="204" spans="1:26">
      <c r="A204" s="230">
        <f>IF(売分析!C204&lt;&gt;"",ROW()-2,"")</f>
        <v>202</v>
      </c>
      <c r="B204" s="357" t="str">
        <f>IF(売分析!C204&lt;&gt;"",HYPERLINK("https://kabutan.jp/stock/?code="&amp;売分析!C204,"株探"),"")</f>
        <v>株探</v>
      </c>
      <c r="C204" s="366">
        <f>IF(売分析!C204&lt;&gt;"",売分析!C204,"")</f>
        <v>8334</v>
      </c>
      <c r="D204" s="230" t="str">
        <f>IF(売分析!D204&lt;&gt;"",売分析!D204,"")</f>
        <v>群馬銀行</v>
      </c>
      <c r="E204" s="358">
        <f>IF(売分析!E204&lt;&gt;"",売分析!E204,"")</f>
        <v>2307</v>
      </c>
      <c r="F204" s="358">
        <f>IF(売分析!F204&lt;&gt;"",売分析!F204,"")</f>
        <v>2360</v>
      </c>
      <c r="G204" s="358">
        <f>IF(売分析!H204&lt;&gt;"",売分析!H204,"")</f>
        <v>2384</v>
      </c>
      <c r="H204" s="358">
        <f>IF(売分析!I204&lt;&gt;"",売分析!I204,"")</f>
        <v>2307</v>
      </c>
      <c r="I204" s="230">
        <f>IF(売分析!J204&lt;&gt;"",売分析!J204,"")</f>
        <v>881500</v>
      </c>
      <c r="J204" s="358">
        <f>IF(売分析!AB204&lt;&gt;"",売分析!AB204,"")</f>
        <v>2325.9383640552992</v>
      </c>
      <c r="K204" s="358">
        <f>IF(売分析!AC204&lt;&gt;"",売分析!AC204,"")</f>
        <v>2279.8033373063163</v>
      </c>
      <c r="L204" s="358">
        <f>IF(売分析!K204&lt;&gt;"",売分析!K204,"")</f>
        <v>2425</v>
      </c>
      <c r="M204" s="230" t="str">
        <f>IF(売分析!P204&lt;&gt;"",売分析!P204,"")</f>
        <v>減少↓</v>
      </c>
      <c r="N204" s="360">
        <f>IF(売分析!O204&lt;&gt;"",売分析!O204,"")</f>
        <v>0.879810763334398</v>
      </c>
      <c r="O204" s="362">
        <f>IF(売分析!X204&lt;&gt;"",売分析!X204,"")</f>
        <v>6.21210878884267</v>
      </c>
      <c r="P204" s="359">
        <f>IF(売分析!L204&lt;&gt;"",売分析!L204,"")</f>
        <v>-4.8659793814432994</v>
      </c>
      <c r="Q204" s="358">
        <f>IF(売分析!S204&lt;&gt;"",売分析!S204,"")</f>
        <v>2399</v>
      </c>
      <c r="R204" s="358">
        <f>IF(売分析!R204&lt;&gt;"",売分析!R204,"")</f>
        <v>2122</v>
      </c>
      <c r="S204" s="230" t="str">
        <f>IF(売分析!AA204&lt;&gt;"",売分析!AA204,"")</f>
        <v>下落▼</v>
      </c>
      <c r="T204" s="363">
        <f>IF(売分析!Z204&lt;&gt;"",売分析!Z204,"")</f>
        <v>-1.1144449207029576</v>
      </c>
      <c r="U204" s="230" t="str">
        <f>IF(売分析!V204&lt;&gt;"",売分析!V204,"")</f>
        <v>通常</v>
      </c>
      <c r="V204" s="361">
        <f>IF(売分析!W204&lt;&gt;"",売分析!W204,"")</f>
        <v>57.9656862745098</v>
      </c>
      <c r="W204" s="230" t="str">
        <f>IF(売分析!AD204&lt;&gt;"",売分析!AD204,"")</f>
        <v>上昇トレンド▲</v>
      </c>
      <c r="X204" s="230" t="str">
        <f>IF(売分析!AE204&lt;&gt;"",売分析!AE204,"")</f>
        <v>5日戻り売り○</v>
      </c>
      <c r="Y204" s="428">
        <f>IF(売分析!T204&lt;&gt;"",売分析!T204,"")</f>
        <v>2</v>
      </c>
      <c r="Z204" s="230" t="str">
        <f>IF(売分析!Y204&lt;&gt;"",売分析!Y204,"")</f>
        <v>相場上昇・見送り | 上昇トレンド▲ 5日戻り売り○ MACD+ RSI:58.0 前日比:-1.1%前日[長い下ヒゲ(反発)] [2点]</v>
      </c>
    </row>
    <row r="205" spans="1:26">
      <c r="A205" s="350">
        <f>IF(売分析!C205&lt;&gt;"",ROW()-2,"")</f>
        <v>203</v>
      </c>
      <c r="B205" s="349" t="str">
        <f>IF(売分析!C205&lt;&gt;"",HYPERLINK("https://kabutan.jp/stock/?code="&amp;売分析!C205,"株探"),"")</f>
        <v>株探</v>
      </c>
      <c r="C205" s="365">
        <f>IF(売分析!C205&lt;&gt;"",売分析!C205,"")</f>
        <v>4519</v>
      </c>
      <c r="D205" s="350" t="str">
        <f>IF(売分析!D205&lt;&gt;"",売分析!D205,"")</f>
        <v>中外製薬</v>
      </c>
      <c r="E205" s="351">
        <f>IF(売分析!E205&lt;&gt;"",売分析!E205,"")</f>
        <v>7650</v>
      </c>
      <c r="F205" s="351">
        <f>IF(売分析!F205&lt;&gt;"",売分析!F205,"")</f>
        <v>7532</v>
      </c>
      <c r="G205" s="351">
        <f>IF(売分析!H205&lt;&gt;"",売分析!H205,"")</f>
        <v>7689</v>
      </c>
      <c r="H205" s="351">
        <f>IF(売分析!I205&lt;&gt;"",売分析!I205,"")</f>
        <v>7532</v>
      </c>
      <c r="I205" s="350">
        <f>IF(売分析!J205&lt;&gt;"",売分析!J205,"")</f>
        <v>1745000</v>
      </c>
      <c r="J205" s="351">
        <f>IF(売分析!AB205&lt;&gt;"",売分析!AB205,"")</f>
        <v>7551.2534562211986</v>
      </c>
      <c r="K205" s="351">
        <f>IF(売分析!AC205&lt;&gt;"",売分析!AC205,"")</f>
        <v>7653.2228843861703</v>
      </c>
      <c r="L205" s="351">
        <f>IF(売分析!K205&lt;&gt;"",売分析!K205,"")</f>
        <v>10700</v>
      </c>
      <c r="M205" s="350" t="str">
        <f>IF(売分析!P205&lt;&gt;"",売分析!P205,"")</f>
        <v>減少↓</v>
      </c>
      <c r="N205" s="353">
        <f>IF(売分析!O205&lt;&gt;"",売分析!O205,"")</f>
        <v>0.7562690150733733</v>
      </c>
      <c r="O205" s="355">
        <f>IF(売分析!X205&lt;&gt;"",売分析!X205,"")</f>
        <v>-60.732201210798848</v>
      </c>
      <c r="P205" s="352">
        <f>IF(売分析!L205&lt;&gt;"",売分析!L205,"")</f>
        <v>-28.504672897196258</v>
      </c>
      <c r="Q205" s="351">
        <f>IF(売分析!S205&lt;&gt;"",売分析!S205,"")</f>
        <v>7956</v>
      </c>
      <c r="R205" s="351">
        <f>IF(売分析!R205&lt;&gt;"",売分析!R205,"")</f>
        <v>7038</v>
      </c>
      <c r="S205" s="350" t="str">
        <f>IF(売分析!AA205&lt;&gt;"",売分析!AA205,"")</f>
        <v>上昇▲</v>
      </c>
      <c r="T205" s="356">
        <f>IF(売分析!Z205&lt;&gt;"",売分析!Z205,"")</f>
        <v>1.6881563206167751</v>
      </c>
      <c r="U205" s="350" t="str">
        <f>IF(売分析!V205&lt;&gt;"",売分析!V205,"")</f>
        <v>安値圏</v>
      </c>
      <c r="V205" s="354">
        <f>IF(売分析!W205&lt;&gt;"",売分析!W205,"")</f>
        <v>30.961538461538453</v>
      </c>
      <c r="W205" s="350" t="str">
        <f>IF(売分析!AD205&lt;&gt;"",売分析!AD205,"")</f>
        <v>もみ合い→</v>
      </c>
      <c r="X205" s="350" t="str">
        <f>IF(売分析!AE205&lt;&gt;"",売分析!AE205,"")</f>
        <v>25日戻り売り★</v>
      </c>
      <c r="Y205" s="427">
        <f>IF(売分析!T205&lt;&gt;"",売分析!T205,"")</f>
        <v>11</v>
      </c>
      <c r="Z205" s="350" t="str">
        <f>IF(売分析!Y205&lt;&gt;"",売分析!Y205,"")</f>
        <v>○逆張り売り | もみ合い→ 25日戻り売り★ MACD- RSI:31.0 前日比:+1.7% [安値圏] [11点]</v>
      </c>
    </row>
    <row r="206" spans="1:26">
      <c r="A206" s="230">
        <f>IF(売分析!C206&lt;&gt;"",ROW()-2,"")</f>
        <v>204</v>
      </c>
      <c r="B206" s="357" t="str">
        <f>IF(売分析!C206&lt;&gt;"",HYPERLINK("https://kabutan.jp/stock/?code="&amp;売分析!C206,"株探"),"")</f>
        <v>株探</v>
      </c>
      <c r="C206" s="366">
        <f>IF(売分析!C206&lt;&gt;"",売分析!C206,"")</f>
        <v>2768</v>
      </c>
      <c r="D206" s="230" t="str">
        <f>IF(売分析!D206&lt;&gt;"",売分析!D206,"")</f>
        <v>双日</v>
      </c>
      <c r="E206" s="358">
        <f>IF(売分析!E206&lt;&gt;"",売分析!E206,"")</f>
        <v>5296</v>
      </c>
      <c r="F206" s="358">
        <f>IF(売分析!F206&lt;&gt;"",売分析!F206,"")</f>
        <v>5366</v>
      </c>
      <c r="G206" s="358">
        <f>IF(売分析!H206&lt;&gt;"",売分析!H206,"")</f>
        <v>5372</v>
      </c>
      <c r="H206" s="358">
        <f>IF(売分析!I206&lt;&gt;"",売分析!I206,"")</f>
        <v>5239</v>
      </c>
      <c r="I206" s="230">
        <f>IF(売分析!J206&lt;&gt;"",売分析!J206,"")</f>
        <v>845400</v>
      </c>
      <c r="J206" s="358">
        <f>IF(売分析!AB206&lt;&gt;"",売分析!AB206,"")</f>
        <v>5211.7557603686628</v>
      </c>
      <c r="K206" s="358">
        <f>IF(売分析!AC206&lt;&gt;"",売分析!AC206,"")</f>
        <v>5298.4183551847427</v>
      </c>
      <c r="L206" s="358">
        <f>IF(売分析!K206&lt;&gt;"",売分析!K206,"")</f>
        <v>7257</v>
      </c>
      <c r="M206" s="230" t="str">
        <f>IF(売分析!P206&lt;&gt;"",売分析!P206,"")</f>
        <v>減少↓</v>
      </c>
      <c r="N206" s="360">
        <f>IF(売分析!O206&lt;&gt;"",売分析!O206,"")</f>
        <v>0.72442159383033422</v>
      </c>
      <c r="O206" s="362">
        <f>IF(売分析!X206&lt;&gt;"",売分析!X206,"")</f>
        <v>-69.286153821658445</v>
      </c>
      <c r="P206" s="359">
        <f>IF(売分析!L206&lt;&gt;"",売分析!L206,"")</f>
        <v>-27.022185476092048</v>
      </c>
      <c r="Q206" s="358">
        <f>IF(売分析!S206&lt;&gt;"",売分析!S206,"")</f>
        <v>5508</v>
      </c>
      <c r="R206" s="358">
        <f>IF(売分析!R206&lt;&gt;"",売分析!R206,"")</f>
        <v>4872</v>
      </c>
      <c r="S206" s="230" t="str">
        <f>IF(売分析!AA206&lt;&gt;"",売分析!AA206,"")</f>
        <v>上昇▲</v>
      </c>
      <c r="T206" s="363">
        <f>IF(売分析!Z206&lt;&gt;"",売分析!Z206,"")</f>
        <v>9.45000945000945E-2</v>
      </c>
      <c r="U206" s="230" t="str">
        <f>IF(売分析!V206&lt;&gt;"",売分析!V206,"")</f>
        <v>安値圏</v>
      </c>
      <c r="V206" s="361">
        <f>IF(売分析!W206&lt;&gt;"",売分析!W206,"")</f>
        <v>34.429599177800625</v>
      </c>
      <c r="W206" s="230" t="str">
        <f>IF(売分析!AD206&lt;&gt;"",売分析!AD206,"")</f>
        <v>もみ合い→</v>
      </c>
      <c r="X206" s="230" t="str">
        <f>IF(売分析!AE206&lt;&gt;"",売分析!AE206,"")</f>
        <v>25日戻り売り★</v>
      </c>
      <c r="Y206" s="428">
        <f>IF(売分析!T206&lt;&gt;"",売分析!T206,"")</f>
        <v>11</v>
      </c>
      <c r="Z206" s="230" t="str">
        <f>IF(売分析!Y206&lt;&gt;"",売分析!Y206,"")</f>
        <v>○逆張り売り | もみ合い→ 25日戻り売り★ MACD- RSI:34.4 前日比:+0.1% [安値圏] [11点]</v>
      </c>
    </row>
  </sheetData>
  <mergeCells count="1">
    <mergeCell ref="A1:Z1"/>
  </mergeCells>
  <phoneticPr fontId="1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BA5A8-B021-4D33-B378-9D3F5039E30F}">
  <sheetPr codeName="Sheet13">
    <tabColor rgb="FFFFC000"/>
  </sheetPr>
  <dimension ref="A1:V505"/>
  <sheetViews>
    <sheetView tabSelected="1" zoomScale="68" zoomScaleNormal="68" workbookViewId="0">
      <selection activeCell="AD20" sqref="AD20"/>
    </sheetView>
  </sheetViews>
  <sheetFormatPr defaultRowHeight="18.75"/>
  <cols>
    <col min="1" max="1" width="13.875" customWidth="1"/>
    <col min="3" max="3" width="10.125" style="464" bestFit="1" customWidth="1"/>
    <col min="4" max="4" width="21.625" style="467" customWidth="1"/>
    <col min="5" max="7" width="12.75" style="469" bestFit="1" customWidth="1"/>
    <col min="8" max="8" width="21.125" style="470" bestFit="1" customWidth="1"/>
    <col min="9" max="9" width="14.875" style="469" customWidth="1"/>
    <col min="10" max="10" width="22.25" style="464" bestFit="1" customWidth="1"/>
    <col min="11" max="11" width="18.375" customWidth="1"/>
    <col min="12" max="12" width="18.375" style="464" bestFit="1" customWidth="1"/>
    <col min="13" max="13" width="16.125" style="464" bestFit="1" customWidth="1"/>
    <col min="14" max="14" width="16.625" customWidth="1"/>
    <col min="15" max="15" width="17.125" style="464" bestFit="1" customWidth="1"/>
    <col min="16" max="16" width="19.75" style="464" bestFit="1" customWidth="1"/>
    <col min="17" max="17" width="16.75" bestFit="1" customWidth="1"/>
    <col min="18" max="18" width="178.375" style="468" customWidth="1"/>
    <col min="19" max="19" width="15.5" customWidth="1"/>
    <col min="20" max="20" width="15.75" bestFit="1" customWidth="1"/>
    <col min="21" max="21" width="11.875" bestFit="1" customWidth="1"/>
    <col min="22" max="22" width="16.375" bestFit="1" customWidth="1"/>
  </cols>
  <sheetData>
    <row r="1" spans="1:22" s="448" customFormat="1" ht="93" customHeight="1">
      <c r="A1" s="543" t="s">
        <v>829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447"/>
      <c r="T1" s="447"/>
      <c r="U1" s="447"/>
      <c r="V1" s="447"/>
    </row>
    <row r="2" spans="1:22" s="387" customFormat="1" ht="39.950000000000003" customHeight="1">
      <c r="A2" s="545" t="s">
        <v>1009</v>
      </c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  <c r="S2" s="467"/>
      <c r="T2"/>
      <c r="U2"/>
      <c r="V2"/>
    </row>
    <row r="3" spans="1:22" s="387" customFormat="1" ht="39.950000000000003" customHeight="1">
      <c r="A3" s="449" t="s">
        <v>836</v>
      </c>
      <c r="B3" s="450" t="s">
        <v>837</v>
      </c>
      <c r="C3" s="479" t="s">
        <v>838</v>
      </c>
      <c r="D3" s="450" t="s">
        <v>839</v>
      </c>
      <c r="E3" s="480" t="s">
        <v>840</v>
      </c>
      <c r="F3" s="480" t="s">
        <v>841</v>
      </c>
      <c r="G3" s="480" t="s">
        <v>842</v>
      </c>
      <c r="H3" s="481" t="s">
        <v>843</v>
      </c>
      <c r="I3" s="482" t="s">
        <v>844</v>
      </c>
      <c r="J3" s="450" t="s">
        <v>830</v>
      </c>
      <c r="K3" s="450" t="s">
        <v>831</v>
      </c>
      <c r="L3" s="450" t="s">
        <v>832</v>
      </c>
      <c r="M3" s="483" t="s">
        <v>845</v>
      </c>
      <c r="N3" s="450" t="s">
        <v>833</v>
      </c>
      <c r="O3" s="480" t="s">
        <v>768</v>
      </c>
      <c r="P3" s="480" t="s">
        <v>846</v>
      </c>
      <c r="Q3" s="450" t="s">
        <v>847</v>
      </c>
      <c r="R3" s="450" t="s">
        <v>834</v>
      </c>
      <c r="S3"/>
      <c r="T3"/>
      <c r="U3"/>
      <c r="V3"/>
    </row>
    <row r="4" spans="1:22" s="387" customFormat="1" ht="39.950000000000003" customHeight="1">
      <c r="A4" s="446" t="str">
        <f>HYPERLINK("https://kabutan.jp/stock/?code="&amp;TEXT(C4,"0000"),"株探")</f>
        <v>株探</v>
      </c>
      <c r="B4" s="453"/>
      <c r="C4" s="461">
        <v>3397</v>
      </c>
      <c r="D4" s="466" t="s">
        <v>986</v>
      </c>
      <c r="E4" s="462">
        <v>3653</v>
      </c>
      <c r="F4" s="462">
        <v>3742</v>
      </c>
      <c r="G4" s="462">
        <v>3650</v>
      </c>
      <c r="H4" s="474">
        <v>688400</v>
      </c>
      <c r="I4" s="463">
        <v>37</v>
      </c>
      <c r="J4" s="460" t="s">
        <v>815</v>
      </c>
      <c r="K4" s="609" t="s">
        <v>827</v>
      </c>
      <c r="L4" s="463" t="s">
        <v>987</v>
      </c>
      <c r="M4" s="463">
        <v>-69.36</v>
      </c>
      <c r="N4" s="609"/>
      <c r="O4" s="462">
        <v>3470</v>
      </c>
      <c r="P4" s="462">
        <v>3763</v>
      </c>
      <c r="Q4" s="471">
        <v>14</v>
      </c>
      <c r="R4" s="475" t="s">
        <v>988</v>
      </c>
      <c r="S4"/>
      <c r="T4"/>
      <c r="U4"/>
      <c r="V4"/>
    </row>
    <row r="5" spans="1:22" s="387" customFormat="1" ht="40.5" customHeight="1">
      <c r="A5" s="446" t="str">
        <f>HYPERLINK("https://kabutan.jp/stock/?code="&amp;TEXT(C5,"0000"),"株探")</f>
        <v>株探</v>
      </c>
      <c r="B5" s="452"/>
      <c r="C5" s="457">
        <v>5449</v>
      </c>
      <c r="D5" s="465" t="s">
        <v>968</v>
      </c>
      <c r="E5" s="458">
        <v>2238</v>
      </c>
      <c r="F5" s="458">
        <v>2401</v>
      </c>
      <c r="G5" s="458">
        <v>2238</v>
      </c>
      <c r="H5" s="472">
        <v>91100</v>
      </c>
      <c r="I5" s="459">
        <v>44.2</v>
      </c>
      <c r="J5" s="460" t="s">
        <v>815</v>
      </c>
      <c r="K5" s="609" t="s">
        <v>827</v>
      </c>
      <c r="L5" s="459" t="s">
        <v>969</v>
      </c>
      <c r="M5" s="459">
        <v>-20.05</v>
      </c>
      <c r="N5" s="609" t="s">
        <v>794</v>
      </c>
      <c r="O5" s="458">
        <v>2126</v>
      </c>
      <c r="P5" s="458">
        <v>2305</v>
      </c>
      <c r="Q5" s="454">
        <v>13</v>
      </c>
      <c r="R5" s="473" t="s">
        <v>970</v>
      </c>
      <c r="S5"/>
      <c r="T5"/>
      <c r="U5"/>
      <c r="V5"/>
    </row>
    <row r="6" spans="1:22" s="387" customFormat="1" ht="40.5" customHeight="1">
      <c r="A6" s="446" t="str">
        <f>HYPERLINK("https://kabutan.jp/stock/?code="&amp;TEXT(C6,"0000"),"株探")</f>
        <v>株探</v>
      </c>
      <c r="B6" s="456"/>
      <c r="C6" s="484">
        <v>9733</v>
      </c>
      <c r="D6" s="485" t="s">
        <v>879</v>
      </c>
      <c r="E6" s="486">
        <v>2201</v>
      </c>
      <c r="F6" s="486">
        <v>2238</v>
      </c>
      <c r="G6" s="486">
        <v>2201</v>
      </c>
      <c r="H6" s="487">
        <v>27000</v>
      </c>
      <c r="I6" s="456">
        <v>36.700000000000003</v>
      </c>
      <c r="J6" s="455" t="s">
        <v>815</v>
      </c>
      <c r="K6" s="611" t="s">
        <v>827</v>
      </c>
      <c r="L6" s="456" t="s">
        <v>979</v>
      </c>
      <c r="M6" s="456">
        <v>-11.29</v>
      </c>
      <c r="N6" s="611" t="s">
        <v>794</v>
      </c>
      <c r="O6" s="486">
        <v>2091</v>
      </c>
      <c r="P6" s="486">
        <v>2267</v>
      </c>
      <c r="Q6" s="659">
        <v>12</v>
      </c>
      <c r="R6" s="456" t="s">
        <v>980</v>
      </c>
      <c r="S6"/>
      <c r="T6"/>
      <c r="U6"/>
      <c r="V6"/>
    </row>
    <row r="7" spans="1:22" s="387" customFormat="1" ht="40.5" customHeight="1">
      <c r="A7" s="446" t="str">
        <f>HYPERLINK("https://kabutan.jp/stock/?code="&amp;TEXT(C7,"0000"),"株探")</f>
        <v>株探</v>
      </c>
      <c r="B7" s="519"/>
      <c r="C7" s="520" t="s">
        <v>472</v>
      </c>
      <c r="D7" s="521" t="s">
        <v>981</v>
      </c>
      <c r="E7" s="522">
        <v>2291</v>
      </c>
      <c r="F7" s="522">
        <v>2488</v>
      </c>
      <c r="G7" s="522">
        <v>2291</v>
      </c>
      <c r="H7" s="523">
        <v>4976500</v>
      </c>
      <c r="I7" s="519">
        <v>3.6</v>
      </c>
      <c r="J7" s="455" t="s">
        <v>815</v>
      </c>
      <c r="K7" s="611" t="s">
        <v>827</v>
      </c>
      <c r="L7" s="519" t="s">
        <v>982</v>
      </c>
      <c r="M7" s="519">
        <v>-2112.35</v>
      </c>
      <c r="N7" s="611"/>
      <c r="O7" s="522">
        <v>2176</v>
      </c>
      <c r="P7" s="522">
        <v>2360</v>
      </c>
      <c r="Q7" s="659">
        <v>12</v>
      </c>
      <c r="R7" s="519" t="s">
        <v>983</v>
      </c>
      <c r="S7"/>
      <c r="T7"/>
      <c r="U7"/>
      <c r="V7"/>
    </row>
    <row r="8" spans="1:22" ht="40.5" customHeight="1">
      <c r="A8" s="446" t="str">
        <f>HYPERLINK("https://kabutan.jp/stock/?code="&amp;TEXT(C8,"0000"),"株探")</f>
        <v>株探</v>
      </c>
      <c r="B8" s="452"/>
      <c r="C8" s="457">
        <v>1514</v>
      </c>
      <c r="D8" s="465" t="s">
        <v>881</v>
      </c>
      <c r="E8" s="458">
        <v>550</v>
      </c>
      <c r="F8" s="458">
        <v>566</v>
      </c>
      <c r="G8" s="458">
        <v>541</v>
      </c>
      <c r="H8" s="472">
        <v>445300</v>
      </c>
      <c r="I8" s="459">
        <v>32.5</v>
      </c>
      <c r="J8" s="460" t="s">
        <v>815</v>
      </c>
      <c r="K8" s="609" t="s">
        <v>827</v>
      </c>
      <c r="L8" s="459" t="s">
        <v>984</v>
      </c>
      <c r="M8" s="459">
        <v>-55.6</v>
      </c>
      <c r="N8" s="609"/>
      <c r="O8" s="458">
        <v>522</v>
      </c>
      <c r="P8" s="458">
        <v>566</v>
      </c>
      <c r="Q8" s="454">
        <v>12</v>
      </c>
      <c r="R8" s="473" t="s">
        <v>985</v>
      </c>
    </row>
    <row r="9" spans="1:22" ht="40.5" customHeight="1">
      <c r="A9" s="446" t="str">
        <f>HYPERLINK("https://kabutan.jp/stock/?code="&amp;TEXT(C9,"0000"),"株探")</f>
        <v>株探</v>
      </c>
      <c r="B9" s="453"/>
      <c r="C9" s="461">
        <v>3854</v>
      </c>
      <c r="D9" s="466" t="s">
        <v>971</v>
      </c>
      <c r="E9" s="462">
        <v>2190</v>
      </c>
      <c r="F9" s="462">
        <v>2206</v>
      </c>
      <c r="G9" s="462">
        <v>2159</v>
      </c>
      <c r="H9" s="474">
        <v>125700</v>
      </c>
      <c r="I9" s="463">
        <v>22.7</v>
      </c>
      <c r="J9" s="460" t="s">
        <v>815</v>
      </c>
      <c r="K9" s="609" t="s">
        <v>827</v>
      </c>
      <c r="L9" s="463" t="s">
        <v>972</v>
      </c>
      <c r="M9" s="463">
        <v>-26.05</v>
      </c>
      <c r="N9" s="609" t="s">
        <v>794</v>
      </c>
      <c r="O9" s="462">
        <v>2080</v>
      </c>
      <c r="P9" s="462">
        <v>2256</v>
      </c>
      <c r="Q9" s="451">
        <v>11</v>
      </c>
      <c r="R9" s="475" t="s">
        <v>973</v>
      </c>
    </row>
    <row r="10" spans="1:22" ht="40.5" customHeight="1">
      <c r="A10" s="446" t="str">
        <f>HYPERLINK("https://kabutan.jp/stock/?code="&amp;TEXT(C10,"0000"),"株探")</f>
        <v>株探</v>
      </c>
      <c r="B10" s="453"/>
      <c r="C10" s="461">
        <v>8058</v>
      </c>
      <c r="D10" s="466" t="s">
        <v>856</v>
      </c>
      <c r="E10" s="462">
        <v>4610</v>
      </c>
      <c r="F10" s="462">
        <v>4672</v>
      </c>
      <c r="G10" s="462">
        <v>4595</v>
      </c>
      <c r="H10" s="474">
        <v>7426100</v>
      </c>
      <c r="I10" s="463">
        <v>15.5</v>
      </c>
      <c r="J10" s="460" t="s">
        <v>815</v>
      </c>
      <c r="K10" s="609" t="s">
        <v>827</v>
      </c>
      <c r="L10" s="463" t="s">
        <v>961</v>
      </c>
      <c r="M10" s="463">
        <v>-108.67</v>
      </c>
      <c r="N10" s="609" t="s">
        <v>794</v>
      </c>
      <c r="O10" s="462">
        <v>4380</v>
      </c>
      <c r="P10" s="462">
        <v>4748</v>
      </c>
      <c r="Q10" s="451">
        <v>10</v>
      </c>
      <c r="R10" s="475" t="s">
        <v>967</v>
      </c>
    </row>
    <row r="11" spans="1:22" ht="40.5" customHeight="1">
      <c r="A11" s="446" t="str">
        <f>HYPERLINK("https://kabutan.jp/stock/?code="&amp;TEXT(C11,"0000"),"株探")</f>
        <v>株探</v>
      </c>
      <c r="B11" s="650"/>
      <c r="C11" s="651">
        <v>9501</v>
      </c>
      <c r="D11" s="652" t="s">
        <v>974</v>
      </c>
      <c r="E11" s="653">
        <v>508.1</v>
      </c>
      <c r="F11" s="653">
        <v>523.5</v>
      </c>
      <c r="G11" s="653">
        <v>507.4</v>
      </c>
      <c r="H11" s="654">
        <v>21276700</v>
      </c>
      <c r="I11" s="655">
        <v>33</v>
      </c>
      <c r="J11" s="621" t="s">
        <v>962</v>
      </c>
      <c r="K11" s="620" t="s">
        <v>827</v>
      </c>
      <c r="L11" s="656" t="s">
        <v>975</v>
      </c>
      <c r="M11" s="657">
        <v>-8.7899999999999991</v>
      </c>
      <c r="N11" s="620" t="s">
        <v>794</v>
      </c>
      <c r="O11" s="653">
        <v>483</v>
      </c>
      <c r="P11" s="653">
        <v>523</v>
      </c>
      <c r="Q11" s="445">
        <v>10</v>
      </c>
      <c r="R11" s="658" t="s">
        <v>976</v>
      </c>
    </row>
    <row r="12" spans="1:22" ht="40.5" customHeight="1">
      <c r="A12" s="446" t="str">
        <f>HYPERLINK("https://kabutan.jp/stock/?code="&amp;TEXT(C12,"0000"),"株探")</f>
        <v>株探</v>
      </c>
      <c r="B12" s="453"/>
      <c r="C12" s="461">
        <v>9531</v>
      </c>
      <c r="D12" s="466" t="s">
        <v>977</v>
      </c>
      <c r="E12" s="462">
        <v>6151</v>
      </c>
      <c r="F12" s="462">
        <v>6300</v>
      </c>
      <c r="G12" s="462">
        <v>6138</v>
      </c>
      <c r="H12" s="474">
        <v>833700</v>
      </c>
      <c r="I12" s="463">
        <v>40.4</v>
      </c>
      <c r="J12" s="460" t="s">
        <v>815</v>
      </c>
      <c r="K12" s="609" t="s">
        <v>827</v>
      </c>
      <c r="L12" s="463" t="s">
        <v>966</v>
      </c>
      <c r="M12" s="463">
        <v>-45.07</v>
      </c>
      <c r="N12" s="609" t="s">
        <v>794</v>
      </c>
      <c r="O12" s="462">
        <v>5843</v>
      </c>
      <c r="P12" s="462">
        <v>6336</v>
      </c>
      <c r="Q12" s="451">
        <v>10</v>
      </c>
      <c r="R12" s="475" t="s">
        <v>978</v>
      </c>
    </row>
    <row r="13" spans="1:22" ht="40.5" customHeight="1">
      <c r="A13" s="562"/>
      <c r="B13" s="604"/>
      <c r="C13" s="605"/>
      <c r="D13" s="610"/>
      <c r="E13" s="606"/>
      <c r="F13" s="606"/>
      <c r="G13" s="606"/>
      <c r="H13" s="607"/>
      <c r="I13" s="608"/>
      <c r="J13" s="608"/>
      <c r="K13" s="609"/>
      <c r="L13" s="608"/>
      <c r="M13" s="608"/>
      <c r="N13" s="609"/>
      <c r="O13" s="606"/>
      <c r="P13" s="606"/>
      <c r="Q13" s="609"/>
      <c r="R13" s="610"/>
    </row>
    <row r="14" spans="1:22" ht="40.5" customHeight="1">
      <c r="A14" s="562"/>
      <c r="B14" s="604"/>
      <c r="C14" s="605"/>
      <c r="D14" s="610"/>
      <c r="E14" s="606"/>
      <c r="F14" s="606"/>
      <c r="G14" s="606"/>
      <c r="H14" s="607"/>
      <c r="I14" s="608"/>
      <c r="J14" s="608"/>
      <c r="K14" s="609"/>
      <c r="L14" s="608"/>
      <c r="M14" s="608"/>
      <c r="N14" s="609"/>
      <c r="O14" s="606"/>
      <c r="P14" s="606"/>
      <c r="Q14" s="609"/>
      <c r="R14" s="610"/>
    </row>
    <row r="15" spans="1:22" ht="40.5" customHeight="1">
      <c r="A15" s="562"/>
      <c r="B15" s="611"/>
      <c r="C15" s="612"/>
      <c r="D15" s="611"/>
      <c r="E15" s="613"/>
      <c r="F15" s="613"/>
      <c r="G15" s="613"/>
      <c r="H15" s="614"/>
      <c r="I15" s="611"/>
      <c r="J15" s="611"/>
      <c r="K15" s="611"/>
      <c r="L15" s="611"/>
      <c r="M15" s="611"/>
      <c r="N15" s="611"/>
      <c r="O15" s="613"/>
      <c r="P15" s="613"/>
      <c r="Q15" s="611"/>
      <c r="R15" s="611"/>
    </row>
    <row r="16" spans="1:22" ht="40.5" customHeight="1">
      <c r="A16" s="562"/>
      <c r="B16" s="604"/>
      <c r="C16" s="605"/>
      <c r="D16" s="610"/>
      <c r="E16" s="606"/>
      <c r="F16" s="606"/>
      <c r="G16" s="606"/>
      <c r="H16" s="607"/>
      <c r="I16" s="608"/>
      <c r="J16" s="608"/>
      <c r="K16" s="609"/>
      <c r="L16" s="608"/>
      <c r="M16" s="608"/>
      <c r="N16" s="609"/>
      <c r="O16" s="606"/>
      <c r="P16" s="606"/>
      <c r="Q16" s="609"/>
      <c r="R16" s="610"/>
    </row>
    <row r="17" spans="1:18" ht="40.5" customHeight="1">
      <c r="A17" s="562"/>
      <c r="B17" s="604"/>
      <c r="C17" s="605"/>
      <c r="D17" s="610"/>
      <c r="E17" s="606"/>
      <c r="F17" s="606"/>
      <c r="G17" s="606"/>
      <c r="H17" s="607"/>
      <c r="I17" s="608"/>
      <c r="J17" s="608"/>
      <c r="K17" s="609"/>
      <c r="L17" s="608"/>
      <c r="M17" s="608"/>
      <c r="N17" s="609"/>
      <c r="O17" s="606"/>
      <c r="P17" s="606"/>
      <c r="Q17" s="609"/>
      <c r="R17" s="610"/>
    </row>
    <row r="18" spans="1:18" ht="40.5" customHeight="1">
      <c r="A18" s="562"/>
      <c r="B18" s="604"/>
      <c r="C18" s="605"/>
      <c r="D18" s="610"/>
      <c r="E18" s="606"/>
      <c r="F18" s="606"/>
      <c r="G18" s="606"/>
      <c r="H18" s="607"/>
      <c r="I18" s="608"/>
      <c r="J18" s="608"/>
      <c r="K18" s="609"/>
      <c r="L18" s="608"/>
      <c r="M18" s="608"/>
      <c r="N18" s="609"/>
      <c r="O18" s="606"/>
      <c r="P18" s="606"/>
      <c r="Q18" s="609"/>
      <c r="R18" s="610"/>
    </row>
    <row r="19" spans="1:18" ht="40.5" customHeight="1">
      <c r="A19" s="562"/>
      <c r="B19" s="604"/>
      <c r="C19" s="605"/>
      <c r="D19" s="610"/>
      <c r="E19" s="606"/>
      <c r="F19" s="606"/>
      <c r="G19" s="606"/>
      <c r="H19" s="607"/>
      <c r="I19" s="608"/>
      <c r="J19" s="608"/>
      <c r="K19" s="609"/>
      <c r="L19" s="608"/>
      <c r="M19" s="608"/>
      <c r="N19" s="609"/>
      <c r="O19" s="606"/>
      <c r="P19" s="606"/>
      <c r="Q19" s="609"/>
      <c r="R19" s="610"/>
    </row>
    <row r="20" spans="1:18" ht="40.5" customHeight="1">
      <c r="A20" s="562"/>
      <c r="B20" s="615"/>
      <c r="C20" s="616"/>
      <c r="D20" s="623"/>
      <c r="E20" s="617"/>
      <c r="F20" s="617"/>
      <c r="G20" s="617"/>
      <c r="H20" s="618"/>
      <c r="I20" s="619"/>
      <c r="J20" s="621"/>
      <c r="K20" s="620"/>
      <c r="L20" s="621"/>
      <c r="M20" s="622"/>
      <c r="N20" s="660"/>
      <c r="O20" s="617"/>
      <c r="P20" s="617"/>
      <c r="Q20" s="620"/>
      <c r="R20" s="623"/>
    </row>
    <row r="21" spans="1:18" ht="40.5" customHeight="1">
      <c r="A21" s="562"/>
      <c r="B21" s="604"/>
      <c r="C21" s="605"/>
      <c r="D21" s="610"/>
      <c r="E21" s="606"/>
      <c r="F21" s="606"/>
      <c r="G21" s="606"/>
      <c r="H21" s="607"/>
      <c r="I21" s="608"/>
      <c r="J21" s="608"/>
      <c r="K21" s="609"/>
      <c r="L21" s="608"/>
      <c r="M21" s="608"/>
      <c r="N21" s="609"/>
      <c r="O21" s="606"/>
      <c r="P21" s="606"/>
      <c r="Q21" s="609"/>
      <c r="R21" s="610"/>
    </row>
    <row r="22" spans="1:18" ht="40.5" customHeight="1">
      <c r="A22" s="562"/>
      <c r="B22" s="624"/>
      <c r="C22" s="625"/>
      <c r="D22" s="624"/>
      <c r="E22" s="626"/>
      <c r="F22" s="626"/>
      <c r="G22" s="626"/>
      <c r="H22" s="627"/>
      <c r="I22" s="628"/>
      <c r="J22" s="624"/>
      <c r="K22" s="624"/>
      <c r="L22" s="624"/>
      <c r="M22" s="629"/>
      <c r="N22" s="624"/>
      <c r="O22" s="626"/>
      <c r="P22" s="626"/>
      <c r="Q22" s="624"/>
      <c r="R22" s="624"/>
    </row>
    <row r="23" spans="1:18" ht="40.5" customHeight="1">
      <c r="A23" s="562"/>
      <c r="B23" s="604"/>
      <c r="C23" s="605"/>
      <c r="D23" s="610"/>
      <c r="E23" s="606"/>
      <c r="F23" s="606"/>
      <c r="G23" s="606"/>
      <c r="H23" s="607"/>
      <c r="I23" s="608"/>
      <c r="J23" s="608"/>
      <c r="K23" s="609"/>
      <c r="L23" s="608"/>
      <c r="M23" s="608"/>
      <c r="N23" s="609"/>
      <c r="O23" s="606"/>
      <c r="P23" s="606"/>
      <c r="Q23" s="609"/>
      <c r="R23" s="610"/>
    </row>
    <row r="24" spans="1:18" ht="40.5" customHeight="1">
      <c r="A24" s="562"/>
      <c r="B24" s="604"/>
      <c r="C24" s="605"/>
      <c r="D24" s="610"/>
      <c r="E24" s="606"/>
      <c r="F24" s="606"/>
      <c r="G24" s="606"/>
      <c r="H24" s="607"/>
      <c r="I24" s="608"/>
      <c r="J24" s="608"/>
      <c r="K24" s="609"/>
      <c r="L24" s="608"/>
      <c r="M24" s="608"/>
      <c r="N24" s="609"/>
      <c r="O24" s="606"/>
      <c r="P24" s="606"/>
      <c r="Q24" s="609"/>
      <c r="R24" s="610"/>
    </row>
    <row r="25" spans="1:18" ht="40.5" customHeight="1">
      <c r="A25" s="562"/>
      <c r="B25" s="604"/>
      <c r="C25" s="605"/>
      <c r="D25" s="610"/>
      <c r="E25" s="606"/>
      <c r="F25" s="606"/>
      <c r="G25" s="606"/>
      <c r="H25" s="607"/>
      <c r="I25" s="608"/>
      <c r="J25" s="608"/>
      <c r="K25" s="609"/>
      <c r="L25" s="608"/>
      <c r="M25" s="608"/>
      <c r="N25" s="609"/>
      <c r="O25" s="606"/>
      <c r="P25" s="606"/>
      <c r="Q25" s="609"/>
      <c r="R25" s="610"/>
    </row>
    <row r="26" spans="1:18" ht="40.5" customHeight="1">
      <c r="A26" s="562"/>
      <c r="B26" s="604"/>
      <c r="C26" s="605"/>
      <c r="D26" s="610"/>
      <c r="E26" s="606"/>
      <c r="F26" s="606"/>
      <c r="G26" s="606"/>
      <c r="H26" s="607"/>
      <c r="I26" s="608"/>
      <c r="J26" s="608"/>
      <c r="K26" s="609"/>
      <c r="L26" s="608"/>
      <c r="M26" s="608"/>
      <c r="N26" s="609"/>
      <c r="O26" s="606"/>
      <c r="P26" s="606"/>
      <c r="Q26" s="609"/>
      <c r="R26" s="610"/>
    </row>
    <row r="27" spans="1:18" ht="40.5" customHeight="1">
      <c r="A27" s="562"/>
      <c r="B27" s="611"/>
      <c r="C27" s="612"/>
      <c r="D27" s="611"/>
      <c r="E27" s="613"/>
      <c r="F27" s="613"/>
      <c r="G27" s="613"/>
      <c r="H27" s="614"/>
      <c r="I27" s="611"/>
      <c r="J27" s="611"/>
      <c r="K27" s="611"/>
      <c r="L27" s="611"/>
      <c r="M27" s="611"/>
      <c r="N27" s="611"/>
      <c r="O27" s="613"/>
      <c r="P27" s="613"/>
      <c r="Q27" s="611"/>
      <c r="R27" s="611"/>
    </row>
    <row r="28" spans="1:18" ht="40.5" customHeight="1">
      <c r="A28" s="562"/>
      <c r="B28" s="604"/>
      <c r="C28" s="605"/>
      <c r="D28" s="610"/>
      <c r="E28" s="606"/>
      <c r="F28" s="606"/>
      <c r="G28" s="606"/>
      <c r="H28" s="607"/>
      <c r="I28" s="608"/>
      <c r="J28" s="608"/>
      <c r="K28" s="609"/>
      <c r="L28" s="608"/>
      <c r="M28" s="608"/>
      <c r="N28" s="609"/>
      <c r="O28" s="606"/>
      <c r="P28" s="606"/>
      <c r="Q28" s="609"/>
      <c r="R28" s="610"/>
    </row>
    <row r="29" spans="1:18" ht="40.5" customHeight="1">
      <c r="A29" s="562"/>
      <c r="B29" s="604"/>
      <c r="C29" s="605"/>
      <c r="D29" s="610"/>
      <c r="E29" s="606"/>
      <c r="F29" s="606"/>
      <c r="G29" s="606"/>
      <c r="H29" s="607"/>
      <c r="I29" s="608"/>
      <c r="J29" s="608"/>
      <c r="K29" s="609"/>
      <c r="L29" s="608"/>
      <c r="M29" s="608"/>
      <c r="N29" s="609"/>
      <c r="O29" s="606"/>
      <c r="P29" s="606"/>
      <c r="Q29" s="609"/>
      <c r="R29" s="610"/>
    </row>
    <row r="30" spans="1:18" ht="40.5" customHeight="1">
      <c r="A30" s="562"/>
      <c r="B30" s="604"/>
      <c r="C30" s="605"/>
      <c r="D30" s="610"/>
      <c r="E30" s="606"/>
      <c r="F30" s="606"/>
      <c r="G30" s="606"/>
      <c r="H30" s="607"/>
      <c r="I30" s="608"/>
      <c r="J30" s="608"/>
      <c r="K30" s="609"/>
      <c r="L30" s="608"/>
      <c r="M30" s="608"/>
      <c r="N30" s="609"/>
      <c r="O30" s="606"/>
      <c r="P30" s="606"/>
      <c r="Q30" s="609"/>
      <c r="R30" s="610"/>
    </row>
    <row r="31" spans="1:18" ht="40.5" customHeight="1">
      <c r="A31" s="562"/>
      <c r="B31" s="604"/>
      <c r="C31" s="605"/>
      <c r="D31" s="610"/>
      <c r="E31" s="606"/>
      <c r="F31" s="606"/>
      <c r="G31" s="606"/>
      <c r="H31" s="607"/>
      <c r="I31" s="608"/>
      <c r="J31" s="608"/>
      <c r="K31" s="609"/>
      <c r="L31" s="608"/>
      <c r="M31" s="608"/>
      <c r="N31" s="609"/>
      <c r="O31" s="606"/>
      <c r="P31" s="606"/>
      <c r="Q31" s="609"/>
      <c r="R31" s="610"/>
    </row>
    <row r="32" spans="1:18" ht="40.5" customHeight="1">
      <c r="A32" s="562"/>
      <c r="B32" s="604"/>
      <c r="C32" s="605"/>
      <c r="D32" s="610"/>
      <c r="E32" s="606"/>
      <c r="F32" s="606"/>
      <c r="G32" s="606"/>
      <c r="H32" s="607"/>
      <c r="I32" s="608"/>
      <c r="J32" s="608"/>
      <c r="K32" s="609"/>
      <c r="L32" s="608"/>
      <c r="M32" s="608"/>
      <c r="N32" s="609"/>
      <c r="O32" s="606"/>
      <c r="P32" s="606"/>
      <c r="Q32" s="609"/>
      <c r="R32" s="610"/>
    </row>
    <row r="33" spans="1:18" ht="40.5" customHeight="1">
      <c r="A33" s="562"/>
      <c r="B33" s="604"/>
      <c r="C33" s="605"/>
      <c r="D33" s="610"/>
      <c r="E33" s="606"/>
      <c r="F33" s="606"/>
      <c r="G33" s="606"/>
      <c r="H33" s="607"/>
      <c r="I33" s="608"/>
      <c r="J33" s="608"/>
      <c r="K33" s="609"/>
      <c r="L33" s="608"/>
      <c r="M33" s="608"/>
      <c r="N33" s="609"/>
      <c r="O33" s="606"/>
      <c r="P33" s="606"/>
      <c r="Q33" s="609"/>
      <c r="R33" s="610"/>
    </row>
    <row r="34" spans="1:18" ht="40.5" customHeight="1">
      <c r="A34" s="562"/>
      <c r="B34" s="604"/>
      <c r="C34" s="605"/>
      <c r="D34" s="610"/>
      <c r="E34" s="606"/>
      <c r="F34" s="606"/>
      <c r="G34" s="606"/>
      <c r="H34" s="607"/>
      <c r="I34" s="608"/>
      <c r="J34" s="608"/>
      <c r="K34" s="609"/>
      <c r="L34" s="608"/>
      <c r="M34" s="608"/>
      <c r="N34" s="609"/>
      <c r="O34" s="606"/>
      <c r="P34" s="606"/>
      <c r="Q34" s="609"/>
      <c r="R34" s="610"/>
    </row>
    <row r="35" spans="1:18" ht="40.5" customHeight="1">
      <c r="A35" s="562"/>
      <c r="B35" s="604"/>
      <c r="C35" s="605"/>
      <c r="D35" s="610"/>
      <c r="E35" s="606"/>
      <c r="F35" s="606"/>
      <c r="G35" s="606"/>
      <c r="H35" s="607"/>
      <c r="I35" s="608"/>
      <c r="J35" s="608"/>
      <c r="K35" s="609"/>
      <c r="L35" s="608"/>
      <c r="M35" s="608"/>
      <c r="N35" s="609"/>
      <c r="O35" s="606"/>
      <c r="P35" s="606"/>
      <c r="Q35" s="609"/>
      <c r="R35" s="610"/>
    </row>
    <row r="36" spans="1:18" ht="40.5" customHeight="1">
      <c r="A36" s="562"/>
      <c r="B36" s="604"/>
      <c r="C36" s="605"/>
      <c r="D36" s="610"/>
      <c r="E36" s="606"/>
      <c r="F36" s="606"/>
      <c r="G36" s="606"/>
      <c r="H36" s="607"/>
      <c r="I36" s="608"/>
      <c r="J36" s="608"/>
      <c r="K36" s="609"/>
      <c r="L36" s="608"/>
      <c r="M36" s="608"/>
      <c r="N36" s="609"/>
      <c r="O36" s="606"/>
      <c r="P36" s="606"/>
      <c r="Q36" s="609"/>
      <c r="R36" s="610"/>
    </row>
    <row r="37" spans="1:18" ht="40.5" customHeight="1">
      <c r="A37" s="562"/>
      <c r="B37" s="604"/>
      <c r="C37" s="605"/>
      <c r="D37" s="610"/>
      <c r="E37" s="606"/>
      <c r="F37" s="606"/>
      <c r="G37" s="606"/>
      <c r="H37" s="607"/>
      <c r="I37" s="608"/>
      <c r="J37" s="608"/>
      <c r="K37" s="609"/>
      <c r="L37" s="608"/>
      <c r="M37" s="608"/>
      <c r="N37" s="609"/>
      <c r="O37" s="606"/>
      <c r="P37" s="606"/>
      <c r="Q37" s="609"/>
      <c r="R37" s="610"/>
    </row>
    <row r="38" spans="1:18" ht="40.5" customHeight="1">
      <c r="A38" s="562"/>
      <c r="B38" s="615"/>
      <c r="C38" s="616"/>
      <c r="D38" s="623"/>
      <c r="E38" s="617"/>
      <c r="F38" s="617"/>
      <c r="G38" s="617"/>
      <c r="H38" s="618"/>
      <c r="I38" s="619"/>
      <c r="J38" s="621"/>
      <c r="K38" s="620"/>
      <c r="L38" s="621"/>
      <c r="M38" s="622"/>
      <c r="N38" s="620"/>
      <c r="O38" s="617"/>
      <c r="P38" s="617"/>
      <c r="Q38" s="620"/>
      <c r="R38" s="623"/>
    </row>
    <row r="39" spans="1:18" ht="40.5" customHeight="1">
      <c r="A39" s="562"/>
      <c r="B39" s="604"/>
      <c r="C39" s="605"/>
      <c r="D39" s="610"/>
      <c r="E39" s="606"/>
      <c r="F39" s="606"/>
      <c r="G39" s="606"/>
      <c r="H39" s="607"/>
      <c r="I39" s="608"/>
      <c r="J39" s="608"/>
      <c r="K39" s="609"/>
      <c r="L39" s="608"/>
      <c r="M39" s="608"/>
      <c r="N39" s="609"/>
      <c r="O39" s="606"/>
      <c r="P39" s="606"/>
      <c r="Q39" s="609"/>
      <c r="R39" s="610"/>
    </row>
    <row r="40" spans="1:18" ht="40.5" customHeight="1">
      <c r="A40" s="562"/>
      <c r="B40" s="604"/>
      <c r="C40" s="605"/>
      <c r="D40" s="610"/>
      <c r="E40" s="606"/>
      <c r="F40" s="606"/>
      <c r="G40" s="606"/>
      <c r="H40" s="607"/>
      <c r="I40" s="608"/>
      <c r="J40" s="608"/>
      <c r="K40" s="609"/>
      <c r="L40" s="608"/>
      <c r="M40" s="608"/>
      <c r="N40" s="609"/>
      <c r="O40" s="606"/>
      <c r="P40" s="606"/>
      <c r="Q40" s="609"/>
      <c r="R40" s="610"/>
    </row>
    <row r="41" spans="1:18" ht="40.5" customHeight="1">
      <c r="A41" s="562"/>
      <c r="B41" s="604"/>
      <c r="C41" s="605"/>
      <c r="D41" s="610"/>
      <c r="E41" s="606"/>
      <c r="F41" s="606"/>
      <c r="G41" s="606"/>
      <c r="H41" s="607"/>
      <c r="I41" s="608"/>
      <c r="J41" s="608"/>
      <c r="K41" s="609"/>
      <c r="L41" s="608"/>
      <c r="M41" s="608"/>
      <c r="N41" s="609"/>
      <c r="O41" s="606"/>
      <c r="P41" s="606"/>
      <c r="Q41" s="609"/>
      <c r="R41" s="610"/>
    </row>
    <row r="42" spans="1:18" ht="40.5" customHeight="1">
      <c r="A42" s="562"/>
      <c r="B42" s="615"/>
      <c r="C42" s="616"/>
      <c r="D42" s="623"/>
      <c r="E42" s="617"/>
      <c r="F42" s="617"/>
      <c r="G42" s="617"/>
      <c r="H42" s="618"/>
      <c r="I42" s="619"/>
      <c r="J42" s="621"/>
      <c r="K42" s="620"/>
      <c r="L42" s="621"/>
      <c r="M42" s="622"/>
      <c r="N42" s="620"/>
      <c r="O42" s="617"/>
      <c r="P42" s="617"/>
      <c r="Q42" s="620"/>
      <c r="R42" s="623"/>
    </row>
    <row r="43" spans="1:18" ht="40.5" customHeight="1">
      <c r="A43" s="562"/>
      <c r="B43" s="630"/>
      <c r="C43" s="631"/>
      <c r="D43" s="632"/>
      <c r="E43" s="633"/>
      <c r="F43" s="633"/>
      <c r="G43" s="633"/>
      <c r="H43" s="634"/>
      <c r="I43" s="635"/>
      <c r="J43" s="635"/>
      <c r="K43" s="636"/>
      <c r="L43" s="635"/>
      <c r="M43" s="635"/>
      <c r="N43" s="636"/>
      <c r="O43" s="633"/>
      <c r="P43" s="633"/>
      <c r="Q43" s="636"/>
      <c r="R43" s="632"/>
    </row>
    <row r="44" spans="1:18" ht="40.5" customHeight="1">
      <c r="A44" s="562"/>
      <c r="B44" s="637"/>
      <c r="C44" s="638"/>
      <c r="D44" s="639"/>
      <c r="E44" s="640"/>
      <c r="F44" s="640"/>
      <c r="G44" s="640"/>
      <c r="H44" s="641"/>
      <c r="I44" s="642"/>
      <c r="J44" s="642"/>
      <c r="K44" s="637"/>
      <c r="L44" s="642"/>
      <c r="M44" s="642"/>
      <c r="N44" s="637"/>
      <c r="O44" s="640"/>
      <c r="P44" s="640"/>
      <c r="Q44" s="637"/>
      <c r="R44" s="643"/>
    </row>
    <row r="45" spans="1:18" ht="40.5" customHeight="1">
      <c r="A45" s="562"/>
      <c r="B45" s="630"/>
      <c r="C45" s="631"/>
      <c r="D45" s="632"/>
      <c r="E45" s="633"/>
      <c r="F45" s="633"/>
      <c r="G45" s="633"/>
      <c r="H45" s="634"/>
      <c r="I45" s="635"/>
      <c r="J45" s="635"/>
      <c r="K45" s="636"/>
      <c r="L45" s="635"/>
      <c r="M45" s="635"/>
      <c r="N45" s="636"/>
      <c r="O45" s="633"/>
      <c r="P45" s="633"/>
      <c r="Q45" s="636"/>
      <c r="R45" s="632"/>
    </row>
    <row r="46" spans="1:18" ht="24">
      <c r="A46" s="562"/>
      <c r="B46" s="630"/>
      <c r="C46" s="631"/>
      <c r="D46" s="632"/>
      <c r="E46" s="633"/>
      <c r="F46" s="633"/>
      <c r="G46" s="633"/>
      <c r="H46" s="634"/>
      <c r="I46" s="635"/>
      <c r="J46" s="635"/>
      <c r="K46" s="636"/>
      <c r="L46" s="635"/>
      <c r="M46" s="635"/>
      <c r="N46" s="636"/>
      <c r="O46" s="633"/>
      <c r="P46" s="633"/>
      <c r="Q46" s="636"/>
      <c r="R46" s="632"/>
    </row>
    <row r="47" spans="1:18" ht="24">
      <c r="A47" s="562"/>
      <c r="B47" s="630"/>
      <c r="C47" s="631"/>
      <c r="D47" s="632"/>
      <c r="E47" s="633"/>
      <c r="F47" s="633"/>
      <c r="G47" s="633"/>
      <c r="H47" s="634"/>
      <c r="I47" s="635"/>
      <c r="J47" s="635"/>
      <c r="K47" s="636"/>
      <c r="L47" s="635"/>
      <c r="M47" s="635"/>
      <c r="N47" s="636"/>
      <c r="O47" s="633"/>
      <c r="P47" s="633"/>
      <c r="Q47" s="636"/>
      <c r="R47" s="632"/>
    </row>
    <row r="48" spans="1:18" ht="24">
      <c r="A48" s="562"/>
      <c r="B48" s="630"/>
      <c r="C48" s="631"/>
      <c r="D48" s="632"/>
      <c r="E48" s="633"/>
      <c r="F48" s="633"/>
      <c r="G48" s="633"/>
      <c r="H48" s="634"/>
      <c r="I48" s="635"/>
      <c r="J48" s="635"/>
      <c r="K48" s="636"/>
      <c r="L48" s="635"/>
      <c r="M48" s="635"/>
      <c r="N48" s="636"/>
      <c r="O48" s="633"/>
      <c r="P48" s="633"/>
      <c r="Q48" s="636"/>
      <c r="R48" s="632"/>
    </row>
    <row r="49" spans="1:18" ht="24">
      <c r="A49" s="562"/>
      <c r="B49" s="630"/>
      <c r="C49" s="631"/>
      <c r="D49" s="632"/>
      <c r="E49" s="633"/>
      <c r="F49" s="633"/>
      <c r="G49" s="633"/>
      <c r="H49" s="634"/>
      <c r="I49" s="635"/>
      <c r="J49" s="635"/>
      <c r="K49" s="636"/>
      <c r="L49" s="635"/>
      <c r="M49" s="635"/>
      <c r="N49" s="636"/>
      <c r="O49" s="633"/>
      <c r="P49" s="633"/>
      <c r="Q49" s="636"/>
      <c r="R49" s="632"/>
    </row>
    <row r="50" spans="1:18">
      <c r="A50" s="644"/>
      <c r="B50" s="644"/>
      <c r="C50" s="645"/>
      <c r="D50" s="646"/>
      <c r="E50" s="647"/>
      <c r="F50" s="647"/>
      <c r="G50" s="647"/>
      <c r="H50" s="648"/>
      <c r="I50" s="647"/>
      <c r="J50" s="645"/>
      <c r="K50" s="644"/>
      <c r="L50" s="645"/>
      <c r="M50" s="645"/>
      <c r="N50" s="644"/>
      <c r="O50" s="645"/>
      <c r="P50" s="645"/>
      <c r="Q50" s="644"/>
      <c r="R50" s="649"/>
    </row>
    <row r="51" spans="1:18">
      <c r="A51" s="644"/>
      <c r="B51" s="644"/>
      <c r="C51" s="645"/>
      <c r="D51" s="646"/>
      <c r="E51" s="647"/>
      <c r="F51" s="647"/>
      <c r="G51" s="647"/>
      <c r="H51" s="648"/>
      <c r="I51" s="647"/>
      <c r="J51" s="645"/>
      <c r="K51" s="644"/>
      <c r="L51" s="645"/>
      <c r="M51" s="645"/>
      <c r="N51" s="644"/>
      <c r="O51" s="645"/>
      <c r="P51" s="645"/>
      <c r="Q51" s="644"/>
      <c r="R51" s="649"/>
    </row>
    <row r="52" spans="1:18">
      <c r="A52" s="644"/>
      <c r="B52" s="644"/>
      <c r="C52" s="645"/>
      <c r="D52" s="646"/>
      <c r="E52" s="647"/>
      <c r="F52" s="647"/>
      <c r="G52" s="647"/>
      <c r="H52" s="648"/>
      <c r="I52" s="647"/>
      <c r="J52" s="645"/>
      <c r="K52" s="644"/>
      <c r="L52" s="645"/>
      <c r="M52" s="645"/>
      <c r="N52" s="644"/>
      <c r="O52" s="645"/>
      <c r="P52" s="645"/>
      <c r="Q52" s="644"/>
      <c r="R52" s="649"/>
    </row>
    <row r="53" spans="1:18">
      <c r="A53" s="644"/>
      <c r="B53" s="644"/>
      <c r="C53" s="645"/>
      <c r="D53" s="646"/>
      <c r="E53" s="647"/>
      <c r="F53" s="647"/>
      <c r="G53" s="647"/>
      <c r="H53" s="648"/>
      <c r="I53" s="647"/>
      <c r="J53" s="645"/>
      <c r="K53" s="644"/>
      <c r="L53" s="645"/>
      <c r="M53" s="645"/>
      <c r="N53" s="644"/>
      <c r="O53" s="645"/>
      <c r="P53" s="645"/>
      <c r="Q53" s="644"/>
      <c r="R53" s="649"/>
    </row>
    <row r="54" spans="1:18">
      <c r="A54" s="644"/>
      <c r="B54" s="644"/>
      <c r="C54" s="645"/>
      <c r="D54" s="646"/>
      <c r="E54" s="647"/>
      <c r="F54" s="647"/>
      <c r="G54" s="647"/>
      <c r="H54" s="648"/>
      <c r="I54" s="647"/>
      <c r="J54" s="645"/>
      <c r="K54" s="644"/>
      <c r="L54" s="645"/>
      <c r="M54" s="645"/>
      <c r="N54" s="644"/>
      <c r="O54" s="645"/>
      <c r="P54" s="645"/>
      <c r="Q54" s="644"/>
      <c r="R54" s="649"/>
    </row>
    <row r="55" spans="1:18">
      <c r="A55" s="644"/>
      <c r="B55" s="644"/>
      <c r="C55" s="645"/>
      <c r="D55" s="646"/>
      <c r="E55" s="647"/>
      <c r="F55" s="647"/>
      <c r="G55" s="647"/>
      <c r="H55" s="648"/>
      <c r="I55" s="647"/>
      <c r="J55" s="645"/>
      <c r="K55" s="644"/>
      <c r="L55" s="645"/>
      <c r="M55" s="645"/>
      <c r="N55" s="644"/>
      <c r="O55" s="645"/>
      <c r="P55" s="645"/>
      <c r="Q55" s="644"/>
      <c r="R55" s="649"/>
    </row>
    <row r="56" spans="1:18">
      <c r="A56" s="644"/>
      <c r="B56" s="644"/>
      <c r="C56" s="645"/>
      <c r="D56" s="646"/>
      <c r="E56" s="647"/>
      <c r="F56" s="647"/>
      <c r="G56" s="647"/>
      <c r="H56" s="648"/>
      <c r="I56" s="647"/>
      <c r="J56" s="645"/>
      <c r="K56" s="644"/>
      <c r="L56" s="645"/>
      <c r="M56" s="645"/>
      <c r="N56" s="644"/>
      <c r="O56" s="645"/>
      <c r="P56" s="645"/>
      <c r="Q56" s="644"/>
      <c r="R56" s="649"/>
    </row>
    <row r="57" spans="1:18">
      <c r="A57" s="644"/>
      <c r="B57" s="644"/>
      <c r="C57" s="645"/>
      <c r="D57" s="646"/>
      <c r="E57" s="647"/>
      <c r="F57" s="647"/>
      <c r="G57" s="647"/>
      <c r="H57" s="648"/>
      <c r="I57" s="647"/>
      <c r="J57" s="645"/>
      <c r="K57" s="644"/>
      <c r="L57" s="645"/>
      <c r="M57" s="645"/>
      <c r="N57" s="644"/>
      <c r="O57" s="645"/>
      <c r="P57" s="645"/>
      <c r="Q57" s="644"/>
      <c r="R57" s="649"/>
    </row>
    <row r="58" spans="1:18">
      <c r="A58" s="644"/>
      <c r="B58" s="644"/>
      <c r="C58" s="645"/>
      <c r="D58" s="646"/>
      <c r="E58" s="647"/>
      <c r="F58" s="647"/>
      <c r="G58" s="647"/>
      <c r="H58" s="648"/>
      <c r="I58" s="647"/>
      <c r="J58" s="645"/>
      <c r="K58" s="644"/>
      <c r="L58" s="645"/>
      <c r="M58" s="645"/>
      <c r="N58" s="644"/>
      <c r="O58" s="645"/>
      <c r="P58" s="645"/>
      <c r="Q58" s="644"/>
      <c r="R58" s="649"/>
    </row>
    <row r="59" spans="1:18">
      <c r="A59" s="644"/>
      <c r="B59" s="644"/>
      <c r="C59" s="645"/>
      <c r="D59" s="646"/>
      <c r="E59" s="647"/>
      <c r="F59" s="647"/>
      <c r="G59" s="647"/>
      <c r="H59" s="648"/>
      <c r="I59" s="647"/>
      <c r="J59" s="645"/>
      <c r="K59" s="644"/>
      <c r="L59" s="645"/>
      <c r="M59" s="645"/>
      <c r="N59" s="644"/>
      <c r="O59" s="645"/>
      <c r="P59" s="645"/>
      <c r="Q59" s="644"/>
      <c r="R59" s="649"/>
    </row>
    <row r="60" spans="1:18">
      <c r="A60" s="644"/>
      <c r="B60" s="644"/>
      <c r="C60" s="645"/>
      <c r="D60" s="646"/>
      <c r="E60" s="647"/>
      <c r="F60" s="647"/>
      <c r="G60" s="647"/>
      <c r="H60" s="648"/>
      <c r="I60" s="647"/>
      <c r="J60" s="645"/>
      <c r="K60" s="644"/>
      <c r="L60" s="645"/>
      <c r="M60" s="645"/>
      <c r="N60" s="644"/>
      <c r="O60" s="645"/>
      <c r="P60" s="645"/>
      <c r="Q60" s="644"/>
      <c r="R60" s="649"/>
    </row>
    <row r="61" spans="1:18">
      <c r="A61" s="644"/>
      <c r="B61" s="644"/>
      <c r="C61" s="645"/>
      <c r="D61" s="646"/>
      <c r="E61" s="647"/>
      <c r="F61" s="647"/>
      <c r="G61" s="647"/>
      <c r="H61" s="648"/>
      <c r="I61" s="647"/>
      <c r="J61" s="645"/>
      <c r="K61" s="644"/>
      <c r="L61" s="645"/>
      <c r="M61" s="645"/>
      <c r="N61" s="644"/>
      <c r="O61" s="645"/>
      <c r="P61" s="645"/>
      <c r="Q61" s="644"/>
      <c r="R61" s="649"/>
    </row>
    <row r="62" spans="1:18">
      <c r="A62" s="644"/>
      <c r="B62" s="644"/>
      <c r="C62" s="645"/>
      <c r="D62" s="646"/>
      <c r="E62" s="647"/>
      <c r="F62" s="647"/>
      <c r="G62" s="647"/>
      <c r="H62" s="648"/>
      <c r="I62" s="647"/>
      <c r="J62" s="645"/>
      <c r="K62" s="644"/>
      <c r="L62" s="645"/>
      <c r="M62" s="645"/>
      <c r="N62" s="644"/>
      <c r="O62" s="645"/>
      <c r="P62" s="645"/>
      <c r="Q62" s="644"/>
      <c r="R62" s="649"/>
    </row>
    <row r="63" spans="1:18">
      <c r="A63" s="644"/>
      <c r="B63" s="644"/>
      <c r="C63" s="645"/>
      <c r="D63" s="646"/>
      <c r="E63" s="647"/>
      <c r="F63" s="647"/>
      <c r="G63" s="647"/>
      <c r="H63" s="648"/>
      <c r="I63" s="647"/>
      <c r="J63" s="645"/>
      <c r="K63" s="644"/>
      <c r="L63" s="645"/>
      <c r="M63" s="645"/>
      <c r="N63" s="644"/>
      <c r="O63" s="645"/>
      <c r="P63" s="645"/>
      <c r="Q63" s="644"/>
      <c r="R63" s="649"/>
    </row>
    <row r="64" spans="1:18">
      <c r="A64" s="644"/>
      <c r="B64" s="644"/>
      <c r="C64" s="645"/>
      <c r="D64" s="646"/>
      <c r="E64" s="647"/>
      <c r="F64" s="647"/>
      <c r="G64" s="647"/>
      <c r="H64" s="648"/>
      <c r="I64" s="647"/>
      <c r="J64" s="645"/>
      <c r="K64" s="644"/>
      <c r="L64" s="645"/>
      <c r="M64" s="645"/>
      <c r="N64" s="644"/>
      <c r="O64" s="645"/>
      <c r="P64" s="645"/>
      <c r="Q64" s="644"/>
      <c r="R64" s="649"/>
    </row>
    <row r="65" spans="1:18">
      <c r="A65" s="644"/>
      <c r="B65" s="644"/>
      <c r="C65" s="645"/>
      <c r="D65" s="646"/>
      <c r="E65" s="647"/>
      <c r="F65" s="647"/>
      <c r="G65" s="647"/>
      <c r="H65" s="648"/>
      <c r="I65" s="647"/>
      <c r="J65" s="645"/>
      <c r="K65" s="644"/>
      <c r="L65" s="645"/>
      <c r="M65" s="645"/>
      <c r="N65" s="644"/>
      <c r="O65" s="645"/>
      <c r="P65" s="645"/>
      <c r="Q65" s="644"/>
      <c r="R65" s="649"/>
    </row>
    <row r="66" spans="1:18">
      <c r="A66" s="644"/>
      <c r="B66" s="644"/>
      <c r="C66" s="645"/>
      <c r="D66" s="646"/>
      <c r="E66" s="647"/>
      <c r="F66" s="647"/>
      <c r="G66" s="647"/>
      <c r="H66" s="648"/>
      <c r="I66" s="647"/>
      <c r="J66" s="645"/>
      <c r="K66" s="644"/>
      <c r="L66" s="645"/>
      <c r="M66" s="645"/>
      <c r="N66" s="644"/>
      <c r="O66" s="645"/>
      <c r="P66" s="645"/>
      <c r="Q66" s="644"/>
      <c r="R66" s="649"/>
    </row>
    <row r="67" spans="1:18">
      <c r="A67" s="644"/>
      <c r="B67" s="644"/>
      <c r="C67" s="645"/>
      <c r="D67" s="646"/>
      <c r="E67" s="647"/>
      <c r="F67" s="647"/>
      <c r="G67" s="647"/>
      <c r="H67" s="648"/>
      <c r="I67" s="647"/>
      <c r="J67" s="645"/>
      <c r="K67" s="644"/>
      <c r="L67" s="645"/>
      <c r="M67" s="645"/>
      <c r="N67" s="644"/>
      <c r="O67" s="645"/>
      <c r="P67" s="645"/>
      <c r="Q67" s="644"/>
      <c r="R67" s="649"/>
    </row>
    <row r="68" spans="1:18">
      <c r="A68" s="644"/>
      <c r="B68" s="644"/>
      <c r="C68" s="645"/>
      <c r="D68" s="646"/>
      <c r="E68" s="647"/>
      <c r="F68" s="647"/>
      <c r="G68" s="647"/>
      <c r="H68" s="648"/>
      <c r="I68" s="647"/>
      <c r="J68" s="645"/>
      <c r="K68" s="644"/>
      <c r="L68" s="645"/>
      <c r="M68" s="645"/>
      <c r="N68" s="644"/>
      <c r="O68" s="645"/>
      <c r="P68" s="645"/>
      <c r="Q68" s="644"/>
      <c r="R68" s="649"/>
    </row>
    <row r="69" spans="1:18">
      <c r="A69" s="644"/>
      <c r="B69" s="644"/>
      <c r="C69" s="645"/>
      <c r="D69" s="646"/>
      <c r="E69" s="647"/>
      <c r="F69" s="647"/>
      <c r="G69" s="647"/>
      <c r="H69" s="648"/>
      <c r="I69" s="647"/>
      <c r="J69" s="645"/>
      <c r="K69" s="644"/>
      <c r="L69" s="645"/>
      <c r="M69" s="645"/>
      <c r="N69" s="644"/>
      <c r="O69" s="645"/>
      <c r="P69" s="645"/>
      <c r="Q69" s="644"/>
      <c r="R69" s="649"/>
    </row>
    <row r="70" spans="1:18">
      <c r="A70" s="644"/>
      <c r="B70" s="644"/>
      <c r="C70" s="645"/>
      <c r="D70" s="646"/>
      <c r="E70" s="647"/>
      <c r="F70" s="647"/>
      <c r="G70" s="647"/>
      <c r="H70" s="648"/>
      <c r="I70" s="647"/>
      <c r="J70" s="645"/>
      <c r="K70" s="644"/>
      <c r="L70" s="645"/>
      <c r="M70" s="645"/>
      <c r="N70" s="644"/>
      <c r="O70" s="645"/>
      <c r="P70" s="645"/>
      <c r="Q70" s="644"/>
      <c r="R70" s="649"/>
    </row>
    <row r="71" spans="1:18">
      <c r="A71" s="644"/>
      <c r="B71" s="644"/>
      <c r="C71" s="645"/>
      <c r="D71" s="646"/>
      <c r="E71" s="647"/>
      <c r="F71" s="647"/>
      <c r="G71" s="647"/>
      <c r="H71" s="648"/>
      <c r="I71" s="647"/>
      <c r="J71" s="645"/>
      <c r="K71" s="644"/>
      <c r="L71" s="645"/>
      <c r="M71" s="645"/>
      <c r="N71" s="644"/>
      <c r="O71" s="645"/>
      <c r="P71" s="645"/>
      <c r="Q71" s="644"/>
      <c r="R71" s="649"/>
    </row>
    <row r="72" spans="1:18">
      <c r="A72" s="644"/>
      <c r="B72" s="644"/>
      <c r="C72" s="645"/>
      <c r="D72" s="646"/>
      <c r="E72" s="647"/>
      <c r="F72" s="647"/>
      <c r="G72" s="647"/>
      <c r="H72" s="648"/>
      <c r="I72" s="647"/>
      <c r="J72" s="645"/>
      <c r="K72" s="644"/>
      <c r="L72" s="645"/>
      <c r="M72" s="645"/>
      <c r="N72" s="644"/>
      <c r="O72" s="645"/>
      <c r="P72" s="645"/>
      <c r="Q72" s="644"/>
      <c r="R72" s="649"/>
    </row>
    <row r="73" spans="1:18">
      <c r="A73" s="644"/>
      <c r="B73" s="644"/>
      <c r="C73" s="645"/>
      <c r="D73" s="646"/>
      <c r="E73" s="647"/>
      <c r="F73" s="647"/>
      <c r="G73" s="647"/>
      <c r="H73" s="648"/>
      <c r="I73" s="647"/>
      <c r="J73" s="645"/>
      <c r="K73" s="644"/>
      <c r="L73" s="645"/>
      <c r="M73" s="645"/>
      <c r="N73" s="644"/>
      <c r="O73" s="645"/>
      <c r="P73" s="645"/>
      <c r="Q73" s="644"/>
      <c r="R73" s="649"/>
    </row>
    <row r="74" spans="1:18">
      <c r="A74" s="644"/>
      <c r="B74" s="644"/>
      <c r="C74" s="645"/>
      <c r="D74" s="646"/>
      <c r="E74" s="647"/>
      <c r="F74" s="647"/>
      <c r="G74" s="647"/>
      <c r="H74" s="648"/>
      <c r="I74" s="647"/>
      <c r="J74" s="645"/>
      <c r="K74" s="644"/>
      <c r="L74" s="645"/>
      <c r="M74" s="645"/>
      <c r="N74" s="644"/>
      <c r="O74" s="645"/>
      <c r="P74" s="645"/>
      <c r="Q74" s="644"/>
      <c r="R74" s="649"/>
    </row>
    <row r="75" spans="1:18">
      <c r="A75" s="644"/>
      <c r="B75" s="644"/>
      <c r="C75" s="645"/>
      <c r="D75" s="646"/>
      <c r="E75" s="647"/>
      <c r="F75" s="647"/>
      <c r="G75" s="647"/>
      <c r="H75" s="648"/>
      <c r="I75" s="647"/>
      <c r="J75" s="645"/>
      <c r="K75" s="644"/>
      <c r="L75" s="645"/>
      <c r="M75" s="645"/>
      <c r="N75" s="644"/>
      <c r="O75" s="645"/>
      <c r="P75" s="645"/>
      <c r="Q75" s="644"/>
      <c r="R75" s="649"/>
    </row>
    <row r="76" spans="1:18">
      <c r="A76" s="644"/>
      <c r="B76" s="644"/>
      <c r="C76" s="645"/>
      <c r="D76" s="646"/>
      <c r="E76" s="647"/>
      <c r="F76" s="647"/>
      <c r="G76" s="647"/>
      <c r="H76" s="648"/>
      <c r="I76" s="647"/>
      <c r="J76" s="645"/>
      <c r="K76" s="644"/>
      <c r="L76" s="645"/>
      <c r="M76" s="645"/>
      <c r="N76" s="644"/>
      <c r="O76" s="645"/>
      <c r="P76" s="645"/>
      <c r="Q76" s="644"/>
      <c r="R76" s="649"/>
    </row>
    <row r="77" spans="1:18">
      <c r="A77" s="644"/>
      <c r="B77" s="644"/>
      <c r="C77" s="645"/>
      <c r="D77" s="646"/>
      <c r="E77" s="647"/>
      <c r="F77" s="647"/>
      <c r="G77" s="647"/>
      <c r="H77" s="648"/>
      <c r="I77" s="647"/>
      <c r="J77" s="645"/>
      <c r="K77" s="644"/>
      <c r="L77" s="645"/>
      <c r="M77" s="645"/>
      <c r="N77" s="644"/>
      <c r="O77" s="645"/>
      <c r="P77" s="645"/>
      <c r="Q77" s="644"/>
      <c r="R77" s="649"/>
    </row>
    <row r="78" spans="1:18">
      <c r="A78" s="644"/>
      <c r="B78" s="644"/>
      <c r="C78" s="645"/>
      <c r="D78" s="646"/>
      <c r="E78" s="647"/>
      <c r="F78" s="647"/>
      <c r="G78" s="647"/>
      <c r="H78" s="648"/>
      <c r="I78" s="647"/>
      <c r="J78" s="645"/>
      <c r="K78" s="644"/>
      <c r="L78" s="645"/>
      <c r="M78" s="645"/>
      <c r="N78" s="644"/>
      <c r="O78" s="645"/>
      <c r="P78" s="645"/>
      <c r="Q78" s="644"/>
      <c r="R78" s="649"/>
    </row>
    <row r="79" spans="1:18">
      <c r="A79" s="644"/>
      <c r="B79" s="644"/>
      <c r="C79" s="645"/>
      <c r="D79" s="646"/>
      <c r="E79" s="647"/>
      <c r="F79" s="647"/>
      <c r="G79" s="647"/>
      <c r="H79" s="648"/>
      <c r="I79" s="647"/>
      <c r="J79" s="645"/>
      <c r="K79" s="644"/>
      <c r="L79" s="645"/>
      <c r="M79" s="645"/>
      <c r="N79" s="644"/>
      <c r="O79" s="645"/>
      <c r="P79" s="645"/>
      <c r="Q79" s="644"/>
      <c r="R79" s="649"/>
    </row>
    <row r="80" spans="1:18">
      <c r="A80" s="644"/>
      <c r="B80" s="644"/>
      <c r="C80" s="645"/>
      <c r="D80" s="646"/>
      <c r="E80" s="647"/>
      <c r="F80" s="647"/>
      <c r="G80" s="647"/>
      <c r="H80" s="648"/>
      <c r="I80" s="647"/>
      <c r="J80" s="645"/>
      <c r="K80" s="644"/>
      <c r="L80" s="645"/>
      <c r="M80" s="645"/>
      <c r="N80" s="644"/>
      <c r="O80" s="645"/>
      <c r="P80" s="645"/>
      <c r="Q80" s="644"/>
      <c r="R80" s="649"/>
    </row>
    <row r="81" spans="1:18">
      <c r="A81" s="644"/>
      <c r="B81" s="644"/>
      <c r="C81" s="645"/>
      <c r="D81" s="646"/>
      <c r="E81" s="647"/>
      <c r="F81" s="647"/>
      <c r="G81" s="647"/>
      <c r="H81" s="648"/>
      <c r="I81" s="647"/>
      <c r="J81" s="645"/>
      <c r="K81" s="644"/>
      <c r="L81" s="645"/>
      <c r="M81" s="645"/>
      <c r="N81" s="644"/>
      <c r="O81" s="645"/>
      <c r="P81" s="645"/>
      <c r="Q81" s="644"/>
      <c r="R81" s="649"/>
    </row>
    <row r="82" spans="1:18">
      <c r="A82" s="644"/>
      <c r="B82" s="644"/>
      <c r="C82" s="645"/>
      <c r="D82" s="646"/>
      <c r="E82" s="647"/>
      <c r="F82" s="647"/>
      <c r="G82" s="647"/>
      <c r="H82" s="648"/>
      <c r="I82" s="647"/>
      <c r="J82" s="645"/>
      <c r="K82" s="644"/>
      <c r="L82" s="645"/>
      <c r="M82" s="645"/>
      <c r="N82" s="644"/>
      <c r="O82" s="645"/>
      <c r="P82" s="645"/>
      <c r="Q82" s="644"/>
      <c r="R82" s="649"/>
    </row>
    <row r="83" spans="1:18">
      <c r="A83" s="644"/>
      <c r="B83" s="644"/>
      <c r="C83" s="645"/>
      <c r="D83" s="646"/>
      <c r="E83" s="647"/>
      <c r="F83" s="647"/>
      <c r="G83" s="647"/>
      <c r="H83" s="648"/>
      <c r="I83" s="647"/>
      <c r="J83" s="645"/>
      <c r="K83" s="644"/>
      <c r="L83" s="645"/>
      <c r="M83" s="645"/>
      <c r="N83" s="644"/>
      <c r="O83" s="645"/>
      <c r="P83" s="645"/>
      <c r="Q83" s="644"/>
      <c r="R83" s="649"/>
    </row>
    <row r="84" spans="1:18">
      <c r="A84" s="644"/>
      <c r="B84" s="644"/>
      <c r="C84" s="645"/>
      <c r="D84" s="646"/>
      <c r="E84" s="647"/>
      <c r="F84" s="647"/>
      <c r="G84" s="647"/>
      <c r="H84" s="648"/>
      <c r="I84" s="647"/>
      <c r="J84" s="645"/>
      <c r="K84" s="644"/>
      <c r="L84" s="645"/>
      <c r="M84" s="645"/>
      <c r="N84" s="644"/>
      <c r="O84" s="645"/>
      <c r="P84" s="645"/>
      <c r="Q84" s="644"/>
      <c r="R84" s="649"/>
    </row>
    <row r="85" spans="1:18">
      <c r="A85" s="644"/>
      <c r="B85" s="644"/>
      <c r="C85" s="645"/>
      <c r="D85" s="646"/>
      <c r="E85" s="647"/>
      <c r="F85" s="647"/>
      <c r="G85" s="647"/>
      <c r="H85" s="648"/>
      <c r="I85" s="647"/>
      <c r="J85" s="645"/>
      <c r="K85" s="644"/>
      <c r="L85" s="645"/>
      <c r="M85" s="645"/>
      <c r="N85" s="644"/>
      <c r="O85" s="645"/>
      <c r="P85" s="645"/>
      <c r="Q85" s="644"/>
      <c r="R85" s="649"/>
    </row>
    <row r="86" spans="1:18">
      <c r="A86" s="644"/>
      <c r="B86" s="644"/>
      <c r="C86" s="645"/>
      <c r="D86" s="646"/>
      <c r="E86" s="647"/>
      <c r="F86" s="647"/>
      <c r="G86" s="647"/>
      <c r="H86" s="648"/>
      <c r="I86" s="647"/>
      <c r="J86" s="645"/>
      <c r="K86" s="644"/>
      <c r="L86" s="645"/>
      <c r="M86" s="645"/>
      <c r="N86" s="644"/>
      <c r="O86" s="645"/>
      <c r="P86" s="645"/>
      <c r="Q86" s="644"/>
      <c r="R86" s="649"/>
    </row>
    <row r="87" spans="1:18">
      <c r="A87" s="644"/>
      <c r="B87" s="644"/>
      <c r="C87" s="645"/>
      <c r="D87" s="646"/>
      <c r="E87" s="647"/>
      <c r="F87" s="647"/>
      <c r="G87" s="647"/>
      <c r="H87" s="648"/>
      <c r="I87" s="647"/>
      <c r="J87" s="645"/>
      <c r="K87" s="644"/>
      <c r="L87" s="645"/>
      <c r="M87" s="645"/>
      <c r="N87" s="644"/>
      <c r="O87" s="645"/>
      <c r="P87" s="645"/>
      <c r="Q87" s="644"/>
      <c r="R87" s="649"/>
    </row>
    <row r="88" spans="1:18">
      <c r="A88" s="644"/>
      <c r="B88" s="644"/>
      <c r="C88" s="645"/>
      <c r="D88" s="646"/>
      <c r="E88" s="647"/>
      <c r="F88" s="647"/>
      <c r="G88" s="647"/>
      <c r="H88" s="648"/>
      <c r="I88" s="647"/>
      <c r="J88" s="645"/>
      <c r="K88" s="644"/>
      <c r="L88" s="645"/>
      <c r="M88" s="645"/>
      <c r="N88" s="644"/>
      <c r="O88" s="645"/>
      <c r="P88" s="645"/>
      <c r="Q88" s="644"/>
      <c r="R88" s="649"/>
    </row>
    <row r="89" spans="1:18">
      <c r="A89" s="644"/>
      <c r="B89" s="644"/>
      <c r="C89" s="645"/>
      <c r="D89" s="646"/>
      <c r="E89" s="647"/>
      <c r="F89" s="647"/>
      <c r="G89" s="647"/>
      <c r="H89" s="648"/>
      <c r="I89" s="647"/>
      <c r="J89" s="645"/>
      <c r="K89" s="644"/>
      <c r="L89" s="645"/>
      <c r="M89" s="645"/>
      <c r="N89" s="644"/>
      <c r="O89" s="645"/>
      <c r="P89" s="645"/>
      <c r="Q89" s="644"/>
      <c r="R89" s="649"/>
    </row>
    <row r="90" spans="1:18">
      <c r="A90" s="644"/>
      <c r="B90" s="644"/>
      <c r="C90" s="645"/>
      <c r="D90" s="646"/>
      <c r="E90" s="647"/>
      <c r="F90" s="647"/>
      <c r="G90" s="647"/>
      <c r="H90" s="648"/>
      <c r="I90" s="647"/>
      <c r="J90" s="645"/>
      <c r="K90" s="644"/>
      <c r="L90" s="645"/>
      <c r="M90" s="645"/>
      <c r="N90" s="644"/>
      <c r="O90" s="645"/>
      <c r="P90" s="645"/>
      <c r="Q90" s="644"/>
      <c r="R90" s="649"/>
    </row>
    <row r="91" spans="1:18">
      <c r="A91" s="644"/>
      <c r="B91" s="644"/>
      <c r="C91" s="645"/>
      <c r="D91" s="646"/>
      <c r="E91" s="647"/>
      <c r="F91" s="647"/>
      <c r="G91" s="647"/>
      <c r="H91" s="648"/>
      <c r="I91" s="647"/>
      <c r="J91" s="645"/>
      <c r="K91" s="644"/>
      <c r="L91" s="645"/>
      <c r="M91" s="645"/>
      <c r="N91" s="644"/>
      <c r="O91" s="645"/>
      <c r="P91" s="645"/>
      <c r="Q91" s="644"/>
      <c r="R91" s="649"/>
    </row>
    <row r="92" spans="1:18">
      <c r="A92" s="644"/>
      <c r="B92" s="644"/>
      <c r="C92" s="645"/>
      <c r="D92" s="646"/>
      <c r="E92" s="647"/>
      <c r="F92" s="647"/>
      <c r="G92" s="647"/>
      <c r="H92" s="648"/>
      <c r="I92" s="647"/>
      <c r="J92" s="645"/>
      <c r="K92" s="644"/>
      <c r="L92" s="645"/>
      <c r="M92" s="645"/>
      <c r="N92" s="644"/>
      <c r="O92" s="645"/>
      <c r="P92" s="645"/>
      <c r="Q92" s="644"/>
      <c r="R92" s="649"/>
    </row>
    <row r="93" spans="1:18">
      <c r="A93" s="644"/>
      <c r="B93" s="644"/>
      <c r="C93" s="645"/>
      <c r="D93" s="646"/>
      <c r="E93" s="647"/>
      <c r="F93" s="647"/>
      <c r="G93" s="647"/>
      <c r="H93" s="648"/>
      <c r="I93" s="647"/>
      <c r="J93" s="645"/>
      <c r="K93" s="644"/>
      <c r="L93" s="645"/>
      <c r="M93" s="645"/>
      <c r="N93" s="644"/>
      <c r="O93" s="645"/>
      <c r="P93" s="645"/>
      <c r="Q93" s="644"/>
      <c r="R93" s="649"/>
    </row>
    <row r="94" spans="1:18">
      <c r="A94" s="644"/>
      <c r="B94" s="644"/>
      <c r="C94" s="645"/>
      <c r="D94" s="646"/>
      <c r="E94" s="647"/>
      <c r="F94" s="647"/>
      <c r="G94" s="647"/>
      <c r="H94" s="648"/>
      <c r="I94" s="647"/>
      <c r="J94" s="645"/>
      <c r="K94" s="644"/>
      <c r="L94" s="645"/>
      <c r="M94" s="645"/>
      <c r="N94" s="644"/>
      <c r="O94" s="645"/>
      <c r="P94" s="645"/>
      <c r="Q94" s="644"/>
      <c r="R94" s="649"/>
    </row>
    <row r="95" spans="1:18">
      <c r="A95" s="644"/>
      <c r="B95" s="644"/>
      <c r="C95" s="645"/>
      <c r="D95" s="646"/>
      <c r="E95" s="647"/>
      <c r="F95" s="647"/>
      <c r="G95" s="647"/>
      <c r="H95" s="648"/>
      <c r="I95" s="647"/>
      <c r="J95" s="645"/>
      <c r="K95" s="644"/>
      <c r="L95" s="645"/>
      <c r="M95" s="645"/>
      <c r="N95" s="644"/>
      <c r="O95" s="645"/>
      <c r="P95" s="645"/>
      <c r="Q95" s="644"/>
      <c r="R95" s="649"/>
    </row>
    <row r="96" spans="1:18">
      <c r="A96" s="644"/>
      <c r="B96" s="644"/>
      <c r="C96" s="645"/>
      <c r="D96" s="646"/>
      <c r="E96" s="647"/>
      <c r="F96" s="647"/>
      <c r="G96" s="647"/>
      <c r="H96" s="648"/>
      <c r="I96" s="647"/>
      <c r="J96" s="645"/>
      <c r="K96" s="644"/>
      <c r="L96" s="645"/>
      <c r="M96" s="645"/>
      <c r="N96" s="644"/>
      <c r="O96" s="645"/>
      <c r="P96" s="645"/>
      <c r="Q96" s="644"/>
      <c r="R96" s="649"/>
    </row>
    <row r="97" spans="1:18">
      <c r="A97" s="644"/>
      <c r="B97" s="644"/>
      <c r="C97" s="645"/>
      <c r="D97" s="646"/>
      <c r="E97" s="647"/>
      <c r="F97" s="647"/>
      <c r="G97" s="647"/>
      <c r="H97" s="648"/>
      <c r="I97" s="647"/>
      <c r="J97" s="645"/>
      <c r="K97" s="644"/>
      <c r="L97" s="645"/>
      <c r="M97" s="645"/>
      <c r="N97" s="644"/>
      <c r="O97" s="645"/>
      <c r="P97" s="645"/>
      <c r="Q97" s="644"/>
      <c r="R97" s="649"/>
    </row>
    <row r="98" spans="1:18">
      <c r="A98" s="644"/>
      <c r="B98" s="644"/>
      <c r="C98" s="645"/>
      <c r="D98" s="646"/>
      <c r="E98" s="647"/>
      <c r="F98" s="647"/>
      <c r="G98" s="647"/>
      <c r="H98" s="648"/>
      <c r="I98" s="647"/>
      <c r="J98" s="645"/>
      <c r="K98" s="644"/>
      <c r="L98" s="645"/>
      <c r="M98" s="645"/>
      <c r="N98" s="644"/>
      <c r="O98" s="645"/>
      <c r="P98" s="645"/>
      <c r="Q98" s="644"/>
      <c r="R98" s="649"/>
    </row>
    <row r="99" spans="1:18">
      <c r="A99" s="644"/>
      <c r="B99" s="644"/>
      <c r="C99" s="645"/>
      <c r="D99" s="646"/>
      <c r="E99" s="647"/>
      <c r="F99" s="647"/>
      <c r="G99" s="647"/>
      <c r="H99" s="648"/>
      <c r="I99" s="647"/>
      <c r="J99" s="645"/>
      <c r="K99" s="644"/>
      <c r="L99" s="645"/>
      <c r="M99" s="645"/>
      <c r="N99" s="644"/>
      <c r="O99" s="645"/>
      <c r="P99" s="645"/>
      <c r="Q99" s="644"/>
      <c r="R99" s="649"/>
    </row>
    <row r="100" spans="1:18">
      <c r="A100" s="644"/>
      <c r="B100" s="644"/>
      <c r="C100" s="645"/>
      <c r="D100" s="646"/>
      <c r="E100" s="647"/>
      <c r="F100" s="647"/>
      <c r="G100" s="647"/>
      <c r="H100" s="648"/>
      <c r="I100" s="647"/>
      <c r="J100" s="645"/>
      <c r="K100" s="644"/>
      <c r="L100" s="645"/>
      <c r="M100" s="645"/>
      <c r="N100" s="644"/>
      <c r="O100" s="645"/>
      <c r="P100" s="645"/>
      <c r="Q100" s="644"/>
      <c r="R100" s="649"/>
    </row>
    <row r="101" spans="1:18">
      <c r="A101" s="644"/>
      <c r="B101" s="644"/>
      <c r="C101" s="645"/>
      <c r="D101" s="646"/>
      <c r="E101" s="647"/>
      <c r="F101" s="647"/>
      <c r="G101" s="647"/>
      <c r="H101" s="648"/>
      <c r="I101" s="647"/>
      <c r="J101" s="645"/>
      <c r="K101" s="644"/>
      <c r="L101" s="645"/>
      <c r="M101" s="645"/>
      <c r="N101" s="644"/>
      <c r="O101" s="645"/>
      <c r="P101" s="645"/>
      <c r="Q101" s="644"/>
      <c r="R101" s="649"/>
    </row>
    <row r="102" spans="1:18">
      <c r="A102" s="644"/>
      <c r="B102" s="644"/>
      <c r="C102" s="645"/>
      <c r="D102" s="646"/>
      <c r="E102" s="647"/>
      <c r="F102" s="647"/>
      <c r="G102" s="647"/>
      <c r="H102" s="648"/>
      <c r="I102" s="647"/>
      <c r="J102" s="645"/>
      <c r="K102" s="644"/>
      <c r="L102" s="645"/>
      <c r="M102" s="645"/>
      <c r="N102" s="644"/>
      <c r="O102" s="645"/>
      <c r="P102" s="645"/>
      <c r="Q102" s="644"/>
      <c r="R102" s="649"/>
    </row>
    <row r="103" spans="1:18">
      <c r="A103" s="644"/>
      <c r="B103" s="644"/>
      <c r="C103" s="645"/>
      <c r="D103" s="646"/>
      <c r="E103" s="647"/>
      <c r="F103" s="647"/>
      <c r="G103" s="647"/>
      <c r="H103" s="648"/>
      <c r="I103" s="647"/>
      <c r="J103" s="645"/>
      <c r="K103" s="644"/>
      <c r="L103" s="645"/>
      <c r="M103" s="645"/>
      <c r="N103" s="644"/>
      <c r="O103" s="645"/>
      <c r="P103" s="645"/>
      <c r="Q103" s="644"/>
      <c r="R103" s="649"/>
    </row>
    <row r="104" spans="1:18">
      <c r="A104" s="644"/>
      <c r="B104" s="644"/>
      <c r="C104" s="645"/>
      <c r="D104" s="646"/>
      <c r="E104" s="647"/>
      <c r="F104" s="647"/>
      <c r="G104" s="647"/>
      <c r="H104" s="648"/>
      <c r="I104" s="647"/>
      <c r="J104" s="645"/>
      <c r="K104" s="644"/>
      <c r="L104" s="645"/>
      <c r="M104" s="645"/>
      <c r="N104" s="644"/>
      <c r="O104" s="645"/>
      <c r="P104" s="645"/>
      <c r="Q104" s="644"/>
      <c r="R104" s="649"/>
    </row>
    <row r="105" spans="1:18">
      <c r="A105" s="644"/>
      <c r="B105" s="644"/>
      <c r="C105" s="645"/>
      <c r="D105" s="646"/>
      <c r="E105" s="647"/>
      <c r="F105" s="647"/>
      <c r="G105" s="647"/>
      <c r="H105" s="648"/>
      <c r="I105" s="647"/>
      <c r="J105" s="645"/>
      <c r="K105" s="644"/>
      <c r="L105" s="645"/>
      <c r="M105" s="645"/>
      <c r="N105" s="644"/>
      <c r="O105" s="645"/>
      <c r="P105" s="645"/>
      <c r="Q105" s="644"/>
      <c r="R105" s="649"/>
    </row>
    <row r="106" spans="1:18">
      <c r="A106" s="644"/>
      <c r="B106" s="644"/>
      <c r="C106" s="645"/>
      <c r="D106" s="646"/>
      <c r="E106" s="647"/>
      <c r="F106" s="647"/>
      <c r="G106" s="647"/>
      <c r="H106" s="648"/>
      <c r="I106" s="647"/>
      <c r="J106" s="645"/>
      <c r="K106" s="644"/>
      <c r="L106" s="645"/>
      <c r="M106" s="645"/>
      <c r="N106" s="644"/>
      <c r="O106" s="645"/>
      <c r="P106" s="645"/>
      <c r="Q106" s="644"/>
      <c r="R106" s="649"/>
    </row>
    <row r="107" spans="1:18">
      <c r="A107" s="644"/>
      <c r="B107" s="644"/>
      <c r="C107" s="645"/>
      <c r="D107" s="646"/>
      <c r="E107" s="647"/>
      <c r="F107" s="647"/>
      <c r="G107" s="647"/>
      <c r="H107" s="648"/>
      <c r="I107" s="647"/>
      <c r="J107" s="645"/>
      <c r="K107" s="644"/>
      <c r="L107" s="645"/>
      <c r="M107" s="645"/>
      <c r="N107" s="644"/>
      <c r="O107" s="645"/>
      <c r="P107" s="645"/>
      <c r="Q107" s="644"/>
      <c r="R107" s="649"/>
    </row>
    <row r="108" spans="1:18">
      <c r="A108" s="644"/>
      <c r="B108" s="644"/>
      <c r="C108" s="645"/>
      <c r="D108" s="646"/>
      <c r="E108" s="647"/>
      <c r="F108" s="647"/>
      <c r="G108" s="647"/>
      <c r="H108" s="648"/>
      <c r="I108" s="647"/>
      <c r="J108" s="645"/>
      <c r="K108" s="644"/>
      <c r="L108" s="645"/>
      <c r="M108" s="645"/>
      <c r="N108" s="644"/>
      <c r="O108" s="645"/>
      <c r="P108" s="645"/>
      <c r="Q108" s="644"/>
      <c r="R108" s="649"/>
    </row>
    <row r="109" spans="1:18">
      <c r="A109" s="644"/>
      <c r="B109" s="644"/>
      <c r="C109" s="645"/>
      <c r="D109" s="646"/>
      <c r="E109" s="647"/>
      <c r="F109" s="647"/>
      <c r="G109" s="647"/>
      <c r="H109" s="648"/>
      <c r="I109" s="647"/>
      <c r="J109" s="645"/>
      <c r="K109" s="644"/>
      <c r="L109" s="645"/>
      <c r="M109" s="645"/>
      <c r="N109" s="644"/>
      <c r="O109" s="645"/>
      <c r="P109" s="645"/>
      <c r="Q109" s="644"/>
      <c r="R109" s="649"/>
    </row>
    <row r="110" spans="1:18">
      <c r="A110" s="644"/>
      <c r="B110" s="644"/>
      <c r="C110" s="645"/>
      <c r="D110" s="646"/>
      <c r="E110" s="647"/>
      <c r="F110" s="647"/>
      <c r="G110" s="647"/>
      <c r="H110" s="648"/>
      <c r="I110" s="647"/>
      <c r="J110" s="645"/>
      <c r="K110" s="644"/>
      <c r="L110" s="645"/>
      <c r="M110" s="645"/>
      <c r="N110" s="644"/>
      <c r="O110" s="645"/>
      <c r="P110" s="645"/>
      <c r="Q110" s="644"/>
      <c r="R110" s="649"/>
    </row>
    <row r="111" spans="1:18">
      <c r="A111" s="644"/>
      <c r="B111" s="644"/>
      <c r="C111" s="645"/>
      <c r="D111" s="646"/>
      <c r="E111" s="647"/>
      <c r="F111" s="647"/>
      <c r="G111" s="647"/>
      <c r="H111" s="648"/>
      <c r="I111" s="647"/>
      <c r="J111" s="645"/>
      <c r="K111" s="644"/>
      <c r="L111" s="645"/>
      <c r="M111" s="645"/>
      <c r="N111" s="644"/>
      <c r="O111" s="645"/>
      <c r="P111" s="645"/>
      <c r="Q111" s="644"/>
      <c r="R111" s="649"/>
    </row>
    <row r="112" spans="1:18">
      <c r="A112" s="644"/>
      <c r="B112" s="644"/>
      <c r="C112" s="645"/>
      <c r="D112" s="646"/>
      <c r="E112" s="647"/>
      <c r="F112" s="647"/>
      <c r="G112" s="647"/>
      <c r="H112" s="648"/>
      <c r="I112" s="647"/>
      <c r="J112" s="645"/>
      <c r="K112" s="644"/>
      <c r="L112" s="645"/>
      <c r="M112" s="645"/>
      <c r="N112" s="644"/>
      <c r="O112" s="645"/>
      <c r="P112" s="645"/>
      <c r="Q112" s="644"/>
      <c r="R112" s="649"/>
    </row>
    <row r="113" spans="1:18">
      <c r="A113" s="644"/>
      <c r="B113" s="644"/>
      <c r="C113" s="645"/>
      <c r="D113" s="646"/>
      <c r="E113" s="647"/>
      <c r="F113" s="647"/>
      <c r="G113" s="647"/>
      <c r="H113" s="648"/>
      <c r="I113" s="647"/>
      <c r="J113" s="645"/>
      <c r="K113" s="644"/>
      <c r="L113" s="645"/>
      <c r="M113" s="645"/>
      <c r="N113" s="644"/>
      <c r="O113" s="645"/>
      <c r="P113" s="645"/>
      <c r="Q113" s="644"/>
      <c r="R113" s="649"/>
    </row>
    <row r="114" spans="1:18">
      <c r="A114" s="644"/>
      <c r="B114" s="644"/>
      <c r="C114" s="645"/>
      <c r="D114" s="646"/>
      <c r="E114" s="647"/>
      <c r="F114" s="647"/>
      <c r="G114" s="647"/>
      <c r="H114" s="648"/>
      <c r="I114" s="647"/>
      <c r="J114" s="645"/>
      <c r="K114" s="644"/>
      <c r="L114" s="645"/>
      <c r="M114" s="645"/>
      <c r="N114" s="644"/>
      <c r="O114" s="645"/>
      <c r="P114" s="645"/>
      <c r="Q114" s="644"/>
      <c r="R114" s="649"/>
    </row>
    <row r="115" spans="1:18">
      <c r="A115" s="644"/>
      <c r="B115" s="644"/>
      <c r="C115" s="645"/>
      <c r="D115" s="646"/>
      <c r="E115" s="647"/>
      <c r="F115" s="647"/>
      <c r="G115" s="647"/>
      <c r="H115" s="648"/>
      <c r="I115" s="647"/>
      <c r="J115" s="645"/>
      <c r="K115" s="644"/>
      <c r="L115" s="645"/>
      <c r="M115" s="645"/>
      <c r="N115" s="644"/>
      <c r="O115" s="645"/>
      <c r="P115" s="645"/>
      <c r="Q115" s="644"/>
      <c r="R115" s="649"/>
    </row>
    <row r="116" spans="1:18">
      <c r="A116" s="644"/>
      <c r="B116" s="644"/>
      <c r="C116" s="645"/>
      <c r="D116" s="646"/>
      <c r="E116" s="647"/>
      <c r="F116" s="647"/>
      <c r="G116" s="647"/>
      <c r="H116" s="648"/>
      <c r="I116" s="647"/>
      <c r="J116" s="645"/>
      <c r="K116" s="644"/>
      <c r="L116" s="645"/>
      <c r="M116" s="645"/>
      <c r="N116" s="644"/>
      <c r="O116" s="645"/>
      <c r="P116" s="645"/>
      <c r="Q116" s="644"/>
      <c r="R116" s="649"/>
    </row>
    <row r="117" spans="1:18">
      <c r="A117" s="644"/>
      <c r="B117" s="644"/>
      <c r="C117" s="645"/>
      <c r="D117" s="646"/>
      <c r="E117" s="647"/>
      <c r="F117" s="647"/>
      <c r="G117" s="647"/>
      <c r="H117" s="648"/>
      <c r="I117" s="647"/>
      <c r="J117" s="645"/>
      <c r="K117" s="644"/>
      <c r="L117" s="645"/>
      <c r="M117" s="645"/>
      <c r="N117" s="644"/>
      <c r="O117" s="645"/>
      <c r="P117" s="645"/>
      <c r="Q117" s="644"/>
      <c r="R117" s="649"/>
    </row>
    <row r="118" spans="1:18">
      <c r="A118" s="644"/>
      <c r="B118" s="644"/>
      <c r="C118" s="645"/>
      <c r="D118" s="646"/>
      <c r="E118" s="647"/>
      <c r="F118" s="647"/>
      <c r="G118" s="647"/>
      <c r="H118" s="648"/>
      <c r="I118" s="647"/>
      <c r="J118" s="645"/>
      <c r="K118" s="644"/>
      <c r="L118" s="645"/>
      <c r="M118" s="645"/>
      <c r="N118" s="644"/>
      <c r="O118" s="645"/>
      <c r="P118" s="645"/>
      <c r="Q118" s="644"/>
      <c r="R118" s="649"/>
    </row>
    <row r="119" spans="1:18">
      <c r="A119" s="644"/>
      <c r="B119" s="644"/>
      <c r="C119" s="645"/>
      <c r="D119" s="646"/>
      <c r="E119" s="647"/>
      <c r="F119" s="647"/>
      <c r="G119" s="647"/>
      <c r="H119" s="648"/>
      <c r="I119" s="647"/>
      <c r="J119" s="645"/>
      <c r="K119" s="644"/>
      <c r="L119" s="645"/>
      <c r="M119" s="645"/>
      <c r="N119" s="644"/>
      <c r="O119" s="645"/>
      <c r="P119" s="645"/>
      <c r="Q119" s="644"/>
      <c r="R119" s="649"/>
    </row>
    <row r="120" spans="1:18">
      <c r="A120" s="644"/>
      <c r="B120" s="644"/>
      <c r="C120" s="645"/>
      <c r="D120" s="646"/>
      <c r="E120" s="647"/>
      <c r="F120" s="647"/>
      <c r="G120" s="647"/>
      <c r="H120" s="648"/>
      <c r="I120" s="647"/>
      <c r="J120" s="645"/>
      <c r="K120" s="644"/>
      <c r="L120" s="645"/>
      <c r="M120" s="645"/>
      <c r="N120" s="644"/>
      <c r="O120" s="645"/>
      <c r="P120" s="645"/>
      <c r="Q120" s="644"/>
      <c r="R120" s="649"/>
    </row>
    <row r="121" spans="1:18">
      <c r="A121" s="644"/>
      <c r="B121" s="644"/>
      <c r="C121" s="645"/>
      <c r="D121" s="646"/>
      <c r="E121" s="647"/>
      <c r="F121" s="647"/>
      <c r="G121" s="647"/>
      <c r="H121" s="648"/>
      <c r="I121" s="647"/>
      <c r="J121" s="645"/>
      <c r="K121" s="644"/>
      <c r="L121" s="645"/>
      <c r="M121" s="645"/>
      <c r="N121" s="644"/>
      <c r="O121" s="645"/>
      <c r="P121" s="645"/>
      <c r="Q121" s="644"/>
      <c r="R121" s="649"/>
    </row>
    <row r="122" spans="1:18">
      <c r="A122" s="644"/>
      <c r="B122" s="644"/>
      <c r="C122" s="645"/>
      <c r="D122" s="646"/>
      <c r="E122" s="647"/>
      <c r="F122" s="647"/>
      <c r="G122" s="647"/>
      <c r="H122" s="648"/>
      <c r="I122" s="647"/>
      <c r="J122" s="645"/>
      <c r="K122" s="644"/>
      <c r="L122" s="645"/>
      <c r="M122" s="645"/>
      <c r="N122" s="644"/>
      <c r="O122" s="645"/>
      <c r="P122" s="645"/>
      <c r="Q122" s="644"/>
      <c r="R122" s="649"/>
    </row>
    <row r="123" spans="1:18">
      <c r="A123" s="644"/>
      <c r="B123" s="644"/>
      <c r="C123" s="645"/>
      <c r="D123" s="646"/>
      <c r="E123" s="647"/>
      <c r="F123" s="647"/>
      <c r="G123" s="647"/>
      <c r="H123" s="648"/>
      <c r="I123" s="647"/>
      <c r="J123" s="645"/>
      <c r="K123" s="644"/>
      <c r="L123" s="645"/>
      <c r="M123" s="645"/>
      <c r="N123" s="644"/>
      <c r="O123" s="645"/>
      <c r="P123" s="645"/>
      <c r="Q123" s="644"/>
      <c r="R123" s="649"/>
    </row>
    <row r="124" spans="1:18">
      <c r="A124" s="644"/>
      <c r="B124" s="644"/>
      <c r="C124" s="645"/>
      <c r="D124" s="646"/>
      <c r="E124" s="647"/>
      <c r="F124" s="647"/>
      <c r="G124" s="647"/>
      <c r="H124" s="648"/>
      <c r="I124" s="647"/>
      <c r="J124" s="645"/>
      <c r="K124" s="644"/>
      <c r="L124" s="645"/>
      <c r="M124" s="645"/>
      <c r="N124" s="644"/>
      <c r="O124" s="645"/>
      <c r="P124" s="645"/>
      <c r="Q124" s="644"/>
      <c r="R124" s="649"/>
    </row>
    <row r="125" spans="1:18">
      <c r="A125" s="644"/>
      <c r="B125" s="644"/>
      <c r="C125" s="645"/>
      <c r="D125" s="646"/>
      <c r="E125" s="647"/>
      <c r="F125" s="647"/>
      <c r="G125" s="647"/>
      <c r="H125" s="648"/>
      <c r="I125" s="647"/>
      <c r="J125" s="645"/>
      <c r="K125" s="644"/>
      <c r="L125" s="645"/>
      <c r="M125" s="645"/>
      <c r="N125" s="644"/>
      <c r="O125" s="645"/>
      <c r="P125" s="645"/>
      <c r="Q125" s="644"/>
      <c r="R125" s="649"/>
    </row>
    <row r="126" spans="1:18">
      <c r="A126" s="644"/>
      <c r="B126" s="644"/>
      <c r="C126" s="645"/>
      <c r="D126" s="646"/>
      <c r="E126" s="647"/>
      <c r="F126" s="647"/>
      <c r="G126" s="647"/>
      <c r="H126" s="648"/>
      <c r="I126" s="647"/>
      <c r="J126" s="645"/>
      <c r="K126" s="644"/>
      <c r="L126" s="645"/>
      <c r="M126" s="645"/>
      <c r="N126" s="644"/>
      <c r="O126" s="645"/>
      <c r="P126" s="645"/>
      <c r="Q126" s="644"/>
      <c r="R126" s="649"/>
    </row>
    <row r="127" spans="1:18">
      <c r="A127" s="644"/>
      <c r="B127" s="644"/>
      <c r="C127" s="645"/>
      <c r="D127" s="646"/>
      <c r="E127" s="647"/>
      <c r="F127" s="647"/>
      <c r="G127" s="647"/>
      <c r="H127" s="648"/>
      <c r="I127" s="647"/>
      <c r="J127" s="645"/>
      <c r="K127" s="644"/>
      <c r="L127" s="645"/>
      <c r="M127" s="645"/>
      <c r="N127" s="644"/>
      <c r="O127" s="645"/>
      <c r="P127" s="645"/>
      <c r="Q127" s="644"/>
      <c r="R127" s="649"/>
    </row>
    <row r="128" spans="1:18">
      <c r="A128" s="644"/>
      <c r="B128" s="644"/>
      <c r="C128" s="645"/>
      <c r="D128" s="646"/>
      <c r="E128" s="647"/>
      <c r="F128" s="647"/>
      <c r="G128" s="647"/>
      <c r="H128" s="648"/>
      <c r="I128" s="647"/>
      <c r="J128" s="645"/>
      <c r="K128" s="644"/>
      <c r="L128" s="645"/>
      <c r="M128" s="645"/>
      <c r="N128" s="644"/>
      <c r="O128" s="645"/>
      <c r="P128" s="645"/>
      <c r="Q128" s="644"/>
      <c r="R128" s="649"/>
    </row>
    <row r="129" spans="1:18">
      <c r="A129" s="644"/>
      <c r="B129" s="644"/>
      <c r="C129" s="645"/>
      <c r="D129" s="646"/>
      <c r="E129" s="647"/>
      <c r="F129" s="647"/>
      <c r="G129" s="647"/>
      <c r="H129" s="648"/>
      <c r="I129" s="647"/>
      <c r="J129" s="645"/>
      <c r="K129" s="644"/>
      <c r="L129" s="645"/>
      <c r="M129" s="645"/>
      <c r="N129" s="644"/>
      <c r="O129" s="645"/>
      <c r="P129" s="645"/>
      <c r="Q129" s="644"/>
      <c r="R129" s="649"/>
    </row>
    <row r="130" spans="1:18">
      <c r="A130" s="644"/>
      <c r="B130" s="644"/>
      <c r="C130" s="645"/>
      <c r="D130" s="646"/>
      <c r="E130" s="647"/>
      <c r="F130" s="647"/>
      <c r="G130" s="647"/>
      <c r="H130" s="648"/>
      <c r="I130" s="647"/>
      <c r="J130" s="645"/>
      <c r="K130" s="644"/>
      <c r="L130" s="645"/>
      <c r="M130" s="645"/>
      <c r="N130" s="644"/>
      <c r="O130" s="645"/>
      <c r="P130" s="645"/>
      <c r="Q130" s="644"/>
      <c r="R130" s="649"/>
    </row>
    <row r="131" spans="1:18">
      <c r="A131" s="644"/>
      <c r="B131" s="644"/>
      <c r="C131" s="645"/>
      <c r="D131" s="646"/>
      <c r="E131" s="647"/>
      <c r="F131" s="647"/>
      <c r="G131" s="647"/>
      <c r="H131" s="648"/>
      <c r="I131" s="647"/>
      <c r="J131" s="645"/>
      <c r="K131" s="644"/>
      <c r="L131" s="645"/>
      <c r="M131" s="645"/>
      <c r="N131" s="644"/>
      <c r="O131" s="645"/>
      <c r="P131" s="645"/>
      <c r="Q131" s="644"/>
      <c r="R131" s="649"/>
    </row>
    <row r="132" spans="1:18">
      <c r="A132" s="644"/>
      <c r="B132" s="644"/>
      <c r="C132" s="645"/>
      <c r="D132" s="646"/>
      <c r="E132" s="647"/>
      <c r="F132" s="647"/>
      <c r="G132" s="647"/>
      <c r="H132" s="648"/>
      <c r="I132" s="647"/>
      <c r="J132" s="645"/>
      <c r="K132" s="644"/>
      <c r="L132" s="645"/>
      <c r="M132" s="645"/>
      <c r="N132" s="644"/>
      <c r="O132" s="645"/>
      <c r="P132" s="645"/>
      <c r="Q132" s="644"/>
      <c r="R132" s="649"/>
    </row>
    <row r="133" spans="1:18">
      <c r="A133" s="644"/>
      <c r="B133" s="644"/>
      <c r="C133" s="645"/>
      <c r="D133" s="646"/>
      <c r="E133" s="647"/>
      <c r="F133" s="647"/>
      <c r="G133" s="647"/>
      <c r="H133" s="648"/>
      <c r="I133" s="647"/>
      <c r="J133" s="645"/>
      <c r="K133" s="644"/>
      <c r="L133" s="645"/>
      <c r="M133" s="645"/>
      <c r="N133" s="644"/>
      <c r="O133" s="645"/>
      <c r="P133" s="645"/>
      <c r="Q133" s="644"/>
      <c r="R133" s="649"/>
    </row>
    <row r="134" spans="1:18">
      <c r="A134" s="644"/>
      <c r="B134" s="644"/>
      <c r="C134" s="645"/>
      <c r="D134" s="646"/>
      <c r="E134" s="647"/>
      <c r="F134" s="647"/>
      <c r="G134" s="647"/>
      <c r="H134" s="648"/>
      <c r="I134" s="647"/>
      <c r="J134" s="645"/>
      <c r="K134" s="644"/>
      <c r="L134" s="645"/>
      <c r="M134" s="645"/>
      <c r="N134" s="644"/>
      <c r="O134" s="645"/>
      <c r="P134" s="645"/>
      <c r="Q134" s="644"/>
      <c r="R134" s="649"/>
    </row>
    <row r="135" spans="1:18">
      <c r="A135" s="644"/>
      <c r="B135" s="644"/>
      <c r="C135" s="645"/>
      <c r="D135" s="646"/>
      <c r="E135" s="647"/>
      <c r="F135" s="647"/>
      <c r="G135" s="647"/>
      <c r="H135" s="648"/>
      <c r="I135" s="647"/>
      <c r="J135" s="645"/>
      <c r="K135" s="644"/>
      <c r="L135" s="645"/>
      <c r="M135" s="645"/>
      <c r="N135" s="644"/>
      <c r="O135" s="645"/>
      <c r="P135" s="645"/>
      <c r="Q135" s="644"/>
      <c r="R135" s="649"/>
    </row>
    <row r="136" spans="1:18">
      <c r="A136" s="644"/>
      <c r="B136" s="644"/>
      <c r="C136" s="645"/>
      <c r="D136" s="646"/>
      <c r="E136" s="647"/>
      <c r="F136" s="647"/>
      <c r="G136" s="647"/>
      <c r="H136" s="648"/>
      <c r="I136" s="647"/>
      <c r="J136" s="645"/>
      <c r="K136" s="644"/>
      <c r="L136" s="645"/>
      <c r="M136" s="645"/>
      <c r="N136" s="644"/>
      <c r="O136" s="645"/>
      <c r="P136" s="645"/>
      <c r="Q136" s="644"/>
      <c r="R136" s="649"/>
    </row>
    <row r="137" spans="1:18">
      <c r="A137" s="644"/>
      <c r="B137" s="644"/>
      <c r="C137" s="645"/>
      <c r="D137" s="646"/>
      <c r="E137" s="647"/>
      <c r="F137" s="647"/>
      <c r="G137" s="647"/>
      <c r="H137" s="648"/>
      <c r="I137" s="647"/>
      <c r="J137" s="645"/>
      <c r="K137" s="644"/>
      <c r="L137" s="645"/>
      <c r="M137" s="645"/>
      <c r="N137" s="644"/>
      <c r="O137" s="645"/>
      <c r="P137" s="645"/>
      <c r="Q137" s="644"/>
      <c r="R137" s="649"/>
    </row>
    <row r="138" spans="1:18">
      <c r="A138" s="644"/>
      <c r="B138" s="644"/>
      <c r="C138" s="645"/>
      <c r="D138" s="646"/>
      <c r="E138" s="647"/>
      <c r="F138" s="647"/>
      <c r="G138" s="647"/>
      <c r="H138" s="648"/>
      <c r="I138" s="647"/>
      <c r="J138" s="645"/>
      <c r="K138" s="644"/>
      <c r="L138" s="645"/>
      <c r="M138" s="645"/>
      <c r="N138" s="644"/>
      <c r="O138" s="645"/>
      <c r="P138" s="645"/>
      <c r="Q138" s="644"/>
      <c r="R138" s="649"/>
    </row>
    <row r="139" spans="1:18">
      <c r="A139" s="644"/>
      <c r="B139" s="644"/>
      <c r="C139" s="645"/>
      <c r="D139" s="646"/>
      <c r="E139" s="647"/>
      <c r="F139" s="647"/>
      <c r="G139" s="647"/>
      <c r="H139" s="648"/>
      <c r="I139" s="647"/>
      <c r="J139" s="645"/>
      <c r="K139" s="644"/>
      <c r="L139" s="645"/>
      <c r="M139" s="645"/>
      <c r="N139" s="644"/>
      <c r="O139" s="645"/>
      <c r="P139" s="645"/>
      <c r="Q139" s="644"/>
      <c r="R139" s="649"/>
    </row>
    <row r="140" spans="1:18">
      <c r="A140" s="644"/>
      <c r="B140" s="644"/>
      <c r="C140" s="645"/>
      <c r="D140" s="646"/>
      <c r="E140" s="647"/>
      <c r="F140" s="647"/>
      <c r="G140" s="647"/>
      <c r="H140" s="648"/>
      <c r="I140" s="647"/>
      <c r="J140" s="645"/>
      <c r="K140" s="644"/>
      <c r="L140" s="645"/>
      <c r="M140" s="645"/>
      <c r="N140" s="644"/>
      <c r="O140" s="645"/>
      <c r="P140" s="645"/>
      <c r="Q140" s="644"/>
      <c r="R140" s="649"/>
    </row>
    <row r="141" spans="1:18">
      <c r="A141" s="644"/>
      <c r="B141" s="644"/>
      <c r="C141" s="645"/>
      <c r="D141" s="646"/>
      <c r="E141" s="647"/>
      <c r="F141" s="647"/>
      <c r="G141" s="647"/>
      <c r="H141" s="648"/>
      <c r="I141" s="647"/>
      <c r="J141" s="645"/>
      <c r="K141" s="644"/>
      <c r="L141" s="645"/>
      <c r="M141" s="645"/>
      <c r="N141" s="644"/>
      <c r="O141" s="645"/>
      <c r="P141" s="645"/>
      <c r="Q141" s="644"/>
      <c r="R141" s="649"/>
    </row>
    <row r="142" spans="1:18">
      <c r="A142" s="644"/>
      <c r="B142" s="644"/>
      <c r="C142" s="645"/>
      <c r="D142" s="646"/>
      <c r="E142" s="647"/>
      <c r="F142" s="647"/>
      <c r="G142" s="647"/>
      <c r="H142" s="648"/>
      <c r="I142" s="647"/>
      <c r="J142" s="645"/>
      <c r="K142" s="644"/>
      <c r="L142" s="645"/>
      <c r="M142" s="645"/>
      <c r="N142" s="644"/>
      <c r="O142" s="645"/>
      <c r="P142" s="645"/>
      <c r="Q142" s="644"/>
      <c r="R142" s="649"/>
    </row>
    <row r="143" spans="1:18">
      <c r="A143" s="644"/>
      <c r="B143" s="644"/>
      <c r="C143" s="645"/>
      <c r="D143" s="646"/>
      <c r="E143" s="647"/>
      <c r="F143" s="647"/>
      <c r="G143" s="647"/>
      <c r="H143" s="648"/>
      <c r="I143" s="647"/>
      <c r="J143" s="645"/>
      <c r="K143" s="644"/>
      <c r="L143" s="645"/>
      <c r="M143" s="645"/>
      <c r="N143" s="644"/>
      <c r="O143" s="645"/>
      <c r="P143" s="645"/>
      <c r="Q143" s="644"/>
      <c r="R143" s="649"/>
    </row>
    <row r="144" spans="1:18">
      <c r="A144" s="644"/>
      <c r="B144" s="644"/>
      <c r="C144" s="645"/>
      <c r="D144" s="646"/>
      <c r="E144" s="647"/>
      <c r="F144" s="647"/>
      <c r="G144" s="647"/>
      <c r="H144" s="648"/>
      <c r="I144" s="647"/>
      <c r="J144" s="645"/>
      <c r="K144" s="644"/>
      <c r="L144" s="645"/>
      <c r="M144" s="645"/>
      <c r="N144" s="644"/>
      <c r="O144" s="645"/>
      <c r="P144" s="645"/>
      <c r="Q144" s="644"/>
      <c r="R144" s="649"/>
    </row>
    <row r="145" spans="1:18">
      <c r="A145" s="644"/>
      <c r="B145" s="644"/>
      <c r="C145" s="645"/>
      <c r="D145" s="646"/>
      <c r="E145" s="647"/>
      <c r="F145" s="647"/>
      <c r="G145" s="647"/>
      <c r="H145" s="648"/>
      <c r="I145" s="647"/>
      <c r="J145" s="645"/>
      <c r="K145" s="644"/>
      <c r="L145" s="645"/>
      <c r="M145" s="645"/>
      <c r="N145" s="644"/>
      <c r="O145" s="645"/>
      <c r="P145" s="645"/>
      <c r="Q145" s="644"/>
      <c r="R145" s="649"/>
    </row>
    <row r="146" spans="1:18">
      <c r="A146" s="644"/>
      <c r="B146" s="644"/>
      <c r="C146" s="645"/>
      <c r="D146" s="646"/>
      <c r="E146" s="647"/>
      <c r="F146" s="647"/>
      <c r="G146" s="647"/>
      <c r="H146" s="648"/>
      <c r="I146" s="647"/>
      <c r="J146" s="645"/>
      <c r="K146" s="644"/>
      <c r="L146" s="645"/>
      <c r="M146" s="645"/>
      <c r="N146" s="644"/>
      <c r="O146" s="645"/>
      <c r="P146" s="645"/>
      <c r="Q146" s="644"/>
      <c r="R146" s="649"/>
    </row>
    <row r="147" spans="1:18">
      <c r="A147" s="644"/>
      <c r="B147" s="644"/>
      <c r="C147" s="645"/>
      <c r="D147" s="646"/>
      <c r="E147" s="647"/>
      <c r="F147" s="647"/>
      <c r="G147" s="647"/>
      <c r="H147" s="648"/>
      <c r="I147" s="647"/>
      <c r="J147" s="645"/>
      <c r="K147" s="644"/>
      <c r="L147" s="645"/>
      <c r="M147" s="645"/>
      <c r="N147" s="644"/>
      <c r="O147" s="645"/>
      <c r="P147" s="645"/>
      <c r="Q147" s="644"/>
      <c r="R147" s="649"/>
    </row>
    <row r="148" spans="1:18">
      <c r="A148" s="644"/>
      <c r="B148" s="644"/>
      <c r="C148" s="645"/>
      <c r="D148" s="646"/>
      <c r="E148" s="647"/>
      <c r="F148" s="647"/>
      <c r="G148" s="647"/>
      <c r="H148" s="648"/>
      <c r="I148" s="647"/>
      <c r="J148" s="645"/>
      <c r="K148" s="644"/>
      <c r="L148" s="645"/>
      <c r="M148" s="645"/>
      <c r="N148" s="644"/>
      <c r="O148" s="645"/>
      <c r="P148" s="645"/>
      <c r="Q148" s="644"/>
      <c r="R148" s="649"/>
    </row>
    <row r="149" spans="1:18">
      <c r="A149" s="644"/>
      <c r="B149" s="644"/>
      <c r="C149" s="645"/>
      <c r="D149" s="646"/>
      <c r="E149" s="647"/>
      <c r="F149" s="647"/>
      <c r="G149" s="647"/>
      <c r="H149" s="648"/>
      <c r="I149" s="647"/>
      <c r="J149" s="645"/>
      <c r="K149" s="644"/>
      <c r="L149" s="645"/>
      <c r="M149" s="645"/>
      <c r="N149" s="644"/>
      <c r="O149" s="645"/>
      <c r="P149" s="645"/>
      <c r="Q149" s="644"/>
      <c r="R149" s="649"/>
    </row>
    <row r="150" spans="1:18">
      <c r="A150" s="644"/>
      <c r="B150" s="644"/>
      <c r="C150" s="645"/>
      <c r="D150" s="646"/>
      <c r="E150" s="647"/>
      <c r="F150" s="647"/>
      <c r="G150" s="647"/>
      <c r="H150" s="648"/>
      <c r="I150" s="647"/>
      <c r="J150" s="645"/>
      <c r="K150" s="644"/>
      <c r="L150" s="645"/>
      <c r="M150" s="645"/>
      <c r="N150" s="644"/>
      <c r="O150" s="645"/>
      <c r="P150" s="645"/>
      <c r="Q150" s="644"/>
      <c r="R150" s="649"/>
    </row>
    <row r="151" spans="1:18">
      <c r="A151" s="644"/>
      <c r="B151" s="644"/>
      <c r="C151" s="645"/>
      <c r="D151" s="646"/>
      <c r="E151" s="647"/>
      <c r="F151" s="647"/>
      <c r="G151" s="647"/>
      <c r="H151" s="648"/>
      <c r="I151" s="647"/>
      <c r="J151" s="645"/>
      <c r="K151" s="644"/>
      <c r="L151" s="645"/>
      <c r="M151" s="645"/>
      <c r="N151" s="644"/>
      <c r="O151" s="645"/>
      <c r="P151" s="645"/>
      <c r="Q151" s="644"/>
      <c r="R151" s="649"/>
    </row>
    <row r="152" spans="1:18">
      <c r="A152" s="644"/>
      <c r="B152" s="644"/>
      <c r="C152" s="645"/>
      <c r="D152" s="646"/>
      <c r="E152" s="647"/>
      <c r="F152" s="647"/>
      <c r="G152" s="647"/>
      <c r="H152" s="648"/>
      <c r="I152" s="647"/>
      <c r="J152" s="645"/>
      <c r="K152" s="644"/>
      <c r="L152" s="645"/>
      <c r="M152" s="645"/>
      <c r="N152" s="644"/>
      <c r="O152" s="645"/>
      <c r="P152" s="645"/>
      <c r="Q152" s="644"/>
      <c r="R152" s="649"/>
    </row>
    <row r="153" spans="1:18">
      <c r="A153" s="644"/>
      <c r="B153" s="644"/>
      <c r="C153" s="645"/>
      <c r="D153" s="646"/>
      <c r="E153" s="647"/>
      <c r="F153" s="647"/>
      <c r="G153" s="647"/>
      <c r="H153" s="648"/>
      <c r="I153" s="647"/>
      <c r="J153" s="645"/>
      <c r="K153" s="644"/>
      <c r="L153" s="645"/>
      <c r="M153" s="645"/>
      <c r="N153" s="644"/>
      <c r="O153" s="645"/>
      <c r="P153" s="645"/>
      <c r="Q153" s="644"/>
      <c r="R153" s="649"/>
    </row>
    <row r="154" spans="1:18">
      <c r="A154" s="644"/>
      <c r="B154" s="644"/>
      <c r="C154" s="645"/>
      <c r="D154" s="646"/>
      <c r="E154" s="647"/>
      <c r="F154" s="647"/>
      <c r="G154" s="647"/>
      <c r="H154" s="648"/>
      <c r="I154" s="647"/>
      <c r="J154" s="645"/>
      <c r="K154" s="644"/>
      <c r="L154" s="645"/>
      <c r="M154" s="645"/>
      <c r="N154" s="644"/>
      <c r="O154" s="645"/>
      <c r="P154" s="645"/>
      <c r="Q154" s="644"/>
      <c r="R154" s="649"/>
    </row>
    <row r="155" spans="1:18">
      <c r="A155" s="644"/>
      <c r="B155" s="644"/>
      <c r="C155" s="645"/>
      <c r="D155" s="646"/>
      <c r="E155" s="647"/>
      <c r="F155" s="647"/>
      <c r="G155" s="647"/>
      <c r="H155" s="648"/>
      <c r="I155" s="647"/>
      <c r="J155" s="645"/>
      <c r="K155" s="644"/>
      <c r="L155" s="645"/>
      <c r="M155" s="645"/>
      <c r="N155" s="644"/>
      <c r="O155" s="645"/>
      <c r="P155" s="645"/>
      <c r="Q155" s="644"/>
      <c r="R155" s="649"/>
    </row>
    <row r="156" spans="1:18">
      <c r="A156" s="644"/>
      <c r="B156" s="644"/>
      <c r="C156" s="645"/>
      <c r="D156" s="646"/>
      <c r="E156" s="647"/>
      <c r="F156" s="647"/>
      <c r="G156" s="647"/>
      <c r="H156" s="648"/>
      <c r="I156" s="647"/>
      <c r="J156" s="645"/>
      <c r="K156" s="644"/>
      <c r="L156" s="645"/>
      <c r="M156" s="645"/>
      <c r="N156" s="644"/>
      <c r="O156" s="645"/>
      <c r="P156" s="645"/>
      <c r="Q156" s="644"/>
      <c r="R156" s="649"/>
    </row>
    <row r="157" spans="1:18">
      <c r="A157" s="644"/>
      <c r="B157" s="644"/>
      <c r="C157" s="645"/>
      <c r="D157" s="646"/>
      <c r="E157" s="647"/>
      <c r="F157" s="647"/>
      <c r="G157" s="647"/>
      <c r="H157" s="648"/>
      <c r="I157" s="647"/>
      <c r="J157" s="645"/>
      <c r="K157" s="644"/>
      <c r="L157" s="645"/>
      <c r="M157" s="645"/>
      <c r="N157" s="644"/>
      <c r="O157" s="645"/>
      <c r="P157" s="645"/>
      <c r="Q157" s="644"/>
      <c r="R157" s="649"/>
    </row>
    <row r="158" spans="1:18">
      <c r="A158" s="644"/>
      <c r="B158" s="644"/>
      <c r="C158" s="645"/>
      <c r="D158" s="646"/>
      <c r="E158" s="647"/>
      <c r="F158" s="647"/>
      <c r="G158" s="647"/>
      <c r="H158" s="648"/>
      <c r="I158" s="647"/>
      <c r="J158" s="645"/>
      <c r="K158" s="644"/>
      <c r="L158" s="645"/>
      <c r="M158" s="645"/>
      <c r="N158" s="644"/>
      <c r="O158" s="645"/>
      <c r="P158" s="645"/>
      <c r="Q158" s="644"/>
      <c r="R158" s="649"/>
    </row>
    <row r="159" spans="1:18">
      <c r="A159" s="644"/>
      <c r="B159" s="644"/>
      <c r="C159" s="645"/>
      <c r="D159" s="646"/>
      <c r="E159" s="647"/>
      <c r="F159" s="647"/>
      <c r="G159" s="647"/>
      <c r="H159" s="648"/>
      <c r="I159" s="647"/>
      <c r="J159" s="645"/>
      <c r="K159" s="644"/>
      <c r="L159" s="645"/>
      <c r="M159" s="645"/>
      <c r="N159" s="644"/>
      <c r="O159" s="645"/>
      <c r="P159" s="645"/>
      <c r="Q159" s="644"/>
      <c r="R159" s="649"/>
    </row>
    <row r="160" spans="1:18">
      <c r="A160" s="644"/>
      <c r="B160" s="644"/>
      <c r="C160" s="645"/>
      <c r="D160" s="646"/>
      <c r="E160" s="647"/>
      <c r="F160" s="647"/>
      <c r="G160" s="647"/>
      <c r="H160" s="648"/>
      <c r="I160" s="647"/>
      <c r="J160" s="645"/>
      <c r="K160" s="644"/>
      <c r="L160" s="645"/>
      <c r="M160" s="645"/>
      <c r="N160" s="644"/>
      <c r="O160" s="645"/>
      <c r="P160" s="645"/>
      <c r="Q160" s="644"/>
      <c r="R160" s="649"/>
    </row>
    <row r="161" spans="1:18">
      <c r="A161" s="644"/>
      <c r="B161" s="644"/>
      <c r="C161" s="645"/>
      <c r="D161" s="646"/>
      <c r="E161" s="647"/>
      <c r="F161" s="647"/>
      <c r="G161" s="647"/>
      <c r="H161" s="648"/>
      <c r="I161" s="647"/>
      <c r="J161" s="645"/>
      <c r="K161" s="644"/>
      <c r="L161" s="645"/>
      <c r="M161" s="645"/>
      <c r="N161" s="644"/>
      <c r="O161" s="645"/>
      <c r="P161" s="645"/>
      <c r="Q161" s="644"/>
      <c r="R161" s="649"/>
    </row>
    <row r="162" spans="1:18">
      <c r="A162" s="644"/>
      <c r="B162" s="644"/>
      <c r="C162" s="645"/>
      <c r="D162" s="646"/>
      <c r="E162" s="647"/>
      <c r="F162" s="647"/>
      <c r="G162" s="647"/>
      <c r="H162" s="648"/>
      <c r="I162" s="647"/>
      <c r="J162" s="645"/>
      <c r="K162" s="644"/>
      <c r="L162" s="645"/>
      <c r="M162" s="645"/>
      <c r="N162" s="644"/>
      <c r="O162" s="645"/>
      <c r="P162" s="645"/>
      <c r="Q162" s="644"/>
      <c r="R162" s="649"/>
    </row>
    <row r="163" spans="1:18">
      <c r="A163" s="644"/>
      <c r="B163" s="644"/>
      <c r="C163" s="645"/>
      <c r="D163" s="646"/>
      <c r="E163" s="647"/>
      <c r="F163" s="647"/>
      <c r="G163" s="647"/>
      <c r="H163" s="648"/>
      <c r="I163" s="647"/>
      <c r="J163" s="645"/>
      <c r="K163" s="644"/>
      <c r="L163" s="645"/>
      <c r="M163" s="645"/>
      <c r="N163" s="644"/>
      <c r="O163" s="645"/>
      <c r="P163" s="645"/>
      <c r="Q163" s="644"/>
      <c r="R163" s="649"/>
    </row>
    <row r="164" spans="1:18">
      <c r="A164" s="644"/>
      <c r="B164" s="644"/>
      <c r="C164" s="645"/>
      <c r="D164" s="646"/>
      <c r="E164" s="647"/>
      <c r="F164" s="647"/>
      <c r="G164" s="647"/>
      <c r="H164" s="648"/>
      <c r="I164" s="647"/>
      <c r="J164" s="645"/>
      <c r="K164" s="644"/>
      <c r="L164" s="645"/>
      <c r="M164" s="645"/>
      <c r="N164" s="644"/>
      <c r="O164" s="645"/>
      <c r="P164" s="645"/>
      <c r="Q164" s="644"/>
      <c r="R164" s="649"/>
    </row>
    <row r="165" spans="1:18">
      <c r="A165" s="644"/>
      <c r="B165" s="644"/>
      <c r="C165" s="645"/>
      <c r="D165" s="646"/>
      <c r="E165" s="647"/>
      <c r="F165" s="647"/>
      <c r="G165" s="647"/>
      <c r="H165" s="648"/>
      <c r="I165" s="647"/>
      <c r="J165" s="645"/>
      <c r="K165" s="644"/>
      <c r="L165" s="645"/>
      <c r="M165" s="645"/>
      <c r="N165" s="644"/>
      <c r="O165" s="645"/>
      <c r="P165" s="645"/>
      <c r="Q165" s="644"/>
      <c r="R165" s="649"/>
    </row>
    <row r="166" spans="1:18">
      <c r="A166" s="644"/>
      <c r="B166" s="644"/>
      <c r="C166" s="645"/>
      <c r="D166" s="646"/>
      <c r="E166" s="647"/>
      <c r="F166" s="647"/>
      <c r="G166" s="647"/>
      <c r="H166" s="648"/>
      <c r="I166" s="647"/>
      <c r="J166" s="645"/>
      <c r="K166" s="644"/>
      <c r="L166" s="645"/>
      <c r="M166" s="645"/>
      <c r="N166" s="644"/>
      <c r="O166" s="645"/>
      <c r="P166" s="645"/>
      <c r="Q166" s="644"/>
      <c r="R166" s="649"/>
    </row>
    <row r="167" spans="1:18">
      <c r="A167" s="644"/>
      <c r="B167" s="644"/>
      <c r="C167" s="645"/>
      <c r="D167" s="646"/>
      <c r="E167" s="647"/>
      <c r="F167" s="647"/>
      <c r="G167" s="647"/>
      <c r="H167" s="648"/>
      <c r="I167" s="647"/>
      <c r="J167" s="645"/>
      <c r="K167" s="644"/>
      <c r="L167" s="645"/>
      <c r="M167" s="645"/>
      <c r="N167" s="644"/>
      <c r="O167" s="645"/>
      <c r="P167" s="645"/>
      <c r="Q167" s="644"/>
      <c r="R167" s="649"/>
    </row>
    <row r="168" spans="1:18">
      <c r="A168" s="644"/>
      <c r="B168" s="644"/>
      <c r="C168" s="645"/>
      <c r="D168" s="646"/>
      <c r="E168" s="647"/>
      <c r="F168" s="647"/>
      <c r="G168" s="647"/>
      <c r="H168" s="648"/>
      <c r="I168" s="647"/>
      <c r="J168" s="645"/>
      <c r="K168" s="644"/>
      <c r="L168" s="645"/>
      <c r="M168" s="645"/>
      <c r="N168" s="644"/>
      <c r="O168" s="645"/>
      <c r="P168" s="645"/>
      <c r="Q168" s="644"/>
      <c r="R168" s="649"/>
    </row>
    <row r="169" spans="1:18">
      <c r="A169" s="644"/>
      <c r="B169" s="644"/>
      <c r="C169" s="645"/>
      <c r="D169" s="646"/>
      <c r="E169" s="647"/>
      <c r="F169" s="647"/>
      <c r="G169" s="647"/>
      <c r="H169" s="648"/>
      <c r="I169" s="647"/>
      <c r="J169" s="645"/>
      <c r="K169" s="644"/>
      <c r="L169" s="645"/>
      <c r="M169" s="645"/>
      <c r="N169" s="644"/>
      <c r="O169" s="645"/>
      <c r="P169" s="645"/>
      <c r="Q169" s="644"/>
      <c r="R169" s="649"/>
    </row>
    <row r="170" spans="1:18">
      <c r="A170" s="644"/>
      <c r="B170" s="644"/>
      <c r="C170" s="645"/>
      <c r="D170" s="646"/>
      <c r="E170" s="647"/>
      <c r="F170" s="647"/>
      <c r="G170" s="647"/>
      <c r="H170" s="648"/>
      <c r="I170" s="647"/>
      <c r="J170" s="645"/>
      <c r="K170" s="644"/>
      <c r="L170" s="645"/>
      <c r="M170" s="645"/>
      <c r="N170" s="644"/>
      <c r="O170" s="645"/>
      <c r="P170" s="645"/>
      <c r="Q170" s="644"/>
      <c r="R170" s="649"/>
    </row>
    <row r="171" spans="1:18">
      <c r="A171" s="644"/>
      <c r="B171" s="644"/>
      <c r="C171" s="645"/>
      <c r="D171" s="646"/>
      <c r="E171" s="647"/>
      <c r="F171" s="647"/>
      <c r="G171" s="647"/>
      <c r="H171" s="648"/>
      <c r="I171" s="647"/>
      <c r="J171" s="645"/>
      <c r="K171" s="644"/>
      <c r="L171" s="645"/>
      <c r="M171" s="645"/>
      <c r="N171" s="644"/>
      <c r="O171" s="645"/>
      <c r="P171" s="645"/>
      <c r="Q171" s="644"/>
      <c r="R171" s="649"/>
    </row>
    <row r="172" spans="1:18">
      <c r="A172" s="644"/>
      <c r="B172" s="644"/>
      <c r="C172" s="645"/>
      <c r="D172" s="646"/>
      <c r="E172" s="647"/>
      <c r="F172" s="647"/>
      <c r="G172" s="647"/>
      <c r="H172" s="648"/>
      <c r="I172" s="647"/>
      <c r="J172" s="645"/>
      <c r="K172" s="644"/>
      <c r="L172" s="645"/>
      <c r="M172" s="645"/>
      <c r="N172" s="644"/>
      <c r="O172" s="645"/>
      <c r="P172" s="645"/>
      <c r="Q172" s="644"/>
      <c r="R172" s="649"/>
    </row>
    <row r="173" spans="1:18">
      <c r="A173" s="644"/>
      <c r="B173" s="644"/>
      <c r="C173" s="645"/>
      <c r="D173" s="646"/>
      <c r="E173" s="647"/>
      <c r="F173" s="647"/>
      <c r="G173" s="647"/>
      <c r="H173" s="648"/>
      <c r="I173" s="647"/>
      <c r="J173" s="645"/>
      <c r="K173" s="644"/>
      <c r="L173" s="645"/>
      <c r="M173" s="645"/>
      <c r="N173" s="644"/>
      <c r="O173" s="645"/>
      <c r="P173" s="645"/>
      <c r="Q173" s="644"/>
      <c r="R173" s="649"/>
    </row>
    <row r="174" spans="1:18">
      <c r="A174" s="644"/>
      <c r="B174" s="644"/>
      <c r="C174" s="645"/>
      <c r="D174" s="646"/>
      <c r="E174" s="647"/>
      <c r="F174" s="647"/>
      <c r="G174" s="647"/>
      <c r="H174" s="648"/>
      <c r="I174" s="647"/>
      <c r="J174" s="645"/>
      <c r="K174" s="644"/>
      <c r="L174" s="645"/>
      <c r="M174" s="645"/>
      <c r="N174" s="644"/>
      <c r="O174" s="645"/>
      <c r="P174" s="645"/>
      <c r="Q174" s="644"/>
      <c r="R174" s="649"/>
    </row>
    <row r="175" spans="1:18">
      <c r="A175" s="644"/>
      <c r="B175" s="644"/>
      <c r="C175" s="645"/>
      <c r="D175" s="646"/>
      <c r="E175" s="647"/>
      <c r="F175" s="647"/>
      <c r="G175" s="647"/>
      <c r="H175" s="648"/>
      <c r="I175" s="647"/>
      <c r="J175" s="645"/>
      <c r="K175" s="644"/>
      <c r="L175" s="645"/>
      <c r="M175" s="645"/>
      <c r="N175" s="644"/>
      <c r="O175" s="645"/>
      <c r="P175" s="645"/>
      <c r="Q175" s="644"/>
      <c r="R175" s="649"/>
    </row>
    <row r="176" spans="1:18">
      <c r="A176" s="644"/>
      <c r="B176" s="644"/>
      <c r="C176" s="645"/>
      <c r="D176" s="646"/>
      <c r="E176" s="647"/>
      <c r="F176" s="647"/>
      <c r="G176" s="647"/>
      <c r="H176" s="648"/>
      <c r="I176" s="647"/>
      <c r="J176" s="645"/>
      <c r="K176" s="644"/>
      <c r="L176" s="645"/>
      <c r="M176" s="645"/>
      <c r="N176" s="644"/>
      <c r="O176" s="645"/>
      <c r="P176" s="645"/>
      <c r="Q176" s="644"/>
      <c r="R176" s="649"/>
    </row>
    <row r="177" spans="1:18">
      <c r="A177" s="644"/>
      <c r="B177" s="644"/>
      <c r="C177" s="645"/>
      <c r="D177" s="646"/>
      <c r="E177" s="647"/>
      <c r="F177" s="647"/>
      <c r="G177" s="647"/>
      <c r="H177" s="648"/>
      <c r="I177" s="647"/>
      <c r="J177" s="645"/>
      <c r="K177" s="644"/>
      <c r="L177" s="645"/>
      <c r="M177" s="645"/>
      <c r="N177" s="644"/>
      <c r="O177" s="645"/>
      <c r="P177" s="645"/>
      <c r="Q177" s="644"/>
      <c r="R177" s="649"/>
    </row>
    <row r="178" spans="1:18">
      <c r="A178" s="644"/>
      <c r="B178" s="644"/>
      <c r="C178" s="645"/>
      <c r="D178" s="646"/>
      <c r="E178" s="647"/>
      <c r="F178" s="647"/>
      <c r="G178" s="647"/>
      <c r="H178" s="648"/>
      <c r="I178" s="647"/>
      <c r="J178" s="645"/>
      <c r="K178" s="644"/>
      <c r="L178" s="645"/>
      <c r="M178" s="645"/>
      <c r="N178" s="644"/>
      <c r="O178" s="645"/>
      <c r="P178" s="645"/>
      <c r="Q178" s="644"/>
      <c r="R178" s="649"/>
    </row>
    <row r="179" spans="1:18">
      <c r="A179" s="644"/>
      <c r="B179" s="644"/>
      <c r="C179" s="645"/>
      <c r="D179" s="646"/>
      <c r="E179" s="647"/>
      <c r="F179" s="647"/>
      <c r="G179" s="647"/>
      <c r="H179" s="648"/>
      <c r="I179" s="647"/>
      <c r="J179" s="645"/>
      <c r="K179" s="644"/>
      <c r="L179" s="645"/>
      <c r="M179" s="645"/>
      <c r="N179" s="644"/>
      <c r="O179" s="645"/>
      <c r="P179" s="645"/>
      <c r="Q179" s="644"/>
      <c r="R179" s="649"/>
    </row>
    <row r="180" spans="1:18">
      <c r="A180" s="644"/>
      <c r="B180" s="644"/>
      <c r="C180" s="645"/>
      <c r="D180" s="646"/>
      <c r="E180" s="647"/>
      <c r="F180" s="647"/>
      <c r="G180" s="647"/>
      <c r="H180" s="648"/>
      <c r="I180" s="647"/>
      <c r="J180" s="645"/>
      <c r="K180" s="644"/>
      <c r="L180" s="645"/>
      <c r="M180" s="645"/>
      <c r="N180" s="644"/>
      <c r="O180" s="645"/>
      <c r="P180" s="645"/>
      <c r="Q180" s="644"/>
      <c r="R180" s="649"/>
    </row>
    <row r="181" spans="1:18">
      <c r="A181" s="644"/>
      <c r="B181" s="644"/>
      <c r="C181" s="645"/>
      <c r="D181" s="646"/>
      <c r="E181" s="647"/>
      <c r="F181" s="647"/>
      <c r="G181" s="647"/>
      <c r="H181" s="648"/>
      <c r="I181" s="647"/>
      <c r="J181" s="645"/>
      <c r="K181" s="644"/>
      <c r="L181" s="645"/>
      <c r="M181" s="645"/>
      <c r="N181" s="644"/>
      <c r="O181" s="645"/>
      <c r="P181" s="645"/>
      <c r="Q181" s="644"/>
      <c r="R181" s="649"/>
    </row>
    <row r="182" spans="1:18">
      <c r="A182" s="644"/>
      <c r="B182" s="644"/>
      <c r="C182" s="645"/>
      <c r="D182" s="646"/>
      <c r="E182" s="647"/>
      <c r="F182" s="647"/>
      <c r="G182" s="647"/>
      <c r="H182" s="648"/>
      <c r="I182" s="647"/>
      <c r="J182" s="645"/>
      <c r="K182" s="644"/>
      <c r="L182" s="645"/>
      <c r="M182" s="645"/>
      <c r="N182" s="644"/>
      <c r="O182" s="645"/>
      <c r="P182" s="645"/>
      <c r="Q182" s="644"/>
      <c r="R182" s="649"/>
    </row>
    <row r="183" spans="1:18">
      <c r="A183" s="644"/>
      <c r="B183" s="644"/>
      <c r="C183" s="645"/>
      <c r="D183" s="646"/>
      <c r="E183" s="647"/>
      <c r="F183" s="647"/>
      <c r="G183" s="647"/>
      <c r="H183" s="648"/>
      <c r="I183" s="647"/>
      <c r="J183" s="645"/>
      <c r="K183" s="644"/>
      <c r="L183" s="645"/>
      <c r="M183" s="645"/>
      <c r="N183" s="644"/>
      <c r="O183" s="645"/>
      <c r="P183" s="645"/>
      <c r="Q183" s="644"/>
      <c r="R183" s="649"/>
    </row>
    <row r="184" spans="1:18">
      <c r="A184" s="644"/>
      <c r="B184" s="644"/>
      <c r="C184" s="645"/>
      <c r="D184" s="646"/>
      <c r="E184" s="647"/>
      <c r="F184" s="647"/>
      <c r="G184" s="647"/>
      <c r="H184" s="648"/>
      <c r="I184" s="647"/>
      <c r="J184" s="645"/>
      <c r="K184" s="644"/>
      <c r="L184" s="645"/>
      <c r="M184" s="645"/>
      <c r="N184" s="644"/>
      <c r="O184" s="645"/>
      <c r="P184" s="645"/>
      <c r="Q184" s="644"/>
      <c r="R184" s="649"/>
    </row>
    <row r="185" spans="1:18">
      <c r="A185" s="644"/>
      <c r="B185" s="644"/>
      <c r="C185" s="645"/>
      <c r="D185" s="646"/>
      <c r="E185" s="647"/>
      <c r="F185" s="647"/>
      <c r="G185" s="647"/>
      <c r="H185" s="648"/>
      <c r="I185" s="647"/>
      <c r="J185" s="645"/>
      <c r="K185" s="644"/>
      <c r="L185" s="645"/>
      <c r="M185" s="645"/>
      <c r="N185" s="644"/>
      <c r="O185" s="645"/>
      <c r="P185" s="645"/>
      <c r="Q185" s="644"/>
      <c r="R185" s="649"/>
    </row>
    <row r="186" spans="1:18">
      <c r="A186" s="644"/>
      <c r="B186" s="644"/>
      <c r="C186" s="645"/>
      <c r="D186" s="646"/>
      <c r="E186" s="647"/>
      <c r="F186" s="647"/>
      <c r="G186" s="647"/>
      <c r="H186" s="648"/>
      <c r="I186" s="647"/>
      <c r="J186" s="645"/>
      <c r="K186" s="644"/>
      <c r="L186" s="645"/>
      <c r="M186" s="645"/>
      <c r="N186" s="644"/>
      <c r="O186" s="645"/>
      <c r="P186" s="645"/>
      <c r="Q186" s="644"/>
      <c r="R186" s="649"/>
    </row>
    <row r="187" spans="1:18">
      <c r="A187" s="644"/>
      <c r="B187" s="644"/>
      <c r="C187" s="645"/>
      <c r="D187" s="646"/>
      <c r="E187" s="647"/>
      <c r="F187" s="647"/>
      <c r="G187" s="647"/>
      <c r="H187" s="648"/>
      <c r="I187" s="647"/>
      <c r="J187" s="645"/>
      <c r="K187" s="644"/>
      <c r="L187" s="645"/>
      <c r="M187" s="645"/>
      <c r="N187" s="644"/>
      <c r="O187" s="645"/>
      <c r="P187" s="645"/>
      <c r="Q187" s="644"/>
      <c r="R187" s="649"/>
    </row>
    <row r="188" spans="1:18">
      <c r="A188" s="644"/>
      <c r="B188" s="644"/>
      <c r="C188" s="645"/>
      <c r="D188" s="646"/>
      <c r="E188" s="647"/>
      <c r="F188" s="647"/>
      <c r="G188" s="647"/>
      <c r="H188" s="648"/>
      <c r="I188" s="647"/>
      <c r="J188" s="645"/>
      <c r="K188" s="644"/>
      <c r="L188" s="645"/>
      <c r="M188" s="645"/>
      <c r="N188" s="644"/>
      <c r="O188" s="645"/>
      <c r="P188" s="645"/>
      <c r="Q188" s="644"/>
      <c r="R188" s="649"/>
    </row>
    <row r="189" spans="1:18">
      <c r="A189" s="644"/>
      <c r="B189" s="644"/>
      <c r="C189" s="645"/>
      <c r="D189" s="646"/>
      <c r="E189" s="647"/>
      <c r="F189" s="647"/>
      <c r="G189" s="647"/>
      <c r="H189" s="648"/>
      <c r="I189" s="647"/>
      <c r="J189" s="645"/>
      <c r="K189" s="644"/>
      <c r="L189" s="645"/>
      <c r="M189" s="645"/>
      <c r="N189" s="644"/>
      <c r="O189" s="645"/>
      <c r="P189" s="645"/>
      <c r="Q189" s="644"/>
      <c r="R189" s="649"/>
    </row>
    <row r="190" spans="1:18">
      <c r="A190" s="644"/>
      <c r="B190" s="644"/>
      <c r="C190" s="645"/>
      <c r="D190" s="646"/>
      <c r="E190" s="647"/>
      <c r="F190" s="647"/>
      <c r="G190" s="647"/>
      <c r="H190" s="648"/>
      <c r="I190" s="647"/>
      <c r="J190" s="645"/>
      <c r="K190" s="644"/>
      <c r="L190" s="645"/>
      <c r="M190" s="645"/>
      <c r="N190" s="644"/>
      <c r="O190" s="645"/>
      <c r="P190" s="645"/>
      <c r="Q190" s="644"/>
      <c r="R190" s="649"/>
    </row>
    <row r="191" spans="1:18">
      <c r="A191" s="644"/>
      <c r="B191" s="644"/>
      <c r="C191" s="645"/>
      <c r="D191" s="646"/>
      <c r="E191" s="647"/>
      <c r="F191" s="647"/>
      <c r="G191" s="647"/>
      <c r="H191" s="648"/>
      <c r="I191" s="647"/>
      <c r="J191" s="645"/>
      <c r="K191" s="644"/>
      <c r="L191" s="645"/>
      <c r="M191" s="645"/>
      <c r="N191" s="644"/>
      <c r="O191" s="645"/>
      <c r="P191" s="645"/>
      <c r="Q191" s="644"/>
      <c r="R191" s="649"/>
    </row>
    <row r="192" spans="1:18">
      <c r="A192" s="644"/>
      <c r="B192" s="644"/>
      <c r="C192" s="645"/>
      <c r="D192" s="646"/>
      <c r="E192" s="647"/>
      <c r="F192" s="647"/>
      <c r="G192" s="647"/>
      <c r="H192" s="648"/>
      <c r="I192" s="647"/>
      <c r="J192" s="645"/>
      <c r="K192" s="644"/>
      <c r="L192" s="645"/>
      <c r="M192" s="645"/>
      <c r="N192" s="644"/>
      <c r="O192" s="645"/>
      <c r="P192" s="645"/>
      <c r="Q192" s="644"/>
      <c r="R192" s="649"/>
    </row>
    <row r="193" spans="1:18">
      <c r="A193" s="644"/>
      <c r="B193" s="644"/>
      <c r="C193" s="645"/>
      <c r="D193" s="646"/>
      <c r="E193" s="647"/>
      <c r="F193" s="647"/>
      <c r="G193" s="647"/>
      <c r="H193" s="648"/>
      <c r="I193" s="647"/>
      <c r="J193" s="645"/>
      <c r="K193" s="644"/>
      <c r="L193" s="645"/>
      <c r="M193" s="645"/>
      <c r="N193" s="644"/>
      <c r="O193" s="645"/>
      <c r="P193" s="645"/>
      <c r="Q193" s="644"/>
      <c r="R193" s="649"/>
    </row>
    <row r="194" spans="1:18">
      <c r="A194" s="644"/>
      <c r="B194" s="644"/>
      <c r="C194" s="645"/>
      <c r="D194" s="646"/>
      <c r="E194" s="647"/>
      <c r="F194" s="647"/>
      <c r="G194" s="647"/>
      <c r="H194" s="648"/>
      <c r="I194" s="647"/>
      <c r="J194" s="645"/>
      <c r="K194" s="644"/>
      <c r="L194" s="645"/>
      <c r="M194" s="645"/>
      <c r="N194" s="644"/>
      <c r="O194" s="645"/>
      <c r="P194" s="645"/>
      <c r="Q194" s="644"/>
      <c r="R194" s="649"/>
    </row>
    <row r="195" spans="1:18">
      <c r="A195" s="644"/>
      <c r="B195" s="644"/>
      <c r="C195" s="645"/>
      <c r="D195" s="646"/>
      <c r="E195" s="647"/>
      <c r="F195" s="647"/>
      <c r="G195" s="647"/>
      <c r="H195" s="648"/>
      <c r="I195" s="647"/>
      <c r="J195" s="645"/>
      <c r="K195" s="644"/>
      <c r="L195" s="645"/>
      <c r="M195" s="645"/>
      <c r="N195" s="644"/>
      <c r="O195" s="645"/>
      <c r="P195" s="645"/>
      <c r="Q195" s="644"/>
      <c r="R195" s="649"/>
    </row>
    <row r="196" spans="1:18">
      <c r="A196" s="644"/>
      <c r="B196" s="644"/>
      <c r="C196" s="645"/>
      <c r="D196" s="646"/>
      <c r="E196" s="647"/>
      <c r="F196" s="647"/>
      <c r="G196" s="647"/>
      <c r="H196" s="648"/>
      <c r="I196" s="647"/>
      <c r="J196" s="645"/>
      <c r="K196" s="644"/>
      <c r="L196" s="645"/>
      <c r="M196" s="645"/>
      <c r="N196" s="644"/>
      <c r="O196" s="645"/>
      <c r="P196" s="645"/>
      <c r="Q196" s="644"/>
      <c r="R196" s="649"/>
    </row>
    <row r="197" spans="1:18">
      <c r="A197" s="644"/>
      <c r="B197" s="644"/>
      <c r="C197" s="645"/>
      <c r="D197" s="646"/>
      <c r="E197" s="647"/>
      <c r="F197" s="647"/>
      <c r="G197" s="647"/>
      <c r="H197" s="648"/>
      <c r="I197" s="647"/>
      <c r="J197" s="645"/>
      <c r="K197" s="644"/>
      <c r="L197" s="645"/>
      <c r="M197" s="645"/>
      <c r="N197" s="644"/>
      <c r="O197" s="645"/>
      <c r="P197" s="645"/>
      <c r="Q197" s="644"/>
      <c r="R197" s="649"/>
    </row>
    <row r="198" spans="1:18">
      <c r="A198" s="644"/>
      <c r="B198" s="644"/>
      <c r="C198" s="645"/>
      <c r="D198" s="646"/>
      <c r="E198" s="647"/>
      <c r="F198" s="647"/>
      <c r="G198" s="647"/>
      <c r="H198" s="648"/>
      <c r="I198" s="647"/>
      <c r="J198" s="645"/>
      <c r="K198" s="644"/>
      <c r="L198" s="645"/>
      <c r="M198" s="645"/>
      <c r="N198" s="644"/>
      <c r="O198" s="645"/>
      <c r="P198" s="645"/>
      <c r="Q198" s="644"/>
      <c r="R198" s="649"/>
    </row>
    <row r="199" spans="1:18">
      <c r="A199" s="644"/>
      <c r="B199" s="644"/>
      <c r="C199" s="645"/>
      <c r="D199" s="646"/>
      <c r="E199" s="647"/>
      <c r="F199" s="647"/>
      <c r="G199" s="647"/>
      <c r="H199" s="648"/>
      <c r="I199" s="647"/>
      <c r="J199" s="645"/>
      <c r="K199" s="644"/>
      <c r="L199" s="645"/>
      <c r="M199" s="645"/>
      <c r="N199" s="644"/>
      <c r="O199" s="645"/>
      <c r="P199" s="645"/>
      <c r="Q199" s="644"/>
      <c r="R199" s="649"/>
    </row>
    <row r="200" spans="1:18">
      <c r="A200" s="644"/>
      <c r="B200" s="644"/>
      <c r="C200" s="645"/>
      <c r="D200" s="646"/>
      <c r="E200" s="647"/>
      <c r="F200" s="647"/>
      <c r="G200" s="647"/>
      <c r="H200" s="648"/>
      <c r="I200" s="647"/>
      <c r="J200" s="645"/>
      <c r="K200" s="644"/>
      <c r="L200" s="645"/>
      <c r="M200" s="645"/>
      <c r="N200" s="644"/>
      <c r="O200" s="645"/>
      <c r="P200" s="645"/>
      <c r="Q200" s="644"/>
      <c r="R200" s="649"/>
    </row>
    <row r="201" spans="1:18">
      <c r="A201" s="644"/>
      <c r="B201" s="644"/>
      <c r="C201" s="645"/>
      <c r="D201" s="646"/>
      <c r="E201" s="647"/>
      <c r="F201" s="647"/>
      <c r="G201" s="647"/>
      <c r="H201" s="648"/>
      <c r="I201" s="647"/>
      <c r="J201" s="645"/>
      <c r="K201" s="644"/>
      <c r="L201" s="645"/>
      <c r="M201" s="645"/>
      <c r="N201" s="644"/>
      <c r="O201" s="645"/>
      <c r="P201" s="645"/>
      <c r="Q201" s="644"/>
      <c r="R201" s="649"/>
    </row>
    <row r="202" spans="1:18">
      <c r="A202" s="644"/>
      <c r="B202" s="644"/>
      <c r="C202" s="645"/>
      <c r="D202" s="646"/>
      <c r="E202" s="647"/>
      <c r="F202" s="647"/>
      <c r="G202" s="647"/>
      <c r="H202" s="648"/>
      <c r="I202" s="647"/>
      <c r="J202" s="645"/>
      <c r="K202" s="644"/>
      <c r="L202" s="645"/>
      <c r="M202" s="645"/>
      <c r="N202" s="644"/>
      <c r="O202" s="645"/>
      <c r="P202" s="645"/>
      <c r="Q202" s="644"/>
      <c r="R202" s="649"/>
    </row>
    <row r="203" spans="1:18">
      <c r="A203" s="644"/>
      <c r="B203" s="644"/>
      <c r="C203" s="645"/>
      <c r="D203" s="646"/>
      <c r="E203" s="647"/>
      <c r="F203" s="647"/>
      <c r="G203" s="647"/>
      <c r="H203" s="648"/>
      <c r="I203" s="647"/>
      <c r="J203" s="645"/>
      <c r="K203" s="644"/>
      <c r="L203" s="645"/>
      <c r="M203" s="645"/>
      <c r="N203" s="644"/>
      <c r="O203" s="645"/>
      <c r="P203" s="645"/>
      <c r="Q203" s="644"/>
      <c r="R203" s="649"/>
    </row>
    <row r="204" spans="1:18">
      <c r="A204" s="644"/>
      <c r="B204" s="644"/>
      <c r="C204" s="645"/>
      <c r="D204" s="646"/>
      <c r="E204" s="647"/>
      <c r="F204" s="647"/>
      <c r="G204" s="647"/>
      <c r="H204" s="648"/>
      <c r="I204" s="647"/>
      <c r="J204" s="645"/>
      <c r="K204" s="644"/>
      <c r="L204" s="645"/>
      <c r="M204" s="645"/>
      <c r="N204" s="644"/>
      <c r="O204" s="645"/>
      <c r="P204" s="645"/>
      <c r="Q204" s="644"/>
      <c r="R204" s="649"/>
    </row>
    <row r="205" spans="1:18">
      <c r="A205" s="644"/>
      <c r="B205" s="644"/>
      <c r="C205" s="645"/>
      <c r="D205" s="646"/>
      <c r="E205" s="647"/>
      <c r="F205" s="647"/>
      <c r="G205" s="647"/>
      <c r="H205" s="648"/>
      <c r="I205" s="647"/>
      <c r="J205" s="645"/>
      <c r="K205" s="644"/>
      <c r="L205" s="645"/>
      <c r="M205" s="645"/>
      <c r="N205" s="644"/>
      <c r="O205" s="645"/>
      <c r="P205" s="645"/>
      <c r="Q205" s="644"/>
      <c r="R205" s="649"/>
    </row>
    <row r="206" spans="1:18">
      <c r="A206" s="644"/>
      <c r="B206" s="644"/>
      <c r="C206" s="645"/>
      <c r="D206" s="646"/>
      <c r="E206" s="647"/>
      <c r="F206" s="647"/>
      <c r="G206" s="647"/>
      <c r="H206" s="648"/>
      <c r="I206" s="647"/>
      <c r="J206" s="645"/>
      <c r="K206" s="644"/>
      <c r="L206" s="645"/>
      <c r="M206" s="645"/>
      <c r="N206" s="644"/>
      <c r="O206" s="645"/>
      <c r="P206" s="645"/>
      <c r="Q206" s="644"/>
      <c r="R206" s="649"/>
    </row>
    <row r="207" spans="1:18">
      <c r="A207" s="644"/>
      <c r="B207" s="644"/>
      <c r="C207" s="645"/>
      <c r="D207" s="646"/>
      <c r="E207" s="647"/>
      <c r="F207" s="647"/>
      <c r="G207" s="647"/>
      <c r="H207" s="648"/>
      <c r="I207" s="647"/>
      <c r="J207" s="645"/>
      <c r="K207" s="644"/>
      <c r="L207" s="645"/>
      <c r="M207" s="645"/>
      <c r="N207" s="644"/>
      <c r="O207" s="645"/>
      <c r="P207" s="645"/>
      <c r="Q207" s="644"/>
      <c r="R207" s="649"/>
    </row>
    <row r="208" spans="1:18">
      <c r="A208" s="644"/>
      <c r="B208" s="644"/>
      <c r="C208" s="645"/>
      <c r="D208" s="646"/>
      <c r="E208" s="647"/>
      <c r="F208" s="647"/>
      <c r="G208" s="647"/>
      <c r="H208" s="648"/>
      <c r="I208" s="647"/>
      <c r="J208" s="645"/>
      <c r="K208" s="644"/>
      <c r="L208" s="645"/>
      <c r="M208" s="645"/>
      <c r="N208" s="644"/>
      <c r="O208" s="645"/>
      <c r="P208" s="645"/>
      <c r="Q208" s="644"/>
      <c r="R208" s="649"/>
    </row>
    <row r="209" spans="1:18">
      <c r="A209" s="644"/>
      <c r="B209" s="644"/>
      <c r="C209" s="645"/>
      <c r="D209" s="646"/>
      <c r="E209" s="647"/>
      <c r="F209" s="647"/>
      <c r="G209" s="647"/>
      <c r="H209" s="648"/>
      <c r="I209" s="647"/>
      <c r="J209" s="645"/>
      <c r="K209" s="644"/>
      <c r="L209" s="645"/>
      <c r="M209" s="645"/>
      <c r="N209" s="644"/>
      <c r="O209" s="645"/>
      <c r="P209" s="645"/>
      <c r="Q209" s="644"/>
      <c r="R209" s="649"/>
    </row>
    <row r="210" spans="1:18">
      <c r="A210" s="644"/>
      <c r="B210" s="644"/>
      <c r="C210" s="645"/>
      <c r="D210" s="646"/>
      <c r="E210" s="647"/>
      <c r="F210" s="647"/>
      <c r="G210" s="647"/>
      <c r="H210" s="648"/>
      <c r="I210" s="647"/>
      <c r="J210" s="645"/>
      <c r="K210" s="644"/>
      <c r="L210" s="645"/>
      <c r="M210" s="645"/>
      <c r="N210" s="644"/>
      <c r="O210" s="645"/>
      <c r="P210" s="645"/>
      <c r="Q210" s="644"/>
      <c r="R210" s="649"/>
    </row>
    <row r="211" spans="1:18">
      <c r="A211" s="644"/>
      <c r="B211" s="644"/>
      <c r="C211" s="645"/>
      <c r="D211" s="646"/>
      <c r="E211" s="647"/>
      <c r="F211" s="647"/>
      <c r="G211" s="647"/>
      <c r="H211" s="648"/>
      <c r="I211" s="647"/>
      <c r="J211" s="645"/>
      <c r="K211" s="644"/>
      <c r="L211" s="645"/>
      <c r="M211" s="645"/>
      <c r="N211" s="644"/>
      <c r="O211" s="645"/>
      <c r="P211" s="645"/>
      <c r="Q211" s="644"/>
      <c r="R211" s="649"/>
    </row>
    <row r="212" spans="1:18">
      <c r="A212" s="644"/>
      <c r="B212" s="644"/>
      <c r="C212" s="645"/>
      <c r="D212" s="646"/>
      <c r="E212" s="647"/>
      <c r="F212" s="647"/>
      <c r="G212" s="647"/>
      <c r="H212" s="648"/>
      <c r="I212" s="647"/>
      <c r="J212" s="645"/>
      <c r="K212" s="644"/>
      <c r="L212" s="645"/>
      <c r="M212" s="645"/>
      <c r="N212" s="644"/>
      <c r="O212" s="645"/>
      <c r="P212" s="645"/>
      <c r="Q212" s="644"/>
      <c r="R212" s="649"/>
    </row>
    <row r="213" spans="1:18">
      <c r="A213" s="644"/>
      <c r="B213" s="644"/>
      <c r="C213" s="645"/>
      <c r="D213" s="646"/>
      <c r="E213" s="647"/>
      <c r="F213" s="647"/>
      <c r="G213" s="647"/>
      <c r="H213" s="648"/>
      <c r="I213" s="647"/>
      <c r="J213" s="645"/>
      <c r="K213" s="644"/>
      <c r="L213" s="645"/>
      <c r="M213" s="645"/>
      <c r="N213" s="644"/>
      <c r="O213" s="645"/>
      <c r="P213" s="645"/>
      <c r="Q213" s="644"/>
      <c r="R213" s="649"/>
    </row>
    <row r="214" spans="1:18">
      <c r="A214" s="644"/>
      <c r="B214" s="644"/>
      <c r="C214" s="645"/>
      <c r="D214" s="646"/>
      <c r="E214" s="647"/>
      <c r="F214" s="647"/>
      <c r="G214" s="647"/>
      <c r="H214" s="648"/>
      <c r="I214" s="647"/>
      <c r="J214" s="645"/>
      <c r="K214" s="644"/>
      <c r="L214" s="645"/>
      <c r="M214" s="645"/>
      <c r="N214" s="644"/>
      <c r="O214" s="645"/>
      <c r="P214" s="645"/>
      <c r="Q214" s="644"/>
      <c r="R214" s="649"/>
    </row>
    <row r="215" spans="1:18">
      <c r="A215" s="644"/>
      <c r="B215" s="644"/>
      <c r="C215" s="645"/>
      <c r="D215" s="646"/>
      <c r="E215" s="647"/>
      <c r="F215" s="647"/>
      <c r="G215" s="647"/>
      <c r="H215" s="648"/>
      <c r="I215" s="647"/>
      <c r="J215" s="645"/>
      <c r="K215" s="644"/>
      <c r="L215" s="645"/>
      <c r="M215" s="645"/>
      <c r="N215" s="644"/>
      <c r="O215" s="645"/>
      <c r="P215" s="645"/>
      <c r="Q215" s="644"/>
      <c r="R215" s="649"/>
    </row>
    <row r="216" spans="1:18">
      <c r="A216" s="644"/>
      <c r="B216" s="644"/>
      <c r="C216" s="645"/>
      <c r="D216" s="646"/>
      <c r="E216" s="647"/>
      <c r="F216" s="647"/>
      <c r="G216" s="647"/>
      <c r="H216" s="648"/>
      <c r="I216" s="647"/>
      <c r="J216" s="645"/>
      <c r="K216" s="644"/>
      <c r="L216" s="645"/>
      <c r="M216" s="645"/>
      <c r="N216" s="644"/>
      <c r="O216" s="645"/>
      <c r="P216" s="645"/>
      <c r="Q216" s="644"/>
      <c r="R216" s="649"/>
    </row>
    <row r="217" spans="1:18">
      <c r="A217" s="644"/>
      <c r="B217" s="644"/>
      <c r="C217" s="645"/>
      <c r="D217" s="646"/>
      <c r="E217" s="647"/>
      <c r="F217" s="647"/>
      <c r="G217" s="647"/>
      <c r="H217" s="648"/>
      <c r="I217" s="647"/>
      <c r="J217" s="645"/>
      <c r="K217" s="644"/>
      <c r="L217" s="645"/>
      <c r="M217" s="645"/>
      <c r="N217" s="644"/>
      <c r="O217" s="645"/>
      <c r="P217" s="645"/>
      <c r="Q217" s="644"/>
      <c r="R217" s="649"/>
    </row>
    <row r="218" spans="1:18">
      <c r="A218" s="644"/>
      <c r="B218" s="644"/>
      <c r="C218" s="645"/>
      <c r="D218" s="646"/>
      <c r="E218" s="647"/>
      <c r="F218" s="647"/>
      <c r="G218" s="647"/>
      <c r="H218" s="648"/>
      <c r="I218" s="647"/>
      <c r="J218" s="645"/>
      <c r="K218" s="644"/>
      <c r="L218" s="645"/>
      <c r="M218" s="645"/>
      <c r="N218" s="644"/>
      <c r="O218" s="645"/>
      <c r="P218" s="645"/>
      <c r="Q218" s="644"/>
      <c r="R218" s="649"/>
    </row>
    <row r="219" spans="1:18">
      <c r="A219" s="644"/>
      <c r="B219" s="644"/>
      <c r="C219" s="645"/>
      <c r="D219" s="646"/>
      <c r="E219" s="647"/>
      <c r="F219" s="647"/>
      <c r="G219" s="647"/>
      <c r="H219" s="648"/>
      <c r="I219" s="647"/>
      <c r="J219" s="645"/>
      <c r="K219" s="644"/>
      <c r="L219" s="645"/>
      <c r="M219" s="645"/>
      <c r="N219" s="644"/>
      <c r="O219" s="645"/>
      <c r="P219" s="645"/>
      <c r="Q219" s="644"/>
      <c r="R219" s="649"/>
    </row>
    <row r="220" spans="1:18">
      <c r="A220" s="644"/>
      <c r="B220" s="644"/>
      <c r="C220" s="645"/>
      <c r="D220" s="646"/>
      <c r="E220" s="647"/>
      <c r="F220" s="647"/>
      <c r="G220" s="647"/>
      <c r="H220" s="648"/>
      <c r="I220" s="647"/>
      <c r="J220" s="645"/>
      <c r="K220" s="644"/>
      <c r="L220" s="645"/>
      <c r="M220" s="645"/>
      <c r="N220" s="644"/>
      <c r="O220" s="645"/>
      <c r="P220" s="645"/>
      <c r="Q220" s="644"/>
      <c r="R220" s="649"/>
    </row>
    <row r="221" spans="1:18">
      <c r="A221" s="644"/>
      <c r="B221" s="644"/>
      <c r="C221" s="645"/>
      <c r="D221" s="646"/>
      <c r="E221" s="647"/>
      <c r="F221" s="647"/>
      <c r="G221" s="647"/>
      <c r="H221" s="648"/>
      <c r="I221" s="647"/>
      <c r="J221" s="645"/>
      <c r="K221" s="644"/>
      <c r="L221" s="645"/>
      <c r="M221" s="645"/>
      <c r="N221" s="644"/>
      <c r="O221" s="645"/>
      <c r="P221" s="645"/>
      <c r="Q221" s="644"/>
      <c r="R221" s="649"/>
    </row>
    <row r="222" spans="1:18">
      <c r="A222" s="644"/>
      <c r="B222" s="644"/>
      <c r="C222" s="645"/>
      <c r="D222" s="646"/>
      <c r="E222" s="647"/>
      <c r="F222" s="647"/>
      <c r="G222" s="647"/>
      <c r="H222" s="648"/>
      <c r="I222" s="647"/>
      <c r="J222" s="645"/>
      <c r="K222" s="644"/>
      <c r="L222" s="645"/>
      <c r="M222" s="645"/>
      <c r="N222" s="644"/>
      <c r="O222" s="645"/>
      <c r="P222" s="645"/>
      <c r="Q222" s="644"/>
      <c r="R222" s="649"/>
    </row>
    <row r="223" spans="1:18">
      <c r="A223" s="644"/>
      <c r="B223" s="644"/>
      <c r="C223" s="645"/>
      <c r="D223" s="646"/>
      <c r="E223" s="647"/>
      <c r="F223" s="647"/>
      <c r="G223" s="647"/>
      <c r="H223" s="648"/>
      <c r="I223" s="647"/>
      <c r="J223" s="645"/>
      <c r="K223" s="644"/>
      <c r="L223" s="645"/>
      <c r="M223" s="645"/>
      <c r="N223" s="644"/>
      <c r="O223" s="645"/>
      <c r="P223" s="645"/>
      <c r="Q223" s="644"/>
      <c r="R223" s="649"/>
    </row>
    <row r="224" spans="1:18">
      <c r="A224" s="644"/>
      <c r="B224" s="644"/>
      <c r="C224" s="645"/>
      <c r="D224" s="646"/>
      <c r="E224" s="647"/>
      <c r="F224" s="647"/>
      <c r="G224" s="647"/>
      <c r="H224" s="648"/>
      <c r="I224" s="647"/>
      <c r="J224" s="645"/>
      <c r="K224" s="644"/>
      <c r="L224" s="645"/>
      <c r="M224" s="645"/>
      <c r="N224" s="644"/>
      <c r="O224" s="645"/>
      <c r="P224" s="645"/>
      <c r="Q224" s="644"/>
      <c r="R224" s="649"/>
    </row>
    <row r="225" spans="1:18">
      <c r="A225" s="644"/>
      <c r="B225" s="644"/>
      <c r="C225" s="645"/>
      <c r="D225" s="646"/>
      <c r="E225" s="647"/>
      <c r="F225" s="647"/>
      <c r="G225" s="647"/>
      <c r="H225" s="648"/>
      <c r="I225" s="647"/>
      <c r="J225" s="645"/>
      <c r="K225" s="644"/>
      <c r="L225" s="645"/>
      <c r="M225" s="645"/>
      <c r="N225" s="644"/>
      <c r="O225" s="645"/>
      <c r="P225" s="645"/>
      <c r="Q225" s="644"/>
      <c r="R225" s="649"/>
    </row>
    <row r="226" spans="1:18">
      <c r="A226" s="644"/>
      <c r="B226" s="644"/>
      <c r="C226" s="645"/>
      <c r="D226" s="646"/>
      <c r="E226" s="647"/>
      <c r="F226" s="647"/>
      <c r="G226" s="647"/>
      <c r="H226" s="648"/>
      <c r="I226" s="647"/>
      <c r="J226" s="645"/>
      <c r="K226" s="644"/>
      <c r="L226" s="645"/>
      <c r="M226" s="645"/>
      <c r="N226" s="644"/>
      <c r="O226" s="645"/>
      <c r="P226" s="645"/>
      <c r="Q226" s="644"/>
      <c r="R226" s="649"/>
    </row>
    <row r="227" spans="1:18">
      <c r="A227" s="644"/>
      <c r="B227" s="644"/>
      <c r="C227" s="645"/>
      <c r="D227" s="646"/>
      <c r="E227" s="647"/>
      <c r="F227" s="647"/>
      <c r="G227" s="647"/>
      <c r="H227" s="648"/>
      <c r="I227" s="647"/>
      <c r="J227" s="645"/>
      <c r="K227" s="644"/>
      <c r="L227" s="645"/>
      <c r="M227" s="645"/>
      <c r="N227" s="644"/>
      <c r="O227" s="645"/>
      <c r="P227" s="645"/>
      <c r="Q227" s="644"/>
      <c r="R227" s="649"/>
    </row>
    <row r="228" spans="1:18">
      <c r="A228" s="644"/>
      <c r="B228" s="644"/>
      <c r="C228" s="645"/>
      <c r="D228" s="646"/>
      <c r="E228" s="647"/>
      <c r="F228" s="647"/>
      <c r="G228" s="647"/>
      <c r="H228" s="648"/>
      <c r="I228" s="647"/>
      <c r="J228" s="645"/>
      <c r="K228" s="644"/>
      <c r="L228" s="645"/>
      <c r="M228" s="645"/>
      <c r="N228" s="644"/>
      <c r="O228" s="645"/>
      <c r="P228" s="645"/>
      <c r="Q228" s="644"/>
      <c r="R228" s="649"/>
    </row>
    <row r="229" spans="1:18">
      <c r="A229" s="644"/>
      <c r="B229" s="644"/>
      <c r="C229" s="645"/>
      <c r="D229" s="646"/>
      <c r="E229" s="647"/>
      <c r="F229" s="647"/>
      <c r="G229" s="647"/>
      <c r="H229" s="648"/>
      <c r="I229" s="647"/>
      <c r="J229" s="645"/>
      <c r="K229" s="644"/>
      <c r="L229" s="645"/>
      <c r="M229" s="645"/>
      <c r="N229" s="644"/>
      <c r="O229" s="645"/>
      <c r="P229" s="645"/>
      <c r="Q229" s="644"/>
      <c r="R229" s="649"/>
    </row>
    <row r="230" spans="1:18">
      <c r="A230" s="644"/>
      <c r="B230" s="644"/>
      <c r="C230" s="645"/>
      <c r="D230" s="646"/>
      <c r="E230" s="647"/>
      <c r="F230" s="647"/>
      <c r="G230" s="647"/>
      <c r="H230" s="648"/>
      <c r="I230" s="647"/>
      <c r="J230" s="645"/>
      <c r="K230" s="644"/>
      <c r="L230" s="645"/>
      <c r="M230" s="645"/>
      <c r="N230" s="644"/>
      <c r="O230" s="645"/>
      <c r="P230" s="645"/>
      <c r="Q230" s="644"/>
      <c r="R230" s="649"/>
    </row>
    <row r="231" spans="1:18">
      <c r="A231" s="644"/>
      <c r="B231" s="644"/>
      <c r="C231" s="645"/>
      <c r="D231" s="646"/>
      <c r="E231" s="647"/>
      <c r="F231" s="647"/>
      <c r="G231" s="647"/>
      <c r="H231" s="648"/>
      <c r="I231" s="647"/>
      <c r="J231" s="645"/>
      <c r="K231" s="644"/>
      <c r="L231" s="645"/>
      <c r="M231" s="645"/>
      <c r="N231" s="644"/>
      <c r="O231" s="645"/>
      <c r="P231" s="645"/>
      <c r="Q231" s="644"/>
      <c r="R231" s="649"/>
    </row>
    <row r="232" spans="1:18">
      <c r="A232" s="644"/>
      <c r="B232" s="644"/>
      <c r="C232" s="645"/>
      <c r="D232" s="646"/>
      <c r="E232" s="647"/>
      <c r="F232" s="647"/>
      <c r="G232" s="647"/>
      <c r="H232" s="648"/>
      <c r="I232" s="647"/>
      <c r="J232" s="645"/>
      <c r="K232" s="644"/>
      <c r="L232" s="645"/>
      <c r="M232" s="645"/>
      <c r="N232" s="644"/>
      <c r="O232" s="645"/>
      <c r="P232" s="645"/>
      <c r="Q232" s="644"/>
      <c r="R232" s="649"/>
    </row>
    <row r="233" spans="1:18">
      <c r="A233" s="644"/>
      <c r="B233" s="644"/>
      <c r="C233" s="645"/>
      <c r="D233" s="646"/>
      <c r="E233" s="647"/>
      <c r="F233" s="647"/>
      <c r="G233" s="647"/>
      <c r="H233" s="648"/>
      <c r="I233" s="647"/>
      <c r="J233" s="645"/>
      <c r="K233" s="644"/>
      <c r="L233" s="645"/>
      <c r="M233" s="645"/>
      <c r="N233" s="644"/>
      <c r="O233" s="645"/>
      <c r="P233" s="645"/>
      <c r="Q233" s="644"/>
      <c r="R233" s="649"/>
    </row>
    <row r="234" spans="1:18">
      <c r="A234" s="644"/>
      <c r="B234" s="644"/>
      <c r="C234" s="645"/>
      <c r="D234" s="646"/>
      <c r="E234" s="647"/>
      <c r="F234" s="647"/>
      <c r="G234" s="647"/>
      <c r="H234" s="648"/>
      <c r="I234" s="647"/>
      <c r="J234" s="645"/>
      <c r="K234" s="644"/>
      <c r="L234" s="645"/>
      <c r="M234" s="645"/>
      <c r="N234" s="644"/>
      <c r="O234" s="645"/>
      <c r="P234" s="645"/>
      <c r="Q234" s="644"/>
      <c r="R234" s="649"/>
    </row>
    <row r="235" spans="1:18">
      <c r="A235" s="644"/>
      <c r="B235" s="644"/>
      <c r="C235" s="645"/>
      <c r="D235" s="646"/>
      <c r="E235" s="647"/>
      <c r="F235" s="647"/>
      <c r="G235" s="647"/>
      <c r="H235" s="648"/>
      <c r="I235" s="647"/>
      <c r="J235" s="645"/>
      <c r="K235" s="644"/>
      <c r="L235" s="645"/>
      <c r="M235" s="645"/>
      <c r="N235" s="644"/>
      <c r="O235" s="645"/>
      <c r="P235" s="645"/>
      <c r="Q235" s="644"/>
      <c r="R235" s="649"/>
    </row>
    <row r="236" spans="1:18">
      <c r="A236" s="644"/>
      <c r="B236" s="644"/>
      <c r="C236" s="645"/>
      <c r="D236" s="646"/>
      <c r="E236" s="647"/>
      <c r="F236" s="647"/>
      <c r="G236" s="647"/>
      <c r="H236" s="648"/>
      <c r="I236" s="647"/>
      <c r="J236" s="645"/>
      <c r="K236" s="644"/>
      <c r="L236" s="645"/>
      <c r="M236" s="645"/>
      <c r="N236" s="644"/>
      <c r="O236" s="645"/>
      <c r="P236" s="645"/>
      <c r="Q236" s="644"/>
      <c r="R236" s="649"/>
    </row>
    <row r="237" spans="1:18">
      <c r="A237" s="644"/>
      <c r="B237" s="644"/>
      <c r="C237" s="645"/>
      <c r="D237" s="646"/>
      <c r="E237" s="647"/>
      <c r="F237" s="647"/>
      <c r="G237" s="647"/>
      <c r="H237" s="648"/>
      <c r="I237" s="647"/>
      <c r="J237" s="645"/>
      <c r="K237" s="644"/>
      <c r="L237" s="645"/>
      <c r="M237" s="645"/>
      <c r="N237" s="644"/>
      <c r="O237" s="645"/>
      <c r="P237" s="645"/>
      <c r="Q237" s="644"/>
      <c r="R237" s="649"/>
    </row>
    <row r="238" spans="1:18">
      <c r="A238" s="644"/>
      <c r="B238" s="644"/>
      <c r="C238" s="645"/>
      <c r="D238" s="646"/>
      <c r="E238" s="647"/>
      <c r="F238" s="647"/>
      <c r="G238" s="647"/>
      <c r="H238" s="648"/>
      <c r="I238" s="647"/>
      <c r="J238" s="645"/>
      <c r="K238" s="644"/>
      <c r="L238" s="645"/>
      <c r="M238" s="645"/>
      <c r="N238" s="644"/>
      <c r="O238" s="645"/>
      <c r="P238" s="645"/>
      <c r="Q238" s="644"/>
      <c r="R238" s="649"/>
    </row>
    <row r="239" spans="1:18">
      <c r="A239" s="644"/>
      <c r="B239" s="644"/>
      <c r="C239" s="645"/>
      <c r="D239" s="646"/>
      <c r="E239" s="647"/>
      <c r="F239" s="647"/>
      <c r="G239" s="647"/>
      <c r="H239" s="648"/>
      <c r="I239" s="647"/>
      <c r="J239" s="645"/>
      <c r="K239" s="644"/>
      <c r="L239" s="645"/>
      <c r="M239" s="645"/>
      <c r="N239" s="644"/>
      <c r="O239" s="645"/>
      <c r="P239" s="645"/>
      <c r="Q239" s="644"/>
      <c r="R239" s="649"/>
    </row>
    <row r="240" spans="1:18">
      <c r="A240" s="644"/>
      <c r="B240" s="644"/>
      <c r="C240" s="645"/>
      <c r="D240" s="646"/>
      <c r="E240" s="647"/>
      <c r="F240" s="647"/>
      <c r="G240" s="647"/>
      <c r="H240" s="648"/>
      <c r="I240" s="647"/>
      <c r="J240" s="645"/>
      <c r="K240" s="644"/>
      <c r="L240" s="645"/>
      <c r="M240" s="645"/>
      <c r="N240" s="644"/>
      <c r="O240" s="645"/>
      <c r="P240" s="645"/>
      <c r="Q240" s="644"/>
      <c r="R240" s="649"/>
    </row>
    <row r="241" spans="1:18">
      <c r="A241" s="644"/>
      <c r="B241" s="644"/>
      <c r="C241" s="645"/>
      <c r="D241" s="646"/>
      <c r="E241" s="647"/>
      <c r="F241" s="647"/>
      <c r="G241" s="647"/>
      <c r="H241" s="648"/>
      <c r="I241" s="647"/>
      <c r="J241" s="645"/>
      <c r="K241" s="644"/>
      <c r="L241" s="645"/>
      <c r="M241" s="645"/>
      <c r="N241" s="644"/>
      <c r="O241" s="645"/>
      <c r="P241" s="645"/>
      <c r="Q241" s="644"/>
      <c r="R241" s="649"/>
    </row>
    <row r="242" spans="1:18">
      <c r="A242" s="644"/>
      <c r="B242" s="644"/>
      <c r="C242" s="645"/>
      <c r="D242" s="646"/>
      <c r="E242" s="647"/>
      <c r="F242" s="647"/>
      <c r="G242" s="647"/>
      <c r="H242" s="648"/>
      <c r="I242" s="647"/>
      <c r="J242" s="645"/>
      <c r="K242" s="644"/>
      <c r="L242" s="645"/>
      <c r="M242" s="645"/>
      <c r="N242" s="644"/>
      <c r="O242" s="645"/>
      <c r="P242" s="645"/>
      <c r="Q242" s="644"/>
      <c r="R242" s="649"/>
    </row>
    <row r="243" spans="1:18">
      <c r="A243" s="644"/>
      <c r="B243" s="644"/>
      <c r="C243" s="645"/>
      <c r="D243" s="646"/>
      <c r="E243" s="647"/>
      <c r="F243" s="647"/>
      <c r="G243" s="647"/>
      <c r="H243" s="648"/>
      <c r="I243" s="647"/>
      <c r="J243" s="645"/>
      <c r="K243" s="644"/>
      <c r="L243" s="645"/>
      <c r="M243" s="645"/>
      <c r="N243" s="644"/>
      <c r="O243" s="645"/>
      <c r="P243" s="645"/>
      <c r="Q243" s="644"/>
      <c r="R243" s="649"/>
    </row>
    <row r="244" spans="1:18">
      <c r="A244" s="644"/>
      <c r="B244" s="644"/>
      <c r="C244" s="645"/>
      <c r="D244" s="646"/>
      <c r="E244" s="647"/>
      <c r="F244" s="647"/>
      <c r="G244" s="647"/>
      <c r="H244" s="648"/>
      <c r="I244" s="647"/>
      <c r="J244" s="645"/>
      <c r="K244" s="644"/>
      <c r="L244" s="645"/>
      <c r="M244" s="645"/>
      <c r="N244" s="644"/>
      <c r="O244" s="645"/>
      <c r="P244" s="645"/>
      <c r="Q244" s="644"/>
      <c r="R244" s="649"/>
    </row>
    <row r="245" spans="1:18">
      <c r="A245" s="644"/>
      <c r="B245" s="644"/>
      <c r="C245" s="645"/>
      <c r="D245" s="646"/>
      <c r="E245" s="647"/>
      <c r="F245" s="647"/>
      <c r="G245" s="647"/>
      <c r="H245" s="648"/>
      <c r="I245" s="647"/>
      <c r="J245" s="645"/>
      <c r="K245" s="644"/>
      <c r="L245" s="645"/>
      <c r="M245" s="645"/>
      <c r="N245" s="644"/>
      <c r="O245" s="645"/>
      <c r="P245" s="645"/>
      <c r="Q245" s="644"/>
      <c r="R245" s="649"/>
    </row>
    <row r="246" spans="1:18">
      <c r="A246" s="644"/>
      <c r="B246" s="644"/>
      <c r="C246" s="645"/>
      <c r="D246" s="646"/>
      <c r="E246" s="647"/>
      <c r="F246" s="647"/>
      <c r="G246" s="647"/>
      <c r="H246" s="648"/>
      <c r="I246" s="647"/>
      <c r="J246" s="645"/>
      <c r="K246" s="644"/>
      <c r="L246" s="645"/>
      <c r="M246" s="645"/>
      <c r="N246" s="644"/>
      <c r="O246" s="645"/>
      <c r="P246" s="645"/>
      <c r="Q246" s="644"/>
      <c r="R246" s="649"/>
    </row>
    <row r="247" spans="1:18">
      <c r="A247" s="644"/>
      <c r="B247" s="644"/>
      <c r="C247" s="645"/>
      <c r="D247" s="646"/>
      <c r="E247" s="647"/>
      <c r="F247" s="647"/>
      <c r="G247" s="647"/>
      <c r="H247" s="648"/>
      <c r="I247" s="647"/>
      <c r="J247" s="645"/>
      <c r="K247" s="644"/>
      <c r="L247" s="645"/>
      <c r="M247" s="645"/>
      <c r="N247" s="644"/>
      <c r="O247" s="645"/>
      <c r="P247" s="645"/>
      <c r="Q247" s="644"/>
      <c r="R247" s="649"/>
    </row>
    <row r="248" spans="1:18">
      <c r="A248" s="644"/>
      <c r="B248" s="644"/>
      <c r="C248" s="645"/>
      <c r="D248" s="646"/>
      <c r="E248" s="647"/>
      <c r="F248" s="647"/>
      <c r="G248" s="647"/>
      <c r="H248" s="648"/>
      <c r="I248" s="647"/>
      <c r="J248" s="645"/>
      <c r="K248" s="644"/>
      <c r="L248" s="645"/>
      <c r="M248" s="645"/>
      <c r="N248" s="644"/>
      <c r="O248" s="645"/>
      <c r="P248" s="645"/>
      <c r="Q248" s="644"/>
      <c r="R248" s="649"/>
    </row>
    <row r="249" spans="1:18">
      <c r="A249" s="644"/>
      <c r="B249" s="644"/>
      <c r="C249" s="645"/>
      <c r="D249" s="646"/>
      <c r="E249" s="647"/>
      <c r="F249" s="647"/>
      <c r="G249" s="647"/>
      <c r="H249" s="648"/>
      <c r="I249" s="647"/>
      <c r="J249" s="645"/>
      <c r="K249" s="644"/>
      <c r="L249" s="645"/>
      <c r="M249" s="645"/>
      <c r="N249" s="644"/>
      <c r="O249" s="645"/>
      <c r="P249" s="645"/>
      <c r="Q249" s="644"/>
      <c r="R249" s="649"/>
    </row>
    <row r="250" spans="1:18">
      <c r="A250" s="644"/>
      <c r="B250" s="644"/>
      <c r="C250" s="645"/>
      <c r="D250" s="646"/>
      <c r="E250" s="647"/>
      <c r="F250" s="647"/>
      <c r="G250" s="647"/>
      <c r="H250" s="648"/>
      <c r="I250" s="647"/>
      <c r="J250" s="645"/>
      <c r="K250" s="644"/>
      <c r="L250" s="645"/>
      <c r="M250" s="645"/>
      <c r="N250" s="644"/>
      <c r="O250" s="645"/>
      <c r="P250" s="645"/>
      <c r="Q250" s="644"/>
      <c r="R250" s="649"/>
    </row>
    <row r="251" spans="1:18">
      <c r="A251" s="644"/>
      <c r="B251" s="644"/>
      <c r="C251" s="645"/>
      <c r="D251" s="646"/>
      <c r="E251" s="647"/>
      <c r="F251" s="647"/>
      <c r="G251" s="647"/>
      <c r="H251" s="648"/>
      <c r="I251" s="647"/>
      <c r="J251" s="645"/>
      <c r="K251" s="644"/>
      <c r="L251" s="645"/>
      <c r="M251" s="645"/>
      <c r="N251" s="644"/>
      <c r="O251" s="645"/>
      <c r="P251" s="645"/>
      <c r="Q251" s="644"/>
      <c r="R251" s="649"/>
    </row>
    <row r="252" spans="1:18">
      <c r="A252" s="644"/>
      <c r="B252" s="644"/>
      <c r="C252" s="645"/>
      <c r="D252" s="646"/>
      <c r="E252" s="647"/>
      <c r="F252" s="647"/>
      <c r="G252" s="647"/>
      <c r="H252" s="648"/>
      <c r="I252" s="647"/>
      <c r="J252" s="645"/>
      <c r="K252" s="644"/>
      <c r="L252" s="645"/>
      <c r="M252" s="645"/>
      <c r="N252" s="644"/>
      <c r="O252" s="645"/>
      <c r="P252" s="645"/>
      <c r="Q252" s="644"/>
      <c r="R252" s="649"/>
    </row>
    <row r="253" spans="1:18">
      <c r="A253" s="644"/>
      <c r="B253" s="644"/>
      <c r="C253" s="645"/>
      <c r="D253" s="646"/>
      <c r="E253" s="647"/>
      <c r="F253" s="647"/>
      <c r="G253" s="647"/>
      <c r="H253" s="648"/>
      <c r="I253" s="647"/>
      <c r="J253" s="645"/>
      <c r="K253" s="644"/>
      <c r="L253" s="645"/>
      <c r="M253" s="645"/>
      <c r="N253" s="644"/>
      <c r="O253" s="645"/>
      <c r="P253" s="645"/>
      <c r="Q253" s="644"/>
      <c r="R253" s="649"/>
    </row>
    <row r="254" spans="1:18">
      <c r="A254" s="644"/>
      <c r="B254" s="644"/>
      <c r="C254" s="645"/>
      <c r="D254" s="646"/>
      <c r="E254" s="647"/>
      <c r="F254" s="647"/>
      <c r="G254" s="647"/>
      <c r="H254" s="648"/>
      <c r="I254" s="647"/>
      <c r="J254" s="645"/>
      <c r="K254" s="644"/>
      <c r="L254" s="645"/>
      <c r="M254" s="645"/>
      <c r="N254" s="644"/>
      <c r="O254" s="645"/>
      <c r="P254" s="645"/>
      <c r="Q254" s="644"/>
      <c r="R254" s="649"/>
    </row>
    <row r="255" spans="1:18">
      <c r="A255" s="644"/>
      <c r="B255" s="644"/>
      <c r="C255" s="645"/>
      <c r="D255" s="646"/>
      <c r="E255" s="647"/>
      <c r="F255" s="647"/>
      <c r="G255" s="647"/>
      <c r="H255" s="648"/>
      <c r="I255" s="647"/>
      <c r="J255" s="645"/>
      <c r="K255" s="644"/>
      <c r="L255" s="645"/>
      <c r="M255" s="645"/>
      <c r="N255" s="644"/>
      <c r="O255" s="645"/>
      <c r="P255" s="645"/>
      <c r="Q255" s="644"/>
      <c r="R255" s="649"/>
    </row>
    <row r="256" spans="1:18">
      <c r="A256" s="644"/>
      <c r="B256" s="644"/>
      <c r="C256" s="645"/>
      <c r="D256" s="646"/>
      <c r="E256" s="647"/>
      <c r="F256" s="647"/>
      <c r="G256" s="647"/>
      <c r="H256" s="648"/>
      <c r="I256" s="647"/>
      <c r="J256" s="645"/>
      <c r="K256" s="644"/>
      <c r="L256" s="645"/>
      <c r="M256" s="645"/>
      <c r="N256" s="644"/>
      <c r="O256" s="645"/>
      <c r="P256" s="645"/>
      <c r="Q256" s="644"/>
      <c r="R256" s="649"/>
    </row>
    <row r="257" spans="1:18">
      <c r="A257" s="644"/>
      <c r="B257" s="644"/>
      <c r="C257" s="645"/>
      <c r="D257" s="646"/>
      <c r="E257" s="647"/>
      <c r="F257" s="647"/>
      <c r="G257" s="647"/>
      <c r="H257" s="648"/>
      <c r="I257" s="647"/>
      <c r="J257" s="645"/>
      <c r="K257" s="644"/>
      <c r="L257" s="645"/>
      <c r="M257" s="645"/>
      <c r="N257" s="644"/>
      <c r="O257" s="645"/>
      <c r="P257" s="645"/>
      <c r="Q257" s="644"/>
      <c r="R257" s="649"/>
    </row>
    <row r="258" spans="1:18">
      <c r="A258" s="644"/>
      <c r="B258" s="644"/>
      <c r="C258" s="645"/>
      <c r="D258" s="646"/>
      <c r="E258" s="647"/>
      <c r="F258" s="647"/>
      <c r="G258" s="647"/>
      <c r="H258" s="648"/>
      <c r="I258" s="647"/>
      <c r="J258" s="645"/>
      <c r="K258" s="644"/>
      <c r="L258" s="645"/>
      <c r="M258" s="645"/>
      <c r="N258" s="644"/>
      <c r="O258" s="645"/>
      <c r="P258" s="645"/>
      <c r="Q258" s="644"/>
      <c r="R258" s="649"/>
    </row>
    <row r="259" spans="1:18">
      <c r="A259" s="644"/>
      <c r="B259" s="644"/>
      <c r="C259" s="645"/>
      <c r="D259" s="646"/>
      <c r="E259" s="647"/>
      <c r="F259" s="647"/>
      <c r="G259" s="647"/>
      <c r="H259" s="648"/>
      <c r="I259" s="647"/>
      <c r="J259" s="645"/>
      <c r="K259" s="644"/>
      <c r="L259" s="645"/>
      <c r="M259" s="645"/>
      <c r="N259" s="644"/>
      <c r="O259" s="645"/>
      <c r="P259" s="645"/>
      <c r="Q259" s="644"/>
      <c r="R259" s="649"/>
    </row>
    <row r="260" spans="1:18">
      <c r="A260" s="644"/>
      <c r="B260" s="644"/>
      <c r="C260" s="645"/>
      <c r="D260" s="646"/>
      <c r="E260" s="647"/>
      <c r="F260" s="647"/>
      <c r="G260" s="647"/>
      <c r="H260" s="648"/>
      <c r="I260" s="647"/>
      <c r="J260" s="645"/>
      <c r="K260" s="644"/>
      <c r="L260" s="645"/>
      <c r="M260" s="645"/>
      <c r="N260" s="644"/>
      <c r="O260" s="645"/>
      <c r="P260" s="645"/>
      <c r="Q260" s="644"/>
      <c r="R260" s="649"/>
    </row>
    <row r="261" spans="1:18">
      <c r="A261" s="644"/>
      <c r="B261" s="644"/>
      <c r="C261" s="645"/>
      <c r="D261" s="646"/>
      <c r="E261" s="647"/>
      <c r="F261" s="647"/>
      <c r="G261" s="647"/>
      <c r="H261" s="648"/>
      <c r="I261" s="647"/>
      <c r="J261" s="645"/>
      <c r="K261" s="644"/>
      <c r="L261" s="645"/>
      <c r="M261" s="645"/>
      <c r="N261" s="644"/>
      <c r="O261" s="645"/>
      <c r="P261" s="645"/>
      <c r="Q261" s="644"/>
      <c r="R261" s="649"/>
    </row>
    <row r="262" spans="1:18">
      <c r="A262" s="644"/>
      <c r="B262" s="644"/>
      <c r="C262" s="645"/>
      <c r="D262" s="646"/>
      <c r="E262" s="647"/>
      <c r="F262" s="647"/>
      <c r="G262" s="647"/>
      <c r="H262" s="648"/>
      <c r="I262" s="647"/>
      <c r="J262" s="645"/>
      <c r="K262" s="644"/>
      <c r="L262" s="645"/>
      <c r="M262" s="645"/>
      <c r="N262" s="644"/>
      <c r="O262" s="645"/>
      <c r="P262" s="645"/>
      <c r="Q262" s="644"/>
      <c r="R262" s="649"/>
    </row>
    <row r="263" spans="1:18">
      <c r="A263" s="644"/>
      <c r="B263" s="644"/>
      <c r="C263" s="645"/>
      <c r="D263" s="646"/>
      <c r="E263" s="647"/>
      <c r="F263" s="647"/>
      <c r="G263" s="647"/>
      <c r="H263" s="648"/>
      <c r="I263" s="647"/>
      <c r="J263" s="645"/>
      <c r="K263" s="644"/>
      <c r="L263" s="645"/>
      <c r="M263" s="645"/>
      <c r="N263" s="644"/>
      <c r="O263" s="645"/>
      <c r="P263" s="645"/>
      <c r="Q263" s="644"/>
      <c r="R263" s="649"/>
    </row>
    <row r="264" spans="1:18">
      <c r="A264" s="644"/>
      <c r="B264" s="644"/>
      <c r="C264" s="645"/>
      <c r="D264" s="646"/>
      <c r="E264" s="647"/>
      <c r="F264" s="647"/>
      <c r="G264" s="647"/>
      <c r="H264" s="648"/>
      <c r="I264" s="647"/>
      <c r="J264" s="645"/>
      <c r="K264" s="644"/>
      <c r="L264" s="645"/>
      <c r="M264" s="645"/>
      <c r="N264" s="644"/>
      <c r="O264" s="645"/>
      <c r="P264" s="645"/>
      <c r="Q264" s="644"/>
      <c r="R264" s="649"/>
    </row>
    <row r="265" spans="1:18">
      <c r="A265" s="644"/>
      <c r="B265" s="644"/>
      <c r="C265" s="645"/>
      <c r="D265" s="646"/>
      <c r="E265" s="647"/>
      <c r="F265" s="647"/>
      <c r="G265" s="647"/>
      <c r="H265" s="648"/>
      <c r="I265" s="647"/>
      <c r="J265" s="645"/>
      <c r="K265" s="644"/>
      <c r="L265" s="645"/>
      <c r="M265" s="645"/>
      <c r="N265" s="644"/>
      <c r="O265" s="645"/>
      <c r="P265" s="645"/>
      <c r="Q265" s="644"/>
      <c r="R265" s="649"/>
    </row>
    <row r="266" spans="1:18">
      <c r="A266" s="644"/>
      <c r="B266" s="644"/>
      <c r="C266" s="645"/>
      <c r="D266" s="646"/>
      <c r="E266" s="647"/>
      <c r="F266" s="647"/>
      <c r="G266" s="647"/>
      <c r="H266" s="648"/>
      <c r="I266" s="647"/>
      <c r="J266" s="645"/>
      <c r="K266" s="644"/>
      <c r="L266" s="645"/>
      <c r="M266" s="645"/>
      <c r="N266" s="644"/>
      <c r="O266" s="645"/>
      <c r="P266" s="645"/>
      <c r="Q266" s="644"/>
      <c r="R266" s="649"/>
    </row>
    <row r="267" spans="1:18">
      <c r="A267" s="644"/>
      <c r="B267" s="644"/>
      <c r="C267" s="645"/>
      <c r="D267" s="646"/>
      <c r="E267" s="647"/>
      <c r="F267" s="647"/>
      <c r="G267" s="647"/>
      <c r="H267" s="648"/>
      <c r="I267" s="647"/>
      <c r="J267" s="645"/>
      <c r="K267" s="644"/>
      <c r="L267" s="645"/>
      <c r="M267" s="645"/>
      <c r="N267" s="644"/>
      <c r="O267" s="645"/>
      <c r="P267" s="645"/>
      <c r="Q267" s="644"/>
      <c r="R267" s="649"/>
    </row>
    <row r="268" spans="1:18">
      <c r="A268" s="644"/>
      <c r="B268" s="644"/>
      <c r="C268" s="645"/>
      <c r="D268" s="646"/>
      <c r="E268" s="647"/>
      <c r="F268" s="647"/>
      <c r="G268" s="647"/>
      <c r="H268" s="648"/>
      <c r="I268" s="647"/>
      <c r="J268" s="645"/>
      <c r="K268" s="644"/>
      <c r="L268" s="645"/>
      <c r="M268" s="645"/>
      <c r="N268" s="644"/>
      <c r="O268" s="645"/>
      <c r="P268" s="645"/>
      <c r="Q268" s="644"/>
      <c r="R268" s="649"/>
    </row>
    <row r="269" spans="1:18">
      <c r="A269" s="644"/>
      <c r="B269" s="644"/>
      <c r="C269" s="645"/>
      <c r="D269" s="646"/>
      <c r="E269" s="647"/>
      <c r="F269" s="647"/>
      <c r="G269" s="647"/>
      <c r="H269" s="648"/>
      <c r="I269" s="647"/>
      <c r="J269" s="645"/>
      <c r="K269" s="644"/>
      <c r="L269" s="645"/>
      <c r="M269" s="645"/>
      <c r="N269" s="644"/>
      <c r="O269" s="645"/>
      <c r="P269" s="645"/>
      <c r="Q269" s="644"/>
      <c r="R269" s="649"/>
    </row>
    <row r="270" spans="1:18">
      <c r="A270" s="644"/>
      <c r="B270" s="644"/>
      <c r="C270" s="645"/>
      <c r="D270" s="646"/>
      <c r="E270" s="647"/>
      <c r="F270" s="647"/>
      <c r="G270" s="647"/>
      <c r="H270" s="648"/>
      <c r="I270" s="647"/>
      <c r="J270" s="645"/>
      <c r="K270" s="644"/>
      <c r="L270" s="645"/>
      <c r="M270" s="645"/>
      <c r="N270" s="644"/>
      <c r="O270" s="645"/>
      <c r="P270" s="645"/>
      <c r="Q270" s="644"/>
      <c r="R270" s="649"/>
    </row>
    <row r="271" spans="1:18">
      <c r="A271" s="644"/>
      <c r="B271" s="644"/>
      <c r="C271" s="645"/>
      <c r="D271" s="646"/>
      <c r="E271" s="647"/>
      <c r="F271" s="647"/>
      <c r="G271" s="647"/>
      <c r="H271" s="648"/>
      <c r="I271" s="647"/>
      <c r="J271" s="645"/>
      <c r="K271" s="644"/>
      <c r="L271" s="645"/>
      <c r="M271" s="645"/>
      <c r="N271" s="644"/>
      <c r="O271" s="645"/>
      <c r="P271" s="645"/>
      <c r="Q271" s="644"/>
      <c r="R271" s="649"/>
    </row>
    <row r="272" spans="1:18">
      <c r="A272" s="644"/>
      <c r="B272" s="644"/>
      <c r="C272" s="645"/>
      <c r="D272" s="646"/>
      <c r="E272" s="647"/>
      <c r="F272" s="647"/>
      <c r="G272" s="647"/>
      <c r="H272" s="648"/>
      <c r="I272" s="647"/>
      <c r="J272" s="645"/>
      <c r="K272" s="644"/>
      <c r="L272" s="645"/>
      <c r="M272" s="645"/>
      <c r="N272" s="644"/>
      <c r="O272" s="645"/>
      <c r="P272" s="645"/>
      <c r="Q272" s="644"/>
      <c r="R272" s="649"/>
    </row>
    <row r="273" spans="1:18">
      <c r="A273" s="644"/>
      <c r="B273" s="644"/>
      <c r="C273" s="645"/>
      <c r="D273" s="646"/>
      <c r="E273" s="647"/>
      <c r="F273" s="647"/>
      <c r="G273" s="647"/>
      <c r="H273" s="648"/>
      <c r="I273" s="647"/>
      <c r="J273" s="645"/>
      <c r="K273" s="644"/>
      <c r="L273" s="645"/>
      <c r="M273" s="645"/>
      <c r="N273" s="644"/>
      <c r="O273" s="645"/>
      <c r="P273" s="645"/>
      <c r="Q273" s="644"/>
      <c r="R273" s="649"/>
    </row>
    <row r="274" spans="1:18">
      <c r="A274" s="644"/>
      <c r="B274" s="644"/>
      <c r="C274" s="645"/>
      <c r="D274" s="646"/>
      <c r="E274" s="647"/>
      <c r="F274" s="647"/>
      <c r="G274" s="647"/>
      <c r="H274" s="648"/>
      <c r="I274" s="647"/>
      <c r="J274" s="645"/>
      <c r="K274" s="644"/>
      <c r="L274" s="645"/>
      <c r="M274" s="645"/>
      <c r="N274" s="644"/>
      <c r="O274" s="645"/>
      <c r="P274" s="645"/>
      <c r="Q274" s="644"/>
      <c r="R274" s="649"/>
    </row>
    <row r="275" spans="1:18">
      <c r="A275" s="644"/>
      <c r="B275" s="644"/>
      <c r="C275" s="645"/>
      <c r="D275" s="646"/>
      <c r="E275" s="647"/>
      <c r="F275" s="647"/>
      <c r="G275" s="647"/>
      <c r="H275" s="648"/>
      <c r="I275" s="647"/>
      <c r="J275" s="645"/>
      <c r="K275" s="644"/>
      <c r="L275" s="645"/>
      <c r="M275" s="645"/>
      <c r="N275" s="644"/>
      <c r="O275" s="645"/>
      <c r="P275" s="645"/>
      <c r="Q275" s="644"/>
      <c r="R275" s="649"/>
    </row>
    <row r="276" spans="1:18">
      <c r="A276" s="644"/>
      <c r="B276" s="644"/>
      <c r="C276" s="645"/>
      <c r="D276" s="646"/>
      <c r="E276" s="647"/>
      <c r="F276" s="647"/>
      <c r="G276" s="647"/>
      <c r="H276" s="648"/>
      <c r="I276" s="647"/>
      <c r="J276" s="645"/>
      <c r="K276" s="644"/>
      <c r="L276" s="645"/>
      <c r="M276" s="645"/>
      <c r="N276" s="644"/>
      <c r="O276" s="645"/>
      <c r="P276" s="645"/>
      <c r="Q276" s="644"/>
      <c r="R276" s="649"/>
    </row>
    <row r="277" spans="1:18">
      <c r="A277" s="644"/>
      <c r="B277" s="644"/>
      <c r="C277" s="645"/>
      <c r="D277" s="646"/>
      <c r="E277" s="647"/>
      <c r="F277" s="647"/>
      <c r="G277" s="647"/>
      <c r="H277" s="648"/>
      <c r="I277" s="647"/>
      <c r="J277" s="645"/>
      <c r="K277" s="644"/>
      <c r="L277" s="645"/>
      <c r="M277" s="645"/>
      <c r="N277" s="644"/>
      <c r="O277" s="645"/>
      <c r="P277" s="645"/>
      <c r="Q277" s="644"/>
      <c r="R277" s="649"/>
    </row>
    <row r="278" spans="1:18">
      <c r="A278" s="644"/>
      <c r="B278" s="644"/>
      <c r="C278" s="645"/>
      <c r="D278" s="646"/>
      <c r="E278" s="647"/>
      <c r="F278" s="647"/>
      <c r="G278" s="647"/>
      <c r="H278" s="648"/>
      <c r="I278" s="647"/>
      <c r="J278" s="645"/>
      <c r="K278" s="644"/>
      <c r="L278" s="645"/>
      <c r="M278" s="645"/>
      <c r="N278" s="644"/>
      <c r="O278" s="645"/>
      <c r="P278" s="645"/>
      <c r="Q278" s="644"/>
      <c r="R278" s="649"/>
    </row>
    <row r="279" spans="1:18">
      <c r="A279" s="644"/>
      <c r="B279" s="644"/>
      <c r="C279" s="645"/>
      <c r="D279" s="646"/>
      <c r="E279" s="647"/>
      <c r="F279" s="647"/>
      <c r="G279" s="647"/>
      <c r="H279" s="648"/>
      <c r="I279" s="647"/>
      <c r="J279" s="645"/>
      <c r="K279" s="644"/>
      <c r="L279" s="645"/>
      <c r="M279" s="645"/>
      <c r="N279" s="644"/>
      <c r="O279" s="645"/>
      <c r="P279" s="645"/>
      <c r="Q279" s="644"/>
      <c r="R279" s="649"/>
    </row>
    <row r="280" spans="1:18">
      <c r="A280" s="644"/>
      <c r="B280" s="644"/>
      <c r="C280" s="645"/>
      <c r="D280" s="646"/>
      <c r="E280" s="647"/>
      <c r="F280" s="647"/>
      <c r="G280" s="647"/>
      <c r="H280" s="648"/>
      <c r="I280" s="647"/>
      <c r="J280" s="645"/>
      <c r="K280" s="644"/>
      <c r="L280" s="645"/>
      <c r="M280" s="645"/>
      <c r="N280" s="644"/>
      <c r="O280" s="645"/>
      <c r="P280" s="645"/>
      <c r="Q280" s="644"/>
      <c r="R280" s="649"/>
    </row>
    <row r="281" spans="1:18">
      <c r="A281" s="644"/>
      <c r="B281" s="644"/>
      <c r="C281" s="645"/>
      <c r="D281" s="646"/>
      <c r="E281" s="647"/>
      <c r="F281" s="647"/>
      <c r="G281" s="647"/>
      <c r="H281" s="648"/>
      <c r="I281" s="647"/>
      <c r="J281" s="645"/>
      <c r="K281" s="644"/>
      <c r="L281" s="645"/>
      <c r="M281" s="645"/>
      <c r="N281" s="644"/>
      <c r="O281" s="645"/>
      <c r="P281" s="645"/>
      <c r="Q281" s="644"/>
      <c r="R281" s="649"/>
    </row>
    <row r="282" spans="1:18">
      <c r="A282" s="644"/>
      <c r="B282" s="644"/>
      <c r="C282" s="645"/>
      <c r="D282" s="646"/>
      <c r="E282" s="647"/>
      <c r="F282" s="647"/>
      <c r="G282" s="647"/>
      <c r="H282" s="648"/>
      <c r="I282" s="647"/>
      <c r="J282" s="645"/>
      <c r="K282" s="644"/>
      <c r="L282" s="645"/>
      <c r="M282" s="645"/>
      <c r="N282" s="644"/>
      <c r="O282" s="645"/>
      <c r="P282" s="645"/>
      <c r="Q282" s="644"/>
      <c r="R282" s="649"/>
    </row>
    <row r="283" spans="1:18">
      <c r="A283" s="644"/>
      <c r="B283" s="644"/>
      <c r="C283" s="645"/>
      <c r="D283" s="646"/>
      <c r="E283" s="647"/>
      <c r="F283" s="647"/>
      <c r="G283" s="647"/>
      <c r="H283" s="648"/>
      <c r="I283" s="647"/>
      <c r="J283" s="645"/>
      <c r="K283" s="644"/>
      <c r="L283" s="645"/>
      <c r="M283" s="645"/>
      <c r="N283" s="644"/>
      <c r="O283" s="645"/>
      <c r="P283" s="645"/>
      <c r="Q283" s="644"/>
      <c r="R283" s="649"/>
    </row>
    <row r="284" spans="1:18">
      <c r="A284" s="644"/>
      <c r="B284" s="644"/>
      <c r="C284" s="645"/>
      <c r="D284" s="646"/>
      <c r="E284" s="647"/>
      <c r="F284" s="647"/>
      <c r="G284" s="647"/>
      <c r="H284" s="648"/>
      <c r="I284" s="647"/>
      <c r="J284" s="645"/>
      <c r="K284" s="644"/>
      <c r="L284" s="645"/>
      <c r="M284" s="645"/>
      <c r="N284" s="644"/>
      <c r="O284" s="645"/>
      <c r="P284" s="645"/>
      <c r="Q284" s="644"/>
      <c r="R284" s="649"/>
    </row>
    <row r="285" spans="1:18">
      <c r="A285" s="644"/>
      <c r="B285" s="644"/>
      <c r="C285" s="645"/>
      <c r="D285" s="646"/>
      <c r="E285" s="647"/>
      <c r="F285" s="647"/>
      <c r="G285" s="647"/>
      <c r="H285" s="648"/>
      <c r="I285" s="647"/>
      <c r="J285" s="645"/>
      <c r="K285" s="644"/>
      <c r="L285" s="645"/>
      <c r="M285" s="645"/>
      <c r="N285" s="644"/>
      <c r="O285" s="645"/>
      <c r="P285" s="645"/>
      <c r="Q285" s="644"/>
      <c r="R285" s="649"/>
    </row>
    <row r="286" spans="1:18">
      <c r="A286" s="644"/>
      <c r="B286" s="644"/>
      <c r="C286" s="645"/>
      <c r="D286" s="646"/>
      <c r="E286" s="647"/>
      <c r="F286" s="647"/>
      <c r="G286" s="647"/>
      <c r="H286" s="648"/>
      <c r="I286" s="647"/>
      <c r="J286" s="645"/>
      <c r="K286" s="644"/>
      <c r="L286" s="645"/>
      <c r="M286" s="645"/>
      <c r="N286" s="644"/>
      <c r="O286" s="645"/>
      <c r="P286" s="645"/>
      <c r="Q286" s="644"/>
      <c r="R286" s="649"/>
    </row>
    <row r="287" spans="1:18">
      <c r="A287" s="644"/>
      <c r="B287" s="644"/>
      <c r="C287" s="645"/>
      <c r="D287" s="646"/>
      <c r="E287" s="647"/>
      <c r="F287" s="647"/>
      <c r="G287" s="647"/>
      <c r="H287" s="648"/>
      <c r="I287" s="647"/>
      <c r="J287" s="645"/>
      <c r="K287" s="644"/>
      <c r="L287" s="645"/>
      <c r="M287" s="645"/>
      <c r="N287" s="644"/>
      <c r="O287" s="645"/>
      <c r="P287" s="645"/>
      <c r="Q287" s="644"/>
      <c r="R287" s="649"/>
    </row>
    <row r="288" spans="1:18">
      <c r="A288" s="644"/>
      <c r="B288" s="644"/>
      <c r="C288" s="645"/>
      <c r="D288" s="646"/>
      <c r="E288" s="647"/>
      <c r="F288" s="647"/>
      <c r="G288" s="647"/>
      <c r="H288" s="648"/>
      <c r="I288" s="647"/>
      <c r="J288" s="645"/>
      <c r="K288" s="644"/>
      <c r="L288" s="645"/>
      <c r="M288" s="645"/>
      <c r="N288" s="644"/>
      <c r="O288" s="645"/>
      <c r="P288" s="645"/>
      <c r="Q288" s="644"/>
      <c r="R288" s="649"/>
    </row>
    <row r="289" spans="1:18">
      <c r="A289" s="644"/>
      <c r="B289" s="644"/>
      <c r="C289" s="645"/>
      <c r="D289" s="646"/>
      <c r="E289" s="647"/>
      <c r="F289" s="647"/>
      <c r="G289" s="647"/>
      <c r="H289" s="648"/>
      <c r="I289" s="647"/>
      <c r="J289" s="645"/>
      <c r="K289" s="644"/>
      <c r="L289" s="645"/>
      <c r="M289" s="645"/>
      <c r="N289" s="644"/>
      <c r="O289" s="645"/>
      <c r="P289" s="645"/>
      <c r="Q289" s="644"/>
      <c r="R289" s="649"/>
    </row>
    <row r="290" spans="1:18">
      <c r="A290" s="644"/>
      <c r="B290" s="644"/>
      <c r="C290" s="645"/>
      <c r="D290" s="646"/>
      <c r="E290" s="647"/>
      <c r="F290" s="647"/>
      <c r="G290" s="647"/>
      <c r="H290" s="648"/>
      <c r="I290" s="647"/>
      <c r="J290" s="645"/>
      <c r="K290" s="644"/>
      <c r="L290" s="645"/>
      <c r="M290" s="645"/>
      <c r="N290" s="644"/>
      <c r="O290" s="645"/>
      <c r="P290" s="645"/>
      <c r="Q290" s="644"/>
      <c r="R290" s="649"/>
    </row>
    <row r="291" spans="1:18">
      <c r="A291" s="644"/>
      <c r="B291" s="644"/>
      <c r="C291" s="645"/>
      <c r="D291" s="646"/>
      <c r="E291" s="647"/>
      <c r="F291" s="647"/>
      <c r="G291" s="647"/>
      <c r="H291" s="648"/>
      <c r="I291" s="647"/>
      <c r="J291" s="645"/>
      <c r="K291" s="644"/>
      <c r="L291" s="645"/>
      <c r="M291" s="645"/>
      <c r="N291" s="644"/>
      <c r="O291" s="645"/>
      <c r="P291" s="645"/>
      <c r="Q291" s="644"/>
      <c r="R291" s="649"/>
    </row>
    <row r="292" spans="1:18">
      <c r="A292" s="644"/>
      <c r="B292" s="644"/>
      <c r="C292" s="645"/>
      <c r="D292" s="646"/>
      <c r="E292" s="647"/>
      <c r="F292" s="647"/>
      <c r="G292" s="647"/>
      <c r="H292" s="648"/>
      <c r="I292" s="647"/>
      <c r="J292" s="645"/>
      <c r="K292" s="644"/>
      <c r="L292" s="645"/>
      <c r="M292" s="645"/>
      <c r="N292" s="644"/>
      <c r="O292" s="645"/>
      <c r="P292" s="645"/>
      <c r="Q292" s="644"/>
      <c r="R292" s="649"/>
    </row>
    <row r="293" spans="1:18">
      <c r="A293" s="644"/>
      <c r="B293" s="644"/>
      <c r="C293" s="645"/>
      <c r="D293" s="646"/>
      <c r="E293" s="647"/>
      <c r="F293" s="647"/>
      <c r="G293" s="647"/>
      <c r="H293" s="648"/>
      <c r="I293" s="647"/>
      <c r="J293" s="645"/>
      <c r="K293" s="644"/>
      <c r="L293" s="645"/>
      <c r="M293" s="645"/>
      <c r="N293" s="644"/>
      <c r="O293" s="645"/>
      <c r="P293" s="645"/>
      <c r="Q293" s="644"/>
      <c r="R293" s="649"/>
    </row>
    <row r="294" spans="1:18">
      <c r="A294" s="644"/>
      <c r="B294" s="644"/>
      <c r="C294" s="645"/>
      <c r="D294" s="646"/>
      <c r="E294" s="647"/>
      <c r="F294" s="647"/>
      <c r="G294" s="647"/>
      <c r="H294" s="648"/>
      <c r="I294" s="647"/>
      <c r="J294" s="645"/>
      <c r="K294" s="644"/>
      <c r="L294" s="645"/>
      <c r="M294" s="645"/>
      <c r="N294" s="644"/>
      <c r="O294" s="645"/>
      <c r="P294" s="645"/>
      <c r="Q294" s="644"/>
      <c r="R294" s="649"/>
    </row>
    <row r="295" spans="1:18">
      <c r="A295" s="644"/>
      <c r="B295" s="644"/>
      <c r="C295" s="645"/>
      <c r="D295" s="646"/>
      <c r="E295" s="647"/>
      <c r="F295" s="647"/>
      <c r="G295" s="647"/>
      <c r="H295" s="648"/>
      <c r="I295" s="647"/>
      <c r="J295" s="645"/>
      <c r="K295" s="644"/>
      <c r="L295" s="645"/>
      <c r="M295" s="645"/>
      <c r="N295" s="644"/>
      <c r="O295" s="645"/>
      <c r="P295" s="645"/>
      <c r="Q295" s="644"/>
      <c r="R295" s="649"/>
    </row>
    <row r="296" spans="1:18">
      <c r="A296" s="644"/>
      <c r="B296" s="644"/>
      <c r="C296" s="645"/>
      <c r="D296" s="646"/>
      <c r="E296" s="647"/>
      <c r="F296" s="647"/>
      <c r="G296" s="647"/>
      <c r="H296" s="648"/>
      <c r="I296" s="647"/>
      <c r="J296" s="645"/>
      <c r="K296" s="644"/>
      <c r="L296" s="645"/>
      <c r="M296" s="645"/>
      <c r="N296" s="644"/>
      <c r="O296" s="645"/>
      <c r="P296" s="645"/>
      <c r="Q296" s="644"/>
      <c r="R296" s="649"/>
    </row>
    <row r="297" spans="1:18">
      <c r="A297" s="644"/>
      <c r="B297" s="644"/>
      <c r="C297" s="645"/>
      <c r="D297" s="646"/>
      <c r="E297" s="647"/>
      <c r="F297" s="647"/>
      <c r="G297" s="647"/>
      <c r="H297" s="648"/>
      <c r="I297" s="647"/>
      <c r="J297" s="645"/>
      <c r="K297" s="644"/>
      <c r="L297" s="645"/>
      <c r="M297" s="645"/>
      <c r="N297" s="644"/>
      <c r="O297" s="645"/>
      <c r="P297" s="645"/>
      <c r="Q297" s="644"/>
      <c r="R297" s="649"/>
    </row>
    <row r="298" spans="1:18">
      <c r="A298" s="644"/>
      <c r="B298" s="644"/>
      <c r="C298" s="645"/>
      <c r="D298" s="646"/>
      <c r="E298" s="647"/>
      <c r="F298" s="647"/>
      <c r="G298" s="647"/>
      <c r="H298" s="648"/>
      <c r="I298" s="647"/>
      <c r="J298" s="645"/>
      <c r="K298" s="644"/>
      <c r="L298" s="645"/>
      <c r="M298" s="645"/>
      <c r="N298" s="644"/>
      <c r="O298" s="645"/>
      <c r="P298" s="645"/>
      <c r="Q298" s="644"/>
      <c r="R298" s="649"/>
    </row>
    <row r="299" spans="1:18">
      <c r="A299" s="644"/>
      <c r="B299" s="644"/>
      <c r="C299" s="645"/>
      <c r="D299" s="646"/>
      <c r="E299" s="647"/>
      <c r="F299" s="647"/>
      <c r="G299" s="647"/>
      <c r="H299" s="648"/>
      <c r="I299" s="647"/>
      <c r="J299" s="645"/>
      <c r="K299" s="644"/>
      <c r="L299" s="645"/>
      <c r="M299" s="645"/>
      <c r="N299" s="644"/>
      <c r="O299" s="645"/>
      <c r="P299" s="645"/>
      <c r="Q299" s="644"/>
      <c r="R299" s="649"/>
    </row>
    <row r="300" spans="1:18">
      <c r="A300" s="644"/>
      <c r="B300" s="644"/>
      <c r="C300" s="645"/>
      <c r="D300" s="646"/>
      <c r="E300" s="647"/>
      <c r="F300" s="647"/>
      <c r="G300" s="647"/>
      <c r="H300" s="648"/>
      <c r="I300" s="647"/>
      <c r="J300" s="645"/>
      <c r="K300" s="644"/>
      <c r="L300" s="645"/>
      <c r="M300" s="645"/>
      <c r="N300" s="644"/>
      <c r="O300" s="645"/>
      <c r="P300" s="645"/>
      <c r="Q300" s="644"/>
      <c r="R300" s="649"/>
    </row>
    <row r="301" spans="1:18">
      <c r="A301" s="644"/>
      <c r="B301" s="644"/>
      <c r="C301" s="645"/>
      <c r="D301" s="646"/>
      <c r="E301" s="647"/>
      <c r="F301" s="647"/>
      <c r="G301" s="647"/>
      <c r="H301" s="648"/>
      <c r="I301" s="647"/>
      <c r="J301" s="645"/>
      <c r="K301" s="644"/>
      <c r="L301" s="645"/>
      <c r="M301" s="645"/>
      <c r="N301" s="644"/>
      <c r="O301" s="645"/>
      <c r="P301" s="645"/>
      <c r="Q301" s="644"/>
      <c r="R301" s="649"/>
    </row>
    <row r="302" spans="1:18">
      <c r="A302" s="644"/>
      <c r="B302" s="644"/>
      <c r="C302" s="645"/>
      <c r="D302" s="646"/>
      <c r="E302" s="647"/>
      <c r="F302" s="647"/>
      <c r="G302" s="647"/>
      <c r="H302" s="648"/>
      <c r="I302" s="647"/>
      <c r="J302" s="645"/>
      <c r="K302" s="644"/>
      <c r="L302" s="645"/>
      <c r="M302" s="645"/>
      <c r="N302" s="644"/>
      <c r="O302" s="645"/>
      <c r="P302" s="645"/>
      <c r="Q302" s="644"/>
      <c r="R302" s="649"/>
    </row>
    <row r="303" spans="1:18">
      <c r="A303" s="644"/>
      <c r="B303" s="644"/>
      <c r="C303" s="645"/>
      <c r="D303" s="646"/>
      <c r="E303" s="647"/>
      <c r="F303" s="647"/>
      <c r="G303" s="647"/>
      <c r="H303" s="648"/>
      <c r="I303" s="647"/>
      <c r="J303" s="645"/>
      <c r="K303" s="644"/>
      <c r="L303" s="645"/>
      <c r="M303" s="645"/>
      <c r="N303" s="644"/>
      <c r="O303" s="645"/>
      <c r="P303" s="645"/>
      <c r="Q303" s="644"/>
      <c r="R303" s="649"/>
    </row>
    <row r="304" spans="1:18">
      <c r="A304" s="644"/>
      <c r="B304" s="644"/>
      <c r="C304" s="645"/>
      <c r="D304" s="646"/>
      <c r="E304" s="647"/>
      <c r="F304" s="647"/>
      <c r="G304" s="647"/>
      <c r="H304" s="648"/>
      <c r="I304" s="647"/>
      <c r="J304" s="645"/>
      <c r="K304" s="644"/>
      <c r="L304" s="645"/>
      <c r="M304" s="645"/>
      <c r="N304" s="644"/>
      <c r="O304" s="645"/>
      <c r="P304" s="645"/>
      <c r="Q304" s="644"/>
      <c r="R304" s="649"/>
    </row>
    <row r="305" spans="1:18">
      <c r="A305" s="644"/>
      <c r="B305" s="644"/>
      <c r="C305" s="645"/>
      <c r="D305" s="646"/>
      <c r="E305" s="647"/>
      <c r="F305" s="647"/>
      <c r="G305" s="647"/>
      <c r="H305" s="648"/>
      <c r="I305" s="647"/>
      <c r="J305" s="645"/>
      <c r="K305" s="644"/>
      <c r="L305" s="645"/>
      <c r="M305" s="645"/>
      <c r="N305" s="644"/>
      <c r="O305" s="645"/>
      <c r="P305" s="645"/>
      <c r="Q305" s="644"/>
      <c r="R305" s="649"/>
    </row>
    <row r="306" spans="1:18">
      <c r="A306" s="644"/>
      <c r="B306" s="644"/>
      <c r="C306" s="645"/>
      <c r="D306" s="646"/>
      <c r="E306" s="647"/>
      <c r="F306" s="647"/>
      <c r="G306" s="647"/>
      <c r="H306" s="648"/>
      <c r="I306" s="647"/>
      <c r="J306" s="645"/>
      <c r="K306" s="644"/>
      <c r="L306" s="645"/>
      <c r="M306" s="645"/>
      <c r="N306" s="644"/>
      <c r="O306" s="645"/>
      <c r="P306" s="645"/>
      <c r="Q306" s="644"/>
      <c r="R306" s="649"/>
    </row>
    <row r="307" spans="1:18">
      <c r="A307" s="644"/>
      <c r="B307" s="644"/>
      <c r="C307" s="645"/>
      <c r="D307" s="646"/>
      <c r="E307" s="647"/>
      <c r="F307" s="647"/>
      <c r="G307" s="647"/>
      <c r="H307" s="648"/>
      <c r="I307" s="647"/>
      <c r="J307" s="645"/>
      <c r="K307" s="644"/>
      <c r="L307" s="645"/>
      <c r="M307" s="645"/>
      <c r="N307" s="644"/>
      <c r="O307" s="645"/>
      <c r="P307" s="645"/>
      <c r="Q307" s="644"/>
      <c r="R307" s="649"/>
    </row>
    <row r="308" spans="1:18">
      <c r="A308" s="644"/>
      <c r="B308" s="644"/>
      <c r="C308" s="645"/>
      <c r="D308" s="646"/>
      <c r="E308" s="647"/>
      <c r="F308" s="647"/>
      <c r="G308" s="647"/>
      <c r="H308" s="648"/>
      <c r="I308" s="647"/>
      <c r="J308" s="645"/>
      <c r="K308" s="644"/>
      <c r="L308" s="645"/>
      <c r="M308" s="645"/>
      <c r="N308" s="644"/>
      <c r="O308" s="645"/>
      <c r="P308" s="645"/>
      <c r="Q308" s="644"/>
      <c r="R308" s="649"/>
    </row>
    <row r="309" spans="1:18">
      <c r="A309" s="644"/>
      <c r="B309" s="644"/>
      <c r="C309" s="645"/>
      <c r="D309" s="646"/>
      <c r="E309" s="647"/>
      <c r="F309" s="647"/>
      <c r="G309" s="647"/>
      <c r="H309" s="648"/>
      <c r="I309" s="647"/>
      <c r="J309" s="645"/>
      <c r="K309" s="644"/>
      <c r="L309" s="645"/>
      <c r="M309" s="645"/>
      <c r="N309" s="644"/>
      <c r="O309" s="645"/>
      <c r="P309" s="645"/>
      <c r="Q309" s="644"/>
      <c r="R309" s="649"/>
    </row>
    <row r="310" spans="1:18">
      <c r="A310" s="644"/>
      <c r="B310" s="644"/>
      <c r="C310" s="645"/>
      <c r="D310" s="646"/>
      <c r="E310" s="647"/>
      <c r="F310" s="647"/>
      <c r="G310" s="647"/>
      <c r="H310" s="648"/>
      <c r="I310" s="647"/>
      <c r="J310" s="645"/>
      <c r="K310" s="644"/>
      <c r="L310" s="645"/>
      <c r="M310" s="645"/>
      <c r="N310" s="644"/>
      <c r="O310" s="645"/>
      <c r="P310" s="645"/>
      <c r="Q310" s="644"/>
      <c r="R310" s="649"/>
    </row>
    <row r="311" spans="1:18">
      <c r="A311" s="644"/>
      <c r="B311" s="644"/>
      <c r="C311" s="645"/>
      <c r="D311" s="646"/>
      <c r="E311" s="647"/>
      <c r="F311" s="647"/>
      <c r="G311" s="647"/>
      <c r="H311" s="648"/>
      <c r="I311" s="647"/>
      <c r="J311" s="645"/>
      <c r="K311" s="644"/>
      <c r="L311" s="645"/>
      <c r="M311" s="645"/>
      <c r="N311" s="644"/>
      <c r="O311" s="645"/>
      <c r="P311" s="645"/>
      <c r="Q311" s="644"/>
      <c r="R311" s="649"/>
    </row>
    <row r="312" spans="1:18">
      <c r="A312" s="644"/>
      <c r="B312" s="644"/>
      <c r="C312" s="645"/>
      <c r="D312" s="646"/>
      <c r="E312" s="647"/>
      <c r="F312" s="647"/>
      <c r="G312" s="647"/>
      <c r="H312" s="648"/>
      <c r="I312" s="647"/>
      <c r="J312" s="645"/>
      <c r="K312" s="644"/>
      <c r="L312" s="645"/>
      <c r="M312" s="645"/>
      <c r="N312" s="644"/>
      <c r="O312" s="645"/>
      <c r="P312" s="645"/>
      <c r="Q312" s="644"/>
      <c r="R312" s="649"/>
    </row>
    <row r="313" spans="1:18">
      <c r="A313" s="644"/>
      <c r="B313" s="644"/>
      <c r="C313" s="645"/>
      <c r="D313" s="646"/>
      <c r="E313" s="647"/>
      <c r="F313" s="647"/>
      <c r="G313" s="647"/>
      <c r="H313" s="648"/>
      <c r="I313" s="647"/>
      <c r="J313" s="645"/>
      <c r="K313" s="644"/>
      <c r="L313" s="645"/>
      <c r="M313" s="645"/>
      <c r="N313" s="644"/>
      <c r="O313" s="645"/>
      <c r="P313" s="645"/>
      <c r="Q313" s="644"/>
      <c r="R313" s="649"/>
    </row>
    <row r="314" spans="1:18">
      <c r="A314" s="644"/>
      <c r="B314" s="644"/>
      <c r="C314" s="645"/>
      <c r="D314" s="646"/>
      <c r="E314" s="647"/>
      <c r="F314" s="647"/>
      <c r="G314" s="647"/>
      <c r="H314" s="648"/>
      <c r="I314" s="647"/>
      <c r="J314" s="645"/>
      <c r="K314" s="644"/>
      <c r="L314" s="645"/>
      <c r="M314" s="645"/>
      <c r="N314" s="644"/>
      <c r="O314" s="645"/>
      <c r="P314" s="645"/>
      <c r="Q314" s="644"/>
      <c r="R314" s="649"/>
    </row>
    <row r="315" spans="1:18">
      <c r="A315" s="644"/>
      <c r="B315" s="644"/>
      <c r="C315" s="645"/>
      <c r="D315" s="646"/>
      <c r="E315" s="647"/>
      <c r="F315" s="647"/>
      <c r="G315" s="647"/>
      <c r="H315" s="648"/>
      <c r="I315" s="647"/>
      <c r="J315" s="645"/>
      <c r="K315" s="644"/>
      <c r="L315" s="645"/>
      <c r="M315" s="645"/>
      <c r="N315" s="644"/>
      <c r="O315" s="645"/>
      <c r="P315" s="645"/>
      <c r="Q315" s="644"/>
      <c r="R315" s="649"/>
    </row>
    <row r="316" spans="1:18">
      <c r="A316" s="644"/>
      <c r="B316" s="644"/>
      <c r="C316" s="645"/>
      <c r="D316" s="646"/>
      <c r="E316" s="647"/>
      <c r="F316" s="647"/>
      <c r="G316" s="647"/>
      <c r="H316" s="648"/>
      <c r="I316" s="647"/>
      <c r="J316" s="645"/>
      <c r="K316" s="644"/>
      <c r="L316" s="645"/>
      <c r="M316" s="645"/>
      <c r="N316" s="644"/>
      <c r="O316" s="645"/>
      <c r="P316" s="645"/>
      <c r="Q316" s="644"/>
      <c r="R316" s="649"/>
    </row>
    <row r="317" spans="1:18">
      <c r="A317" s="644"/>
      <c r="B317" s="644"/>
      <c r="C317" s="645"/>
      <c r="D317" s="646"/>
      <c r="E317" s="647"/>
      <c r="F317" s="647"/>
      <c r="G317" s="647"/>
      <c r="H317" s="648"/>
      <c r="I317" s="647"/>
      <c r="J317" s="645"/>
      <c r="K317" s="644"/>
      <c r="L317" s="645"/>
      <c r="M317" s="645"/>
      <c r="N317" s="644"/>
      <c r="O317" s="645"/>
      <c r="P317" s="645"/>
      <c r="Q317" s="644"/>
      <c r="R317" s="649"/>
    </row>
    <row r="318" spans="1:18">
      <c r="A318" s="644"/>
      <c r="B318" s="644"/>
      <c r="C318" s="645"/>
      <c r="D318" s="646"/>
      <c r="E318" s="647"/>
      <c r="F318" s="647"/>
      <c r="G318" s="647"/>
      <c r="H318" s="648"/>
      <c r="I318" s="647"/>
      <c r="J318" s="645"/>
      <c r="K318" s="644"/>
      <c r="L318" s="645"/>
      <c r="M318" s="645"/>
      <c r="N318" s="644"/>
      <c r="O318" s="645"/>
      <c r="P318" s="645"/>
      <c r="Q318" s="644"/>
      <c r="R318" s="649"/>
    </row>
    <row r="319" spans="1:18">
      <c r="A319" s="644"/>
      <c r="B319" s="644"/>
      <c r="C319" s="645"/>
      <c r="D319" s="646"/>
      <c r="E319" s="647"/>
      <c r="F319" s="647"/>
      <c r="G319" s="647"/>
      <c r="H319" s="648"/>
      <c r="I319" s="647"/>
      <c r="J319" s="645"/>
      <c r="K319" s="644"/>
      <c r="L319" s="645"/>
      <c r="M319" s="645"/>
      <c r="N319" s="644"/>
      <c r="O319" s="645"/>
      <c r="P319" s="645"/>
      <c r="Q319" s="644"/>
      <c r="R319" s="649"/>
    </row>
    <row r="320" spans="1:18">
      <c r="A320" s="644"/>
      <c r="B320" s="644"/>
      <c r="C320" s="645"/>
      <c r="D320" s="646"/>
      <c r="E320" s="647"/>
      <c r="F320" s="647"/>
      <c r="G320" s="647"/>
      <c r="H320" s="648"/>
      <c r="I320" s="647"/>
      <c r="J320" s="645"/>
      <c r="K320" s="644"/>
      <c r="L320" s="645"/>
      <c r="M320" s="645"/>
      <c r="N320" s="644"/>
      <c r="O320" s="645"/>
      <c r="P320" s="645"/>
      <c r="Q320" s="644"/>
      <c r="R320" s="649"/>
    </row>
    <row r="321" spans="1:18">
      <c r="A321" s="644"/>
      <c r="B321" s="644"/>
      <c r="C321" s="645"/>
      <c r="D321" s="646"/>
      <c r="E321" s="647"/>
      <c r="F321" s="647"/>
      <c r="G321" s="647"/>
      <c r="H321" s="648"/>
      <c r="I321" s="647"/>
      <c r="J321" s="645"/>
      <c r="K321" s="644"/>
      <c r="L321" s="645"/>
      <c r="M321" s="645"/>
      <c r="N321" s="644"/>
      <c r="O321" s="645"/>
      <c r="P321" s="645"/>
      <c r="Q321" s="644"/>
      <c r="R321" s="649"/>
    </row>
    <row r="322" spans="1:18">
      <c r="A322" s="644"/>
      <c r="B322" s="644"/>
      <c r="C322" s="645"/>
      <c r="D322" s="646"/>
      <c r="E322" s="647"/>
      <c r="F322" s="647"/>
      <c r="G322" s="647"/>
      <c r="H322" s="648"/>
      <c r="I322" s="647"/>
      <c r="J322" s="645"/>
      <c r="K322" s="644"/>
      <c r="L322" s="645"/>
      <c r="M322" s="645"/>
      <c r="N322" s="644"/>
      <c r="O322" s="645"/>
      <c r="P322" s="645"/>
      <c r="Q322" s="644"/>
      <c r="R322" s="649"/>
    </row>
    <row r="323" spans="1:18">
      <c r="A323" s="644"/>
      <c r="B323" s="644"/>
      <c r="C323" s="645"/>
      <c r="D323" s="646"/>
      <c r="E323" s="647"/>
      <c r="F323" s="647"/>
      <c r="G323" s="647"/>
      <c r="H323" s="648"/>
      <c r="I323" s="647"/>
      <c r="J323" s="645"/>
      <c r="K323" s="644"/>
      <c r="L323" s="645"/>
      <c r="M323" s="645"/>
      <c r="N323" s="644"/>
      <c r="O323" s="645"/>
      <c r="P323" s="645"/>
      <c r="Q323" s="644"/>
      <c r="R323" s="649"/>
    </row>
    <row r="324" spans="1:18">
      <c r="A324" s="644"/>
      <c r="B324" s="644"/>
      <c r="C324" s="645"/>
      <c r="D324" s="646"/>
      <c r="E324" s="647"/>
      <c r="F324" s="647"/>
      <c r="G324" s="647"/>
      <c r="H324" s="648"/>
      <c r="I324" s="647"/>
      <c r="J324" s="645"/>
      <c r="K324" s="644"/>
      <c r="L324" s="645"/>
      <c r="M324" s="645"/>
      <c r="N324" s="644"/>
      <c r="O324" s="645"/>
      <c r="P324" s="645"/>
      <c r="Q324" s="644"/>
      <c r="R324" s="649"/>
    </row>
    <row r="325" spans="1:18">
      <c r="A325" s="644"/>
      <c r="B325" s="644"/>
      <c r="C325" s="645"/>
      <c r="D325" s="646"/>
      <c r="E325" s="647"/>
      <c r="F325" s="647"/>
      <c r="G325" s="647"/>
      <c r="H325" s="648"/>
      <c r="I325" s="647"/>
      <c r="J325" s="645"/>
      <c r="K325" s="644"/>
      <c r="L325" s="645"/>
      <c r="M325" s="645"/>
      <c r="N325" s="644"/>
      <c r="O325" s="645"/>
      <c r="P325" s="645"/>
      <c r="Q325" s="644"/>
      <c r="R325" s="649"/>
    </row>
    <row r="326" spans="1:18">
      <c r="A326" s="644"/>
      <c r="B326" s="644"/>
      <c r="C326" s="645"/>
      <c r="D326" s="646"/>
      <c r="E326" s="647"/>
      <c r="F326" s="647"/>
      <c r="G326" s="647"/>
      <c r="H326" s="648"/>
      <c r="I326" s="647"/>
      <c r="J326" s="645"/>
      <c r="K326" s="644"/>
      <c r="L326" s="645"/>
      <c r="M326" s="645"/>
      <c r="N326" s="644"/>
      <c r="O326" s="645"/>
      <c r="P326" s="645"/>
      <c r="Q326" s="644"/>
      <c r="R326" s="649"/>
    </row>
    <row r="327" spans="1:18">
      <c r="A327" s="644"/>
      <c r="B327" s="644"/>
      <c r="C327" s="645"/>
      <c r="D327" s="646"/>
      <c r="E327" s="647"/>
      <c r="F327" s="647"/>
      <c r="G327" s="647"/>
      <c r="H327" s="648"/>
      <c r="I327" s="647"/>
      <c r="J327" s="645"/>
      <c r="K327" s="644"/>
      <c r="L327" s="645"/>
      <c r="M327" s="645"/>
      <c r="N327" s="644"/>
      <c r="O327" s="645"/>
      <c r="P327" s="645"/>
      <c r="Q327" s="644"/>
      <c r="R327" s="649"/>
    </row>
    <row r="328" spans="1:18">
      <c r="A328" s="644"/>
      <c r="B328" s="644"/>
      <c r="C328" s="645"/>
      <c r="D328" s="646"/>
      <c r="E328" s="647"/>
      <c r="F328" s="647"/>
      <c r="G328" s="647"/>
      <c r="H328" s="648"/>
      <c r="I328" s="647"/>
      <c r="J328" s="645"/>
      <c r="K328" s="644"/>
      <c r="L328" s="645"/>
      <c r="M328" s="645"/>
      <c r="N328" s="644"/>
      <c r="O328" s="645"/>
      <c r="P328" s="645"/>
      <c r="Q328" s="644"/>
      <c r="R328" s="649"/>
    </row>
    <row r="329" spans="1:18">
      <c r="A329" s="644"/>
      <c r="B329" s="644"/>
      <c r="C329" s="645"/>
      <c r="D329" s="646"/>
      <c r="E329" s="647"/>
      <c r="F329" s="647"/>
      <c r="G329" s="647"/>
      <c r="H329" s="648"/>
      <c r="I329" s="647"/>
      <c r="J329" s="645"/>
      <c r="K329" s="644"/>
      <c r="L329" s="645"/>
      <c r="M329" s="645"/>
      <c r="N329" s="644"/>
      <c r="O329" s="645"/>
      <c r="P329" s="645"/>
      <c r="Q329" s="644"/>
      <c r="R329" s="649"/>
    </row>
    <row r="330" spans="1:18">
      <c r="A330" s="644"/>
      <c r="B330" s="644"/>
      <c r="C330" s="645"/>
      <c r="D330" s="646"/>
      <c r="E330" s="647"/>
      <c r="F330" s="647"/>
      <c r="G330" s="647"/>
      <c r="H330" s="648"/>
      <c r="I330" s="647"/>
      <c r="J330" s="645"/>
      <c r="K330" s="644"/>
      <c r="L330" s="645"/>
      <c r="M330" s="645"/>
      <c r="N330" s="644"/>
      <c r="O330" s="645"/>
      <c r="P330" s="645"/>
      <c r="Q330" s="644"/>
      <c r="R330" s="649"/>
    </row>
    <row r="331" spans="1:18">
      <c r="A331" s="644"/>
      <c r="B331" s="644"/>
      <c r="C331" s="645"/>
      <c r="D331" s="646"/>
      <c r="E331" s="647"/>
      <c r="F331" s="647"/>
      <c r="G331" s="647"/>
      <c r="H331" s="648"/>
      <c r="I331" s="647"/>
      <c r="J331" s="645"/>
      <c r="K331" s="644"/>
      <c r="L331" s="645"/>
      <c r="M331" s="645"/>
      <c r="N331" s="644"/>
      <c r="O331" s="645"/>
      <c r="P331" s="645"/>
      <c r="Q331" s="644"/>
      <c r="R331" s="649"/>
    </row>
    <row r="332" spans="1:18">
      <c r="A332" s="644"/>
      <c r="B332" s="644"/>
      <c r="C332" s="645"/>
      <c r="D332" s="646"/>
      <c r="E332" s="647"/>
      <c r="F332" s="647"/>
      <c r="G332" s="647"/>
      <c r="H332" s="648"/>
      <c r="I332" s="647"/>
      <c r="J332" s="645"/>
      <c r="K332" s="644"/>
      <c r="L332" s="645"/>
      <c r="M332" s="645"/>
      <c r="N332" s="644"/>
      <c r="O332" s="645"/>
      <c r="P332" s="645"/>
      <c r="Q332" s="644"/>
      <c r="R332" s="649"/>
    </row>
    <row r="333" spans="1:18">
      <c r="A333" s="644"/>
      <c r="B333" s="644"/>
      <c r="C333" s="645"/>
      <c r="D333" s="646"/>
      <c r="E333" s="647"/>
      <c r="F333" s="647"/>
      <c r="G333" s="647"/>
      <c r="H333" s="648"/>
      <c r="I333" s="647"/>
      <c r="J333" s="645"/>
      <c r="K333" s="644"/>
      <c r="L333" s="645"/>
      <c r="M333" s="645"/>
      <c r="N333" s="644"/>
      <c r="O333" s="645"/>
      <c r="P333" s="645"/>
      <c r="Q333" s="644"/>
      <c r="R333" s="649"/>
    </row>
    <row r="334" spans="1:18">
      <c r="A334" s="644"/>
      <c r="B334" s="644"/>
      <c r="C334" s="645"/>
      <c r="D334" s="646"/>
      <c r="E334" s="647"/>
      <c r="F334" s="647"/>
      <c r="G334" s="647"/>
      <c r="H334" s="648"/>
      <c r="I334" s="647"/>
      <c r="J334" s="645"/>
      <c r="K334" s="644"/>
      <c r="L334" s="645"/>
      <c r="M334" s="645"/>
      <c r="N334" s="644"/>
      <c r="O334" s="645"/>
      <c r="P334" s="645"/>
      <c r="Q334" s="644"/>
      <c r="R334" s="649"/>
    </row>
    <row r="335" spans="1:18">
      <c r="A335" s="644"/>
      <c r="B335" s="644"/>
      <c r="C335" s="645"/>
      <c r="D335" s="646"/>
      <c r="E335" s="647"/>
      <c r="F335" s="647"/>
      <c r="G335" s="647"/>
      <c r="H335" s="648"/>
      <c r="I335" s="647"/>
      <c r="J335" s="645"/>
      <c r="K335" s="644"/>
      <c r="L335" s="645"/>
      <c r="M335" s="645"/>
      <c r="N335" s="644"/>
      <c r="O335" s="645"/>
      <c r="P335" s="645"/>
      <c r="Q335" s="644"/>
      <c r="R335" s="649"/>
    </row>
    <row r="336" spans="1:18">
      <c r="A336" s="644"/>
      <c r="B336" s="644"/>
      <c r="C336" s="645"/>
      <c r="D336" s="646"/>
      <c r="E336" s="647"/>
      <c r="F336" s="647"/>
      <c r="G336" s="647"/>
      <c r="H336" s="648"/>
      <c r="I336" s="647"/>
      <c r="J336" s="645"/>
      <c r="K336" s="644"/>
      <c r="L336" s="645"/>
      <c r="M336" s="645"/>
      <c r="N336" s="644"/>
      <c r="O336" s="645"/>
      <c r="P336" s="645"/>
      <c r="Q336" s="644"/>
      <c r="R336" s="649"/>
    </row>
    <row r="337" spans="1:18">
      <c r="A337" s="644"/>
      <c r="B337" s="644"/>
      <c r="C337" s="645"/>
      <c r="D337" s="646"/>
      <c r="E337" s="647"/>
      <c r="F337" s="647"/>
      <c r="G337" s="647"/>
      <c r="H337" s="648"/>
      <c r="I337" s="647"/>
      <c r="J337" s="645"/>
      <c r="K337" s="644"/>
      <c r="L337" s="645"/>
      <c r="M337" s="645"/>
      <c r="N337" s="644"/>
      <c r="O337" s="645"/>
      <c r="P337" s="645"/>
      <c r="Q337" s="644"/>
      <c r="R337" s="649"/>
    </row>
    <row r="338" spans="1:18">
      <c r="A338" s="644"/>
      <c r="B338" s="644"/>
      <c r="C338" s="645"/>
      <c r="D338" s="646"/>
      <c r="E338" s="647"/>
      <c r="F338" s="647"/>
      <c r="G338" s="647"/>
      <c r="H338" s="648"/>
      <c r="I338" s="647"/>
      <c r="J338" s="645"/>
      <c r="K338" s="644"/>
      <c r="L338" s="645"/>
      <c r="M338" s="645"/>
      <c r="N338" s="644"/>
      <c r="O338" s="645"/>
      <c r="P338" s="645"/>
      <c r="Q338" s="644"/>
      <c r="R338" s="649"/>
    </row>
    <row r="339" spans="1:18">
      <c r="A339" s="644"/>
      <c r="B339" s="644"/>
      <c r="C339" s="645"/>
      <c r="D339" s="646"/>
      <c r="E339" s="647"/>
      <c r="F339" s="647"/>
      <c r="G339" s="647"/>
      <c r="H339" s="648"/>
      <c r="I339" s="647"/>
      <c r="J339" s="645"/>
      <c r="K339" s="644"/>
      <c r="L339" s="645"/>
      <c r="M339" s="645"/>
      <c r="N339" s="644"/>
      <c r="O339" s="645"/>
      <c r="P339" s="645"/>
      <c r="Q339" s="644"/>
      <c r="R339" s="649"/>
    </row>
    <row r="340" spans="1:18">
      <c r="A340" s="644"/>
      <c r="B340" s="644"/>
      <c r="C340" s="645"/>
      <c r="D340" s="646"/>
      <c r="E340" s="647"/>
      <c r="F340" s="647"/>
      <c r="G340" s="647"/>
      <c r="H340" s="648"/>
      <c r="I340" s="647"/>
      <c r="J340" s="645"/>
      <c r="K340" s="644"/>
      <c r="L340" s="645"/>
      <c r="M340" s="645"/>
      <c r="N340" s="644"/>
      <c r="O340" s="645"/>
      <c r="P340" s="645"/>
      <c r="Q340" s="644"/>
      <c r="R340" s="649"/>
    </row>
    <row r="341" spans="1:18">
      <c r="A341" s="644"/>
      <c r="B341" s="644"/>
      <c r="C341" s="645"/>
      <c r="D341" s="646"/>
      <c r="E341" s="647"/>
      <c r="F341" s="647"/>
      <c r="G341" s="647"/>
      <c r="H341" s="648"/>
      <c r="I341" s="647"/>
      <c r="J341" s="645"/>
      <c r="K341" s="644"/>
      <c r="L341" s="645"/>
      <c r="M341" s="645"/>
      <c r="N341" s="644"/>
      <c r="O341" s="645"/>
      <c r="P341" s="645"/>
      <c r="Q341" s="644"/>
      <c r="R341" s="649"/>
    </row>
    <row r="342" spans="1:18">
      <c r="A342" s="644"/>
      <c r="B342" s="644"/>
      <c r="C342" s="645"/>
      <c r="D342" s="646"/>
      <c r="E342" s="647"/>
      <c r="F342" s="647"/>
      <c r="G342" s="647"/>
      <c r="H342" s="648"/>
      <c r="I342" s="647"/>
      <c r="J342" s="645"/>
      <c r="K342" s="644"/>
      <c r="L342" s="645"/>
      <c r="M342" s="645"/>
      <c r="N342" s="644"/>
      <c r="O342" s="645"/>
      <c r="P342" s="645"/>
      <c r="Q342" s="644"/>
      <c r="R342" s="649"/>
    </row>
    <row r="343" spans="1:18">
      <c r="A343" s="644"/>
      <c r="B343" s="644"/>
      <c r="C343" s="645"/>
      <c r="D343" s="646"/>
      <c r="E343" s="647"/>
      <c r="F343" s="647"/>
      <c r="G343" s="647"/>
      <c r="H343" s="648"/>
      <c r="I343" s="647"/>
      <c r="J343" s="645"/>
      <c r="K343" s="644"/>
      <c r="L343" s="645"/>
      <c r="M343" s="645"/>
      <c r="N343" s="644"/>
      <c r="O343" s="645"/>
      <c r="P343" s="645"/>
      <c r="Q343" s="644"/>
      <c r="R343" s="649"/>
    </row>
    <row r="344" spans="1:18">
      <c r="A344" s="644"/>
      <c r="B344" s="644"/>
      <c r="C344" s="645"/>
      <c r="D344" s="646"/>
      <c r="E344" s="647"/>
      <c r="F344" s="647"/>
      <c r="G344" s="647"/>
      <c r="H344" s="648"/>
      <c r="I344" s="647"/>
      <c r="J344" s="645"/>
      <c r="K344" s="644"/>
      <c r="L344" s="645"/>
      <c r="M344" s="645"/>
      <c r="N344" s="644"/>
      <c r="O344" s="645"/>
      <c r="P344" s="645"/>
      <c r="Q344" s="644"/>
      <c r="R344" s="649"/>
    </row>
    <row r="345" spans="1:18">
      <c r="A345" s="644"/>
      <c r="B345" s="644"/>
      <c r="C345" s="645"/>
      <c r="D345" s="646"/>
      <c r="E345" s="647"/>
      <c r="F345" s="647"/>
      <c r="G345" s="647"/>
      <c r="H345" s="648"/>
      <c r="I345" s="647"/>
      <c r="J345" s="645"/>
      <c r="K345" s="644"/>
      <c r="L345" s="645"/>
      <c r="M345" s="645"/>
      <c r="N345" s="644"/>
      <c r="O345" s="645"/>
      <c r="P345" s="645"/>
      <c r="Q345" s="644"/>
      <c r="R345" s="649"/>
    </row>
    <row r="346" spans="1:18">
      <c r="A346" s="644"/>
      <c r="B346" s="644"/>
      <c r="C346" s="645"/>
      <c r="D346" s="646"/>
      <c r="E346" s="647"/>
      <c r="F346" s="647"/>
      <c r="G346" s="647"/>
      <c r="H346" s="648"/>
      <c r="I346" s="647"/>
      <c r="J346" s="645"/>
      <c r="K346" s="644"/>
      <c r="L346" s="645"/>
      <c r="M346" s="645"/>
      <c r="N346" s="644"/>
      <c r="O346" s="645"/>
      <c r="P346" s="645"/>
      <c r="Q346" s="644"/>
      <c r="R346" s="649"/>
    </row>
    <row r="347" spans="1:18">
      <c r="A347" s="644"/>
      <c r="B347" s="644"/>
      <c r="C347" s="645"/>
      <c r="D347" s="646"/>
      <c r="E347" s="647"/>
      <c r="F347" s="647"/>
      <c r="G347" s="647"/>
      <c r="H347" s="648"/>
      <c r="I347" s="647"/>
      <c r="J347" s="645"/>
      <c r="K347" s="644"/>
      <c r="L347" s="645"/>
      <c r="M347" s="645"/>
      <c r="N347" s="644"/>
      <c r="O347" s="645"/>
      <c r="P347" s="645"/>
      <c r="Q347" s="644"/>
      <c r="R347" s="649"/>
    </row>
    <row r="348" spans="1:18">
      <c r="A348" s="644"/>
      <c r="B348" s="644"/>
      <c r="C348" s="645"/>
      <c r="D348" s="646"/>
      <c r="E348" s="647"/>
      <c r="F348" s="647"/>
      <c r="G348" s="647"/>
      <c r="H348" s="648"/>
      <c r="I348" s="647"/>
      <c r="J348" s="645"/>
      <c r="K348" s="644"/>
      <c r="L348" s="645"/>
      <c r="M348" s="645"/>
      <c r="N348" s="644"/>
      <c r="O348" s="645"/>
      <c r="P348" s="645"/>
      <c r="Q348" s="644"/>
      <c r="R348" s="649"/>
    </row>
    <row r="349" spans="1:18">
      <c r="A349" s="644"/>
      <c r="B349" s="644"/>
      <c r="C349" s="645"/>
      <c r="D349" s="646"/>
      <c r="E349" s="647"/>
      <c r="F349" s="647"/>
      <c r="G349" s="647"/>
      <c r="H349" s="648"/>
      <c r="I349" s="647"/>
      <c r="J349" s="645"/>
      <c r="K349" s="644"/>
      <c r="L349" s="645"/>
      <c r="M349" s="645"/>
      <c r="N349" s="644"/>
      <c r="O349" s="645"/>
      <c r="P349" s="645"/>
      <c r="Q349" s="644"/>
      <c r="R349" s="649"/>
    </row>
    <row r="350" spans="1:18">
      <c r="A350" s="644"/>
      <c r="B350" s="644"/>
      <c r="C350" s="645"/>
      <c r="D350" s="646"/>
      <c r="E350" s="647"/>
      <c r="F350" s="647"/>
      <c r="G350" s="647"/>
      <c r="H350" s="648"/>
      <c r="I350" s="647"/>
      <c r="J350" s="645"/>
      <c r="K350" s="644"/>
      <c r="L350" s="645"/>
      <c r="M350" s="645"/>
      <c r="N350" s="644"/>
      <c r="O350" s="645"/>
      <c r="P350" s="645"/>
      <c r="Q350" s="644"/>
      <c r="R350" s="649"/>
    </row>
    <row r="351" spans="1:18">
      <c r="A351" s="644"/>
      <c r="B351" s="644"/>
      <c r="C351" s="645"/>
      <c r="D351" s="646"/>
      <c r="E351" s="647"/>
      <c r="F351" s="647"/>
      <c r="G351" s="647"/>
      <c r="H351" s="648"/>
      <c r="I351" s="647"/>
      <c r="J351" s="645"/>
      <c r="K351" s="644"/>
      <c r="L351" s="645"/>
      <c r="M351" s="645"/>
      <c r="N351" s="644"/>
      <c r="O351" s="645"/>
      <c r="P351" s="645"/>
      <c r="Q351" s="644"/>
      <c r="R351" s="649"/>
    </row>
    <row r="352" spans="1:18">
      <c r="A352" s="644"/>
      <c r="B352" s="644"/>
      <c r="C352" s="645"/>
      <c r="D352" s="646"/>
      <c r="E352" s="647"/>
      <c r="F352" s="647"/>
      <c r="G352" s="647"/>
      <c r="H352" s="648"/>
      <c r="I352" s="647"/>
      <c r="J352" s="645"/>
      <c r="K352" s="644"/>
      <c r="L352" s="645"/>
      <c r="M352" s="645"/>
      <c r="N352" s="644"/>
      <c r="O352" s="645"/>
      <c r="P352" s="645"/>
      <c r="Q352" s="644"/>
      <c r="R352" s="649"/>
    </row>
    <row r="353" spans="1:18">
      <c r="A353" s="644"/>
      <c r="B353" s="644"/>
      <c r="C353" s="645"/>
      <c r="D353" s="646"/>
      <c r="E353" s="647"/>
      <c r="F353" s="647"/>
      <c r="G353" s="647"/>
      <c r="H353" s="648"/>
      <c r="I353" s="647"/>
      <c r="J353" s="645"/>
      <c r="K353" s="644"/>
      <c r="L353" s="645"/>
      <c r="M353" s="645"/>
      <c r="N353" s="644"/>
      <c r="O353" s="645"/>
      <c r="P353" s="645"/>
      <c r="Q353" s="644"/>
      <c r="R353" s="649"/>
    </row>
    <row r="354" spans="1:18">
      <c r="A354" s="644"/>
      <c r="B354" s="644"/>
      <c r="C354" s="645"/>
      <c r="D354" s="646"/>
      <c r="E354" s="647"/>
      <c r="F354" s="647"/>
      <c r="G354" s="647"/>
      <c r="H354" s="648"/>
      <c r="I354" s="647"/>
      <c r="J354" s="645"/>
      <c r="K354" s="644"/>
      <c r="L354" s="645"/>
      <c r="M354" s="645"/>
      <c r="N354" s="644"/>
      <c r="O354" s="645"/>
      <c r="P354" s="645"/>
      <c r="Q354" s="644"/>
      <c r="R354" s="649"/>
    </row>
    <row r="355" spans="1:18">
      <c r="A355" s="644"/>
      <c r="B355" s="644"/>
      <c r="C355" s="645"/>
      <c r="D355" s="646"/>
      <c r="E355" s="647"/>
      <c r="F355" s="647"/>
      <c r="G355" s="647"/>
      <c r="H355" s="648"/>
      <c r="I355" s="647"/>
      <c r="J355" s="645"/>
      <c r="K355" s="644"/>
      <c r="L355" s="645"/>
      <c r="M355" s="645"/>
      <c r="N355" s="644"/>
      <c r="O355" s="645"/>
      <c r="P355" s="645"/>
      <c r="Q355" s="644"/>
      <c r="R355" s="649"/>
    </row>
    <row r="356" spans="1:18">
      <c r="A356" s="644"/>
      <c r="B356" s="644"/>
      <c r="C356" s="645"/>
      <c r="D356" s="646"/>
      <c r="E356" s="647"/>
      <c r="F356" s="647"/>
      <c r="G356" s="647"/>
      <c r="H356" s="648"/>
      <c r="I356" s="647"/>
      <c r="J356" s="645"/>
      <c r="K356" s="644"/>
      <c r="L356" s="645"/>
      <c r="M356" s="645"/>
      <c r="N356" s="644"/>
      <c r="O356" s="645"/>
      <c r="P356" s="645"/>
      <c r="Q356" s="644"/>
      <c r="R356" s="649"/>
    </row>
    <row r="357" spans="1:18">
      <c r="A357" s="644"/>
      <c r="B357" s="644"/>
      <c r="C357" s="645"/>
      <c r="D357" s="646"/>
      <c r="E357" s="647"/>
      <c r="F357" s="647"/>
      <c r="G357" s="647"/>
      <c r="H357" s="648"/>
      <c r="I357" s="647"/>
      <c r="J357" s="645"/>
      <c r="K357" s="644"/>
      <c r="L357" s="645"/>
      <c r="M357" s="645"/>
      <c r="N357" s="644"/>
      <c r="O357" s="645"/>
      <c r="P357" s="645"/>
      <c r="Q357" s="644"/>
      <c r="R357" s="649"/>
    </row>
    <row r="358" spans="1:18">
      <c r="A358" s="644"/>
      <c r="B358" s="644"/>
      <c r="C358" s="645"/>
      <c r="D358" s="646"/>
      <c r="E358" s="647"/>
      <c r="F358" s="647"/>
      <c r="G358" s="647"/>
      <c r="H358" s="648"/>
      <c r="I358" s="647"/>
      <c r="J358" s="645"/>
      <c r="K358" s="644"/>
      <c r="L358" s="645"/>
      <c r="M358" s="645"/>
      <c r="N358" s="644"/>
      <c r="O358" s="645"/>
      <c r="P358" s="645"/>
      <c r="Q358" s="644"/>
      <c r="R358" s="649"/>
    </row>
    <row r="359" spans="1:18">
      <c r="A359" s="644"/>
      <c r="B359" s="644"/>
      <c r="C359" s="645"/>
      <c r="D359" s="646"/>
      <c r="E359" s="647"/>
      <c r="F359" s="647"/>
      <c r="G359" s="647"/>
      <c r="H359" s="648"/>
      <c r="I359" s="647"/>
      <c r="J359" s="645"/>
      <c r="K359" s="644"/>
      <c r="L359" s="645"/>
      <c r="M359" s="645"/>
      <c r="N359" s="644"/>
      <c r="O359" s="645"/>
      <c r="P359" s="645"/>
      <c r="Q359" s="644"/>
      <c r="R359" s="649"/>
    </row>
    <row r="360" spans="1:18">
      <c r="A360" s="644"/>
      <c r="B360" s="644"/>
      <c r="C360" s="645"/>
      <c r="D360" s="646"/>
      <c r="E360" s="647"/>
      <c r="F360" s="647"/>
      <c r="G360" s="647"/>
      <c r="H360" s="648"/>
      <c r="I360" s="647"/>
      <c r="J360" s="645"/>
      <c r="K360" s="644"/>
      <c r="L360" s="645"/>
      <c r="M360" s="645"/>
      <c r="N360" s="644"/>
      <c r="O360" s="645"/>
      <c r="P360" s="645"/>
      <c r="Q360" s="644"/>
      <c r="R360" s="649"/>
    </row>
    <row r="361" spans="1:18">
      <c r="A361" s="644"/>
      <c r="B361" s="644"/>
      <c r="C361" s="645"/>
      <c r="D361" s="646"/>
      <c r="E361" s="647"/>
      <c r="F361" s="647"/>
      <c r="G361" s="647"/>
      <c r="H361" s="648"/>
      <c r="I361" s="647"/>
      <c r="J361" s="645"/>
      <c r="K361" s="644"/>
      <c r="L361" s="645"/>
      <c r="M361" s="645"/>
      <c r="N361" s="644"/>
      <c r="O361" s="645"/>
      <c r="P361" s="645"/>
      <c r="Q361" s="644"/>
      <c r="R361" s="649"/>
    </row>
    <row r="362" spans="1:18">
      <c r="A362" s="644"/>
      <c r="B362" s="644"/>
      <c r="C362" s="645"/>
      <c r="D362" s="646"/>
      <c r="E362" s="647"/>
      <c r="F362" s="647"/>
      <c r="G362" s="647"/>
      <c r="H362" s="648"/>
      <c r="I362" s="647"/>
      <c r="J362" s="645"/>
      <c r="K362" s="644"/>
      <c r="L362" s="645"/>
      <c r="M362" s="645"/>
      <c r="N362" s="644"/>
      <c r="O362" s="645"/>
      <c r="P362" s="645"/>
      <c r="Q362" s="644"/>
      <c r="R362" s="649"/>
    </row>
    <row r="363" spans="1:18">
      <c r="A363" s="644"/>
      <c r="B363" s="644"/>
      <c r="C363" s="645"/>
      <c r="D363" s="646"/>
      <c r="E363" s="647"/>
      <c r="F363" s="647"/>
      <c r="G363" s="647"/>
      <c r="H363" s="648"/>
      <c r="I363" s="647"/>
      <c r="J363" s="645"/>
      <c r="K363" s="644"/>
      <c r="L363" s="645"/>
      <c r="M363" s="645"/>
      <c r="N363" s="644"/>
      <c r="O363" s="645"/>
      <c r="P363" s="645"/>
      <c r="Q363" s="644"/>
      <c r="R363" s="649"/>
    </row>
    <row r="364" spans="1:18">
      <c r="A364" s="644"/>
      <c r="B364" s="644"/>
      <c r="C364" s="645"/>
      <c r="D364" s="646"/>
      <c r="E364" s="647"/>
      <c r="F364" s="647"/>
      <c r="G364" s="647"/>
      <c r="H364" s="648"/>
      <c r="I364" s="647"/>
      <c r="J364" s="645"/>
      <c r="K364" s="644"/>
      <c r="L364" s="645"/>
      <c r="M364" s="645"/>
      <c r="N364" s="644"/>
      <c r="O364" s="645"/>
      <c r="P364" s="645"/>
      <c r="Q364" s="644"/>
      <c r="R364" s="649"/>
    </row>
    <row r="365" spans="1:18">
      <c r="A365" s="644"/>
      <c r="B365" s="644"/>
      <c r="C365" s="645"/>
      <c r="D365" s="646"/>
      <c r="E365" s="647"/>
      <c r="F365" s="647"/>
      <c r="G365" s="647"/>
      <c r="H365" s="648"/>
      <c r="I365" s="647"/>
      <c r="J365" s="645"/>
      <c r="K365" s="644"/>
      <c r="L365" s="645"/>
      <c r="M365" s="645"/>
      <c r="N365" s="644"/>
      <c r="O365" s="645"/>
      <c r="P365" s="645"/>
      <c r="Q365" s="644"/>
      <c r="R365" s="649"/>
    </row>
    <row r="366" spans="1:18">
      <c r="A366" s="644"/>
      <c r="B366" s="644"/>
      <c r="C366" s="645"/>
      <c r="D366" s="646"/>
      <c r="E366" s="647"/>
      <c r="F366" s="647"/>
      <c r="G366" s="647"/>
      <c r="H366" s="648"/>
      <c r="I366" s="647"/>
      <c r="J366" s="645"/>
      <c r="K366" s="644"/>
      <c r="L366" s="645"/>
      <c r="M366" s="645"/>
      <c r="N366" s="644"/>
      <c r="O366" s="645"/>
      <c r="P366" s="645"/>
      <c r="Q366" s="644"/>
      <c r="R366" s="649"/>
    </row>
    <row r="367" spans="1:18">
      <c r="A367" s="644"/>
      <c r="B367" s="644"/>
      <c r="C367" s="645"/>
      <c r="D367" s="646"/>
      <c r="E367" s="647"/>
      <c r="F367" s="647"/>
      <c r="G367" s="647"/>
      <c r="H367" s="648"/>
      <c r="I367" s="647"/>
      <c r="J367" s="645"/>
      <c r="K367" s="644"/>
      <c r="L367" s="645"/>
      <c r="M367" s="645"/>
      <c r="N367" s="644"/>
      <c r="O367" s="645"/>
      <c r="P367" s="645"/>
      <c r="Q367" s="644"/>
      <c r="R367" s="649"/>
    </row>
    <row r="368" spans="1:18">
      <c r="A368" s="644"/>
      <c r="B368" s="644"/>
      <c r="C368" s="645"/>
      <c r="D368" s="646"/>
      <c r="E368" s="647"/>
      <c r="F368" s="647"/>
      <c r="G368" s="647"/>
      <c r="H368" s="648"/>
      <c r="I368" s="647"/>
      <c r="J368" s="645"/>
      <c r="K368" s="644"/>
      <c r="L368" s="645"/>
      <c r="M368" s="645"/>
      <c r="N368" s="644"/>
      <c r="O368" s="645"/>
      <c r="P368" s="645"/>
      <c r="Q368" s="644"/>
      <c r="R368" s="649"/>
    </row>
    <row r="369" spans="1:18">
      <c r="A369" s="644"/>
      <c r="B369" s="644"/>
      <c r="C369" s="645"/>
      <c r="D369" s="646"/>
      <c r="E369" s="647"/>
      <c r="F369" s="647"/>
      <c r="G369" s="647"/>
      <c r="H369" s="648"/>
      <c r="I369" s="647"/>
      <c r="J369" s="645"/>
      <c r="K369" s="644"/>
      <c r="L369" s="645"/>
      <c r="M369" s="645"/>
      <c r="N369" s="644"/>
      <c r="O369" s="645"/>
      <c r="P369" s="645"/>
      <c r="Q369" s="644"/>
      <c r="R369" s="649"/>
    </row>
    <row r="370" spans="1:18">
      <c r="A370" s="644"/>
      <c r="B370" s="644"/>
      <c r="C370" s="645"/>
      <c r="D370" s="646"/>
      <c r="E370" s="647"/>
      <c r="F370" s="647"/>
      <c r="G370" s="647"/>
      <c r="H370" s="648"/>
      <c r="I370" s="647"/>
      <c r="J370" s="645"/>
      <c r="K370" s="644"/>
      <c r="L370" s="645"/>
      <c r="M370" s="645"/>
      <c r="N370" s="644"/>
      <c r="O370" s="645"/>
      <c r="P370" s="645"/>
      <c r="Q370" s="644"/>
      <c r="R370" s="649"/>
    </row>
    <row r="371" spans="1:18">
      <c r="A371" s="644"/>
      <c r="B371" s="644"/>
      <c r="C371" s="645"/>
      <c r="D371" s="646"/>
      <c r="E371" s="647"/>
      <c r="F371" s="647"/>
      <c r="G371" s="647"/>
      <c r="H371" s="648"/>
      <c r="I371" s="647"/>
      <c r="J371" s="645"/>
      <c r="K371" s="644"/>
      <c r="L371" s="645"/>
      <c r="M371" s="645"/>
      <c r="N371" s="644"/>
      <c r="O371" s="645"/>
      <c r="P371" s="645"/>
      <c r="Q371" s="644"/>
      <c r="R371" s="649"/>
    </row>
    <row r="372" spans="1:18">
      <c r="A372" s="644"/>
      <c r="B372" s="644"/>
      <c r="C372" s="645"/>
      <c r="D372" s="646"/>
      <c r="E372" s="647"/>
      <c r="F372" s="647"/>
      <c r="G372" s="647"/>
      <c r="H372" s="648"/>
      <c r="I372" s="647"/>
      <c r="J372" s="645"/>
      <c r="K372" s="644"/>
      <c r="L372" s="645"/>
      <c r="M372" s="645"/>
      <c r="N372" s="644"/>
      <c r="O372" s="645"/>
      <c r="P372" s="645"/>
      <c r="Q372" s="644"/>
      <c r="R372" s="649"/>
    </row>
    <row r="373" spans="1:18">
      <c r="A373" s="644"/>
      <c r="B373" s="644"/>
      <c r="C373" s="645"/>
      <c r="D373" s="646"/>
      <c r="E373" s="647"/>
      <c r="F373" s="647"/>
      <c r="G373" s="647"/>
      <c r="H373" s="648"/>
      <c r="I373" s="647"/>
      <c r="J373" s="645"/>
      <c r="K373" s="644"/>
      <c r="L373" s="645"/>
      <c r="M373" s="645"/>
      <c r="N373" s="644"/>
      <c r="O373" s="645"/>
      <c r="P373" s="645"/>
      <c r="Q373" s="644"/>
      <c r="R373" s="649"/>
    </row>
    <row r="374" spans="1:18">
      <c r="A374" s="644"/>
      <c r="B374" s="644"/>
      <c r="C374" s="645"/>
      <c r="D374" s="646"/>
      <c r="E374" s="647"/>
      <c r="F374" s="647"/>
      <c r="G374" s="647"/>
      <c r="H374" s="648"/>
      <c r="I374" s="647"/>
      <c r="J374" s="645"/>
      <c r="K374" s="644"/>
      <c r="L374" s="645"/>
      <c r="M374" s="645"/>
      <c r="N374" s="644"/>
      <c r="O374" s="645"/>
      <c r="P374" s="645"/>
      <c r="Q374" s="644"/>
      <c r="R374" s="649"/>
    </row>
    <row r="375" spans="1:18">
      <c r="A375" s="644"/>
      <c r="B375" s="644"/>
      <c r="C375" s="645"/>
      <c r="D375" s="646"/>
      <c r="E375" s="647"/>
      <c r="F375" s="647"/>
      <c r="G375" s="647"/>
      <c r="H375" s="648"/>
      <c r="I375" s="647"/>
      <c r="J375" s="645"/>
      <c r="K375" s="644"/>
      <c r="L375" s="645"/>
      <c r="M375" s="645"/>
      <c r="N375" s="644"/>
      <c r="O375" s="645"/>
      <c r="P375" s="645"/>
      <c r="Q375" s="644"/>
      <c r="R375" s="649"/>
    </row>
    <row r="376" spans="1:18">
      <c r="A376" s="644"/>
      <c r="B376" s="644"/>
      <c r="C376" s="645"/>
      <c r="D376" s="646"/>
      <c r="E376" s="647"/>
      <c r="F376" s="647"/>
      <c r="G376" s="647"/>
      <c r="H376" s="648"/>
      <c r="I376" s="647"/>
      <c r="J376" s="645"/>
      <c r="K376" s="644"/>
      <c r="L376" s="645"/>
      <c r="M376" s="645"/>
      <c r="N376" s="644"/>
      <c r="O376" s="645"/>
      <c r="P376" s="645"/>
      <c r="Q376" s="644"/>
      <c r="R376" s="649"/>
    </row>
    <row r="377" spans="1:18">
      <c r="A377" s="644"/>
      <c r="B377" s="644"/>
      <c r="C377" s="645"/>
      <c r="D377" s="646"/>
      <c r="E377" s="647"/>
      <c r="F377" s="647"/>
      <c r="G377" s="647"/>
      <c r="H377" s="648"/>
      <c r="I377" s="647"/>
      <c r="J377" s="645"/>
      <c r="K377" s="644"/>
      <c r="L377" s="645"/>
      <c r="M377" s="645"/>
      <c r="N377" s="644"/>
      <c r="O377" s="645"/>
      <c r="P377" s="645"/>
      <c r="Q377" s="644"/>
      <c r="R377" s="649"/>
    </row>
    <row r="378" spans="1:18">
      <c r="A378" s="644"/>
      <c r="B378" s="644"/>
      <c r="C378" s="645"/>
      <c r="D378" s="646"/>
      <c r="E378" s="647"/>
      <c r="F378" s="647"/>
      <c r="G378" s="647"/>
      <c r="H378" s="648"/>
      <c r="I378" s="647"/>
      <c r="J378" s="645"/>
      <c r="K378" s="644"/>
      <c r="L378" s="645"/>
      <c r="M378" s="645"/>
      <c r="N378" s="644"/>
      <c r="O378" s="645"/>
      <c r="P378" s="645"/>
      <c r="Q378" s="644"/>
      <c r="R378" s="649"/>
    </row>
    <row r="379" spans="1:18">
      <c r="A379" s="644"/>
      <c r="B379" s="644"/>
      <c r="C379" s="645"/>
      <c r="D379" s="646"/>
      <c r="E379" s="647"/>
      <c r="F379" s="647"/>
      <c r="G379" s="647"/>
      <c r="H379" s="648"/>
      <c r="I379" s="647"/>
      <c r="J379" s="645"/>
      <c r="K379" s="644"/>
      <c r="L379" s="645"/>
      <c r="M379" s="645"/>
      <c r="N379" s="644"/>
      <c r="O379" s="645"/>
      <c r="P379" s="645"/>
      <c r="Q379" s="644"/>
      <c r="R379" s="649"/>
    </row>
    <row r="380" spans="1:18">
      <c r="A380" s="644"/>
      <c r="B380" s="644"/>
      <c r="C380" s="645"/>
      <c r="D380" s="646"/>
      <c r="E380" s="647"/>
      <c r="F380" s="647"/>
      <c r="G380" s="647"/>
      <c r="H380" s="648"/>
      <c r="I380" s="647"/>
      <c r="J380" s="645"/>
      <c r="K380" s="644"/>
      <c r="L380" s="645"/>
      <c r="M380" s="645"/>
      <c r="N380" s="644"/>
      <c r="O380" s="645"/>
      <c r="P380" s="645"/>
      <c r="Q380" s="644"/>
      <c r="R380" s="649"/>
    </row>
    <row r="381" spans="1:18">
      <c r="A381" s="644"/>
      <c r="B381" s="644"/>
      <c r="C381" s="645"/>
      <c r="D381" s="646"/>
      <c r="E381" s="647"/>
      <c r="F381" s="647"/>
      <c r="G381" s="647"/>
      <c r="H381" s="648"/>
      <c r="I381" s="647"/>
      <c r="J381" s="645"/>
      <c r="K381" s="644"/>
      <c r="L381" s="645"/>
      <c r="M381" s="645"/>
      <c r="N381" s="644"/>
      <c r="O381" s="645"/>
      <c r="P381" s="645"/>
      <c r="Q381" s="644"/>
      <c r="R381" s="649"/>
    </row>
    <row r="382" spans="1:18">
      <c r="A382" s="644"/>
      <c r="B382" s="644"/>
      <c r="C382" s="645"/>
      <c r="D382" s="646"/>
      <c r="E382" s="647"/>
      <c r="F382" s="647"/>
      <c r="G382" s="647"/>
      <c r="H382" s="648"/>
      <c r="I382" s="647"/>
      <c r="J382" s="645"/>
      <c r="K382" s="644"/>
      <c r="L382" s="645"/>
      <c r="M382" s="645"/>
      <c r="N382" s="644"/>
      <c r="O382" s="645"/>
      <c r="P382" s="645"/>
      <c r="Q382" s="644"/>
      <c r="R382" s="649"/>
    </row>
    <row r="383" spans="1:18">
      <c r="A383" s="644"/>
      <c r="B383" s="644"/>
      <c r="C383" s="645"/>
      <c r="D383" s="646"/>
      <c r="E383" s="647"/>
      <c r="F383" s="647"/>
      <c r="G383" s="647"/>
      <c r="H383" s="648"/>
      <c r="I383" s="647"/>
      <c r="J383" s="645"/>
      <c r="K383" s="644"/>
      <c r="L383" s="645"/>
      <c r="M383" s="645"/>
      <c r="N383" s="644"/>
      <c r="O383" s="645"/>
      <c r="P383" s="645"/>
      <c r="Q383" s="644"/>
      <c r="R383" s="649"/>
    </row>
    <row r="384" spans="1:18">
      <c r="A384" s="644"/>
      <c r="B384" s="644"/>
      <c r="C384" s="645"/>
      <c r="D384" s="646"/>
      <c r="E384" s="647"/>
      <c r="F384" s="647"/>
      <c r="G384" s="647"/>
      <c r="H384" s="648"/>
      <c r="I384" s="647"/>
      <c r="J384" s="645"/>
      <c r="K384" s="644"/>
      <c r="L384" s="645"/>
      <c r="M384" s="645"/>
      <c r="N384" s="644"/>
      <c r="O384" s="645"/>
      <c r="P384" s="645"/>
      <c r="Q384" s="644"/>
      <c r="R384" s="649"/>
    </row>
    <row r="385" spans="1:18">
      <c r="A385" s="644"/>
      <c r="B385" s="644"/>
      <c r="C385" s="645"/>
      <c r="D385" s="646"/>
      <c r="E385" s="647"/>
      <c r="F385" s="647"/>
      <c r="G385" s="647"/>
      <c r="H385" s="648"/>
      <c r="I385" s="647"/>
      <c r="J385" s="645"/>
      <c r="K385" s="644"/>
      <c r="L385" s="645"/>
      <c r="M385" s="645"/>
      <c r="N385" s="644"/>
      <c r="O385" s="645"/>
      <c r="P385" s="645"/>
      <c r="Q385" s="644"/>
      <c r="R385" s="649"/>
    </row>
    <row r="386" spans="1:18">
      <c r="A386" s="644"/>
      <c r="B386" s="644"/>
      <c r="C386" s="645"/>
      <c r="D386" s="646"/>
      <c r="E386" s="647"/>
      <c r="F386" s="647"/>
      <c r="G386" s="647"/>
      <c r="H386" s="648"/>
      <c r="I386" s="647"/>
      <c r="J386" s="645"/>
      <c r="K386" s="644"/>
      <c r="L386" s="645"/>
      <c r="M386" s="645"/>
      <c r="N386" s="644"/>
      <c r="O386" s="645"/>
      <c r="P386" s="645"/>
      <c r="Q386" s="644"/>
      <c r="R386" s="649"/>
    </row>
    <row r="387" spans="1:18">
      <c r="A387" s="644"/>
      <c r="B387" s="644"/>
      <c r="C387" s="645"/>
      <c r="D387" s="646"/>
      <c r="E387" s="647"/>
      <c r="F387" s="647"/>
      <c r="G387" s="647"/>
      <c r="H387" s="648"/>
      <c r="I387" s="647"/>
      <c r="J387" s="645"/>
      <c r="K387" s="644"/>
      <c r="L387" s="645"/>
      <c r="M387" s="645"/>
      <c r="N387" s="644"/>
      <c r="O387" s="645"/>
      <c r="P387" s="645"/>
      <c r="Q387" s="644"/>
      <c r="R387" s="649"/>
    </row>
    <row r="388" spans="1:18">
      <c r="A388" s="644"/>
      <c r="B388" s="644"/>
      <c r="C388" s="645"/>
      <c r="D388" s="646"/>
      <c r="E388" s="647"/>
      <c r="F388" s="647"/>
      <c r="G388" s="647"/>
      <c r="H388" s="648"/>
      <c r="I388" s="647"/>
      <c r="J388" s="645"/>
      <c r="K388" s="644"/>
      <c r="L388" s="645"/>
      <c r="M388" s="645"/>
      <c r="N388" s="644"/>
      <c r="O388" s="645"/>
      <c r="P388" s="645"/>
      <c r="Q388" s="644"/>
      <c r="R388" s="649"/>
    </row>
    <row r="389" spans="1:18">
      <c r="A389" s="644"/>
      <c r="B389" s="644"/>
      <c r="C389" s="645"/>
      <c r="D389" s="646"/>
      <c r="E389" s="647"/>
      <c r="F389" s="647"/>
      <c r="G389" s="647"/>
      <c r="H389" s="648"/>
      <c r="I389" s="647"/>
      <c r="J389" s="645"/>
      <c r="K389" s="644"/>
      <c r="L389" s="645"/>
      <c r="M389" s="645"/>
      <c r="N389" s="644"/>
      <c r="O389" s="645"/>
      <c r="P389" s="645"/>
      <c r="Q389" s="644"/>
      <c r="R389" s="649"/>
    </row>
    <row r="390" spans="1:18">
      <c r="A390" s="644"/>
      <c r="B390" s="644"/>
      <c r="C390" s="645"/>
      <c r="D390" s="646"/>
      <c r="E390" s="647"/>
      <c r="F390" s="647"/>
      <c r="G390" s="647"/>
      <c r="H390" s="648"/>
      <c r="I390" s="647"/>
      <c r="J390" s="645"/>
      <c r="K390" s="644"/>
      <c r="L390" s="645"/>
      <c r="M390" s="645"/>
      <c r="N390" s="644"/>
      <c r="O390" s="645"/>
      <c r="P390" s="645"/>
      <c r="Q390" s="644"/>
      <c r="R390" s="649"/>
    </row>
    <row r="391" spans="1:18">
      <c r="A391" s="644"/>
      <c r="B391" s="644"/>
      <c r="C391" s="645"/>
      <c r="D391" s="646"/>
      <c r="E391" s="647"/>
      <c r="F391" s="647"/>
      <c r="G391" s="647"/>
      <c r="H391" s="648"/>
      <c r="I391" s="647"/>
      <c r="J391" s="645"/>
      <c r="K391" s="644"/>
      <c r="L391" s="645"/>
      <c r="M391" s="645"/>
      <c r="N391" s="644"/>
      <c r="O391" s="645"/>
      <c r="P391" s="645"/>
      <c r="Q391" s="644"/>
      <c r="R391" s="649"/>
    </row>
    <row r="392" spans="1:18">
      <c r="A392" s="644"/>
      <c r="B392" s="644"/>
      <c r="C392" s="645"/>
      <c r="D392" s="646"/>
      <c r="E392" s="647"/>
      <c r="F392" s="647"/>
      <c r="G392" s="647"/>
      <c r="H392" s="648"/>
      <c r="I392" s="647"/>
      <c r="J392" s="645"/>
      <c r="K392" s="644"/>
      <c r="L392" s="645"/>
      <c r="M392" s="645"/>
      <c r="N392" s="644"/>
      <c r="O392" s="645"/>
      <c r="P392" s="645"/>
      <c r="Q392" s="644"/>
      <c r="R392" s="649"/>
    </row>
    <row r="393" spans="1:18">
      <c r="A393" s="644"/>
      <c r="B393" s="644"/>
      <c r="C393" s="645"/>
      <c r="D393" s="646"/>
      <c r="E393" s="647"/>
      <c r="F393" s="647"/>
      <c r="G393" s="647"/>
      <c r="H393" s="648"/>
      <c r="I393" s="647"/>
      <c r="J393" s="645"/>
      <c r="K393" s="644"/>
      <c r="L393" s="645"/>
      <c r="M393" s="645"/>
      <c r="N393" s="644"/>
      <c r="O393" s="645"/>
      <c r="P393" s="645"/>
      <c r="Q393" s="644"/>
      <c r="R393" s="649"/>
    </row>
    <row r="394" spans="1:18">
      <c r="A394" s="644"/>
      <c r="B394" s="644"/>
      <c r="C394" s="645"/>
      <c r="D394" s="646"/>
      <c r="E394" s="647"/>
      <c r="F394" s="647"/>
      <c r="G394" s="647"/>
      <c r="H394" s="648"/>
      <c r="I394" s="647"/>
      <c r="J394" s="645"/>
      <c r="K394" s="644"/>
      <c r="L394" s="645"/>
      <c r="M394" s="645"/>
      <c r="N394" s="644"/>
      <c r="O394" s="645"/>
      <c r="P394" s="645"/>
      <c r="Q394" s="644"/>
      <c r="R394" s="649"/>
    </row>
    <row r="395" spans="1:18">
      <c r="A395" s="644"/>
      <c r="B395" s="644"/>
      <c r="C395" s="645"/>
      <c r="D395" s="646"/>
      <c r="E395" s="647"/>
      <c r="F395" s="647"/>
      <c r="G395" s="647"/>
      <c r="H395" s="648"/>
      <c r="I395" s="647"/>
      <c r="J395" s="645"/>
      <c r="K395" s="644"/>
      <c r="L395" s="645"/>
      <c r="M395" s="645"/>
      <c r="N395" s="644"/>
      <c r="O395" s="645"/>
      <c r="P395" s="645"/>
      <c r="Q395" s="644"/>
      <c r="R395" s="649"/>
    </row>
    <row r="396" spans="1:18">
      <c r="A396" s="644"/>
      <c r="B396" s="644"/>
      <c r="C396" s="645"/>
      <c r="D396" s="646"/>
      <c r="E396" s="647"/>
      <c r="F396" s="647"/>
      <c r="G396" s="647"/>
      <c r="H396" s="648"/>
      <c r="I396" s="647"/>
      <c r="J396" s="645"/>
      <c r="K396" s="644"/>
      <c r="L396" s="645"/>
      <c r="M396" s="645"/>
      <c r="N396" s="644"/>
      <c r="O396" s="645"/>
      <c r="P396" s="645"/>
      <c r="Q396" s="644"/>
      <c r="R396" s="649"/>
    </row>
    <row r="397" spans="1:18">
      <c r="A397" s="644"/>
      <c r="B397" s="644"/>
      <c r="C397" s="645"/>
      <c r="D397" s="646"/>
      <c r="E397" s="647"/>
      <c r="F397" s="647"/>
      <c r="G397" s="647"/>
      <c r="H397" s="648"/>
      <c r="I397" s="647"/>
      <c r="J397" s="645"/>
      <c r="K397" s="644"/>
      <c r="L397" s="645"/>
      <c r="M397" s="645"/>
      <c r="N397" s="644"/>
      <c r="O397" s="645"/>
      <c r="P397" s="645"/>
      <c r="Q397" s="644"/>
      <c r="R397" s="649"/>
    </row>
    <row r="398" spans="1:18">
      <c r="A398" s="644"/>
      <c r="B398" s="644"/>
      <c r="C398" s="645"/>
      <c r="D398" s="646"/>
      <c r="E398" s="647"/>
      <c r="F398" s="647"/>
      <c r="G398" s="647"/>
      <c r="H398" s="648"/>
      <c r="I398" s="647"/>
      <c r="J398" s="645"/>
      <c r="K398" s="644"/>
      <c r="L398" s="645"/>
      <c r="M398" s="645"/>
      <c r="N398" s="644"/>
      <c r="O398" s="645"/>
      <c r="P398" s="645"/>
      <c r="Q398" s="644"/>
      <c r="R398" s="649"/>
    </row>
    <row r="399" spans="1:18">
      <c r="A399" s="644"/>
      <c r="B399" s="644"/>
      <c r="C399" s="645"/>
      <c r="D399" s="646"/>
      <c r="E399" s="647"/>
      <c r="F399" s="647"/>
      <c r="G399" s="647"/>
      <c r="H399" s="648"/>
      <c r="I399" s="647"/>
      <c r="J399" s="645"/>
      <c r="K399" s="644"/>
      <c r="L399" s="645"/>
      <c r="M399" s="645"/>
      <c r="N399" s="644"/>
      <c r="O399" s="645"/>
      <c r="P399" s="645"/>
      <c r="Q399" s="644"/>
      <c r="R399" s="649"/>
    </row>
    <row r="400" spans="1:18">
      <c r="A400" s="644"/>
      <c r="B400" s="644"/>
      <c r="C400" s="645"/>
      <c r="D400" s="646"/>
      <c r="E400" s="647"/>
      <c r="F400" s="647"/>
      <c r="G400" s="647"/>
      <c r="H400" s="648"/>
      <c r="I400" s="647"/>
      <c r="J400" s="645"/>
      <c r="K400" s="644"/>
      <c r="L400" s="645"/>
      <c r="M400" s="645"/>
      <c r="N400" s="644"/>
      <c r="O400" s="645"/>
      <c r="P400" s="645"/>
      <c r="Q400" s="644"/>
      <c r="R400" s="649"/>
    </row>
    <row r="401" spans="1:18">
      <c r="A401" s="644"/>
      <c r="B401" s="644"/>
      <c r="C401" s="645"/>
      <c r="D401" s="646"/>
      <c r="E401" s="647"/>
      <c r="F401" s="647"/>
      <c r="G401" s="647"/>
      <c r="H401" s="648"/>
      <c r="I401" s="647"/>
      <c r="J401" s="645"/>
      <c r="K401" s="644"/>
      <c r="L401" s="645"/>
      <c r="M401" s="645"/>
      <c r="N401" s="644"/>
      <c r="O401" s="645"/>
      <c r="P401" s="645"/>
      <c r="Q401" s="644"/>
      <c r="R401" s="649"/>
    </row>
    <row r="402" spans="1:18">
      <c r="A402" s="644"/>
      <c r="B402" s="644"/>
      <c r="C402" s="645"/>
      <c r="D402" s="646"/>
      <c r="E402" s="647"/>
      <c r="F402" s="647"/>
      <c r="G402" s="647"/>
      <c r="H402" s="648"/>
      <c r="I402" s="647"/>
      <c r="J402" s="645"/>
      <c r="K402" s="644"/>
      <c r="L402" s="645"/>
      <c r="M402" s="645"/>
      <c r="N402" s="644"/>
      <c r="O402" s="645"/>
      <c r="P402" s="645"/>
      <c r="Q402" s="644"/>
      <c r="R402" s="649"/>
    </row>
    <row r="403" spans="1:18">
      <c r="A403" s="644"/>
      <c r="B403" s="644"/>
      <c r="C403" s="645"/>
      <c r="D403" s="646"/>
      <c r="E403" s="647"/>
      <c r="F403" s="647"/>
      <c r="G403" s="647"/>
      <c r="H403" s="648"/>
      <c r="I403" s="647"/>
      <c r="J403" s="645"/>
      <c r="K403" s="644"/>
      <c r="L403" s="645"/>
      <c r="M403" s="645"/>
      <c r="N403" s="644"/>
      <c r="O403" s="645"/>
      <c r="P403" s="645"/>
      <c r="Q403" s="644"/>
      <c r="R403" s="649"/>
    </row>
    <row r="404" spans="1:18">
      <c r="A404" s="644"/>
      <c r="B404" s="644"/>
      <c r="C404" s="645"/>
      <c r="D404" s="646"/>
      <c r="E404" s="647"/>
      <c r="F404" s="647"/>
      <c r="G404" s="647"/>
      <c r="H404" s="648"/>
      <c r="I404" s="647"/>
      <c r="J404" s="645"/>
      <c r="K404" s="644"/>
      <c r="L404" s="645"/>
      <c r="M404" s="645"/>
      <c r="N404" s="644"/>
      <c r="O404" s="645"/>
      <c r="P404" s="645"/>
      <c r="Q404" s="644"/>
      <c r="R404" s="649"/>
    </row>
    <row r="405" spans="1:18">
      <c r="A405" s="644"/>
      <c r="B405" s="644"/>
      <c r="C405" s="645"/>
      <c r="D405" s="646"/>
      <c r="E405" s="647"/>
      <c r="F405" s="647"/>
      <c r="G405" s="647"/>
      <c r="H405" s="648"/>
      <c r="I405" s="647"/>
      <c r="J405" s="645"/>
      <c r="K405" s="644"/>
      <c r="L405" s="645"/>
      <c r="M405" s="645"/>
      <c r="N405" s="644"/>
      <c r="O405" s="645"/>
      <c r="P405" s="645"/>
      <c r="Q405" s="644"/>
      <c r="R405" s="649"/>
    </row>
    <row r="406" spans="1:18">
      <c r="A406" s="644"/>
      <c r="B406" s="644"/>
      <c r="C406" s="645"/>
      <c r="D406" s="646"/>
      <c r="E406" s="647"/>
      <c r="F406" s="647"/>
      <c r="G406" s="647"/>
      <c r="H406" s="648"/>
      <c r="I406" s="647"/>
      <c r="J406" s="645"/>
      <c r="K406" s="644"/>
      <c r="L406" s="645"/>
      <c r="M406" s="645"/>
      <c r="N406" s="644"/>
      <c r="O406" s="645"/>
      <c r="P406" s="645"/>
      <c r="Q406" s="644"/>
      <c r="R406" s="649"/>
    </row>
    <row r="407" spans="1:18">
      <c r="A407" s="644"/>
      <c r="B407" s="644"/>
      <c r="C407" s="645"/>
      <c r="D407" s="646"/>
      <c r="E407" s="647"/>
      <c r="F407" s="647"/>
      <c r="G407" s="647"/>
      <c r="H407" s="648"/>
      <c r="I407" s="647"/>
      <c r="J407" s="645"/>
      <c r="K407" s="644"/>
      <c r="L407" s="645"/>
      <c r="M407" s="645"/>
      <c r="N407" s="644"/>
      <c r="O407" s="645"/>
      <c r="P407" s="645"/>
      <c r="Q407" s="644"/>
      <c r="R407" s="649"/>
    </row>
    <row r="408" spans="1:18">
      <c r="A408" s="644"/>
      <c r="B408" s="644"/>
      <c r="C408" s="645"/>
      <c r="D408" s="646"/>
      <c r="E408" s="647"/>
      <c r="F408" s="647"/>
      <c r="G408" s="647"/>
      <c r="H408" s="648"/>
      <c r="I408" s="647"/>
      <c r="J408" s="645"/>
      <c r="K408" s="644"/>
      <c r="L408" s="645"/>
      <c r="M408" s="645"/>
      <c r="N408" s="644"/>
      <c r="O408" s="645"/>
      <c r="P408" s="645"/>
      <c r="Q408" s="644"/>
      <c r="R408" s="649"/>
    </row>
    <row r="409" spans="1:18">
      <c r="A409" s="644"/>
      <c r="B409" s="644"/>
      <c r="C409" s="645"/>
      <c r="D409" s="646"/>
      <c r="E409" s="647"/>
      <c r="F409" s="647"/>
      <c r="G409" s="647"/>
      <c r="H409" s="648"/>
      <c r="I409" s="647"/>
      <c r="J409" s="645"/>
      <c r="K409" s="644"/>
      <c r="L409" s="645"/>
      <c r="M409" s="645"/>
      <c r="N409" s="644"/>
      <c r="O409" s="645"/>
      <c r="P409" s="645"/>
      <c r="Q409" s="644"/>
      <c r="R409" s="649"/>
    </row>
    <row r="410" spans="1:18">
      <c r="A410" s="644"/>
      <c r="B410" s="644"/>
      <c r="C410" s="645"/>
      <c r="D410" s="646"/>
      <c r="E410" s="647"/>
      <c r="F410" s="647"/>
      <c r="G410" s="647"/>
      <c r="H410" s="648"/>
      <c r="I410" s="647"/>
      <c r="J410" s="645"/>
      <c r="K410" s="644"/>
      <c r="L410" s="645"/>
      <c r="M410" s="645"/>
      <c r="N410" s="644"/>
      <c r="O410" s="645"/>
      <c r="P410" s="645"/>
      <c r="Q410" s="644"/>
      <c r="R410" s="649"/>
    </row>
    <row r="411" spans="1:18">
      <c r="A411" s="644"/>
      <c r="B411" s="644"/>
      <c r="C411" s="645"/>
      <c r="D411" s="646"/>
      <c r="E411" s="647"/>
      <c r="F411" s="647"/>
      <c r="G411" s="647"/>
      <c r="H411" s="648"/>
      <c r="I411" s="647"/>
      <c r="J411" s="645"/>
      <c r="K411" s="644"/>
      <c r="L411" s="645"/>
      <c r="M411" s="645"/>
      <c r="N411" s="644"/>
      <c r="O411" s="645"/>
      <c r="P411" s="645"/>
      <c r="Q411" s="644"/>
      <c r="R411" s="649"/>
    </row>
    <row r="412" spans="1:18">
      <c r="A412" s="644"/>
      <c r="B412" s="644"/>
      <c r="C412" s="645"/>
      <c r="D412" s="646"/>
      <c r="E412" s="647"/>
      <c r="F412" s="647"/>
      <c r="G412" s="647"/>
      <c r="H412" s="648"/>
      <c r="I412" s="647"/>
      <c r="J412" s="645"/>
      <c r="K412" s="644"/>
      <c r="L412" s="645"/>
      <c r="M412" s="645"/>
      <c r="N412" s="644"/>
      <c r="O412" s="645"/>
      <c r="P412" s="645"/>
      <c r="Q412" s="644"/>
      <c r="R412" s="649"/>
    </row>
    <row r="413" spans="1:18">
      <c r="A413" s="644"/>
      <c r="B413" s="644"/>
      <c r="C413" s="645"/>
      <c r="D413" s="646"/>
      <c r="E413" s="647"/>
      <c r="F413" s="647"/>
      <c r="G413" s="647"/>
      <c r="H413" s="648"/>
      <c r="I413" s="647"/>
      <c r="J413" s="645"/>
      <c r="K413" s="644"/>
      <c r="L413" s="645"/>
      <c r="M413" s="645"/>
      <c r="N413" s="644"/>
      <c r="O413" s="645"/>
      <c r="P413" s="645"/>
      <c r="Q413" s="644"/>
      <c r="R413" s="649"/>
    </row>
    <row r="414" spans="1:18">
      <c r="A414" s="644"/>
      <c r="B414" s="644"/>
      <c r="C414" s="645"/>
      <c r="D414" s="646"/>
      <c r="E414" s="647"/>
      <c r="F414" s="647"/>
      <c r="G414" s="647"/>
      <c r="H414" s="648"/>
      <c r="I414" s="647"/>
      <c r="J414" s="645"/>
      <c r="K414" s="644"/>
      <c r="L414" s="645"/>
      <c r="M414" s="645"/>
      <c r="N414" s="644"/>
      <c r="O414" s="645"/>
      <c r="P414" s="645"/>
      <c r="Q414" s="644"/>
      <c r="R414" s="649"/>
    </row>
    <row r="415" spans="1:18">
      <c r="A415" s="644"/>
      <c r="B415" s="644"/>
      <c r="C415" s="645"/>
      <c r="D415" s="646"/>
      <c r="E415" s="647"/>
      <c r="F415" s="647"/>
      <c r="G415" s="647"/>
      <c r="H415" s="648"/>
      <c r="I415" s="647"/>
      <c r="J415" s="645"/>
      <c r="K415" s="644"/>
      <c r="L415" s="645"/>
      <c r="M415" s="645"/>
      <c r="N415" s="644"/>
      <c r="O415" s="645"/>
      <c r="P415" s="645"/>
      <c r="Q415" s="644"/>
      <c r="R415" s="649"/>
    </row>
    <row r="416" spans="1:18">
      <c r="A416" s="644"/>
      <c r="B416" s="644"/>
      <c r="C416" s="645"/>
      <c r="D416" s="646"/>
      <c r="E416" s="647"/>
      <c r="F416" s="647"/>
      <c r="G416" s="647"/>
      <c r="H416" s="648"/>
      <c r="I416" s="647"/>
      <c r="J416" s="645"/>
      <c r="K416" s="644"/>
      <c r="L416" s="645"/>
      <c r="M416" s="645"/>
      <c r="N416" s="644"/>
      <c r="O416" s="645"/>
      <c r="P416" s="645"/>
      <c r="Q416" s="644"/>
      <c r="R416" s="649"/>
    </row>
    <row r="417" spans="1:18">
      <c r="A417" s="644"/>
      <c r="B417" s="644"/>
      <c r="C417" s="645"/>
      <c r="D417" s="646"/>
      <c r="E417" s="647"/>
      <c r="F417" s="647"/>
      <c r="G417" s="647"/>
      <c r="H417" s="648"/>
      <c r="I417" s="647"/>
      <c r="J417" s="645"/>
      <c r="K417" s="644"/>
      <c r="L417" s="645"/>
      <c r="M417" s="645"/>
      <c r="N417" s="644"/>
      <c r="O417" s="645"/>
      <c r="P417" s="645"/>
      <c r="Q417" s="644"/>
      <c r="R417" s="649"/>
    </row>
    <row r="418" spans="1:18">
      <c r="A418" s="644"/>
      <c r="B418" s="644"/>
      <c r="C418" s="645"/>
      <c r="D418" s="646"/>
      <c r="E418" s="647"/>
      <c r="F418" s="647"/>
      <c r="G418" s="647"/>
      <c r="H418" s="648"/>
      <c r="I418" s="647"/>
      <c r="J418" s="645"/>
      <c r="K418" s="644"/>
      <c r="L418" s="645"/>
      <c r="M418" s="645"/>
      <c r="N418" s="644"/>
      <c r="O418" s="645"/>
      <c r="P418" s="645"/>
      <c r="Q418" s="644"/>
      <c r="R418" s="649"/>
    </row>
    <row r="419" spans="1:18">
      <c r="A419" s="644"/>
      <c r="B419" s="644"/>
      <c r="C419" s="645"/>
      <c r="D419" s="646"/>
      <c r="E419" s="647"/>
      <c r="F419" s="647"/>
      <c r="G419" s="647"/>
      <c r="H419" s="648"/>
      <c r="I419" s="647"/>
      <c r="J419" s="645"/>
      <c r="K419" s="644"/>
      <c r="L419" s="645"/>
      <c r="M419" s="645"/>
      <c r="N419" s="644"/>
      <c r="O419" s="645"/>
      <c r="P419" s="645"/>
      <c r="Q419" s="644"/>
      <c r="R419" s="649"/>
    </row>
    <row r="420" spans="1:18">
      <c r="A420" s="644"/>
      <c r="B420" s="644"/>
      <c r="C420" s="645"/>
      <c r="D420" s="646"/>
      <c r="E420" s="647"/>
      <c r="F420" s="647"/>
      <c r="G420" s="647"/>
      <c r="H420" s="648"/>
      <c r="I420" s="647"/>
      <c r="J420" s="645"/>
      <c r="K420" s="644"/>
      <c r="L420" s="645"/>
      <c r="M420" s="645"/>
      <c r="N420" s="644"/>
      <c r="O420" s="645"/>
      <c r="P420" s="645"/>
      <c r="Q420" s="644"/>
      <c r="R420" s="649"/>
    </row>
    <row r="421" spans="1:18">
      <c r="A421" s="644"/>
      <c r="B421" s="644"/>
      <c r="C421" s="645"/>
      <c r="D421" s="646"/>
      <c r="E421" s="647"/>
      <c r="F421" s="647"/>
      <c r="G421" s="647"/>
      <c r="H421" s="648"/>
      <c r="I421" s="647"/>
      <c r="J421" s="645"/>
      <c r="K421" s="644"/>
      <c r="L421" s="645"/>
      <c r="M421" s="645"/>
      <c r="N421" s="644"/>
      <c r="O421" s="645"/>
      <c r="P421" s="645"/>
      <c r="Q421" s="644"/>
      <c r="R421" s="649"/>
    </row>
    <row r="422" spans="1:18">
      <c r="A422" s="644"/>
      <c r="B422" s="644"/>
      <c r="C422" s="645"/>
      <c r="D422" s="646"/>
      <c r="E422" s="647"/>
      <c r="F422" s="647"/>
      <c r="G422" s="647"/>
      <c r="H422" s="648"/>
      <c r="I422" s="647"/>
      <c r="J422" s="645"/>
      <c r="K422" s="644"/>
      <c r="L422" s="645"/>
      <c r="M422" s="645"/>
      <c r="N422" s="644"/>
      <c r="O422" s="645"/>
      <c r="P422" s="645"/>
      <c r="Q422" s="644"/>
      <c r="R422" s="649"/>
    </row>
    <row r="423" spans="1:18">
      <c r="A423" s="644"/>
      <c r="B423" s="644"/>
      <c r="C423" s="645"/>
      <c r="D423" s="646"/>
      <c r="E423" s="647"/>
      <c r="F423" s="647"/>
      <c r="G423" s="647"/>
      <c r="H423" s="648"/>
      <c r="I423" s="647"/>
      <c r="J423" s="645"/>
      <c r="K423" s="644"/>
      <c r="L423" s="645"/>
      <c r="M423" s="645"/>
      <c r="N423" s="644"/>
      <c r="O423" s="645"/>
      <c r="P423" s="645"/>
      <c r="Q423" s="644"/>
      <c r="R423" s="649"/>
    </row>
    <row r="424" spans="1:18">
      <c r="A424" s="644"/>
      <c r="B424" s="644"/>
      <c r="C424" s="645"/>
      <c r="D424" s="646"/>
      <c r="E424" s="647"/>
      <c r="F424" s="647"/>
      <c r="G424" s="647"/>
      <c r="H424" s="648"/>
      <c r="I424" s="647"/>
      <c r="J424" s="645"/>
      <c r="K424" s="644"/>
      <c r="L424" s="645"/>
      <c r="M424" s="645"/>
      <c r="N424" s="644"/>
      <c r="O424" s="645"/>
      <c r="P424" s="645"/>
      <c r="Q424" s="644"/>
      <c r="R424" s="649"/>
    </row>
    <row r="425" spans="1:18">
      <c r="A425" s="644"/>
      <c r="B425" s="644"/>
      <c r="C425" s="645"/>
      <c r="D425" s="646"/>
      <c r="E425" s="647"/>
      <c r="F425" s="647"/>
      <c r="G425" s="647"/>
      <c r="H425" s="648"/>
      <c r="I425" s="647"/>
      <c r="J425" s="645"/>
      <c r="K425" s="644"/>
      <c r="L425" s="645"/>
      <c r="M425" s="645"/>
      <c r="N425" s="644"/>
      <c r="O425" s="645"/>
      <c r="P425" s="645"/>
      <c r="Q425" s="644"/>
      <c r="R425" s="649"/>
    </row>
    <row r="426" spans="1:18">
      <c r="A426" s="644"/>
      <c r="B426" s="644"/>
      <c r="C426" s="645"/>
      <c r="D426" s="646"/>
      <c r="E426" s="647"/>
      <c r="F426" s="647"/>
      <c r="G426" s="647"/>
      <c r="H426" s="648"/>
      <c r="I426" s="647"/>
      <c r="J426" s="645"/>
      <c r="K426" s="644"/>
      <c r="L426" s="645"/>
      <c r="M426" s="645"/>
      <c r="N426" s="644"/>
      <c r="O426" s="645"/>
      <c r="P426" s="645"/>
      <c r="Q426" s="644"/>
      <c r="R426" s="649"/>
    </row>
    <row r="427" spans="1:18">
      <c r="A427" s="644"/>
      <c r="B427" s="644"/>
      <c r="C427" s="645"/>
      <c r="D427" s="646"/>
      <c r="E427" s="647"/>
      <c r="F427" s="647"/>
      <c r="G427" s="647"/>
      <c r="H427" s="648"/>
      <c r="I427" s="647"/>
      <c r="J427" s="645"/>
      <c r="K427" s="644"/>
      <c r="L427" s="645"/>
      <c r="M427" s="645"/>
      <c r="N427" s="644"/>
      <c r="O427" s="645"/>
      <c r="P427" s="645"/>
      <c r="Q427" s="644"/>
      <c r="R427" s="649"/>
    </row>
    <row r="428" spans="1:18">
      <c r="A428" s="644"/>
      <c r="B428" s="644"/>
      <c r="C428" s="645"/>
      <c r="D428" s="646"/>
      <c r="E428" s="647"/>
      <c r="F428" s="647"/>
      <c r="G428" s="647"/>
      <c r="H428" s="648"/>
      <c r="I428" s="647"/>
      <c r="J428" s="645"/>
      <c r="K428" s="644"/>
      <c r="L428" s="645"/>
      <c r="M428" s="645"/>
      <c r="N428" s="644"/>
      <c r="O428" s="645"/>
      <c r="P428" s="645"/>
      <c r="Q428" s="644"/>
      <c r="R428" s="649"/>
    </row>
    <row r="429" spans="1:18">
      <c r="A429" s="644"/>
      <c r="B429" s="644"/>
      <c r="C429" s="645"/>
      <c r="D429" s="646"/>
      <c r="E429" s="647"/>
      <c r="F429" s="647"/>
      <c r="G429" s="647"/>
      <c r="H429" s="648"/>
      <c r="I429" s="647"/>
      <c r="J429" s="645"/>
      <c r="K429" s="644"/>
      <c r="L429" s="645"/>
      <c r="M429" s="645"/>
      <c r="N429" s="644"/>
      <c r="O429" s="645"/>
      <c r="P429" s="645"/>
      <c r="Q429" s="644"/>
      <c r="R429" s="649"/>
    </row>
    <row r="430" spans="1:18">
      <c r="A430" s="644"/>
      <c r="B430" s="644"/>
      <c r="C430" s="645"/>
      <c r="D430" s="646"/>
      <c r="E430" s="647"/>
      <c r="F430" s="647"/>
      <c r="G430" s="647"/>
      <c r="H430" s="648"/>
      <c r="I430" s="647"/>
      <c r="J430" s="645"/>
      <c r="K430" s="644"/>
      <c r="L430" s="645"/>
      <c r="M430" s="645"/>
      <c r="N430" s="644"/>
      <c r="O430" s="645"/>
      <c r="P430" s="645"/>
      <c r="Q430" s="644"/>
      <c r="R430" s="649"/>
    </row>
    <row r="431" spans="1:18">
      <c r="A431" s="644"/>
      <c r="B431" s="644"/>
      <c r="C431" s="645"/>
      <c r="D431" s="646"/>
      <c r="E431" s="647"/>
      <c r="F431" s="647"/>
      <c r="G431" s="647"/>
      <c r="H431" s="648"/>
      <c r="I431" s="647"/>
      <c r="J431" s="645"/>
      <c r="K431" s="644"/>
      <c r="L431" s="645"/>
      <c r="M431" s="645"/>
      <c r="N431" s="644"/>
      <c r="O431" s="645"/>
      <c r="P431" s="645"/>
      <c r="Q431" s="644"/>
      <c r="R431" s="649"/>
    </row>
    <row r="432" spans="1:18">
      <c r="A432" s="644"/>
      <c r="B432" s="644"/>
      <c r="C432" s="645"/>
      <c r="D432" s="646"/>
      <c r="E432" s="647"/>
      <c r="F432" s="647"/>
      <c r="G432" s="647"/>
      <c r="H432" s="648"/>
      <c r="I432" s="647"/>
      <c r="J432" s="645"/>
      <c r="K432" s="644"/>
      <c r="L432" s="645"/>
      <c r="M432" s="645"/>
      <c r="N432" s="644"/>
      <c r="O432" s="645"/>
      <c r="P432" s="645"/>
      <c r="Q432" s="644"/>
      <c r="R432" s="649"/>
    </row>
    <row r="433" spans="1:18">
      <c r="A433" s="644"/>
      <c r="B433" s="644"/>
      <c r="C433" s="645"/>
      <c r="D433" s="646"/>
      <c r="E433" s="647"/>
      <c r="F433" s="647"/>
      <c r="G433" s="647"/>
      <c r="H433" s="648"/>
      <c r="I433" s="647"/>
      <c r="J433" s="645"/>
      <c r="K433" s="644"/>
      <c r="L433" s="645"/>
      <c r="M433" s="645"/>
      <c r="N433" s="644"/>
      <c r="O433" s="645"/>
      <c r="P433" s="645"/>
      <c r="Q433" s="644"/>
      <c r="R433" s="649"/>
    </row>
    <row r="434" spans="1:18">
      <c r="A434" s="644"/>
      <c r="B434" s="644"/>
      <c r="C434" s="645"/>
      <c r="D434" s="646"/>
      <c r="E434" s="647"/>
      <c r="F434" s="647"/>
      <c r="G434" s="647"/>
      <c r="H434" s="648"/>
      <c r="I434" s="647"/>
      <c r="J434" s="645"/>
      <c r="K434" s="644"/>
      <c r="L434" s="645"/>
      <c r="M434" s="645"/>
      <c r="N434" s="644"/>
      <c r="O434" s="645"/>
      <c r="P434" s="645"/>
      <c r="Q434" s="644"/>
      <c r="R434" s="649"/>
    </row>
    <row r="435" spans="1:18">
      <c r="A435" s="644"/>
      <c r="B435" s="644"/>
      <c r="C435" s="645"/>
      <c r="D435" s="646"/>
      <c r="E435" s="647"/>
      <c r="F435" s="647"/>
      <c r="G435" s="647"/>
      <c r="H435" s="648"/>
      <c r="I435" s="647"/>
      <c r="J435" s="645"/>
      <c r="K435" s="644"/>
      <c r="L435" s="645"/>
      <c r="M435" s="645"/>
      <c r="N435" s="644"/>
      <c r="O435" s="645"/>
      <c r="P435" s="645"/>
      <c r="Q435" s="644"/>
      <c r="R435" s="649"/>
    </row>
    <row r="436" spans="1:18">
      <c r="A436" s="644"/>
      <c r="B436" s="644"/>
      <c r="C436" s="645"/>
      <c r="D436" s="646"/>
      <c r="E436" s="647"/>
      <c r="F436" s="647"/>
      <c r="G436" s="647"/>
      <c r="H436" s="648"/>
      <c r="I436" s="647"/>
      <c r="J436" s="645"/>
      <c r="K436" s="644"/>
      <c r="L436" s="645"/>
      <c r="M436" s="645"/>
      <c r="N436" s="644"/>
      <c r="O436" s="645"/>
      <c r="P436" s="645"/>
      <c r="Q436" s="644"/>
      <c r="R436" s="649"/>
    </row>
    <row r="437" spans="1:18">
      <c r="A437" s="644"/>
      <c r="B437" s="644"/>
      <c r="C437" s="645"/>
      <c r="D437" s="646"/>
      <c r="E437" s="647"/>
      <c r="F437" s="647"/>
      <c r="G437" s="647"/>
      <c r="H437" s="648"/>
      <c r="I437" s="647"/>
      <c r="J437" s="645"/>
      <c r="K437" s="644"/>
      <c r="L437" s="645"/>
      <c r="M437" s="645"/>
      <c r="N437" s="644"/>
      <c r="O437" s="645"/>
      <c r="P437" s="645"/>
      <c r="Q437" s="644"/>
      <c r="R437" s="649"/>
    </row>
    <row r="438" spans="1:18">
      <c r="A438" s="644"/>
      <c r="B438" s="644"/>
      <c r="C438" s="645"/>
      <c r="D438" s="646"/>
      <c r="E438" s="647"/>
      <c r="F438" s="647"/>
      <c r="G438" s="647"/>
      <c r="H438" s="648"/>
      <c r="I438" s="647"/>
      <c r="J438" s="645"/>
      <c r="K438" s="644"/>
      <c r="L438" s="645"/>
      <c r="M438" s="645"/>
      <c r="N438" s="644"/>
      <c r="O438" s="645"/>
      <c r="P438" s="645"/>
      <c r="Q438" s="644"/>
      <c r="R438" s="649"/>
    </row>
    <row r="439" spans="1:18">
      <c r="A439" s="644"/>
      <c r="B439" s="644"/>
      <c r="C439" s="645"/>
      <c r="D439" s="646"/>
      <c r="E439" s="647"/>
      <c r="F439" s="647"/>
      <c r="G439" s="647"/>
      <c r="H439" s="648"/>
      <c r="I439" s="647"/>
      <c r="J439" s="645"/>
      <c r="K439" s="644"/>
      <c r="L439" s="645"/>
      <c r="M439" s="645"/>
      <c r="N439" s="644"/>
      <c r="O439" s="645"/>
      <c r="P439" s="645"/>
      <c r="Q439" s="644"/>
      <c r="R439" s="649"/>
    </row>
    <row r="440" spans="1:18">
      <c r="A440" s="644"/>
      <c r="B440" s="644"/>
      <c r="C440" s="645"/>
      <c r="D440" s="646"/>
      <c r="E440" s="647"/>
      <c r="F440" s="647"/>
      <c r="G440" s="647"/>
      <c r="H440" s="648"/>
      <c r="I440" s="647"/>
      <c r="J440" s="645"/>
      <c r="K440" s="644"/>
      <c r="L440" s="645"/>
      <c r="M440" s="645"/>
      <c r="N440" s="644"/>
      <c r="O440" s="645"/>
      <c r="P440" s="645"/>
      <c r="Q440" s="644"/>
      <c r="R440" s="649"/>
    </row>
    <row r="441" spans="1:18">
      <c r="A441" s="644"/>
      <c r="B441" s="644"/>
      <c r="C441" s="645"/>
      <c r="D441" s="646"/>
      <c r="E441" s="647"/>
      <c r="F441" s="647"/>
      <c r="G441" s="647"/>
      <c r="H441" s="648"/>
      <c r="I441" s="647"/>
      <c r="J441" s="645"/>
      <c r="K441" s="644"/>
      <c r="L441" s="645"/>
      <c r="M441" s="645"/>
      <c r="N441" s="644"/>
      <c r="O441" s="645"/>
      <c r="P441" s="645"/>
      <c r="Q441" s="644"/>
      <c r="R441" s="649"/>
    </row>
    <row r="442" spans="1:18">
      <c r="A442" s="644"/>
      <c r="B442" s="644"/>
      <c r="C442" s="645"/>
      <c r="D442" s="646"/>
      <c r="E442" s="647"/>
      <c r="F442" s="647"/>
      <c r="G442" s="647"/>
      <c r="H442" s="648"/>
      <c r="I442" s="647"/>
      <c r="J442" s="645"/>
      <c r="K442" s="644"/>
      <c r="L442" s="645"/>
      <c r="M442" s="645"/>
      <c r="N442" s="644"/>
      <c r="O442" s="645"/>
      <c r="P442" s="645"/>
      <c r="Q442" s="644"/>
      <c r="R442" s="649"/>
    </row>
    <row r="443" spans="1:18">
      <c r="A443" s="644"/>
      <c r="B443" s="644"/>
      <c r="C443" s="645"/>
      <c r="D443" s="646"/>
      <c r="E443" s="647"/>
      <c r="F443" s="647"/>
      <c r="G443" s="647"/>
      <c r="H443" s="648"/>
      <c r="I443" s="647"/>
      <c r="J443" s="645"/>
      <c r="K443" s="644"/>
      <c r="L443" s="645"/>
      <c r="M443" s="645"/>
      <c r="N443" s="644"/>
      <c r="O443" s="645"/>
      <c r="P443" s="645"/>
      <c r="Q443" s="644"/>
      <c r="R443" s="649"/>
    </row>
    <row r="444" spans="1:18">
      <c r="A444" s="644"/>
      <c r="B444" s="644"/>
      <c r="C444" s="645"/>
      <c r="D444" s="646"/>
      <c r="E444" s="647"/>
      <c r="F444" s="647"/>
      <c r="G444" s="647"/>
      <c r="H444" s="648"/>
      <c r="I444" s="647"/>
      <c r="J444" s="645"/>
      <c r="K444" s="644"/>
      <c r="L444" s="645"/>
      <c r="M444" s="645"/>
      <c r="N444" s="644"/>
      <c r="O444" s="645"/>
      <c r="P444" s="645"/>
      <c r="Q444" s="644"/>
      <c r="R444" s="649"/>
    </row>
    <row r="445" spans="1:18">
      <c r="A445" s="644"/>
      <c r="B445" s="644"/>
      <c r="C445" s="645"/>
      <c r="D445" s="646"/>
      <c r="E445" s="647"/>
      <c r="F445" s="647"/>
      <c r="G445" s="647"/>
      <c r="H445" s="648"/>
      <c r="I445" s="647"/>
      <c r="J445" s="645"/>
      <c r="K445" s="644"/>
      <c r="L445" s="645"/>
      <c r="M445" s="645"/>
      <c r="N445" s="644"/>
      <c r="O445" s="645"/>
      <c r="P445" s="645"/>
      <c r="Q445" s="644"/>
      <c r="R445" s="649"/>
    </row>
    <row r="446" spans="1:18">
      <c r="A446" s="644"/>
      <c r="B446" s="644"/>
      <c r="C446" s="645"/>
      <c r="D446" s="646"/>
      <c r="E446" s="647"/>
      <c r="F446" s="647"/>
      <c r="G446" s="647"/>
      <c r="H446" s="648"/>
      <c r="I446" s="647"/>
      <c r="J446" s="645"/>
      <c r="K446" s="644"/>
      <c r="L446" s="645"/>
      <c r="M446" s="645"/>
      <c r="N446" s="644"/>
      <c r="O446" s="645"/>
      <c r="P446" s="645"/>
      <c r="Q446" s="644"/>
      <c r="R446" s="649"/>
    </row>
    <row r="447" spans="1:18">
      <c r="A447" s="644"/>
      <c r="B447" s="644"/>
      <c r="C447" s="645"/>
      <c r="D447" s="646"/>
      <c r="E447" s="647"/>
      <c r="F447" s="647"/>
      <c r="G447" s="647"/>
      <c r="H447" s="648"/>
      <c r="I447" s="647"/>
      <c r="J447" s="645"/>
      <c r="K447" s="644"/>
      <c r="L447" s="645"/>
      <c r="M447" s="645"/>
      <c r="N447" s="644"/>
      <c r="O447" s="645"/>
      <c r="P447" s="645"/>
      <c r="Q447" s="644"/>
      <c r="R447" s="649"/>
    </row>
    <row r="448" spans="1:18">
      <c r="A448" s="644"/>
      <c r="B448" s="644"/>
      <c r="C448" s="645"/>
      <c r="D448" s="646"/>
      <c r="E448" s="647"/>
      <c r="F448" s="647"/>
      <c r="G448" s="647"/>
      <c r="H448" s="648"/>
      <c r="I448" s="647"/>
      <c r="J448" s="645"/>
      <c r="K448" s="644"/>
      <c r="L448" s="645"/>
      <c r="M448" s="645"/>
      <c r="N448" s="644"/>
      <c r="O448" s="645"/>
      <c r="P448" s="645"/>
      <c r="Q448" s="644"/>
      <c r="R448" s="649"/>
    </row>
    <row r="449" spans="1:18">
      <c r="A449" s="644"/>
      <c r="B449" s="644"/>
      <c r="C449" s="645"/>
      <c r="D449" s="646"/>
      <c r="E449" s="647"/>
      <c r="F449" s="647"/>
      <c r="G449" s="647"/>
      <c r="H449" s="648"/>
      <c r="I449" s="647"/>
      <c r="J449" s="645"/>
      <c r="K449" s="644"/>
      <c r="L449" s="645"/>
      <c r="M449" s="645"/>
      <c r="N449" s="644"/>
      <c r="O449" s="645"/>
      <c r="P449" s="645"/>
      <c r="Q449" s="644"/>
      <c r="R449" s="649"/>
    </row>
    <row r="450" spans="1:18">
      <c r="A450" s="644"/>
      <c r="B450" s="644"/>
      <c r="C450" s="645"/>
      <c r="D450" s="646"/>
      <c r="E450" s="647"/>
      <c r="F450" s="647"/>
      <c r="G450" s="647"/>
      <c r="H450" s="648"/>
      <c r="I450" s="647"/>
      <c r="J450" s="645"/>
      <c r="K450" s="644"/>
      <c r="L450" s="645"/>
      <c r="M450" s="645"/>
      <c r="N450" s="644"/>
      <c r="O450" s="645"/>
      <c r="P450" s="645"/>
      <c r="Q450" s="644"/>
      <c r="R450" s="649"/>
    </row>
    <row r="451" spans="1:18">
      <c r="A451" s="644"/>
      <c r="B451" s="644"/>
      <c r="C451" s="645"/>
      <c r="D451" s="646"/>
      <c r="E451" s="647"/>
      <c r="F451" s="647"/>
      <c r="G451" s="647"/>
      <c r="H451" s="648"/>
      <c r="I451" s="647"/>
      <c r="J451" s="645"/>
      <c r="K451" s="644"/>
      <c r="L451" s="645"/>
      <c r="M451" s="645"/>
      <c r="N451" s="644"/>
      <c r="O451" s="645"/>
      <c r="P451" s="645"/>
      <c r="Q451" s="644"/>
      <c r="R451" s="649"/>
    </row>
    <row r="452" spans="1:18">
      <c r="A452" s="644"/>
      <c r="B452" s="644"/>
      <c r="C452" s="645"/>
      <c r="D452" s="646"/>
      <c r="E452" s="647"/>
      <c r="F452" s="647"/>
      <c r="G452" s="647"/>
      <c r="H452" s="648"/>
      <c r="I452" s="647"/>
      <c r="J452" s="645"/>
      <c r="K452" s="644"/>
      <c r="L452" s="645"/>
      <c r="M452" s="645"/>
      <c r="N452" s="644"/>
      <c r="O452" s="645"/>
      <c r="P452" s="645"/>
      <c r="Q452" s="644"/>
      <c r="R452" s="649"/>
    </row>
    <row r="453" spans="1:18">
      <c r="A453" s="644"/>
      <c r="B453" s="644"/>
      <c r="C453" s="645"/>
      <c r="D453" s="646"/>
      <c r="E453" s="647"/>
      <c r="F453" s="647"/>
      <c r="G453" s="647"/>
      <c r="H453" s="648"/>
      <c r="I453" s="647"/>
      <c r="J453" s="645"/>
      <c r="K453" s="644"/>
      <c r="L453" s="645"/>
      <c r="M453" s="645"/>
      <c r="N453" s="644"/>
      <c r="O453" s="645"/>
      <c r="P453" s="645"/>
      <c r="Q453" s="644"/>
      <c r="R453" s="649"/>
    </row>
    <row r="454" spans="1:18">
      <c r="A454" s="644"/>
      <c r="B454" s="644"/>
      <c r="C454" s="645"/>
      <c r="D454" s="646"/>
      <c r="E454" s="647"/>
      <c r="F454" s="647"/>
      <c r="G454" s="647"/>
      <c r="H454" s="648"/>
      <c r="I454" s="647"/>
      <c r="J454" s="645"/>
      <c r="K454" s="644"/>
      <c r="L454" s="645"/>
      <c r="M454" s="645"/>
      <c r="N454" s="644"/>
      <c r="O454" s="645"/>
      <c r="P454" s="645"/>
      <c r="Q454" s="644"/>
      <c r="R454" s="649"/>
    </row>
    <row r="455" spans="1:18">
      <c r="A455" s="644"/>
      <c r="B455" s="644"/>
      <c r="C455" s="645"/>
      <c r="D455" s="646"/>
      <c r="E455" s="647"/>
      <c r="F455" s="647"/>
      <c r="G455" s="647"/>
      <c r="H455" s="648"/>
      <c r="I455" s="647"/>
      <c r="J455" s="645"/>
      <c r="K455" s="644"/>
      <c r="L455" s="645"/>
      <c r="M455" s="645"/>
      <c r="N455" s="644"/>
      <c r="O455" s="645"/>
      <c r="P455" s="645"/>
      <c r="Q455" s="644"/>
      <c r="R455" s="649"/>
    </row>
    <row r="456" spans="1:18">
      <c r="A456" s="644"/>
      <c r="B456" s="644"/>
      <c r="C456" s="645"/>
      <c r="D456" s="646"/>
      <c r="E456" s="647"/>
      <c r="F456" s="647"/>
      <c r="G456" s="647"/>
      <c r="H456" s="648"/>
      <c r="I456" s="647"/>
      <c r="J456" s="645"/>
      <c r="K456" s="644"/>
      <c r="L456" s="645"/>
      <c r="M456" s="645"/>
      <c r="N456" s="644"/>
      <c r="O456" s="645"/>
      <c r="P456" s="645"/>
      <c r="Q456" s="644"/>
      <c r="R456" s="649"/>
    </row>
    <row r="457" spans="1:18">
      <c r="A457" s="644"/>
      <c r="B457" s="644"/>
      <c r="C457" s="645"/>
      <c r="D457" s="646"/>
      <c r="E457" s="647"/>
      <c r="F457" s="647"/>
      <c r="G457" s="647"/>
      <c r="H457" s="648"/>
      <c r="I457" s="647"/>
      <c r="J457" s="645"/>
      <c r="K457" s="644"/>
      <c r="L457" s="645"/>
      <c r="M457" s="645"/>
      <c r="N457" s="644"/>
      <c r="O457" s="645"/>
      <c r="P457" s="645"/>
      <c r="Q457" s="644"/>
      <c r="R457" s="649"/>
    </row>
    <row r="458" spans="1:18">
      <c r="A458" s="644"/>
      <c r="B458" s="644"/>
      <c r="C458" s="645"/>
      <c r="D458" s="646"/>
      <c r="E458" s="647"/>
      <c r="F458" s="647"/>
      <c r="G458" s="647"/>
      <c r="H458" s="648"/>
      <c r="I458" s="647"/>
      <c r="J458" s="645"/>
      <c r="K458" s="644"/>
      <c r="L458" s="645"/>
      <c r="M458" s="645"/>
      <c r="N458" s="644"/>
      <c r="O458" s="645"/>
      <c r="P458" s="645"/>
      <c r="Q458" s="644"/>
      <c r="R458" s="649"/>
    </row>
    <row r="459" spans="1:18">
      <c r="A459" s="644"/>
      <c r="B459" s="644"/>
      <c r="C459" s="645"/>
      <c r="D459" s="646"/>
      <c r="E459" s="647"/>
      <c r="F459" s="647"/>
      <c r="G459" s="647"/>
      <c r="H459" s="648"/>
      <c r="I459" s="647"/>
      <c r="J459" s="645"/>
      <c r="K459" s="644"/>
      <c r="L459" s="645"/>
      <c r="M459" s="645"/>
      <c r="N459" s="644"/>
      <c r="O459" s="645"/>
      <c r="P459" s="645"/>
      <c r="Q459" s="644"/>
      <c r="R459" s="649"/>
    </row>
    <row r="460" spans="1:18">
      <c r="A460" s="644"/>
      <c r="B460" s="644"/>
      <c r="C460" s="645"/>
      <c r="D460" s="646"/>
      <c r="E460" s="647"/>
      <c r="F460" s="647"/>
      <c r="G460" s="647"/>
      <c r="H460" s="648"/>
      <c r="I460" s="647"/>
      <c r="J460" s="645"/>
      <c r="K460" s="644"/>
      <c r="L460" s="645"/>
      <c r="M460" s="645"/>
      <c r="N460" s="644"/>
      <c r="O460" s="645"/>
      <c r="P460" s="645"/>
      <c r="Q460" s="644"/>
      <c r="R460" s="649"/>
    </row>
    <row r="461" spans="1:18">
      <c r="A461" s="644"/>
      <c r="B461" s="644"/>
      <c r="C461" s="645"/>
      <c r="D461" s="646"/>
      <c r="E461" s="647"/>
      <c r="F461" s="647"/>
      <c r="G461" s="647"/>
      <c r="H461" s="648"/>
      <c r="I461" s="647"/>
      <c r="J461" s="645"/>
      <c r="K461" s="644"/>
      <c r="L461" s="645"/>
      <c r="M461" s="645"/>
      <c r="N461" s="644"/>
      <c r="O461" s="645"/>
      <c r="P461" s="645"/>
      <c r="Q461" s="644"/>
      <c r="R461" s="649"/>
    </row>
    <row r="462" spans="1:18">
      <c r="A462" s="644"/>
      <c r="B462" s="644"/>
      <c r="C462" s="645"/>
      <c r="D462" s="646"/>
      <c r="E462" s="647"/>
      <c r="F462" s="647"/>
      <c r="G462" s="647"/>
      <c r="H462" s="648"/>
      <c r="I462" s="647"/>
      <c r="J462" s="645"/>
      <c r="K462" s="644"/>
      <c r="L462" s="645"/>
      <c r="M462" s="645"/>
      <c r="N462" s="644"/>
      <c r="O462" s="645"/>
      <c r="P462" s="645"/>
      <c r="Q462" s="644"/>
      <c r="R462" s="649"/>
    </row>
    <row r="463" spans="1:18">
      <c r="A463" s="644"/>
      <c r="B463" s="644"/>
      <c r="C463" s="645"/>
      <c r="D463" s="646"/>
      <c r="E463" s="647"/>
      <c r="F463" s="647"/>
      <c r="G463" s="647"/>
      <c r="H463" s="648"/>
      <c r="I463" s="647"/>
      <c r="J463" s="645"/>
      <c r="K463" s="644"/>
      <c r="L463" s="645"/>
      <c r="M463" s="645"/>
      <c r="N463" s="644"/>
      <c r="O463" s="645"/>
      <c r="P463" s="645"/>
      <c r="Q463" s="644"/>
      <c r="R463" s="649"/>
    </row>
    <row r="464" spans="1:18">
      <c r="A464" s="644"/>
      <c r="B464" s="644"/>
      <c r="C464" s="645"/>
      <c r="D464" s="646"/>
      <c r="E464" s="647"/>
      <c r="F464" s="647"/>
      <c r="G464" s="647"/>
      <c r="H464" s="648"/>
      <c r="I464" s="647"/>
      <c r="J464" s="645"/>
      <c r="K464" s="644"/>
      <c r="L464" s="645"/>
      <c r="M464" s="645"/>
      <c r="N464" s="644"/>
      <c r="O464" s="645"/>
      <c r="P464" s="645"/>
      <c r="Q464" s="644"/>
      <c r="R464" s="649"/>
    </row>
    <row r="465" spans="1:18">
      <c r="A465" s="644"/>
      <c r="B465" s="644"/>
      <c r="C465" s="645"/>
      <c r="D465" s="646"/>
      <c r="E465" s="647"/>
      <c r="F465" s="647"/>
      <c r="G465" s="647"/>
      <c r="H465" s="648"/>
      <c r="I465" s="647"/>
      <c r="J465" s="645"/>
      <c r="K465" s="644"/>
      <c r="L465" s="645"/>
      <c r="M465" s="645"/>
      <c r="N465" s="644"/>
      <c r="O465" s="645"/>
      <c r="P465" s="645"/>
      <c r="Q465" s="644"/>
      <c r="R465" s="649"/>
    </row>
    <row r="466" spans="1:18">
      <c r="A466" s="644"/>
      <c r="B466" s="644"/>
      <c r="C466" s="645"/>
      <c r="D466" s="646"/>
      <c r="E466" s="647"/>
      <c r="F466" s="647"/>
      <c r="G466" s="647"/>
      <c r="H466" s="648"/>
      <c r="I466" s="647"/>
      <c r="J466" s="645"/>
      <c r="K466" s="644"/>
      <c r="L466" s="645"/>
      <c r="M466" s="645"/>
      <c r="N466" s="644"/>
      <c r="O466" s="645"/>
      <c r="P466" s="645"/>
      <c r="Q466" s="644"/>
      <c r="R466" s="649"/>
    </row>
    <row r="467" spans="1:18">
      <c r="A467" s="644"/>
      <c r="B467" s="644"/>
      <c r="C467" s="645"/>
      <c r="D467" s="646"/>
      <c r="E467" s="647"/>
      <c r="F467" s="647"/>
      <c r="G467" s="647"/>
      <c r="H467" s="648"/>
      <c r="I467" s="647"/>
      <c r="J467" s="645"/>
      <c r="K467" s="644"/>
      <c r="L467" s="645"/>
      <c r="M467" s="645"/>
      <c r="N467" s="644"/>
      <c r="O467" s="645"/>
      <c r="P467" s="645"/>
      <c r="Q467" s="644"/>
      <c r="R467" s="649"/>
    </row>
    <row r="468" spans="1:18">
      <c r="A468" s="644"/>
      <c r="B468" s="644"/>
      <c r="C468" s="645"/>
      <c r="D468" s="646"/>
      <c r="E468" s="647"/>
      <c r="F468" s="647"/>
      <c r="G468" s="647"/>
      <c r="H468" s="648"/>
      <c r="I468" s="647"/>
      <c r="J468" s="645"/>
      <c r="K468" s="644"/>
      <c r="L468" s="645"/>
      <c r="M468" s="645"/>
      <c r="N468" s="644"/>
      <c r="O468" s="645"/>
      <c r="P468" s="645"/>
      <c r="Q468" s="644"/>
      <c r="R468" s="649"/>
    </row>
    <row r="469" spans="1:18">
      <c r="A469" s="644"/>
      <c r="B469" s="644"/>
      <c r="C469" s="645"/>
      <c r="D469" s="646"/>
      <c r="E469" s="647"/>
      <c r="F469" s="647"/>
      <c r="G469" s="647"/>
      <c r="H469" s="648"/>
      <c r="I469" s="647"/>
      <c r="J469" s="645"/>
      <c r="K469" s="644"/>
      <c r="L469" s="645"/>
      <c r="M469" s="645"/>
      <c r="N469" s="644"/>
      <c r="O469" s="645"/>
      <c r="P469" s="645"/>
      <c r="Q469" s="644"/>
      <c r="R469" s="649"/>
    </row>
    <row r="470" spans="1:18">
      <c r="A470" s="644"/>
      <c r="B470" s="644"/>
      <c r="C470" s="645"/>
      <c r="D470" s="646"/>
      <c r="E470" s="647"/>
      <c r="F470" s="647"/>
      <c r="G470" s="647"/>
      <c r="H470" s="648"/>
      <c r="I470" s="647"/>
      <c r="J470" s="645"/>
      <c r="K470" s="644"/>
      <c r="L470" s="645"/>
      <c r="M470" s="645"/>
      <c r="N470" s="644"/>
      <c r="O470" s="645"/>
      <c r="P470" s="645"/>
      <c r="Q470" s="644"/>
      <c r="R470" s="649"/>
    </row>
    <row r="471" spans="1:18">
      <c r="A471" s="644"/>
      <c r="B471" s="644"/>
      <c r="C471" s="645"/>
      <c r="D471" s="646"/>
      <c r="E471" s="647"/>
      <c r="F471" s="647"/>
      <c r="G471" s="647"/>
      <c r="H471" s="648"/>
      <c r="I471" s="647"/>
      <c r="J471" s="645"/>
      <c r="K471" s="644"/>
      <c r="L471" s="645"/>
      <c r="M471" s="645"/>
      <c r="N471" s="644"/>
      <c r="O471" s="645"/>
      <c r="P471" s="645"/>
      <c r="Q471" s="644"/>
      <c r="R471" s="649"/>
    </row>
    <row r="472" spans="1:18">
      <c r="A472" s="644"/>
      <c r="B472" s="644"/>
      <c r="C472" s="645"/>
      <c r="D472" s="646"/>
      <c r="E472" s="647"/>
      <c r="F472" s="647"/>
      <c r="G472" s="647"/>
      <c r="H472" s="648"/>
      <c r="I472" s="647"/>
      <c r="J472" s="645"/>
      <c r="K472" s="644"/>
      <c r="L472" s="645"/>
      <c r="M472" s="645"/>
      <c r="N472" s="644"/>
      <c r="O472" s="645"/>
      <c r="P472" s="645"/>
      <c r="Q472" s="644"/>
      <c r="R472" s="649"/>
    </row>
    <row r="473" spans="1:18">
      <c r="A473" s="644"/>
      <c r="B473" s="644"/>
      <c r="C473" s="645"/>
      <c r="D473" s="646"/>
      <c r="E473" s="647"/>
      <c r="F473" s="647"/>
      <c r="G473" s="647"/>
      <c r="H473" s="648"/>
      <c r="I473" s="647"/>
      <c r="J473" s="645"/>
      <c r="K473" s="644"/>
      <c r="L473" s="645"/>
      <c r="M473" s="645"/>
      <c r="N473" s="644"/>
      <c r="O473" s="645"/>
      <c r="P473" s="645"/>
      <c r="Q473" s="644"/>
      <c r="R473" s="649"/>
    </row>
    <row r="474" spans="1:18">
      <c r="A474" s="644"/>
      <c r="B474" s="644"/>
      <c r="C474" s="645"/>
      <c r="D474" s="646"/>
      <c r="E474" s="647"/>
      <c r="F474" s="647"/>
      <c r="G474" s="647"/>
      <c r="H474" s="648"/>
      <c r="I474" s="647"/>
      <c r="J474" s="645"/>
      <c r="K474" s="644"/>
      <c r="L474" s="645"/>
      <c r="M474" s="645"/>
      <c r="N474" s="644"/>
      <c r="O474" s="645"/>
      <c r="P474" s="645"/>
      <c r="Q474" s="644"/>
      <c r="R474" s="649"/>
    </row>
    <row r="475" spans="1:18">
      <c r="A475" s="644"/>
      <c r="B475" s="644"/>
      <c r="C475" s="645"/>
      <c r="D475" s="646"/>
      <c r="E475" s="647"/>
      <c r="F475" s="647"/>
      <c r="G475" s="647"/>
      <c r="H475" s="648"/>
      <c r="I475" s="647"/>
      <c r="J475" s="645"/>
      <c r="K475" s="644"/>
      <c r="L475" s="645"/>
      <c r="M475" s="645"/>
      <c r="N475" s="644"/>
      <c r="O475" s="645"/>
      <c r="P475" s="645"/>
      <c r="Q475" s="644"/>
      <c r="R475" s="649"/>
    </row>
    <row r="476" spans="1:18">
      <c r="A476" s="644"/>
      <c r="B476" s="644"/>
      <c r="C476" s="645"/>
      <c r="D476" s="646"/>
      <c r="E476" s="647"/>
      <c r="F476" s="647"/>
      <c r="G476" s="647"/>
      <c r="H476" s="648"/>
      <c r="I476" s="647"/>
      <c r="J476" s="645"/>
      <c r="K476" s="644"/>
      <c r="L476" s="645"/>
      <c r="M476" s="645"/>
      <c r="N476" s="644"/>
      <c r="O476" s="645"/>
      <c r="P476" s="645"/>
      <c r="Q476" s="644"/>
      <c r="R476" s="649"/>
    </row>
    <row r="477" spans="1:18">
      <c r="A477" s="644"/>
      <c r="B477" s="644"/>
      <c r="C477" s="645"/>
      <c r="D477" s="646"/>
      <c r="E477" s="647"/>
      <c r="F477" s="647"/>
      <c r="G477" s="647"/>
      <c r="H477" s="648"/>
      <c r="I477" s="647"/>
      <c r="J477" s="645"/>
      <c r="K477" s="644"/>
      <c r="L477" s="645"/>
      <c r="M477" s="645"/>
      <c r="N477" s="644"/>
      <c r="O477" s="645"/>
      <c r="P477" s="645"/>
      <c r="Q477" s="644"/>
      <c r="R477" s="649"/>
    </row>
    <row r="478" spans="1:18">
      <c r="A478" s="644"/>
      <c r="B478" s="644"/>
      <c r="C478" s="645"/>
      <c r="D478" s="646"/>
      <c r="E478" s="647"/>
      <c r="F478" s="647"/>
      <c r="G478" s="647"/>
      <c r="H478" s="648"/>
      <c r="I478" s="647"/>
      <c r="J478" s="645"/>
      <c r="K478" s="644"/>
      <c r="L478" s="645"/>
      <c r="M478" s="645"/>
      <c r="N478" s="644"/>
      <c r="O478" s="645"/>
      <c r="P478" s="645"/>
      <c r="Q478" s="644"/>
      <c r="R478" s="649"/>
    </row>
    <row r="479" spans="1:18">
      <c r="A479" s="644"/>
      <c r="B479" s="644"/>
      <c r="C479" s="645"/>
      <c r="D479" s="646"/>
      <c r="E479" s="647"/>
      <c r="F479" s="647"/>
      <c r="G479" s="647"/>
      <c r="H479" s="648"/>
      <c r="I479" s="647"/>
      <c r="J479" s="645"/>
      <c r="K479" s="644"/>
      <c r="L479" s="645"/>
      <c r="M479" s="645"/>
      <c r="N479" s="644"/>
      <c r="O479" s="645"/>
      <c r="P479" s="645"/>
      <c r="Q479" s="644"/>
      <c r="R479" s="649"/>
    </row>
    <row r="480" spans="1:18">
      <c r="A480" s="644"/>
      <c r="B480" s="644"/>
      <c r="C480" s="645"/>
      <c r="D480" s="646"/>
      <c r="E480" s="647"/>
      <c r="F480" s="647"/>
      <c r="G480" s="647"/>
      <c r="H480" s="648"/>
      <c r="I480" s="647"/>
      <c r="J480" s="645"/>
      <c r="K480" s="644"/>
      <c r="L480" s="645"/>
      <c r="M480" s="645"/>
      <c r="N480" s="644"/>
      <c r="O480" s="645"/>
      <c r="P480" s="645"/>
      <c r="Q480" s="644"/>
      <c r="R480" s="649"/>
    </row>
    <row r="481" spans="1:18">
      <c r="A481" s="644"/>
      <c r="B481" s="644"/>
      <c r="C481" s="645"/>
      <c r="D481" s="646"/>
      <c r="E481" s="647"/>
      <c r="F481" s="647"/>
      <c r="G481" s="647"/>
      <c r="H481" s="648"/>
      <c r="I481" s="647"/>
      <c r="J481" s="645"/>
      <c r="K481" s="644"/>
      <c r="L481" s="645"/>
      <c r="M481" s="645"/>
      <c r="N481" s="644"/>
      <c r="O481" s="645"/>
      <c r="P481" s="645"/>
      <c r="Q481" s="644"/>
      <c r="R481" s="649"/>
    </row>
    <row r="482" spans="1:18">
      <c r="A482" s="644"/>
      <c r="B482" s="644"/>
      <c r="C482" s="645"/>
      <c r="D482" s="646"/>
      <c r="E482" s="647"/>
      <c r="F482" s="647"/>
      <c r="G482" s="647"/>
      <c r="H482" s="648"/>
      <c r="I482" s="647"/>
      <c r="J482" s="645"/>
      <c r="K482" s="644"/>
      <c r="L482" s="645"/>
      <c r="M482" s="645"/>
      <c r="N482" s="644"/>
      <c r="O482" s="645"/>
      <c r="P482" s="645"/>
      <c r="Q482" s="644"/>
      <c r="R482" s="649"/>
    </row>
    <row r="483" spans="1:18">
      <c r="A483" s="644"/>
      <c r="B483" s="644"/>
      <c r="C483" s="645"/>
      <c r="D483" s="646"/>
      <c r="E483" s="647"/>
      <c r="F483" s="647"/>
      <c r="G483" s="647"/>
      <c r="H483" s="648"/>
      <c r="I483" s="647"/>
      <c r="J483" s="645"/>
      <c r="K483" s="644"/>
      <c r="L483" s="645"/>
      <c r="M483" s="645"/>
      <c r="N483" s="644"/>
      <c r="O483" s="645"/>
      <c r="P483" s="645"/>
      <c r="Q483" s="644"/>
      <c r="R483" s="649"/>
    </row>
    <row r="484" spans="1:18">
      <c r="A484" s="644"/>
      <c r="B484" s="644"/>
      <c r="C484" s="645"/>
      <c r="D484" s="646"/>
      <c r="E484" s="647"/>
      <c r="F484" s="647"/>
      <c r="G484" s="647"/>
      <c r="H484" s="648"/>
      <c r="I484" s="647"/>
      <c r="J484" s="645"/>
      <c r="K484" s="644"/>
      <c r="L484" s="645"/>
      <c r="M484" s="645"/>
      <c r="N484" s="644"/>
      <c r="O484" s="645"/>
      <c r="P484" s="645"/>
      <c r="Q484" s="644"/>
      <c r="R484" s="649"/>
    </row>
    <row r="485" spans="1:18">
      <c r="A485" s="644"/>
      <c r="B485" s="644"/>
      <c r="C485" s="645"/>
      <c r="D485" s="646"/>
      <c r="E485" s="647"/>
      <c r="F485" s="647"/>
      <c r="G485" s="647"/>
      <c r="H485" s="648"/>
      <c r="I485" s="647"/>
      <c r="J485" s="645"/>
      <c r="K485" s="644"/>
      <c r="L485" s="645"/>
      <c r="M485" s="645"/>
      <c r="N485" s="644"/>
      <c r="O485" s="645"/>
      <c r="P485" s="645"/>
      <c r="Q485" s="644"/>
      <c r="R485" s="649"/>
    </row>
    <row r="486" spans="1:18">
      <c r="A486" s="644"/>
      <c r="B486" s="644"/>
      <c r="C486" s="645"/>
      <c r="D486" s="646"/>
      <c r="E486" s="647"/>
      <c r="F486" s="647"/>
      <c r="G486" s="647"/>
      <c r="H486" s="648"/>
      <c r="I486" s="647"/>
      <c r="J486" s="645"/>
      <c r="K486" s="644"/>
      <c r="L486" s="645"/>
      <c r="M486" s="645"/>
      <c r="N486" s="644"/>
      <c r="O486" s="645"/>
      <c r="P486" s="645"/>
      <c r="Q486" s="644"/>
      <c r="R486" s="649"/>
    </row>
    <row r="487" spans="1:18">
      <c r="A487" s="644"/>
      <c r="B487" s="644"/>
      <c r="C487" s="645"/>
      <c r="D487" s="646"/>
      <c r="E487" s="647"/>
      <c r="F487" s="647"/>
      <c r="G487" s="647"/>
      <c r="H487" s="648"/>
      <c r="I487" s="647"/>
      <c r="J487" s="645"/>
      <c r="K487" s="644"/>
      <c r="L487" s="645"/>
      <c r="M487" s="645"/>
      <c r="N487" s="644"/>
      <c r="O487" s="645"/>
      <c r="P487" s="645"/>
      <c r="Q487" s="644"/>
      <c r="R487" s="649"/>
    </row>
    <row r="488" spans="1:18">
      <c r="A488" s="644"/>
      <c r="B488" s="644"/>
      <c r="C488" s="645"/>
      <c r="D488" s="646"/>
      <c r="E488" s="647"/>
      <c r="F488" s="647"/>
      <c r="G488" s="647"/>
      <c r="H488" s="648"/>
      <c r="I488" s="647"/>
      <c r="J488" s="645"/>
      <c r="K488" s="644"/>
      <c r="L488" s="645"/>
      <c r="M488" s="645"/>
      <c r="N488" s="644"/>
      <c r="O488" s="645"/>
      <c r="P488" s="645"/>
      <c r="Q488" s="644"/>
      <c r="R488" s="649"/>
    </row>
    <row r="489" spans="1:18">
      <c r="A489" s="644"/>
      <c r="B489" s="644"/>
      <c r="C489" s="645"/>
      <c r="D489" s="646"/>
      <c r="E489" s="647"/>
      <c r="F489" s="647"/>
      <c r="G489" s="647"/>
      <c r="H489" s="648"/>
      <c r="I489" s="647"/>
      <c r="J489" s="645"/>
      <c r="K489" s="644"/>
      <c r="L489" s="645"/>
      <c r="M489" s="645"/>
      <c r="N489" s="644"/>
      <c r="O489" s="645"/>
      <c r="P489" s="645"/>
      <c r="Q489" s="644"/>
      <c r="R489" s="649"/>
    </row>
    <row r="490" spans="1:18">
      <c r="A490" s="644"/>
      <c r="B490" s="644"/>
      <c r="C490" s="645"/>
      <c r="D490" s="646"/>
      <c r="E490" s="647"/>
      <c r="F490" s="647"/>
      <c r="G490" s="647"/>
      <c r="H490" s="648"/>
      <c r="I490" s="647"/>
      <c r="J490" s="645"/>
      <c r="K490" s="644"/>
      <c r="L490" s="645"/>
      <c r="M490" s="645"/>
      <c r="N490" s="644"/>
      <c r="O490" s="645"/>
      <c r="P490" s="645"/>
      <c r="Q490" s="644"/>
      <c r="R490" s="649"/>
    </row>
    <row r="491" spans="1:18">
      <c r="A491" s="644"/>
      <c r="B491" s="644"/>
      <c r="C491" s="645"/>
      <c r="D491" s="646"/>
      <c r="E491" s="647"/>
      <c r="F491" s="647"/>
      <c r="G491" s="647"/>
      <c r="H491" s="648"/>
      <c r="I491" s="647"/>
      <c r="J491" s="645"/>
      <c r="K491" s="644"/>
      <c r="L491" s="645"/>
      <c r="M491" s="645"/>
      <c r="N491" s="644"/>
      <c r="O491" s="645"/>
      <c r="P491" s="645"/>
      <c r="Q491" s="644"/>
      <c r="R491" s="649"/>
    </row>
    <row r="492" spans="1:18">
      <c r="A492" s="644"/>
      <c r="B492" s="644"/>
      <c r="C492" s="645"/>
      <c r="D492" s="646"/>
      <c r="E492" s="647"/>
      <c r="F492" s="647"/>
      <c r="G492" s="647"/>
      <c r="H492" s="648"/>
      <c r="I492" s="647"/>
      <c r="J492" s="645"/>
      <c r="K492" s="644"/>
      <c r="L492" s="645"/>
      <c r="M492" s="645"/>
      <c r="N492" s="644"/>
      <c r="O492" s="645"/>
      <c r="P492" s="645"/>
      <c r="Q492" s="644"/>
      <c r="R492" s="649"/>
    </row>
    <row r="493" spans="1:18">
      <c r="A493" s="644"/>
      <c r="B493" s="644"/>
      <c r="C493" s="645"/>
      <c r="D493" s="646"/>
      <c r="E493" s="647"/>
      <c r="F493" s="647"/>
      <c r="G493" s="647"/>
      <c r="H493" s="648"/>
      <c r="I493" s="647"/>
      <c r="J493" s="645"/>
      <c r="K493" s="644"/>
      <c r="L493" s="645"/>
      <c r="M493" s="645"/>
      <c r="N493" s="644"/>
      <c r="O493" s="645"/>
      <c r="P493" s="645"/>
      <c r="Q493" s="644"/>
      <c r="R493" s="649"/>
    </row>
    <row r="494" spans="1:18">
      <c r="A494" s="644"/>
      <c r="B494" s="644"/>
      <c r="C494" s="645"/>
      <c r="D494" s="646"/>
      <c r="E494" s="647"/>
      <c r="F494" s="647"/>
      <c r="G494" s="647"/>
      <c r="H494" s="648"/>
      <c r="I494" s="647"/>
      <c r="J494" s="645"/>
      <c r="K494" s="644"/>
      <c r="L494" s="645"/>
      <c r="M494" s="645"/>
      <c r="N494" s="644"/>
      <c r="O494" s="645"/>
      <c r="P494" s="645"/>
      <c r="Q494" s="644"/>
      <c r="R494" s="649"/>
    </row>
    <row r="495" spans="1:18">
      <c r="A495" s="644"/>
      <c r="B495" s="644"/>
      <c r="C495" s="645"/>
      <c r="D495" s="646"/>
      <c r="E495" s="647"/>
      <c r="F495" s="647"/>
      <c r="G495" s="647"/>
      <c r="H495" s="648"/>
      <c r="I495" s="647"/>
      <c r="J495" s="645"/>
      <c r="K495" s="644"/>
      <c r="L495" s="645"/>
      <c r="M495" s="645"/>
      <c r="N495" s="644"/>
      <c r="O495" s="645"/>
      <c r="P495" s="645"/>
      <c r="Q495" s="644"/>
      <c r="R495" s="649"/>
    </row>
    <row r="496" spans="1:18">
      <c r="A496" s="644"/>
      <c r="B496" s="644"/>
      <c r="C496" s="645"/>
      <c r="D496" s="646"/>
      <c r="E496" s="647"/>
      <c r="F496" s="647"/>
      <c r="G496" s="647"/>
      <c r="H496" s="648"/>
      <c r="I496" s="647"/>
      <c r="J496" s="645"/>
      <c r="K496" s="644"/>
      <c r="L496" s="645"/>
      <c r="M496" s="645"/>
      <c r="N496" s="644"/>
      <c r="O496" s="645"/>
      <c r="P496" s="645"/>
      <c r="Q496" s="644"/>
      <c r="R496" s="649"/>
    </row>
    <row r="497" spans="1:18">
      <c r="A497" s="644"/>
      <c r="B497" s="644"/>
      <c r="C497" s="645"/>
      <c r="D497" s="646"/>
      <c r="E497" s="647"/>
      <c r="F497" s="647"/>
      <c r="G497" s="647"/>
      <c r="H497" s="648"/>
      <c r="I497" s="647"/>
      <c r="J497" s="645"/>
      <c r="K497" s="644"/>
      <c r="L497" s="645"/>
      <c r="M497" s="645"/>
      <c r="N497" s="644"/>
      <c r="O497" s="645"/>
      <c r="P497" s="645"/>
      <c r="Q497" s="644"/>
      <c r="R497" s="649"/>
    </row>
    <row r="498" spans="1:18">
      <c r="A498" s="644"/>
      <c r="B498" s="644"/>
      <c r="C498" s="645"/>
      <c r="D498" s="646"/>
      <c r="E498" s="647"/>
      <c r="F498" s="647"/>
      <c r="G498" s="647"/>
      <c r="H498" s="648"/>
      <c r="I498" s="647"/>
      <c r="J498" s="645"/>
      <c r="K498" s="644"/>
      <c r="L498" s="645"/>
      <c r="M498" s="645"/>
      <c r="N498" s="644"/>
      <c r="O498" s="645"/>
      <c r="P498" s="645"/>
      <c r="Q498" s="644"/>
      <c r="R498" s="649"/>
    </row>
    <row r="499" spans="1:18">
      <c r="A499" s="644"/>
      <c r="B499" s="644"/>
      <c r="C499" s="645"/>
      <c r="D499" s="646"/>
      <c r="E499" s="647"/>
      <c r="F499" s="647"/>
      <c r="G499" s="647"/>
      <c r="H499" s="648"/>
      <c r="I499" s="647"/>
      <c r="J499" s="645"/>
      <c r="K499" s="644"/>
      <c r="L499" s="645"/>
      <c r="M499" s="645"/>
      <c r="N499" s="644"/>
      <c r="O499" s="645"/>
      <c r="P499" s="645"/>
      <c r="Q499" s="644"/>
      <c r="R499" s="649"/>
    </row>
    <row r="500" spans="1:18">
      <c r="A500" s="644"/>
      <c r="B500" s="644"/>
      <c r="C500" s="645"/>
      <c r="D500" s="646"/>
      <c r="E500" s="647"/>
      <c r="F500" s="647"/>
      <c r="G500" s="647"/>
      <c r="H500" s="648"/>
      <c r="I500" s="647"/>
      <c r="J500" s="645"/>
      <c r="K500" s="644"/>
      <c r="L500" s="645"/>
      <c r="M500" s="645"/>
      <c r="N500" s="644"/>
      <c r="O500" s="645"/>
      <c r="P500" s="645"/>
      <c r="Q500" s="644"/>
      <c r="R500" s="649"/>
    </row>
    <row r="501" spans="1:18">
      <c r="A501" s="644"/>
      <c r="B501" s="644"/>
      <c r="C501" s="645"/>
      <c r="D501" s="646"/>
      <c r="E501" s="647"/>
      <c r="F501" s="647"/>
      <c r="G501" s="647"/>
      <c r="H501" s="648"/>
      <c r="I501" s="647"/>
      <c r="J501" s="645"/>
      <c r="K501" s="644"/>
      <c r="L501" s="645"/>
      <c r="M501" s="645"/>
      <c r="N501" s="644"/>
      <c r="O501" s="645"/>
      <c r="P501" s="645"/>
      <c r="Q501" s="644"/>
      <c r="R501" s="649"/>
    </row>
    <row r="502" spans="1:18">
      <c r="A502" s="644"/>
      <c r="B502" s="644"/>
      <c r="C502" s="645"/>
      <c r="D502" s="646"/>
      <c r="E502" s="647"/>
      <c r="F502" s="647"/>
      <c r="G502" s="647"/>
      <c r="H502" s="648"/>
      <c r="I502" s="647"/>
      <c r="J502" s="645"/>
      <c r="K502" s="644"/>
      <c r="L502" s="645"/>
      <c r="M502" s="645"/>
      <c r="N502" s="644"/>
      <c r="O502" s="645"/>
      <c r="P502" s="645"/>
      <c r="Q502" s="644"/>
      <c r="R502" s="649"/>
    </row>
    <row r="503" spans="1:18">
      <c r="A503" s="644"/>
      <c r="B503" s="644"/>
      <c r="C503" s="645"/>
      <c r="D503" s="646"/>
      <c r="E503" s="647"/>
      <c r="F503" s="647"/>
      <c r="G503" s="647"/>
      <c r="H503" s="648"/>
      <c r="I503" s="647"/>
      <c r="J503" s="645"/>
      <c r="K503" s="644"/>
      <c r="L503" s="645"/>
      <c r="M503" s="645"/>
      <c r="N503" s="644"/>
      <c r="O503" s="645"/>
      <c r="P503" s="645"/>
      <c r="Q503" s="644"/>
      <c r="R503" s="649"/>
    </row>
    <row r="504" spans="1:18">
      <c r="A504" s="644"/>
      <c r="B504" s="644"/>
      <c r="C504" s="645"/>
      <c r="D504" s="646"/>
      <c r="E504" s="647"/>
      <c r="F504" s="647"/>
      <c r="G504" s="647"/>
      <c r="H504" s="648"/>
      <c r="I504" s="647"/>
      <c r="J504" s="645"/>
      <c r="K504" s="644"/>
      <c r="L504" s="645"/>
      <c r="M504" s="645"/>
      <c r="N504" s="644"/>
      <c r="O504" s="645"/>
      <c r="P504" s="645"/>
      <c r="Q504" s="644"/>
      <c r="R504" s="649"/>
    </row>
    <row r="505" spans="1:18">
      <c r="A505" s="644"/>
      <c r="B505" s="644"/>
      <c r="C505" s="645"/>
      <c r="D505" s="646"/>
      <c r="E505" s="647"/>
      <c r="F505" s="647"/>
      <c r="G505" s="647"/>
      <c r="H505" s="648"/>
      <c r="I505" s="647"/>
      <c r="J505" s="645"/>
      <c r="K505" s="644"/>
      <c r="L505" s="645"/>
      <c r="M505" s="645"/>
      <c r="N505" s="644"/>
      <c r="O505" s="645"/>
      <c r="P505" s="645"/>
      <c r="Q505" s="644"/>
      <c r="R505" s="649"/>
    </row>
  </sheetData>
  <sortState xmlns:xlrd2="http://schemas.microsoft.com/office/spreadsheetml/2017/richdata2" ref="A4:R12">
    <sortCondition descending="1" ref="Q4"/>
  </sortState>
  <mergeCells count="2">
    <mergeCell ref="A1:R1"/>
    <mergeCell ref="A2:R2"/>
  </mergeCells>
  <phoneticPr fontId="16"/>
  <pageMargins left="0.70866141732283472" right="0.70866141732283472" top="0.74803149606299213" bottom="0.74803149606299213" header="0.31496062992125984" footer="0.31496062992125984"/>
  <pageSetup paperSize="9" scale="50" fitToHeight="0" orientation="landscape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 tint="-0.499984740745262"/>
  </sheetPr>
  <dimension ref="A1:BL505"/>
  <sheetViews>
    <sheetView showGridLines="0" workbookViewId="0">
      <pane xSplit="4" ySplit="4" topLeftCell="E245" activePane="bottomRight" state="frozen"/>
      <selection activeCell="C162" sqref="C162"/>
      <selection pane="topRight" activeCell="C162" sqref="C162"/>
      <selection pane="bottomLeft" activeCell="C162" sqref="C162"/>
      <selection pane="bottomRight" activeCell="G41" sqref="G41"/>
    </sheetView>
  </sheetViews>
  <sheetFormatPr defaultRowHeight="14.25"/>
  <cols>
    <col min="1" max="1" width="9" style="79" customWidth="1"/>
    <col min="2" max="2" width="18" style="1" customWidth="1"/>
    <col min="3" max="4" width="10" style="1" customWidth="1"/>
    <col min="5" max="14" width="7" style="1" customWidth="1"/>
    <col min="15" max="15" width="7.25" style="1" customWidth="1"/>
    <col min="16" max="16" width="8.75" style="1" customWidth="1"/>
    <col min="17" max="44" width="7" style="1" customWidth="1"/>
    <col min="45" max="45" width="9.875" style="1" customWidth="1"/>
    <col min="46" max="64" width="7" style="1" customWidth="1"/>
    <col min="65" max="16384" width="9" style="1"/>
  </cols>
  <sheetData>
    <row r="1" spans="1:64" ht="30" customHeight="1">
      <c r="A1" s="547" t="s">
        <v>24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8"/>
      <c r="T1" s="548"/>
      <c r="U1" s="548"/>
      <c r="V1" s="548"/>
      <c r="W1" s="548"/>
      <c r="X1" s="548"/>
      <c r="Y1" s="548"/>
      <c r="Z1" s="548"/>
      <c r="AA1" s="548"/>
      <c r="AB1" s="548"/>
      <c r="AC1" s="548"/>
      <c r="AD1" s="548"/>
      <c r="AE1" s="548"/>
      <c r="AF1" s="548"/>
      <c r="AG1" s="548"/>
      <c r="AH1" s="548"/>
      <c r="AI1" s="548"/>
      <c r="AJ1" s="548"/>
      <c r="AK1" s="548"/>
      <c r="AL1" s="548"/>
      <c r="AM1" s="548"/>
      <c r="AN1" s="548"/>
      <c r="AO1" s="548"/>
      <c r="AP1" s="548"/>
      <c r="AQ1" s="548"/>
      <c r="AR1" s="548"/>
      <c r="AS1" s="548"/>
      <c r="AT1" s="548"/>
      <c r="AU1" s="548"/>
      <c r="AV1" s="548"/>
      <c r="AW1" s="548"/>
      <c r="AX1" s="548"/>
      <c r="AY1" s="548"/>
      <c r="AZ1" s="548"/>
      <c r="BA1" s="548"/>
      <c r="BB1" s="548"/>
      <c r="BC1" s="548"/>
      <c r="BD1" s="548"/>
      <c r="BE1" s="548"/>
      <c r="BF1" s="548"/>
      <c r="BG1" s="548"/>
      <c r="BH1" s="548"/>
      <c r="BI1" s="548"/>
      <c r="BJ1" s="548"/>
      <c r="BK1" s="548"/>
      <c r="BL1" s="548"/>
    </row>
    <row r="2" spans="1:64" ht="18" customHeight="1">
      <c r="A2" s="193" t="s">
        <v>2</v>
      </c>
      <c r="B2" s="193" t="s">
        <v>3</v>
      </c>
      <c r="C2" s="193" t="s">
        <v>38</v>
      </c>
      <c r="D2" s="193" t="s">
        <v>39</v>
      </c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194"/>
      <c r="BK2" s="194"/>
      <c r="BL2" s="194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198"/>
      <c r="B4" s="198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8"/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U4" s="198"/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8"/>
      <c r="BJ4" s="198"/>
      <c r="BK4" s="198"/>
      <c r="BL4" s="198"/>
    </row>
    <row r="5" spans="1:64" ht="15.95" customHeight="1">
      <c r="A5" s="80" t="str">
        <f>IF(銘柄管理!B5="","",銘柄管理!B5)</f>
        <v>TOPX</v>
      </c>
      <c r="B5" s="17">
        <f>IF(銘柄管理!C5="","",銘柄管理!C5)</f>
        <v>4013.23</v>
      </c>
      <c r="C5" s="18" cm="1">
        <f t="array" ref="C5">_xll.RssIndexMarket("TOPX", "始値")</f>
        <v>3997.71</v>
      </c>
      <c r="D5" s="19">
        <f>IF(OR(C5=0,E5=0),"",C5-E5)</f>
        <v>0</v>
      </c>
      <c r="E5" s="9">
        <v>3997.71</v>
      </c>
      <c r="F5" s="9">
        <v>3984.4</v>
      </c>
      <c r="G5" s="9">
        <v>3928.06</v>
      </c>
      <c r="H5" s="9">
        <v>3872.43</v>
      </c>
      <c r="I5" s="9">
        <v>3807.07</v>
      </c>
      <c r="J5" s="9">
        <v>3891.31</v>
      </c>
      <c r="K5" s="9">
        <v>3910.54</v>
      </c>
      <c r="L5" s="9">
        <v>3961.8</v>
      </c>
      <c r="M5" s="9">
        <v>3968.05</v>
      </c>
      <c r="N5" s="9">
        <v>3944.96</v>
      </c>
      <c r="O5" s="9">
        <v>3913.4</v>
      </c>
      <c r="P5" s="9">
        <v>3917.83</v>
      </c>
      <c r="Q5" s="9">
        <v>3905.04</v>
      </c>
      <c r="R5" s="9">
        <v>3951.71</v>
      </c>
      <c r="S5" s="9">
        <v>3903.54</v>
      </c>
      <c r="T5" s="9">
        <v>3866.61</v>
      </c>
      <c r="U5" s="9">
        <v>3825.33</v>
      </c>
      <c r="V5" s="9">
        <v>3851.76</v>
      </c>
      <c r="W5" s="9">
        <v>3856.77</v>
      </c>
      <c r="X5" s="9">
        <v>3859.85</v>
      </c>
      <c r="Y5" s="9">
        <v>3891.81</v>
      </c>
      <c r="Z5" s="9">
        <v>3913.9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ht="15.95" customHeight="1">
      <c r="A6" s="81" t="s">
        <v>263</v>
      </c>
      <c r="B6" s="17" t="s">
        <v>477</v>
      </c>
      <c r="C6" s="26">
        <f>_xll.RssMarket("5706","始値")</f>
        <v>47100</v>
      </c>
      <c r="D6" s="25">
        <f t="shared" ref="D6:D69" si="0">C6-E6</f>
        <v>0</v>
      </c>
      <c r="E6" s="21">
        <v>47100</v>
      </c>
      <c r="F6" s="21">
        <v>45000</v>
      </c>
      <c r="G6" s="21">
        <v>45590</v>
      </c>
      <c r="H6" s="21">
        <v>41000</v>
      </c>
      <c r="I6" s="21">
        <v>35660</v>
      </c>
      <c r="J6" s="21">
        <v>38700</v>
      </c>
      <c r="K6" s="21">
        <v>40290</v>
      </c>
      <c r="L6" s="21">
        <v>44010</v>
      </c>
      <c r="M6" s="21">
        <v>46530</v>
      </c>
      <c r="N6" s="21">
        <v>49920</v>
      </c>
      <c r="O6" s="21">
        <v>53270</v>
      </c>
      <c r="P6" s="21">
        <v>50150</v>
      </c>
      <c r="Q6" s="21">
        <v>55650</v>
      </c>
      <c r="R6" s="21">
        <v>50790</v>
      </c>
      <c r="S6" s="21">
        <v>47460</v>
      </c>
      <c r="T6" s="21">
        <v>45760</v>
      </c>
      <c r="U6" s="21">
        <v>43710</v>
      </c>
      <c r="V6" s="21">
        <v>47490</v>
      </c>
      <c r="W6" s="21">
        <v>46100</v>
      </c>
      <c r="X6" s="21">
        <v>50490</v>
      </c>
      <c r="Y6" s="21">
        <v>49900</v>
      </c>
      <c r="Z6" s="21">
        <v>49840</v>
      </c>
      <c r="AA6" s="21">
        <v>51500</v>
      </c>
      <c r="AB6" s="21">
        <v>52000</v>
      </c>
      <c r="AC6" s="21">
        <v>48000</v>
      </c>
      <c r="AD6" s="21">
        <v>45960</v>
      </c>
      <c r="AE6" s="21">
        <v>42340</v>
      </c>
      <c r="AF6" s="21">
        <v>41030</v>
      </c>
      <c r="AG6" s="21">
        <v>39890</v>
      </c>
      <c r="AH6" s="21">
        <v>38700</v>
      </c>
      <c r="AI6" s="21">
        <v>38000</v>
      </c>
      <c r="AJ6" s="21">
        <v>39000</v>
      </c>
      <c r="AK6" s="21">
        <v>37200</v>
      </c>
      <c r="AL6" s="21">
        <v>35840</v>
      </c>
      <c r="AM6" s="21">
        <v>36210</v>
      </c>
      <c r="AN6" s="21">
        <v>37490</v>
      </c>
      <c r="AO6" s="21">
        <v>36000</v>
      </c>
      <c r="AP6" s="22">
        <v>39660</v>
      </c>
      <c r="AQ6" s="22">
        <v>38450</v>
      </c>
      <c r="AR6" s="22">
        <v>36500</v>
      </c>
      <c r="AS6" s="22">
        <v>35390</v>
      </c>
      <c r="AT6" s="22">
        <v>34320</v>
      </c>
      <c r="AU6" s="22">
        <v>34000</v>
      </c>
      <c r="AV6" s="22">
        <v>31620</v>
      </c>
      <c r="AW6" s="22">
        <v>31520</v>
      </c>
      <c r="AX6" s="22">
        <v>31130</v>
      </c>
      <c r="AY6" s="22">
        <v>31430</v>
      </c>
      <c r="AZ6" s="22">
        <v>30040</v>
      </c>
      <c r="BA6" s="22">
        <v>27575</v>
      </c>
      <c r="BB6" s="22">
        <v>29730</v>
      </c>
      <c r="BC6" s="22">
        <v>30190</v>
      </c>
      <c r="BD6" s="22">
        <v>31980</v>
      </c>
      <c r="BE6" s="22">
        <v>32000</v>
      </c>
      <c r="BF6" s="22">
        <v>30190</v>
      </c>
      <c r="BG6" s="22">
        <v>28820</v>
      </c>
      <c r="BH6" s="22">
        <v>31420</v>
      </c>
      <c r="BI6" s="22">
        <v>31250</v>
      </c>
      <c r="BJ6" s="22">
        <v>32600</v>
      </c>
      <c r="BK6" s="22">
        <v>32280</v>
      </c>
      <c r="BL6" s="22">
        <v>30130</v>
      </c>
    </row>
    <row r="7" spans="1:64" ht="15.95" customHeight="1">
      <c r="A7" s="81" t="s">
        <v>264</v>
      </c>
      <c r="B7" s="17" t="s">
        <v>83</v>
      </c>
      <c r="C7" s="26">
        <f>_xll.RssMarket("5423","始値")</f>
        <v>1755</v>
      </c>
      <c r="D7" s="25">
        <f t="shared" si="0"/>
        <v>0</v>
      </c>
      <c r="E7" s="21">
        <v>1755</v>
      </c>
      <c r="F7" s="21">
        <v>1741</v>
      </c>
      <c r="G7" s="21">
        <v>1716</v>
      </c>
      <c r="H7" s="21">
        <v>1723</v>
      </c>
      <c r="I7" s="21">
        <v>1663</v>
      </c>
      <c r="J7" s="21">
        <v>1671</v>
      </c>
      <c r="K7" s="21">
        <v>1701</v>
      </c>
      <c r="L7" s="21">
        <v>1695</v>
      </c>
      <c r="M7" s="21">
        <v>1705</v>
      </c>
      <c r="N7" s="21">
        <v>1695</v>
      </c>
      <c r="O7" s="21">
        <v>1685</v>
      </c>
      <c r="P7" s="21">
        <v>1712</v>
      </c>
      <c r="Q7" s="21">
        <v>1694</v>
      </c>
      <c r="R7" s="21">
        <v>1720</v>
      </c>
      <c r="S7" s="21">
        <v>1747</v>
      </c>
      <c r="T7" s="21">
        <v>1728</v>
      </c>
      <c r="U7" s="21">
        <v>1758</v>
      </c>
      <c r="V7" s="21">
        <v>1795</v>
      </c>
      <c r="W7" s="21">
        <v>1821</v>
      </c>
      <c r="X7" s="21">
        <v>1862</v>
      </c>
      <c r="Y7" s="21">
        <v>1723</v>
      </c>
      <c r="Z7" s="21">
        <v>1680</v>
      </c>
      <c r="AA7" s="21">
        <v>1694</v>
      </c>
      <c r="AB7" s="21">
        <v>1658</v>
      </c>
      <c r="AC7" s="21">
        <v>1703</v>
      </c>
      <c r="AD7" s="21">
        <v>1665</v>
      </c>
      <c r="AE7" s="21">
        <v>1695</v>
      </c>
      <c r="AF7" s="21">
        <v>1679</v>
      </c>
      <c r="AG7" s="21">
        <v>1679</v>
      </c>
      <c r="AH7" s="21">
        <v>1730</v>
      </c>
      <c r="AI7" s="21">
        <v>1716</v>
      </c>
      <c r="AJ7" s="21">
        <v>1786</v>
      </c>
      <c r="AK7" s="21">
        <v>1837</v>
      </c>
      <c r="AL7" s="21">
        <v>1804</v>
      </c>
      <c r="AM7" s="21">
        <v>1795</v>
      </c>
      <c r="AN7" s="21">
        <v>1764</v>
      </c>
      <c r="AO7" s="21">
        <v>1764</v>
      </c>
      <c r="AP7" s="22">
        <v>1728</v>
      </c>
      <c r="AQ7" s="22">
        <v>1720</v>
      </c>
      <c r="AR7" s="22">
        <v>1745</v>
      </c>
      <c r="AS7" s="22">
        <v>1778</v>
      </c>
      <c r="AT7" s="22">
        <v>1818</v>
      </c>
      <c r="AU7" s="22">
        <v>1824</v>
      </c>
      <c r="AV7" s="22">
        <v>1877</v>
      </c>
      <c r="AW7" s="22">
        <v>1912</v>
      </c>
      <c r="AX7" s="22">
        <v>1907</v>
      </c>
      <c r="AY7" s="22">
        <v>1638</v>
      </c>
      <c r="AZ7" s="22">
        <v>1626</v>
      </c>
      <c r="BA7" s="22">
        <v>1626</v>
      </c>
      <c r="BB7" s="22">
        <v>1604</v>
      </c>
      <c r="BC7" s="22">
        <v>1647</v>
      </c>
      <c r="BD7" s="22">
        <v>1613</v>
      </c>
      <c r="BE7" s="22">
        <v>1620</v>
      </c>
      <c r="BF7" s="22">
        <v>1596</v>
      </c>
      <c r="BG7" s="22">
        <v>1592</v>
      </c>
      <c r="BH7" s="22">
        <v>1629</v>
      </c>
      <c r="BI7" s="22">
        <v>1628</v>
      </c>
      <c r="BJ7" s="22">
        <v>1621</v>
      </c>
      <c r="BK7" s="22">
        <v>1612</v>
      </c>
      <c r="BL7" s="22">
        <v>1618</v>
      </c>
    </row>
    <row r="8" spans="1:64" ht="15.95" customHeight="1">
      <c r="A8" s="81" t="s">
        <v>265</v>
      </c>
      <c r="B8" s="17" t="s">
        <v>84</v>
      </c>
      <c r="C8" s="26">
        <f>_xll.RssMarket("5713","始値")</f>
        <v>8899</v>
      </c>
      <c r="D8" s="25">
        <f t="shared" si="0"/>
        <v>0</v>
      </c>
      <c r="E8" s="23">
        <v>8899</v>
      </c>
      <c r="F8" s="23">
        <v>9340</v>
      </c>
      <c r="G8" s="23">
        <v>8938</v>
      </c>
      <c r="H8" s="23">
        <v>8230</v>
      </c>
      <c r="I8" s="23">
        <v>7625</v>
      </c>
      <c r="J8" s="23">
        <v>7597</v>
      </c>
      <c r="K8" s="23">
        <v>8100</v>
      </c>
      <c r="L8" s="23">
        <v>8690</v>
      </c>
      <c r="M8" s="23">
        <v>8837</v>
      </c>
      <c r="N8" s="23">
        <v>9010</v>
      </c>
      <c r="O8" s="23">
        <v>8843</v>
      </c>
      <c r="P8" s="23">
        <v>9145</v>
      </c>
      <c r="Q8" s="23">
        <v>9398</v>
      </c>
      <c r="R8" s="23">
        <v>10155</v>
      </c>
      <c r="S8" s="23">
        <v>9789</v>
      </c>
      <c r="T8" s="23">
        <v>9393</v>
      </c>
      <c r="U8" s="23">
        <v>9280</v>
      </c>
      <c r="V8" s="23">
        <v>9130</v>
      </c>
      <c r="W8" s="23">
        <v>9520</v>
      </c>
      <c r="X8" s="23">
        <v>9917</v>
      </c>
      <c r="Y8" s="23">
        <v>10560</v>
      </c>
      <c r="Z8" s="23">
        <v>10860</v>
      </c>
      <c r="AA8" s="23">
        <v>10660</v>
      </c>
      <c r="AB8" s="23">
        <v>10590</v>
      </c>
      <c r="AC8" s="23">
        <v>10750</v>
      </c>
      <c r="AD8" s="23">
        <v>10290</v>
      </c>
      <c r="AE8" s="23">
        <v>10135</v>
      </c>
      <c r="AF8" s="23">
        <v>9489</v>
      </c>
      <c r="AG8" s="23">
        <v>9431</v>
      </c>
      <c r="AH8" s="23">
        <v>9699</v>
      </c>
      <c r="AI8" s="23">
        <v>10300</v>
      </c>
      <c r="AJ8" s="23">
        <v>9996</v>
      </c>
      <c r="AK8" s="23">
        <v>10170</v>
      </c>
      <c r="AL8" s="23">
        <v>10170</v>
      </c>
      <c r="AM8" s="23">
        <v>10780</v>
      </c>
      <c r="AN8" s="23">
        <v>10735</v>
      </c>
      <c r="AO8" s="23">
        <v>10700</v>
      </c>
      <c r="AP8" s="22">
        <v>10150</v>
      </c>
      <c r="AQ8" s="22">
        <v>9894</v>
      </c>
      <c r="AR8" s="22">
        <v>9950</v>
      </c>
      <c r="AS8" s="22">
        <v>10200</v>
      </c>
      <c r="AT8" s="22">
        <v>10200</v>
      </c>
      <c r="AU8" s="22">
        <v>9395</v>
      </c>
      <c r="AV8" s="22">
        <v>9439</v>
      </c>
      <c r="AW8" s="22">
        <v>9686</v>
      </c>
      <c r="AX8" s="22">
        <v>9743</v>
      </c>
      <c r="AY8" s="22">
        <v>9455</v>
      </c>
      <c r="AZ8" s="22">
        <v>8810</v>
      </c>
      <c r="BA8" s="22">
        <v>9089</v>
      </c>
      <c r="BB8" s="22">
        <v>9187</v>
      </c>
      <c r="BC8" s="22">
        <v>9243</v>
      </c>
      <c r="BD8" s="22">
        <v>9180</v>
      </c>
      <c r="BE8" s="22">
        <v>8775</v>
      </c>
      <c r="BF8" s="22">
        <v>8537</v>
      </c>
      <c r="BG8" s="22">
        <v>9415</v>
      </c>
      <c r="BH8" s="22">
        <v>9718</v>
      </c>
      <c r="BI8" s="22">
        <v>9844</v>
      </c>
      <c r="BJ8" s="22">
        <v>9681</v>
      </c>
      <c r="BK8" s="22">
        <v>9760</v>
      </c>
      <c r="BL8" s="22">
        <v>10400</v>
      </c>
    </row>
    <row r="9" spans="1:64" ht="15.95" customHeight="1">
      <c r="A9" s="81" t="s">
        <v>266</v>
      </c>
      <c r="B9" s="17" t="s">
        <v>85</v>
      </c>
      <c r="C9" s="26">
        <f>_xll.RssMarket("5711","始値")</f>
        <v>4870</v>
      </c>
      <c r="D9" s="25">
        <f t="shared" si="0"/>
        <v>0</v>
      </c>
      <c r="E9" s="22">
        <v>4870</v>
      </c>
      <c r="F9" s="22">
        <v>5050</v>
      </c>
      <c r="G9" s="22">
        <v>4902</v>
      </c>
      <c r="H9" s="22">
        <v>4583</v>
      </c>
      <c r="I9" s="22">
        <v>4400</v>
      </c>
      <c r="J9" s="22">
        <v>4466</v>
      </c>
      <c r="K9" s="22">
        <v>4750</v>
      </c>
      <c r="L9" s="22">
        <v>4931</v>
      </c>
      <c r="M9" s="22">
        <v>5065</v>
      </c>
      <c r="N9" s="22">
        <v>5150</v>
      </c>
      <c r="O9" s="22">
        <v>5027</v>
      </c>
      <c r="P9" s="22">
        <v>5228</v>
      </c>
      <c r="Q9" s="22">
        <v>5171</v>
      </c>
      <c r="R9" s="22">
        <v>5448</v>
      </c>
      <c r="S9" s="22">
        <v>5157</v>
      </c>
      <c r="T9" s="22">
        <v>5050</v>
      </c>
      <c r="U9" s="22">
        <v>4829</v>
      </c>
      <c r="V9" s="22">
        <v>4848</v>
      </c>
      <c r="W9" s="22">
        <v>5000</v>
      </c>
      <c r="X9" s="22">
        <v>5250</v>
      </c>
      <c r="Y9" s="22">
        <v>5363</v>
      </c>
      <c r="Z9" s="22">
        <v>5646</v>
      </c>
      <c r="AA9" s="22">
        <v>5850</v>
      </c>
      <c r="AB9" s="22">
        <v>5657</v>
      </c>
      <c r="AC9" s="22">
        <v>5628</v>
      </c>
      <c r="AD9" s="22">
        <v>5325</v>
      </c>
      <c r="AE9" s="22">
        <v>5320</v>
      </c>
      <c r="AF9" s="22">
        <v>5143</v>
      </c>
      <c r="AG9" s="22">
        <v>5082</v>
      </c>
      <c r="AH9" s="22">
        <v>5183</v>
      </c>
      <c r="AI9" s="22">
        <v>5284</v>
      </c>
      <c r="AJ9" s="22">
        <v>5393</v>
      </c>
      <c r="AK9" s="22">
        <v>5450</v>
      </c>
      <c r="AL9" s="22">
        <v>5550</v>
      </c>
      <c r="AM9" s="22">
        <v>5588</v>
      </c>
      <c r="AN9" s="22">
        <v>5701</v>
      </c>
      <c r="AO9" s="22">
        <v>5728</v>
      </c>
      <c r="AP9" s="22">
        <v>5788</v>
      </c>
      <c r="AQ9" s="22">
        <v>5590</v>
      </c>
      <c r="AR9" s="22">
        <v>5500</v>
      </c>
      <c r="AS9" s="22">
        <v>5577</v>
      </c>
      <c r="AT9" s="22">
        <v>5637</v>
      </c>
      <c r="AU9" s="22">
        <v>5455</v>
      </c>
      <c r="AV9" s="22">
        <v>5198</v>
      </c>
      <c r="AW9" s="22">
        <v>5170</v>
      </c>
      <c r="AX9" s="22">
        <v>5182</v>
      </c>
      <c r="AY9" s="22">
        <v>5277</v>
      </c>
      <c r="AZ9" s="22">
        <v>5076</v>
      </c>
      <c r="BA9" s="22">
        <v>4800</v>
      </c>
      <c r="BB9" s="22">
        <v>4857</v>
      </c>
      <c r="BC9" s="22">
        <v>5044</v>
      </c>
      <c r="BD9" s="22">
        <v>5258</v>
      </c>
      <c r="BE9" s="22">
        <v>5222</v>
      </c>
      <c r="BF9" s="22">
        <v>4994</v>
      </c>
      <c r="BG9" s="22">
        <v>4879</v>
      </c>
      <c r="BH9" s="22">
        <v>5449</v>
      </c>
      <c r="BI9" s="22">
        <v>5299</v>
      </c>
      <c r="BJ9" s="22">
        <v>5000</v>
      </c>
      <c r="BK9" s="22">
        <v>4970</v>
      </c>
      <c r="BL9" s="22">
        <v>4933</v>
      </c>
    </row>
    <row r="10" spans="1:64" ht="15.95" customHeight="1">
      <c r="A10" s="81" t="s">
        <v>267</v>
      </c>
      <c r="B10" s="17" t="s">
        <v>86</v>
      </c>
      <c r="C10" s="26">
        <f>_xll.RssMarket("5714","始値")</f>
        <v>9770</v>
      </c>
      <c r="D10" s="25">
        <f t="shared" si="0"/>
        <v>0</v>
      </c>
      <c r="E10" s="22">
        <v>9770</v>
      </c>
      <c r="F10" s="22">
        <v>9904</v>
      </c>
      <c r="G10" s="22">
        <v>9677</v>
      </c>
      <c r="H10" s="22">
        <v>9225</v>
      </c>
      <c r="I10" s="22">
        <v>8847</v>
      </c>
      <c r="J10" s="22">
        <v>8954</v>
      </c>
      <c r="K10" s="22">
        <v>9650</v>
      </c>
      <c r="L10" s="22">
        <v>10105</v>
      </c>
      <c r="M10" s="22">
        <v>10090</v>
      </c>
      <c r="N10" s="22">
        <v>10490</v>
      </c>
      <c r="O10" s="22">
        <v>10275</v>
      </c>
      <c r="P10" s="22">
        <v>10635</v>
      </c>
      <c r="Q10" s="22">
        <v>10600</v>
      </c>
      <c r="R10" s="22">
        <v>11000</v>
      </c>
      <c r="S10" s="22">
        <v>10775</v>
      </c>
      <c r="T10" s="22">
        <v>10400</v>
      </c>
      <c r="U10" s="22">
        <v>10305</v>
      </c>
      <c r="V10" s="22">
        <v>10220</v>
      </c>
      <c r="W10" s="22">
        <v>11110</v>
      </c>
      <c r="X10" s="22">
        <v>11515</v>
      </c>
      <c r="Y10" s="22">
        <v>11885</v>
      </c>
      <c r="Z10" s="22">
        <v>10550</v>
      </c>
      <c r="AA10" s="22">
        <v>10205</v>
      </c>
      <c r="AB10" s="22">
        <v>10465</v>
      </c>
      <c r="AC10" s="22">
        <v>10365</v>
      </c>
      <c r="AD10" s="22">
        <v>9965</v>
      </c>
      <c r="AE10" s="22">
        <v>9620</v>
      </c>
      <c r="AF10" s="22">
        <v>9538</v>
      </c>
      <c r="AG10" s="22">
        <v>9504</v>
      </c>
      <c r="AH10" s="22">
        <v>9546</v>
      </c>
      <c r="AI10" s="22">
        <v>9525</v>
      </c>
      <c r="AJ10" s="22">
        <v>9651</v>
      </c>
      <c r="AK10" s="22">
        <v>9849</v>
      </c>
      <c r="AL10" s="22">
        <v>9822</v>
      </c>
      <c r="AM10" s="22">
        <v>9914</v>
      </c>
      <c r="AN10" s="22">
        <v>10005</v>
      </c>
      <c r="AO10" s="22">
        <v>10190</v>
      </c>
      <c r="AP10" s="22">
        <v>10115</v>
      </c>
      <c r="AQ10" s="22">
        <v>10285</v>
      </c>
      <c r="AR10" s="22">
        <v>9827</v>
      </c>
      <c r="AS10" s="22">
        <v>9688</v>
      </c>
      <c r="AT10" s="22">
        <v>9832</v>
      </c>
      <c r="AU10" s="22">
        <v>9900</v>
      </c>
      <c r="AV10" s="22">
        <v>9831</v>
      </c>
      <c r="AW10" s="22">
        <v>9117</v>
      </c>
      <c r="AX10" s="22">
        <v>9094</v>
      </c>
      <c r="AY10" s="22">
        <v>9139</v>
      </c>
      <c r="AZ10" s="22">
        <v>9390</v>
      </c>
      <c r="BA10" s="22">
        <v>9103</v>
      </c>
      <c r="BB10" s="22">
        <v>8604</v>
      </c>
      <c r="BC10" s="22">
        <v>8622</v>
      </c>
      <c r="BD10" s="22">
        <v>9319</v>
      </c>
      <c r="BE10" s="22">
        <v>9362</v>
      </c>
      <c r="BF10" s="22">
        <v>9318</v>
      </c>
      <c r="BG10" s="22">
        <v>8990</v>
      </c>
      <c r="BH10" s="22">
        <v>8671</v>
      </c>
      <c r="BI10" s="22">
        <v>9648</v>
      </c>
      <c r="BJ10" s="22">
        <v>9913</v>
      </c>
      <c r="BK10" s="22">
        <v>9700</v>
      </c>
      <c r="BL10" s="22">
        <v>9708</v>
      </c>
    </row>
    <row r="11" spans="1:64" ht="15.95" customHeight="1">
      <c r="A11" s="81" t="s">
        <v>268</v>
      </c>
      <c r="B11" s="17" t="s">
        <v>87</v>
      </c>
      <c r="C11" s="26">
        <f>_xll.RssMarket("6701","始値")</f>
        <v>3877</v>
      </c>
      <c r="D11" s="25">
        <f t="shared" si="0"/>
        <v>0</v>
      </c>
      <c r="E11" s="22">
        <v>3877</v>
      </c>
      <c r="F11" s="22">
        <v>3803</v>
      </c>
      <c r="G11" s="22">
        <v>3912</v>
      </c>
      <c r="H11" s="22">
        <v>3994</v>
      </c>
      <c r="I11" s="22">
        <v>3979</v>
      </c>
      <c r="J11" s="22">
        <v>4079</v>
      </c>
      <c r="K11" s="22">
        <v>4152</v>
      </c>
      <c r="L11" s="22">
        <v>4265</v>
      </c>
      <c r="M11" s="22">
        <v>4203</v>
      </c>
      <c r="N11" s="22">
        <v>4306</v>
      </c>
      <c r="O11" s="22">
        <v>4469</v>
      </c>
      <c r="P11" s="22">
        <v>4145</v>
      </c>
      <c r="Q11" s="22">
        <v>4148</v>
      </c>
      <c r="R11" s="22">
        <v>4002</v>
      </c>
      <c r="S11" s="22">
        <v>4100</v>
      </c>
      <c r="T11" s="22">
        <v>4121</v>
      </c>
      <c r="U11" s="22">
        <v>4151</v>
      </c>
      <c r="V11" s="22">
        <v>4308</v>
      </c>
      <c r="W11" s="22">
        <v>4280</v>
      </c>
      <c r="X11" s="22">
        <v>4110</v>
      </c>
      <c r="Y11" s="22">
        <v>4109</v>
      </c>
      <c r="Z11" s="22">
        <v>4103</v>
      </c>
      <c r="AA11" s="22">
        <v>4330</v>
      </c>
      <c r="AB11" s="22">
        <v>4106</v>
      </c>
      <c r="AC11" s="22">
        <v>4137</v>
      </c>
      <c r="AD11" s="22">
        <v>4131</v>
      </c>
      <c r="AE11" s="22">
        <v>4010</v>
      </c>
      <c r="AF11" s="22">
        <v>4069</v>
      </c>
      <c r="AG11" s="22">
        <v>4196</v>
      </c>
      <c r="AH11" s="22">
        <v>4680</v>
      </c>
      <c r="AI11" s="22">
        <v>4476</v>
      </c>
      <c r="AJ11" s="22">
        <v>4416</v>
      </c>
      <c r="AK11" s="22">
        <v>4467</v>
      </c>
      <c r="AL11" s="22">
        <v>4390</v>
      </c>
      <c r="AM11" s="22">
        <v>4331</v>
      </c>
      <c r="AN11" s="22">
        <v>4375</v>
      </c>
      <c r="AO11" s="22">
        <v>4410</v>
      </c>
      <c r="AP11" s="22">
        <v>4185</v>
      </c>
      <c r="AQ11" s="22">
        <v>4048</v>
      </c>
      <c r="AR11" s="22">
        <v>3800</v>
      </c>
      <c r="AS11" s="22">
        <v>3978</v>
      </c>
      <c r="AT11" s="22">
        <v>4130</v>
      </c>
      <c r="AU11" s="22">
        <v>4196</v>
      </c>
      <c r="AV11" s="22">
        <v>4037</v>
      </c>
      <c r="AW11" s="22">
        <v>4050</v>
      </c>
      <c r="AX11" s="22">
        <v>4062</v>
      </c>
      <c r="AY11" s="22">
        <v>4062</v>
      </c>
      <c r="AZ11" s="22">
        <v>4095</v>
      </c>
      <c r="BA11" s="22">
        <v>4095</v>
      </c>
      <c r="BB11" s="22">
        <v>4000</v>
      </c>
      <c r="BC11" s="22">
        <v>4000</v>
      </c>
      <c r="BD11" s="22">
        <v>4000</v>
      </c>
      <c r="BE11" s="22">
        <v>3859</v>
      </c>
      <c r="BF11" s="22">
        <v>3859</v>
      </c>
      <c r="BG11" s="22">
        <v>3859</v>
      </c>
      <c r="BH11" s="22">
        <v>3780</v>
      </c>
      <c r="BI11" s="22">
        <v>3780</v>
      </c>
      <c r="BJ11" s="22">
        <v>3780</v>
      </c>
      <c r="BK11" s="22">
        <v>3947</v>
      </c>
      <c r="BL11" s="22">
        <v>3947</v>
      </c>
    </row>
    <row r="12" spans="1:64" ht="15.95" customHeight="1">
      <c r="A12" s="81" t="s">
        <v>269</v>
      </c>
      <c r="B12" s="17" t="s">
        <v>88</v>
      </c>
      <c r="C12" s="26">
        <f>_xll.RssMarket("1605","始値")</f>
        <v>3328</v>
      </c>
      <c r="D12" s="25">
        <f t="shared" si="0"/>
        <v>0</v>
      </c>
      <c r="E12" s="22">
        <v>3328</v>
      </c>
      <c r="F12" s="22">
        <v>3467</v>
      </c>
      <c r="G12" s="22">
        <v>3559</v>
      </c>
      <c r="H12" s="22">
        <v>3554</v>
      </c>
      <c r="I12" s="22">
        <v>3587</v>
      </c>
      <c r="J12" s="22">
        <v>3537</v>
      </c>
      <c r="K12" s="22">
        <v>3657</v>
      </c>
      <c r="L12" s="22">
        <v>3650</v>
      </c>
      <c r="M12" s="22">
        <v>3646</v>
      </c>
      <c r="N12" s="22">
        <v>3684</v>
      </c>
      <c r="O12" s="22">
        <v>3470</v>
      </c>
      <c r="P12" s="22">
        <v>3605</v>
      </c>
      <c r="Q12" s="22">
        <v>3600</v>
      </c>
      <c r="R12" s="22">
        <v>3650</v>
      </c>
      <c r="S12" s="22">
        <v>3757</v>
      </c>
      <c r="T12" s="22">
        <v>3821</v>
      </c>
      <c r="U12" s="22">
        <v>3868</v>
      </c>
      <c r="V12" s="22">
        <v>3970</v>
      </c>
      <c r="W12" s="22">
        <v>3972</v>
      </c>
      <c r="X12" s="22">
        <v>3967</v>
      </c>
      <c r="Y12" s="22">
        <v>3864</v>
      </c>
      <c r="Z12" s="22">
        <v>4000</v>
      </c>
      <c r="AA12" s="22">
        <v>3973</v>
      </c>
      <c r="AB12" s="22">
        <v>3915</v>
      </c>
      <c r="AC12" s="22">
        <v>3788</v>
      </c>
      <c r="AD12" s="22">
        <v>3803</v>
      </c>
      <c r="AE12" s="22">
        <v>3856</v>
      </c>
      <c r="AF12" s="22">
        <v>4131</v>
      </c>
      <c r="AG12" s="22">
        <v>4173</v>
      </c>
      <c r="AH12" s="22">
        <v>3994</v>
      </c>
      <c r="AI12" s="22">
        <v>3984</v>
      </c>
      <c r="AJ12" s="22">
        <v>4000</v>
      </c>
      <c r="AK12" s="22">
        <v>3856</v>
      </c>
      <c r="AL12" s="22">
        <v>3900</v>
      </c>
      <c r="AM12" s="22">
        <v>3881</v>
      </c>
      <c r="AN12" s="22">
        <v>3915</v>
      </c>
      <c r="AO12" s="22">
        <v>3997</v>
      </c>
      <c r="AP12" s="22">
        <v>4035</v>
      </c>
      <c r="AQ12" s="22">
        <v>4125</v>
      </c>
      <c r="AR12" s="22">
        <v>4209</v>
      </c>
      <c r="AS12" s="22">
        <v>4354</v>
      </c>
      <c r="AT12" s="22">
        <v>4247</v>
      </c>
      <c r="AU12" s="22">
        <v>4271</v>
      </c>
      <c r="AV12" s="22">
        <v>4075</v>
      </c>
      <c r="AW12" s="22">
        <v>4567</v>
      </c>
      <c r="AX12" s="22">
        <v>4710</v>
      </c>
      <c r="AY12" s="22">
        <v>4550</v>
      </c>
      <c r="AZ12" s="22">
        <v>4480</v>
      </c>
      <c r="BA12" s="22">
        <v>4530</v>
      </c>
      <c r="BB12" s="22">
        <v>4930</v>
      </c>
      <c r="BC12" s="22">
        <v>4830</v>
      </c>
      <c r="BD12" s="22">
        <v>4690</v>
      </c>
      <c r="BE12" s="22">
        <v>4584</v>
      </c>
      <c r="BF12" s="22">
        <v>4619</v>
      </c>
      <c r="BG12" s="22">
        <v>4413</v>
      </c>
      <c r="BH12" s="22">
        <v>4531</v>
      </c>
      <c r="BI12" s="22">
        <v>4745</v>
      </c>
      <c r="BJ12" s="22">
        <v>4549</v>
      </c>
      <c r="BK12" s="22">
        <v>4379</v>
      </c>
      <c r="BL12" s="22">
        <v>4400</v>
      </c>
    </row>
    <row r="13" spans="1:64" ht="15.95" customHeight="1">
      <c r="A13" s="81" t="s">
        <v>270</v>
      </c>
      <c r="B13" s="17" t="s">
        <v>89</v>
      </c>
      <c r="C13" s="26">
        <f>_xll.RssMarket("5703","始値")</f>
        <v>3035</v>
      </c>
      <c r="D13" s="25">
        <f t="shared" si="0"/>
        <v>0</v>
      </c>
      <c r="E13" s="22">
        <v>3035</v>
      </c>
      <c r="F13" s="22">
        <v>3060</v>
      </c>
      <c r="G13" s="22">
        <v>3110</v>
      </c>
      <c r="H13" s="22">
        <v>3080</v>
      </c>
      <c r="I13" s="22">
        <v>2927</v>
      </c>
      <c r="J13" s="22">
        <v>3090</v>
      </c>
      <c r="K13" s="22">
        <v>3160</v>
      </c>
      <c r="L13" s="22">
        <v>3195</v>
      </c>
      <c r="M13" s="22">
        <v>3230</v>
      </c>
      <c r="N13" s="22">
        <v>3235</v>
      </c>
      <c r="O13" s="22">
        <v>3105</v>
      </c>
      <c r="P13" s="22">
        <v>3230</v>
      </c>
      <c r="Q13" s="22">
        <v>3155</v>
      </c>
      <c r="R13" s="22">
        <v>3290</v>
      </c>
      <c r="S13" s="22">
        <v>3190</v>
      </c>
      <c r="T13" s="22">
        <v>3100</v>
      </c>
      <c r="U13" s="22">
        <v>3120</v>
      </c>
      <c r="V13" s="22">
        <v>3045</v>
      </c>
      <c r="W13" s="22">
        <v>3140</v>
      </c>
      <c r="X13" s="22">
        <v>3065</v>
      </c>
      <c r="Y13" s="22">
        <v>3050</v>
      </c>
      <c r="Z13" s="22">
        <v>2969</v>
      </c>
      <c r="AA13" s="22">
        <v>2939</v>
      </c>
      <c r="AB13" s="22">
        <v>2928</v>
      </c>
      <c r="AC13" s="22">
        <v>2956</v>
      </c>
      <c r="AD13" s="22">
        <v>2854</v>
      </c>
      <c r="AE13" s="22">
        <v>2899</v>
      </c>
      <c r="AF13" s="22">
        <v>2703</v>
      </c>
      <c r="AG13" s="22">
        <v>2834</v>
      </c>
      <c r="AH13" s="22">
        <v>2876</v>
      </c>
      <c r="AI13" s="22">
        <v>2876</v>
      </c>
      <c r="AJ13" s="22">
        <v>2847</v>
      </c>
      <c r="AK13" s="22">
        <v>2915</v>
      </c>
      <c r="AL13" s="22">
        <v>2939</v>
      </c>
      <c r="AM13" s="22">
        <v>3025</v>
      </c>
      <c r="AN13" s="22">
        <v>2999</v>
      </c>
      <c r="AO13" s="22">
        <v>3020</v>
      </c>
      <c r="AP13" s="22">
        <v>3030</v>
      </c>
      <c r="AQ13" s="22">
        <v>3070</v>
      </c>
      <c r="AR13" s="22">
        <v>3030</v>
      </c>
      <c r="AS13" s="22">
        <v>2981</v>
      </c>
      <c r="AT13" s="22">
        <v>2998</v>
      </c>
      <c r="AU13" s="22">
        <v>2988</v>
      </c>
      <c r="AV13" s="22">
        <v>2980</v>
      </c>
      <c r="AW13" s="22">
        <v>2867</v>
      </c>
      <c r="AX13" s="22">
        <v>2880</v>
      </c>
      <c r="AY13" s="22">
        <v>2801</v>
      </c>
      <c r="AZ13" s="22">
        <v>2880</v>
      </c>
      <c r="BA13" s="22">
        <v>2856</v>
      </c>
      <c r="BB13" s="22">
        <v>2656</v>
      </c>
      <c r="BC13" s="22">
        <v>2580</v>
      </c>
      <c r="BD13" s="22">
        <v>2700</v>
      </c>
      <c r="BE13" s="22">
        <v>2746</v>
      </c>
      <c r="BF13" s="22">
        <v>2717</v>
      </c>
      <c r="BG13" s="22">
        <v>2644</v>
      </c>
      <c r="BH13" s="22">
        <v>2536</v>
      </c>
      <c r="BI13" s="22">
        <v>2795</v>
      </c>
      <c r="BJ13" s="22">
        <v>2862</v>
      </c>
      <c r="BK13" s="22">
        <v>2830</v>
      </c>
      <c r="BL13" s="22">
        <v>2837</v>
      </c>
    </row>
    <row r="14" spans="1:64" ht="15.95" customHeight="1">
      <c r="A14" s="81" t="s">
        <v>271</v>
      </c>
      <c r="B14" s="17" t="s">
        <v>90</v>
      </c>
      <c r="C14" s="26">
        <f>_xll.RssMarket("8002","始値")</f>
        <v>4981</v>
      </c>
      <c r="D14" s="25">
        <f t="shared" si="0"/>
        <v>0</v>
      </c>
      <c r="E14" s="22">
        <v>4981</v>
      </c>
      <c r="F14" s="22">
        <v>5023</v>
      </c>
      <c r="G14" s="22">
        <v>5009</v>
      </c>
      <c r="H14" s="22">
        <v>4869</v>
      </c>
      <c r="I14" s="22">
        <v>4780</v>
      </c>
      <c r="J14" s="22">
        <v>4850</v>
      </c>
      <c r="K14" s="22">
        <v>4960</v>
      </c>
      <c r="L14" s="22">
        <v>5018</v>
      </c>
      <c r="M14" s="22">
        <v>4997</v>
      </c>
      <c r="N14" s="22">
        <v>4899</v>
      </c>
      <c r="O14" s="22">
        <v>4848</v>
      </c>
      <c r="P14" s="22">
        <v>5180</v>
      </c>
      <c r="Q14" s="22">
        <v>5170</v>
      </c>
      <c r="R14" s="22">
        <v>5348</v>
      </c>
      <c r="S14" s="22">
        <v>5271</v>
      </c>
      <c r="T14" s="22">
        <v>5331</v>
      </c>
      <c r="U14" s="22">
        <v>5467</v>
      </c>
      <c r="V14" s="22">
        <v>5451</v>
      </c>
      <c r="W14" s="22">
        <v>5706</v>
      </c>
      <c r="X14" s="22">
        <v>5806</v>
      </c>
      <c r="Y14" s="22">
        <v>5922</v>
      </c>
      <c r="Z14" s="22">
        <v>5884</v>
      </c>
      <c r="AA14" s="22">
        <v>5555</v>
      </c>
      <c r="AB14" s="22">
        <v>5433</v>
      </c>
      <c r="AC14" s="22">
        <v>5356</v>
      </c>
      <c r="AD14" s="22">
        <v>5493</v>
      </c>
      <c r="AE14" s="22">
        <v>5655</v>
      </c>
      <c r="AF14" s="22">
        <v>6146</v>
      </c>
      <c r="AG14" s="22">
        <v>6080</v>
      </c>
      <c r="AH14" s="22">
        <v>6010</v>
      </c>
      <c r="AI14" s="22">
        <v>5903</v>
      </c>
      <c r="AJ14" s="22">
        <v>6003</v>
      </c>
      <c r="AK14" s="22">
        <v>5867</v>
      </c>
      <c r="AL14" s="22">
        <v>5956</v>
      </c>
      <c r="AM14" s="22">
        <v>5874</v>
      </c>
      <c r="AN14" s="22">
        <v>5950</v>
      </c>
      <c r="AO14" s="22">
        <v>6040</v>
      </c>
      <c r="AP14" s="22">
        <v>5903</v>
      </c>
      <c r="AQ14" s="22">
        <v>6000</v>
      </c>
      <c r="AR14" s="22">
        <v>6000</v>
      </c>
      <c r="AS14" s="22">
        <v>5946</v>
      </c>
      <c r="AT14" s="22">
        <v>6047</v>
      </c>
      <c r="AU14" s="22">
        <v>6116</v>
      </c>
      <c r="AV14" s="22">
        <v>6219</v>
      </c>
      <c r="AW14" s="22">
        <v>5930</v>
      </c>
      <c r="AX14" s="22">
        <v>5978</v>
      </c>
      <c r="AY14" s="22">
        <v>5990</v>
      </c>
      <c r="AZ14" s="22">
        <v>6093</v>
      </c>
      <c r="BA14" s="22">
        <v>5818</v>
      </c>
      <c r="BB14" s="22">
        <v>5600</v>
      </c>
      <c r="BC14" s="22">
        <v>5404</v>
      </c>
      <c r="BD14" s="22">
        <v>5631</v>
      </c>
      <c r="BE14" s="22">
        <v>5659</v>
      </c>
      <c r="BF14" s="22">
        <v>5547</v>
      </c>
      <c r="BG14" s="22">
        <v>5319</v>
      </c>
      <c r="BH14" s="22">
        <v>5200</v>
      </c>
      <c r="BI14" s="22">
        <v>5635</v>
      </c>
      <c r="BJ14" s="22">
        <v>5714</v>
      </c>
      <c r="BK14" s="22">
        <v>5753</v>
      </c>
      <c r="BL14" s="22">
        <v>5579</v>
      </c>
    </row>
    <row r="15" spans="1:64" ht="15.95" customHeight="1">
      <c r="A15" s="81" t="s">
        <v>272</v>
      </c>
      <c r="B15" s="17" t="s">
        <v>91</v>
      </c>
      <c r="C15" s="26">
        <f>_xll.RssMarket("5021","始値")</f>
        <v>3690</v>
      </c>
      <c r="D15" s="25">
        <f t="shared" si="0"/>
        <v>0</v>
      </c>
      <c r="E15" s="22">
        <v>3690</v>
      </c>
      <c r="F15" s="22">
        <v>3630</v>
      </c>
      <c r="G15" s="22">
        <v>3530</v>
      </c>
      <c r="H15" s="22">
        <v>3511</v>
      </c>
      <c r="I15" s="22">
        <v>3500</v>
      </c>
      <c r="J15" s="22">
        <v>3545</v>
      </c>
      <c r="K15" s="22">
        <v>3655</v>
      </c>
      <c r="L15" s="22">
        <v>3778</v>
      </c>
      <c r="M15" s="22">
        <v>3720</v>
      </c>
      <c r="N15" s="22">
        <v>3666</v>
      </c>
      <c r="O15" s="22">
        <v>3700</v>
      </c>
      <c r="P15" s="22">
        <v>3676</v>
      </c>
      <c r="Q15" s="22">
        <v>3640</v>
      </c>
      <c r="R15" s="22">
        <v>3728</v>
      </c>
      <c r="S15" s="22">
        <v>3698</v>
      </c>
      <c r="T15" s="22">
        <v>3740</v>
      </c>
      <c r="U15" s="22">
        <v>3774</v>
      </c>
      <c r="V15" s="22">
        <v>3799</v>
      </c>
      <c r="W15" s="22">
        <v>3842</v>
      </c>
      <c r="X15" s="22">
        <v>3872</v>
      </c>
      <c r="Y15" s="22">
        <v>3763</v>
      </c>
      <c r="Z15" s="22">
        <v>3899</v>
      </c>
      <c r="AA15" s="22">
        <v>3958</v>
      </c>
      <c r="AB15" s="22">
        <v>3936</v>
      </c>
      <c r="AC15" s="22">
        <v>3909</v>
      </c>
      <c r="AD15" s="22">
        <v>3865</v>
      </c>
      <c r="AE15" s="22">
        <v>3980</v>
      </c>
      <c r="AF15" s="22">
        <v>3987</v>
      </c>
      <c r="AG15" s="22">
        <v>3949</v>
      </c>
      <c r="AH15" s="22">
        <v>3936</v>
      </c>
      <c r="AI15" s="22">
        <v>4023</v>
      </c>
      <c r="AJ15" s="22">
        <v>3932</v>
      </c>
      <c r="AK15" s="22">
        <v>4229</v>
      </c>
      <c r="AL15" s="22">
        <v>4288</v>
      </c>
      <c r="AM15" s="22">
        <v>4316</v>
      </c>
      <c r="AN15" s="22">
        <v>4398</v>
      </c>
      <c r="AO15" s="22">
        <v>4393</v>
      </c>
      <c r="AP15" s="22">
        <v>4360</v>
      </c>
      <c r="AQ15" s="22">
        <v>4352</v>
      </c>
      <c r="AR15" s="22">
        <v>4461</v>
      </c>
      <c r="AS15" s="22">
        <v>4501</v>
      </c>
      <c r="AT15" s="22">
        <v>4503</v>
      </c>
      <c r="AU15" s="22">
        <v>4541</v>
      </c>
      <c r="AV15" s="22">
        <v>4511</v>
      </c>
      <c r="AW15" s="22">
        <v>4520</v>
      </c>
      <c r="AX15" s="22">
        <v>4461</v>
      </c>
      <c r="AY15" s="22">
        <v>4501</v>
      </c>
      <c r="AZ15" s="22">
        <v>4499</v>
      </c>
      <c r="BA15" s="22">
        <v>4555</v>
      </c>
      <c r="BB15" s="22">
        <v>4400</v>
      </c>
      <c r="BC15" s="22">
        <v>4588</v>
      </c>
      <c r="BD15" s="22">
        <v>4564</v>
      </c>
      <c r="BE15" s="22">
        <v>4650</v>
      </c>
      <c r="BF15" s="22">
        <v>4522</v>
      </c>
      <c r="BG15" s="22">
        <v>4401</v>
      </c>
      <c r="BH15" s="22">
        <v>4563</v>
      </c>
      <c r="BI15" s="22">
        <v>4600</v>
      </c>
      <c r="BJ15" s="22">
        <v>4458</v>
      </c>
      <c r="BK15" s="22">
        <v>4518</v>
      </c>
      <c r="BL15" s="22">
        <v>4455</v>
      </c>
    </row>
    <row r="16" spans="1:64" ht="15.95" customHeight="1">
      <c r="A16" s="81" t="s">
        <v>273</v>
      </c>
      <c r="B16" s="17" t="s">
        <v>92</v>
      </c>
      <c r="C16" s="26">
        <f>_xll.RssMarket("8058","始値")</f>
        <v>4628</v>
      </c>
      <c r="D16" s="25">
        <f t="shared" si="0"/>
        <v>0</v>
      </c>
      <c r="E16" s="22">
        <v>4628</v>
      </c>
      <c r="F16" s="22">
        <v>4731</v>
      </c>
      <c r="G16" s="22">
        <v>4765</v>
      </c>
      <c r="H16" s="22">
        <v>4627</v>
      </c>
      <c r="I16" s="22">
        <v>4583</v>
      </c>
      <c r="J16" s="22">
        <v>4750</v>
      </c>
      <c r="K16" s="22">
        <v>4824</v>
      </c>
      <c r="L16" s="22">
        <v>4919</v>
      </c>
      <c r="M16" s="22">
        <v>4984</v>
      </c>
      <c r="N16" s="22">
        <v>4974</v>
      </c>
      <c r="O16" s="22">
        <v>4865</v>
      </c>
      <c r="P16" s="22">
        <v>5000</v>
      </c>
      <c r="Q16" s="22">
        <v>5067</v>
      </c>
      <c r="R16" s="22">
        <v>5182</v>
      </c>
      <c r="S16" s="22">
        <v>5400</v>
      </c>
      <c r="T16" s="22">
        <v>5411</v>
      </c>
      <c r="U16" s="22">
        <v>5501</v>
      </c>
      <c r="V16" s="22">
        <v>5527</v>
      </c>
      <c r="W16" s="22">
        <v>5508</v>
      </c>
      <c r="X16" s="22">
        <v>5799</v>
      </c>
      <c r="Y16" s="22">
        <v>5879</v>
      </c>
      <c r="Z16" s="22">
        <v>5935</v>
      </c>
      <c r="AA16" s="22">
        <v>5684</v>
      </c>
      <c r="AB16" s="22">
        <v>5320</v>
      </c>
      <c r="AC16" s="22">
        <v>5293</v>
      </c>
      <c r="AD16" s="22">
        <v>5348</v>
      </c>
      <c r="AE16" s="22">
        <v>5119</v>
      </c>
      <c r="AF16" s="22">
        <v>4991</v>
      </c>
      <c r="AG16" s="22">
        <v>4916</v>
      </c>
      <c r="AH16" s="22">
        <v>4850</v>
      </c>
      <c r="AI16" s="22">
        <v>4802</v>
      </c>
      <c r="AJ16" s="22">
        <v>4893</v>
      </c>
      <c r="AK16" s="22">
        <v>4760</v>
      </c>
      <c r="AL16" s="22">
        <v>4820</v>
      </c>
      <c r="AM16" s="22">
        <v>4902</v>
      </c>
      <c r="AN16" s="22">
        <v>5002</v>
      </c>
      <c r="AO16" s="22">
        <v>5079</v>
      </c>
      <c r="AP16" s="22">
        <v>5015</v>
      </c>
      <c r="AQ16" s="22">
        <v>5238</v>
      </c>
      <c r="AR16" s="22">
        <v>5330</v>
      </c>
      <c r="AS16" s="22">
        <v>5360</v>
      </c>
      <c r="AT16" s="22">
        <v>5438</v>
      </c>
      <c r="AU16" s="22">
        <v>5450</v>
      </c>
      <c r="AV16" s="22">
        <v>5650</v>
      </c>
      <c r="AW16" s="22">
        <v>5441</v>
      </c>
      <c r="AX16" s="22">
        <v>5440</v>
      </c>
      <c r="AY16" s="22">
        <v>5449</v>
      </c>
      <c r="AZ16" s="22">
        <v>5555</v>
      </c>
      <c r="BA16" s="22">
        <v>5450</v>
      </c>
      <c r="BB16" s="22">
        <v>5580</v>
      </c>
      <c r="BC16" s="22">
        <v>5507</v>
      </c>
      <c r="BD16" s="22">
        <v>5672</v>
      </c>
      <c r="BE16" s="22">
        <v>5613</v>
      </c>
      <c r="BF16" s="22">
        <v>5596</v>
      </c>
      <c r="BG16" s="22">
        <v>5430</v>
      </c>
      <c r="BH16" s="22">
        <v>5198</v>
      </c>
      <c r="BI16" s="22">
        <v>5512</v>
      </c>
      <c r="BJ16" s="22">
        <v>5500</v>
      </c>
      <c r="BK16" s="22">
        <v>5272</v>
      </c>
      <c r="BL16" s="22">
        <v>5311</v>
      </c>
    </row>
    <row r="17" spans="1:64" ht="15.95" customHeight="1">
      <c r="A17" s="81" t="s">
        <v>274</v>
      </c>
      <c r="B17" s="17" t="s">
        <v>93</v>
      </c>
      <c r="C17" s="26">
        <f>_xll.RssMarket("5333","始値")</f>
        <v>6735</v>
      </c>
      <c r="D17" s="25">
        <f t="shared" si="0"/>
        <v>0</v>
      </c>
      <c r="E17" s="22">
        <v>6735</v>
      </c>
      <c r="F17" s="22">
        <v>6669</v>
      </c>
      <c r="G17" s="22">
        <v>6517</v>
      </c>
      <c r="H17" s="22">
        <v>6215</v>
      </c>
      <c r="I17" s="22">
        <v>5563</v>
      </c>
      <c r="J17" s="22">
        <v>6028</v>
      </c>
      <c r="K17" s="22">
        <v>6075</v>
      </c>
      <c r="L17" s="22">
        <v>6556</v>
      </c>
      <c r="M17" s="22">
        <v>6383</v>
      </c>
      <c r="N17" s="22">
        <v>6270</v>
      </c>
      <c r="O17" s="22">
        <v>6322</v>
      </c>
      <c r="P17" s="22">
        <v>6137</v>
      </c>
      <c r="Q17" s="22">
        <v>6032</v>
      </c>
      <c r="R17" s="22">
        <v>6444</v>
      </c>
      <c r="S17" s="22">
        <v>5959</v>
      </c>
      <c r="T17" s="22">
        <v>5765</v>
      </c>
      <c r="U17" s="22">
        <v>5568</v>
      </c>
      <c r="V17" s="22">
        <v>5421</v>
      </c>
      <c r="W17" s="22">
        <v>5651</v>
      </c>
      <c r="X17" s="22">
        <v>5739</v>
      </c>
      <c r="Y17" s="22">
        <v>5800</v>
      </c>
      <c r="Z17" s="22">
        <v>5750</v>
      </c>
      <c r="AA17" s="22">
        <v>5537</v>
      </c>
      <c r="AB17" s="22">
        <v>5600</v>
      </c>
      <c r="AC17" s="22">
        <v>5550</v>
      </c>
      <c r="AD17" s="22">
        <v>5300</v>
      </c>
      <c r="AE17" s="22">
        <v>5377</v>
      </c>
      <c r="AF17" s="22">
        <v>4953</v>
      </c>
      <c r="AG17" s="22">
        <v>4621</v>
      </c>
      <c r="AH17" s="22">
        <v>4670</v>
      </c>
      <c r="AI17" s="22">
        <v>4429</v>
      </c>
      <c r="AJ17" s="22">
        <v>4445</v>
      </c>
      <c r="AK17" s="22">
        <v>4450</v>
      </c>
      <c r="AL17" s="22">
        <v>4520</v>
      </c>
      <c r="AM17" s="22">
        <v>4538</v>
      </c>
      <c r="AN17" s="22">
        <v>4543</v>
      </c>
      <c r="AO17" s="22">
        <v>4528</v>
      </c>
      <c r="AP17" s="22">
        <v>4430</v>
      </c>
      <c r="AQ17" s="22">
        <v>4477</v>
      </c>
      <c r="AR17" s="22">
        <v>4450</v>
      </c>
      <c r="AS17" s="22">
        <v>4401</v>
      </c>
      <c r="AT17" s="22">
        <v>4434</v>
      </c>
      <c r="AU17" s="22">
        <v>4439</v>
      </c>
      <c r="AV17" s="22">
        <v>4355</v>
      </c>
      <c r="AW17" s="22">
        <v>4126</v>
      </c>
      <c r="AX17" s="22">
        <v>4135</v>
      </c>
      <c r="AY17" s="22">
        <v>4097</v>
      </c>
      <c r="AZ17" s="22">
        <v>4229</v>
      </c>
      <c r="BA17" s="22">
        <v>4126</v>
      </c>
      <c r="BB17" s="22">
        <v>3911</v>
      </c>
      <c r="BC17" s="22">
        <v>3892</v>
      </c>
      <c r="BD17" s="22">
        <v>4105</v>
      </c>
      <c r="BE17" s="22">
        <v>4160</v>
      </c>
      <c r="BF17" s="22">
        <v>4041</v>
      </c>
      <c r="BG17" s="22">
        <v>3904</v>
      </c>
      <c r="BH17" s="22">
        <v>3766</v>
      </c>
      <c r="BI17" s="22">
        <v>4019</v>
      </c>
      <c r="BJ17" s="22">
        <v>4099</v>
      </c>
      <c r="BK17" s="22">
        <v>4108</v>
      </c>
      <c r="BL17" s="22">
        <v>3994</v>
      </c>
    </row>
    <row r="18" spans="1:64" ht="15.95" customHeight="1">
      <c r="A18" s="81" t="s">
        <v>275</v>
      </c>
      <c r="B18" s="17" t="s">
        <v>94</v>
      </c>
      <c r="C18" s="26">
        <f>_xll.RssMarket("1662","始値")</f>
        <v>1636</v>
      </c>
      <c r="D18" s="25">
        <f t="shared" si="0"/>
        <v>0</v>
      </c>
      <c r="E18" s="22">
        <v>1636</v>
      </c>
      <c r="F18" s="22">
        <v>1650</v>
      </c>
      <c r="G18" s="22">
        <v>1658</v>
      </c>
      <c r="H18" s="22">
        <v>1640</v>
      </c>
      <c r="I18" s="22">
        <v>1679</v>
      </c>
      <c r="J18" s="22">
        <v>1729</v>
      </c>
      <c r="K18" s="22">
        <v>1708</v>
      </c>
      <c r="L18" s="22">
        <v>1755</v>
      </c>
      <c r="M18" s="22">
        <v>1730</v>
      </c>
      <c r="N18" s="22">
        <v>1780</v>
      </c>
      <c r="O18" s="22">
        <v>1760</v>
      </c>
      <c r="P18" s="22">
        <v>1837</v>
      </c>
      <c r="Q18" s="22">
        <v>1875</v>
      </c>
      <c r="R18" s="22">
        <v>1842</v>
      </c>
      <c r="S18" s="22">
        <v>1886</v>
      </c>
      <c r="T18" s="22">
        <v>1896</v>
      </c>
      <c r="U18" s="22">
        <v>1910</v>
      </c>
      <c r="V18" s="22">
        <v>1995</v>
      </c>
      <c r="W18" s="22">
        <v>1970</v>
      </c>
      <c r="X18" s="22">
        <v>1965</v>
      </c>
      <c r="Y18" s="22">
        <v>2001</v>
      </c>
      <c r="Z18" s="22">
        <v>2158</v>
      </c>
      <c r="AA18" s="22">
        <v>2180</v>
      </c>
      <c r="AB18" s="22">
        <v>2130</v>
      </c>
      <c r="AC18" s="22">
        <v>2135</v>
      </c>
      <c r="AD18" s="22">
        <v>2058</v>
      </c>
      <c r="AE18" s="22">
        <v>2247</v>
      </c>
      <c r="AF18" s="22">
        <v>2314</v>
      </c>
      <c r="AG18" s="22">
        <v>2192</v>
      </c>
      <c r="AH18" s="22">
        <v>2230</v>
      </c>
      <c r="AI18" s="22">
        <v>2265</v>
      </c>
      <c r="AJ18" s="22">
        <v>2182</v>
      </c>
      <c r="AK18" s="22">
        <v>2197</v>
      </c>
      <c r="AL18" s="22">
        <v>2146</v>
      </c>
      <c r="AM18" s="22">
        <v>2248</v>
      </c>
      <c r="AN18" s="22">
        <v>2421</v>
      </c>
      <c r="AO18" s="22">
        <v>2386</v>
      </c>
      <c r="AP18" s="22">
        <v>2441</v>
      </c>
      <c r="AQ18" s="22">
        <v>2435</v>
      </c>
      <c r="AR18" s="22">
        <v>2487</v>
      </c>
      <c r="AS18" s="22">
        <v>2461</v>
      </c>
      <c r="AT18" s="22">
        <v>2460</v>
      </c>
      <c r="AU18" s="22">
        <v>2500</v>
      </c>
      <c r="AV18" s="22">
        <v>2585</v>
      </c>
      <c r="AW18" s="22">
        <v>2558</v>
      </c>
      <c r="AX18" s="22">
        <v>2499</v>
      </c>
      <c r="AY18" s="22">
        <v>2490</v>
      </c>
      <c r="AZ18" s="22">
        <v>2489</v>
      </c>
      <c r="BA18" s="22">
        <v>2696</v>
      </c>
      <c r="BB18" s="22">
        <v>2615</v>
      </c>
      <c r="BC18" s="22">
        <v>2601</v>
      </c>
      <c r="BD18" s="22">
        <v>2479</v>
      </c>
      <c r="BE18" s="22">
        <v>2590</v>
      </c>
      <c r="BF18" s="22">
        <v>2485</v>
      </c>
      <c r="BG18" s="22">
        <v>2591</v>
      </c>
      <c r="BH18" s="22">
        <v>2754</v>
      </c>
      <c r="BI18" s="22">
        <v>2674</v>
      </c>
      <c r="BJ18" s="22">
        <v>2542</v>
      </c>
      <c r="BK18" s="22">
        <v>2640</v>
      </c>
      <c r="BL18" s="22">
        <v>2514</v>
      </c>
    </row>
    <row r="19" spans="1:64" ht="15.95" customHeight="1">
      <c r="A19" s="81" t="s">
        <v>276</v>
      </c>
      <c r="B19" s="17" t="s">
        <v>95</v>
      </c>
      <c r="C19" s="26">
        <f>_xll.RssMarket("8411","始値")</f>
        <v>7907</v>
      </c>
      <c r="D19" s="25">
        <f t="shared" si="0"/>
        <v>0</v>
      </c>
      <c r="E19" s="22">
        <v>7907</v>
      </c>
      <c r="F19" s="22">
        <v>7820</v>
      </c>
      <c r="G19" s="22">
        <v>7750</v>
      </c>
      <c r="H19" s="22">
        <v>7605</v>
      </c>
      <c r="I19" s="22">
        <v>7411</v>
      </c>
      <c r="J19" s="22">
        <v>7760</v>
      </c>
      <c r="K19" s="22">
        <v>7620</v>
      </c>
      <c r="L19" s="22">
        <v>7822</v>
      </c>
      <c r="M19" s="22">
        <v>7621</v>
      </c>
      <c r="N19" s="22">
        <v>7500</v>
      </c>
      <c r="O19" s="22">
        <v>7253</v>
      </c>
      <c r="P19" s="22">
        <v>7065</v>
      </c>
      <c r="Q19" s="22">
        <v>7130</v>
      </c>
      <c r="R19" s="22">
        <v>7283</v>
      </c>
      <c r="S19" s="22">
        <v>7308</v>
      </c>
      <c r="T19" s="22">
        <v>7378</v>
      </c>
      <c r="U19" s="22">
        <v>7150</v>
      </c>
      <c r="V19" s="22">
        <v>7090</v>
      </c>
      <c r="W19" s="22">
        <v>6690</v>
      </c>
      <c r="X19" s="22">
        <v>6512</v>
      </c>
      <c r="Y19" s="22">
        <v>7021</v>
      </c>
      <c r="Z19" s="22">
        <v>7100</v>
      </c>
      <c r="AA19" s="22">
        <v>6954</v>
      </c>
      <c r="AB19" s="22">
        <v>6941</v>
      </c>
      <c r="AC19" s="22">
        <v>6871</v>
      </c>
      <c r="AD19" s="22">
        <v>6790</v>
      </c>
      <c r="AE19" s="22">
        <v>6904</v>
      </c>
      <c r="AF19" s="22">
        <v>6677</v>
      </c>
      <c r="AG19" s="22">
        <v>6918</v>
      </c>
      <c r="AH19" s="22">
        <v>6659</v>
      </c>
      <c r="AI19" s="22">
        <v>6430</v>
      </c>
      <c r="AJ19" s="22">
        <v>6556</v>
      </c>
      <c r="AK19" s="22">
        <v>6593</v>
      </c>
      <c r="AL19" s="22">
        <v>6601</v>
      </c>
      <c r="AM19" s="22">
        <v>6752</v>
      </c>
      <c r="AN19" s="22">
        <v>6868</v>
      </c>
      <c r="AO19" s="22">
        <v>6853</v>
      </c>
      <c r="AP19" s="22">
        <v>6980</v>
      </c>
      <c r="AQ19" s="22">
        <v>6990</v>
      </c>
      <c r="AR19" s="22">
        <v>6835</v>
      </c>
      <c r="AS19" s="22">
        <v>6770</v>
      </c>
      <c r="AT19" s="22">
        <v>6791</v>
      </c>
      <c r="AU19" s="22">
        <v>6922</v>
      </c>
      <c r="AV19" s="22">
        <v>6839</v>
      </c>
      <c r="AW19" s="22">
        <v>6524</v>
      </c>
      <c r="AX19" s="22">
        <v>6484</v>
      </c>
      <c r="AY19" s="22">
        <v>6520</v>
      </c>
      <c r="AZ19" s="22">
        <v>6709</v>
      </c>
      <c r="BA19" s="22">
        <v>6387</v>
      </c>
      <c r="BB19" s="22">
        <v>6035</v>
      </c>
      <c r="BC19" s="22">
        <v>6007</v>
      </c>
      <c r="BD19" s="22">
        <v>6330</v>
      </c>
      <c r="BE19" s="22">
        <v>6469</v>
      </c>
      <c r="BF19" s="22">
        <v>6388</v>
      </c>
      <c r="BG19" s="22">
        <v>6150</v>
      </c>
      <c r="BH19" s="22">
        <v>5890</v>
      </c>
      <c r="BI19" s="22">
        <v>6120</v>
      </c>
      <c r="BJ19" s="22">
        <v>6272</v>
      </c>
      <c r="BK19" s="22">
        <v>6195</v>
      </c>
      <c r="BL19" s="22">
        <v>6036</v>
      </c>
    </row>
    <row r="20" spans="1:64" ht="15.95" customHeight="1">
      <c r="A20" s="81" t="s">
        <v>277</v>
      </c>
      <c r="B20" s="17" t="s">
        <v>96</v>
      </c>
      <c r="C20" s="26">
        <f>_xll.RssMarket("5541","始値")</f>
        <v>2260</v>
      </c>
      <c r="D20" s="25">
        <f t="shared" si="0"/>
        <v>0</v>
      </c>
      <c r="E20" s="22">
        <v>2260</v>
      </c>
      <c r="F20" s="22">
        <v>2325</v>
      </c>
      <c r="G20" s="22">
        <v>2250</v>
      </c>
      <c r="H20" s="22">
        <v>2150</v>
      </c>
      <c r="I20" s="22">
        <v>2097</v>
      </c>
      <c r="J20" s="22">
        <v>2147</v>
      </c>
      <c r="K20" s="22">
        <v>2189</v>
      </c>
      <c r="L20" s="22">
        <v>2254</v>
      </c>
      <c r="M20" s="22">
        <v>2302</v>
      </c>
      <c r="N20" s="22">
        <v>2250</v>
      </c>
      <c r="O20" s="22">
        <v>2210</v>
      </c>
      <c r="P20" s="22">
        <v>2298</v>
      </c>
      <c r="Q20" s="22">
        <v>2264</v>
      </c>
      <c r="R20" s="22">
        <v>2320</v>
      </c>
      <c r="S20" s="22">
        <v>2227</v>
      </c>
      <c r="T20" s="22">
        <v>2176</v>
      </c>
      <c r="U20" s="22">
        <v>2142</v>
      </c>
      <c r="V20" s="22">
        <v>2199</v>
      </c>
      <c r="W20" s="22">
        <v>2254</v>
      </c>
      <c r="X20" s="22">
        <v>2392</v>
      </c>
      <c r="Y20" s="22">
        <v>2400</v>
      </c>
      <c r="Z20" s="22">
        <v>2422</v>
      </c>
      <c r="AA20" s="22">
        <v>2443</v>
      </c>
      <c r="AB20" s="22">
        <v>2665</v>
      </c>
      <c r="AC20" s="22">
        <v>2675</v>
      </c>
      <c r="AD20" s="22">
        <v>2612</v>
      </c>
      <c r="AE20" s="22">
        <v>2650</v>
      </c>
      <c r="AF20" s="22">
        <v>2540</v>
      </c>
      <c r="AG20" s="22">
        <v>2549</v>
      </c>
      <c r="AH20" s="22">
        <v>2434</v>
      </c>
      <c r="AI20" s="22">
        <v>2409</v>
      </c>
      <c r="AJ20" s="22">
        <v>2482</v>
      </c>
      <c r="AK20" s="22">
        <v>2501</v>
      </c>
      <c r="AL20" s="22">
        <v>2519</v>
      </c>
      <c r="AM20" s="22">
        <v>2564</v>
      </c>
      <c r="AN20" s="22">
        <v>2590</v>
      </c>
      <c r="AO20" s="22">
        <v>2650</v>
      </c>
      <c r="AP20" s="22">
        <v>2687</v>
      </c>
      <c r="AQ20" s="22">
        <v>2699</v>
      </c>
      <c r="AR20" s="22">
        <v>2646</v>
      </c>
      <c r="AS20" s="22">
        <v>2641</v>
      </c>
      <c r="AT20" s="22">
        <v>2711</v>
      </c>
      <c r="AU20" s="22">
        <v>2806</v>
      </c>
      <c r="AV20" s="22">
        <v>2749</v>
      </c>
      <c r="AW20" s="22">
        <v>2679</v>
      </c>
      <c r="AX20" s="22">
        <v>2715</v>
      </c>
      <c r="AY20" s="22">
        <v>2667</v>
      </c>
      <c r="AZ20" s="22">
        <v>2755</v>
      </c>
      <c r="BA20" s="22">
        <v>2754</v>
      </c>
      <c r="BB20" s="22">
        <v>2650</v>
      </c>
      <c r="BC20" s="22">
        <v>2655</v>
      </c>
      <c r="BD20" s="22">
        <v>2750</v>
      </c>
      <c r="BE20" s="22">
        <v>2817</v>
      </c>
      <c r="BF20" s="22">
        <v>2871</v>
      </c>
      <c r="BG20" s="22">
        <v>2799</v>
      </c>
      <c r="BH20" s="22">
        <v>2759</v>
      </c>
      <c r="BI20" s="22">
        <v>3100</v>
      </c>
      <c r="BJ20" s="22">
        <v>3140</v>
      </c>
      <c r="BK20" s="22">
        <v>3090</v>
      </c>
      <c r="BL20" s="22">
        <v>3020</v>
      </c>
    </row>
    <row r="21" spans="1:64" ht="15.95" customHeight="1">
      <c r="A21" s="81" t="s">
        <v>278</v>
      </c>
      <c r="B21" s="17" t="s">
        <v>97</v>
      </c>
      <c r="C21" s="26">
        <f>_xll.RssMarket("5332","始値")</f>
        <v>8102</v>
      </c>
      <c r="D21" s="25">
        <f t="shared" si="0"/>
        <v>0</v>
      </c>
      <c r="E21" s="22">
        <v>8102</v>
      </c>
      <c r="F21" s="22">
        <v>8280</v>
      </c>
      <c r="G21" s="22">
        <v>7981</v>
      </c>
      <c r="H21" s="22">
        <v>7730</v>
      </c>
      <c r="I21" s="22">
        <v>7210</v>
      </c>
      <c r="J21" s="22">
        <v>7400</v>
      </c>
      <c r="K21" s="22">
        <v>7570</v>
      </c>
      <c r="L21" s="22">
        <v>8050</v>
      </c>
      <c r="M21" s="22">
        <v>8076</v>
      </c>
      <c r="N21" s="22">
        <v>7457</v>
      </c>
      <c r="O21" s="22">
        <v>7427</v>
      </c>
      <c r="P21" s="22">
        <v>7443</v>
      </c>
      <c r="Q21" s="22">
        <v>7264</v>
      </c>
      <c r="R21" s="22">
        <v>7200</v>
      </c>
      <c r="S21" s="22">
        <v>6899</v>
      </c>
      <c r="T21" s="22">
        <v>6654</v>
      </c>
      <c r="U21" s="22">
        <v>6539</v>
      </c>
      <c r="V21" s="22">
        <v>6589</v>
      </c>
      <c r="W21" s="22">
        <v>6892</v>
      </c>
      <c r="X21" s="22">
        <v>7171</v>
      </c>
      <c r="Y21" s="22">
        <v>7233</v>
      </c>
      <c r="Z21" s="22">
        <v>7000</v>
      </c>
      <c r="AA21" s="22">
        <v>6888</v>
      </c>
      <c r="AB21" s="22">
        <v>7200</v>
      </c>
      <c r="AC21" s="22">
        <v>7240</v>
      </c>
      <c r="AD21" s="22">
        <v>6752</v>
      </c>
      <c r="AE21" s="22">
        <v>6713</v>
      </c>
      <c r="AF21" s="22">
        <v>6025</v>
      </c>
      <c r="AG21" s="22">
        <v>5470</v>
      </c>
      <c r="AH21" s="22">
        <v>5400</v>
      </c>
      <c r="AI21" s="22">
        <v>5373</v>
      </c>
      <c r="AJ21" s="22">
        <v>5294</v>
      </c>
      <c r="AK21" s="22">
        <v>5185</v>
      </c>
      <c r="AL21" s="22">
        <v>5327</v>
      </c>
      <c r="AM21" s="22">
        <v>5522</v>
      </c>
      <c r="AN21" s="22">
        <v>5622</v>
      </c>
      <c r="AO21" s="22">
        <v>5580</v>
      </c>
      <c r="AP21" s="22">
        <v>5448</v>
      </c>
      <c r="AQ21" s="22">
        <v>5516</v>
      </c>
      <c r="AR21" s="22">
        <v>5481</v>
      </c>
      <c r="AS21" s="22">
        <v>5685</v>
      </c>
      <c r="AT21" s="22">
        <v>5760</v>
      </c>
      <c r="AU21" s="22">
        <v>5748</v>
      </c>
      <c r="AV21" s="22">
        <v>5600</v>
      </c>
      <c r="AW21" s="22">
        <v>5368</v>
      </c>
      <c r="AX21" s="22">
        <v>5210</v>
      </c>
      <c r="AY21" s="22">
        <v>5181</v>
      </c>
      <c r="AZ21" s="22">
        <v>5313</v>
      </c>
      <c r="BA21" s="22">
        <v>5290</v>
      </c>
      <c r="BB21" s="22">
        <v>5084</v>
      </c>
      <c r="BC21" s="22">
        <v>5187</v>
      </c>
      <c r="BD21" s="22">
        <v>5473</v>
      </c>
      <c r="BE21" s="22">
        <v>5944</v>
      </c>
      <c r="BF21" s="22">
        <v>5899</v>
      </c>
      <c r="BG21" s="22">
        <v>5654</v>
      </c>
      <c r="BH21" s="22">
        <v>5521</v>
      </c>
      <c r="BI21" s="22">
        <v>5748</v>
      </c>
      <c r="BJ21" s="22">
        <v>5729</v>
      </c>
      <c r="BK21" s="22">
        <v>5840</v>
      </c>
      <c r="BL21" s="22">
        <v>5810</v>
      </c>
    </row>
    <row r="22" spans="1:64" ht="15.95" customHeight="1">
      <c r="A22" s="81" t="s">
        <v>279</v>
      </c>
      <c r="B22" s="17" t="s">
        <v>98</v>
      </c>
      <c r="C22" s="26">
        <f>_xll.RssMarket("8725","始値")</f>
        <v>4656</v>
      </c>
      <c r="D22" s="25">
        <f t="shared" si="0"/>
        <v>0</v>
      </c>
      <c r="E22" s="22">
        <v>4656</v>
      </c>
      <c r="F22" s="22">
        <v>4603</v>
      </c>
      <c r="G22" s="22">
        <v>4616</v>
      </c>
      <c r="H22" s="22">
        <v>4622</v>
      </c>
      <c r="I22" s="22">
        <v>4578</v>
      </c>
      <c r="J22" s="22">
        <v>4657</v>
      </c>
      <c r="K22" s="22">
        <v>4370</v>
      </c>
      <c r="L22" s="22">
        <v>4350</v>
      </c>
      <c r="M22" s="22">
        <v>4273</v>
      </c>
      <c r="N22" s="22">
        <v>4311</v>
      </c>
      <c r="O22" s="22">
        <v>4228</v>
      </c>
      <c r="P22" s="22">
        <v>4212</v>
      </c>
      <c r="Q22" s="22">
        <v>4222</v>
      </c>
      <c r="R22" s="22">
        <v>4210</v>
      </c>
      <c r="S22" s="22">
        <v>4245</v>
      </c>
      <c r="T22" s="22">
        <v>4299</v>
      </c>
      <c r="U22" s="22">
        <v>4350</v>
      </c>
      <c r="V22" s="22">
        <v>4507</v>
      </c>
      <c r="W22" s="22">
        <v>4439</v>
      </c>
      <c r="X22" s="22">
        <v>4449</v>
      </c>
      <c r="Y22" s="22">
        <v>4410</v>
      </c>
      <c r="Z22" s="22">
        <v>4375</v>
      </c>
      <c r="AA22" s="22">
        <v>4300</v>
      </c>
      <c r="AB22" s="22">
        <v>4159</v>
      </c>
      <c r="AC22" s="22">
        <v>3970</v>
      </c>
      <c r="AD22" s="22">
        <v>4009</v>
      </c>
      <c r="AE22" s="22">
        <v>4039</v>
      </c>
      <c r="AF22" s="22">
        <v>3985</v>
      </c>
      <c r="AG22" s="22">
        <v>4019</v>
      </c>
      <c r="AH22" s="22">
        <v>3970</v>
      </c>
      <c r="AI22" s="22">
        <v>3910</v>
      </c>
      <c r="AJ22" s="22">
        <v>3997</v>
      </c>
      <c r="AK22" s="22">
        <v>3950</v>
      </c>
      <c r="AL22" s="22">
        <v>4029</v>
      </c>
      <c r="AM22" s="22">
        <v>4057</v>
      </c>
      <c r="AN22" s="22">
        <v>4088</v>
      </c>
      <c r="AO22" s="22">
        <v>4130</v>
      </c>
      <c r="AP22" s="22">
        <v>4090</v>
      </c>
      <c r="AQ22" s="22">
        <v>4074</v>
      </c>
      <c r="AR22" s="22">
        <v>4112</v>
      </c>
      <c r="AS22" s="22">
        <v>4040</v>
      </c>
      <c r="AT22" s="22">
        <v>4112</v>
      </c>
      <c r="AU22" s="22">
        <v>4152</v>
      </c>
      <c r="AV22" s="22">
        <v>4244</v>
      </c>
      <c r="AW22" s="22">
        <v>4138</v>
      </c>
      <c r="AX22" s="22">
        <v>4130</v>
      </c>
      <c r="AY22" s="22">
        <v>4109</v>
      </c>
      <c r="AZ22" s="22">
        <v>4203</v>
      </c>
      <c r="BA22" s="22">
        <v>4166</v>
      </c>
      <c r="BB22" s="22">
        <v>4059</v>
      </c>
      <c r="BC22" s="22">
        <v>4011</v>
      </c>
      <c r="BD22" s="22">
        <v>4189</v>
      </c>
      <c r="BE22" s="22">
        <v>4178</v>
      </c>
      <c r="BF22" s="22">
        <v>4162</v>
      </c>
      <c r="BG22" s="22">
        <v>4085</v>
      </c>
      <c r="BH22" s="22">
        <v>3950</v>
      </c>
      <c r="BI22" s="22">
        <v>4045</v>
      </c>
      <c r="BJ22" s="22">
        <v>4094</v>
      </c>
      <c r="BK22" s="22">
        <v>4041</v>
      </c>
      <c r="BL22" s="22">
        <v>4035</v>
      </c>
    </row>
    <row r="23" spans="1:64" ht="15.95" customHeight="1">
      <c r="A23" s="81" t="s">
        <v>280</v>
      </c>
      <c r="B23" s="17" t="s">
        <v>99</v>
      </c>
      <c r="C23" s="26">
        <f>_xll.RssMarket("8795","始値")</f>
        <v>4945</v>
      </c>
      <c r="D23" s="25">
        <f t="shared" si="0"/>
        <v>0</v>
      </c>
      <c r="E23" s="22">
        <v>4945</v>
      </c>
      <c r="F23" s="22">
        <v>4782</v>
      </c>
      <c r="G23" s="22">
        <v>4846</v>
      </c>
      <c r="H23" s="22">
        <v>4703</v>
      </c>
      <c r="I23" s="22">
        <v>4731</v>
      </c>
      <c r="J23" s="22">
        <v>4705</v>
      </c>
      <c r="K23" s="22">
        <v>4435</v>
      </c>
      <c r="L23" s="22">
        <v>4380</v>
      </c>
      <c r="M23" s="22">
        <v>4217</v>
      </c>
      <c r="N23" s="22">
        <v>4211</v>
      </c>
      <c r="O23" s="22">
        <v>4170</v>
      </c>
      <c r="P23" s="22">
        <v>4025</v>
      </c>
      <c r="Q23" s="22">
        <v>4111</v>
      </c>
      <c r="R23" s="22">
        <v>4125</v>
      </c>
      <c r="S23" s="22">
        <v>4137</v>
      </c>
      <c r="T23" s="22">
        <v>4113</v>
      </c>
      <c r="U23" s="22">
        <v>4100</v>
      </c>
      <c r="V23" s="22">
        <v>4208</v>
      </c>
      <c r="W23" s="22">
        <v>4116</v>
      </c>
      <c r="X23" s="22">
        <v>3940</v>
      </c>
      <c r="Y23" s="22">
        <v>4004</v>
      </c>
      <c r="Z23" s="22">
        <v>3982</v>
      </c>
      <c r="AA23" s="22">
        <v>3943</v>
      </c>
      <c r="AB23" s="22">
        <v>4024</v>
      </c>
      <c r="AC23" s="22">
        <v>3878</v>
      </c>
      <c r="AD23" s="22">
        <v>3930</v>
      </c>
      <c r="AE23" s="22">
        <v>3850</v>
      </c>
      <c r="AF23" s="22">
        <v>3738</v>
      </c>
      <c r="AG23" s="22">
        <v>3759</v>
      </c>
      <c r="AH23" s="22">
        <v>3709</v>
      </c>
      <c r="AI23" s="22">
        <v>3650</v>
      </c>
      <c r="AJ23" s="22">
        <v>3727</v>
      </c>
      <c r="AK23" s="22">
        <v>3706</v>
      </c>
      <c r="AL23" s="22">
        <v>3805</v>
      </c>
      <c r="AM23" s="22">
        <v>3922</v>
      </c>
      <c r="AN23" s="22">
        <v>4034</v>
      </c>
      <c r="AO23" s="22">
        <v>4078</v>
      </c>
      <c r="AP23" s="22">
        <v>4070</v>
      </c>
      <c r="AQ23" s="22">
        <v>4113</v>
      </c>
      <c r="AR23" s="22">
        <v>4075</v>
      </c>
      <c r="AS23" s="22">
        <v>4000</v>
      </c>
      <c r="AT23" s="22">
        <v>4026</v>
      </c>
      <c r="AU23" s="22">
        <v>4147</v>
      </c>
      <c r="AV23" s="22">
        <v>4170</v>
      </c>
      <c r="AW23" s="22">
        <v>3919</v>
      </c>
      <c r="AX23" s="22">
        <v>4097</v>
      </c>
      <c r="AY23" s="22">
        <v>4131</v>
      </c>
      <c r="AZ23" s="22">
        <v>4239</v>
      </c>
      <c r="BA23" s="22">
        <v>4096</v>
      </c>
      <c r="BB23" s="22">
        <v>3904</v>
      </c>
      <c r="BC23" s="22">
        <v>3822</v>
      </c>
      <c r="BD23" s="22">
        <v>3951</v>
      </c>
      <c r="BE23" s="22">
        <v>3967</v>
      </c>
      <c r="BF23" s="22">
        <v>3854</v>
      </c>
      <c r="BG23" s="22">
        <v>3766</v>
      </c>
      <c r="BH23" s="22">
        <v>3596</v>
      </c>
      <c r="BI23" s="22">
        <v>3746</v>
      </c>
      <c r="BJ23" s="22">
        <v>3804</v>
      </c>
      <c r="BK23" s="22">
        <v>3750</v>
      </c>
      <c r="BL23" s="22">
        <v>3709</v>
      </c>
    </row>
    <row r="24" spans="1:64" ht="15.95" customHeight="1">
      <c r="A24" s="81" t="s">
        <v>281</v>
      </c>
      <c r="B24" s="17" t="s">
        <v>100</v>
      </c>
      <c r="C24" s="26">
        <f>_xll.RssMarket("5019","始値")</f>
        <v>1284.5</v>
      </c>
      <c r="D24" s="25">
        <f t="shared" si="0"/>
        <v>0</v>
      </c>
      <c r="E24" s="22">
        <v>1284.5</v>
      </c>
      <c r="F24" s="22">
        <v>1308.5</v>
      </c>
      <c r="G24" s="22">
        <v>1329</v>
      </c>
      <c r="H24" s="22">
        <v>1359</v>
      </c>
      <c r="I24" s="22">
        <v>1346</v>
      </c>
      <c r="J24" s="22">
        <v>1327.5</v>
      </c>
      <c r="K24" s="22">
        <v>1364.5</v>
      </c>
      <c r="L24" s="22">
        <v>1407</v>
      </c>
      <c r="M24" s="22">
        <v>1407.5</v>
      </c>
      <c r="N24" s="22">
        <v>1382</v>
      </c>
      <c r="O24" s="22">
        <v>1330</v>
      </c>
      <c r="P24" s="22">
        <v>1298</v>
      </c>
      <c r="Q24" s="22">
        <v>1300.5</v>
      </c>
      <c r="R24" s="22">
        <v>1306</v>
      </c>
      <c r="S24" s="22">
        <v>1332</v>
      </c>
      <c r="T24" s="22">
        <v>1330.5</v>
      </c>
      <c r="U24" s="22">
        <v>1356.5</v>
      </c>
      <c r="V24" s="22">
        <v>1376.5</v>
      </c>
      <c r="W24" s="22">
        <v>1388</v>
      </c>
      <c r="X24" s="22">
        <v>1434</v>
      </c>
      <c r="Y24" s="22">
        <v>1417.5</v>
      </c>
      <c r="Z24" s="22">
        <v>1387.5</v>
      </c>
      <c r="AA24" s="22">
        <v>1320</v>
      </c>
      <c r="AB24" s="22">
        <v>1372</v>
      </c>
      <c r="AC24" s="22">
        <v>1328.5</v>
      </c>
      <c r="AD24" s="22">
        <v>1370</v>
      </c>
      <c r="AE24" s="22">
        <v>1349</v>
      </c>
      <c r="AF24" s="22">
        <v>1348.5</v>
      </c>
      <c r="AG24" s="22">
        <v>1374</v>
      </c>
      <c r="AH24" s="22">
        <v>1332.5</v>
      </c>
      <c r="AI24" s="22">
        <v>1322</v>
      </c>
      <c r="AJ24" s="22">
        <v>1348</v>
      </c>
      <c r="AK24" s="22">
        <v>1325</v>
      </c>
      <c r="AL24" s="22">
        <v>1415</v>
      </c>
      <c r="AM24" s="22">
        <v>1447</v>
      </c>
      <c r="AN24" s="22">
        <v>1487</v>
      </c>
      <c r="AO24" s="22">
        <v>1511</v>
      </c>
      <c r="AP24" s="22">
        <v>1509</v>
      </c>
      <c r="AQ24" s="22">
        <v>1524</v>
      </c>
      <c r="AR24" s="22">
        <v>1525</v>
      </c>
      <c r="AS24" s="22">
        <v>1562</v>
      </c>
      <c r="AT24" s="22">
        <v>1558.5</v>
      </c>
      <c r="AU24" s="22">
        <v>1571</v>
      </c>
      <c r="AV24" s="22">
        <v>1659</v>
      </c>
      <c r="AW24" s="22">
        <v>1633.5</v>
      </c>
      <c r="AX24" s="22">
        <v>1595</v>
      </c>
      <c r="AY24" s="22">
        <v>1567.5</v>
      </c>
      <c r="AZ24" s="22">
        <v>1588.5</v>
      </c>
      <c r="BA24" s="22">
        <v>1551</v>
      </c>
      <c r="BB24" s="22">
        <v>1565.5</v>
      </c>
      <c r="BC24" s="22">
        <v>1500</v>
      </c>
      <c r="BD24" s="22">
        <v>1535</v>
      </c>
      <c r="BE24" s="22">
        <v>1509</v>
      </c>
      <c r="BF24" s="22">
        <v>1513</v>
      </c>
      <c r="BG24" s="22">
        <v>1449.5</v>
      </c>
      <c r="BH24" s="22">
        <v>1412</v>
      </c>
      <c r="BI24" s="22">
        <v>1510</v>
      </c>
      <c r="BJ24" s="22">
        <v>1489.5</v>
      </c>
      <c r="BK24" s="22">
        <v>1440</v>
      </c>
      <c r="BL24" s="22">
        <v>1471.5</v>
      </c>
    </row>
    <row r="25" spans="1:64" ht="15.95" customHeight="1">
      <c r="A25" s="81" t="s">
        <v>282</v>
      </c>
      <c r="B25" s="17" t="s">
        <v>101</v>
      </c>
      <c r="C25" s="26">
        <f>_xll.RssMarket("8053","始値")</f>
        <v>6601</v>
      </c>
      <c r="D25" s="25">
        <f t="shared" si="0"/>
        <v>0</v>
      </c>
      <c r="E25" s="22">
        <v>6601</v>
      </c>
      <c r="F25" s="22">
        <v>6530</v>
      </c>
      <c r="G25" s="22">
        <v>6400</v>
      </c>
      <c r="H25" s="22">
        <v>6286</v>
      </c>
      <c r="I25" s="22">
        <v>6238</v>
      </c>
      <c r="J25" s="22">
        <v>6545</v>
      </c>
      <c r="K25" s="22">
        <v>6742</v>
      </c>
      <c r="L25" s="22">
        <v>6776</v>
      </c>
      <c r="M25" s="22">
        <v>6782</v>
      </c>
      <c r="N25" s="22">
        <v>6920</v>
      </c>
      <c r="O25" s="22">
        <v>6821</v>
      </c>
      <c r="P25" s="22">
        <v>7104</v>
      </c>
      <c r="Q25" s="22">
        <v>7045</v>
      </c>
      <c r="R25" s="22">
        <v>7330</v>
      </c>
      <c r="S25" s="22">
        <v>7131</v>
      </c>
      <c r="T25" s="22">
        <v>7071</v>
      </c>
      <c r="U25" s="22">
        <v>7142</v>
      </c>
      <c r="V25" s="22">
        <v>7217</v>
      </c>
      <c r="W25" s="22">
        <v>7295</v>
      </c>
      <c r="X25" s="22">
        <v>7510</v>
      </c>
      <c r="Y25" s="22">
        <v>7595</v>
      </c>
      <c r="Z25" s="22">
        <v>7671</v>
      </c>
      <c r="AA25" s="22">
        <v>7500</v>
      </c>
      <c r="AB25" s="22">
        <v>7270</v>
      </c>
      <c r="AC25" s="22">
        <v>7180</v>
      </c>
      <c r="AD25" s="22">
        <v>7389</v>
      </c>
      <c r="AE25" s="22">
        <v>6840</v>
      </c>
      <c r="AF25" s="22">
        <v>5830</v>
      </c>
      <c r="AG25" s="22">
        <v>5702</v>
      </c>
      <c r="AH25" s="22">
        <v>5784</v>
      </c>
      <c r="AI25" s="22">
        <v>5701</v>
      </c>
      <c r="AJ25" s="22">
        <v>5854</v>
      </c>
      <c r="AK25" s="22">
        <v>5780</v>
      </c>
      <c r="AL25" s="22">
        <v>5921</v>
      </c>
      <c r="AM25" s="22">
        <v>5986</v>
      </c>
      <c r="AN25" s="22">
        <v>6079</v>
      </c>
      <c r="AO25" s="22">
        <v>6082</v>
      </c>
      <c r="AP25" s="22">
        <v>6129</v>
      </c>
      <c r="AQ25" s="22">
        <v>6125</v>
      </c>
      <c r="AR25" s="22">
        <v>6120</v>
      </c>
      <c r="AS25" s="22">
        <v>6077</v>
      </c>
      <c r="AT25" s="22">
        <v>6264</v>
      </c>
      <c r="AU25" s="22">
        <v>6290</v>
      </c>
      <c r="AV25" s="22">
        <v>6345</v>
      </c>
      <c r="AW25" s="22">
        <v>6006</v>
      </c>
      <c r="AX25" s="22">
        <v>6001</v>
      </c>
      <c r="AY25" s="22">
        <v>6094</v>
      </c>
      <c r="AZ25" s="22">
        <v>6282</v>
      </c>
      <c r="BA25" s="22">
        <v>5994</v>
      </c>
      <c r="BB25" s="22">
        <v>5723</v>
      </c>
      <c r="BC25" s="22">
        <v>5635</v>
      </c>
      <c r="BD25" s="22">
        <v>5859</v>
      </c>
      <c r="BE25" s="22">
        <v>5899</v>
      </c>
      <c r="BF25" s="22">
        <v>5877</v>
      </c>
      <c r="BG25" s="22">
        <v>5605</v>
      </c>
      <c r="BH25" s="22">
        <v>5500</v>
      </c>
      <c r="BI25" s="22">
        <v>5792</v>
      </c>
      <c r="BJ25" s="22">
        <v>5850</v>
      </c>
      <c r="BK25" s="22">
        <v>5705</v>
      </c>
      <c r="BL25" s="22">
        <v>5621</v>
      </c>
    </row>
    <row r="26" spans="1:64" ht="15.95" customHeight="1">
      <c r="A26" s="81" t="s">
        <v>283</v>
      </c>
      <c r="B26" s="17" t="s">
        <v>102</v>
      </c>
      <c r="C26" s="26">
        <f>_xll.RssMarket("8591","始値")</f>
        <v>6403</v>
      </c>
      <c r="D26" s="25">
        <f t="shared" si="0"/>
        <v>0</v>
      </c>
      <c r="E26" s="22">
        <v>6403</v>
      </c>
      <c r="F26" s="22">
        <v>6204</v>
      </c>
      <c r="G26" s="22">
        <v>6236</v>
      </c>
      <c r="H26" s="22">
        <v>6150</v>
      </c>
      <c r="I26" s="22">
        <v>5971</v>
      </c>
      <c r="J26" s="22">
        <v>6300</v>
      </c>
      <c r="K26" s="22">
        <v>6032</v>
      </c>
      <c r="L26" s="22">
        <v>6282</v>
      </c>
      <c r="M26" s="22">
        <v>6290</v>
      </c>
      <c r="N26" s="22">
        <v>6242</v>
      </c>
      <c r="O26" s="22">
        <v>6110</v>
      </c>
      <c r="P26" s="22">
        <v>6088</v>
      </c>
      <c r="Q26" s="22">
        <v>6140</v>
      </c>
      <c r="R26" s="22">
        <v>6335</v>
      </c>
      <c r="S26" s="22">
        <v>6220</v>
      </c>
      <c r="T26" s="22">
        <v>6227</v>
      </c>
      <c r="U26" s="22">
        <v>6220</v>
      </c>
      <c r="V26" s="22">
        <v>6010</v>
      </c>
      <c r="W26" s="22">
        <v>5818</v>
      </c>
      <c r="X26" s="22">
        <v>5831</v>
      </c>
      <c r="Y26" s="22">
        <v>5750</v>
      </c>
      <c r="Z26" s="22">
        <v>5951</v>
      </c>
      <c r="AA26" s="22">
        <v>5886</v>
      </c>
      <c r="AB26" s="22">
        <v>5927</v>
      </c>
      <c r="AC26" s="22">
        <v>5350</v>
      </c>
      <c r="AD26" s="22">
        <v>5275</v>
      </c>
      <c r="AE26" s="22">
        <v>5252</v>
      </c>
      <c r="AF26" s="22">
        <v>5205</v>
      </c>
      <c r="AG26" s="22">
        <v>5190</v>
      </c>
      <c r="AH26" s="22">
        <v>5358</v>
      </c>
      <c r="AI26" s="22">
        <v>4810</v>
      </c>
      <c r="AJ26" s="22">
        <v>4878</v>
      </c>
      <c r="AK26" s="22">
        <v>4881</v>
      </c>
      <c r="AL26" s="22">
        <v>4969</v>
      </c>
      <c r="AM26" s="22">
        <v>5048</v>
      </c>
      <c r="AN26" s="22">
        <v>5022</v>
      </c>
      <c r="AO26" s="22">
        <v>5040</v>
      </c>
      <c r="AP26" s="22">
        <v>5090</v>
      </c>
      <c r="AQ26" s="22">
        <v>5046</v>
      </c>
      <c r="AR26" s="22">
        <v>4919</v>
      </c>
      <c r="AS26" s="22">
        <v>4844</v>
      </c>
      <c r="AT26" s="22">
        <v>4899</v>
      </c>
      <c r="AU26" s="22">
        <v>4934</v>
      </c>
      <c r="AV26" s="22">
        <v>4925</v>
      </c>
      <c r="AW26" s="22">
        <v>4743</v>
      </c>
      <c r="AX26" s="22">
        <v>4687</v>
      </c>
      <c r="AY26" s="22">
        <v>4719</v>
      </c>
      <c r="AZ26" s="22">
        <v>4824</v>
      </c>
      <c r="BA26" s="22">
        <v>4764</v>
      </c>
      <c r="BB26" s="22">
        <v>4578</v>
      </c>
      <c r="BC26" s="22">
        <v>4572</v>
      </c>
      <c r="BD26" s="22">
        <v>4751</v>
      </c>
      <c r="BE26" s="22">
        <v>4808</v>
      </c>
      <c r="BF26" s="22">
        <v>4804</v>
      </c>
      <c r="BG26" s="22">
        <v>4697</v>
      </c>
      <c r="BH26" s="22">
        <v>4650</v>
      </c>
      <c r="BI26" s="22">
        <v>4767</v>
      </c>
      <c r="BJ26" s="22">
        <v>4870</v>
      </c>
      <c r="BK26" s="22">
        <v>4832</v>
      </c>
      <c r="BL26" s="22">
        <v>4795</v>
      </c>
    </row>
    <row r="27" spans="1:64" ht="15.95" customHeight="1">
      <c r="A27" s="81" t="s">
        <v>284</v>
      </c>
      <c r="B27" s="17" t="s">
        <v>103</v>
      </c>
      <c r="C27" s="26">
        <f>_xll.RssMarket("3401","始値")</f>
        <v>1648.5</v>
      </c>
      <c r="D27" s="25">
        <f t="shared" si="0"/>
        <v>0</v>
      </c>
      <c r="E27" s="22">
        <v>1648.5</v>
      </c>
      <c r="F27" s="22">
        <v>1635</v>
      </c>
      <c r="G27" s="22">
        <v>1681.5</v>
      </c>
      <c r="H27" s="22">
        <v>1647.5</v>
      </c>
      <c r="I27" s="22">
        <v>1614</v>
      </c>
      <c r="J27" s="22">
        <v>1630</v>
      </c>
      <c r="K27" s="22">
        <v>1583</v>
      </c>
      <c r="L27" s="22">
        <v>1624.5</v>
      </c>
      <c r="M27" s="22">
        <v>1635</v>
      </c>
      <c r="N27" s="22">
        <v>1630</v>
      </c>
      <c r="O27" s="22">
        <v>1598</v>
      </c>
      <c r="P27" s="22">
        <v>1612</v>
      </c>
      <c r="Q27" s="22">
        <v>1613</v>
      </c>
      <c r="R27" s="22">
        <v>1635</v>
      </c>
      <c r="S27" s="22">
        <v>1608</v>
      </c>
      <c r="T27" s="22">
        <v>1605</v>
      </c>
      <c r="U27" s="22">
        <v>1629</v>
      </c>
      <c r="V27" s="22">
        <v>1632</v>
      </c>
      <c r="W27" s="22">
        <v>1635</v>
      </c>
      <c r="X27" s="22">
        <v>1677.5</v>
      </c>
      <c r="Y27" s="22">
        <v>1705.5</v>
      </c>
      <c r="Z27" s="22">
        <v>1747</v>
      </c>
      <c r="AA27" s="22">
        <v>1671.5</v>
      </c>
      <c r="AB27" s="22">
        <v>1620</v>
      </c>
      <c r="AC27" s="22">
        <v>1587.5</v>
      </c>
      <c r="AD27" s="22">
        <v>1608</v>
      </c>
      <c r="AE27" s="22">
        <v>1592</v>
      </c>
      <c r="AF27" s="22">
        <v>1566.5</v>
      </c>
      <c r="AG27" s="22">
        <v>4870</v>
      </c>
      <c r="AH27" s="22">
        <v>1589</v>
      </c>
      <c r="AI27" s="22">
        <v>4832</v>
      </c>
      <c r="AJ27" s="22">
        <v>1581</v>
      </c>
      <c r="AK27" s="22">
        <v>4795</v>
      </c>
      <c r="AL27" s="22">
        <v>1550.5</v>
      </c>
      <c r="AM27" s="22">
        <v>4700</v>
      </c>
      <c r="AN27" s="22">
        <v>1550</v>
      </c>
      <c r="AO27" s="22">
        <v>4890</v>
      </c>
      <c r="AP27" s="22">
        <v>1580.5</v>
      </c>
      <c r="AQ27" s="22">
        <v>5019</v>
      </c>
      <c r="AR27" s="22">
        <v>1597</v>
      </c>
      <c r="AS27" s="22">
        <v>4995</v>
      </c>
      <c r="AT27" s="22">
        <v>1573</v>
      </c>
      <c r="AU27" s="22">
        <v>4780</v>
      </c>
      <c r="AV27" s="22">
        <v>1547</v>
      </c>
      <c r="AW27" s="22">
        <v>4899</v>
      </c>
      <c r="AX27" s="22">
        <v>1627</v>
      </c>
      <c r="AY27" s="22">
        <v>5125</v>
      </c>
      <c r="AZ27" s="22">
        <v>1700</v>
      </c>
      <c r="BA27" s="22">
        <v>4955</v>
      </c>
      <c r="BB27" s="22">
        <v>1629</v>
      </c>
      <c r="BC27" s="22">
        <v>5330</v>
      </c>
      <c r="BD27" s="22">
        <v>1713.5</v>
      </c>
      <c r="BE27" s="22">
        <v>5443</v>
      </c>
      <c r="BF27" s="22">
        <v>1700</v>
      </c>
      <c r="BG27" s="22">
        <v>5518</v>
      </c>
      <c r="BH27" s="22">
        <v>1691</v>
      </c>
      <c r="BI27" s="22">
        <v>5551</v>
      </c>
      <c r="BJ27" s="22">
        <v>1681.5</v>
      </c>
      <c r="BK27" s="22">
        <v>5484</v>
      </c>
      <c r="BL27" s="22">
        <v>1695.5</v>
      </c>
    </row>
    <row r="28" spans="1:64" ht="15.95" customHeight="1">
      <c r="A28" s="81" t="s">
        <v>285</v>
      </c>
      <c r="B28" s="17" t="s">
        <v>104</v>
      </c>
      <c r="C28" s="26">
        <f>_xll.RssMarket("3436","始値")</f>
        <v>4015</v>
      </c>
      <c r="D28" s="25">
        <f t="shared" si="0"/>
        <v>0</v>
      </c>
      <c r="E28" s="22">
        <v>4015</v>
      </c>
      <c r="F28" s="22">
        <v>4315</v>
      </c>
      <c r="G28" s="22">
        <v>3863</v>
      </c>
      <c r="H28" s="22">
        <v>3600</v>
      </c>
      <c r="I28" s="22">
        <v>2993.5</v>
      </c>
      <c r="J28" s="22">
        <v>3221</v>
      </c>
      <c r="K28" s="22">
        <v>3675</v>
      </c>
      <c r="L28" s="22">
        <v>3946</v>
      </c>
      <c r="M28" s="22">
        <v>4361</v>
      </c>
      <c r="N28" s="22">
        <v>4411</v>
      </c>
      <c r="O28" s="22">
        <v>4350</v>
      </c>
      <c r="P28" s="22">
        <v>3720</v>
      </c>
      <c r="Q28" s="22">
        <v>3200</v>
      </c>
      <c r="R28" s="22">
        <v>3405</v>
      </c>
      <c r="S28" s="22">
        <v>3333</v>
      </c>
      <c r="T28" s="22">
        <v>3218</v>
      </c>
      <c r="U28" s="22">
        <v>3101</v>
      </c>
      <c r="V28" s="22">
        <v>3010</v>
      </c>
      <c r="W28" s="22">
        <v>2942</v>
      </c>
      <c r="X28" s="22">
        <v>3140</v>
      </c>
      <c r="Y28" s="22">
        <v>3287</v>
      </c>
      <c r="Z28" s="22">
        <v>3506</v>
      </c>
      <c r="AA28" s="22">
        <v>3130</v>
      </c>
      <c r="AB28" s="22">
        <v>3543</v>
      </c>
      <c r="AC28" s="22">
        <v>3468</v>
      </c>
      <c r="AD28" s="22">
        <v>3050</v>
      </c>
      <c r="AE28" s="22">
        <v>3033</v>
      </c>
      <c r="AF28" s="22">
        <v>2431.5</v>
      </c>
      <c r="AG28" s="22">
        <v>2620</v>
      </c>
      <c r="AH28" s="22">
        <v>2329.5</v>
      </c>
      <c r="AI28" s="22">
        <v>2323</v>
      </c>
      <c r="AJ28" s="22">
        <v>2163</v>
      </c>
      <c r="AK28" s="22">
        <v>2221</v>
      </c>
      <c r="AL28" s="22">
        <v>2248</v>
      </c>
      <c r="AM28" s="22">
        <v>2135</v>
      </c>
      <c r="AN28" s="22">
        <v>2100</v>
      </c>
      <c r="AO28" s="22">
        <v>2300</v>
      </c>
      <c r="AP28" s="22">
        <v>2275</v>
      </c>
      <c r="AQ28" s="22">
        <v>2196.5</v>
      </c>
      <c r="AR28" s="22">
        <v>2200</v>
      </c>
      <c r="AS28" s="22">
        <v>1999.5</v>
      </c>
      <c r="AT28" s="22">
        <v>2010</v>
      </c>
      <c r="AU28" s="22">
        <v>1934.5</v>
      </c>
      <c r="AV28" s="22">
        <v>1881.5</v>
      </c>
      <c r="AW28" s="22">
        <v>1765</v>
      </c>
      <c r="AX28" s="22">
        <v>1713.5</v>
      </c>
      <c r="AY28" s="22">
        <v>1784</v>
      </c>
      <c r="AZ28" s="22">
        <v>1770</v>
      </c>
      <c r="BA28" s="22">
        <v>1739.5</v>
      </c>
      <c r="BB28" s="22">
        <v>1680</v>
      </c>
      <c r="BC28" s="22">
        <v>1770.5</v>
      </c>
      <c r="BD28" s="22">
        <v>1838</v>
      </c>
      <c r="BE28" s="22">
        <v>1763</v>
      </c>
      <c r="BF28" s="22">
        <v>1743.5</v>
      </c>
      <c r="BG28" s="22">
        <v>1700</v>
      </c>
      <c r="BH28" s="22">
        <v>1642.5</v>
      </c>
      <c r="BI28" s="22">
        <v>1688.5</v>
      </c>
      <c r="BJ28" s="22">
        <v>1644</v>
      </c>
      <c r="BK28" s="22">
        <v>1659</v>
      </c>
      <c r="BL28" s="22">
        <v>1571.5</v>
      </c>
    </row>
    <row r="29" spans="1:64" ht="15.95" customHeight="1">
      <c r="A29" s="81" t="s">
        <v>286</v>
      </c>
      <c r="B29" s="17" t="s">
        <v>105</v>
      </c>
      <c r="C29" s="26">
        <f>_xll.RssMarket("5020","始値")</f>
        <v>1240</v>
      </c>
      <c r="D29" s="25">
        <f t="shared" si="0"/>
        <v>0</v>
      </c>
      <c r="E29" s="22">
        <v>1240</v>
      </c>
      <c r="F29" s="22">
        <v>1225</v>
      </c>
      <c r="G29" s="22">
        <v>1244</v>
      </c>
      <c r="H29" s="22">
        <v>1229.5</v>
      </c>
      <c r="I29" s="22">
        <v>1208.5</v>
      </c>
      <c r="J29" s="22">
        <v>1214.5</v>
      </c>
      <c r="K29" s="22">
        <v>1254.5</v>
      </c>
      <c r="L29" s="22">
        <v>1299</v>
      </c>
      <c r="M29" s="22">
        <v>1314.5</v>
      </c>
      <c r="N29" s="22">
        <v>1315</v>
      </c>
      <c r="O29" s="22">
        <v>1252</v>
      </c>
      <c r="P29" s="22">
        <v>1288.5</v>
      </c>
      <c r="Q29" s="22">
        <v>1281</v>
      </c>
      <c r="R29" s="22">
        <v>1292</v>
      </c>
      <c r="S29" s="22">
        <v>1296.5</v>
      </c>
      <c r="T29" s="22">
        <v>1303</v>
      </c>
      <c r="U29" s="22">
        <v>1313</v>
      </c>
      <c r="V29" s="22">
        <v>1361</v>
      </c>
      <c r="W29" s="22">
        <v>1370</v>
      </c>
      <c r="X29" s="22">
        <v>1381</v>
      </c>
      <c r="Y29" s="22">
        <v>1369</v>
      </c>
      <c r="Z29" s="22">
        <v>1341</v>
      </c>
      <c r="AA29" s="22">
        <v>1343</v>
      </c>
      <c r="AB29" s="22">
        <v>1357</v>
      </c>
      <c r="AC29" s="22">
        <v>1281</v>
      </c>
      <c r="AD29" s="22">
        <v>1293.5</v>
      </c>
      <c r="AE29" s="22">
        <v>1333</v>
      </c>
      <c r="AF29" s="22">
        <v>1306.5</v>
      </c>
      <c r="AG29" s="22">
        <v>1320</v>
      </c>
      <c r="AH29" s="22">
        <v>1302</v>
      </c>
      <c r="AI29" s="22">
        <v>1286</v>
      </c>
      <c r="AJ29" s="22">
        <v>1317</v>
      </c>
      <c r="AK29" s="22">
        <v>1310</v>
      </c>
      <c r="AL29" s="22">
        <v>1320</v>
      </c>
      <c r="AM29" s="22">
        <v>1344</v>
      </c>
      <c r="AN29" s="22">
        <v>1372</v>
      </c>
      <c r="AO29" s="22">
        <v>1410.5</v>
      </c>
      <c r="AP29" s="22">
        <v>1414</v>
      </c>
      <c r="AQ29" s="22">
        <v>1429.5</v>
      </c>
      <c r="AR29" s="22">
        <v>1419.5</v>
      </c>
      <c r="AS29" s="22">
        <v>1430.5</v>
      </c>
      <c r="AT29" s="22">
        <v>1450</v>
      </c>
      <c r="AU29" s="22">
        <v>1466.5</v>
      </c>
      <c r="AV29" s="22">
        <v>1519</v>
      </c>
      <c r="AW29" s="22">
        <v>1472</v>
      </c>
      <c r="AX29" s="22">
        <v>1456</v>
      </c>
      <c r="AY29" s="22">
        <v>1440</v>
      </c>
      <c r="AZ29" s="22">
        <v>1503</v>
      </c>
      <c r="BA29" s="22">
        <v>1449.5</v>
      </c>
      <c r="BB29" s="22">
        <v>1435</v>
      </c>
      <c r="BC29" s="22">
        <v>1390.5</v>
      </c>
      <c r="BD29" s="22">
        <v>1409</v>
      </c>
      <c r="BE29" s="22">
        <v>1403</v>
      </c>
      <c r="BF29" s="22">
        <v>1400</v>
      </c>
      <c r="BG29" s="22">
        <v>1350</v>
      </c>
      <c r="BH29" s="22">
        <v>1277.5</v>
      </c>
      <c r="BI29" s="22">
        <v>1407.5</v>
      </c>
      <c r="BJ29" s="22">
        <v>1380</v>
      </c>
      <c r="BK29" s="22">
        <v>1334.5</v>
      </c>
      <c r="BL29" s="22">
        <v>1375.5</v>
      </c>
    </row>
    <row r="30" spans="1:64" ht="15.95" customHeight="1">
      <c r="A30" s="81" t="s">
        <v>287</v>
      </c>
      <c r="B30" s="17" t="s">
        <v>106</v>
      </c>
      <c r="C30" s="26">
        <f>_xll.RssMarket("6254","始値")</f>
        <v>4500</v>
      </c>
      <c r="D30" s="25">
        <f t="shared" si="0"/>
        <v>0</v>
      </c>
      <c r="E30" s="22">
        <v>4500</v>
      </c>
      <c r="F30" s="22">
        <v>4615</v>
      </c>
      <c r="G30" s="22">
        <v>4590</v>
      </c>
      <c r="H30" s="22">
        <v>4090</v>
      </c>
      <c r="I30" s="22">
        <v>3800</v>
      </c>
      <c r="J30" s="22">
        <v>4065</v>
      </c>
      <c r="K30" s="22">
        <v>3980</v>
      </c>
      <c r="L30" s="22">
        <v>4385</v>
      </c>
      <c r="M30" s="22">
        <v>4315</v>
      </c>
      <c r="N30" s="22">
        <v>4400</v>
      </c>
      <c r="O30" s="22">
        <v>4545</v>
      </c>
      <c r="P30" s="22">
        <v>4850</v>
      </c>
      <c r="Q30" s="22">
        <v>4585</v>
      </c>
      <c r="R30" s="22">
        <v>5150</v>
      </c>
      <c r="S30" s="22">
        <v>5200</v>
      </c>
      <c r="T30" s="22">
        <v>4725</v>
      </c>
      <c r="U30" s="22">
        <v>4600</v>
      </c>
      <c r="V30" s="22">
        <v>4605</v>
      </c>
      <c r="W30" s="22">
        <v>4845</v>
      </c>
      <c r="X30" s="22">
        <v>5110</v>
      </c>
      <c r="Y30" s="22">
        <v>4845</v>
      </c>
      <c r="Z30" s="22">
        <v>4400</v>
      </c>
      <c r="AA30" s="22">
        <v>4420</v>
      </c>
      <c r="AB30" s="22">
        <v>4650</v>
      </c>
      <c r="AC30" s="22">
        <v>4550</v>
      </c>
      <c r="AD30" s="22">
        <v>4010</v>
      </c>
      <c r="AE30" s="22">
        <v>3900</v>
      </c>
      <c r="AF30" s="22">
        <v>3665</v>
      </c>
      <c r="AG30" s="22">
        <v>3715</v>
      </c>
      <c r="AH30" s="22">
        <v>3705</v>
      </c>
      <c r="AI30" s="22">
        <v>3660</v>
      </c>
      <c r="AJ30" s="22">
        <v>3720</v>
      </c>
      <c r="AK30" s="22">
        <v>3750</v>
      </c>
      <c r="AL30" s="22">
        <v>3820</v>
      </c>
      <c r="AM30" s="22">
        <v>3810</v>
      </c>
      <c r="AN30" s="22">
        <v>3785</v>
      </c>
      <c r="AO30" s="22">
        <v>3735</v>
      </c>
      <c r="AP30" s="22">
        <v>3660</v>
      </c>
      <c r="AQ30" s="22">
        <v>3670</v>
      </c>
      <c r="AR30" s="22">
        <v>3630</v>
      </c>
      <c r="AS30" s="22">
        <v>3565</v>
      </c>
      <c r="AT30" s="22">
        <v>3465</v>
      </c>
      <c r="AU30" s="22">
        <v>3380</v>
      </c>
      <c r="AV30" s="22">
        <v>3345</v>
      </c>
      <c r="AW30" s="22">
        <v>3200</v>
      </c>
      <c r="AX30" s="22">
        <v>3185</v>
      </c>
      <c r="AY30" s="22">
        <v>3250</v>
      </c>
      <c r="AZ30" s="22">
        <v>3345</v>
      </c>
      <c r="BA30" s="22">
        <v>3175</v>
      </c>
      <c r="BB30" s="22">
        <v>3060</v>
      </c>
      <c r="BC30" s="22">
        <v>3090</v>
      </c>
      <c r="BD30" s="22">
        <v>3150</v>
      </c>
      <c r="BE30" s="22">
        <v>3115</v>
      </c>
      <c r="BF30" s="22">
        <v>2798</v>
      </c>
      <c r="BG30" s="22">
        <v>2761</v>
      </c>
      <c r="BH30" s="22">
        <v>2688</v>
      </c>
      <c r="BI30" s="22">
        <v>2979</v>
      </c>
      <c r="BJ30" s="22">
        <v>2949</v>
      </c>
      <c r="BK30" s="22">
        <v>2944</v>
      </c>
      <c r="BL30" s="22">
        <v>2907</v>
      </c>
    </row>
    <row r="31" spans="1:64" ht="15.95" customHeight="1">
      <c r="A31" s="81" t="s">
        <v>288</v>
      </c>
      <c r="B31" s="17" t="s">
        <v>107</v>
      </c>
      <c r="C31" s="26">
        <f>_xll.RssMarket("8309","始値")</f>
        <v>6039</v>
      </c>
      <c r="D31" s="25">
        <f t="shared" si="0"/>
        <v>0</v>
      </c>
      <c r="E31" s="22">
        <v>6039</v>
      </c>
      <c r="F31" s="22">
        <v>5971</v>
      </c>
      <c r="G31" s="22">
        <v>6061</v>
      </c>
      <c r="H31" s="22">
        <v>5984</v>
      </c>
      <c r="I31" s="22">
        <v>5897</v>
      </c>
      <c r="J31" s="22">
        <v>5947</v>
      </c>
      <c r="K31" s="22">
        <v>5735</v>
      </c>
      <c r="L31" s="22">
        <v>5893</v>
      </c>
      <c r="M31" s="22">
        <v>5719</v>
      </c>
      <c r="N31" s="22">
        <v>5579</v>
      </c>
      <c r="O31" s="22">
        <v>5414</v>
      </c>
      <c r="P31" s="22">
        <v>5562</v>
      </c>
      <c r="Q31" s="22">
        <v>5585</v>
      </c>
      <c r="R31" s="22">
        <v>5620</v>
      </c>
      <c r="S31" s="22">
        <v>5607</v>
      </c>
      <c r="T31" s="22">
        <v>5691</v>
      </c>
      <c r="U31" s="22">
        <v>5740</v>
      </c>
      <c r="V31" s="22">
        <v>5800</v>
      </c>
      <c r="W31" s="22">
        <v>5564</v>
      </c>
      <c r="X31" s="22">
        <v>5614</v>
      </c>
      <c r="Y31" s="22">
        <v>5605</v>
      </c>
      <c r="Z31" s="22">
        <v>5650</v>
      </c>
      <c r="AA31" s="22">
        <v>5561</v>
      </c>
      <c r="AB31" s="22">
        <v>5540</v>
      </c>
      <c r="AC31" s="22">
        <v>5410</v>
      </c>
      <c r="AD31" s="22">
        <v>5480</v>
      </c>
      <c r="AE31" s="22">
        <v>5401</v>
      </c>
      <c r="AF31" s="22">
        <v>5278</v>
      </c>
      <c r="AG31" s="22">
        <v>5240</v>
      </c>
      <c r="AH31" s="22">
        <v>5164</v>
      </c>
      <c r="AI31" s="22">
        <v>5036</v>
      </c>
      <c r="AJ31" s="22">
        <v>5147</v>
      </c>
      <c r="AK31" s="22">
        <v>5117</v>
      </c>
      <c r="AL31" s="22">
        <v>5180</v>
      </c>
      <c r="AM31" s="22">
        <v>5285</v>
      </c>
      <c r="AN31" s="22">
        <v>5416</v>
      </c>
      <c r="AO31" s="22">
        <v>5465</v>
      </c>
      <c r="AP31" s="22">
        <v>5500</v>
      </c>
      <c r="AQ31" s="22">
        <v>5440</v>
      </c>
      <c r="AR31" s="22">
        <v>5407</v>
      </c>
      <c r="AS31" s="22">
        <v>5322</v>
      </c>
      <c r="AT31" s="22">
        <v>5327</v>
      </c>
      <c r="AU31" s="22">
        <v>5428</v>
      </c>
      <c r="AV31" s="22">
        <v>5376</v>
      </c>
      <c r="AW31" s="22">
        <v>5178</v>
      </c>
      <c r="AX31" s="22">
        <v>5140</v>
      </c>
      <c r="AY31" s="22">
        <v>5141</v>
      </c>
      <c r="AZ31" s="22">
        <v>5269</v>
      </c>
      <c r="BA31" s="22">
        <v>5140</v>
      </c>
      <c r="BB31" s="22">
        <v>4915</v>
      </c>
      <c r="BC31" s="22">
        <v>4853</v>
      </c>
      <c r="BD31" s="22">
        <v>5047</v>
      </c>
      <c r="BE31" s="22">
        <v>5160</v>
      </c>
      <c r="BF31" s="22">
        <v>5128</v>
      </c>
      <c r="BG31" s="22">
        <v>4986</v>
      </c>
      <c r="BH31" s="22">
        <v>4850</v>
      </c>
      <c r="BI31" s="22">
        <v>5050</v>
      </c>
      <c r="BJ31" s="22">
        <v>5040</v>
      </c>
      <c r="BK31" s="22">
        <v>4978</v>
      </c>
      <c r="BL31" s="22">
        <v>4920</v>
      </c>
    </row>
    <row r="32" spans="1:64" ht="15.95" customHeight="1">
      <c r="A32" s="81" t="s">
        <v>289</v>
      </c>
      <c r="B32" s="17" t="s">
        <v>108</v>
      </c>
      <c r="C32" s="26">
        <f>_xll.RssMarket("3863","始値")</f>
        <v>1245</v>
      </c>
      <c r="D32" s="25">
        <f t="shared" si="0"/>
        <v>0</v>
      </c>
      <c r="E32" s="22">
        <v>1245</v>
      </c>
      <c r="F32" s="22">
        <v>1246</v>
      </c>
      <c r="G32" s="22">
        <v>1230</v>
      </c>
      <c r="H32" s="22">
        <v>1214</v>
      </c>
      <c r="I32" s="22">
        <v>1200</v>
      </c>
      <c r="J32" s="22">
        <v>1230</v>
      </c>
      <c r="K32" s="22">
        <v>1214</v>
      </c>
      <c r="L32" s="22">
        <v>1176</v>
      </c>
      <c r="M32" s="22">
        <v>1198</v>
      </c>
      <c r="N32" s="22">
        <v>1200</v>
      </c>
      <c r="O32" s="22">
        <v>1219</v>
      </c>
      <c r="P32" s="22">
        <v>1360</v>
      </c>
      <c r="Q32" s="22">
        <v>1351</v>
      </c>
      <c r="R32" s="22">
        <v>1325</v>
      </c>
      <c r="S32" s="22">
        <v>1379</v>
      </c>
      <c r="T32" s="22">
        <v>1375</v>
      </c>
      <c r="U32" s="22">
        <v>1407</v>
      </c>
      <c r="V32" s="22">
        <v>1420</v>
      </c>
      <c r="W32" s="22">
        <v>1498</v>
      </c>
      <c r="X32" s="22">
        <v>1442</v>
      </c>
      <c r="Y32" s="22">
        <v>1497</v>
      </c>
      <c r="Z32" s="22">
        <v>1466</v>
      </c>
      <c r="AA32" s="22">
        <v>1567</v>
      </c>
      <c r="AB32" s="22">
        <v>1448</v>
      </c>
      <c r="AC32" s="22">
        <v>1460</v>
      </c>
      <c r="AD32" s="22">
        <v>1424</v>
      </c>
      <c r="AE32" s="22">
        <v>1374</v>
      </c>
      <c r="AF32" s="22">
        <v>1302</v>
      </c>
      <c r="AG32" s="22">
        <v>1255</v>
      </c>
      <c r="AH32" s="22">
        <v>1301</v>
      </c>
      <c r="AI32" s="22">
        <v>1432</v>
      </c>
      <c r="AJ32" s="22">
        <v>1419</v>
      </c>
      <c r="AK32" s="22">
        <v>1455</v>
      </c>
      <c r="AL32" s="22">
        <v>1495</v>
      </c>
      <c r="AM32" s="22">
        <v>1468</v>
      </c>
      <c r="AN32" s="22">
        <v>1440</v>
      </c>
      <c r="AO32" s="22">
        <v>1416</v>
      </c>
      <c r="AP32" s="22">
        <v>1374</v>
      </c>
      <c r="AQ32" s="22">
        <v>1332</v>
      </c>
      <c r="AR32" s="22">
        <v>1317</v>
      </c>
      <c r="AS32" s="22">
        <v>1323</v>
      </c>
      <c r="AT32" s="22">
        <v>1308</v>
      </c>
      <c r="AU32" s="22">
        <v>1337</v>
      </c>
      <c r="AV32" s="22">
        <v>1305</v>
      </c>
      <c r="AW32" s="22">
        <v>1290</v>
      </c>
      <c r="AX32" s="22">
        <v>1292</v>
      </c>
      <c r="AY32" s="22">
        <v>1289</v>
      </c>
      <c r="AZ32" s="22">
        <v>1276</v>
      </c>
      <c r="BA32" s="22">
        <v>1294</v>
      </c>
      <c r="BB32" s="22">
        <v>1264</v>
      </c>
      <c r="BC32" s="22">
        <v>1233</v>
      </c>
      <c r="BD32" s="22">
        <v>1247</v>
      </c>
      <c r="BE32" s="22">
        <v>1217</v>
      </c>
      <c r="BF32" s="22">
        <v>1218</v>
      </c>
      <c r="BG32" s="22">
        <v>1200</v>
      </c>
      <c r="BH32" s="22">
        <v>1180</v>
      </c>
      <c r="BI32" s="22">
        <v>1260</v>
      </c>
      <c r="BJ32" s="22">
        <v>1290</v>
      </c>
      <c r="BK32" s="22">
        <v>1274</v>
      </c>
      <c r="BL32" s="22">
        <v>1268</v>
      </c>
    </row>
    <row r="33" spans="1:64" ht="15.95" customHeight="1">
      <c r="A33" s="81" t="s">
        <v>290</v>
      </c>
      <c r="B33" s="17" t="s">
        <v>109</v>
      </c>
      <c r="C33" s="26">
        <f>_xll.RssMarket("8601","始値")</f>
        <v>1614</v>
      </c>
      <c r="D33" s="25">
        <f t="shared" si="0"/>
        <v>0</v>
      </c>
      <c r="E33" s="22">
        <v>1614</v>
      </c>
      <c r="F33" s="22">
        <v>1587.5</v>
      </c>
      <c r="G33" s="22">
        <v>1603.5</v>
      </c>
      <c r="H33" s="22">
        <v>1565</v>
      </c>
      <c r="I33" s="22">
        <v>1546</v>
      </c>
      <c r="J33" s="22">
        <v>1588</v>
      </c>
      <c r="K33" s="22">
        <v>1540</v>
      </c>
      <c r="L33" s="22">
        <v>1545</v>
      </c>
      <c r="M33" s="22">
        <v>1560</v>
      </c>
      <c r="N33" s="22">
        <v>1496</v>
      </c>
      <c r="O33" s="22">
        <v>1485</v>
      </c>
      <c r="P33" s="22">
        <v>1456</v>
      </c>
      <c r="Q33" s="22">
        <v>1462</v>
      </c>
      <c r="R33" s="22">
        <v>1488.5</v>
      </c>
      <c r="S33" s="22">
        <v>1511</v>
      </c>
      <c r="T33" s="22">
        <v>1499.5</v>
      </c>
      <c r="U33" s="22">
        <v>1504</v>
      </c>
      <c r="V33" s="22">
        <v>1484.5</v>
      </c>
      <c r="W33" s="22">
        <v>1478.5</v>
      </c>
      <c r="X33" s="22">
        <v>1474</v>
      </c>
      <c r="Y33" s="22">
        <v>1500</v>
      </c>
      <c r="Z33" s="22">
        <v>1468.5</v>
      </c>
      <c r="AA33" s="22">
        <v>1468</v>
      </c>
      <c r="AB33" s="22">
        <v>1441.5</v>
      </c>
      <c r="AC33" s="22">
        <v>1479.5</v>
      </c>
      <c r="AD33" s="22">
        <v>1491</v>
      </c>
      <c r="AE33" s="22">
        <v>1455</v>
      </c>
      <c r="AF33" s="22">
        <v>1450</v>
      </c>
      <c r="AG33" s="22">
        <v>1416.5</v>
      </c>
      <c r="AH33" s="22">
        <v>1485</v>
      </c>
      <c r="AI33" s="22">
        <v>1512</v>
      </c>
      <c r="AJ33" s="22">
        <v>1509</v>
      </c>
      <c r="AK33" s="22">
        <v>1524</v>
      </c>
      <c r="AL33" s="22">
        <v>1532</v>
      </c>
      <c r="AM33" s="22">
        <v>1536</v>
      </c>
      <c r="AN33" s="22">
        <v>1548</v>
      </c>
      <c r="AO33" s="22">
        <v>1589</v>
      </c>
      <c r="AP33" s="22">
        <v>1573</v>
      </c>
      <c r="AQ33" s="22">
        <v>1565</v>
      </c>
      <c r="AR33" s="22">
        <v>1531</v>
      </c>
      <c r="AS33" s="22">
        <v>1546.5</v>
      </c>
      <c r="AT33" s="22">
        <v>1578</v>
      </c>
      <c r="AU33" s="22">
        <v>1584.5</v>
      </c>
      <c r="AV33" s="22">
        <v>1512</v>
      </c>
      <c r="AW33" s="22">
        <v>1513.5</v>
      </c>
      <c r="AX33" s="22">
        <v>1530</v>
      </c>
      <c r="AY33" s="22">
        <v>1539.5</v>
      </c>
      <c r="AZ33" s="22">
        <v>1517.5</v>
      </c>
      <c r="BA33" s="22">
        <v>1497.5</v>
      </c>
      <c r="BB33" s="22">
        <v>1499</v>
      </c>
      <c r="BC33" s="22">
        <v>1558</v>
      </c>
      <c r="BD33" s="22">
        <v>1575.5</v>
      </c>
      <c r="BE33" s="22">
        <v>1540</v>
      </c>
      <c r="BF33" s="22">
        <v>1504</v>
      </c>
      <c r="BG33" s="22">
        <v>1454</v>
      </c>
      <c r="BH33" s="22">
        <v>1480</v>
      </c>
      <c r="BI33" s="22">
        <v>1493.5</v>
      </c>
      <c r="BJ33" s="22">
        <v>1460.5</v>
      </c>
      <c r="BK33" s="22">
        <v>1436</v>
      </c>
      <c r="BL33" s="22">
        <v>1420</v>
      </c>
    </row>
    <row r="34" spans="1:64" ht="15.95" customHeight="1">
      <c r="A34" s="81" t="s">
        <v>291</v>
      </c>
      <c r="B34" s="17" t="s">
        <v>110</v>
      </c>
      <c r="C34" s="26">
        <f>_xll.RssMarket("5233","始値")</f>
        <v>4367</v>
      </c>
      <c r="D34" s="25">
        <f t="shared" si="0"/>
        <v>0</v>
      </c>
      <c r="E34" s="22">
        <v>4367</v>
      </c>
      <c r="F34" s="22">
        <v>4383</v>
      </c>
      <c r="G34" s="22">
        <v>4303</v>
      </c>
      <c r="H34" s="22">
        <v>4145</v>
      </c>
      <c r="I34" s="22">
        <v>4016</v>
      </c>
      <c r="J34" s="22">
        <v>4169</v>
      </c>
      <c r="K34" s="22">
        <v>4264</v>
      </c>
      <c r="L34" s="22">
        <v>4403</v>
      </c>
      <c r="M34" s="22">
        <v>4448</v>
      </c>
      <c r="N34" s="22">
        <v>4403</v>
      </c>
      <c r="O34" s="22">
        <v>4402</v>
      </c>
      <c r="P34" s="22">
        <v>4475</v>
      </c>
      <c r="Q34" s="22">
        <v>4260</v>
      </c>
      <c r="R34" s="22">
        <v>4177</v>
      </c>
      <c r="S34" s="22">
        <v>4130</v>
      </c>
      <c r="T34" s="22">
        <v>4117</v>
      </c>
      <c r="U34" s="22">
        <v>4040</v>
      </c>
      <c r="V34" s="22">
        <v>3947</v>
      </c>
      <c r="W34" s="22">
        <v>3929</v>
      </c>
      <c r="X34" s="22">
        <v>3959</v>
      </c>
      <c r="Y34" s="22">
        <v>4064</v>
      </c>
      <c r="Z34" s="22">
        <v>4220</v>
      </c>
      <c r="AA34" s="22">
        <v>4201</v>
      </c>
      <c r="AB34" s="22">
        <v>3704</v>
      </c>
      <c r="AC34" s="22">
        <v>3554</v>
      </c>
      <c r="AD34" s="22">
        <v>3653</v>
      </c>
      <c r="AE34" s="22">
        <v>3624</v>
      </c>
      <c r="AF34" s="22">
        <v>3558</v>
      </c>
      <c r="AG34" s="22">
        <v>3533</v>
      </c>
      <c r="AH34" s="22">
        <v>3658</v>
      </c>
      <c r="AI34" s="22">
        <v>3562</v>
      </c>
      <c r="AJ34" s="22">
        <v>3539</v>
      </c>
      <c r="AK34" s="22">
        <v>3584</v>
      </c>
      <c r="AL34" s="22">
        <v>3672</v>
      </c>
      <c r="AM34" s="22">
        <v>3705</v>
      </c>
      <c r="AN34" s="22">
        <v>3715</v>
      </c>
      <c r="AO34" s="22">
        <v>3707</v>
      </c>
      <c r="AP34" s="22">
        <v>3673</v>
      </c>
      <c r="AQ34" s="22">
        <v>3688</v>
      </c>
      <c r="AR34" s="22">
        <v>3760</v>
      </c>
      <c r="AS34" s="22">
        <v>3694</v>
      </c>
      <c r="AT34" s="22">
        <v>3705</v>
      </c>
      <c r="AU34" s="22">
        <v>3779</v>
      </c>
      <c r="AV34" s="22">
        <v>3666</v>
      </c>
      <c r="AW34" s="22">
        <v>3559</v>
      </c>
      <c r="AX34" s="22">
        <v>3554</v>
      </c>
      <c r="AY34" s="22">
        <v>3528</v>
      </c>
      <c r="AZ34" s="22">
        <v>3639</v>
      </c>
      <c r="BA34" s="22">
        <v>3620</v>
      </c>
      <c r="BB34" s="22">
        <v>3415</v>
      </c>
      <c r="BC34" s="22">
        <v>3350</v>
      </c>
      <c r="BD34" s="22">
        <v>3539</v>
      </c>
      <c r="BE34" s="22">
        <v>3557</v>
      </c>
      <c r="BF34" s="22">
        <v>3565</v>
      </c>
      <c r="BG34" s="22">
        <v>3402</v>
      </c>
      <c r="BH34" s="22">
        <v>3316</v>
      </c>
      <c r="BI34" s="22">
        <v>3626</v>
      </c>
      <c r="BJ34" s="22">
        <v>3710</v>
      </c>
      <c r="BK34" s="22">
        <v>3699</v>
      </c>
      <c r="BL34" s="22">
        <v>3700</v>
      </c>
    </row>
    <row r="35" spans="1:64" ht="15.95" customHeight="1">
      <c r="A35" s="81" t="s">
        <v>292</v>
      </c>
      <c r="B35" s="17" t="s">
        <v>111</v>
      </c>
      <c r="C35" s="26">
        <f>_xll.RssMarket("8308","始値")</f>
        <v>2222.5</v>
      </c>
      <c r="D35" s="25">
        <f t="shared" si="0"/>
        <v>0</v>
      </c>
      <c r="E35" s="22">
        <v>2222.5</v>
      </c>
      <c r="F35" s="22">
        <v>2170.5</v>
      </c>
      <c r="G35" s="22">
        <v>2210.5</v>
      </c>
      <c r="H35" s="22">
        <v>2168</v>
      </c>
      <c r="I35" s="22">
        <v>2111</v>
      </c>
      <c r="J35" s="22">
        <v>2150</v>
      </c>
      <c r="K35" s="22">
        <v>2080.5</v>
      </c>
      <c r="L35" s="22">
        <v>2123.5</v>
      </c>
      <c r="M35" s="22">
        <v>2085.5</v>
      </c>
      <c r="N35" s="22">
        <v>2035</v>
      </c>
      <c r="O35" s="22">
        <v>1998.5</v>
      </c>
      <c r="P35" s="22">
        <v>2045</v>
      </c>
      <c r="Q35" s="22">
        <v>2031.5</v>
      </c>
      <c r="R35" s="22">
        <v>2061</v>
      </c>
      <c r="S35" s="22">
        <v>2121.5</v>
      </c>
      <c r="T35" s="22">
        <v>2131.5</v>
      </c>
      <c r="U35" s="22">
        <v>2072</v>
      </c>
      <c r="V35" s="22">
        <v>2128</v>
      </c>
      <c r="W35" s="22">
        <v>2039.5</v>
      </c>
      <c r="X35" s="22">
        <v>2051.5</v>
      </c>
      <c r="Y35" s="22">
        <v>2065</v>
      </c>
      <c r="Z35" s="22">
        <v>2041.5</v>
      </c>
      <c r="AA35" s="22">
        <v>2043</v>
      </c>
      <c r="AB35" s="22">
        <v>2026.5</v>
      </c>
      <c r="AC35" s="22">
        <v>1952.5</v>
      </c>
      <c r="AD35" s="22">
        <v>1962</v>
      </c>
      <c r="AE35" s="22">
        <v>2000</v>
      </c>
      <c r="AF35" s="22">
        <v>1916</v>
      </c>
      <c r="AG35" s="22">
        <v>1900</v>
      </c>
      <c r="AH35" s="22">
        <v>1868</v>
      </c>
      <c r="AI35" s="22">
        <v>1808</v>
      </c>
      <c r="AJ35" s="22">
        <v>1834.5</v>
      </c>
      <c r="AK35" s="22">
        <v>1830</v>
      </c>
      <c r="AL35" s="22">
        <v>1891</v>
      </c>
      <c r="AM35" s="22">
        <v>1950</v>
      </c>
      <c r="AN35" s="22">
        <v>2006</v>
      </c>
      <c r="AO35" s="22">
        <v>1949.5</v>
      </c>
      <c r="AP35" s="22">
        <v>1959.5</v>
      </c>
      <c r="AQ35" s="22">
        <v>1943</v>
      </c>
      <c r="AR35" s="22">
        <v>1906</v>
      </c>
      <c r="AS35" s="22">
        <v>1880</v>
      </c>
      <c r="AT35" s="22">
        <v>1897</v>
      </c>
      <c r="AU35" s="22">
        <v>1925</v>
      </c>
      <c r="AV35" s="22">
        <v>1973</v>
      </c>
      <c r="AW35" s="22">
        <v>1864</v>
      </c>
      <c r="AX35" s="22">
        <v>1828.5</v>
      </c>
      <c r="AY35" s="22">
        <v>1838</v>
      </c>
      <c r="AZ35" s="22">
        <v>1909.5</v>
      </c>
      <c r="BA35" s="22">
        <v>1818</v>
      </c>
      <c r="BB35" s="22">
        <v>1712</v>
      </c>
      <c r="BC35" s="22">
        <v>1691.5</v>
      </c>
      <c r="BD35" s="22">
        <v>1808.5</v>
      </c>
      <c r="BE35" s="22">
        <v>1850.5</v>
      </c>
      <c r="BF35" s="22">
        <v>1809.5</v>
      </c>
      <c r="BG35" s="22">
        <v>1774</v>
      </c>
      <c r="BH35" s="22">
        <v>1663</v>
      </c>
      <c r="BI35" s="22">
        <v>1785</v>
      </c>
      <c r="BJ35" s="22">
        <v>1761</v>
      </c>
      <c r="BK35" s="22">
        <v>1752</v>
      </c>
      <c r="BL35" s="22">
        <v>1729.5</v>
      </c>
    </row>
    <row r="36" spans="1:64" ht="15.95" customHeight="1">
      <c r="A36" s="81" t="s">
        <v>293</v>
      </c>
      <c r="B36" s="17" t="s">
        <v>112</v>
      </c>
      <c r="C36" s="26">
        <f>_xll.RssMarket("5938","始値")</f>
        <v>1728</v>
      </c>
      <c r="D36" s="25">
        <f t="shared" si="0"/>
        <v>0</v>
      </c>
      <c r="E36" s="22">
        <v>1728</v>
      </c>
      <c r="F36" s="22">
        <v>1734</v>
      </c>
      <c r="G36" s="22">
        <v>1730</v>
      </c>
      <c r="H36" s="22">
        <v>1738</v>
      </c>
      <c r="I36" s="22">
        <v>1720</v>
      </c>
      <c r="J36" s="22">
        <v>1721.5</v>
      </c>
      <c r="K36" s="22">
        <v>1705</v>
      </c>
      <c r="L36" s="22">
        <v>1708</v>
      </c>
      <c r="M36" s="22">
        <v>1707</v>
      </c>
      <c r="N36" s="22">
        <v>1688</v>
      </c>
      <c r="O36" s="22">
        <v>1686</v>
      </c>
      <c r="P36" s="22">
        <v>1696</v>
      </c>
      <c r="Q36" s="22">
        <v>1682</v>
      </c>
      <c r="R36" s="22">
        <v>1654</v>
      </c>
      <c r="S36" s="22">
        <v>1645</v>
      </c>
      <c r="T36" s="22">
        <v>1639.5</v>
      </c>
      <c r="U36" s="22">
        <v>1645</v>
      </c>
      <c r="V36" s="22">
        <v>1649</v>
      </c>
      <c r="W36" s="22">
        <v>1675</v>
      </c>
      <c r="X36" s="22">
        <v>1660</v>
      </c>
      <c r="Y36" s="22">
        <v>1670</v>
      </c>
      <c r="Z36" s="22">
        <v>1678</v>
      </c>
      <c r="AA36" s="22">
        <v>1670.5</v>
      </c>
      <c r="AB36" s="22">
        <v>1702</v>
      </c>
      <c r="AC36" s="22">
        <v>1696</v>
      </c>
      <c r="AD36" s="22">
        <v>1664</v>
      </c>
      <c r="AE36" s="22">
        <v>1621</v>
      </c>
      <c r="AF36" s="22">
        <v>1603.5</v>
      </c>
      <c r="AG36" s="22">
        <v>1610</v>
      </c>
      <c r="AH36" s="22">
        <v>1606</v>
      </c>
      <c r="AI36" s="22">
        <v>1620.5</v>
      </c>
      <c r="AJ36" s="22">
        <v>1615</v>
      </c>
      <c r="AK36" s="22">
        <v>1636</v>
      </c>
      <c r="AL36" s="22">
        <v>1654.5</v>
      </c>
      <c r="AM36" s="22">
        <v>1635.5</v>
      </c>
      <c r="AN36" s="22">
        <v>1624.5</v>
      </c>
      <c r="AO36" s="22">
        <v>1620</v>
      </c>
      <c r="AP36" s="22">
        <v>1611</v>
      </c>
      <c r="AQ36" s="22">
        <v>1614.5</v>
      </c>
      <c r="AR36" s="22">
        <v>1663</v>
      </c>
      <c r="AS36" s="22">
        <v>1661.5</v>
      </c>
      <c r="AT36" s="22">
        <v>1679</v>
      </c>
      <c r="AU36" s="22">
        <v>1669</v>
      </c>
      <c r="AV36" s="22">
        <v>1644.5</v>
      </c>
      <c r="AW36" s="22">
        <v>1646.5</v>
      </c>
      <c r="AX36" s="22">
        <v>1630</v>
      </c>
      <c r="AY36" s="22">
        <v>1656</v>
      </c>
      <c r="AZ36" s="22">
        <v>1650</v>
      </c>
      <c r="BA36" s="22">
        <v>1624</v>
      </c>
      <c r="BB36" s="22">
        <v>1611</v>
      </c>
      <c r="BC36" s="22">
        <v>1700</v>
      </c>
      <c r="BD36" s="22">
        <v>1703</v>
      </c>
      <c r="BE36" s="22">
        <v>1690</v>
      </c>
      <c r="BF36" s="22">
        <v>1664</v>
      </c>
      <c r="BG36" s="22">
        <v>1657.5</v>
      </c>
      <c r="BH36" s="22">
        <v>1711</v>
      </c>
      <c r="BI36" s="22">
        <v>1709.5</v>
      </c>
      <c r="BJ36" s="22">
        <v>1700</v>
      </c>
      <c r="BK36" s="22">
        <v>1700.5</v>
      </c>
      <c r="BL36" s="22">
        <v>1714</v>
      </c>
    </row>
    <row r="37" spans="1:64" ht="15.95" customHeight="1">
      <c r="A37" s="81" t="s">
        <v>294</v>
      </c>
      <c r="B37" s="17" t="s">
        <v>113</v>
      </c>
      <c r="C37" s="26">
        <f>_xll.RssMarket("8570","始値")</f>
        <v>1514</v>
      </c>
      <c r="D37" s="25">
        <f t="shared" si="0"/>
        <v>0</v>
      </c>
      <c r="E37" s="22">
        <v>1514</v>
      </c>
      <c r="F37" s="22">
        <v>1498</v>
      </c>
      <c r="G37" s="22">
        <v>1520</v>
      </c>
      <c r="H37" s="22">
        <v>1506</v>
      </c>
      <c r="I37" s="22">
        <v>1506.5</v>
      </c>
      <c r="J37" s="22">
        <v>1487</v>
      </c>
      <c r="K37" s="22">
        <v>1458</v>
      </c>
      <c r="L37" s="22">
        <v>1451.5</v>
      </c>
      <c r="M37" s="22">
        <v>1452</v>
      </c>
      <c r="N37" s="22">
        <v>1463</v>
      </c>
      <c r="O37" s="22">
        <v>1438</v>
      </c>
      <c r="P37" s="22">
        <v>1520</v>
      </c>
      <c r="Q37" s="22">
        <v>1536</v>
      </c>
      <c r="R37" s="22">
        <v>1530.5</v>
      </c>
      <c r="S37" s="22">
        <v>1550</v>
      </c>
      <c r="T37" s="22">
        <v>1592.5</v>
      </c>
      <c r="U37" s="22">
        <v>1593</v>
      </c>
      <c r="V37" s="22">
        <v>1590</v>
      </c>
      <c r="W37" s="22">
        <v>1584</v>
      </c>
      <c r="X37" s="22">
        <v>1570</v>
      </c>
      <c r="Y37" s="22">
        <v>1568</v>
      </c>
      <c r="Z37" s="22">
        <v>1560</v>
      </c>
      <c r="AA37" s="22">
        <v>1548.5</v>
      </c>
      <c r="AB37" s="22">
        <v>1515</v>
      </c>
      <c r="AC37" s="22">
        <v>1531</v>
      </c>
      <c r="AD37" s="22">
        <v>1560</v>
      </c>
      <c r="AE37" s="22">
        <v>1548</v>
      </c>
      <c r="AF37" s="22">
        <v>1540</v>
      </c>
      <c r="AG37" s="22">
        <v>1535.5</v>
      </c>
      <c r="AH37" s="22">
        <v>1561</v>
      </c>
      <c r="AI37" s="22">
        <v>1549.5</v>
      </c>
      <c r="AJ37" s="22">
        <v>1544</v>
      </c>
      <c r="AK37" s="22">
        <v>1569</v>
      </c>
      <c r="AL37" s="22">
        <v>1573</v>
      </c>
      <c r="AM37" s="22">
        <v>1606</v>
      </c>
      <c r="AN37" s="22">
        <v>1633</v>
      </c>
      <c r="AO37" s="22">
        <v>1617</v>
      </c>
      <c r="AP37" s="22">
        <v>1612</v>
      </c>
      <c r="AQ37" s="22">
        <v>1520</v>
      </c>
      <c r="AR37" s="22">
        <v>1534</v>
      </c>
      <c r="AS37" s="22">
        <v>1501.5</v>
      </c>
      <c r="AT37" s="22">
        <v>1653.5</v>
      </c>
      <c r="AU37" s="22">
        <v>1621.5</v>
      </c>
      <c r="AV37" s="22">
        <v>1622</v>
      </c>
      <c r="AW37" s="22">
        <v>1615</v>
      </c>
      <c r="AX37" s="22">
        <v>1620</v>
      </c>
      <c r="AY37" s="22">
        <v>1596.5</v>
      </c>
      <c r="AZ37" s="22">
        <v>1560.5</v>
      </c>
      <c r="BA37" s="22">
        <v>1515</v>
      </c>
      <c r="BB37" s="22">
        <v>1584.5</v>
      </c>
      <c r="BC37" s="22">
        <v>1594.5</v>
      </c>
      <c r="BD37" s="22">
        <v>1596</v>
      </c>
      <c r="BE37" s="22">
        <v>1580</v>
      </c>
      <c r="BF37" s="22">
        <v>1550</v>
      </c>
      <c r="BG37" s="22">
        <v>1588</v>
      </c>
      <c r="BH37" s="22">
        <v>1589.5</v>
      </c>
      <c r="BI37" s="22">
        <v>1587</v>
      </c>
      <c r="BJ37" s="22">
        <v>1566</v>
      </c>
      <c r="BK37" s="22">
        <v>1545</v>
      </c>
      <c r="BL37" s="22">
        <v>1592.5</v>
      </c>
    </row>
    <row r="38" spans="1:64" ht="15.95" customHeight="1">
      <c r="A38" s="81" t="s">
        <v>295</v>
      </c>
      <c r="B38" s="17" t="s">
        <v>114</v>
      </c>
      <c r="C38" s="26">
        <f>_xll.RssMarket("5406","始値")</f>
        <v>1989.5</v>
      </c>
      <c r="D38" s="25">
        <f t="shared" si="0"/>
        <v>0</v>
      </c>
      <c r="E38" s="22">
        <v>1989.5</v>
      </c>
      <c r="F38" s="22">
        <v>2000</v>
      </c>
      <c r="G38" s="22">
        <v>1970</v>
      </c>
      <c r="H38" s="22">
        <v>1930</v>
      </c>
      <c r="I38" s="22">
        <v>1900</v>
      </c>
      <c r="J38" s="22">
        <v>1922</v>
      </c>
      <c r="K38" s="22">
        <v>1909.5</v>
      </c>
      <c r="L38" s="22">
        <v>1950</v>
      </c>
      <c r="M38" s="22">
        <v>1951.5</v>
      </c>
      <c r="N38" s="22">
        <v>1960.5</v>
      </c>
      <c r="O38" s="22">
        <v>1941.5</v>
      </c>
      <c r="P38" s="22">
        <v>1960</v>
      </c>
      <c r="Q38" s="22">
        <v>1985</v>
      </c>
      <c r="R38" s="22">
        <v>1986</v>
      </c>
      <c r="S38" s="22">
        <v>1969</v>
      </c>
      <c r="T38" s="22">
        <v>1948</v>
      </c>
      <c r="U38" s="22">
        <v>1907</v>
      </c>
      <c r="V38" s="22">
        <v>1917.5</v>
      </c>
      <c r="W38" s="22">
        <v>1904</v>
      </c>
      <c r="X38" s="22">
        <v>1951</v>
      </c>
      <c r="Y38" s="22">
        <v>1960</v>
      </c>
      <c r="Z38" s="22">
        <v>1967</v>
      </c>
      <c r="AA38" s="22">
        <v>1996.5</v>
      </c>
      <c r="AB38" s="22">
        <v>2002.5</v>
      </c>
      <c r="AC38" s="22">
        <v>1935</v>
      </c>
      <c r="AD38" s="22">
        <v>1967</v>
      </c>
      <c r="AE38" s="22">
        <v>1975</v>
      </c>
      <c r="AF38" s="22">
        <v>1910</v>
      </c>
      <c r="AG38" s="22">
        <v>1878</v>
      </c>
      <c r="AH38" s="22">
        <v>1876</v>
      </c>
      <c r="AI38" s="22">
        <v>1850</v>
      </c>
      <c r="AJ38" s="22">
        <v>1848</v>
      </c>
      <c r="AK38" s="22">
        <v>1866</v>
      </c>
      <c r="AL38" s="22">
        <v>1900</v>
      </c>
      <c r="AM38" s="22">
        <v>1937</v>
      </c>
      <c r="AN38" s="22">
        <v>1944</v>
      </c>
      <c r="AO38" s="22">
        <v>1938</v>
      </c>
      <c r="AP38" s="22">
        <v>1945</v>
      </c>
      <c r="AQ38" s="22">
        <v>1939</v>
      </c>
      <c r="AR38" s="22">
        <v>1969</v>
      </c>
      <c r="AS38" s="22">
        <v>1943</v>
      </c>
      <c r="AT38" s="22">
        <v>1963</v>
      </c>
      <c r="AU38" s="22">
        <v>1981</v>
      </c>
      <c r="AV38" s="22">
        <v>1977.5</v>
      </c>
      <c r="AW38" s="22">
        <v>1938</v>
      </c>
      <c r="AX38" s="22">
        <v>1944</v>
      </c>
      <c r="AY38" s="22">
        <v>1945</v>
      </c>
      <c r="AZ38" s="22">
        <v>1959.5</v>
      </c>
      <c r="BA38" s="22">
        <v>1940</v>
      </c>
      <c r="BB38" s="22">
        <v>1881.5</v>
      </c>
      <c r="BC38" s="22">
        <v>1887.5</v>
      </c>
      <c r="BD38" s="22">
        <v>1939.5</v>
      </c>
      <c r="BE38" s="22">
        <v>1970</v>
      </c>
      <c r="BF38" s="22">
        <v>1999</v>
      </c>
      <c r="BG38" s="22">
        <v>1994</v>
      </c>
      <c r="BH38" s="22">
        <v>1985</v>
      </c>
      <c r="BI38" s="22">
        <v>2012</v>
      </c>
      <c r="BJ38" s="22">
        <v>2030</v>
      </c>
      <c r="BK38" s="22">
        <v>2010</v>
      </c>
      <c r="BL38" s="22">
        <v>2004</v>
      </c>
    </row>
    <row r="39" spans="1:64" ht="15.95" customHeight="1">
      <c r="A39" s="81" t="s">
        <v>296</v>
      </c>
      <c r="B39" s="17" t="s">
        <v>115</v>
      </c>
      <c r="C39" s="26">
        <f>_xll.RssMarket("8593","始値")</f>
        <v>1330</v>
      </c>
      <c r="D39" s="25">
        <f t="shared" si="0"/>
        <v>0</v>
      </c>
      <c r="E39" s="22">
        <v>1330</v>
      </c>
      <c r="F39" s="22">
        <v>1332.5</v>
      </c>
      <c r="G39" s="22">
        <v>1330</v>
      </c>
      <c r="H39" s="22">
        <v>1318</v>
      </c>
      <c r="I39" s="22">
        <v>1325.5</v>
      </c>
      <c r="J39" s="22">
        <v>1321</v>
      </c>
      <c r="K39" s="22">
        <v>1272.5</v>
      </c>
      <c r="L39" s="22">
        <v>1274</v>
      </c>
      <c r="M39" s="22">
        <v>1267</v>
      </c>
      <c r="N39" s="22">
        <v>1266</v>
      </c>
      <c r="O39" s="22">
        <v>1250.5</v>
      </c>
      <c r="P39" s="22">
        <v>1309</v>
      </c>
      <c r="Q39" s="22">
        <v>1312.5</v>
      </c>
      <c r="R39" s="22">
        <v>1339</v>
      </c>
      <c r="S39" s="22">
        <v>1319</v>
      </c>
      <c r="T39" s="22">
        <v>1330</v>
      </c>
      <c r="U39" s="22">
        <v>1350</v>
      </c>
      <c r="V39" s="22">
        <v>1354.5</v>
      </c>
      <c r="W39" s="22">
        <v>1349</v>
      </c>
      <c r="X39" s="22">
        <v>1379</v>
      </c>
      <c r="Y39" s="22">
        <v>1432</v>
      </c>
      <c r="Z39" s="22">
        <v>1435</v>
      </c>
      <c r="AA39" s="22">
        <v>1440</v>
      </c>
      <c r="AB39" s="22">
        <v>1430</v>
      </c>
      <c r="AC39" s="22">
        <v>1403</v>
      </c>
      <c r="AD39" s="22">
        <v>1405</v>
      </c>
      <c r="AE39" s="22">
        <v>1413.5</v>
      </c>
      <c r="AF39" s="22">
        <v>1407</v>
      </c>
      <c r="AG39" s="22">
        <v>1434</v>
      </c>
      <c r="AH39" s="22">
        <v>1435</v>
      </c>
      <c r="AI39" s="22">
        <v>1405</v>
      </c>
      <c r="AJ39" s="22">
        <v>1415.5</v>
      </c>
      <c r="AK39" s="22">
        <v>1405</v>
      </c>
      <c r="AL39" s="22">
        <v>1435.5</v>
      </c>
      <c r="AM39" s="22">
        <v>1460</v>
      </c>
      <c r="AN39" s="22">
        <v>1461.5</v>
      </c>
      <c r="AO39" s="22">
        <v>1473.5</v>
      </c>
      <c r="AP39" s="22">
        <v>1474</v>
      </c>
      <c r="AQ39" s="22">
        <v>1468</v>
      </c>
      <c r="AR39" s="22">
        <v>1477</v>
      </c>
      <c r="AS39" s="22">
        <v>1468</v>
      </c>
      <c r="AT39" s="22">
        <v>1480.5</v>
      </c>
      <c r="AU39" s="22">
        <v>1508</v>
      </c>
      <c r="AV39" s="22">
        <v>1510</v>
      </c>
      <c r="AW39" s="22">
        <v>1481</v>
      </c>
      <c r="AX39" s="22">
        <v>1475</v>
      </c>
      <c r="AY39" s="22">
        <v>1461</v>
      </c>
      <c r="AZ39" s="22">
        <v>1466</v>
      </c>
      <c r="BA39" s="22">
        <v>1431</v>
      </c>
      <c r="BB39" s="22">
        <v>1406</v>
      </c>
      <c r="BC39" s="22">
        <v>1384</v>
      </c>
      <c r="BD39" s="22">
        <v>1445</v>
      </c>
      <c r="BE39" s="22">
        <v>1460</v>
      </c>
      <c r="BF39" s="22">
        <v>1445</v>
      </c>
      <c r="BG39" s="22">
        <v>1424.5</v>
      </c>
      <c r="BH39" s="22">
        <v>1412.5</v>
      </c>
      <c r="BI39" s="22">
        <v>1440</v>
      </c>
      <c r="BJ39" s="22">
        <v>1445</v>
      </c>
      <c r="BK39" s="22">
        <v>1427</v>
      </c>
      <c r="BL39" s="22">
        <v>1414.5</v>
      </c>
    </row>
    <row r="40" spans="1:64" ht="15.95" customHeight="1">
      <c r="A40" s="81" t="s">
        <v>297</v>
      </c>
      <c r="B40" s="17" t="s">
        <v>116</v>
      </c>
      <c r="C40" s="26">
        <f>_xll.RssMarket("8604","始値")</f>
        <v>1430</v>
      </c>
      <c r="D40" s="25">
        <f t="shared" si="0"/>
        <v>0</v>
      </c>
      <c r="E40" s="22">
        <v>1430</v>
      </c>
      <c r="F40" s="22">
        <v>1374.5</v>
      </c>
      <c r="G40" s="22">
        <v>1408</v>
      </c>
      <c r="H40" s="22">
        <v>1375</v>
      </c>
      <c r="I40" s="22">
        <v>1357</v>
      </c>
      <c r="J40" s="22">
        <v>1414</v>
      </c>
      <c r="K40" s="22">
        <v>1331</v>
      </c>
      <c r="L40" s="22">
        <v>1375.5</v>
      </c>
      <c r="M40" s="22">
        <v>1355.5</v>
      </c>
      <c r="N40" s="22">
        <v>1324</v>
      </c>
      <c r="O40" s="22">
        <v>1296.5</v>
      </c>
      <c r="P40" s="22">
        <v>1265</v>
      </c>
      <c r="Q40" s="22">
        <v>1250</v>
      </c>
      <c r="R40" s="22">
        <v>1251.5</v>
      </c>
      <c r="S40" s="22">
        <v>1293.5</v>
      </c>
      <c r="T40" s="22">
        <v>1309.5</v>
      </c>
      <c r="U40" s="22">
        <v>1270</v>
      </c>
      <c r="V40" s="22">
        <v>1276</v>
      </c>
      <c r="W40" s="22">
        <v>1267</v>
      </c>
      <c r="X40" s="22">
        <v>1265</v>
      </c>
      <c r="Y40" s="22">
        <v>1270.5</v>
      </c>
      <c r="Z40" s="22">
        <v>1287</v>
      </c>
      <c r="AA40" s="22">
        <v>1245</v>
      </c>
      <c r="AB40" s="22">
        <v>1233</v>
      </c>
      <c r="AC40" s="22">
        <v>1220</v>
      </c>
      <c r="AD40" s="22">
        <v>1243.5</v>
      </c>
      <c r="AE40" s="22">
        <v>1230</v>
      </c>
      <c r="AF40" s="22">
        <v>1244.5</v>
      </c>
      <c r="AG40" s="22">
        <v>1249</v>
      </c>
      <c r="AH40" s="22">
        <v>1255</v>
      </c>
      <c r="AI40" s="22">
        <v>1246</v>
      </c>
      <c r="AJ40" s="22">
        <v>1330</v>
      </c>
      <c r="AK40" s="22">
        <v>1332.5</v>
      </c>
      <c r="AL40" s="22">
        <v>1348</v>
      </c>
      <c r="AM40" s="22">
        <v>1345</v>
      </c>
      <c r="AN40" s="22">
        <v>1340.5</v>
      </c>
      <c r="AO40" s="22">
        <v>1357.5</v>
      </c>
      <c r="AP40" s="22">
        <v>1431</v>
      </c>
      <c r="AQ40" s="22">
        <v>1356.5</v>
      </c>
      <c r="AR40" s="22">
        <v>1330.5</v>
      </c>
      <c r="AS40" s="22">
        <v>1307</v>
      </c>
      <c r="AT40" s="22">
        <v>1322</v>
      </c>
      <c r="AU40" s="22">
        <v>1336.5</v>
      </c>
      <c r="AV40" s="22">
        <v>1333</v>
      </c>
      <c r="AW40" s="22">
        <v>1279.5</v>
      </c>
      <c r="AX40" s="22">
        <v>1258</v>
      </c>
      <c r="AY40" s="22">
        <v>1270</v>
      </c>
      <c r="AZ40" s="22">
        <v>1292</v>
      </c>
      <c r="BA40" s="22">
        <v>1255</v>
      </c>
      <c r="BB40" s="22">
        <v>1203</v>
      </c>
      <c r="BC40" s="22">
        <v>1185</v>
      </c>
      <c r="BD40" s="22">
        <v>1235.5</v>
      </c>
      <c r="BE40" s="22">
        <v>1273</v>
      </c>
      <c r="BF40" s="22">
        <v>1263.5</v>
      </c>
      <c r="BG40" s="22">
        <v>1243.5</v>
      </c>
      <c r="BH40" s="22">
        <v>1205.5</v>
      </c>
      <c r="BI40" s="22">
        <v>1218.5</v>
      </c>
      <c r="BJ40" s="22">
        <v>1222</v>
      </c>
      <c r="BK40" s="22">
        <v>1200</v>
      </c>
      <c r="BL40" s="22">
        <v>1185</v>
      </c>
    </row>
    <row r="41" spans="1:64" ht="15.95" customHeight="1">
      <c r="A41" s="81" t="s">
        <v>298</v>
      </c>
      <c r="B41" s="17" t="s">
        <v>117</v>
      </c>
      <c r="C41" s="26">
        <f>_xll.RssMarket("3861","始値")</f>
        <v>800.6</v>
      </c>
      <c r="D41" s="25">
        <f t="shared" si="0"/>
        <v>0</v>
      </c>
      <c r="E41" s="22">
        <v>800.6</v>
      </c>
      <c r="F41" s="22">
        <v>797.3</v>
      </c>
      <c r="G41" s="22">
        <v>805</v>
      </c>
      <c r="H41" s="22">
        <v>793.4</v>
      </c>
      <c r="I41" s="22">
        <v>782.7</v>
      </c>
      <c r="J41" s="22">
        <v>778</v>
      </c>
      <c r="K41" s="22">
        <v>772.8</v>
      </c>
      <c r="L41" s="22">
        <v>770.5</v>
      </c>
      <c r="M41" s="22">
        <v>779.5</v>
      </c>
      <c r="N41" s="22">
        <v>767.9</v>
      </c>
      <c r="O41" s="22">
        <v>761.8</v>
      </c>
      <c r="P41" s="22">
        <v>789.2</v>
      </c>
      <c r="Q41" s="22">
        <v>788.7</v>
      </c>
      <c r="R41" s="22">
        <v>769.3</v>
      </c>
      <c r="S41" s="22">
        <v>782</v>
      </c>
      <c r="T41" s="22">
        <v>795</v>
      </c>
      <c r="U41" s="22">
        <v>820</v>
      </c>
      <c r="V41" s="22">
        <v>825</v>
      </c>
      <c r="W41" s="22">
        <v>851.2</v>
      </c>
      <c r="X41" s="22">
        <v>838.8</v>
      </c>
      <c r="Y41" s="22">
        <v>831.8</v>
      </c>
      <c r="Z41" s="22">
        <v>822</v>
      </c>
      <c r="AA41" s="22">
        <v>826.1</v>
      </c>
      <c r="AB41" s="22">
        <v>838</v>
      </c>
      <c r="AC41" s="22">
        <v>822.5</v>
      </c>
      <c r="AD41" s="22">
        <v>822.8</v>
      </c>
      <c r="AE41" s="22">
        <v>815.6</v>
      </c>
      <c r="AF41" s="22">
        <v>815.2</v>
      </c>
      <c r="AG41" s="22">
        <v>822.2</v>
      </c>
      <c r="AH41" s="22">
        <v>825</v>
      </c>
      <c r="AI41" s="22">
        <v>826.5</v>
      </c>
      <c r="AJ41" s="22">
        <v>837.3</v>
      </c>
      <c r="AK41" s="22">
        <v>839.8</v>
      </c>
      <c r="AL41" s="22">
        <v>848</v>
      </c>
      <c r="AM41" s="22">
        <v>850.6</v>
      </c>
      <c r="AN41" s="22">
        <v>849</v>
      </c>
      <c r="AO41" s="22">
        <v>845.7</v>
      </c>
      <c r="AP41" s="22">
        <v>852.8</v>
      </c>
      <c r="AQ41" s="22">
        <v>849</v>
      </c>
      <c r="AR41" s="22">
        <v>850.7</v>
      </c>
      <c r="AS41" s="22">
        <v>866.2</v>
      </c>
      <c r="AT41" s="22">
        <v>858.1</v>
      </c>
      <c r="AU41" s="22">
        <v>854.5</v>
      </c>
      <c r="AV41" s="22">
        <v>853</v>
      </c>
      <c r="AW41" s="22">
        <v>844.6</v>
      </c>
      <c r="AX41" s="22">
        <v>859.8</v>
      </c>
      <c r="AY41" s="22">
        <v>860</v>
      </c>
      <c r="AZ41" s="22">
        <v>843</v>
      </c>
      <c r="BA41" s="22">
        <v>830</v>
      </c>
      <c r="BB41" s="22">
        <v>862</v>
      </c>
      <c r="BC41" s="22">
        <v>857.7</v>
      </c>
      <c r="BD41" s="22">
        <v>886.8</v>
      </c>
      <c r="BE41" s="22">
        <v>870.3</v>
      </c>
      <c r="BF41" s="22">
        <v>864.9</v>
      </c>
      <c r="BG41" s="22">
        <v>903.4</v>
      </c>
      <c r="BH41" s="22">
        <v>909</v>
      </c>
      <c r="BI41" s="22">
        <v>904</v>
      </c>
      <c r="BJ41" s="22">
        <v>908.3</v>
      </c>
      <c r="BK41" s="22">
        <v>908.6</v>
      </c>
      <c r="BL41" s="22">
        <v>920</v>
      </c>
    </row>
    <row r="42" spans="1:64" ht="15.95" customHeight="1">
      <c r="A42" s="81" t="s">
        <v>299</v>
      </c>
      <c r="B42" s="17" t="s">
        <v>118</v>
      </c>
      <c r="C42" s="26">
        <f>_xll.RssMarket("5947","始値")</f>
        <v>3428</v>
      </c>
      <c r="D42" s="25">
        <f t="shared" si="0"/>
        <v>0</v>
      </c>
      <c r="E42" s="22">
        <v>3428</v>
      </c>
      <c r="F42" s="22">
        <v>3435</v>
      </c>
      <c r="G42" s="22">
        <v>3526</v>
      </c>
      <c r="H42" s="22">
        <v>3529</v>
      </c>
      <c r="I42" s="22">
        <v>3537</v>
      </c>
      <c r="J42" s="22">
        <v>3587</v>
      </c>
      <c r="K42" s="22">
        <v>3472</v>
      </c>
      <c r="L42" s="22">
        <v>3455</v>
      </c>
      <c r="M42" s="22">
        <v>3387</v>
      </c>
      <c r="N42" s="22">
        <v>3342</v>
      </c>
      <c r="O42" s="22">
        <v>3301</v>
      </c>
      <c r="P42" s="22">
        <v>3423</v>
      </c>
      <c r="Q42" s="22">
        <v>3435</v>
      </c>
      <c r="R42" s="22">
        <v>3413</v>
      </c>
      <c r="S42" s="22">
        <v>3495</v>
      </c>
      <c r="T42" s="22">
        <v>3544</v>
      </c>
      <c r="U42" s="22">
        <v>3592</v>
      </c>
      <c r="V42" s="22">
        <v>3548</v>
      </c>
      <c r="W42" s="22">
        <v>3517</v>
      </c>
      <c r="X42" s="22">
        <v>3460</v>
      </c>
      <c r="Y42" s="22">
        <v>3410</v>
      </c>
      <c r="Z42" s="22">
        <v>3380</v>
      </c>
      <c r="AA42" s="22">
        <v>3434</v>
      </c>
      <c r="AB42" s="22">
        <v>3526</v>
      </c>
      <c r="AC42" s="22">
        <v>3590</v>
      </c>
      <c r="AD42" s="22">
        <v>3690</v>
      </c>
      <c r="AE42" s="22">
        <v>3680</v>
      </c>
      <c r="AF42" s="22">
        <v>3567</v>
      </c>
      <c r="AG42" s="22">
        <v>3556</v>
      </c>
      <c r="AH42" s="22">
        <v>3549</v>
      </c>
      <c r="AI42" s="22">
        <v>3502</v>
      </c>
      <c r="AJ42" s="22">
        <v>3524</v>
      </c>
      <c r="AK42" s="22">
        <v>3508</v>
      </c>
      <c r="AL42" s="22">
        <v>3482</v>
      </c>
      <c r="AM42" s="22">
        <v>3516</v>
      </c>
      <c r="AN42" s="22">
        <v>3572</v>
      </c>
      <c r="AO42" s="22">
        <v>3529</v>
      </c>
      <c r="AP42" s="22">
        <v>3602</v>
      </c>
      <c r="AQ42" s="22">
        <v>3572</v>
      </c>
      <c r="AR42" s="22">
        <v>3667</v>
      </c>
      <c r="AS42" s="22">
        <v>3740</v>
      </c>
      <c r="AT42" s="22">
        <v>3732</v>
      </c>
      <c r="AU42" s="22">
        <v>3750</v>
      </c>
      <c r="AV42" s="22">
        <v>3761</v>
      </c>
      <c r="AW42" s="22">
        <v>3690</v>
      </c>
      <c r="AX42" s="22">
        <v>3680</v>
      </c>
      <c r="AY42" s="22">
        <v>3654</v>
      </c>
      <c r="AZ42" s="22">
        <v>3744</v>
      </c>
      <c r="BA42" s="22">
        <v>3739</v>
      </c>
      <c r="BB42" s="22">
        <v>3636</v>
      </c>
      <c r="BC42" s="22">
        <v>3631</v>
      </c>
      <c r="BD42" s="22">
        <v>3734</v>
      </c>
      <c r="BE42" s="22">
        <v>3738</v>
      </c>
      <c r="BF42" s="22">
        <v>3760</v>
      </c>
      <c r="BG42" s="22">
        <v>3687</v>
      </c>
      <c r="BH42" s="22">
        <v>3631</v>
      </c>
      <c r="BI42" s="22">
        <v>3761</v>
      </c>
      <c r="BJ42" s="22">
        <v>3753</v>
      </c>
      <c r="BK42" s="22">
        <v>3761</v>
      </c>
      <c r="BL42" s="22">
        <v>3821</v>
      </c>
    </row>
    <row r="43" spans="1:64" ht="15.95" customHeight="1">
      <c r="A43" s="81" t="s">
        <v>300</v>
      </c>
      <c r="B43" s="17" t="s">
        <v>119</v>
      </c>
      <c r="C43" s="26">
        <f>_xll.RssMarket("8750","始値")</f>
        <v>1820</v>
      </c>
      <c r="D43" s="25">
        <f t="shared" si="0"/>
        <v>0</v>
      </c>
      <c r="E43" s="22">
        <v>1820</v>
      </c>
      <c r="F43" s="22">
        <v>1770</v>
      </c>
      <c r="G43" s="22">
        <v>1768</v>
      </c>
      <c r="H43" s="22">
        <v>1756.5</v>
      </c>
      <c r="I43" s="22">
        <v>1727.5</v>
      </c>
      <c r="J43" s="22">
        <v>1757</v>
      </c>
      <c r="K43" s="22">
        <v>1628</v>
      </c>
      <c r="L43" s="22">
        <v>1687.5</v>
      </c>
      <c r="M43" s="22">
        <v>1610</v>
      </c>
      <c r="N43" s="22">
        <v>1628.5</v>
      </c>
      <c r="O43" s="22">
        <v>1616.5</v>
      </c>
      <c r="P43" s="22">
        <v>1615</v>
      </c>
      <c r="Q43" s="22">
        <v>1650</v>
      </c>
      <c r="R43" s="22">
        <v>1659.5</v>
      </c>
      <c r="S43" s="22">
        <v>1645.5</v>
      </c>
      <c r="T43" s="22">
        <v>1669</v>
      </c>
      <c r="U43" s="22">
        <v>1656</v>
      </c>
      <c r="V43" s="22">
        <v>1669</v>
      </c>
      <c r="W43" s="22">
        <v>1655</v>
      </c>
      <c r="X43" s="22">
        <v>1658</v>
      </c>
      <c r="Y43" s="22">
        <v>1500</v>
      </c>
      <c r="Z43" s="22">
        <v>1492</v>
      </c>
      <c r="AA43" s="22">
        <v>1479</v>
      </c>
      <c r="AB43" s="22">
        <v>1488</v>
      </c>
      <c r="AC43" s="22">
        <v>1421.5</v>
      </c>
      <c r="AD43" s="22">
        <v>1457</v>
      </c>
      <c r="AE43" s="22">
        <v>1438</v>
      </c>
      <c r="AF43" s="22">
        <v>1419.5</v>
      </c>
      <c r="AG43" s="22">
        <v>1440.5</v>
      </c>
      <c r="AH43" s="22">
        <v>1409</v>
      </c>
      <c r="AI43" s="22">
        <v>1386</v>
      </c>
      <c r="AJ43" s="22">
        <v>1423</v>
      </c>
      <c r="AK43" s="22">
        <v>1414</v>
      </c>
      <c r="AL43" s="22">
        <v>1437</v>
      </c>
      <c r="AM43" s="22">
        <v>1465</v>
      </c>
      <c r="AN43" s="22">
        <v>1478.5</v>
      </c>
      <c r="AO43" s="22">
        <v>1492.5</v>
      </c>
      <c r="AP43" s="22">
        <v>1499</v>
      </c>
      <c r="AQ43" s="22">
        <v>1494.5</v>
      </c>
      <c r="AR43" s="22">
        <v>1499</v>
      </c>
      <c r="AS43" s="22">
        <v>1464</v>
      </c>
      <c r="AT43" s="22">
        <v>1492</v>
      </c>
      <c r="AU43" s="22">
        <v>1523.5</v>
      </c>
      <c r="AV43" s="22">
        <v>1542</v>
      </c>
      <c r="AW43" s="22">
        <v>1466</v>
      </c>
      <c r="AX43" s="22">
        <v>1464</v>
      </c>
      <c r="AY43" s="22">
        <v>1480</v>
      </c>
      <c r="AZ43" s="22">
        <v>1500</v>
      </c>
      <c r="BA43" s="22">
        <v>1487</v>
      </c>
      <c r="BB43" s="22">
        <v>1409.5</v>
      </c>
      <c r="BC43" s="22">
        <v>1389.5</v>
      </c>
      <c r="BD43" s="22">
        <v>1450</v>
      </c>
      <c r="BE43" s="22">
        <v>1450</v>
      </c>
      <c r="BF43" s="22">
        <v>1445</v>
      </c>
      <c r="BG43" s="22">
        <v>1427</v>
      </c>
      <c r="BH43" s="22">
        <v>1371</v>
      </c>
      <c r="BI43" s="22">
        <v>1426.5</v>
      </c>
      <c r="BJ43" s="22">
        <v>1456</v>
      </c>
      <c r="BK43" s="22">
        <v>1450</v>
      </c>
      <c r="BL43" s="22">
        <v>1426</v>
      </c>
    </row>
    <row r="44" spans="1:64" ht="15.95" customHeight="1">
      <c r="A44" s="81" t="s">
        <v>301</v>
      </c>
      <c r="B44" s="17" t="s">
        <v>120</v>
      </c>
      <c r="C44" s="26">
        <f>_xll.RssMarket("3402","始値")</f>
        <v>1170.5</v>
      </c>
      <c r="D44" s="25">
        <f t="shared" si="0"/>
        <v>0</v>
      </c>
      <c r="E44" s="22">
        <v>1170.5</v>
      </c>
      <c r="F44" s="22">
        <v>1198</v>
      </c>
      <c r="G44" s="22">
        <v>1195</v>
      </c>
      <c r="H44" s="22">
        <v>1142</v>
      </c>
      <c r="I44" s="22">
        <v>1103</v>
      </c>
      <c r="J44" s="22">
        <v>1106</v>
      </c>
      <c r="K44" s="22">
        <v>1103</v>
      </c>
      <c r="L44" s="22">
        <v>1100</v>
      </c>
      <c r="M44" s="22">
        <v>1140.5</v>
      </c>
      <c r="N44" s="22">
        <v>1177.5</v>
      </c>
      <c r="O44" s="22">
        <v>1125.5</v>
      </c>
      <c r="P44" s="22">
        <v>1141</v>
      </c>
      <c r="Q44" s="22">
        <v>1150</v>
      </c>
      <c r="R44" s="22">
        <v>1152</v>
      </c>
      <c r="S44" s="22">
        <v>1103.5</v>
      </c>
      <c r="T44" s="22">
        <v>1093</v>
      </c>
      <c r="U44" s="22">
        <v>1093.5</v>
      </c>
      <c r="V44" s="22">
        <v>1071</v>
      </c>
      <c r="W44" s="22">
        <v>1095</v>
      </c>
      <c r="X44" s="22">
        <v>1125</v>
      </c>
      <c r="Y44" s="22">
        <v>1165</v>
      </c>
      <c r="Z44" s="22">
        <v>1169</v>
      </c>
      <c r="AA44" s="22">
        <v>1145</v>
      </c>
      <c r="AB44" s="22">
        <v>1135</v>
      </c>
      <c r="AC44" s="22">
        <v>1122</v>
      </c>
      <c r="AD44" s="22">
        <v>1138</v>
      </c>
      <c r="AE44" s="22">
        <v>1131</v>
      </c>
      <c r="AF44" s="22">
        <v>1118.5</v>
      </c>
      <c r="AG44" s="22">
        <v>1122</v>
      </c>
      <c r="AH44" s="22">
        <v>1130</v>
      </c>
      <c r="AI44" s="22">
        <v>1101</v>
      </c>
      <c r="AJ44" s="22">
        <v>1120</v>
      </c>
      <c r="AK44" s="22">
        <v>1113.5</v>
      </c>
      <c r="AL44" s="22">
        <v>1137</v>
      </c>
      <c r="AM44" s="22">
        <v>1150</v>
      </c>
      <c r="AN44" s="22">
        <v>1157</v>
      </c>
      <c r="AO44" s="22">
        <v>1161.5</v>
      </c>
      <c r="AP44" s="22">
        <v>1143.5</v>
      </c>
      <c r="AQ44" s="22">
        <v>1152.5</v>
      </c>
      <c r="AR44" s="22">
        <v>1154.5</v>
      </c>
      <c r="AS44" s="22">
        <v>1168</v>
      </c>
      <c r="AT44" s="22">
        <v>1167.5</v>
      </c>
      <c r="AU44" s="22">
        <v>1186.5</v>
      </c>
      <c r="AV44" s="22">
        <v>1180</v>
      </c>
      <c r="AW44" s="22">
        <v>1126.5</v>
      </c>
      <c r="AX44" s="22">
        <v>1132.5</v>
      </c>
      <c r="AY44" s="22">
        <v>1128.5</v>
      </c>
      <c r="AZ44" s="22">
        <v>1167.5</v>
      </c>
      <c r="BA44" s="22">
        <v>1139</v>
      </c>
      <c r="BB44" s="22">
        <v>1088.5</v>
      </c>
      <c r="BC44" s="22">
        <v>1052</v>
      </c>
      <c r="BD44" s="22">
        <v>1113.5</v>
      </c>
      <c r="BE44" s="22">
        <v>1141</v>
      </c>
      <c r="BF44" s="22">
        <v>1121.5</v>
      </c>
      <c r="BG44" s="22">
        <v>1084</v>
      </c>
      <c r="BH44" s="22">
        <v>1062</v>
      </c>
      <c r="BI44" s="22">
        <v>1105</v>
      </c>
      <c r="BJ44" s="22">
        <v>1110</v>
      </c>
      <c r="BK44" s="22">
        <v>1130</v>
      </c>
      <c r="BL44" s="22">
        <v>1128</v>
      </c>
    </row>
    <row r="45" spans="1:64" ht="15.95" customHeight="1">
      <c r="A45" s="81" t="s">
        <v>302</v>
      </c>
      <c r="B45" s="17" t="s">
        <v>121</v>
      </c>
      <c r="C45" s="26">
        <f>_xll.RssMarket("8306","始値")</f>
        <v>3266</v>
      </c>
      <c r="D45" s="25">
        <f t="shared" si="0"/>
        <v>0</v>
      </c>
      <c r="E45" s="22">
        <v>3266</v>
      </c>
      <c r="F45" s="22">
        <v>3225</v>
      </c>
      <c r="G45" s="22">
        <v>3231</v>
      </c>
      <c r="H45" s="22">
        <v>3141</v>
      </c>
      <c r="I45" s="22">
        <v>3113</v>
      </c>
      <c r="J45" s="22">
        <v>3230</v>
      </c>
      <c r="K45" s="22">
        <v>3200</v>
      </c>
      <c r="L45" s="22">
        <v>3210</v>
      </c>
      <c r="M45" s="22">
        <v>3137</v>
      </c>
      <c r="N45" s="22">
        <v>3062</v>
      </c>
      <c r="O45" s="22">
        <v>3013</v>
      </c>
      <c r="P45" s="22">
        <v>2995</v>
      </c>
      <c r="Q45" s="22">
        <v>3010</v>
      </c>
      <c r="R45" s="22">
        <v>3061</v>
      </c>
      <c r="S45" s="22">
        <v>3090</v>
      </c>
      <c r="T45" s="22">
        <v>3098</v>
      </c>
      <c r="U45" s="22">
        <v>3090</v>
      </c>
      <c r="V45" s="22">
        <v>3162</v>
      </c>
      <c r="W45" s="22">
        <v>3030</v>
      </c>
      <c r="X45" s="22">
        <v>2979</v>
      </c>
      <c r="Y45" s="22">
        <v>2910.5</v>
      </c>
      <c r="Z45" s="22">
        <v>2920.5</v>
      </c>
      <c r="AA45" s="22">
        <v>2875.5</v>
      </c>
      <c r="AB45" s="22">
        <v>2885.5</v>
      </c>
      <c r="AC45" s="22">
        <v>2810</v>
      </c>
      <c r="AD45" s="22">
        <v>2816.5</v>
      </c>
      <c r="AE45" s="22">
        <v>2850</v>
      </c>
      <c r="AF45" s="22">
        <v>2800</v>
      </c>
      <c r="AG45" s="22">
        <v>2868</v>
      </c>
      <c r="AH45" s="22">
        <v>2821</v>
      </c>
      <c r="AI45" s="22">
        <v>2745</v>
      </c>
      <c r="AJ45" s="22">
        <v>2782.5</v>
      </c>
      <c r="AK45" s="22">
        <v>2794</v>
      </c>
      <c r="AL45" s="22">
        <v>2820</v>
      </c>
      <c r="AM45" s="22">
        <v>2879.5</v>
      </c>
      <c r="AN45" s="22">
        <v>2885</v>
      </c>
      <c r="AO45" s="22">
        <v>2920</v>
      </c>
      <c r="AP45" s="22">
        <v>2935</v>
      </c>
      <c r="AQ45" s="22">
        <v>2866</v>
      </c>
      <c r="AR45" s="22">
        <v>2889.5</v>
      </c>
      <c r="AS45" s="22">
        <v>2847.5</v>
      </c>
      <c r="AT45" s="22">
        <v>2851</v>
      </c>
      <c r="AU45" s="22">
        <v>2896</v>
      </c>
      <c r="AV45" s="22">
        <v>2930</v>
      </c>
      <c r="AW45" s="22">
        <v>2800</v>
      </c>
      <c r="AX45" s="22">
        <v>2778.5</v>
      </c>
      <c r="AY45" s="22">
        <v>2781</v>
      </c>
      <c r="AZ45" s="22">
        <v>2841</v>
      </c>
      <c r="BA45" s="22">
        <v>2710</v>
      </c>
      <c r="BB45" s="22">
        <v>2575</v>
      </c>
      <c r="BC45" s="22">
        <v>2599</v>
      </c>
      <c r="BD45" s="22">
        <v>2680.5</v>
      </c>
      <c r="BE45" s="22">
        <v>2739</v>
      </c>
      <c r="BF45" s="22">
        <v>2718</v>
      </c>
      <c r="BG45" s="22">
        <v>2614.5</v>
      </c>
      <c r="BH45" s="22">
        <v>2551</v>
      </c>
      <c r="BI45" s="22">
        <v>2690</v>
      </c>
      <c r="BJ45" s="22">
        <v>2695</v>
      </c>
      <c r="BK45" s="22">
        <v>2670</v>
      </c>
      <c r="BL45" s="22">
        <v>2624.5</v>
      </c>
    </row>
    <row r="46" spans="1:64" ht="15.95" customHeight="1">
      <c r="A46" s="81" t="s">
        <v>303</v>
      </c>
      <c r="B46" s="17" t="s">
        <v>122</v>
      </c>
      <c r="C46" s="26">
        <f>_xll.RssMarket("5401","始値")</f>
        <v>566</v>
      </c>
      <c r="D46" s="25">
        <f t="shared" si="0"/>
        <v>0</v>
      </c>
      <c r="E46" s="22">
        <v>566</v>
      </c>
      <c r="F46" s="22">
        <v>571.9</v>
      </c>
      <c r="G46" s="22">
        <v>560</v>
      </c>
      <c r="H46" s="22">
        <v>543.29999999999995</v>
      </c>
      <c r="I46" s="22">
        <v>537.4</v>
      </c>
      <c r="J46" s="22">
        <v>543.4</v>
      </c>
      <c r="K46" s="22">
        <v>540.4</v>
      </c>
      <c r="L46" s="22">
        <v>547.5</v>
      </c>
      <c r="M46" s="22">
        <v>544.70000000000005</v>
      </c>
      <c r="N46" s="22">
        <v>539.5</v>
      </c>
      <c r="O46" s="22">
        <v>540</v>
      </c>
      <c r="P46" s="22">
        <v>567.4</v>
      </c>
      <c r="Q46" s="22">
        <v>567</v>
      </c>
      <c r="R46" s="22">
        <v>557.9</v>
      </c>
      <c r="S46" s="22">
        <v>555.79999999999995</v>
      </c>
      <c r="T46" s="22">
        <v>549</v>
      </c>
      <c r="U46" s="22">
        <v>545.79999999999995</v>
      </c>
      <c r="V46" s="22">
        <v>550</v>
      </c>
      <c r="W46" s="22">
        <v>553</v>
      </c>
      <c r="X46" s="22">
        <v>560</v>
      </c>
      <c r="Y46" s="22">
        <v>552.5</v>
      </c>
      <c r="Z46" s="22">
        <v>569.20000000000005</v>
      </c>
      <c r="AA46" s="22">
        <v>560</v>
      </c>
      <c r="AB46" s="22">
        <v>568</v>
      </c>
      <c r="AC46" s="22">
        <v>579.70000000000005</v>
      </c>
      <c r="AD46" s="22">
        <v>577.79999999999995</v>
      </c>
      <c r="AE46" s="22">
        <v>569</v>
      </c>
      <c r="AF46" s="22">
        <v>573.5</v>
      </c>
      <c r="AG46" s="22">
        <v>575.20000000000005</v>
      </c>
      <c r="AH46" s="22">
        <v>575</v>
      </c>
      <c r="AI46" s="22">
        <v>578.6</v>
      </c>
      <c r="AJ46" s="22">
        <v>589</v>
      </c>
      <c r="AK46" s="22">
        <v>593.20000000000005</v>
      </c>
      <c r="AL46" s="22">
        <v>597.5</v>
      </c>
      <c r="AM46" s="22">
        <v>597.5</v>
      </c>
      <c r="AN46" s="22">
        <v>595.29999999999995</v>
      </c>
      <c r="AO46" s="22">
        <v>597.79999999999995</v>
      </c>
      <c r="AP46" s="22">
        <v>595.9</v>
      </c>
      <c r="AQ46" s="22">
        <v>599</v>
      </c>
      <c r="AR46" s="22">
        <v>599</v>
      </c>
      <c r="AS46" s="22">
        <v>603.4</v>
      </c>
      <c r="AT46" s="22">
        <v>605</v>
      </c>
      <c r="AU46" s="22">
        <v>595</v>
      </c>
      <c r="AV46" s="22">
        <v>587</v>
      </c>
      <c r="AW46" s="22">
        <v>585</v>
      </c>
      <c r="AX46" s="22">
        <v>586.1</v>
      </c>
      <c r="AY46" s="22">
        <v>589.79999999999995</v>
      </c>
      <c r="AZ46" s="22">
        <v>588</v>
      </c>
      <c r="BA46" s="22">
        <v>573</v>
      </c>
      <c r="BB46" s="22">
        <v>578</v>
      </c>
      <c r="BC46" s="22">
        <v>596.9</v>
      </c>
      <c r="BD46" s="22">
        <v>596.20000000000005</v>
      </c>
      <c r="BE46" s="22">
        <v>598.20000000000005</v>
      </c>
      <c r="BF46" s="22">
        <v>597.5</v>
      </c>
      <c r="BG46" s="22">
        <v>588.1</v>
      </c>
      <c r="BH46" s="22">
        <v>597</v>
      </c>
      <c r="BI46" s="22">
        <v>600</v>
      </c>
      <c r="BJ46" s="22">
        <v>591.20000000000005</v>
      </c>
      <c r="BK46" s="22">
        <v>590.5</v>
      </c>
      <c r="BL46" s="22">
        <v>590.20000000000005</v>
      </c>
    </row>
    <row r="47" spans="1:64" ht="15.95" customHeight="1">
      <c r="A47" s="81" t="s">
        <v>304</v>
      </c>
      <c r="B47" s="17" t="s">
        <v>123</v>
      </c>
      <c r="C47" s="26">
        <f>_xll.RssMarket("8572","始値")</f>
        <v>453.3</v>
      </c>
      <c r="D47" s="25">
        <f t="shared" si="0"/>
        <v>0</v>
      </c>
      <c r="E47" s="22">
        <v>453.3</v>
      </c>
      <c r="F47" s="22">
        <v>451.1</v>
      </c>
      <c r="G47" s="22">
        <v>456</v>
      </c>
      <c r="H47" s="22">
        <v>449.5</v>
      </c>
      <c r="I47" s="22">
        <v>450</v>
      </c>
      <c r="J47" s="22">
        <v>451.9</v>
      </c>
      <c r="K47" s="22">
        <v>442.1</v>
      </c>
      <c r="L47" s="22">
        <v>445</v>
      </c>
      <c r="M47" s="22">
        <v>445.1</v>
      </c>
      <c r="N47" s="22">
        <v>447.2</v>
      </c>
      <c r="O47" s="22">
        <v>453.3</v>
      </c>
      <c r="P47" s="22">
        <v>466.4</v>
      </c>
      <c r="Q47" s="22">
        <v>468.3</v>
      </c>
      <c r="R47" s="22">
        <v>466.5</v>
      </c>
      <c r="S47" s="22">
        <v>462.4</v>
      </c>
      <c r="T47" s="22">
        <v>469</v>
      </c>
      <c r="U47" s="22">
        <v>466.7</v>
      </c>
      <c r="V47" s="22">
        <v>464</v>
      </c>
      <c r="W47" s="22">
        <v>462.9</v>
      </c>
      <c r="X47" s="22">
        <v>468</v>
      </c>
      <c r="Y47" s="22">
        <v>457.1</v>
      </c>
      <c r="Z47" s="22">
        <v>459.9</v>
      </c>
      <c r="AA47" s="22">
        <v>467.1</v>
      </c>
      <c r="AB47" s="22">
        <v>491</v>
      </c>
      <c r="AC47" s="22">
        <v>492.5</v>
      </c>
      <c r="AD47" s="22">
        <v>491.6</v>
      </c>
      <c r="AE47" s="22">
        <v>499</v>
      </c>
      <c r="AF47" s="22">
        <v>497.7</v>
      </c>
      <c r="AG47" s="22">
        <v>501</v>
      </c>
      <c r="AH47" s="22">
        <v>498.5</v>
      </c>
      <c r="AI47" s="22">
        <v>499.6</v>
      </c>
      <c r="AJ47" s="22">
        <v>497.9</v>
      </c>
      <c r="AK47" s="22">
        <v>511</v>
      </c>
      <c r="AL47" s="22">
        <v>514.9</v>
      </c>
      <c r="AM47" s="22">
        <v>501.5</v>
      </c>
      <c r="AN47" s="22">
        <v>489</v>
      </c>
      <c r="AO47" s="22">
        <v>484.7</v>
      </c>
      <c r="AP47" s="22">
        <v>481.8</v>
      </c>
      <c r="AQ47" s="22">
        <v>482</v>
      </c>
      <c r="AR47" s="22">
        <v>478</v>
      </c>
      <c r="AS47" s="22">
        <v>469.1</v>
      </c>
      <c r="AT47" s="22">
        <v>471.4</v>
      </c>
      <c r="AU47" s="22">
        <v>476.4</v>
      </c>
      <c r="AV47" s="22">
        <v>485</v>
      </c>
      <c r="AW47" s="22">
        <v>475</v>
      </c>
      <c r="AX47" s="22">
        <v>472.6</v>
      </c>
      <c r="AY47" s="22">
        <v>474</v>
      </c>
      <c r="AZ47" s="22">
        <v>474.7</v>
      </c>
      <c r="BA47" s="22">
        <v>470</v>
      </c>
      <c r="BB47" s="22">
        <v>458.8</v>
      </c>
      <c r="BC47" s="22">
        <v>452</v>
      </c>
      <c r="BD47" s="22">
        <v>479.2</v>
      </c>
      <c r="BE47" s="22">
        <v>481</v>
      </c>
      <c r="BF47" s="22">
        <v>479.4</v>
      </c>
      <c r="BG47" s="22">
        <v>477</v>
      </c>
      <c r="BH47" s="22">
        <v>465</v>
      </c>
      <c r="BI47" s="22">
        <v>482.2</v>
      </c>
      <c r="BJ47" s="22">
        <v>479.8</v>
      </c>
      <c r="BK47" s="22">
        <v>478.9</v>
      </c>
      <c r="BL47" s="22">
        <v>477</v>
      </c>
    </row>
    <row r="48" spans="1:64" ht="15.95" customHeight="1">
      <c r="A48" s="81" t="s">
        <v>305</v>
      </c>
      <c r="B48" s="17" t="s">
        <v>124</v>
      </c>
      <c r="C48" s="26">
        <f>_xll.RssMarket("3941","始値")</f>
        <v>1416.5</v>
      </c>
      <c r="D48" s="25">
        <f t="shared" si="0"/>
        <v>0</v>
      </c>
      <c r="E48" s="22">
        <v>1416.5</v>
      </c>
      <c r="F48" s="22">
        <v>1420.5</v>
      </c>
      <c r="G48" s="22">
        <v>1393</v>
      </c>
      <c r="H48" s="22">
        <v>1382</v>
      </c>
      <c r="I48" s="22">
        <v>1369</v>
      </c>
      <c r="J48" s="22">
        <v>1404</v>
      </c>
      <c r="K48" s="22">
        <v>1359</v>
      </c>
      <c r="L48" s="22">
        <v>1388.5</v>
      </c>
      <c r="M48" s="22">
        <v>1392.5</v>
      </c>
      <c r="N48" s="22">
        <v>1400</v>
      </c>
      <c r="O48" s="22">
        <v>1385</v>
      </c>
      <c r="P48" s="22">
        <v>1422.5</v>
      </c>
      <c r="Q48" s="22">
        <v>1418</v>
      </c>
      <c r="R48" s="22">
        <v>1399.5</v>
      </c>
      <c r="S48" s="22">
        <v>1412.5</v>
      </c>
      <c r="T48" s="22">
        <v>1403.5</v>
      </c>
      <c r="U48" s="22">
        <v>1398</v>
      </c>
      <c r="V48" s="22">
        <v>1408.5</v>
      </c>
      <c r="W48" s="22">
        <v>1399.5</v>
      </c>
      <c r="X48" s="22">
        <v>1392</v>
      </c>
      <c r="Y48" s="22">
        <v>1260</v>
      </c>
      <c r="Z48" s="22">
        <v>1229.5</v>
      </c>
      <c r="AA48" s="22">
        <v>1230</v>
      </c>
      <c r="AB48" s="22">
        <v>1239</v>
      </c>
      <c r="AC48" s="22">
        <v>1233.5</v>
      </c>
      <c r="AD48" s="22">
        <v>1222.5</v>
      </c>
      <c r="AE48" s="22">
        <v>1231</v>
      </c>
      <c r="AF48" s="22">
        <v>1231</v>
      </c>
      <c r="AG48" s="22">
        <v>1265</v>
      </c>
      <c r="AH48" s="22">
        <v>1351</v>
      </c>
      <c r="AI48" s="22">
        <v>1286</v>
      </c>
      <c r="AJ48" s="22">
        <v>1290.5</v>
      </c>
      <c r="AK48" s="22">
        <v>1311.5</v>
      </c>
      <c r="AL48" s="22">
        <v>1286.5</v>
      </c>
      <c r="AM48" s="22">
        <v>1260</v>
      </c>
      <c r="AN48" s="22">
        <v>1274</v>
      </c>
      <c r="AO48" s="22">
        <v>1257</v>
      </c>
      <c r="AP48" s="22">
        <v>1265</v>
      </c>
      <c r="AQ48" s="22">
        <v>1264.5</v>
      </c>
      <c r="AR48" s="22">
        <v>1268</v>
      </c>
      <c r="AS48" s="22">
        <v>1288</v>
      </c>
      <c r="AT48" s="22">
        <v>1298</v>
      </c>
      <c r="AU48" s="22">
        <v>1280.5</v>
      </c>
      <c r="AV48" s="22">
        <v>1249</v>
      </c>
      <c r="AW48" s="22">
        <v>1253</v>
      </c>
      <c r="AX48" s="22">
        <v>1273.5</v>
      </c>
      <c r="AY48" s="22">
        <v>1287</v>
      </c>
      <c r="AZ48" s="22">
        <v>1304</v>
      </c>
      <c r="BA48" s="22">
        <v>1275.5</v>
      </c>
      <c r="BB48" s="22">
        <v>1212.5</v>
      </c>
      <c r="BC48" s="22">
        <v>1296</v>
      </c>
      <c r="BD48" s="22">
        <v>1277.5</v>
      </c>
      <c r="BE48" s="22">
        <v>1279</v>
      </c>
      <c r="BF48" s="22">
        <v>1250.5</v>
      </c>
      <c r="BG48" s="22">
        <v>1245.5</v>
      </c>
      <c r="BH48" s="22">
        <v>1337</v>
      </c>
      <c r="BI48" s="22">
        <v>1359</v>
      </c>
      <c r="BJ48" s="22">
        <v>1346</v>
      </c>
      <c r="BK48" s="22">
        <v>1350</v>
      </c>
      <c r="BL48" s="22">
        <v>1344</v>
      </c>
    </row>
    <row r="49" spans="1:64" ht="15.95" customHeight="1">
      <c r="A49" s="81" t="s">
        <v>306</v>
      </c>
      <c r="B49" s="17" t="s">
        <v>125</v>
      </c>
      <c r="C49" s="26">
        <f>_xll.RssMarket("5929","始値")</f>
        <v>3750</v>
      </c>
      <c r="D49" s="25">
        <f t="shared" si="0"/>
        <v>0</v>
      </c>
      <c r="E49" s="22">
        <v>3750</v>
      </c>
      <c r="F49" s="22">
        <v>3747</v>
      </c>
      <c r="G49" s="22">
        <v>3673</v>
      </c>
      <c r="H49" s="22">
        <v>3642</v>
      </c>
      <c r="I49" s="22">
        <v>3644</v>
      </c>
      <c r="J49" s="22">
        <v>3615</v>
      </c>
      <c r="K49" s="22">
        <v>3709</v>
      </c>
      <c r="L49" s="22">
        <v>3549</v>
      </c>
      <c r="M49" s="22">
        <v>3437</v>
      </c>
      <c r="N49" s="22">
        <v>3384</v>
      </c>
      <c r="O49" s="22">
        <v>3529</v>
      </c>
      <c r="P49" s="22">
        <v>3525</v>
      </c>
      <c r="Q49" s="22">
        <v>3408</v>
      </c>
      <c r="R49" s="22">
        <v>3378</v>
      </c>
      <c r="S49" s="22">
        <v>3306</v>
      </c>
      <c r="T49" s="22">
        <v>3339</v>
      </c>
      <c r="U49" s="22">
        <v>3297</v>
      </c>
      <c r="V49" s="22">
        <v>3389</v>
      </c>
      <c r="W49" s="22">
        <v>3315</v>
      </c>
      <c r="X49" s="22">
        <v>3562</v>
      </c>
      <c r="Y49" s="22">
        <v>3664</v>
      </c>
      <c r="Z49" s="22">
        <v>3496</v>
      </c>
      <c r="AA49" s="22">
        <v>3538</v>
      </c>
      <c r="AB49" s="22">
        <v>3612</v>
      </c>
      <c r="AC49" s="22">
        <v>3618</v>
      </c>
      <c r="AD49" s="22">
        <v>3625</v>
      </c>
      <c r="AE49" s="22">
        <v>3580</v>
      </c>
      <c r="AF49" s="22">
        <v>3609</v>
      </c>
      <c r="AG49" s="22">
        <v>3555</v>
      </c>
      <c r="AH49" s="22">
        <v>3637</v>
      </c>
      <c r="AI49" s="22">
        <v>3580</v>
      </c>
      <c r="AJ49" s="22">
        <v>3645</v>
      </c>
      <c r="AK49" s="22">
        <v>3611</v>
      </c>
      <c r="AL49" s="22">
        <v>3664</v>
      </c>
      <c r="AM49" s="22">
        <v>3626</v>
      </c>
      <c r="AN49" s="22">
        <v>3659</v>
      </c>
      <c r="AO49" s="22">
        <v>3636</v>
      </c>
      <c r="AP49" s="22">
        <v>3724</v>
      </c>
      <c r="AQ49" s="22">
        <v>3763</v>
      </c>
      <c r="AR49" s="22">
        <v>3751</v>
      </c>
      <c r="AS49" s="22">
        <v>3675</v>
      </c>
      <c r="AT49" s="22">
        <v>3740</v>
      </c>
      <c r="AU49" s="22">
        <v>3767</v>
      </c>
      <c r="AV49" s="22">
        <v>3728</v>
      </c>
      <c r="AW49" s="22">
        <v>3570</v>
      </c>
      <c r="AX49" s="22">
        <v>3558</v>
      </c>
      <c r="AY49" s="22">
        <v>3550</v>
      </c>
      <c r="AZ49" s="22">
        <v>3681</v>
      </c>
      <c r="BA49" s="22">
        <v>3637</v>
      </c>
      <c r="BB49" s="22">
        <v>3510</v>
      </c>
      <c r="BC49" s="22">
        <v>3535</v>
      </c>
      <c r="BD49" s="22">
        <v>3685</v>
      </c>
      <c r="BE49" s="22">
        <v>3690</v>
      </c>
      <c r="BF49" s="22">
        <v>3691</v>
      </c>
      <c r="BG49" s="22">
        <v>3597</v>
      </c>
      <c r="BH49" s="22">
        <v>3520</v>
      </c>
      <c r="BI49" s="22">
        <v>3654</v>
      </c>
      <c r="BJ49" s="22">
        <v>3695</v>
      </c>
      <c r="BK49" s="22">
        <v>3707</v>
      </c>
      <c r="BL49" s="22">
        <v>3730</v>
      </c>
    </row>
    <row r="50" spans="1:64" ht="15.95" customHeight="1">
      <c r="A50" s="81" t="s">
        <v>307</v>
      </c>
      <c r="B50" s="17" t="s">
        <v>126</v>
      </c>
      <c r="C50" s="26">
        <f>_xll.RssMarket("8316","始値")</f>
        <v>6544</v>
      </c>
      <c r="D50" s="25">
        <f t="shared" si="0"/>
        <v>0</v>
      </c>
      <c r="E50" s="22">
        <v>6544</v>
      </c>
      <c r="F50" s="22">
        <v>6455</v>
      </c>
      <c r="G50" s="22">
        <v>6506</v>
      </c>
      <c r="H50" s="22">
        <v>6350</v>
      </c>
      <c r="I50" s="22">
        <v>6127</v>
      </c>
      <c r="J50" s="22">
        <v>6258</v>
      </c>
      <c r="K50" s="22">
        <v>6136</v>
      </c>
      <c r="L50" s="22">
        <v>6284</v>
      </c>
      <c r="M50" s="22">
        <v>6116</v>
      </c>
      <c r="N50" s="22">
        <v>6040</v>
      </c>
      <c r="O50" s="22">
        <v>5880</v>
      </c>
      <c r="P50" s="22">
        <v>5850</v>
      </c>
      <c r="Q50" s="22">
        <v>5914</v>
      </c>
      <c r="R50" s="22">
        <v>6017</v>
      </c>
      <c r="S50" s="22">
        <v>6010</v>
      </c>
      <c r="T50" s="22">
        <v>6045</v>
      </c>
      <c r="U50" s="22">
        <v>6050</v>
      </c>
      <c r="V50" s="22">
        <v>6088</v>
      </c>
      <c r="W50" s="22">
        <v>5895</v>
      </c>
      <c r="X50" s="22">
        <v>5758</v>
      </c>
      <c r="Y50" s="22">
        <v>5748</v>
      </c>
      <c r="Z50" s="22">
        <v>5735</v>
      </c>
      <c r="AA50" s="22">
        <v>5835</v>
      </c>
      <c r="AB50" s="22">
        <v>5750</v>
      </c>
      <c r="AC50" s="22">
        <v>5600</v>
      </c>
      <c r="AD50" s="22">
        <v>5589</v>
      </c>
      <c r="AE50" s="22">
        <v>5650</v>
      </c>
      <c r="AF50" s="22">
        <v>5512</v>
      </c>
      <c r="AG50" s="22">
        <v>5609</v>
      </c>
      <c r="AH50" s="22">
        <v>5470</v>
      </c>
      <c r="AI50" s="22">
        <v>5313</v>
      </c>
      <c r="AJ50" s="22">
        <v>5383</v>
      </c>
      <c r="AK50" s="22">
        <v>5404</v>
      </c>
      <c r="AL50" s="22">
        <v>5468</v>
      </c>
      <c r="AM50" s="22">
        <v>5590</v>
      </c>
      <c r="AN50" s="22">
        <v>5623</v>
      </c>
      <c r="AO50" s="22">
        <v>5660</v>
      </c>
      <c r="AP50" s="22">
        <v>5690</v>
      </c>
      <c r="AQ50" s="22">
        <v>5615</v>
      </c>
      <c r="AR50" s="22">
        <v>5625</v>
      </c>
      <c r="AS50" s="22">
        <v>5550</v>
      </c>
      <c r="AT50" s="22">
        <v>5552</v>
      </c>
      <c r="AU50" s="22">
        <v>5639</v>
      </c>
      <c r="AV50" s="22">
        <v>5700</v>
      </c>
      <c r="AW50" s="22">
        <v>5412</v>
      </c>
      <c r="AX50" s="22">
        <v>5392</v>
      </c>
      <c r="AY50" s="22">
        <v>5436</v>
      </c>
      <c r="AZ50" s="22">
        <v>5555</v>
      </c>
      <c r="BA50" s="22">
        <v>5281</v>
      </c>
      <c r="BB50" s="22">
        <v>4955</v>
      </c>
      <c r="BC50" s="22">
        <v>4967</v>
      </c>
      <c r="BD50" s="22">
        <v>5189</v>
      </c>
      <c r="BE50" s="22">
        <v>5330</v>
      </c>
      <c r="BF50" s="22">
        <v>5300</v>
      </c>
      <c r="BG50" s="22">
        <v>5122</v>
      </c>
      <c r="BH50" s="22">
        <v>5000</v>
      </c>
      <c r="BI50" s="22">
        <v>5188</v>
      </c>
      <c r="BJ50" s="22">
        <v>5194</v>
      </c>
      <c r="BK50" s="22">
        <v>5180</v>
      </c>
      <c r="BL50" s="22">
        <v>5070</v>
      </c>
    </row>
    <row r="51" spans="1:64" ht="15.95" customHeight="1">
      <c r="A51" s="81" t="s">
        <v>308</v>
      </c>
      <c r="B51" s="17" t="s">
        <v>127</v>
      </c>
      <c r="C51" s="26">
        <f>_xll.RssMarket("5449","始値")</f>
        <v>2380</v>
      </c>
      <c r="D51" s="25">
        <f t="shared" si="0"/>
        <v>0</v>
      </c>
      <c r="E51" s="22">
        <v>2380</v>
      </c>
      <c r="F51" s="22">
        <v>2399</v>
      </c>
      <c r="G51" s="22">
        <v>2369</v>
      </c>
      <c r="H51" s="22">
        <v>2330</v>
      </c>
      <c r="I51" s="22">
        <v>2300</v>
      </c>
      <c r="J51" s="22">
        <v>2325</v>
      </c>
      <c r="K51" s="22">
        <v>2260</v>
      </c>
      <c r="L51" s="22">
        <v>2336</v>
      </c>
      <c r="M51" s="22">
        <v>2355</v>
      </c>
      <c r="N51" s="22">
        <v>2321</v>
      </c>
      <c r="O51" s="22">
        <v>2334</v>
      </c>
      <c r="P51" s="22">
        <v>2585</v>
      </c>
      <c r="Q51" s="22">
        <v>2643</v>
      </c>
      <c r="R51" s="22">
        <v>2579</v>
      </c>
      <c r="S51" s="22">
        <v>2381</v>
      </c>
      <c r="T51" s="22">
        <v>2352</v>
      </c>
      <c r="U51" s="22">
        <v>2322</v>
      </c>
      <c r="V51" s="22">
        <v>2245</v>
      </c>
      <c r="W51" s="22">
        <v>2250</v>
      </c>
      <c r="X51" s="22">
        <v>2325</v>
      </c>
      <c r="Y51" s="22">
        <v>2393</v>
      </c>
      <c r="Z51" s="22">
        <v>2321</v>
      </c>
      <c r="AA51" s="22">
        <v>2379</v>
      </c>
      <c r="AB51" s="22">
        <v>2597</v>
      </c>
      <c r="AC51" s="22">
        <v>2521</v>
      </c>
      <c r="AD51" s="22">
        <v>2607</v>
      </c>
      <c r="AE51" s="22">
        <v>2518</v>
      </c>
      <c r="AF51" s="22">
        <v>2464</v>
      </c>
      <c r="AG51" s="22">
        <v>2469</v>
      </c>
      <c r="AH51" s="22">
        <v>2368</v>
      </c>
      <c r="AI51" s="22">
        <v>2345</v>
      </c>
      <c r="AJ51" s="22">
        <v>2300</v>
      </c>
      <c r="AK51" s="22">
        <v>2355</v>
      </c>
      <c r="AL51" s="22">
        <v>2410</v>
      </c>
      <c r="AM51" s="22">
        <v>2453</v>
      </c>
      <c r="AN51" s="22">
        <v>2435</v>
      </c>
      <c r="AO51" s="22">
        <v>2411</v>
      </c>
      <c r="AP51" s="22">
        <v>2440</v>
      </c>
      <c r="AQ51" s="22">
        <v>2474</v>
      </c>
      <c r="AR51" s="22">
        <v>2390</v>
      </c>
      <c r="AS51" s="22">
        <v>2459</v>
      </c>
      <c r="AT51" s="22">
        <v>2648</v>
      </c>
      <c r="AU51" s="22">
        <v>2715</v>
      </c>
      <c r="AV51" s="22">
        <v>2700</v>
      </c>
      <c r="AW51" s="22">
        <v>2695</v>
      </c>
      <c r="AX51" s="22">
        <v>2695</v>
      </c>
      <c r="AY51" s="22">
        <v>2708</v>
      </c>
      <c r="AZ51" s="22">
        <v>2725</v>
      </c>
      <c r="BA51" s="22">
        <v>2750</v>
      </c>
      <c r="BB51" s="22">
        <v>2705</v>
      </c>
      <c r="BC51" s="22">
        <v>2710</v>
      </c>
      <c r="BD51" s="22">
        <v>2706</v>
      </c>
      <c r="BE51" s="22">
        <v>2687</v>
      </c>
      <c r="BF51" s="22">
        <v>2744</v>
      </c>
      <c r="BG51" s="22">
        <v>2667</v>
      </c>
      <c r="BH51" s="22">
        <v>2685</v>
      </c>
      <c r="BI51" s="22">
        <v>2690</v>
      </c>
      <c r="BJ51" s="22">
        <v>2673</v>
      </c>
      <c r="BK51" s="22">
        <v>2611</v>
      </c>
      <c r="BL51" s="22">
        <v>2646</v>
      </c>
    </row>
    <row r="52" spans="1:64" ht="15.95" customHeight="1">
      <c r="A52" s="81" t="s">
        <v>309</v>
      </c>
      <c r="B52" s="17" t="s">
        <v>128</v>
      </c>
      <c r="C52" s="26">
        <f>_xll.RssMarket("8766","始値")</f>
        <v>7408</v>
      </c>
      <c r="D52" s="25">
        <f t="shared" si="0"/>
        <v>0</v>
      </c>
      <c r="E52" s="22">
        <v>7408</v>
      </c>
      <c r="F52" s="22">
        <v>7217</v>
      </c>
      <c r="G52" s="22">
        <v>7256</v>
      </c>
      <c r="H52" s="22">
        <v>7348</v>
      </c>
      <c r="I52" s="22">
        <v>7450</v>
      </c>
      <c r="J52" s="22">
        <v>7493</v>
      </c>
      <c r="K52" s="22">
        <v>6955</v>
      </c>
      <c r="L52" s="22">
        <v>6996</v>
      </c>
      <c r="M52" s="22">
        <v>6961</v>
      </c>
      <c r="N52" s="22">
        <v>7114</v>
      </c>
      <c r="O52" s="22">
        <v>7059</v>
      </c>
      <c r="P52" s="22">
        <v>7116</v>
      </c>
      <c r="Q52" s="22">
        <v>7217</v>
      </c>
      <c r="R52" s="22">
        <v>7367</v>
      </c>
      <c r="S52" s="22">
        <v>7465</v>
      </c>
      <c r="T52" s="22">
        <v>7568</v>
      </c>
      <c r="U52" s="22">
        <v>7800</v>
      </c>
      <c r="V52" s="22">
        <v>8010</v>
      </c>
      <c r="W52" s="22">
        <v>7800</v>
      </c>
      <c r="X52" s="22">
        <v>7706</v>
      </c>
      <c r="Y52" s="22">
        <v>7593</v>
      </c>
      <c r="Z52" s="22">
        <v>7369</v>
      </c>
      <c r="AA52" s="22">
        <v>7151</v>
      </c>
      <c r="AB52" s="22">
        <v>7200</v>
      </c>
      <c r="AC52" s="22">
        <v>6980</v>
      </c>
      <c r="AD52" s="22">
        <v>7163</v>
      </c>
      <c r="AE52" s="22">
        <v>7219</v>
      </c>
      <c r="AF52" s="22">
        <v>7123</v>
      </c>
      <c r="AG52" s="22">
        <v>7300</v>
      </c>
      <c r="AH52" s="22">
        <v>7282</v>
      </c>
      <c r="AI52" s="22">
        <v>7180</v>
      </c>
      <c r="AJ52" s="22">
        <v>7139</v>
      </c>
      <c r="AK52" s="22">
        <v>6988</v>
      </c>
      <c r="AL52" s="22">
        <v>7244</v>
      </c>
      <c r="AM52" s="22">
        <v>7264</v>
      </c>
      <c r="AN52" s="22">
        <v>7033</v>
      </c>
      <c r="AO52" s="22">
        <v>6988</v>
      </c>
      <c r="AP52" s="22">
        <v>6901</v>
      </c>
      <c r="AQ52" s="22">
        <v>6950</v>
      </c>
      <c r="AR52" s="22">
        <v>7055</v>
      </c>
      <c r="AS52" s="22">
        <v>7071</v>
      </c>
      <c r="AT52" s="22">
        <v>7200</v>
      </c>
      <c r="AU52" s="22">
        <v>7285</v>
      </c>
      <c r="AV52" s="22">
        <v>7577</v>
      </c>
      <c r="AW52" s="22">
        <v>7377</v>
      </c>
      <c r="AX52" s="22">
        <v>7307</v>
      </c>
      <c r="AY52" s="22">
        <v>7290</v>
      </c>
      <c r="AZ52" s="22">
        <v>7452</v>
      </c>
      <c r="BA52" s="22">
        <v>7453</v>
      </c>
      <c r="BB52" s="22">
        <v>7322</v>
      </c>
      <c r="BC52" s="22">
        <v>7256</v>
      </c>
      <c r="BD52" s="22">
        <v>7509</v>
      </c>
      <c r="BE52" s="22">
        <v>7642</v>
      </c>
      <c r="BF52" s="22">
        <v>7507</v>
      </c>
      <c r="BG52" s="22">
        <v>6857</v>
      </c>
      <c r="BH52" s="22">
        <v>5880</v>
      </c>
      <c r="BI52" s="22">
        <v>5971</v>
      </c>
      <c r="BJ52" s="22">
        <v>5999</v>
      </c>
      <c r="BK52" s="22">
        <v>5973</v>
      </c>
      <c r="BL52" s="22">
        <v>5937</v>
      </c>
    </row>
    <row r="53" spans="1:64" ht="15.95" customHeight="1">
      <c r="A53" s="81" t="s">
        <v>310</v>
      </c>
      <c r="B53" s="17" t="s">
        <v>129</v>
      </c>
      <c r="C53" s="26">
        <f>_xll.RssMarket("5201","始値")</f>
        <v>7224</v>
      </c>
      <c r="D53" s="25">
        <f t="shared" si="0"/>
        <v>0</v>
      </c>
      <c r="E53" s="22">
        <v>7224</v>
      </c>
      <c r="F53" s="22">
        <v>7500</v>
      </c>
      <c r="G53" s="22">
        <v>7210</v>
      </c>
      <c r="H53" s="22">
        <v>7102</v>
      </c>
      <c r="I53" s="22">
        <v>6641</v>
      </c>
      <c r="J53" s="22">
        <v>7121</v>
      </c>
      <c r="K53" s="22">
        <v>7285</v>
      </c>
      <c r="L53" s="22">
        <v>8000</v>
      </c>
      <c r="M53" s="22">
        <v>8087</v>
      </c>
      <c r="N53" s="22">
        <v>7720</v>
      </c>
      <c r="O53" s="22">
        <v>7098</v>
      </c>
      <c r="P53" s="22">
        <v>6893</v>
      </c>
      <c r="Q53" s="22">
        <v>6968</v>
      </c>
      <c r="R53" s="22">
        <v>7218</v>
      </c>
      <c r="S53" s="22">
        <v>6504</v>
      </c>
      <c r="T53" s="22">
        <v>6227</v>
      </c>
      <c r="U53" s="22">
        <v>6149</v>
      </c>
      <c r="V53" s="22">
        <v>6215</v>
      </c>
      <c r="W53" s="22">
        <v>6279</v>
      </c>
      <c r="X53" s="22">
        <v>6000</v>
      </c>
      <c r="Y53" s="22">
        <v>6061</v>
      </c>
      <c r="Z53" s="22">
        <v>5964</v>
      </c>
      <c r="AA53" s="22">
        <v>5661</v>
      </c>
      <c r="AB53" s="22">
        <v>5600</v>
      </c>
      <c r="AC53" s="22">
        <v>5652</v>
      </c>
      <c r="AD53" s="22">
        <v>5628</v>
      </c>
      <c r="AE53" s="22">
        <v>5561</v>
      </c>
      <c r="AF53" s="22">
        <v>5654</v>
      </c>
      <c r="AG53" s="22">
        <v>5747</v>
      </c>
      <c r="AH53" s="22">
        <v>5629</v>
      </c>
      <c r="AI53" s="22">
        <v>5697</v>
      </c>
      <c r="AJ53" s="22">
        <v>5632</v>
      </c>
      <c r="AK53" s="22">
        <v>5769</v>
      </c>
      <c r="AL53" s="22">
        <v>5768</v>
      </c>
      <c r="AM53" s="22">
        <v>5796</v>
      </c>
      <c r="AN53" s="22">
        <v>5703</v>
      </c>
      <c r="AO53" s="22">
        <v>5676</v>
      </c>
      <c r="AP53" s="22">
        <v>5645</v>
      </c>
      <c r="AQ53" s="22">
        <v>5782</v>
      </c>
      <c r="AR53" s="22">
        <v>5750</v>
      </c>
      <c r="AS53" s="22">
        <v>5872</v>
      </c>
      <c r="AT53" s="22">
        <v>5975</v>
      </c>
      <c r="AU53" s="22">
        <v>5853</v>
      </c>
      <c r="AV53" s="22">
        <v>5605</v>
      </c>
      <c r="AW53" s="22">
        <v>5601</v>
      </c>
      <c r="AX53" s="22">
        <v>5644</v>
      </c>
      <c r="AY53" s="22">
        <v>5800</v>
      </c>
      <c r="AZ53" s="22">
        <v>5659</v>
      </c>
      <c r="BA53" s="22">
        <v>5371</v>
      </c>
      <c r="BB53" s="22">
        <v>5300</v>
      </c>
      <c r="BC53" s="22">
        <v>5540</v>
      </c>
      <c r="BD53" s="22">
        <v>5690</v>
      </c>
      <c r="BE53" s="22">
        <v>5594</v>
      </c>
      <c r="BF53" s="22">
        <v>5480</v>
      </c>
      <c r="BG53" s="22">
        <v>5443</v>
      </c>
      <c r="BH53" s="22">
        <v>5652</v>
      </c>
      <c r="BI53" s="22">
        <v>5664</v>
      </c>
      <c r="BJ53" s="22">
        <v>5733</v>
      </c>
      <c r="BK53" s="22">
        <v>5743</v>
      </c>
      <c r="BL53" s="22">
        <v>5800</v>
      </c>
    </row>
    <row r="54" spans="1:64" ht="15.95" customHeight="1">
      <c r="A54" s="81" t="s">
        <v>311</v>
      </c>
      <c r="B54" s="17" t="s">
        <v>130</v>
      </c>
      <c r="C54" s="26">
        <f>_xll.RssMarket("8630","始値")</f>
        <v>6330</v>
      </c>
      <c r="D54" s="25">
        <f t="shared" si="0"/>
        <v>0</v>
      </c>
      <c r="E54" s="22">
        <v>6330</v>
      </c>
      <c r="F54" s="22">
        <v>6268</v>
      </c>
      <c r="G54" s="22">
        <v>6172</v>
      </c>
      <c r="H54" s="22">
        <v>6074</v>
      </c>
      <c r="I54" s="22">
        <v>6183</v>
      </c>
      <c r="J54" s="22">
        <v>6300</v>
      </c>
      <c r="K54" s="22">
        <v>5925</v>
      </c>
      <c r="L54" s="22">
        <v>5874</v>
      </c>
      <c r="M54" s="22">
        <v>5829</v>
      </c>
      <c r="N54" s="22">
        <v>5870</v>
      </c>
      <c r="O54" s="22">
        <v>5959</v>
      </c>
      <c r="P54" s="22">
        <v>5810</v>
      </c>
      <c r="Q54" s="22">
        <v>5930</v>
      </c>
      <c r="R54" s="22">
        <v>5893</v>
      </c>
      <c r="S54" s="22">
        <v>5600</v>
      </c>
      <c r="T54" s="22">
        <v>5569</v>
      </c>
      <c r="U54" s="22">
        <v>5838</v>
      </c>
      <c r="V54" s="22">
        <v>6400</v>
      </c>
      <c r="W54" s="22">
        <v>6298</v>
      </c>
      <c r="X54" s="22">
        <v>6146</v>
      </c>
      <c r="Y54" s="22">
        <v>6073</v>
      </c>
      <c r="Z54" s="22">
        <v>6041</v>
      </c>
      <c r="AA54" s="22">
        <v>5982</v>
      </c>
      <c r="AB54" s="22">
        <v>5854</v>
      </c>
      <c r="AC54" s="22">
        <v>5706</v>
      </c>
      <c r="AD54" s="22">
        <v>5882</v>
      </c>
      <c r="AE54" s="22">
        <v>5905</v>
      </c>
      <c r="AF54" s="22">
        <v>5710</v>
      </c>
      <c r="AG54" s="22">
        <v>5791</v>
      </c>
      <c r="AH54" s="22">
        <v>5772</v>
      </c>
      <c r="AI54" s="22">
        <v>5737</v>
      </c>
      <c r="AJ54" s="22">
        <v>5890</v>
      </c>
      <c r="AK54" s="22">
        <v>5792</v>
      </c>
      <c r="AL54" s="22">
        <v>5909</v>
      </c>
      <c r="AM54" s="22">
        <v>5936</v>
      </c>
      <c r="AN54" s="22">
        <v>5937</v>
      </c>
      <c r="AO54" s="22">
        <v>5981</v>
      </c>
      <c r="AP54" s="22">
        <v>5969</v>
      </c>
      <c r="AQ54" s="22">
        <v>5988</v>
      </c>
      <c r="AR54" s="22">
        <v>6015</v>
      </c>
      <c r="AS54" s="22">
        <v>5922</v>
      </c>
      <c r="AT54" s="22">
        <v>6037</v>
      </c>
      <c r="AU54" s="22">
        <v>6080</v>
      </c>
      <c r="AV54" s="22">
        <v>6296</v>
      </c>
      <c r="AW54" s="22">
        <v>6070</v>
      </c>
      <c r="AX54" s="22">
        <v>6047</v>
      </c>
      <c r="AY54" s="22">
        <v>6070</v>
      </c>
      <c r="AZ54" s="22">
        <v>6203</v>
      </c>
      <c r="BA54" s="22">
        <v>6192</v>
      </c>
      <c r="BB54" s="22">
        <v>6058</v>
      </c>
      <c r="BC54" s="22">
        <v>5868</v>
      </c>
      <c r="BD54" s="22">
        <v>6099</v>
      </c>
      <c r="BE54" s="22">
        <v>6055</v>
      </c>
      <c r="BF54" s="22">
        <v>5955</v>
      </c>
      <c r="BG54" s="22">
        <v>5874</v>
      </c>
      <c r="BH54" s="22">
        <v>5676</v>
      </c>
      <c r="BI54" s="22">
        <v>5799</v>
      </c>
      <c r="BJ54" s="22">
        <v>5947</v>
      </c>
      <c r="BK54" s="22">
        <v>5885</v>
      </c>
      <c r="BL54" s="22">
        <v>5849</v>
      </c>
    </row>
    <row r="55" spans="1:64" ht="15.95" customHeight="1">
      <c r="A55" s="81" t="s">
        <v>312</v>
      </c>
      <c r="B55" s="17" t="s">
        <v>131</v>
      </c>
      <c r="C55" s="26">
        <f>_xll.RssMarket("5901","始値")</f>
        <v>4004</v>
      </c>
      <c r="D55" s="25">
        <f t="shared" si="0"/>
        <v>0</v>
      </c>
      <c r="E55" s="22">
        <v>4004</v>
      </c>
      <c r="F55" s="22">
        <v>3979</v>
      </c>
      <c r="G55" s="22">
        <v>3990</v>
      </c>
      <c r="H55" s="22">
        <v>3883</v>
      </c>
      <c r="I55" s="22">
        <v>3815</v>
      </c>
      <c r="J55" s="22">
        <v>3820</v>
      </c>
      <c r="K55" s="22">
        <v>3912</v>
      </c>
      <c r="L55" s="22">
        <v>3777</v>
      </c>
      <c r="M55" s="22">
        <v>3850</v>
      </c>
      <c r="N55" s="22">
        <v>3778</v>
      </c>
      <c r="O55" s="22">
        <v>3867</v>
      </c>
      <c r="P55" s="22">
        <v>3910</v>
      </c>
      <c r="Q55" s="22">
        <v>3938</v>
      </c>
      <c r="R55" s="22">
        <v>3931</v>
      </c>
      <c r="S55" s="22">
        <v>4001</v>
      </c>
      <c r="T55" s="22">
        <v>4369</v>
      </c>
      <c r="U55" s="22">
        <v>4128</v>
      </c>
      <c r="V55" s="22">
        <v>4073</v>
      </c>
      <c r="W55" s="22">
        <v>3889</v>
      </c>
      <c r="X55" s="22">
        <v>3776</v>
      </c>
      <c r="Y55" s="22">
        <v>3542</v>
      </c>
      <c r="Z55" s="22">
        <v>3448</v>
      </c>
      <c r="AA55" s="22">
        <v>3371</v>
      </c>
      <c r="AB55" s="22">
        <v>3418</v>
      </c>
      <c r="AC55" s="22">
        <v>3531</v>
      </c>
      <c r="AD55" s="22">
        <v>3563</v>
      </c>
      <c r="AE55" s="22">
        <v>3438</v>
      </c>
      <c r="AF55" s="22">
        <v>3335</v>
      </c>
      <c r="AG55" s="22">
        <v>3137</v>
      </c>
      <c r="AH55" s="22">
        <v>3186</v>
      </c>
      <c r="AI55" s="22">
        <v>3196</v>
      </c>
      <c r="AJ55" s="22">
        <v>3230</v>
      </c>
      <c r="AK55" s="22">
        <v>3244</v>
      </c>
      <c r="AL55" s="22">
        <v>3373</v>
      </c>
      <c r="AM55" s="22">
        <v>3372</v>
      </c>
      <c r="AN55" s="22">
        <v>3386</v>
      </c>
      <c r="AO55" s="22">
        <v>3380</v>
      </c>
      <c r="AP55" s="22">
        <v>3426</v>
      </c>
      <c r="AQ55" s="22">
        <v>3370</v>
      </c>
      <c r="AR55" s="22">
        <v>3431</v>
      </c>
      <c r="AS55" s="22">
        <v>3446</v>
      </c>
      <c r="AT55" s="22">
        <v>3474</v>
      </c>
      <c r="AU55" s="22">
        <v>3588</v>
      </c>
      <c r="AV55" s="22">
        <v>3528</v>
      </c>
      <c r="AW55" s="22">
        <v>3442</v>
      </c>
      <c r="AX55" s="22">
        <v>3474</v>
      </c>
      <c r="AY55" s="22">
        <v>3523</v>
      </c>
      <c r="AZ55" s="22">
        <v>3658</v>
      </c>
      <c r="BA55" s="22">
        <v>3607</v>
      </c>
      <c r="BB55" s="22">
        <v>3500</v>
      </c>
      <c r="BC55" s="22">
        <v>3459</v>
      </c>
      <c r="BD55" s="22">
        <v>3655</v>
      </c>
      <c r="BE55" s="22">
        <v>3727</v>
      </c>
      <c r="BF55" s="22">
        <v>3709</v>
      </c>
      <c r="BG55" s="22">
        <v>3638</v>
      </c>
      <c r="BH55" s="22">
        <v>3600</v>
      </c>
      <c r="BI55" s="22">
        <v>3812</v>
      </c>
      <c r="BJ55" s="22">
        <v>3883</v>
      </c>
      <c r="BK55" s="22">
        <v>3866</v>
      </c>
      <c r="BL55" s="22">
        <v>3825</v>
      </c>
    </row>
    <row r="56" spans="1:64" ht="15.95" customHeight="1">
      <c r="A56" s="81" t="s">
        <v>313</v>
      </c>
      <c r="B56" s="17" t="s">
        <v>132</v>
      </c>
      <c r="C56" s="26">
        <f>_xll.RssMarket("9412","始値")</f>
        <v>3300</v>
      </c>
      <c r="D56" s="25">
        <f t="shared" si="0"/>
        <v>0</v>
      </c>
      <c r="E56" s="22">
        <v>3300</v>
      </c>
      <c r="F56" s="22">
        <v>3315</v>
      </c>
      <c r="G56" s="22">
        <v>3415</v>
      </c>
      <c r="H56" s="22">
        <v>3450</v>
      </c>
      <c r="I56" s="22">
        <v>3100</v>
      </c>
      <c r="J56" s="22">
        <v>3200</v>
      </c>
      <c r="K56" s="22">
        <v>3350</v>
      </c>
      <c r="L56" s="22">
        <v>3555</v>
      </c>
      <c r="M56" s="22">
        <v>3350</v>
      </c>
      <c r="N56" s="22">
        <v>3710</v>
      </c>
      <c r="O56" s="22">
        <v>3890</v>
      </c>
      <c r="P56" s="22">
        <v>4600</v>
      </c>
      <c r="Q56" s="22">
        <v>4285</v>
      </c>
      <c r="R56" s="22">
        <v>4625</v>
      </c>
      <c r="S56" s="22">
        <v>4400</v>
      </c>
      <c r="T56" s="22">
        <v>4100</v>
      </c>
      <c r="U56" s="22">
        <v>4235</v>
      </c>
      <c r="V56" s="22">
        <v>3975</v>
      </c>
      <c r="W56" s="22">
        <v>4100</v>
      </c>
      <c r="X56" s="22">
        <v>4230</v>
      </c>
      <c r="Y56" s="22">
        <v>4305</v>
      </c>
      <c r="Z56" s="22">
        <v>4205</v>
      </c>
      <c r="AA56" s="22">
        <v>3895</v>
      </c>
      <c r="AB56" s="22">
        <v>3805</v>
      </c>
      <c r="AC56" s="22">
        <v>3800</v>
      </c>
      <c r="AD56" s="22">
        <v>3530</v>
      </c>
      <c r="AE56" s="22">
        <v>3605</v>
      </c>
      <c r="AF56" s="22">
        <v>3500</v>
      </c>
      <c r="AG56" s="22">
        <v>3420</v>
      </c>
      <c r="AH56" s="22">
        <v>3160</v>
      </c>
      <c r="AI56" s="22">
        <v>3215</v>
      </c>
      <c r="AJ56" s="22">
        <v>3170</v>
      </c>
      <c r="AK56" s="22">
        <v>3125</v>
      </c>
      <c r="AL56" s="22">
        <v>3335</v>
      </c>
      <c r="AM56" s="22">
        <v>3350</v>
      </c>
      <c r="AN56" s="22">
        <v>3300</v>
      </c>
      <c r="AO56" s="22">
        <v>3250</v>
      </c>
      <c r="AP56" s="22">
        <v>3190</v>
      </c>
      <c r="AQ56" s="22">
        <v>3205</v>
      </c>
      <c r="AR56" s="22">
        <v>3055</v>
      </c>
      <c r="AS56" s="22">
        <v>2990</v>
      </c>
      <c r="AT56" s="22">
        <v>3150</v>
      </c>
      <c r="AU56" s="22">
        <v>3160</v>
      </c>
      <c r="AV56" s="22">
        <v>3160</v>
      </c>
      <c r="AW56" s="22">
        <v>3095</v>
      </c>
      <c r="AX56" s="22">
        <v>3015</v>
      </c>
      <c r="AY56" s="22">
        <v>3080</v>
      </c>
      <c r="AZ56" s="22">
        <v>3020</v>
      </c>
      <c r="BA56" s="22">
        <v>3045</v>
      </c>
      <c r="BB56" s="22">
        <v>2870</v>
      </c>
      <c r="BC56" s="22">
        <v>2890</v>
      </c>
      <c r="BD56" s="22">
        <v>3000</v>
      </c>
      <c r="BE56" s="22">
        <v>3070</v>
      </c>
      <c r="BF56" s="22">
        <v>2950</v>
      </c>
      <c r="BG56" s="22">
        <v>2928</v>
      </c>
      <c r="BH56" s="22">
        <v>2730</v>
      </c>
      <c r="BI56" s="22">
        <v>2794</v>
      </c>
      <c r="BJ56" s="22">
        <v>2840</v>
      </c>
      <c r="BK56" s="22">
        <v>2969</v>
      </c>
      <c r="BL56" s="22">
        <v>3140</v>
      </c>
    </row>
    <row r="57" spans="1:64" ht="15.95" customHeight="1">
      <c r="A57" s="81" t="s">
        <v>314</v>
      </c>
      <c r="B57" s="17" t="s">
        <v>133</v>
      </c>
      <c r="C57" s="26">
        <f>_xll.RssMarket("6203","始値")</f>
        <v>1573</v>
      </c>
      <c r="D57" s="25">
        <f t="shared" si="0"/>
        <v>0</v>
      </c>
      <c r="E57" s="22">
        <v>1573</v>
      </c>
      <c r="F57" s="22">
        <v>1586</v>
      </c>
      <c r="G57" s="22">
        <v>1612</v>
      </c>
      <c r="H57" s="22">
        <v>1645</v>
      </c>
      <c r="I57" s="22">
        <v>1642</v>
      </c>
      <c r="J57" s="22">
        <v>1793</v>
      </c>
      <c r="K57" s="22">
        <v>1700</v>
      </c>
      <c r="L57" s="22">
        <v>1710</v>
      </c>
      <c r="M57" s="22">
        <v>1728</v>
      </c>
      <c r="N57" s="22">
        <v>1887</v>
      </c>
      <c r="O57" s="22">
        <v>1916</v>
      </c>
      <c r="P57" s="22">
        <v>1950</v>
      </c>
      <c r="Q57" s="22">
        <v>1490</v>
      </c>
      <c r="R57" s="22">
        <v>1386</v>
      </c>
      <c r="S57" s="22">
        <v>1367</v>
      </c>
      <c r="T57" s="22">
        <v>1327</v>
      </c>
      <c r="U57" s="22">
        <v>1306</v>
      </c>
      <c r="V57" s="22">
        <v>1299</v>
      </c>
      <c r="W57" s="22">
        <v>1331</v>
      </c>
      <c r="X57" s="22">
        <v>1392</v>
      </c>
      <c r="Y57" s="22">
        <v>1378</v>
      </c>
      <c r="Z57" s="22">
        <v>1431</v>
      </c>
      <c r="AA57" s="22">
        <v>1428</v>
      </c>
      <c r="AB57" s="22">
        <v>1539</v>
      </c>
      <c r="AC57" s="22">
        <v>1510</v>
      </c>
      <c r="AD57" s="22">
        <v>1503</v>
      </c>
      <c r="AE57" s="22">
        <v>1559</v>
      </c>
      <c r="AF57" s="22">
        <v>1524</v>
      </c>
      <c r="AG57" s="22">
        <v>1560</v>
      </c>
      <c r="AH57" s="22">
        <v>1500</v>
      </c>
      <c r="AI57" s="22">
        <v>1483</v>
      </c>
      <c r="AJ57" s="22">
        <v>1505</v>
      </c>
      <c r="AK57" s="22">
        <v>1575</v>
      </c>
      <c r="AL57" s="22">
        <v>1444</v>
      </c>
      <c r="AM57" s="22">
        <v>1382</v>
      </c>
      <c r="AN57" s="22">
        <v>1374</v>
      </c>
      <c r="AO57" s="22">
        <v>1376</v>
      </c>
      <c r="AP57" s="22">
        <v>1380</v>
      </c>
      <c r="AQ57" s="22">
        <v>1451</v>
      </c>
      <c r="AR57" s="22">
        <v>1482</v>
      </c>
      <c r="AS57" s="22">
        <v>1460</v>
      </c>
      <c r="AT57" s="22">
        <v>1499</v>
      </c>
      <c r="AU57" s="22">
        <v>1590</v>
      </c>
      <c r="AV57" s="22">
        <v>1568</v>
      </c>
      <c r="AW57" s="22">
        <v>1487</v>
      </c>
      <c r="AX57" s="22">
        <v>1541</v>
      </c>
      <c r="AY57" s="22">
        <v>1512</v>
      </c>
      <c r="AZ57" s="22">
        <v>1515</v>
      </c>
      <c r="BA57" s="22">
        <v>1450</v>
      </c>
      <c r="BB57" s="22">
        <v>1436</v>
      </c>
      <c r="BC57" s="22">
        <v>1475</v>
      </c>
      <c r="BD57" s="22">
        <v>1534</v>
      </c>
      <c r="BE57" s="22">
        <v>1581</v>
      </c>
      <c r="BF57" s="22">
        <v>1557</v>
      </c>
      <c r="BG57" s="22">
        <v>1541</v>
      </c>
      <c r="BH57" s="22">
        <v>1512</v>
      </c>
      <c r="BI57" s="22">
        <v>1630</v>
      </c>
      <c r="BJ57" s="22">
        <v>1659</v>
      </c>
      <c r="BK57" s="22">
        <v>1690</v>
      </c>
      <c r="BL57" s="22">
        <v>1740</v>
      </c>
    </row>
    <row r="58" spans="1:64" ht="15.95" customHeight="1">
      <c r="A58" s="81" t="s">
        <v>315</v>
      </c>
      <c r="B58" s="17" t="s">
        <v>134</v>
      </c>
      <c r="C58" s="26">
        <f>_xll.RssMarket("4676","始値")</f>
        <v>4050</v>
      </c>
      <c r="D58" s="25">
        <f t="shared" si="0"/>
        <v>0</v>
      </c>
      <c r="E58" s="22">
        <v>4050</v>
      </c>
      <c r="F58" s="22">
        <v>4056</v>
      </c>
      <c r="G58" s="22">
        <v>4054</v>
      </c>
      <c r="H58" s="22">
        <v>4072</v>
      </c>
      <c r="I58" s="22">
        <v>4100</v>
      </c>
      <c r="J58" s="22">
        <v>4150</v>
      </c>
      <c r="K58" s="22">
        <v>4106</v>
      </c>
      <c r="L58" s="22">
        <v>4033</v>
      </c>
      <c r="M58" s="22">
        <v>3801</v>
      </c>
      <c r="N58" s="22">
        <v>3844</v>
      </c>
      <c r="O58" s="22">
        <v>3725</v>
      </c>
      <c r="P58" s="22">
        <v>3777</v>
      </c>
      <c r="Q58" s="22">
        <v>3678</v>
      </c>
      <c r="R58" s="22">
        <v>3771</v>
      </c>
      <c r="S58" s="22">
        <v>3805</v>
      </c>
      <c r="T58" s="22">
        <v>3828</v>
      </c>
      <c r="U58" s="22">
        <v>3774</v>
      </c>
      <c r="V58" s="22">
        <v>3745</v>
      </c>
      <c r="W58" s="22">
        <v>3805</v>
      </c>
      <c r="X58" s="22">
        <v>3789</v>
      </c>
      <c r="Y58" s="22">
        <v>3852</v>
      </c>
      <c r="Z58" s="22">
        <v>3791</v>
      </c>
      <c r="AA58" s="22">
        <v>3983</v>
      </c>
      <c r="AB58" s="22">
        <v>3901</v>
      </c>
      <c r="AC58" s="22">
        <v>3963</v>
      </c>
      <c r="AD58" s="22">
        <v>3851</v>
      </c>
      <c r="AE58" s="22">
        <v>3828</v>
      </c>
      <c r="AF58" s="22">
        <v>3830</v>
      </c>
      <c r="AG58" s="22">
        <v>3895</v>
      </c>
      <c r="AH58" s="22">
        <v>3966</v>
      </c>
      <c r="AI58" s="22">
        <v>3951</v>
      </c>
      <c r="AJ58" s="22">
        <v>4012</v>
      </c>
      <c r="AK58" s="22">
        <v>3900</v>
      </c>
      <c r="AL58" s="22">
        <v>4065</v>
      </c>
      <c r="AM58" s="22">
        <v>3835</v>
      </c>
      <c r="AN58" s="22">
        <v>3949</v>
      </c>
      <c r="AO58" s="22">
        <v>4214</v>
      </c>
      <c r="AP58" s="22">
        <v>4250</v>
      </c>
      <c r="AQ58" s="22">
        <v>4225</v>
      </c>
      <c r="AR58" s="22">
        <v>4210</v>
      </c>
      <c r="AS58" s="22">
        <v>4260</v>
      </c>
      <c r="AT58" s="22">
        <v>4296</v>
      </c>
      <c r="AU58" s="22">
        <v>4444</v>
      </c>
      <c r="AV58" s="22">
        <v>4300</v>
      </c>
      <c r="AW58" s="22">
        <v>4264</v>
      </c>
      <c r="AX58" s="22">
        <v>4101</v>
      </c>
      <c r="AY58" s="22">
        <v>4140</v>
      </c>
      <c r="AZ58" s="22">
        <v>4020</v>
      </c>
      <c r="BA58" s="22">
        <v>4065</v>
      </c>
      <c r="BB58" s="22">
        <v>4011</v>
      </c>
      <c r="BC58" s="22">
        <v>4091</v>
      </c>
      <c r="BD58" s="22">
        <v>4006</v>
      </c>
      <c r="BE58" s="22">
        <v>3986</v>
      </c>
      <c r="BF58" s="22">
        <v>3930</v>
      </c>
      <c r="BG58" s="22">
        <v>3929</v>
      </c>
      <c r="BH58" s="22">
        <v>3829</v>
      </c>
      <c r="BI58" s="22">
        <v>3795</v>
      </c>
      <c r="BJ58" s="22">
        <v>3747</v>
      </c>
      <c r="BK58" s="22">
        <v>3734</v>
      </c>
      <c r="BL58" s="22">
        <v>3587</v>
      </c>
    </row>
    <row r="59" spans="1:64" ht="15.95" customHeight="1">
      <c r="A59" s="81" t="s">
        <v>316</v>
      </c>
      <c r="B59" s="17" t="s">
        <v>135</v>
      </c>
      <c r="C59" s="26">
        <f>_xll.RssMarket("1961","始値")</f>
        <v>2650</v>
      </c>
      <c r="D59" s="25">
        <f t="shared" si="0"/>
        <v>0</v>
      </c>
      <c r="E59" s="22">
        <v>2650</v>
      </c>
      <c r="F59" s="22">
        <v>2606</v>
      </c>
      <c r="G59" s="22">
        <v>2607</v>
      </c>
      <c r="H59" s="22">
        <v>2503</v>
      </c>
      <c r="I59" s="22">
        <v>2433</v>
      </c>
      <c r="J59" s="22">
        <v>2456</v>
      </c>
      <c r="K59" s="22">
        <v>2317</v>
      </c>
      <c r="L59" s="22">
        <v>2300</v>
      </c>
      <c r="M59" s="22">
        <v>2180</v>
      </c>
      <c r="N59" s="22">
        <v>2160</v>
      </c>
      <c r="O59" s="22">
        <v>2161</v>
      </c>
      <c r="P59" s="22">
        <v>2253</v>
      </c>
      <c r="Q59" s="22">
        <v>2228</v>
      </c>
      <c r="R59" s="22">
        <v>2311</v>
      </c>
      <c r="S59" s="22">
        <v>2210</v>
      </c>
      <c r="T59" s="22">
        <v>2200</v>
      </c>
      <c r="U59" s="22">
        <v>2217</v>
      </c>
      <c r="V59" s="22">
        <v>2365</v>
      </c>
      <c r="W59" s="22">
        <v>2414</v>
      </c>
      <c r="X59" s="22">
        <v>2539</v>
      </c>
      <c r="Y59" s="22">
        <v>2689</v>
      </c>
      <c r="Z59" s="22">
        <v>2604</v>
      </c>
      <c r="AA59" s="22">
        <v>2646</v>
      </c>
      <c r="AB59" s="22">
        <v>2658</v>
      </c>
      <c r="AC59" s="22">
        <v>2580</v>
      </c>
      <c r="AD59" s="22">
        <v>2513</v>
      </c>
      <c r="AE59" s="22">
        <v>2498</v>
      </c>
      <c r="AF59" s="22">
        <v>2393</v>
      </c>
      <c r="AG59" s="22">
        <v>2375</v>
      </c>
      <c r="AH59" s="22">
        <v>2272</v>
      </c>
      <c r="AI59" s="22">
        <v>2329</v>
      </c>
      <c r="AJ59" s="22">
        <v>2269</v>
      </c>
      <c r="AK59" s="22">
        <v>2279</v>
      </c>
      <c r="AL59" s="22">
        <v>2359</v>
      </c>
      <c r="AM59" s="22">
        <v>2366</v>
      </c>
      <c r="AN59" s="22">
        <v>2419</v>
      </c>
      <c r="AO59" s="22">
        <v>2426</v>
      </c>
      <c r="AP59" s="22">
        <v>2449</v>
      </c>
      <c r="AQ59" s="22">
        <v>2666</v>
      </c>
      <c r="AR59" s="22">
        <v>2756</v>
      </c>
      <c r="AS59" s="22">
        <v>2723</v>
      </c>
      <c r="AT59" s="22">
        <v>2683</v>
      </c>
      <c r="AU59" s="22">
        <v>2589</v>
      </c>
      <c r="AV59" s="22">
        <v>2566</v>
      </c>
      <c r="AW59" s="22">
        <v>2463</v>
      </c>
      <c r="AX59" s="22">
        <v>2426</v>
      </c>
      <c r="AY59" s="22">
        <v>2413</v>
      </c>
      <c r="AZ59" s="22">
        <v>2419</v>
      </c>
      <c r="BA59" s="22">
        <v>2333</v>
      </c>
      <c r="BB59" s="22">
        <v>2199</v>
      </c>
      <c r="BC59" s="22">
        <v>2196</v>
      </c>
      <c r="BD59" s="22">
        <v>2289</v>
      </c>
      <c r="BE59" s="22">
        <v>2333</v>
      </c>
      <c r="BF59" s="22">
        <v>2299</v>
      </c>
      <c r="BG59" s="22">
        <v>2223</v>
      </c>
      <c r="BH59" s="22">
        <v>2196</v>
      </c>
      <c r="BI59" s="22">
        <v>2263</v>
      </c>
      <c r="BJ59" s="22">
        <v>2249</v>
      </c>
      <c r="BK59" s="22">
        <v>2223</v>
      </c>
      <c r="BL59" s="22">
        <v>2206</v>
      </c>
    </row>
    <row r="60" spans="1:64" ht="15.95" customHeight="1">
      <c r="A60" s="81" t="s">
        <v>317</v>
      </c>
      <c r="B60" s="17" t="s">
        <v>136</v>
      </c>
      <c r="C60" s="26">
        <f>_xll.RssMarket("3107","始値")</f>
        <v>3419</v>
      </c>
      <c r="D60" s="25">
        <f t="shared" si="0"/>
        <v>0</v>
      </c>
      <c r="E60" s="22">
        <v>3419</v>
      </c>
      <c r="F60" s="22">
        <v>3449</v>
      </c>
      <c r="G60" s="22">
        <v>3438</v>
      </c>
      <c r="H60" s="22">
        <v>3471</v>
      </c>
      <c r="I60" s="22">
        <v>3449</v>
      </c>
      <c r="J60" s="22">
        <v>3442</v>
      </c>
      <c r="K60" s="22">
        <v>3500</v>
      </c>
      <c r="L60" s="22">
        <v>3510</v>
      </c>
      <c r="M60" s="22">
        <v>3562</v>
      </c>
      <c r="N60" s="22">
        <v>3536</v>
      </c>
      <c r="O60" s="22">
        <v>3500</v>
      </c>
      <c r="P60" s="22">
        <v>3400</v>
      </c>
      <c r="Q60" s="22">
        <v>3346</v>
      </c>
      <c r="R60" s="22">
        <v>3367</v>
      </c>
      <c r="S60" s="22">
        <v>3500</v>
      </c>
      <c r="T60" s="22">
        <v>3535</v>
      </c>
      <c r="U60" s="22">
        <v>3543</v>
      </c>
      <c r="V60" s="22">
        <v>3580</v>
      </c>
      <c r="W60" s="22">
        <v>3514</v>
      </c>
      <c r="X60" s="22">
        <v>3461</v>
      </c>
      <c r="Y60" s="22">
        <v>3437</v>
      </c>
      <c r="Z60" s="22">
        <v>3485</v>
      </c>
      <c r="AA60" s="22">
        <v>3417</v>
      </c>
      <c r="AB60" s="22">
        <v>3424</v>
      </c>
      <c r="AC60" s="22">
        <v>3419</v>
      </c>
      <c r="AD60" s="22">
        <v>3345</v>
      </c>
      <c r="AE60" s="22">
        <v>3217</v>
      </c>
      <c r="AF60" s="22">
        <v>3200</v>
      </c>
      <c r="AG60" s="22">
        <v>3190</v>
      </c>
      <c r="AH60" s="22">
        <v>3212</v>
      </c>
      <c r="AI60" s="22">
        <v>3127</v>
      </c>
      <c r="AJ60" s="22">
        <v>3097</v>
      </c>
      <c r="AK60" s="22">
        <v>3084</v>
      </c>
      <c r="AL60" s="22">
        <v>3100</v>
      </c>
      <c r="AM60" s="22">
        <v>3113</v>
      </c>
      <c r="AN60" s="22">
        <v>3155</v>
      </c>
      <c r="AO60" s="22">
        <v>3165</v>
      </c>
      <c r="AP60" s="22">
        <v>3183</v>
      </c>
      <c r="AQ60" s="22">
        <v>3150</v>
      </c>
      <c r="AR60" s="22">
        <v>3145</v>
      </c>
      <c r="AS60" s="22">
        <v>3085</v>
      </c>
      <c r="AT60" s="22">
        <v>3201</v>
      </c>
      <c r="AU60" s="22">
        <v>3250</v>
      </c>
      <c r="AV60" s="22">
        <v>3325</v>
      </c>
      <c r="AW60" s="22">
        <v>3207</v>
      </c>
      <c r="AX60" s="22">
        <v>3188</v>
      </c>
      <c r="AY60" s="22">
        <v>3145</v>
      </c>
      <c r="AZ60" s="22">
        <v>3200</v>
      </c>
      <c r="BA60" s="22">
        <v>3146</v>
      </c>
      <c r="BB60" s="22">
        <v>3017</v>
      </c>
      <c r="BC60" s="22">
        <v>2899.5</v>
      </c>
      <c r="BD60" s="22">
        <v>3045</v>
      </c>
      <c r="BE60" s="22">
        <v>3013</v>
      </c>
      <c r="BF60" s="22">
        <v>2990</v>
      </c>
      <c r="BG60" s="22">
        <v>2938.5</v>
      </c>
      <c r="BH60" s="22">
        <v>2918.5</v>
      </c>
      <c r="BI60" s="22">
        <v>2973</v>
      </c>
      <c r="BJ60" s="22">
        <v>2981.5</v>
      </c>
      <c r="BK60" s="22">
        <v>2959.5</v>
      </c>
      <c r="BL60" s="22">
        <v>2919.5</v>
      </c>
    </row>
    <row r="61" spans="1:64" ht="15.95" customHeight="1">
      <c r="A61" s="81" t="s">
        <v>318</v>
      </c>
      <c r="B61" s="17" t="s">
        <v>137</v>
      </c>
      <c r="C61" s="26">
        <f>_xll.RssMarket("4045","始値")</f>
        <v>1758.5</v>
      </c>
      <c r="D61" s="25">
        <f t="shared" si="0"/>
        <v>0</v>
      </c>
      <c r="E61" s="22">
        <v>1758.5</v>
      </c>
      <c r="F61" s="22">
        <v>1762</v>
      </c>
      <c r="G61" s="22">
        <v>1755.5</v>
      </c>
      <c r="H61" s="22">
        <v>1725</v>
      </c>
      <c r="I61" s="22">
        <v>1699</v>
      </c>
      <c r="J61" s="22">
        <v>1705</v>
      </c>
      <c r="K61" s="22">
        <v>1700</v>
      </c>
      <c r="L61" s="22">
        <v>1742</v>
      </c>
      <c r="M61" s="22">
        <v>1744</v>
      </c>
      <c r="N61" s="22">
        <v>1750</v>
      </c>
      <c r="O61" s="22">
        <v>1731</v>
      </c>
      <c r="P61" s="22">
        <v>1751</v>
      </c>
      <c r="Q61" s="22">
        <v>1734.5</v>
      </c>
      <c r="R61" s="22">
        <v>1737.5</v>
      </c>
      <c r="S61" s="22">
        <v>1725.5</v>
      </c>
      <c r="T61" s="22">
        <v>1710.5</v>
      </c>
      <c r="U61" s="22">
        <v>1703.5</v>
      </c>
      <c r="V61" s="22">
        <v>1710</v>
      </c>
      <c r="W61" s="22">
        <v>1758.5</v>
      </c>
      <c r="X61" s="22">
        <v>1747</v>
      </c>
      <c r="Y61" s="22">
        <v>1759.5</v>
      </c>
      <c r="Z61" s="22">
        <v>1750</v>
      </c>
      <c r="AA61" s="22">
        <v>1724</v>
      </c>
      <c r="AB61" s="22">
        <v>1736.5</v>
      </c>
      <c r="AC61" s="22">
        <v>1715</v>
      </c>
      <c r="AD61" s="22">
        <v>1734.5</v>
      </c>
      <c r="AE61" s="22">
        <v>1737</v>
      </c>
      <c r="AF61" s="22">
        <v>1698</v>
      </c>
      <c r="AG61" s="22">
        <v>1693.5</v>
      </c>
      <c r="AH61" s="22">
        <v>1729.5</v>
      </c>
      <c r="AI61" s="22">
        <v>1730</v>
      </c>
      <c r="AJ61" s="22">
        <v>1798.5</v>
      </c>
      <c r="AK61" s="22">
        <v>1800</v>
      </c>
      <c r="AL61" s="22">
        <v>1798.5</v>
      </c>
      <c r="AM61" s="22">
        <v>1795</v>
      </c>
      <c r="AN61" s="22">
        <v>1804</v>
      </c>
      <c r="AO61" s="22">
        <v>1803</v>
      </c>
      <c r="AP61" s="22">
        <v>1785</v>
      </c>
      <c r="AQ61" s="22">
        <v>1784.5</v>
      </c>
      <c r="AR61" s="22">
        <v>1784</v>
      </c>
      <c r="AS61" s="22">
        <v>1788</v>
      </c>
      <c r="AT61" s="22">
        <v>1782.5</v>
      </c>
      <c r="AU61" s="22">
        <v>1797.5</v>
      </c>
      <c r="AV61" s="22">
        <v>1802.5</v>
      </c>
      <c r="AW61" s="22">
        <v>1747</v>
      </c>
      <c r="AX61" s="22">
        <v>1742.5</v>
      </c>
      <c r="AY61" s="22">
        <v>1740</v>
      </c>
      <c r="AZ61" s="22">
        <v>1763</v>
      </c>
      <c r="BA61" s="22">
        <v>1736.5</v>
      </c>
      <c r="BB61" s="22">
        <v>1704</v>
      </c>
      <c r="BC61" s="22">
        <v>1691</v>
      </c>
      <c r="BD61" s="22">
        <v>1725.5</v>
      </c>
      <c r="BE61" s="22">
        <v>1734</v>
      </c>
      <c r="BF61" s="22">
        <v>1742</v>
      </c>
      <c r="BG61" s="22">
        <v>1697.5</v>
      </c>
      <c r="BH61" s="22">
        <v>1670</v>
      </c>
      <c r="BI61" s="22">
        <v>1745</v>
      </c>
      <c r="BJ61" s="22">
        <v>1758</v>
      </c>
      <c r="BK61" s="22">
        <v>1746</v>
      </c>
      <c r="BL61" s="22">
        <v>1730</v>
      </c>
    </row>
    <row r="62" spans="1:64" ht="15.95" customHeight="1">
      <c r="A62" s="81" t="s">
        <v>319</v>
      </c>
      <c r="B62" s="17" t="s">
        <v>138</v>
      </c>
      <c r="C62" s="26">
        <f>_xll.RssMarket("5857","始値")</f>
        <v>3205</v>
      </c>
      <c r="D62" s="25">
        <f t="shared" si="0"/>
        <v>0</v>
      </c>
      <c r="E62" s="22">
        <v>3205</v>
      </c>
      <c r="F62" s="22">
        <v>3220</v>
      </c>
      <c r="G62" s="22">
        <v>3150</v>
      </c>
      <c r="H62" s="22">
        <v>2972</v>
      </c>
      <c r="I62" s="22">
        <v>2940</v>
      </c>
      <c r="J62" s="22">
        <v>3015</v>
      </c>
      <c r="K62" s="22">
        <v>3055</v>
      </c>
      <c r="L62" s="22">
        <v>3160</v>
      </c>
      <c r="M62" s="22">
        <v>3210</v>
      </c>
      <c r="N62" s="22">
        <v>3255</v>
      </c>
      <c r="O62" s="22">
        <v>3190</v>
      </c>
      <c r="P62" s="22">
        <v>3270</v>
      </c>
      <c r="Q62" s="22">
        <v>3300</v>
      </c>
      <c r="R62" s="22">
        <v>3450</v>
      </c>
      <c r="S62" s="22">
        <v>3600</v>
      </c>
      <c r="T62" s="22">
        <v>3480</v>
      </c>
      <c r="U62" s="22">
        <v>3485</v>
      </c>
      <c r="V62" s="22">
        <v>3575</v>
      </c>
      <c r="W62" s="22">
        <v>3760</v>
      </c>
      <c r="X62" s="22">
        <v>3855</v>
      </c>
      <c r="Y62" s="22">
        <v>4045</v>
      </c>
      <c r="Z62" s="22">
        <v>4060</v>
      </c>
      <c r="AA62" s="22">
        <v>3880</v>
      </c>
      <c r="AB62" s="22">
        <v>3910</v>
      </c>
      <c r="AC62" s="22">
        <v>4115</v>
      </c>
      <c r="AD62" s="22">
        <v>3980</v>
      </c>
      <c r="AE62" s="22">
        <v>3855</v>
      </c>
      <c r="AF62" s="22">
        <v>3575</v>
      </c>
      <c r="AG62" s="22">
        <v>3580</v>
      </c>
      <c r="AH62" s="22">
        <v>3675</v>
      </c>
      <c r="AI62" s="22">
        <v>3615</v>
      </c>
      <c r="AJ62" s="22">
        <v>3670</v>
      </c>
      <c r="AK62" s="22">
        <v>3780</v>
      </c>
      <c r="AL62" s="22">
        <v>3925</v>
      </c>
      <c r="AM62" s="22">
        <v>3930</v>
      </c>
      <c r="AN62" s="22">
        <v>3835</v>
      </c>
      <c r="AO62" s="22">
        <v>3845</v>
      </c>
      <c r="AP62" s="22">
        <v>3775</v>
      </c>
      <c r="AQ62" s="22">
        <v>3850</v>
      </c>
      <c r="AR62" s="22">
        <v>3750</v>
      </c>
      <c r="AS62" s="22">
        <v>3655</v>
      </c>
      <c r="AT62" s="22">
        <v>3795</v>
      </c>
      <c r="AU62" s="22">
        <v>3760</v>
      </c>
      <c r="AV62" s="22">
        <v>3735</v>
      </c>
      <c r="AW62" s="22">
        <v>3580</v>
      </c>
      <c r="AX62" s="22">
        <v>3590</v>
      </c>
      <c r="AY62" s="22">
        <v>3550</v>
      </c>
      <c r="AZ62" s="22">
        <v>3605</v>
      </c>
      <c r="BA62" s="22">
        <v>3500</v>
      </c>
      <c r="BB62" s="22">
        <v>3325</v>
      </c>
      <c r="BC62" s="22">
        <v>3315</v>
      </c>
      <c r="BD62" s="22">
        <v>3490</v>
      </c>
      <c r="BE62" s="22">
        <v>3600</v>
      </c>
      <c r="BF62" s="22">
        <v>3600</v>
      </c>
      <c r="BG62" s="22">
        <v>3485</v>
      </c>
      <c r="BH62" s="22">
        <v>3405</v>
      </c>
      <c r="BI62" s="22">
        <v>3690</v>
      </c>
      <c r="BJ62" s="22">
        <v>3795</v>
      </c>
      <c r="BK62" s="22">
        <v>3750</v>
      </c>
      <c r="BL62" s="22">
        <v>3775</v>
      </c>
    </row>
    <row r="63" spans="1:64" ht="15.95" customHeight="1">
      <c r="A63" s="81" t="s">
        <v>320</v>
      </c>
      <c r="B63" s="17" t="s">
        <v>139</v>
      </c>
      <c r="C63" s="26">
        <f>_xll.RssMarket("8281","始値")</f>
        <v>1056</v>
      </c>
      <c r="D63" s="25">
        <f t="shared" si="0"/>
        <v>0</v>
      </c>
      <c r="E63" s="22">
        <v>1056</v>
      </c>
      <c r="F63" s="22">
        <v>1063</v>
      </c>
      <c r="G63" s="22">
        <v>1070</v>
      </c>
      <c r="H63" s="22">
        <v>1055</v>
      </c>
      <c r="I63" s="22">
        <v>1068</v>
      </c>
      <c r="J63" s="22">
        <v>1036</v>
      </c>
      <c r="K63" s="22">
        <v>1021</v>
      </c>
      <c r="L63" s="22">
        <v>1018</v>
      </c>
      <c r="M63" s="22">
        <v>1015</v>
      </c>
      <c r="N63" s="22">
        <v>1032</v>
      </c>
      <c r="O63" s="22">
        <v>1029</v>
      </c>
      <c r="P63" s="22">
        <v>1059</v>
      </c>
      <c r="Q63" s="22">
        <v>1048</v>
      </c>
      <c r="R63" s="22">
        <v>1040</v>
      </c>
      <c r="S63" s="22">
        <v>1055</v>
      </c>
      <c r="T63" s="22">
        <v>1053</v>
      </c>
      <c r="U63" s="22">
        <v>1044</v>
      </c>
      <c r="V63" s="22">
        <v>1043</v>
      </c>
      <c r="W63" s="22">
        <v>1025</v>
      </c>
      <c r="X63" s="22">
        <v>1000</v>
      </c>
      <c r="Y63" s="22">
        <v>966</v>
      </c>
      <c r="Z63" s="22">
        <v>961</v>
      </c>
      <c r="AA63" s="22">
        <v>970</v>
      </c>
      <c r="AB63" s="22">
        <v>971</v>
      </c>
      <c r="AC63" s="22">
        <v>988</v>
      </c>
      <c r="AD63" s="22">
        <v>996</v>
      </c>
      <c r="AE63" s="22">
        <v>995</v>
      </c>
      <c r="AF63" s="22">
        <v>991</v>
      </c>
      <c r="AG63" s="22">
        <v>991</v>
      </c>
      <c r="AH63" s="22">
        <v>999</v>
      </c>
      <c r="AI63" s="22">
        <v>1005</v>
      </c>
      <c r="AJ63" s="22">
        <v>1022</v>
      </c>
      <c r="AK63" s="22">
        <v>1034</v>
      </c>
      <c r="AL63" s="22">
        <v>1025</v>
      </c>
      <c r="AM63" s="22">
        <v>1015</v>
      </c>
      <c r="AN63" s="22">
        <v>1026</v>
      </c>
      <c r="AO63" s="22">
        <v>1015</v>
      </c>
      <c r="AP63" s="22">
        <v>1009</v>
      </c>
      <c r="AQ63" s="22">
        <v>1009</v>
      </c>
      <c r="AR63" s="22">
        <v>1022</v>
      </c>
      <c r="AS63" s="22">
        <v>1045</v>
      </c>
      <c r="AT63" s="22">
        <v>1033</v>
      </c>
      <c r="AU63" s="22">
        <v>1023</v>
      </c>
      <c r="AV63" s="22">
        <v>1015</v>
      </c>
      <c r="AW63" s="22">
        <v>1015</v>
      </c>
      <c r="AX63" s="22">
        <v>1011</v>
      </c>
      <c r="AY63" s="22">
        <v>1001</v>
      </c>
      <c r="AZ63" s="22">
        <v>990</v>
      </c>
      <c r="BA63" s="22">
        <v>979</v>
      </c>
      <c r="BB63" s="22">
        <v>1015</v>
      </c>
      <c r="BC63" s="22">
        <v>1016</v>
      </c>
      <c r="BD63" s="22">
        <v>1012</v>
      </c>
      <c r="BE63" s="22">
        <v>1006</v>
      </c>
      <c r="BF63" s="22">
        <v>1000</v>
      </c>
      <c r="BG63" s="22">
        <v>1042</v>
      </c>
      <c r="BH63" s="22">
        <v>1046</v>
      </c>
      <c r="BI63" s="22">
        <v>1040</v>
      </c>
      <c r="BJ63" s="22">
        <v>1035</v>
      </c>
      <c r="BK63" s="22">
        <v>1040</v>
      </c>
      <c r="BL63" s="22">
        <v>1067</v>
      </c>
    </row>
    <row r="64" spans="1:64" ht="15.95" customHeight="1">
      <c r="A64" s="81" t="s">
        <v>321</v>
      </c>
      <c r="B64" s="17" t="s">
        <v>140</v>
      </c>
      <c r="C64" s="26">
        <f>_xll.RssMarket("4540","始値")</f>
        <v>3776</v>
      </c>
      <c r="D64" s="25">
        <f t="shared" si="0"/>
        <v>0</v>
      </c>
      <c r="E64" s="22">
        <v>3776</v>
      </c>
      <c r="F64" s="22">
        <v>3720</v>
      </c>
      <c r="G64" s="22">
        <v>3730</v>
      </c>
      <c r="H64" s="22">
        <v>3744</v>
      </c>
      <c r="I64" s="22">
        <v>3770</v>
      </c>
      <c r="J64" s="22">
        <v>3718</v>
      </c>
      <c r="K64" s="22">
        <v>3688</v>
      </c>
      <c r="L64" s="22">
        <v>3755</v>
      </c>
      <c r="M64" s="22">
        <v>3750</v>
      </c>
      <c r="N64" s="22">
        <v>3698</v>
      </c>
      <c r="O64" s="22">
        <v>3715</v>
      </c>
      <c r="P64" s="22">
        <v>3798</v>
      </c>
      <c r="Q64" s="22">
        <v>3860</v>
      </c>
      <c r="R64" s="22">
        <v>3735</v>
      </c>
      <c r="S64" s="22">
        <v>3780</v>
      </c>
      <c r="T64" s="22">
        <v>3888</v>
      </c>
      <c r="U64" s="22">
        <v>3967</v>
      </c>
      <c r="V64" s="22">
        <v>3950</v>
      </c>
      <c r="W64" s="22">
        <v>3825</v>
      </c>
      <c r="X64" s="22">
        <v>3799</v>
      </c>
      <c r="Y64" s="22">
        <v>3776</v>
      </c>
      <c r="Z64" s="22">
        <v>3702</v>
      </c>
      <c r="AA64" s="22">
        <v>3559</v>
      </c>
      <c r="AB64" s="22">
        <v>3555</v>
      </c>
      <c r="AC64" s="22">
        <v>3568</v>
      </c>
      <c r="AD64" s="22">
        <v>3631</v>
      </c>
      <c r="AE64" s="22">
        <v>3621</v>
      </c>
      <c r="AF64" s="22">
        <v>3651</v>
      </c>
      <c r="AG64" s="22">
        <v>3670</v>
      </c>
      <c r="AH64" s="22">
        <v>3722</v>
      </c>
      <c r="AI64" s="22">
        <v>3685</v>
      </c>
      <c r="AJ64" s="22">
        <v>3688</v>
      </c>
      <c r="AK64" s="22">
        <v>3680</v>
      </c>
      <c r="AL64" s="22">
        <v>3712</v>
      </c>
      <c r="AM64" s="22">
        <v>3746</v>
      </c>
      <c r="AN64" s="22">
        <v>3791</v>
      </c>
      <c r="AO64" s="22">
        <v>3753</v>
      </c>
      <c r="AP64" s="22">
        <v>3800</v>
      </c>
      <c r="AQ64" s="22">
        <v>3750</v>
      </c>
      <c r="AR64" s="22">
        <v>3765</v>
      </c>
      <c r="AS64" s="22">
        <v>3778</v>
      </c>
      <c r="AT64" s="22">
        <v>3830</v>
      </c>
      <c r="AU64" s="22">
        <v>3854</v>
      </c>
      <c r="AV64" s="22">
        <v>3898</v>
      </c>
      <c r="AW64" s="22">
        <v>3844</v>
      </c>
      <c r="AX64" s="22">
        <v>3844</v>
      </c>
      <c r="AY64" s="22">
        <v>3852</v>
      </c>
      <c r="AZ64" s="22">
        <v>3854</v>
      </c>
      <c r="BA64" s="22">
        <v>3830</v>
      </c>
      <c r="BB64" s="22">
        <v>3739</v>
      </c>
      <c r="BC64" s="22">
        <v>3679</v>
      </c>
      <c r="BD64" s="22">
        <v>3860</v>
      </c>
      <c r="BE64" s="22">
        <v>3842</v>
      </c>
      <c r="BF64" s="22">
        <v>3822</v>
      </c>
      <c r="BG64" s="22">
        <v>3765</v>
      </c>
      <c r="BH64" s="22">
        <v>3763</v>
      </c>
      <c r="BI64" s="22">
        <v>3826</v>
      </c>
      <c r="BJ64" s="22">
        <v>3845</v>
      </c>
      <c r="BK64" s="22">
        <v>3820</v>
      </c>
      <c r="BL64" s="22">
        <v>3850</v>
      </c>
    </row>
    <row r="65" spans="1:64" ht="15.95" customHeight="1">
      <c r="A65" s="81" t="s">
        <v>322</v>
      </c>
      <c r="B65" s="17" t="s">
        <v>141</v>
      </c>
      <c r="C65" s="26">
        <f>_xll.RssMarket("9984","始値")</f>
        <v>6920</v>
      </c>
      <c r="D65" s="25">
        <f t="shared" si="0"/>
        <v>0</v>
      </c>
      <c r="E65" s="22">
        <v>6920</v>
      </c>
      <c r="F65" s="22">
        <v>7150</v>
      </c>
      <c r="G65" s="22">
        <v>7108</v>
      </c>
      <c r="H65" s="22">
        <v>6650</v>
      </c>
      <c r="I65" s="22">
        <v>6066</v>
      </c>
      <c r="J65" s="22">
        <v>6714</v>
      </c>
      <c r="K65" s="22">
        <v>6676</v>
      </c>
      <c r="L65" s="22">
        <v>7140</v>
      </c>
      <c r="M65" s="22">
        <v>8001</v>
      </c>
      <c r="N65" s="22">
        <v>8800</v>
      </c>
      <c r="O65" s="22">
        <v>9000</v>
      </c>
      <c r="P65" s="22">
        <v>7548</v>
      </c>
      <c r="Q65" s="22">
        <v>7100</v>
      </c>
      <c r="R65" s="22">
        <v>8020</v>
      </c>
      <c r="S65" s="22">
        <v>6750</v>
      </c>
      <c r="T65" s="22">
        <v>6700</v>
      </c>
      <c r="U65" s="22">
        <v>5810</v>
      </c>
      <c r="V65" s="22">
        <v>5313</v>
      </c>
      <c r="W65" s="22">
        <v>5660</v>
      </c>
      <c r="X65" s="22">
        <v>5445</v>
      </c>
      <c r="Y65" s="22">
        <v>5801</v>
      </c>
      <c r="Z65" s="22">
        <v>6100</v>
      </c>
      <c r="AA65" s="22">
        <v>5943</v>
      </c>
      <c r="AB65" s="22">
        <v>5935</v>
      </c>
      <c r="AC65" s="22">
        <v>6219</v>
      </c>
      <c r="AD65" s="22">
        <v>6124</v>
      </c>
      <c r="AE65" s="22">
        <v>6100</v>
      </c>
      <c r="AF65" s="22">
        <v>5278</v>
      </c>
      <c r="AG65" s="22">
        <v>4968</v>
      </c>
      <c r="AH65" s="22">
        <v>5660</v>
      </c>
      <c r="AI65" s="22">
        <v>6016</v>
      </c>
      <c r="AJ65" s="22">
        <v>6000</v>
      </c>
      <c r="AK65" s="22">
        <v>6097</v>
      </c>
      <c r="AL65" s="22">
        <v>5130</v>
      </c>
      <c r="AM65" s="22">
        <v>4945</v>
      </c>
      <c r="AN65" s="22">
        <v>4575</v>
      </c>
      <c r="AO65" s="22">
        <v>4640</v>
      </c>
      <c r="AP65" s="22">
        <v>4542</v>
      </c>
      <c r="AQ65" s="22">
        <v>4405</v>
      </c>
      <c r="AR65" s="22">
        <v>3904</v>
      </c>
      <c r="AS65" s="22">
        <v>3700</v>
      </c>
      <c r="AT65" s="22">
        <v>3779</v>
      </c>
      <c r="AU65" s="22">
        <v>3822</v>
      </c>
      <c r="AV65" s="22">
        <v>3775</v>
      </c>
      <c r="AW65" s="22">
        <v>3663</v>
      </c>
      <c r="AX65" s="22">
        <v>3620</v>
      </c>
      <c r="AY65" s="22">
        <v>3666</v>
      </c>
      <c r="AZ65" s="22">
        <v>3790</v>
      </c>
      <c r="BA65" s="22">
        <v>3835</v>
      </c>
      <c r="BB65" s="22">
        <v>3500</v>
      </c>
      <c r="BC65" s="22">
        <v>3700</v>
      </c>
      <c r="BD65" s="22">
        <v>3802</v>
      </c>
      <c r="BE65" s="22">
        <v>4000</v>
      </c>
      <c r="BF65" s="22">
        <v>3636</v>
      </c>
      <c r="BG65" s="22">
        <v>3597</v>
      </c>
      <c r="BH65" s="22">
        <v>3433</v>
      </c>
      <c r="BI65" s="22">
        <v>3623</v>
      </c>
      <c r="BJ65" s="22">
        <v>3669</v>
      </c>
      <c r="BK65" s="22">
        <v>3665</v>
      </c>
      <c r="BL65" s="22">
        <v>3570</v>
      </c>
    </row>
    <row r="66" spans="1:64" ht="15.95" customHeight="1">
      <c r="A66" s="81" t="s">
        <v>323</v>
      </c>
      <c r="B66" s="17" t="s">
        <v>51</v>
      </c>
      <c r="C66" s="24">
        <f>_xll.RssMarket("4063","始値")</f>
        <v>7447</v>
      </c>
      <c r="D66" s="25">
        <f t="shared" si="0"/>
        <v>0</v>
      </c>
      <c r="E66" s="22">
        <v>7447</v>
      </c>
      <c r="F66" s="22">
        <v>7510</v>
      </c>
      <c r="G66" s="22">
        <v>7484</v>
      </c>
      <c r="H66" s="22">
        <v>7056</v>
      </c>
      <c r="I66" s="22">
        <v>6500</v>
      </c>
      <c r="J66" s="22">
        <v>6790</v>
      </c>
      <c r="K66" s="22">
        <v>6980</v>
      </c>
      <c r="L66" s="22">
        <v>7491</v>
      </c>
      <c r="M66" s="22">
        <v>7542</v>
      </c>
      <c r="N66" s="22">
        <v>7623</v>
      </c>
      <c r="O66" s="22">
        <v>7600</v>
      </c>
      <c r="P66" s="22">
        <v>7494</v>
      </c>
      <c r="Q66" s="22">
        <v>7385</v>
      </c>
      <c r="R66" s="22">
        <v>7250</v>
      </c>
      <c r="S66" s="22">
        <v>7034</v>
      </c>
      <c r="T66" s="22">
        <v>6900</v>
      </c>
      <c r="U66" s="22">
        <v>6988</v>
      </c>
      <c r="V66" s="22">
        <v>6942</v>
      </c>
      <c r="W66" s="22">
        <v>7045</v>
      </c>
      <c r="X66" s="22">
        <v>7074</v>
      </c>
      <c r="Y66" s="22">
        <v>7385</v>
      </c>
      <c r="Z66" s="22">
        <v>7382</v>
      </c>
      <c r="AA66" s="22">
        <v>7418</v>
      </c>
      <c r="AB66" s="22">
        <v>7584</v>
      </c>
      <c r="AC66" s="22">
        <v>7557</v>
      </c>
      <c r="AD66" s="22">
        <v>7651</v>
      </c>
      <c r="AE66" s="22">
        <v>7601</v>
      </c>
      <c r="AF66" s="22">
        <v>7115</v>
      </c>
      <c r="AG66" s="22">
        <v>7251</v>
      </c>
      <c r="AH66" s="22">
        <v>7049</v>
      </c>
      <c r="AI66" s="22">
        <v>6850</v>
      </c>
      <c r="AJ66" s="22">
        <v>6804</v>
      </c>
      <c r="AK66" s="22">
        <v>6650</v>
      </c>
      <c r="AL66" s="22">
        <v>6710</v>
      </c>
      <c r="AM66" s="22">
        <v>6783</v>
      </c>
      <c r="AN66" s="22">
        <v>6847</v>
      </c>
      <c r="AO66" s="22">
        <v>6830</v>
      </c>
      <c r="AP66" s="22">
        <v>6750</v>
      </c>
      <c r="AQ66" s="22">
        <v>6750</v>
      </c>
      <c r="AR66" s="22">
        <v>6696</v>
      </c>
      <c r="AS66" s="22">
        <v>6600</v>
      </c>
      <c r="AT66" s="22">
        <v>6558</v>
      </c>
      <c r="AU66" s="22">
        <v>6485</v>
      </c>
      <c r="AV66" s="22">
        <v>6674</v>
      </c>
      <c r="AW66" s="22">
        <v>6571</v>
      </c>
      <c r="AX66" s="22">
        <v>6466</v>
      </c>
      <c r="AY66" s="22">
        <v>6437</v>
      </c>
      <c r="AZ66" s="22">
        <v>6508</v>
      </c>
      <c r="BA66" s="22">
        <v>6459</v>
      </c>
      <c r="BB66" s="22">
        <v>6176</v>
      </c>
      <c r="BC66" s="22">
        <v>5934</v>
      </c>
      <c r="BD66" s="22">
        <v>6200</v>
      </c>
      <c r="BE66" s="22">
        <v>6340</v>
      </c>
      <c r="BF66" s="22">
        <v>6347</v>
      </c>
      <c r="BG66" s="22">
        <v>6273</v>
      </c>
      <c r="BH66" s="22">
        <v>5991</v>
      </c>
      <c r="BI66" s="22">
        <v>6563</v>
      </c>
      <c r="BJ66" s="22">
        <v>6531</v>
      </c>
      <c r="BK66" s="22">
        <v>6624</v>
      </c>
      <c r="BL66" s="22">
        <v>6553</v>
      </c>
    </row>
    <row r="67" spans="1:64" ht="15.95" customHeight="1">
      <c r="A67" s="81" t="s">
        <v>324</v>
      </c>
      <c r="B67" s="17" t="s">
        <v>54</v>
      </c>
      <c r="C67" s="26">
        <f>_xll.RssMarket("4536","始値")</f>
        <v>1935.5</v>
      </c>
      <c r="D67" s="25">
        <f t="shared" si="0"/>
        <v>0</v>
      </c>
      <c r="E67" s="22">
        <v>1935.5</v>
      </c>
      <c r="F67" s="22">
        <v>1899.5</v>
      </c>
      <c r="G67" s="22">
        <v>1949</v>
      </c>
      <c r="H67" s="22">
        <v>1937.5</v>
      </c>
      <c r="I67" s="22">
        <v>1920</v>
      </c>
      <c r="J67" s="22">
        <v>1962.5</v>
      </c>
      <c r="K67" s="22">
        <v>2007</v>
      </c>
      <c r="L67" s="22">
        <v>1925</v>
      </c>
      <c r="M67" s="22">
        <v>1856</v>
      </c>
      <c r="N67" s="22">
        <v>1870</v>
      </c>
      <c r="O67" s="22">
        <v>1851</v>
      </c>
      <c r="P67" s="22">
        <v>1928.5</v>
      </c>
      <c r="Q67" s="22">
        <v>1897</v>
      </c>
      <c r="R67" s="22">
        <v>1921</v>
      </c>
      <c r="S67" s="22">
        <v>1949.5</v>
      </c>
      <c r="T67" s="22">
        <v>1880</v>
      </c>
      <c r="U67" s="22">
        <v>1929.5</v>
      </c>
      <c r="V67" s="22">
        <v>1925</v>
      </c>
      <c r="W67" s="22">
        <v>1850.5</v>
      </c>
      <c r="X67" s="22">
        <v>1854</v>
      </c>
      <c r="Y67" s="22">
        <v>1876</v>
      </c>
      <c r="Z67" s="22">
        <v>1818</v>
      </c>
      <c r="AA67" s="22">
        <v>1679.5</v>
      </c>
      <c r="AB67" s="22">
        <v>1612</v>
      </c>
      <c r="AC67" s="22">
        <v>1602.5</v>
      </c>
      <c r="AD67" s="22">
        <v>1625</v>
      </c>
      <c r="AE67" s="22">
        <v>1627</v>
      </c>
      <c r="AF67" s="22">
        <v>1634</v>
      </c>
      <c r="AG67" s="22">
        <v>1651</v>
      </c>
      <c r="AH67" s="22">
        <v>1659</v>
      </c>
      <c r="AI67" s="22">
        <v>1674.5</v>
      </c>
      <c r="AJ67" s="22">
        <v>1666.5</v>
      </c>
      <c r="AK67" s="22">
        <v>1717.5</v>
      </c>
      <c r="AL67" s="22">
        <v>1731.5</v>
      </c>
      <c r="AM67" s="22">
        <v>1797</v>
      </c>
      <c r="AN67" s="22">
        <v>1786.5</v>
      </c>
      <c r="AO67" s="22">
        <v>1807.5</v>
      </c>
      <c r="AP67" s="22">
        <v>1794.5</v>
      </c>
      <c r="AQ67" s="22">
        <v>1799</v>
      </c>
      <c r="AR67" s="22">
        <v>1814.5</v>
      </c>
      <c r="AS67" s="22">
        <v>1882</v>
      </c>
      <c r="AT67" s="22">
        <v>1912</v>
      </c>
      <c r="AU67" s="22">
        <v>1935.5</v>
      </c>
      <c r="AV67" s="22">
        <v>1870</v>
      </c>
      <c r="AW67" s="22">
        <v>1849.5</v>
      </c>
      <c r="AX67" s="22">
        <v>1820</v>
      </c>
      <c r="AY67" s="22">
        <v>1854</v>
      </c>
      <c r="AZ67" s="22">
        <v>1800.5</v>
      </c>
      <c r="BA67" s="22">
        <v>1775</v>
      </c>
      <c r="BB67" s="22">
        <v>1728</v>
      </c>
      <c r="BC67" s="22">
        <v>1769.5</v>
      </c>
      <c r="BD67" s="22">
        <v>1749.5</v>
      </c>
      <c r="BE67" s="22">
        <v>1740</v>
      </c>
      <c r="BF67" s="22">
        <v>1675.5</v>
      </c>
      <c r="BG67" s="22">
        <v>1654</v>
      </c>
      <c r="BH67" s="22">
        <v>1686</v>
      </c>
      <c r="BI67" s="22">
        <v>1670</v>
      </c>
      <c r="BJ67" s="22">
        <v>1665</v>
      </c>
      <c r="BK67" s="22">
        <v>1653.5</v>
      </c>
      <c r="BL67" s="22">
        <v>1621.5</v>
      </c>
    </row>
    <row r="68" spans="1:64" ht="15.95" customHeight="1">
      <c r="A68" s="81" t="s">
        <v>325</v>
      </c>
      <c r="B68" s="17" t="s">
        <v>52</v>
      </c>
      <c r="C68" s="26">
        <f>_xll.RssMarket("6503","始値")</f>
        <v>5853</v>
      </c>
      <c r="D68" s="25">
        <f t="shared" si="0"/>
        <v>0</v>
      </c>
      <c r="E68" s="22">
        <v>5853</v>
      </c>
      <c r="F68" s="22">
        <v>5958</v>
      </c>
      <c r="G68" s="22">
        <v>5700</v>
      </c>
      <c r="H68" s="22">
        <v>5621</v>
      </c>
      <c r="I68" s="22">
        <v>5372</v>
      </c>
      <c r="J68" s="22">
        <v>5750</v>
      </c>
      <c r="K68" s="22">
        <v>5514</v>
      </c>
      <c r="L68" s="22">
        <v>5899</v>
      </c>
      <c r="M68" s="22">
        <v>6051</v>
      </c>
      <c r="N68" s="22">
        <v>6101</v>
      </c>
      <c r="O68" s="22">
        <v>6060</v>
      </c>
      <c r="P68" s="22">
        <v>6500</v>
      </c>
      <c r="Q68" s="22">
        <v>6321</v>
      </c>
      <c r="R68" s="22">
        <v>6650</v>
      </c>
      <c r="S68" s="22">
        <v>6414</v>
      </c>
      <c r="T68" s="22">
        <v>6080</v>
      </c>
      <c r="U68" s="22">
        <v>6008</v>
      </c>
      <c r="V68" s="22">
        <v>5823</v>
      </c>
      <c r="W68" s="22">
        <v>6312</v>
      </c>
      <c r="X68" s="22">
        <v>6380</v>
      </c>
      <c r="Y68" s="22">
        <v>6500</v>
      </c>
      <c r="Z68" s="22">
        <v>6463</v>
      </c>
      <c r="AA68" s="22">
        <v>6333</v>
      </c>
      <c r="AB68" s="22">
        <v>6623</v>
      </c>
      <c r="AC68" s="22">
        <v>6467</v>
      </c>
      <c r="AD68" s="22">
        <v>6448</v>
      </c>
      <c r="AE68" s="22">
        <v>6377</v>
      </c>
      <c r="AF68" s="22">
        <v>6269</v>
      </c>
      <c r="AG68" s="22">
        <v>6398</v>
      </c>
      <c r="AH68" s="22">
        <v>6048</v>
      </c>
      <c r="AI68" s="22">
        <v>6039</v>
      </c>
      <c r="AJ68" s="22">
        <v>5959</v>
      </c>
      <c r="AK68" s="22">
        <v>5869</v>
      </c>
      <c r="AL68" s="22">
        <v>5901</v>
      </c>
      <c r="AM68" s="22">
        <v>6100</v>
      </c>
      <c r="AN68" s="22">
        <v>5883</v>
      </c>
      <c r="AO68" s="22">
        <v>5904</v>
      </c>
      <c r="AP68" s="22">
        <v>5878</v>
      </c>
      <c r="AQ68" s="22">
        <v>5990</v>
      </c>
      <c r="AR68" s="22">
        <v>5914</v>
      </c>
      <c r="AS68" s="22">
        <v>5742</v>
      </c>
      <c r="AT68" s="22">
        <v>5700</v>
      </c>
      <c r="AU68" s="22">
        <v>5670</v>
      </c>
      <c r="AV68" s="22">
        <v>5595</v>
      </c>
      <c r="AW68" s="22">
        <v>5349</v>
      </c>
      <c r="AX68" s="22">
        <v>5300</v>
      </c>
      <c r="AY68" s="22">
        <v>5344</v>
      </c>
      <c r="AZ68" s="22">
        <v>5426</v>
      </c>
      <c r="BA68" s="22">
        <v>5237</v>
      </c>
      <c r="BB68" s="22">
        <v>4945</v>
      </c>
      <c r="BC68" s="22">
        <v>5008</v>
      </c>
      <c r="BD68" s="22">
        <v>5380</v>
      </c>
      <c r="BE68" s="22">
        <v>5578</v>
      </c>
      <c r="BF68" s="22">
        <v>5432</v>
      </c>
      <c r="BG68" s="22">
        <v>5319</v>
      </c>
      <c r="BH68" s="22">
        <v>5183</v>
      </c>
      <c r="BI68" s="22">
        <v>5539</v>
      </c>
      <c r="BJ68" s="22">
        <v>5550</v>
      </c>
      <c r="BK68" s="22">
        <v>5453</v>
      </c>
      <c r="BL68" s="22">
        <v>5425</v>
      </c>
    </row>
    <row r="69" spans="1:64" ht="15.95" customHeight="1">
      <c r="A69" s="81" t="s">
        <v>326</v>
      </c>
      <c r="B69" s="17" t="s">
        <v>55</v>
      </c>
      <c r="C69" s="26">
        <f>_xll.RssMarket("4980","始値")</f>
        <v>4428</v>
      </c>
      <c r="D69" s="25">
        <f t="shared" si="0"/>
        <v>0</v>
      </c>
      <c r="E69" s="22">
        <v>4428</v>
      </c>
      <c r="F69" s="22">
        <v>4310</v>
      </c>
      <c r="G69" s="22">
        <v>4200</v>
      </c>
      <c r="H69" s="22">
        <v>3974</v>
      </c>
      <c r="I69" s="22">
        <v>3568</v>
      </c>
      <c r="J69" s="22">
        <v>3850</v>
      </c>
      <c r="K69" s="22">
        <v>3949</v>
      </c>
      <c r="L69" s="22">
        <v>4245</v>
      </c>
      <c r="M69" s="22">
        <v>4495</v>
      </c>
      <c r="N69" s="22">
        <v>4758</v>
      </c>
      <c r="O69" s="22">
        <v>4472</v>
      </c>
      <c r="P69" s="22">
        <v>4116</v>
      </c>
      <c r="Q69" s="22">
        <v>4000</v>
      </c>
      <c r="R69" s="22">
        <v>4288</v>
      </c>
      <c r="S69" s="22">
        <v>4233</v>
      </c>
      <c r="T69" s="22">
        <v>4282</v>
      </c>
      <c r="U69" s="22">
        <v>3948</v>
      </c>
      <c r="V69" s="22">
        <v>3750</v>
      </c>
      <c r="W69" s="22">
        <v>4195</v>
      </c>
      <c r="X69" s="22">
        <v>4100</v>
      </c>
      <c r="Y69" s="22">
        <v>3849</v>
      </c>
      <c r="Z69" s="22">
        <v>3149</v>
      </c>
      <c r="AA69" s="22">
        <v>2649.5</v>
      </c>
      <c r="AB69" s="22">
        <v>2739</v>
      </c>
      <c r="AC69" s="22">
        <v>2800</v>
      </c>
      <c r="AD69" s="22">
        <v>2639</v>
      </c>
      <c r="AE69" s="22">
        <v>2573.5</v>
      </c>
      <c r="AF69" s="22">
        <v>2441</v>
      </c>
      <c r="AG69" s="22">
        <v>2448.5</v>
      </c>
      <c r="AH69" s="22">
        <v>2510</v>
      </c>
      <c r="AI69" s="22">
        <v>2487</v>
      </c>
      <c r="AJ69" s="22">
        <v>2421.5</v>
      </c>
      <c r="AK69" s="22">
        <v>2469</v>
      </c>
      <c r="AL69" s="22">
        <v>2468</v>
      </c>
      <c r="AM69" s="22">
        <v>2457.5</v>
      </c>
      <c r="AN69" s="22">
        <v>2466</v>
      </c>
      <c r="AO69" s="22">
        <v>2400</v>
      </c>
      <c r="AP69" s="22">
        <v>2385</v>
      </c>
      <c r="AQ69" s="22">
        <v>2437</v>
      </c>
      <c r="AR69" s="22">
        <v>2400</v>
      </c>
      <c r="AS69" s="22">
        <v>2350</v>
      </c>
      <c r="AT69" s="22">
        <v>2356</v>
      </c>
      <c r="AU69" s="22">
        <v>2318.5</v>
      </c>
      <c r="AV69" s="22">
        <v>2315</v>
      </c>
      <c r="AW69" s="22">
        <v>2202.5</v>
      </c>
      <c r="AX69" s="22">
        <v>2175</v>
      </c>
      <c r="AY69" s="22">
        <v>2190</v>
      </c>
      <c r="AZ69" s="22">
        <v>2246</v>
      </c>
      <c r="BA69" s="22">
        <v>2226.5</v>
      </c>
      <c r="BB69" s="22">
        <v>2094</v>
      </c>
      <c r="BC69" s="22">
        <v>2116</v>
      </c>
      <c r="BD69" s="22">
        <v>2220</v>
      </c>
      <c r="BE69" s="22">
        <v>2262</v>
      </c>
      <c r="BF69" s="22">
        <v>2240.5</v>
      </c>
      <c r="BG69" s="22">
        <v>2229</v>
      </c>
      <c r="BH69" s="22">
        <v>2181</v>
      </c>
      <c r="BI69" s="22">
        <v>2337</v>
      </c>
      <c r="BJ69" s="22">
        <v>2350</v>
      </c>
      <c r="BK69" s="22">
        <v>2409.5</v>
      </c>
      <c r="BL69" s="22">
        <v>2344.5</v>
      </c>
    </row>
    <row r="70" spans="1:64" ht="15.95" customHeight="1">
      <c r="A70" s="81" t="s">
        <v>327</v>
      </c>
      <c r="B70" s="17" t="s">
        <v>56</v>
      </c>
      <c r="C70" s="26">
        <f>_xll.RssMarket("9424","始値")</f>
        <v>113</v>
      </c>
      <c r="D70" s="25">
        <f t="shared" ref="D70:D133" si="1">C70-E70</f>
        <v>0</v>
      </c>
      <c r="E70" s="22">
        <v>113</v>
      </c>
      <c r="F70" s="22">
        <v>115</v>
      </c>
      <c r="G70" s="22">
        <v>114</v>
      </c>
      <c r="H70" s="22">
        <v>115</v>
      </c>
      <c r="I70" s="22">
        <v>114</v>
      </c>
      <c r="J70" s="22">
        <v>113</v>
      </c>
      <c r="K70" s="22">
        <v>114</v>
      </c>
      <c r="L70" s="22">
        <v>113</v>
      </c>
      <c r="M70" s="22">
        <v>116</v>
      </c>
      <c r="N70" s="22">
        <v>115</v>
      </c>
      <c r="O70" s="22">
        <v>116</v>
      </c>
      <c r="P70" s="22">
        <v>124</v>
      </c>
      <c r="Q70" s="22">
        <v>122</v>
      </c>
      <c r="R70" s="22">
        <v>124</v>
      </c>
      <c r="S70" s="22">
        <v>125</v>
      </c>
      <c r="T70" s="22">
        <v>124</v>
      </c>
      <c r="U70" s="22">
        <v>126</v>
      </c>
      <c r="V70" s="22">
        <v>125</v>
      </c>
      <c r="W70" s="22">
        <v>126</v>
      </c>
      <c r="X70" s="22">
        <v>127</v>
      </c>
      <c r="Y70" s="22">
        <v>129</v>
      </c>
      <c r="Z70" s="22">
        <v>130</v>
      </c>
      <c r="AA70" s="22">
        <v>127</v>
      </c>
      <c r="AB70" s="22">
        <v>125</v>
      </c>
      <c r="AC70" s="22">
        <v>124</v>
      </c>
      <c r="AD70" s="22">
        <v>124</v>
      </c>
      <c r="AE70" s="22">
        <v>125</v>
      </c>
      <c r="AF70" s="22">
        <v>125</v>
      </c>
      <c r="AG70" s="22">
        <v>128</v>
      </c>
      <c r="AH70" s="22">
        <v>129</v>
      </c>
      <c r="AI70" s="22">
        <v>131</v>
      </c>
      <c r="AJ70" s="22">
        <v>131</v>
      </c>
      <c r="AK70" s="22">
        <v>132</v>
      </c>
      <c r="AL70" s="22">
        <v>131</v>
      </c>
      <c r="AM70" s="22">
        <v>126</v>
      </c>
      <c r="AN70" s="22">
        <v>125</v>
      </c>
      <c r="AO70" s="22">
        <v>126</v>
      </c>
      <c r="AP70" s="22">
        <v>129</v>
      </c>
      <c r="AQ70" s="22">
        <v>131</v>
      </c>
      <c r="AR70" s="22">
        <v>129</v>
      </c>
      <c r="AS70" s="22">
        <v>129</v>
      </c>
      <c r="AT70" s="22">
        <v>130</v>
      </c>
      <c r="AU70" s="22">
        <v>130</v>
      </c>
      <c r="AV70" s="22">
        <v>131</v>
      </c>
      <c r="AW70" s="22">
        <v>129</v>
      </c>
      <c r="AX70" s="22">
        <v>130</v>
      </c>
      <c r="AY70" s="22">
        <v>129</v>
      </c>
      <c r="AZ70" s="22">
        <v>131</v>
      </c>
      <c r="BA70" s="22">
        <v>132</v>
      </c>
      <c r="BB70" s="22">
        <v>131</v>
      </c>
      <c r="BC70" s="22">
        <v>129</v>
      </c>
      <c r="BD70" s="22">
        <v>127</v>
      </c>
      <c r="BE70" s="22">
        <v>132</v>
      </c>
      <c r="BF70" s="22">
        <v>132</v>
      </c>
      <c r="BG70" s="22">
        <v>131</v>
      </c>
      <c r="BH70" s="22">
        <v>129</v>
      </c>
      <c r="BI70" s="22">
        <v>128</v>
      </c>
      <c r="BJ70" s="22">
        <v>133</v>
      </c>
      <c r="BK70" s="22">
        <v>137</v>
      </c>
      <c r="BL70" s="22">
        <v>134</v>
      </c>
    </row>
    <row r="71" spans="1:64" ht="15.95" customHeight="1">
      <c r="A71" s="81" t="s">
        <v>328</v>
      </c>
      <c r="B71" s="17" t="s">
        <v>57</v>
      </c>
      <c r="C71" s="26">
        <f>_xll.RssMarket("3854","始値")</f>
        <v>2170</v>
      </c>
      <c r="D71" s="25">
        <f t="shared" si="1"/>
        <v>0</v>
      </c>
      <c r="E71" s="22">
        <v>2170</v>
      </c>
      <c r="F71" s="22">
        <v>2200</v>
      </c>
      <c r="G71" s="22">
        <v>2225</v>
      </c>
      <c r="H71" s="22">
        <v>2302</v>
      </c>
      <c r="I71" s="22">
        <v>2387</v>
      </c>
      <c r="J71" s="22">
        <v>2398</v>
      </c>
      <c r="K71" s="22">
        <v>2425</v>
      </c>
      <c r="L71" s="22">
        <v>2521</v>
      </c>
      <c r="M71" s="22">
        <v>2588</v>
      </c>
      <c r="N71" s="22">
        <v>2606</v>
      </c>
      <c r="O71" s="22">
        <v>2600</v>
      </c>
      <c r="P71" s="22">
        <v>2589</v>
      </c>
      <c r="Q71" s="22">
        <v>2521</v>
      </c>
      <c r="R71" s="22">
        <v>2496</v>
      </c>
      <c r="S71" s="22">
        <v>2606</v>
      </c>
      <c r="T71" s="22">
        <v>2479</v>
      </c>
      <c r="U71" s="22">
        <v>2471</v>
      </c>
      <c r="V71" s="22">
        <v>2447</v>
      </c>
      <c r="W71" s="22">
        <v>2438</v>
      </c>
      <c r="X71" s="22">
        <v>2394</v>
      </c>
      <c r="Y71" s="22">
        <v>2353</v>
      </c>
      <c r="Z71" s="22">
        <v>2376</v>
      </c>
      <c r="AA71" s="22">
        <v>2369</v>
      </c>
      <c r="AB71" s="22">
        <v>2381</v>
      </c>
      <c r="AC71" s="22">
        <v>2420</v>
      </c>
      <c r="AD71" s="22">
        <v>2373</v>
      </c>
      <c r="AE71" s="22">
        <v>2360</v>
      </c>
      <c r="AF71" s="22">
        <v>2365</v>
      </c>
      <c r="AG71" s="22">
        <v>2396</v>
      </c>
      <c r="AH71" s="22">
        <v>2397</v>
      </c>
      <c r="AI71" s="22">
        <v>2390</v>
      </c>
      <c r="AJ71" s="22">
        <v>2412</v>
      </c>
      <c r="AK71" s="22">
        <v>2463</v>
      </c>
      <c r="AL71" s="22">
        <v>2465</v>
      </c>
      <c r="AM71" s="22">
        <v>2480</v>
      </c>
      <c r="AN71" s="22">
        <v>2460</v>
      </c>
      <c r="AO71" s="22">
        <v>2405</v>
      </c>
      <c r="AP71" s="22">
        <v>2450</v>
      </c>
      <c r="AQ71" s="22">
        <v>2410</v>
      </c>
      <c r="AR71" s="22">
        <v>2395</v>
      </c>
      <c r="AS71" s="22">
        <v>2321</v>
      </c>
      <c r="AT71" s="22">
        <v>2407</v>
      </c>
      <c r="AU71" s="22">
        <v>2426</v>
      </c>
      <c r="AV71" s="22">
        <v>2459</v>
      </c>
      <c r="AW71" s="22">
        <v>2435</v>
      </c>
      <c r="AX71" s="22">
        <v>2408</v>
      </c>
      <c r="AY71" s="22">
        <v>2380</v>
      </c>
      <c r="AZ71" s="22">
        <v>2403</v>
      </c>
      <c r="BA71" s="22">
        <v>2401</v>
      </c>
      <c r="BB71" s="22">
        <v>2390</v>
      </c>
      <c r="BC71" s="22">
        <v>2397</v>
      </c>
      <c r="BD71" s="22">
        <v>2378</v>
      </c>
      <c r="BE71" s="22">
        <v>2400</v>
      </c>
      <c r="BF71" s="22">
        <v>2436</v>
      </c>
      <c r="BG71" s="22">
        <v>2375</v>
      </c>
      <c r="BH71" s="22">
        <v>2313</v>
      </c>
      <c r="BI71" s="22">
        <v>2385</v>
      </c>
      <c r="BJ71" s="22">
        <v>2372</v>
      </c>
      <c r="BK71" s="22">
        <v>2430</v>
      </c>
      <c r="BL71" s="22">
        <v>2370</v>
      </c>
    </row>
    <row r="72" spans="1:64" ht="15.95" customHeight="1">
      <c r="A72" s="81" t="s">
        <v>329</v>
      </c>
      <c r="B72" s="17" t="s">
        <v>58</v>
      </c>
      <c r="C72" s="26">
        <f>_xll.RssMarket("6027","始値")</f>
        <v>2110</v>
      </c>
      <c r="D72" s="25">
        <f t="shared" si="1"/>
        <v>0</v>
      </c>
      <c r="E72" s="22">
        <v>2110</v>
      </c>
      <c r="F72" s="22">
        <v>2083</v>
      </c>
      <c r="G72" s="22">
        <v>2139</v>
      </c>
      <c r="H72" s="22">
        <v>2192</v>
      </c>
      <c r="I72" s="22">
        <v>2145</v>
      </c>
      <c r="J72" s="22">
        <v>2190</v>
      </c>
      <c r="K72" s="22">
        <v>2224</v>
      </c>
      <c r="L72" s="22">
        <v>2276</v>
      </c>
      <c r="M72" s="22">
        <v>2250</v>
      </c>
      <c r="N72" s="22">
        <v>2285</v>
      </c>
      <c r="O72" s="22">
        <v>2352</v>
      </c>
      <c r="P72" s="22">
        <v>2436</v>
      </c>
      <c r="Q72" s="22">
        <v>2460</v>
      </c>
      <c r="R72" s="22">
        <v>2497</v>
      </c>
      <c r="S72" s="22">
        <v>2550</v>
      </c>
      <c r="T72" s="22">
        <v>2555</v>
      </c>
      <c r="U72" s="22">
        <v>2580</v>
      </c>
      <c r="V72" s="22">
        <v>2766</v>
      </c>
      <c r="W72" s="22">
        <v>2769</v>
      </c>
      <c r="X72" s="22">
        <v>2715</v>
      </c>
      <c r="Y72" s="22">
        <v>2745</v>
      </c>
      <c r="Z72" s="22">
        <v>2700</v>
      </c>
      <c r="AA72" s="22">
        <v>2643</v>
      </c>
      <c r="AB72" s="22">
        <v>2726</v>
      </c>
      <c r="AC72" s="22">
        <v>2762</v>
      </c>
      <c r="AD72" s="22">
        <v>2676</v>
      </c>
      <c r="AE72" s="22">
        <v>2550</v>
      </c>
      <c r="AF72" s="22">
        <v>2494</v>
      </c>
      <c r="AG72" s="22">
        <v>2500</v>
      </c>
      <c r="AH72" s="22">
        <v>2420</v>
      </c>
      <c r="AI72" s="22">
        <v>2493</v>
      </c>
      <c r="AJ72" s="22">
        <v>2541</v>
      </c>
      <c r="AK72" s="22">
        <v>2611</v>
      </c>
      <c r="AL72" s="22">
        <v>2595</v>
      </c>
      <c r="AM72" s="22">
        <v>2609</v>
      </c>
      <c r="AN72" s="22">
        <v>2570</v>
      </c>
      <c r="AO72" s="22">
        <v>2610</v>
      </c>
      <c r="AP72" s="22">
        <v>2745</v>
      </c>
      <c r="AQ72" s="22">
        <v>2609</v>
      </c>
      <c r="AR72" s="22">
        <v>2599</v>
      </c>
      <c r="AS72" s="22">
        <v>2495</v>
      </c>
      <c r="AT72" s="22">
        <v>2777</v>
      </c>
      <c r="AU72" s="22">
        <v>2789</v>
      </c>
      <c r="AV72" s="22">
        <v>2920</v>
      </c>
      <c r="AW72" s="22">
        <v>2858</v>
      </c>
      <c r="AX72" s="22">
        <v>2845</v>
      </c>
      <c r="AY72" s="22">
        <v>2866</v>
      </c>
      <c r="AZ72" s="22">
        <v>2895</v>
      </c>
      <c r="BA72" s="22">
        <v>2950</v>
      </c>
      <c r="BB72" s="22">
        <v>2834</v>
      </c>
      <c r="BC72" s="22">
        <v>2794</v>
      </c>
      <c r="BD72" s="22">
        <v>2930</v>
      </c>
      <c r="BE72" s="22">
        <v>2870</v>
      </c>
      <c r="BF72" s="22">
        <v>2836</v>
      </c>
      <c r="BG72" s="22">
        <v>2834</v>
      </c>
      <c r="BH72" s="22">
        <v>2750</v>
      </c>
      <c r="BI72" s="22">
        <v>2769</v>
      </c>
      <c r="BJ72" s="22">
        <v>2780</v>
      </c>
      <c r="BK72" s="22">
        <v>2803</v>
      </c>
      <c r="BL72" s="22">
        <v>2764</v>
      </c>
    </row>
    <row r="73" spans="1:64" ht="15.95" customHeight="1">
      <c r="A73" s="81" t="s">
        <v>330</v>
      </c>
      <c r="B73" s="17" t="s">
        <v>59</v>
      </c>
      <c r="C73" s="26">
        <f>_xll.RssMarket("7806","始値")</f>
        <v>7260</v>
      </c>
      <c r="D73" s="25">
        <f t="shared" si="1"/>
        <v>0</v>
      </c>
      <c r="E73" s="22">
        <v>7260</v>
      </c>
      <c r="F73" s="22">
        <v>7110</v>
      </c>
      <c r="G73" s="22">
        <v>7020</v>
      </c>
      <c r="H73" s="22">
        <v>7250</v>
      </c>
      <c r="I73" s="22">
        <v>6870</v>
      </c>
      <c r="J73" s="22">
        <v>7070</v>
      </c>
      <c r="K73" s="22">
        <v>6760</v>
      </c>
      <c r="L73" s="22">
        <v>6850</v>
      </c>
      <c r="M73" s="22">
        <v>7080</v>
      </c>
      <c r="N73" s="22">
        <v>7110</v>
      </c>
      <c r="O73" s="22">
        <v>7500</v>
      </c>
      <c r="P73" s="22">
        <v>7430</v>
      </c>
      <c r="Q73" s="22">
        <v>7000</v>
      </c>
      <c r="R73" s="22">
        <v>7050</v>
      </c>
      <c r="S73" s="22">
        <v>6320</v>
      </c>
      <c r="T73" s="22">
        <v>6390</v>
      </c>
      <c r="U73" s="22">
        <v>6560</v>
      </c>
      <c r="V73" s="22">
        <v>6630</v>
      </c>
      <c r="W73" s="22">
        <v>6390</v>
      </c>
      <c r="X73" s="22">
        <v>6710</v>
      </c>
      <c r="Y73" s="22">
        <v>7050</v>
      </c>
      <c r="Z73" s="22">
        <v>6780</v>
      </c>
      <c r="AA73" s="22">
        <v>6600</v>
      </c>
      <c r="AB73" s="22">
        <v>6490</v>
      </c>
      <c r="AC73" s="22">
        <v>6390</v>
      </c>
      <c r="AD73" s="22">
        <v>6250</v>
      </c>
      <c r="AE73" s="22">
        <v>5810</v>
      </c>
      <c r="AF73" s="22">
        <v>5890</v>
      </c>
      <c r="AG73" s="22">
        <v>5940</v>
      </c>
      <c r="AH73" s="22">
        <v>6210</v>
      </c>
      <c r="AI73" s="22">
        <v>6380</v>
      </c>
      <c r="AJ73" s="22">
        <v>6550</v>
      </c>
      <c r="AK73" s="22">
        <v>6550</v>
      </c>
      <c r="AL73" s="22">
        <v>6630</v>
      </c>
      <c r="AM73" s="22">
        <v>6670</v>
      </c>
      <c r="AN73" s="22">
        <v>6490</v>
      </c>
      <c r="AO73" s="22">
        <v>6450</v>
      </c>
      <c r="AP73" s="22">
        <v>6400</v>
      </c>
      <c r="AQ73" s="22">
        <v>6190</v>
      </c>
      <c r="AR73" s="22">
        <v>5970</v>
      </c>
      <c r="AS73" s="22">
        <v>6060</v>
      </c>
      <c r="AT73" s="22">
        <v>6200</v>
      </c>
      <c r="AU73" s="22">
        <v>6230</v>
      </c>
      <c r="AV73" s="22">
        <v>6150</v>
      </c>
      <c r="AW73" s="22">
        <v>6280</v>
      </c>
      <c r="AX73" s="22">
        <v>6400</v>
      </c>
      <c r="AY73" s="22">
        <v>6310</v>
      </c>
      <c r="AZ73" s="22">
        <v>6190</v>
      </c>
      <c r="BA73" s="22">
        <v>6280</v>
      </c>
      <c r="BB73" s="22">
        <v>6200</v>
      </c>
      <c r="BC73" s="22">
        <v>6400</v>
      </c>
      <c r="BD73" s="22">
        <v>6120</v>
      </c>
      <c r="BE73" s="22">
        <v>5940</v>
      </c>
      <c r="BF73" s="22">
        <v>5960</v>
      </c>
      <c r="BG73" s="22">
        <v>6030</v>
      </c>
      <c r="BH73" s="22">
        <v>6320</v>
      </c>
      <c r="BI73" s="22">
        <v>6160</v>
      </c>
      <c r="BJ73" s="22">
        <v>6200</v>
      </c>
      <c r="BK73" s="22">
        <v>6270</v>
      </c>
      <c r="BL73" s="22">
        <v>6220</v>
      </c>
    </row>
    <row r="74" spans="1:64" ht="15.95" customHeight="1">
      <c r="A74" s="81" t="s">
        <v>331</v>
      </c>
      <c r="B74" s="17" t="s">
        <v>60</v>
      </c>
      <c r="C74" s="26">
        <f>_xll.RssMarket("9202","始値")</f>
        <v>3050</v>
      </c>
      <c r="D74" s="25">
        <f t="shared" si="1"/>
        <v>0</v>
      </c>
      <c r="E74" s="22">
        <v>3050</v>
      </c>
      <c r="F74" s="22">
        <v>3019</v>
      </c>
      <c r="G74" s="22">
        <v>2931.5</v>
      </c>
      <c r="H74" s="22">
        <v>2826.5</v>
      </c>
      <c r="I74" s="22">
        <v>2782</v>
      </c>
      <c r="J74" s="22">
        <v>2799</v>
      </c>
      <c r="K74" s="22">
        <v>2839</v>
      </c>
      <c r="L74" s="22">
        <v>2824.5</v>
      </c>
      <c r="M74" s="22">
        <v>2796.5</v>
      </c>
      <c r="N74" s="22">
        <v>2801</v>
      </c>
      <c r="O74" s="22">
        <v>2881.5</v>
      </c>
      <c r="P74" s="22">
        <v>2930</v>
      </c>
      <c r="Q74" s="22">
        <v>2919.5</v>
      </c>
      <c r="R74" s="22">
        <v>2880.5</v>
      </c>
      <c r="S74" s="22">
        <v>2831</v>
      </c>
      <c r="T74" s="22">
        <v>2785</v>
      </c>
      <c r="U74" s="22">
        <v>2783.5</v>
      </c>
      <c r="V74" s="22">
        <v>2746</v>
      </c>
      <c r="W74" s="22">
        <v>2732.5</v>
      </c>
      <c r="X74" s="22">
        <v>2770</v>
      </c>
      <c r="Y74" s="22">
        <v>2768</v>
      </c>
      <c r="Z74" s="22">
        <v>2785</v>
      </c>
      <c r="AA74" s="22">
        <v>2791</v>
      </c>
      <c r="AB74" s="22">
        <v>2793.5</v>
      </c>
      <c r="AC74" s="22">
        <v>2810</v>
      </c>
      <c r="AD74" s="22">
        <v>2860.5</v>
      </c>
      <c r="AE74" s="22">
        <v>2759.5</v>
      </c>
      <c r="AF74" s="22">
        <v>2639.5</v>
      </c>
      <c r="AG74" s="22">
        <v>2629</v>
      </c>
      <c r="AH74" s="22">
        <v>2646.5</v>
      </c>
      <c r="AI74" s="22">
        <v>2680</v>
      </c>
      <c r="AJ74" s="22">
        <v>2725</v>
      </c>
      <c r="AK74" s="22">
        <v>2800</v>
      </c>
      <c r="AL74" s="22">
        <v>2821</v>
      </c>
      <c r="AM74" s="22">
        <v>2880</v>
      </c>
      <c r="AN74" s="22">
        <v>2850</v>
      </c>
      <c r="AO74" s="22">
        <v>2829.5</v>
      </c>
      <c r="AP74" s="22">
        <v>2870</v>
      </c>
      <c r="AQ74" s="22">
        <v>2856</v>
      </c>
      <c r="AR74" s="22">
        <v>2880</v>
      </c>
      <c r="AS74" s="22">
        <v>2890</v>
      </c>
      <c r="AT74" s="22">
        <v>2890</v>
      </c>
      <c r="AU74" s="22">
        <v>2930</v>
      </c>
      <c r="AV74" s="22">
        <v>2960</v>
      </c>
      <c r="AW74" s="22">
        <v>2927.5</v>
      </c>
      <c r="AX74" s="22">
        <v>2947.5</v>
      </c>
      <c r="AY74" s="22">
        <v>2910</v>
      </c>
      <c r="AZ74" s="22">
        <v>2932</v>
      </c>
      <c r="BA74" s="22">
        <v>2879</v>
      </c>
      <c r="BB74" s="22">
        <v>2857.5</v>
      </c>
      <c r="BC74" s="22">
        <v>2841</v>
      </c>
      <c r="BD74" s="22">
        <v>2998</v>
      </c>
      <c r="BE74" s="22">
        <v>2990</v>
      </c>
      <c r="BF74" s="22">
        <v>2975</v>
      </c>
      <c r="BG74" s="22">
        <v>2950.5</v>
      </c>
      <c r="BH74" s="22">
        <v>2877</v>
      </c>
      <c r="BI74" s="22">
        <v>2984.5</v>
      </c>
      <c r="BJ74" s="22">
        <v>2983</v>
      </c>
      <c r="BK74" s="22">
        <v>2935</v>
      </c>
      <c r="BL74" s="22">
        <v>2936.5</v>
      </c>
    </row>
    <row r="75" spans="1:64" ht="15.95" customHeight="1">
      <c r="A75" s="81" t="s">
        <v>332</v>
      </c>
      <c r="B75" s="17" t="s">
        <v>61</v>
      </c>
      <c r="C75" s="26">
        <f>_xll.RssMarket("7846","始値")</f>
        <v>4981</v>
      </c>
      <c r="D75" s="25">
        <f t="shared" si="1"/>
        <v>0</v>
      </c>
      <c r="E75" s="22">
        <v>4981</v>
      </c>
      <c r="F75" s="22">
        <v>4930</v>
      </c>
      <c r="G75" s="22">
        <v>4955</v>
      </c>
      <c r="H75" s="22">
        <v>4908</v>
      </c>
      <c r="I75" s="22">
        <v>4869</v>
      </c>
      <c r="J75" s="22">
        <v>4883</v>
      </c>
      <c r="K75" s="22">
        <v>4878</v>
      </c>
      <c r="L75" s="22">
        <v>4845</v>
      </c>
      <c r="M75" s="22">
        <v>4836</v>
      </c>
      <c r="N75" s="22">
        <v>4854</v>
      </c>
      <c r="O75" s="22">
        <v>4841</v>
      </c>
      <c r="P75" s="22">
        <v>4882</v>
      </c>
      <c r="Q75" s="22">
        <v>4939</v>
      </c>
      <c r="R75" s="22">
        <v>4909</v>
      </c>
      <c r="S75" s="22">
        <v>4948</v>
      </c>
      <c r="T75" s="22">
        <v>4901</v>
      </c>
      <c r="U75" s="22">
        <v>4939</v>
      </c>
      <c r="V75" s="22">
        <v>4789</v>
      </c>
      <c r="W75" s="22">
        <v>4690</v>
      </c>
      <c r="X75" s="22">
        <v>4617</v>
      </c>
      <c r="Y75" s="22">
        <v>4581</v>
      </c>
      <c r="Z75" s="22">
        <v>4586</v>
      </c>
      <c r="AA75" s="22">
        <v>4565</v>
      </c>
      <c r="AB75" s="22">
        <v>4668</v>
      </c>
      <c r="AC75" s="22">
        <v>4750</v>
      </c>
      <c r="AD75" s="22">
        <v>4823</v>
      </c>
      <c r="AE75" s="22">
        <v>4818</v>
      </c>
      <c r="AF75" s="22">
        <v>4742</v>
      </c>
      <c r="AG75" s="22">
        <v>4800</v>
      </c>
      <c r="AH75" s="22">
        <v>4792</v>
      </c>
      <c r="AI75" s="22">
        <v>4773</v>
      </c>
      <c r="AJ75" s="22">
        <v>4843</v>
      </c>
      <c r="AK75" s="22">
        <v>4791</v>
      </c>
      <c r="AL75" s="22">
        <v>4830</v>
      </c>
      <c r="AM75" s="22">
        <v>4811</v>
      </c>
      <c r="AN75" s="22">
        <v>4870</v>
      </c>
      <c r="AO75" s="22">
        <v>4845</v>
      </c>
      <c r="AP75" s="22">
        <v>4869</v>
      </c>
      <c r="AQ75" s="22">
        <v>4834</v>
      </c>
      <c r="AR75" s="22">
        <v>4860</v>
      </c>
      <c r="AS75" s="22">
        <v>4874</v>
      </c>
      <c r="AT75" s="22">
        <v>4972</v>
      </c>
      <c r="AU75" s="22">
        <v>4968</v>
      </c>
      <c r="AV75" s="22">
        <v>4980</v>
      </c>
      <c r="AW75" s="22">
        <v>4923</v>
      </c>
      <c r="AX75" s="22">
        <v>4846</v>
      </c>
      <c r="AY75" s="22">
        <v>4841</v>
      </c>
      <c r="AZ75" s="22">
        <v>4880</v>
      </c>
      <c r="BA75" s="22">
        <v>4791</v>
      </c>
      <c r="BB75" s="22">
        <v>4624</v>
      </c>
      <c r="BC75" s="22">
        <v>4670</v>
      </c>
      <c r="BD75" s="22">
        <v>4799</v>
      </c>
      <c r="BE75" s="22">
        <v>4817</v>
      </c>
      <c r="BF75" s="22">
        <v>4750</v>
      </c>
      <c r="BG75" s="22">
        <v>4666</v>
      </c>
      <c r="BH75" s="22">
        <v>4517</v>
      </c>
      <c r="BI75" s="22">
        <v>4570</v>
      </c>
      <c r="BJ75" s="22">
        <v>4567</v>
      </c>
      <c r="BK75" s="22">
        <v>4534</v>
      </c>
      <c r="BL75" s="22">
        <v>4530</v>
      </c>
    </row>
    <row r="76" spans="1:64" ht="15.95" customHeight="1">
      <c r="A76" s="81" t="s">
        <v>333</v>
      </c>
      <c r="B76" s="17" t="s">
        <v>53</v>
      </c>
      <c r="C76" s="26">
        <f>_xll.RssMarket("2802","始値")</f>
        <v>5187</v>
      </c>
      <c r="D76" s="25">
        <f t="shared" si="1"/>
        <v>0</v>
      </c>
      <c r="E76" s="22">
        <v>5187</v>
      </c>
      <c r="F76" s="22">
        <v>4996</v>
      </c>
      <c r="G76" s="22">
        <v>5500</v>
      </c>
      <c r="H76" s="22">
        <v>5200</v>
      </c>
      <c r="I76" s="22">
        <v>4848</v>
      </c>
      <c r="J76" s="22">
        <v>4772</v>
      </c>
      <c r="K76" s="22">
        <v>4802</v>
      </c>
      <c r="L76" s="22">
        <v>5050</v>
      </c>
      <c r="M76" s="22">
        <v>5130</v>
      </c>
      <c r="N76" s="22">
        <v>5269</v>
      </c>
      <c r="O76" s="22">
        <v>5302</v>
      </c>
      <c r="P76" s="22">
        <v>5140</v>
      </c>
      <c r="Q76" s="22">
        <v>5189</v>
      </c>
      <c r="R76" s="22">
        <v>5345</v>
      </c>
      <c r="S76" s="22">
        <v>5270</v>
      </c>
      <c r="T76" s="22">
        <v>5243</v>
      </c>
      <c r="U76" s="22">
        <v>5099</v>
      </c>
      <c r="V76" s="22">
        <v>5278</v>
      </c>
      <c r="W76" s="22">
        <v>5200</v>
      </c>
      <c r="X76" s="22">
        <v>5280</v>
      </c>
      <c r="Y76" s="22">
        <v>5542</v>
      </c>
      <c r="Z76" s="22">
        <v>5587</v>
      </c>
      <c r="AA76" s="22">
        <v>5371</v>
      </c>
      <c r="AB76" s="22">
        <v>5502</v>
      </c>
      <c r="AC76" s="22">
        <v>5179</v>
      </c>
      <c r="AD76" s="22">
        <v>4818</v>
      </c>
      <c r="AE76" s="22">
        <v>4952</v>
      </c>
      <c r="AF76" s="22">
        <v>4904</v>
      </c>
      <c r="AG76" s="22">
        <v>4913</v>
      </c>
      <c r="AH76" s="22">
        <v>4794</v>
      </c>
      <c r="AI76" s="22">
        <v>4755</v>
      </c>
      <c r="AJ76" s="22">
        <v>4727</v>
      </c>
      <c r="AK76" s="22">
        <v>4607</v>
      </c>
      <c r="AL76" s="22">
        <v>4652</v>
      </c>
      <c r="AM76" s="22">
        <v>4607</v>
      </c>
      <c r="AN76" s="22">
        <v>4599</v>
      </c>
      <c r="AO76" s="22">
        <v>4651</v>
      </c>
      <c r="AP76" s="22">
        <v>4637</v>
      </c>
      <c r="AQ76" s="22">
        <v>4651</v>
      </c>
      <c r="AR76" s="22">
        <v>4600</v>
      </c>
      <c r="AS76" s="22">
        <v>4601</v>
      </c>
      <c r="AT76" s="22">
        <v>4722</v>
      </c>
      <c r="AU76" s="22">
        <v>4770</v>
      </c>
      <c r="AV76" s="22">
        <v>4800</v>
      </c>
      <c r="AW76" s="22">
        <v>4646</v>
      </c>
      <c r="AX76" s="22">
        <v>4615</v>
      </c>
      <c r="AY76" s="22">
        <v>4700</v>
      </c>
      <c r="AZ76" s="22">
        <v>4662</v>
      </c>
      <c r="BA76" s="22">
        <v>4590</v>
      </c>
      <c r="BB76" s="22">
        <v>4348</v>
      </c>
      <c r="BC76" s="22">
        <v>4296</v>
      </c>
      <c r="BD76" s="22">
        <v>4513</v>
      </c>
      <c r="BE76" s="22">
        <v>4511</v>
      </c>
      <c r="BF76" s="22">
        <v>4430</v>
      </c>
      <c r="BG76" s="22">
        <v>4299</v>
      </c>
      <c r="BH76" s="22">
        <v>4195</v>
      </c>
      <c r="BI76" s="22">
        <v>4437</v>
      </c>
      <c r="BJ76" s="22">
        <v>4480</v>
      </c>
      <c r="BK76" s="22">
        <v>4520</v>
      </c>
      <c r="BL76" s="22">
        <v>4415</v>
      </c>
    </row>
    <row r="77" spans="1:64" ht="15.95" customHeight="1">
      <c r="A77" s="81" t="s">
        <v>334</v>
      </c>
      <c r="B77" s="17" t="s">
        <v>62</v>
      </c>
      <c r="C77" s="26">
        <f>_xll.RssMarket("7203","始値")</f>
        <v>2862.5</v>
      </c>
      <c r="D77" s="25">
        <f t="shared" si="1"/>
        <v>0</v>
      </c>
      <c r="E77" s="22">
        <v>2862.5</v>
      </c>
      <c r="F77" s="22">
        <v>2867</v>
      </c>
      <c r="G77" s="22">
        <v>2836.5</v>
      </c>
      <c r="H77" s="22">
        <v>2792</v>
      </c>
      <c r="I77" s="22">
        <v>2768</v>
      </c>
      <c r="J77" s="22">
        <v>2837</v>
      </c>
      <c r="K77" s="22">
        <v>2817</v>
      </c>
      <c r="L77" s="22">
        <v>2872</v>
      </c>
      <c r="M77" s="22">
        <v>2875</v>
      </c>
      <c r="N77" s="22">
        <v>2840</v>
      </c>
      <c r="O77" s="22">
        <v>2849.5</v>
      </c>
      <c r="P77" s="22">
        <v>3022</v>
      </c>
      <c r="Q77" s="22">
        <v>3039</v>
      </c>
      <c r="R77" s="22">
        <v>3016</v>
      </c>
      <c r="S77" s="22">
        <v>3051</v>
      </c>
      <c r="T77" s="22">
        <v>3020</v>
      </c>
      <c r="U77" s="22">
        <v>2964.5</v>
      </c>
      <c r="V77" s="22">
        <v>3003</v>
      </c>
      <c r="W77" s="22">
        <v>2955</v>
      </c>
      <c r="X77" s="22">
        <v>2990</v>
      </c>
      <c r="Y77" s="22">
        <v>3017</v>
      </c>
      <c r="Z77" s="22">
        <v>2944</v>
      </c>
      <c r="AA77" s="22">
        <v>2884.5</v>
      </c>
      <c r="AB77" s="22">
        <v>2831</v>
      </c>
      <c r="AC77" s="22">
        <v>2800</v>
      </c>
      <c r="AD77" s="22">
        <v>3020</v>
      </c>
      <c r="AE77" s="22">
        <v>3017</v>
      </c>
      <c r="AF77" s="22">
        <v>3000</v>
      </c>
      <c r="AG77" s="22">
        <v>3062</v>
      </c>
      <c r="AH77" s="22">
        <v>3131</v>
      </c>
      <c r="AI77" s="22">
        <v>3122</v>
      </c>
      <c r="AJ77" s="22">
        <v>3191</v>
      </c>
      <c r="AK77" s="22">
        <v>3220</v>
      </c>
      <c r="AL77" s="22">
        <v>3345</v>
      </c>
      <c r="AM77" s="22">
        <v>3413</v>
      </c>
      <c r="AN77" s="22">
        <v>3400</v>
      </c>
      <c r="AO77" s="22">
        <v>3416</v>
      </c>
      <c r="AP77" s="22">
        <v>3355</v>
      </c>
      <c r="AQ77" s="22">
        <v>3355</v>
      </c>
      <c r="AR77" s="22">
        <v>3295</v>
      </c>
      <c r="AS77" s="22">
        <v>3345</v>
      </c>
      <c r="AT77" s="22">
        <v>3398</v>
      </c>
      <c r="AU77" s="22">
        <v>3392</v>
      </c>
      <c r="AV77" s="22">
        <v>3235</v>
      </c>
      <c r="AW77" s="22">
        <v>3255</v>
      </c>
      <c r="AX77" s="22">
        <v>3277</v>
      </c>
      <c r="AY77" s="22">
        <v>3365</v>
      </c>
      <c r="AZ77" s="22">
        <v>3280</v>
      </c>
      <c r="BA77" s="22">
        <v>3200</v>
      </c>
      <c r="BB77" s="22">
        <v>3204</v>
      </c>
      <c r="BC77" s="22">
        <v>3355</v>
      </c>
      <c r="BD77" s="22">
        <v>3383</v>
      </c>
      <c r="BE77" s="22">
        <v>3389</v>
      </c>
      <c r="BF77" s="22">
        <v>3321</v>
      </c>
      <c r="BG77" s="22">
        <v>3278</v>
      </c>
      <c r="BH77" s="22">
        <v>3360</v>
      </c>
      <c r="BI77" s="22">
        <v>3359</v>
      </c>
      <c r="BJ77" s="22">
        <v>3377</v>
      </c>
      <c r="BK77" s="22">
        <v>3370</v>
      </c>
      <c r="BL77" s="22">
        <v>3360</v>
      </c>
    </row>
    <row r="78" spans="1:64" ht="15.95" customHeight="1">
      <c r="A78" s="81" t="s">
        <v>335</v>
      </c>
      <c r="B78" s="17" t="s">
        <v>63</v>
      </c>
      <c r="C78" s="26">
        <f>_xll.RssMarket("6954","始値")</f>
        <v>7270</v>
      </c>
      <c r="D78" s="25">
        <f t="shared" si="1"/>
        <v>0</v>
      </c>
      <c r="E78" s="22">
        <v>7270</v>
      </c>
      <c r="F78" s="22">
        <v>7487</v>
      </c>
      <c r="G78" s="22">
        <v>7200</v>
      </c>
      <c r="H78" s="22">
        <v>7035</v>
      </c>
      <c r="I78" s="22">
        <v>6385</v>
      </c>
      <c r="J78" s="22">
        <v>6877</v>
      </c>
      <c r="K78" s="22">
        <v>7000</v>
      </c>
      <c r="L78" s="22">
        <v>7608</v>
      </c>
      <c r="M78" s="22">
        <v>7872</v>
      </c>
      <c r="N78" s="22">
        <v>7708</v>
      </c>
      <c r="O78" s="22">
        <v>8000</v>
      </c>
      <c r="P78" s="22">
        <v>8100</v>
      </c>
      <c r="Q78" s="22">
        <v>8096</v>
      </c>
      <c r="R78" s="22">
        <v>8695</v>
      </c>
      <c r="S78" s="22">
        <v>8348</v>
      </c>
      <c r="T78" s="22">
        <v>8145</v>
      </c>
      <c r="U78" s="22">
        <v>7547</v>
      </c>
      <c r="V78" s="22">
        <v>7524</v>
      </c>
      <c r="W78" s="22">
        <v>7980</v>
      </c>
      <c r="X78" s="22">
        <v>8439</v>
      </c>
      <c r="Y78" s="22">
        <v>8255</v>
      </c>
      <c r="Z78" s="22">
        <v>8540</v>
      </c>
      <c r="AA78" s="22">
        <v>7570</v>
      </c>
      <c r="AB78" s="22">
        <v>7632</v>
      </c>
      <c r="AC78" s="22">
        <v>7555</v>
      </c>
      <c r="AD78" s="22">
        <v>7114</v>
      </c>
      <c r="AE78" s="22">
        <v>7198</v>
      </c>
      <c r="AF78" s="22">
        <v>6775</v>
      </c>
      <c r="AG78" s="22">
        <v>6761</v>
      </c>
      <c r="AH78" s="22">
        <v>7256</v>
      </c>
      <c r="AI78" s="22">
        <v>6750</v>
      </c>
      <c r="AJ78" s="22">
        <v>6323</v>
      </c>
      <c r="AK78" s="22">
        <v>6433</v>
      </c>
      <c r="AL78" s="22">
        <v>6450</v>
      </c>
      <c r="AM78" s="22">
        <v>6500</v>
      </c>
      <c r="AN78" s="22">
        <v>6250</v>
      </c>
      <c r="AO78" s="22">
        <v>6272</v>
      </c>
      <c r="AP78" s="22">
        <v>6143</v>
      </c>
      <c r="AQ78" s="22">
        <v>6280</v>
      </c>
      <c r="AR78" s="22">
        <v>6282</v>
      </c>
      <c r="AS78" s="22">
        <v>6250</v>
      </c>
      <c r="AT78" s="22">
        <v>5993</v>
      </c>
      <c r="AU78" s="22">
        <v>6024</v>
      </c>
      <c r="AV78" s="22">
        <v>5804</v>
      </c>
      <c r="AW78" s="22">
        <v>5490</v>
      </c>
      <c r="AX78" s="22">
        <v>5537</v>
      </c>
      <c r="AY78" s="22">
        <v>5538</v>
      </c>
      <c r="AZ78" s="22">
        <v>5797</v>
      </c>
      <c r="BA78" s="22">
        <v>5698</v>
      </c>
      <c r="BB78" s="22">
        <v>5333</v>
      </c>
      <c r="BC78" s="22">
        <v>5378</v>
      </c>
      <c r="BD78" s="22">
        <v>5740</v>
      </c>
      <c r="BE78" s="22">
        <v>5936</v>
      </c>
      <c r="BF78" s="22">
        <v>5989</v>
      </c>
      <c r="BG78" s="22">
        <v>5830</v>
      </c>
      <c r="BH78" s="22">
        <v>5650</v>
      </c>
      <c r="BI78" s="22">
        <v>5939</v>
      </c>
      <c r="BJ78" s="22">
        <v>6000</v>
      </c>
      <c r="BK78" s="22">
        <v>6074</v>
      </c>
      <c r="BL78" s="22">
        <v>6003</v>
      </c>
    </row>
    <row r="79" spans="1:64" ht="15.95" customHeight="1">
      <c r="A79" s="81" t="s">
        <v>336</v>
      </c>
      <c r="B79" s="17" t="s">
        <v>64</v>
      </c>
      <c r="C79" s="26">
        <f>_xll.RssMarket("6479","始値")</f>
        <v>4618</v>
      </c>
      <c r="D79" s="25">
        <f t="shared" si="1"/>
        <v>0</v>
      </c>
      <c r="E79" s="22">
        <v>4618</v>
      </c>
      <c r="F79" s="22">
        <v>4570</v>
      </c>
      <c r="G79" s="22">
        <v>4443</v>
      </c>
      <c r="H79" s="22">
        <v>4408</v>
      </c>
      <c r="I79" s="22">
        <v>4162</v>
      </c>
      <c r="J79" s="22">
        <v>4511</v>
      </c>
      <c r="K79" s="22">
        <v>4714</v>
      </c>
      <c r="L79" s="22">
        <v>4828</v>
      </c>
      <c r="M79" s="22">
        <v>4849</v>
      </c>
      <c r="N79" s="22">
        <v>4809</v>
      </c>
      <c r="O79" s="22">
        <v>4651</v>
      </c>
      <c r="P79" s="22">
        <v>4433</v>
      </c>
      <c r="Q79" s="22">
        <v>4166</v>
      </c>
      <c r="R79" s="22">
        <v>4247</v>
      </c>
      <c r="S79" s="22">
        <v>4060</v>
      </c>
      <c r="T79" s="22">
        <v>3940</v>
      </c>
      <c r="U79" s="22">
        <v>3799</v>
      </c>
      <c r="V79" s="22">
        <v>3869</v>
      </c>
      <c r="W79" s="22">
        <v>3800</v>
      </c>
      <c r="X79" s="22">
        <v>3955</v>
      </c>
      <c r="Y79" s="22">
        <v>4005</v>
      </c>
      <c r="Z79" s="22">
        <v>3950</v>
      </c>
      <c r="AA79" s="22">
        <v>3636</v>
      </c>
      <c r="AB79" s="22">
        <v>3527</v>
      </c>
      <c r="AC79" s="22">
        <v>3436</v>
      </c>
      <c r="AD79" s="22">
        <v>3300</v>
      </c>
      <c r="AE79" s="22">
        <v>3178</v>
      </c>
      <c r="AF79" s="22">
        <v>3138</v>
      </c>
      <c r="AG79" s="22">
        <v>3079</v>
      </c>
      <c r="AH79" s="22">
        <v>3123</v>
      </c>
      <c r="AI79" s="22">
        <v>3120</v>
      </c>
      <c r="AJ79" s="22">
        <v>3060</v>
      </c>
      <c r="AK79" s="22">
        <v>3110</v>
      </c>
      <c r="AL79" s="22">
        <v>3106</v>
      </c>
      <c r="AM79" s="22">
        <v>3112</v>
      </c>
      <c r="AN79" s="22">
        <v>3034</v>
      </c>
      <c r="AO79" s="22">
        <v>3000</v>
      </c>
      <c r="AP79" s="22">
        <v>2908</v>
      </c>
      <c r="AQ79" s="22">
        <v>2878.5</v>
      </c>
      <c r="AR79" s="22">
        <v>2910</v>
      </c>
      <c r="AS79" s="22">
        <v>2830.5</v>
      </c>
      <c r="AT79" s="22">
        <v>2735</v>
      </c>
      <c r="AU79" s="22">
        <v>2782</v>
      </c>
      <c r="AV79" s="22">
        <v>2794.5</v>
      </c>
      <c r="AW79" s="22">
        <v>2625</v>
      </c>
      <c r="AX79" s="22">
        <v>2596.5</v>
      </c>
      <c r="AY79" s="22">
        <v>2589.5</v>
      </c>
      <c r="AZ79" s="22">
        <v>2700</v>
      </c>
      <c r="BA79" s="22">
        <v>2685</v>
      </c>
      <c r="BB79" s="22">
        <v>2547</v>
      </c>
      <c r="BC79" s="22">
        <v>2577</v>
      </c>
      <c r="BD79" s="22">
        <v>2686.5</v>
      </c>
      <c r="BE79" s="22">
        <v>2760</v>
      </c>
      <c r="BF79" s="22">
        <v>2689.5</v>
      </c>
      <c r="BG79" s="22">
        <v>2650</v>
      </c>
      <c r="BH79" s="22">
        <v>2560</v>
      </c>
      <c r="BI79" s="22">
        <v>2724.5</v>
      </c>
      <c r="BJ79" s="22">
        <v>2747</v>
      </c>
      <c r="BK79" s="22">
        <v>2755.5</v>
      </c>
      <c r="BL79" s="22">
        <v>2730.5</v>
      </c>
    </row>
    <row r="80" spans="1:64" ht="15.95" customHeight="1">
      <c r="A80" s="81" t="s">
        <v>337</v>
      </c>
      <c r="B80" s="17" t="s">
        <v>65</v>
      </c>
      <c r="C80" s="26">
        <f>_xll.RssMarket("1833","始値")</f>
        <v>5760</v>
      </c>
      <c r="D80" s="25">
        <f t="shared" si="1"/>
        <v>0</v>
      </c>
      <c r="E80" s="22">
        <v>5760</v>
      </c>
      <c r="F80" s="22">
        <v>5790</v>
      </c>
      <c r="G80" s="22">
        <v>5730</v>
      </c>
      <c r="H80" s="22">
        <v>5610</v>
      </c>
      <c r="I80" s="22">
        <v>5540</v>
      </c>
      <c r="J80" s="22">
        <v>5520</v>
      </c>
      <c r="K80" s="22">
        <v>5540</v>
      </c>
      <c r="L80" s="22">
        <v>5550</v>
      </c>
      <c r="M80" s="22">
        <v>5540</v>
      </c>
      <c r="N80" s="22">
        <v>5550</v>
      </c>
      <c r="O80" s="22">
        <v>5600</v>
      </c>
      <c r="P80" s="22">
        <v>5520</v>
      </c>
      <c r="Q80" s="22">
        <v>5630</v>
      </c>
      <c r="R80" s="22">
        <v>5520</v>
      </c>
      <c r="S80" s="22">
        <v>5610</v>
      </c>
      <c r="T80" s="22">
        <v>5700</v>
      </c>
      <c r="U80" s="22">
        <v>5730</v>
      </c>
      <c r="V80" s="22">
        <v>5680</v>
      </c>
      <c r="W80" s="22">
        <v>5790</v>
      </c>
      <c r="X80" s="22">
        <v>5980</v>
      </c>
      <c r="Y80" s="22">
        <v>6160</v>
      </c>
      <c r="Z80" s="22">
        <v>6320</v>
      </c>
      <c r="AA80" s="22">
        <v>6210</v>
      </c>
      <c r="AB80" s="22">
        <v>6050</v>
      </c>
      <c r="AC80" s="22">
        <v>6130</v>
      </c>
      <c r="AD80" s="22">
        <v>6250</v>
      </c>
      <c r="AE80" s="22">
        <v>6150</v>
      </c>
      <c r="AF80" s="22">
        <v>6080</v>
      </c>
      <c r="AG80" s="22">
        <v>6000</v>
      </c>
      <c r="AH80" s="22">
        <v>5950</v>
      </c>
      <c r="AI80" s="22">
        <v>6150</v>
      </c>
      <c r="AJ80" s="22">
        <v>5980</v>
      </c>
      <c r="AK80" s="22">
        <v>6080</v>
      </c>
      <c r="AL80" s="22">
        <v>6120</v>
      </c>
      <c r="AM80" s="22">
        <v>6150</v>
      </c>
      <c r="AN80" s="22">
        <v>6200</v>
      </c>
      <c r="AO80" s="22">
        <v>6230</v>
      </c>
      <c r="AP80" s="22">
        <v>6280</v>
      </c>
      <c r="AQ80" s="22">
        <v>6250</v>
      </c>
      <c r="AR80" s="22">
        <v>6270</v>
      </c>
      <c r="AS80" s="22">
        <v>6430</v>
      </c>
      <c r="AT80" s="22">
        <v>6540</v>
      </c>
      <c r="AU80" s="22">
        <v>6510</v>
      </c>
      <c r="AV80" s="22">
        <v>6380</v>
      </c>
      <c r="AW80" s="22">
        <v>6430</v>
      </c>
      <c r="AX80" s="22">
        <v>6510</v>
      </c>
      <c r="AY80" s="22">
        <v>6570</v>
      </c>
      <c r="AZ80" s="22">
        <v>6500</v>
      </c>
      <c r="BA80" s="22">
        <v>6260</v>
      </c>
      <c r="BB80" s="22">
        <v>6150</v>
      </c>
      <c r="BC80" s="22">
        <v>6510</v>
      </c>
      <c r="BD80" s="22">
        <v>6660</v>
      </c>
      <c r="BE80" s="22">
        <v>6660</v>
      </c>
      <c r="BF80" s="22">
        <v>6460</v>
      </c>
      <c r="BG80" s="22">
        <v>6410</v>
      </c>
      <c r="BH80" s="22">
        <v>6660</v>
      </c>
      <c r="BI80" s="22">
        <v>6620</v>
      </c>
      <c r="BJ80" s="22">
        <v>6550</v>
      </c>
      <c r="BK80" s="22">
        <v>6550</v>
      </c>
      <c r="BL80" s="22">
        <v>6470</v>
      </c>
    </row>
    <row r="81" spans="1:64" ht="15.95" customHeight="1">
      <c r="A81" s="81" t="s">
        <v>338</v>
      </c>
      <c r="B81" s="17" t="s">
        <v>142</v>
      </c>
      <c r="C81" s="26">
        <f>_xll.RssMarket("6841","始値")</f>
        <v>5151</v>
      </c>
      <c r="D81" s="25">
        <f t="shared" si="1"/>
        <v>0</v>
      </c>
      <c r="E81" s="22">
        <v>5151</v>
      </c>
      <c r="F81" s="22">
        <v>5214</v>
      </c>
      <c r="G81" s="22">
        <v>5110</v>
      </c>
      <c r="H81" s="22">
        <v>5046</v>
      </c>
      <c r="I81" s="22">
        <v>4707</v>
      </c>
      <c r="J81" s="22">
        <v>4893</v>
      </c>
      <c r="K81" s="22">
        <v>5057</v>
      </c>
      <c r="L81" s="22">
        <v>5339</v>
      </c>
      <c r="M81" s="22">
        <v>5380</v>
      </c>
      <c r="N81" s="22">
        <v>5220</v>
      </c>
      <c r="O81" s="22">
        <v>5097</v>
      </c>
      <c r="P81" s="22">
        <v>4877</v>
      </c>
      <c r="Q81" s="22">
        <v>4920</v>
      </c>
      <c r="R81" s="22">
        <v>4928</v>
      </c>
      <c r="S81" s="22">
        <v>4913</v>
      </c>
      <c r="T81" s="22">
        <v>4841</v>
      </c>
      <c r="U81" s="22">
        <v>4750</v>
      </c>
      <c r="V81" s="22">
        <v>4704</v>
      </c>
      <c r="W81" s="22">
        <v>4905</v>
      </c>
      <c r="X81" s="22">
        <v>4970</v>
      </c>
      <c r="Y81" s="22">
        <v>5141</v>
      </c>
      <c r="Z81" s="22">
        <v>5318</v>
      </c>
      <c r="AA81" s="22">
        <v>5180</v>
      </c>
      <c r="AB81" s="22">
        <v>5312</v>
      </c>
      <c r="AC81" s="22">
        <v>5250</v>
      </c>
      <c r="AD81" s="22">
        <v>5434</v>
      </c>
      <c r="AE81" s="22">
        <v>5554</v>
      </c>
      <c r="AF81" s="22">
        <v>5432</v>
      </c>
      <c r="AG81" s="22">
        <v>5419</v>
      </c>
      <c r="AH81" s="22">
        <v>5390</v>
      </c>
      <c r="AI81" s="22">
        <v>5294</v>
      </c>
      <c r="AJ81" s="22">
        <v>5269</v>
      </c>
      <c r="AK81" s="22">
        <v>5412</v>
      </c>
      <c r="AL81" s="22">
        <v>5578</v>
      </c>
      <c r="AM81" s="22">
        <v>5516</v>
      </c>
      <c r="AN81" s="22">
        <v>5474</v>
      </c>
      <c r="AO81" s="22">
        <v>5463</v>
      </c>
      <c r="AP81" s="22">
        <v>5416</v>
      </c>
      <c r="AQ81" s="22">
        <v>5612</v>
      </c>
      <c r="AR81" s="22">
        <v>5702</v>
      </c>
      <c r="AS81" s="22">
        <v>5553</v>
      </c>
      <c r="AT81" s="22">
        <v>5660</v>
      </c>
      <c r="AU81" s="22">
        <v>5476</v>
      </c>
      <c r="AV81" s="22">
        <v>5255</v>
      </c>
      <c r="AW81" s="22">
        <v>4966</v>
      </c>
      <c r="AX81" s="22">
        <v>4928</v>
      </c>
      <c r="AY81" s="22">
        <v>4973</v>
      </c>
      <c r="AZ81" s="22">
        <v>5136</v>
      </c>
      <c r="BA81" s="22">
        <v>4995</v>
      </c>
      <c r="BB81" s="22">
        <v>4724</v>
      </c>
      <c r="BC81" s="22">
        <v>4711</v>
      </c>
      <c r="BD81" s="22">
        <v>5064</v>
      </c>
      <c r="BE81" s="22">
        <v>5174</v>
      </c>
      <c r="BF81" s="22">
        <v>5151</v>
      </c>
      <c r="BG81" s="22">
        <v>5010</v>
      </c>
      <c r="BH81" s="22">
        <v>4935</v>
      </c>
      <c r="BI81" s="22">
        <v>5366</v>
      </c>
      <c r="BJ81" s="22">
        <v>5495</v>
      </c>
      <c r="BK81" s="22">
        <v>5560</v>
      </c>
      <c r="BL81" s="22">
        <v>5530</v>
      </c>
    </row>
    <row r="82" spans="1:64" ht="15.95" customHeight="1">
      <c r="A82" s="81" t="s">
        <v>339</v>
      </c>
      <c r="B82" s="17" t="s">
        <v>143</v>
      </c>
      <c r="C82" s="26">
        <f>_xll.RssMarket("7167","始値")</f>
        <v>1429</v>
      </c>
      <c r="D82" s="25">
        <f t="shared" si="1"/>
        <v>0</v>
      </c>
      <c r="E82" s="22">
        <v>1429</v>
      </c>
      <c r="F82" s="22">
        <v>1410</v>
      </c>
      <c r="G82" s="22">
        <v>1432</v>
      </c>
      <c r="H82" s="22">
        <v>1399.5</v>
      </c>
      <c r="I82" s="22">
        <v>1362</v>
      </c>
      <c r="J82" s="22">
        <v>1400</v>
      </c>
      <c r="K82" s="22">
        <v>1327.5</v>
      </c>
      <c r="L82" s="22">
        <v>1361</v>
      </c>
      <c r="M82" s="22">
        <v>1293.5</v>
      </c>
      <c r="N82" s="22">
        <v>1325</v>
      </c>
      <c r="O82" s="22">
        <v>1277.5</v>
      </c>
      <c r="P82" s="22">
        <v>1350</v>
      </c>
      <c r="Q82" s="22">
        <v>1371.5</v>
      </c>
      <c r="R82" s="22">
        <v>1377.5</v>
      </c>
      <c r="S82" s="22">
        <v>1396</v>
      </c>
      <c r="T82" s="22">
        <v>1422</v>
      </c>
      <c r="U82" s="22">
        <v>1407</v>
      </c>
      <c r="V82" s="22">
        <v>1395.5</v>
      </c>
      <c r="W82" s="22">
        <v>1387</v>
      </c>
      <c r="X82" s="22">
        <v>1378.5</v>
      </c>
      <c r="Y82" s="22">
        <v>1385</v>
      </c>
      <c r="Z82" s="22">
        <v>1364.5</v>
      </c>
      <c r="AA82" s="22">
        <v>1363</v>
      </c>
      <c r="AB82" s="22">
        <v>1350</v>
      </c>
      <c r="AC82" s="22">
        <v>1303</v>
      </c>
      <c r="AD82" s="22">
        <v>1316</v>
      </c>
      <c r="AE82" s="22">
        <v>1345</v>
      </c>
      <c r="AF82" s="22">
        <v>1295.5</v>
      </c>
      <c r="AG82" s="22">
        <v>1296</v>
      </c>
      <c r="AH82" s="22">
        <v>1249.5</v>
      </c>
      <c r="AI82" s="22">
        <v>1206</v>
      </c>
      <c r="AJ82" s="22">
        <v>1235.5</v>
      </c>
      <c r="AK82" s="22">
        <v>1232</v>
      </c>
      <c r="AL82" s="22">
        <v>1281.5</v>
      </c>
      <c r="AM82" s="22">
        <v>1317.5</v>
      </c>
      <c r="AN82" s="22">
        <v>1353</v>
      </c>
      <c r="AO82" s="22">
        <v>1354</v>
      </c>
      <c r="AP82" s="22">
        <v>1363.5</v>
      </c>
      <c r="AQ82" s="22">
        <v>1360</v>
      </c>
      <c r="AR82" s="22">
        <v>1349</v>
      </c>
      <c r="AS82" s="22">
        <v>1345</v>
      </c>
      <c r="AT82" s="22">
        <v>1356</v>
      </c>
      <c r="AU82" s="22">
        <v>1351.5</v>
      </c>
      <c r="AV82" s="22">
        <v>1390</v>
      </c>
      <c r="AW82" s="22">
        <v>1306.5</v>
      </c>
      <c r="AX82" s="22">
        <v>1286</v>
      </c>
      <c r="AY82" s="22">
        <v>1292</v>
      </c>
      <c r="AZ82" s="22">
        <v>1337</v>
      </c>
      <c r="BA82" s="22">
        <v>1290</v>
      </c>
      <c r="BB82" s="22">
        <v>1194.5</v>
      </c>
      <c r="BC82" s="22">
        <v>1178.5</v>
      </c>
      <c r="BD82" s="22">
        <v>1232.5</v>
      </c>
      <c r="BE82" s="22">
        <v>1253.5</v>
      </c>
      <c r="BF82" s="22">
        <v>1240</v>
      </c>
      <c r="BG82" s="22">
        <v>1225</v>
      </c>
      <c r="BH82" s="22">
        <v>1154</v>
      </c>
      <c r="BI82" s="22">
        <v>1201</v>
      </c>
      <c r="BJ82" s="22">
        <v>1213</v>
      </c>
      <c r="BK82" s="22">
        <v>1195</v>
      </c>
      <c r="BL82" s="22">
        <v>1177.5</v>
      </c>
    </row>
    <row r="83" spans="1:64" ht="15.95" customHeight="1">
      <c r="A83" s="81" t="s">
        <v>340</v>
      </c>
      <c r="B83" s="17" t="s">
        <v>144</v>
      </c>
      <c r="C83" s="26">
        <f>_xll.RssMarket("1925","始値")</f>
        <v>4400</v>
      </c>
      <c r="D83" s="25">
        <f t="shared" si="1"/>
        <v>0</v>
      </c>
      <c r="E83" s="22">
        <v>4400</v>
      </c>
      <c r="F83" s="22">
        <v>4336</v>
      </c>
      <c r="G83" s="22">
        <v>4351</v>
      </c>
      <c r="H83" s="22">
        <v>4324</v>
      </c>
      <c r="I83" s="22">
        <v>4349</v>
      </c>
      <c r="J83" s="22">
        <v>4317</v>
      </c>
      <c r="K83" s="22">
        <v>4188</v>
      </c>
      <c r="L83" s="22">
        <v>4241</v>
      </c>
      <c r="M83" s="22">
        <v>4218</v>
      </c>
      <c r="N83" s="22">
        <v>4179</v>
      </c>
      <c r="O83" s="22">
        <v>4168</v>
      </c>
      <c r="P83" s="22">
        <v>4402</v>
      </c>
      <c r="Q83" s="22">
        <v>4396</v>
      </c>
      <c r="R83" s="22">
        <v>4400</v>
      </c>
      <c r="S83" s="22">
        <v>4445</v>
      </c>
      <c r="T83" s="22">
        <v>4463</v>
      </c>
      <c r="U83" s="22">
        <v>4504</v>
      </c>
      <c r="V83" s="22">
        <v>4544</v>
      </c>
      <c r="W83" s="22">
        <v>4510</v>
      </c>
      <c r="X83" s="22">
        <v>4543</v>
      </c>
      <c r="Y83" s="22">
        <v>4532</v>
      </c>
      <c r="Z83" s="22">
        <v>4649</v>
      </c>
      <c r="AA83" s="22">
        <v>4770</v>
      </c>
      <c r="AB83" s="22">
        <v>4760</v>
      </c>
      <c r="AC83" s="22">
        <v>4746</v>
      </c>
      <c r="AD83" s="22">
        <v>4834</v>
      </c>
      <c r="AE83" s="22">
        <v>4750</v>
      </c>
      <c r="AF83" s="22">
        <v>4766</v>
      </c>
      <c r="AG83" s="22">
        <v>4813</v>
      </c>
      <c r="AH83" s="22">
        <v>4821</v>
      </c>
      <c r="AI83" s="22">
        <v>4765</v>
      </c>
      <c r="AJ83" s="22">
        <v>4810</v>
      </c>
      <c r="AK83" s="22">
        <v>4849</v>
      </c>
      <c r="AL83" s="22">
        <v>4890</v>
      </c>
      <c r="AM83" s="22">
        <v>4912</v>
      </c>
      <c r="AN83" s="22">
        <v>4901</v>
      </c>
      <c r="AO83" s="22">
        <v>4900</v>
      </c>
      <c r="AP83" s="22">
        <v>4925</v>
      </c>
      <c r="AQ83" s="22">
        <v>4880</v>
      </c>
      <c r="AR83" s="22">
        <v>4919</v>
      </c>
      <c r="AS83" s="22">
        <v>4949</v>
      </c>
      <c r="AT83" s="22">
        <v>4988</v>
      </c>
      <c r="AU83" s="22">
        <v>5074</v>
      </c>
      <c r="AV83" s="22">
        <v>5070</v>
      </c>
      <c r="AW83" s="22">
        <v>4991</v>
      </c>
      <c r="AX83" s="22">
        <v>5028</v>
      </c>
      <c r="AY83" s="22">
        <v>4966</v>
      </c>
      <c r="AZ83" s="22">
        <v>5025</v>
      </c>
      <c r="BA83" s="22">
        <v>4988</v>
      </c>
      <c r="BB83" s="22">
        <v>4945</v>
      </c>
      <c r="BC83" s="22">
        <v>4870</v>
      </c>
      <c r="BD83" s="22">
        <v>5057</v>
      </c>
      <c r="BE83" s="22">
        <v>5060</v>
      </c>
      <c r="BF83" s="22">
        <v>5185</v>
      </c>
      <c r="BG83" s="22">
        <v>5083</v>
      </c>
      <c r="BH83" s="22">
        <v>5133</v>
      </c>
      <c r="BI83" s="22">
        <v>5200</v>
      </c>
      <c r="BJ83" s="22">
        <v>5205</v>
      </c>
      <c r="BK83" s="22">
        <v>5202</v>
      </c>
      <c r="BL83" s="22">
        <v>5200</v>
      </c>
    </row>
    <row r="84" spans="1:64" ht="15.95" customHeight="1">
      <c r="A84" s="81" t="s">
        <v>341</v>
      </c>
      <c r="B84" s="17" t="s">
        <v>145</v>
      </c>
      <c r="C84" s="26">
        <f>_xll.RssMarket("5411","始値")</f>
        <v>1652</v>
      </c>
      <c r="D84" s="25">
        <f t="shared" si="1"/>
        <v>0</v>
      </c>
      <c r="E84" s="22">
        <v>1652</v>
      </c>
      <c r="F84" s="22">
        <v>1656.5</v>
      </c>
      <c r="G84" s="22">
        <v>1633</v>
      </c>
      <c r="H84" s="22">
        <v>1600</v>
      </c>
      <c r="I84" s="22">
        <v>1577</v>
      </c>
      <c r="J84" s="22">
        <v>1570</v>
      </c>
      <c r="K84" s="22">
        <v>1603.5</v>
      </c>
      <c r="L84" s="22">
        <v>1611</v>
      </c>
      <c r="M84" s="22">
        <v>1594.5</v>
      </c>
      <c r="N84" s="22">
        <v>1608</v>
      </c>
      <c r="O84" s="22">
        <v>1613</v>
      </c>
      <c r="P84" s="22">
        <v>1694</v>
      </c>
      <c r="Q84" s="22">
        <v>1685</v>
      </c>
      <c r="R84" s="22">
        <v>1650.5</v>
      </c>
      <c r="S84" s="22">
        <v>1651</v>
      </c>
      <c r="T84" s="22">
        <v>1657</v>
      </c>
      <c r="U84" s="22">
        <v>1668.5</v>
      </c>
      <c r="V84" s="22">
        <v>1663</v>
      </c>
      <c r="W84" s="22">
        <v>1670</v>
      </c>
      <c r="X84" s="22">
        <v>1683</v>
      </c>
      <c r="Y84" s="22">
        <v>1724</v>
      </c>
      <c r="Z84" s="22">
        <v>1700</v>
      </c>
      <c r="AA84" s="22">
        <v>1675.5</v>
      </c>
      <c r="AB84" s="22">
        <v>1747</v>
      </c>
      <c r="AC84" s="22">
        <v>1723.5</v>
      </c>
      <c r="AD84" s="22">
        <v>1740.5</v>
      </c>
      <c r="AE84" s="22">
        <v>1714</v>
      </c>
      <c r="AF84" s="22">
        <v>1690</v>
      </c>
      <c r="AG84" s="22">
        <v>1681</v>
      </c>
      <c r="AH84" s="22">
        <v>1690</v>
      </c>
      <c r="AI84" s="22">
        <v>1703.5</v>
      </c>
      <c r="AJ84" s="22">
        <v>1724</v>
      </c>
      <c r="AK84" s="22">
        <v>1745</v>
      </c>
      <c r="AL84" s="22">
        <v>1765</v>
      </c>
      <c r="AM84" s="22">
        <v>1803.5</v>
      </c>
      <c r="AN84" s="22">
        <v>1820</v>
      </c>
      <c r="AO84" s="22">
        <v>1821</v>
      </c>
      <c r="AP84" s="22">
        <v>1825</v>
      </c>
      <c r="AQ84" s="22">
        <v>1859.5</v>
      </c>
      <c r="AR84" s="22">
        <v>1854.5</v>
      </c>
      <c r="AS84" s="22">
        <v>1866.5</v>
      </c>
      <c r="AT84" s="22">
        <v>1882.5</v>
      </c>
      <c r="AU84" s="22">
        <v>1851</v>
      </c>
      <c r="AV84" s="22">
        <v>1832</v>
      </c>
      <c r="AW84" s="22">
        <v>1844</v>
      </c>
      <c r="AX84" s="22">
        <v>1850</v>
      </c>
      <c r="AY84" s="22">
        <v>1870</v>
      </c>
      <c r="AZ84" s="22">
        <v>1872.5</v>
      </c>
      <c r="BA84" s="22">
        <v>1819</v>
      </c>
      <c r="BB84" s="22">
        <v>1800</v>
      </c>
      <c r="BC84" s="22">
        <v>1885</v>
      </c>
      <c r="BD84" s="22">
        <v>1904</v>
      </c>
      <c r="BE84" s="22">
        <v>1935.5</v>
      </c>
      <c r="BF84" s="22">
        <v>1911</v>
      </c>
      <c r="BG84" s="22">
        <v>1879</v>
      </c>
      <c r="BH84" s="22">
        <v>1908.5</v>
      </c>
      <c r="BI84" s="22">
        <v>1910</v>
      </c>
      <c r="BJ84" s="22">
        <v>1901</v>
      </c>
      <c r="BK84" s="22">
        <v>1901</v>
      </c>
      <c r="BL84" s="22">
        <v>1931.5</v>
      </c>
    </row>
    <row r="85" spans="1:64" ht="15.95" customHeight="1">
      <c r="A85" s="81" t="s">
        <v>342</v>
      </c>
      <c r="B85" s="17" t="s">
        <v>146</v>
      </c>
      <c r="C85" s="26">
        <f>_xll.RssMarket("7182","始値")</f>
        <v>3188</v>
      </c>
      <c r="D85" s="25">
        <f t="shared" si="1"/>
        <v>0</v>
      </c>
      <c r="E85" s="22">
        <v>3188</v>
      </c>
      <c r="F85" s="22">
        <v>3165</v>
      </c>
      <c r="G85" s="22">
        <v>3250</v>
      </c>
      <c r="H85" s="22">
        <v>3164</v>
      </c>
      <c r="I85" s="22">
        <v>3085</v>
      </c>
      <c r="J85" s="22">
        <v>3188</v>
      </c>
      <c r="K85" s="22">
        <v>3106</v>
      </c>
      <c r="L85" s="22">
        <v>3238</v>
      </c>
      <c r="M85" s="22">
        <v>3180</v>
      </c>
      <c r="N85" s="22">
        <v>3136</v>
      </c>
      <c r="O85" s="22">
        <v>2985</v>
      </c>
      <c r="P85" s="22">
        <v>3000</v>
      </c>
      <c r="Q85" s="22">
        <v>2951</v>
      </c>
      <c r="R85" s="22">
        <v>3020</v>
      </c>
      <c r="S85" s="22">
        <v>3087</v>
      </c>
      <c r="T85" s="22">
        <v>3200</v>
      </c>
      <c r="U85" s="22">
        <v>3150</v>
      </c>
      <c r="V85" s="22">
        <v>3165</v>
      </c>
      <c r="W85" s="22">
        <v>2995</v>
      </c>
      <c r="X85" s="22">
        <v>2860</v>
      </c>
      <c r="Y85" s="22">
        <v>2823.5</v>
      </c>
      <c r="Z85" s="22">
        <v>2849.5</v>
      </c>
      <c r="AA85" s="22">
        <v>2821.5</v>
      </c>
      <c r="AB85" s="22">
        <v>2846.5</v>
      </c>
      <c r="AC85" s="22">
        <v>2739.5</v>
      </c>
      <c r="AD85" s="22">
        <v>2767</v>
      </c>
      <c r="AE85" s="22">
        <v>2760</v>
      </c>
      <c r="AF85" s="22">
        <v>2700</v>
      </c>
      <c r="AG85" s="22">
        <v>2697.5</v>
      </c>
      <c r="AH85" s="22">
        <v>2562.5</v>
      </c>
      <c r="AI85" s="22">
        <v>2475</v>
      </c>
      <c r="AJ85" s="22">
        <v>2529.5</v>
      </c>
      <c r="AK85" s="22">
        <v>2530</v>
      </c>
      <c r="AL85" s="22">
        <v>2600</v>
      </c>
      <c r="AM85" s="22">
        <v>2709</v>
      </c>
      <c r="AN85" s="22">
        <v>2752.5</v>
      </c>
      <c r="AO85" s="22">
        <v>2795</v>
      </c>
      <c r="AP85" s="22">
        <v>2788</v>
      </c>
      <c r="AQ85" s="22">
        <v>2774.5</v>
      </c>
      <c r="AR85" s="22">
        <v>2745</v>
      </c>
      <c r="AS85" s="22">
        <v>2695</v>
      </c>
      <c r="AT85" s="22">
        <v>2719</v>
      </c>
      <c r="AU85" s="22">
        <v>2808</v>
      </c>
      <c r="AV85" s="22">
        <v>2791.5</v>
      </c>
      <c r="AW85" s="22">
        <v>2665</v>
      </c>
      <c r="AX85" s="22">
        <v>2643</v>
      </c>
      <c r="AY85" s="22">
        <v>2635</v>
      </c>
      <c r="AZ85" s="22">
        <v>2749.5</v>
      </c>
      <c r="BA85" s="22">
        <v>2655</v>
      </c>
      <c r="BB85" s="22">
        <v>2461</v>
      </c>
      <c r="BC85" s="22">
        <v>2455</v>
      </c>
      <c r="BD85" s="22">
        <v>2606.5</v>
      </c>
      <c r="BE85" s="22">
        <v>2678</v>
      </c>
      <c r="BF85" s="22">
        <v>2678</v>
      </c>
      <c r="BG85" s="22">
        <v>2585</v>
      </c>
      <c r="BH85" s="22">
        <v>2500</v>
      </c>
      <c r="BI85" s="22">
        <v>2620.5</v>
      </c>
      <c r="BJ85" s="22">
        <v>2623</v>
      </c>
      <c r="BK85" s="22">
        <v>2611.5</v>
      </c>
      <c r="BL85" s="22">
        <v>2591</v>
      </c>
    </row>
    <row r="86" spans="1:64" ht="15.95" customHeight="1">
      <c r="A86" s="81" t="s">
        <v>343</v>
      </c>
      <c r="B86" s="17" t="s">
        <v>147</v>
      </c>
      <c r="C86" s="26">
        <f>_xll.RssMarket("1963","始値")</f>
        <v>2680</v>
      </c>
      <c r="D86" s="25">
        <f t="shared" si="1"/>
        <v>0</v>
      </c>
      <c r="E86" s="22">
        <v>2680</v>
      </c>
      <c r="F86" s="22">
        <v>2698</v>
      </c>
      <c r="G86" s="22">
        <v>2700</v>
      </c>
      <c r="H86" s="22">
        <v>2555.5</v>
      </c>
      <c r="I86" s="22">
        <v>2470</v>
      </c>
      <c r="J86" s="22">
        <v>2539.5</v>
      </c>
      <c r="K86" s="22">
        <v>2595.5</v>
      </c>
      <c r="L86" s="22">
        <v>2605.5</v>
      </c>
      <c r="M86" s="22">
        <v>2641.5</v>
      </c>
      <c r="N86" s="22">
        <v>2627</v>
      </c>
      <c r="O86" s="22">
        <v>2635.5</v>
      </c>
      <c r="P86" s="22">
        <v>2669.5</v>
      </c>
      <c r="Q86" s="22">
        <v>2853</v>
      </c>
      <c r="R86" s="22">
        <v>2843.5</v>
      </c>
      <c r="S86" s="22">
        <v>2781.5</v>
      </c>
      <c r="T86" s="22">
        <v>2683</v>
      </c>
      <c r="U86" s="22">
        <v>2685</v>
      </c>
      <c r="V86" s="22">
        <v>2646</v>
      </c>
      <c r="W86" s="22">
        <v>2600</v>
      </c>
      <c r="X86" s="22">
        <v>2699</v>
      </c>
      <c r="Y86" s="22">
        <v>2680</v>
      </c>
      <c r="Z86" s="22">
        <v>2451.5</v>
      </c>
      <c r="AA86" s="22">
        <v>2409.5</v>
      </c>
      <c r="AB86" s="22">
        <v>2418</v>
      </c>
      <c r="AC86" s="22">
        <v>2521</v>
      </c>
      <c r="AD86" s="22">
        <v>2508.5</v>
      </c>
      <c r="AE86" s="22">
        <v>2409.5</v>
      </c>
      <c r="AF86" s="22">
        <v>2398</v>
      </c>
      <c r="AG86" s="22">
        <v>2412</v>
      </c>
      <c r="AH86" s="22">
        <v>2389</v>
      </c>
      <c r="AI86" s="22">
        <v>2325</v>
      </c>
      <c r="AJ86" s="22">
        <v>2396.5</v>
      </c>
      <c r="AK86" s="22">
        <v>2300.5</v>
      </c>
      <c r="AL86" s="22">
        <v>2355.5</v>
      </c>
      <c r="AM86" s="22">
        <v>2430</v>
      </c>
      <c r="AN86" s="22">
        <v>2527</v>
      </c>
      <c r="AO86" s="22">
        <v>2544.5</v>
      </c>
      <c r="AP86" s="22">
        <v>2538</v>
      </c>
      <c r="AQ86" s="22">
        <v>2680</v>
      </c>
      <c r="AR86" s="22">
        <v>2709</v>
      </c>
      <c r="AS86" s="22">
        <v>2746.5</v>
      </c>
      <c r="AT86" s="22">
        <v>2840</v>
      </c>
      <c r="AU86" s="22">
        <v>2704.5</v>
      </c>
      <c r="AV86" s="22">
        <v>2650</v>
      </c>
      <c r="AW86" s="22">
        <v>2542</v>
      </c>
      <c r="AX86" s="22">
        <v>2463</v>
      </c>
      <c r="AY86" s="22">
        <v>2573</v>
      </c>
      <c r="AZ86" s="22">
        <v>2580</v>
      </c>
      <c r="BA86" s="22">
        <v>2372</v>
      </c>
      <c r="BB86" s="22">
        <v>2290</v>
      </c>
      <c r="BC86" s="22">
        <v>2055</v>
      </c>
      <c r="BD86" s="22">
        <v>2146.5</v>
      </c>
      <c r="BE86" s="22">
        <v>2233</v>
      </c>
      <c r="BF86" s="22">
        <v>2185.5</v>
      </c>
      <c r="BG86" s="22">
        <v>2124.5</v>
      </c>
      <c r="BH86" s="22">
        <v>2050</v>
      </c>
      <c r="BI86" s="22">
        <v>2181.5</v>
      </c>
      <c r="BJ86" s="22">
        <v>2148</v>
      </c>
      <c r="BK86" s="22">
        <v>2085</v>
      </c>
      <c r="BL86" s="22">
        <v>2068.5</v>
      </c>
    </row>
    <row r="87" spans="1:64" ht="15.95" customHeight="1">
      <c r="A87" s="81" t="s">
        <v>344</v>
      </c>
      <c r="B87" s="17" t="s">
        <v>148</v>
      </c>
      <c r="C87" s="26">
        <f>_xll.RssMarket("2914","始値")</f>
        <v>6133</v>
      </c>
      <c r="D87" s="25">
        <f t="shared" si="1"/>
        <v>0</v>
      </c>
      <c r="E87" s="22">
        <v>6133</v>
      </c>
      <c r="F87" s="22">
        <v>6074</v>
      </c>
      <c r="G87" s="22">
        <v>6200</v>
      </c>
      <c r="H87" s="22">
        <v>6350</v>
      </c>
      <c r="I87" s="22">
        <v>6230</v>
      </c>
      <c r="J87" s="22">
        <v>6128</v>
      </c>
      <c r="K87" s="22">
        <v>6032</v>
      </c>
      <c r="L87" s="22">
        <v>6025</v>
      </c>
      <c r="M87" s="22">
        <v>6103</v>
      </c>
      <c r="N87" s="22">
        <v>6100</v>
      </c>
      <c r="O87" s="22">
        <v>6048</v>
      </c>
      <c r="P87" s="22">
        <v>6100</v>
      </c>
      <c r="Q87" s="22">
        <v>6144</v>
      </c>
      <c r="R87" s="22">
        <v>6080</v>
      </c>
      <c r="S87" s="22">
        <v>6100</v>
      </c>
      <c r="T87" s="22">
        <v>6218</v>
      </c>
      <c r="U87" s="22">
        <v>6320</v>
      </c>
      <c r="V87" s="22">
        <v>6420</v>
      </c>
      <c r="W87" s="22">
        <v>6343</v>
      </c>
      <c r="X87" s="22">
        <v>6330</v>
      </c>
      <c r="Y87" s="22">
        <v>6250</v>
      </c>
      <c r="Z87" s="22">
        <v>6204</v>
      </c>
      <c r="AA87" s="22">
        <v>6090</v>
      </c>
      <c r="AB87" s="22">
        <v>6120</v>
      </c>
      <c r="AC87" s="22">
        <v>6000</v>
      </c>
      <c r="AD87" s="22">
        <v>5852</v>
      </c>
      <c r="AE87" s="22">
        <v>5896</v>
      </c>
      <c r="AF87" s="22">
        <v>5818</v>
      </c>
      <c r="AG87" s="22">
        <v>5780</v>
      </c>
      <c r="AH87" s="22">
        <v>5750</v>
      </c>
      <c r="AI87" s="22">
        <v>5760</v>
      </c>
      <c r="AJ87" s="22">
        <v>5885</v>
      </c>
      <c r="AK87" s="22">
        <v>5728</v>
      </c>
      <c r="AL87" s="22">
        <v>5707</v>
      </c>
      <c r="AM87" s="22">
        <v>5800</v>
      </c>
      <c r="AN87" s="22">
        <v>5830</v>
      </c>
      <c r="AO87" s="22">
        <v>5847</v>
      </c>
      <c r="AP87" s="22">
        <v>5870</v>
      </c>
      <c r="AQ87" s="22">
        <v>5912</v>
      </c>
      <c r="AR87" s="22">
        <v>5950</v>
      </c>
      <c r="AS87" s="22">
        <v>5993</v>
      </c>
      <c r="AT87" s="22">
        <v>6034</v>
      </c>
      <c r="AU87" s="22">
        <v>6065</v>
      </c>
      <c r="AV87" s="22">
        <v>6175</v>
      </c>
      <c r="AW87" s="22">
        <v>6135</v>
      </c>
      <c r="AX87" s="22">
        <v>6100</v>
      </c>
      <c r="AY87" s="22">
        <v>6050</v>
      </c>
      <c r="AZ87" s="22">
        <v>6062</v>
      </c>
      <c r="BA87" s="22">
        <v>6067</v>
      </c>
      <c r="BB87" s="22">
        <v>6030</v>
      </c>
      <c r="BC87" s="22">
        <v>5914</v>
      </c>
      <c r="BD87" s="22">
        <v>5982</v>
      </c>
      <c r="BE87" s="22">
        <v>5935</v>
      </c>
      <c r="BF87" s="22">
        <v>5936</v>
      </c>
      <c r="BG87" s="22">
        <v>5829</v>
      </c>
      <c r="BH87" s="22">
        <v>5780</v>
      </c>
      <c r="BI87" s="22">
        <v>5865</v>
      </c>
      <c r="BJ87" s="22">
        <v>5897</v>
      </c>
      <c r="BK87" s="22">
        <v>5849</v>
      </c>
      <c r="BL87" s="22">
        <v>5796</v>
      </c>
    </row>
    <row r="88" spans="1:64" ht="15.95" customHeight="1">
      <c r="A88" s="81" t="s">
        <v>345</v>
      </c>
      <c r="B88" s="17" t="s">
        <v>149</v>
      </c>
      <c r="C88" s="26">
        <f>_xll.RssMarket("3003","始値")</f>
        <v>1733</v>
      </c>
      <c r="D88" s="25">
        <f t="shared" si="1"/>
        <v>0</v>
      </c>
      <c r="E88" s="22">
        <v>1733</v>
      </c>
      <c r="F88" s="22">
        <v>1725</v>
      </c>
      <c r="G88" s="22">
        <v>1748</v>
      </c>
      <c r="H88" s="22">
        <v>1725.5</v>
      </c>
      <c r="I88" s="22">
        <v>1740</v>
      </c>
      <c r="J88" s="22">
        <v>1716</v>
      </c>
      <c r="K88" s="22">
        <v>1656</v>
      </c>
      <c r="L88" s="22">
        <v>1650</v>
      </c>
      <c r="M88" s="22">
        <v>1645</v>
      </c>
      <c r="N88" s="22">
        <v>1661.5</v>
      </c>
      <c r="O88" s="22">
        <v>1640</v>
      </c>
      <c r="P88" s="22">
        <v>1677.5</v>
      </c>
      <c r="Q88" s="22">
        <v>1660</v>
      </c>
      <c r="R88" s="22">
        <v>1675</v>
      </c>
      <c r="S88" s="22">
        <v>1669.5</v>
      </c>
      <c r="T88" s="22">
        <v>1660</v>
      </c>
      <c r="U88" s="22">
        <v>1740</v>
      </c>
      <c r="V88" s="22">
        <v>1741.5</v>
      </c>
      <c r="W88" s="22">
        <v>1730</v>
      </c>
      <c r="X88" s="22">
        <v>1763</v>
      </c>
      <c r="Y88" s="22">
        <v>1743</v>
      </c>
      <c r="Z88" s="22">
        <v>1789.5</v>
      </c>
      <c r="AA88" s="22">
        <v>1797</v>
      </c>
      <c r="AB88" s="22">
        <v>1792</v>
      </c>
      <c r="AC88" s="22">
        <v>1801</v>
      </c>
      <c r="AD88" s="22">
        <v>1811.5</v>
      </c>
      <c r="AE88" s="22">
        <v>1789</v>
      </c>
      <c r="AF88" s="22">
        <v>1765.5</v>
      </c>
      <c r="AG88" s="22">
        <v>1782</v>
      </c>
      <c r="AH88" s="22">
        <v>1783.5</v>
      </c>
      <c r="AI88" s="22">
        <v>1830</v>
      </c>
      <c r="AJ88" s="22">
        <v>1819</v>
      </c>
      <c r="AK88" s="22">
        <v>1820</v>
      </c>
      <c r="AL88" s="22">
        <v>1850</v>
      </c>
      <c r="AM88" s="22">
        <v>1893</v>
      </c>
      <c r="AN88" s="22">
        <v>1900</v>
      </c>
      <c r="AO88" s="22">
        <v>1898</v>
      </c>
      <c r="AP88" s="22">
        <v>1900</v>
      </c>
      <c r="AQ88" s="22">
        <v>1906.5</v>
      </c>
      <c r="AR88" s="22">
        <v>1890</v>
      </c>
      <c r="AS88" s="22">
        <v>1875</v>
      </c>
      <c r="AT88" s="22">
        <v>1881</v>
      </c>
      <c r="AU88" s="22">
        <v>1931</v>
      </c>
      <c r="AV88" s="22">
        <v>1947</v>
      </c>
      <c r="AW88" s="22">
        <v>1886.5</v>
      </c>
      <c r="AX88" s="22">
        <v>1878.5</v>
      </c>
      <c r="AY88" s="22">
        <v>1870.5</v>
      </c>
      <c r="AZ88" s="22">
        <v>1900</v>
      </c>
      <c r="BA88" s="22">
        <v>1869.5</v>
      </c>
      <c r="BB88" s="22">
        <v>1859.5</v>
      </c>
      <c r="BC88" s="22">
        <v>1820</v>
      </c>
      <c r="BD88" s="22">
        <v>1860</v>
      </c>
      <c r="BE88" s="22">
        <v>1860.5</v>
      </c>
      <c r="BF88" s="22">
        <v>1879</v>
      </c>
      <c r="BG88" s="22">
        <v>1846.5</v>
      </c>
      <c r="BH88" s="22">
        <v>1824</v>
      </c>
      <c r="BI88" s="22">
        <v>1881</v>
      </c>
      <c r="BJ88" s="22">
        <v>1905.5</v>
      </c>
      <c r="BK88" s="22">
        <v>1884</v>
      </c>
      <c r="BL88" s="22">
        <v>1870.5</v>
      </c>
    </row>
    <row r="89" spans="1:64" ht="15.95" customHeight="1">
      <c r="A89" s="81" t="s">
        <v>346</v>
      </c>
      <c r="B89" s="17" t="s">
        <v>150</v>
      </c>
      <c r="C89" s="26">
        <f>_xll.RssMarket("5892","始値")</f>
        <v>2046</v>
      </c>
      <c r="D89" s="25">
        <f t="shared" si="1"/>
        <v>0</v>
      </c>
      <c r="E89" s="22">
        <v>2046</v>
      </c>
      <c r="F89" s="22">
        <v>1977</v>
      </c>
      <c r="G89" s="22">
        <v>2003</v>
      </c>
      <c r="H89" s="22">
        <v>2121</v>
      </c>
      <c r="I89" s="22">
        <v>2160</v>
      </c>
      <c r="J89" s="22">
        <v>2166</v>
      </c>
      <c r="K89" s="22">
        <v>2320</v>
      </c>
      <c r="L89" s="22">
        <v>2231</v>
      </c>
      <c r="M89" s="22">
        <v>2106</v>
      </c>
      <c r="N89" s="22">
        <v>2108</v>
      </c>
      <c r="O89" s="22">
        <v>2152</v>
      </c>
      <c r="P89" s="22">
        <v>2268</v>
      </c>
      <c r="Q89" s="22">
        <v>2340</v>
      </c>
      <c r="R89" s="22">
        <v>2506</v>
      </c>
      <c r="S89" s="22">
        <v>2476</v>
      </c>
      <c r="T89" s="22">
        <v>2467</v>
      </c>
      <c r="U89" s="22">
        <v>2530</v>
      </c>
      <c r="V89" s="22">
        <v>2649</v>
      </c>
      <c r="W89" s="22">
        <v>2590</v>
      </c>
      <c r="X89" s="22">
        <v>2599</v>
      </c>
      <c r="Y89" s="22">
        <v>2384</v>
      </c>
      <c r="Z89" s="22">
        <v>2060</v>
      </c>
      <c r="AA89" s="22">
        <v>1936</v>
      </c>
      <c r="AB89" s="22">
        <v>1948</v>
      </c>
      <c r="AC89" s="22">
        <v>1970</v>
      </c>
      <c r="AD89" s="22">
        <v>1973</v>
      </c>
      <c r="AE89" s="22">
        <v>1982</v>
      </c>
      <c r="AF89" s="22">
        <v>1950</v>
      </c>
      <c r="AG89" s="22">
        <v>1989</v>
      </c>
      <c r="AH89" s="22">
        <v>2036</v>
      </c>
      <c r="AI89" s="22">
        <v>2056</v>
      </c>
      <c r="AJ89" s="22">
        <v>2100</v>
      </c>
      <c r="AK89" s="22">
        <v>2187</v>
      </c>
      <c r="AL89" s="22">
        <v>2175</v>
      </c>
      <c r="AM89" s="22">
        <v>2225</v>
      </c>
      <c r="AN89" s="22">
        <v>2200</v>
      </c>
      <c r="AO89" s="22">
        <v>2188</v>
      </c>
      <c r="AP89" s="22">
        <v>2235</v>
      </c>
      <c r="AQ89" s="22">
        <v>2348</v>
      </c>
      <c r="AR89" s="22">
        <v>2382</v>
      </c>
      <c r="AS89" s="22">
        <v>2176</v>
      </c>
      <c r="AT89" s="22">
        <v>2183</v>
      </c>
      <c r="AU89" s="22">
        <v>2180</v>
      </c>
      <c r="AV89" s="22">
        <v>2080</v>
      </c>
      <c r="AW89" s="22">
        <v>2026</v>
      </c>
      <c r="AX89" s="22">
        <v>2008</v>
      </c>
      <c r="AY89" s="22">
        <v>2065</v>
      </c>
      <c r="AZ89" s="22">
        <v>2031</v>
      </c>
      <c r="BA89" s="22">
        <v>2090</v>
      </c>
      <c r="BB89" s="22">
        <v>1985</v>
      </c>
      <c r="BC89" s="22">
        <v>1951</v>
      </c>
      <c r="BD89" s="22">
        <v>2040</v>
      </c>
      <c r="BE89" s="22">
        <v>2085</v>
      </c>
      <c r="BF89" s="22">
        <v>2063</v>
      </c>
      <c r="BG89" s="22">
        <v>2025</v>
      </c>
      <c r="BH89" s="22">
        <v>1988</v>
      </c>
      <c r="BI89" s="22">
        <v>2171</v>
      </c>
      <c r="BJ89" s="22">
        <v>2199</v>
      </c>
      <c r="BK89" s="22">
        <v>2230</v>
      </c>
      <c r="BL89" s="22">
        <v>2241</v>
      </c>
    </row>
    <row r="90" spans="1:64" ht="15.95" customHeight="1">
      <c r="A90" s="81" t="s">
        <v>347</v>
      </c>
      <c r="B90" s="17" t="s">
        <v>151</v>
      </c>
      <c r="C90" s="26">
        <f>_xll.RssMarket("6323","始値")</f>
        <v>4309</v>
      </c>
      <c r="D90" s="25">
        <f t="shared" si="1"/>
        <v>0</v>
      </c>
      <c r="E90" s="22">
        <v>4309</v>
      </c>
      <c r="F90" s="22">
        <v>4482</v>
      </c>
      <c r="G90" s="22">
        <v>4340</v>
      </c>
      <c r="H90" s="22">
        <v>4066</v>
      </c>
      <c r="I90" s="22">
        <v>3727</v>
      </c>
      <c r="J90" s="22">
        <v>3812</v>
      </c>
      <c r="K90" s="22">
        <v>3809</v>
      </c>
      <c r="L90" s="22">
        <v>4114</v>
      </c>
      <c r="M90" s="22">
        <v>4216</v>
      </c>
      <c r="N90" s="22">
        <v>4039</v>
      </c>
      <c r="O90" s="22">
        <v>3780</v>
      </c>
      <c r="P90" s="22">
        <v>4050</v>
      </c>
      <c r="Q90" s="22">
        <v>3840</v>
      </c>
      <c r="R90" s="22">
        <v>4033</v>
      </c>
      <c r="S90" s="22">
        <v>4020</v>
      </c>
      <c r="T90" s="22">
        <v>3822</v>
      </c>
      <c r="U90" s="22">
        <v>3634</v>
      </c>
      <c r="V90" s="22">
        <v>3606</v>
      </c>
      <c r="W90" s="22">
        <v>3668</v>
      </c>
      <c r="X90" s="22">
        <v>3800</v>
      </c>
      <c r="Y90" s="22">
        <v>4031</v>
      </c>
      <c r="Z90" s="22">
        <v>4080</v>
      </c>
      <c r="AA90" s="22">
        <v>3926</v>
      </c>
      <c r="AB90" s="22">
        <v>4180</v>
      </c>
      <c r="AC90" s="22">
        <v>3968</v>
      </c>
      <c r="AD90" s="22">
        <v>3860</v>
      </c>
      <c r="AE90" s="22">
        <v>3945</v>
      </c>
      <c r="AF90" s="22">
        <v>3790</v>
      </c>
      <c r="AG90" s="22">
        <v>3790</v>
      </c>
      <c r="AH90" s="22">
        <v>3884</v>
      </c>
      <c r="AI90" s="22">
        <v>3949</v>
      </c>
      <c r="AJ90" s="22">
        <v>3592</v>
      </c>
      <c r="AK90" s="22">
        <v>3700</v>
      </c>
      <c r="AL90" s="22">
        <v>3645</v>
      </c>
      <c r="AM90" s="22">
        <v>3637</v>
      </c>
      <c r="AN90" s="22">
        <v>3720</v>
      </c>
      <c r="AO90" s="22">
        <v>3768</v>
      </c>
      <c r="AP90" s="22">
        <v>3878</v>
      </c>
      <c r="AQ90" s="22">
        <v>4005</v>
      </c>
      <c r="AR90" s="22">
        <v>4088</v>
      </c>
      <c r="AS90" s="22">
        <v>3976</v>
      </c>
      <c r="AT90" s="22">
        <v>3750</v>
      </c>
      <c r="AU90" s="22">
        <v>3153</v>
      </c>
      <c r="AV90" s="22">
        <v>3040</v>
      </c>
      <c r="AW90" s="22">
        <v>2844</v>
      </c>
      <c r="AX90" s="22">
        <v>2749</v>
      </c>
      <c r="AY90" s="22">
        <v>2698</v>
      </c>
      <c r="AZ90" s="22">
        <v>2772</v>
      </c>
      <c r="BA90" s="22">
        <v>2717</v>
      </c>
      <c r="BB90" s="22">
        <v>2473</v>
      </c>
      <c r="BC90" s="22">
        <v>2532</v>
      </c>
      <c r="BD90" s="22">
        <v>2700</v>
      </c>
      <c r="BE90" s="22">
        <v>2810</v>
      </c>
      <c r="BF90" s="22">
        <v>2831.5</v>
      </c>
      <c r="BG90" s="22">
        <v>2735.5</v>
      </c>
      <c r="BH90" s="22">
        <v>2676.5</v>
      </c>
      <c r="BI90" s="22">
        <v>2787.5</v>
      </c>
      <c r="BJ90" s="22">
        <v>2817.5</v>
      </c>
      <c r="BK90" s="22">
        <v>2915.5</v>
      </c>
      <c r="BL90" s="22">
        <v>2860</v>
      </c>
    </row>
    <row r="91" spans="1:64" ht="15.95" customHeight="1">
      <c r="A91" s="81" t="s">
        <v>348</v>
      </c>
      <c r="B91" s="17" t="s">
        <v>152</v>
      </c>
      <c r="C91" s="26">
        <f>_xll.RssMarket("6501","始値")</f>
        <v>4692</v>
      </c>
      <c r="D91" s="25">
        <f t="shared" si="1"/>
        <v>0</v>
      </c>
      <c r="E91" s="22">
        <v>4692</v>
      </c>
      <c r="F91" s="22">
        <v>4741</v>
      </c>
      <c r="G91" s="22">
        <v>4704</v>
      </c>
      <c r="H91" s="22">
        <v>4682</v>
      </c>
      <c r="I91" s="22">
        <v>4641</v>
      </c>
      <c r="J91" s="22">
        <v>4906</v>
      </c>
      <c r="K91" s="22">
        <v>5095</v>
      </c>
      <c r="L91" s="22">
        <v>5146</v>
      </c>
      <c r="M91" s="22">
        <v>5180</v>
      </c>
      <c r="N91" s="22">
        <v>5139</v>
      </c>
      <c r="O91" s="22">
        <v>5126</v>
      </c>
      <c r="P91" s="22">
        <v>5374</v>
      </c>
      <c r="Q91" s="22">
        <v>4963</v>
      </c>
      <c r="R91" s="22">
        <v>5100</v>
      </c>
      <c r="S91" s="22">
        <v>5050</v>
      </c>
      <c r="T91" s="22">
        <v>5105</v>
      </c>
      <c r="U91" s="22">
        <v>4907</v>
      </c>
      <c r="V91" s="22">
        <v>4883</v>
      </c>
      <c r="W91" s="22">
        <v>4900</v>
      </c>
      <c r="X91" s="22">
        <v>4755</v>
      </c>
      <c r="Y91" s="22">
        <v>4690</v>
      </c>
      <c r="Z91" s="22">
        <v>4700</v>
      </c>
      <c r="AA91" s="22">
        <v>4775</v>
      </c>
      <c r="AB91" s="22">
        <v>4892</v>
      </c>
      <c r="AC91" s="22">
        <v>4920</v>
      </c>
      <c r="AD91" s="22">
        <v>4844</v>
      </c>
      <c r="AE91" s="22">
        <v>4900</v>
      </c>
      <c r="AF91" s="22">
        <v>4800</v>
      </c>
      <c r="AG91" s="22">
        <v>4947</v>
      </c>
      <c r="AH91" s="22">
        <v>5200</v>
      </c>
      <c r="AI91" s="22">
        <v>5333</v>
      </c>
      <c r="AJ91" s="22">
        <v>5230</v>
      </c>
      <c r="AK91" s="22">
        <v>5185</v>
      </c>
      <c r="AL91" s="22">
        <v>5129</v>
      </c>
      <c r="AM91" s="22">
        <v>5110</v>
      </c>
      <c r="AN91" s="22">
        <v>5193</v>
      </c>
      <c r="AO91" s="22">
        <v>5167</v>
      </c>
      <c r="AP91" s="22">
        <v>5210</v>
      </c>
      <c r="AQ91" s="22">
        <v>5060</v>
      </c>
      <c r="AR91" s="22">
        <v>4930</v>
      </c>
      <c r="AS91" s="22">
        <v>4880</v>
      </c>
      <c r="AT91" s="22">
        <v>4830</v>
      </c>
      <c r="AU91" s="22">
        <v>4945</v>
      </c>
      <c r="AV91" s="22">
        <v>4954</v>
      </c>
      <c r="AW91" s="22">
        <v>4718</v>
      </c>
      <c r="AX91" s="22">
        <v>4805</v>
      </c>
      <c r="AY91" s="22">
        <v>4800</v>
      </c>
      <c r="AZ91" s="22">
        <v>4802</v>
      </c>
      <c r="BA91" s="22">
        <v>4720</v>
      </c>
      <c r="BB91" s="22">
        <v>4465</v>
      </c>
      <c r="BC91" s="22">
        <v>4484</v>
      </c>
      <c r="BD91" s="22">
        <v>4709</v>
      </c>
      <c r="BE91" s="22">
        <v>4853</v>
      </c>
      <c r="BF91" s="22">
        <v>4880</v>
      </c>
      <c r="BG91" s="22">
        <v>4907</v>
      </c>
      <c r="BH91" s="22">
        <v>4730</v>
      </c>
      <c r="BI91" s="22">
        <v>4803</v>
      </c>
      <c r="BJ91" s="22">
        <v>4849</v>
      </c>
      <c r="BK91" s="22">
        <v>4880</v>
      </c>
      <c r="BL91" s="22">
        <v>4801</v>
      </c>
    </row>
    <row r="92" spans="1:64" ht="15.95" customHeight="1">
      <c r="A92" s="81" t="s">
        <v>349</v>
      </c>
      <c r="B92" s="17" t="s">
        <v>153</v>
      </c>
      <c r="C92" s="26">
        <f>_xll.RssMarket("6134","始値")</f>
        <v>8217</v>
      </c>
      <c r="D92" s="25">
        <f t="shared" si="1"/>
        <v>0</v>
      </c>
      <c r="E92" s="22">
        <v>8217</v>
      </c>
      <c r="F92" s="22">
        <v>8300</v>
      </c>
      <c r="G92" s="22">
        <v>7942</v>
      </c>
      <c r="H92" s="73">
        <v>7564</v>
      </c>
      <c r="I92" s="22">
        <v>6905</v>
      </c>
      <c r="J92" s="22">
        <v>7255</v>
      </c>
      <c r="K92" s="22">
        <v>6886</v>
      </c>
      <c r="L92" s="22">
        <v>7644</v>
      </c>
      <c r="M92" s="22">
        <v>7690</v>
      </c>
      <c r="N92" s="22">
        <v>8065</v>
      </c>
      <c r="O92" s="22">
        <v>8046</v>
      </c>
      <c r="P92" s="22">
        <v>8007</v>
      </c>
      <c r="Q92" s="22">
        <v>7813</v>
      </c>
      <c r="R92" s="22">
        <v>8386</v>
      </c>
      <c r="S92" s="22">
        <v>8068</v>
      </c>
      <c r="T92" s="22">
        <v>7735</v>
      </c>
      <c r="U92" s="22">
        <v>7820</v>
      </c>
      <c r="V92" s="22">
        <v>7441</v>
      </c>
      <c r="W92" s="22">
        <v>7808</v>
      </c>
      <c r="X92" s="22">
        <v>8143</v>
      </c>
      <c r="Y92" s="22">
        <v>8701</v>
      </c>
      <c r="Z92" s="22">
        <v>7088</v>
      </c>
      <c r="AA92" s="22">
        <v>6800</v>
      </c>
      <c r="AB92" s="22">
        <v>6776</v>
      </c>
      <c r="AC92" s="22">
        <v>6715</v>
      </c>
      <c r="AD92" s="22">
        <v>6232</v>
      </c>
      <c r="AE92" s="22">
        <v>6200</v>
      </c>
      <c r="AF92" s="22">
        <v>6068</v>
      </c>
      <c r="AG92" s="22">
        <v>5881</v>
      </c>
      <c r="AH92" s="22">
        <v>5986</v>
      </c>
      <c r="AI92" s="22">
        <v>5960</v>
      </c>
      <c r="AJ92" s="22">
        <v>5772</v>
      </c>
      <c r="AK92" s="22">
        <v>5902</v>
      </c>
      <c r="AL92" s="22">
        <v>5961</v>
      </c>
      <c r="AM92" s="22">
        <v>5880</v>
      </c>
      <c r="AN92" s="22">
        <v>5744</v>
      </c>
      <c r="AO92" s="22">
        <v>5802</v>
      </c>
      <c r="AP92" s="22">
        <v>5798</v>
      </c>
      <c r="AQ92" s="22">
        <v>5819</v>
      </c>
      <c r="AR92" s="22">
        <v>5667</v>
      </c>
      <c r="AS92" s="22">
        <v>5463</v>
      </c>
      <c r="AT92" s="22">
        <v>5410</v>
      </c>
      <c r="AU92" s="22">
        <v>5320</v>
      </c>
      <c r="AV92" s="22">
        <v>5248</v>
      </c>
      <c r="AW92" s="22">
        <v>4930</v>
      </c>
      <c r="AX92" s="22">
        <v>4935</v>
      </c>
      <c r="AY92" s="22">
        <v>4880</v>
      </c>
      <c r="AZ92" s="22">
        <v>5058</v>
      </c>
      <c r="BA92" s="22">
        <v>4941</v>
      </c>
      <c r="BB92" s="22">
        <v>4610</v>
      </c>
      <c r="BC92" s="22">
        <v>4723</v>
      </c>
      <c r="BD92" s="22">
        <v>4985</v>
      </c>
      <c r="BE92" s="22">
        <v>5204</v>
      </c>
      <c r="BF92" s="22">
        <v>5152</v>
      </c>
      <c r="BG92" s="22">
        <v>5007</v>
      </c>
      <c r="BH92" s="22">
        <v>4916</v>
      </c>
      <c r="BI92" s="22">
        <v>5234</v>
      </c>
      <c r="BJ92" s="22">
        <v>5278</v>
      </c>
      <c r="BK92" s="22">
        <v>5381</v>
      </c>
      <c r="BL92" s="22">
        <v>5251</v>
      </c>
    </row>
    <row r="93" spans="1:64" ht="15.95" customHeight="1">
      <c r="A93" s="81" t="s">
        <v>350</v>
      </c>
      <c r="B93" s="17" t="s">
        <v>154</v>
      </c>
      <c r="C93" s="26">
        <f>_xll.RssMarket("7746","始値")</f>
        <v>852</v>
      </c>
      <c r="D93" s="25">
        <f t="shared" si="1"/>
        <v>0</v>
      </c>
      <c r="E93" s="22">
        <v>852</v>
      </c>
      <c r="F93" s="22">
        <v>738</v>
      </c>
      <c r="G93" s="22">
        <v>737</v>
      </c>
      <c r="H93" s="73">
        <v>725</v>
      </c>
      <c r="I93" s="22">
        <v>673</v>
      </c>
      <c r="J93" s="22">
        <v>725</v>
      </c>
      <c r="K93" s="22">
        <v>754</v>
      </c>
      <c r="L93" s="22">
        <v>751</v>
      </c>
      <c r="M93" s="22">
        <v>782</v>
      </c>
      <c r="N93" s="22">
        <v>763</v>
      </c>
      <c r="O93" s="22">
        <v>795</v>
      </c>
      <c r="P93" s="22">
        <v>843</v>
      </c>
      <c r="Q93" s="22">
        <v>844</v>
      </c>
      <c r="R93" s="22">
        <v>862</v>
      </c>
      <c r="S93" s="22">
        <v>920</v>
      </c>
      <c r="T93" s="22">
        <v>884</v>
      </c>
      <c r="U93" s="22">
        <v>1034</v>
      </c>
      <c r="V93" s="22">
        <v>1000</v>
      </c>
      <c r="W93" s="22">
        <v>859</v>
      </c>
      <c r="X93" s="22">
        <v>758</v>
      </c>
      <c r="Y93" s="22">
        <v>808</v>
      </c>
      <c r="Z93" s="22">
        <v>761</v>
      </c>
      <c r="AA93" s="22">
        <v>816</v>
      </c>
      <c r="AB93" s="22">
        <v>877</v>
      </c>
      <c r="AC93" s="22">
        <v>840</v>
      </c>
      <c r="AD93" s="22">
        <v>845</v>
      </c>
      <c r="AE93" s="22">
        <v>840</v>
      </c>
      <c r="AF93" s="22">
        <v>921</v>
      </c>
      <c r="AG93" s="22">
        <v>938</v>
      </c>
      <c r="AH93" s="22">
        <v>951</v>
      </c>
      <c r="AI93" s="22">
        <v>972</v>
      </c>
      <c r="AJ93" s="22">
        <v>1018</v>
      </c>
      <c r="AK93" s="22">
        <v>996</v>
      </c>
      <c r="AL93" s="22">
        <v>1038</v>
      </c>
      <c r="AM93" s="22">
        <v>955</v>
      </c>
      <c r="AN93" s="22">
        <v>961</v>
      </c>
      <c r="AO93" s="22">
        <v>1000</v>
      </c>
      <c r="AP93" s="22">
        <v>983</v>
      </c>
      <c r="AQ93" s="22">
        <v>990</v>
      </c>
      <c r="AR93" s="22">
        <v>1009</v>
      </c>
      <c r="AS93" s="22">
        <v>1033</v>
      </c>
      <c r="AT93" s="22">
        <v>1066</v>
      </c>
      <c r="AU93" s="22">
        <v>1020</v>
      </c>
      <c r="AV93" s="22">
        <v>1006</v>
      </c>
      <c r="AW93" s="22">
        <v>1010</v>
      </c>
      <c r="AX93" s="22">
        <v>1051</v>
      </c>
      <c r="AY93" s="22">
        <v>1110</v>
      </c>
      <c r="AZ93" s="22">
        <v>1126</v>
      </c>
      <c r="BA93" s="22">
        <v>947</v>
      </c>
      <c r="BB93" s="22">
        <v>910</v>
      </c>
      <c r="BC93" s="22">
        <v>940</v>
      </c>
      <c r="BD93" s="22">
        <v>1000</v>
      </c>
      <c r="BE93" s="22">
        <v>1002</v>
      </c>
      <c r="BF93" s="22">
        <v>1050</v>
      </c>
      <c r="BG93" s="22">
        <v>1081</v>
      </c>
      <c r="BH93" s="22">
        <v>1077</v>
      </c>
      <c r="BI93" s="22">
        <v>1093</v>
      </c>
      <c r="BJ93" s="22">
        <v>1175</v>
      </c>
      <c r="BK93" s="22">
        <v>1190</v>
      </c>
      <c r="BL93" s="22">
        <v>1011</v>
      </c>
    </row>
    <row r="94" spans="1:64" ht="15.95" customHeight="1">
      <c r="A94" s="81" t="s">
        <v>351</v>
      </c>
      <c r="B94" s="17" t="s">
        <v>155</v>
      </c>
      <c r="C94" s="26">
        <f>_xll.RssMarket("3407","始値")</f>
        <v>1765</v>
      </c>
      <c r="D94" s="25">
        <f t="shared" si="1"/>
        <v>0</v>
      </c>
      <c r="E94" s="22">
        <v>1765</v>
      </c>
      <c r="F94" s="22">
        <v>1744</v>
      </c>
      <c r="G94" s="22">
        <v>1818</v>
      </c>
      <c r="H94" s="73">
        <v>1800</v>
      </c>
      <c r="I94" s="22">
        <v>1721</v>
      </c>
      <c r="J94" s="22">
        <v>1735</v>
      </c>
      <c r="K94" s="22">
        <v>1781</v>
      </c>
      <c r="L94" s="22">
        <v>1777</v>
      </c>
      <c r="M94" s="22">
        <v>1750</v>
      </c>
      <c r="N94" s="22">
        <v>1757.5</v>
      </c>
      <c r="O94" s="22">
        <v>1770.5</v>
      </c>
      <c r="P94" s="22">
        <v>1767.5</v>
      </c>
      <c r="Q94" s="22">
        <v>1718</v>
      </c>
      <c r="R94" s="22">
        <v>1750</v>
      </c>
      <c r="S94" s="22">
        <v>1766</v>
      </c>
      <c r="T94" s="22">
        <v>1710</v>
      </c>
      <c r="U94" s="22">
        <v>1694.5</v>
      </c>
      <c r="V94" s="22">
        <v>1696</v>
      </c>
      <c r="W94" s="22">
        <v>1700</v>
      </c>
      <c r="X94" s="22">
        <v>1706</v>
      </c>
      <c r="Y94" s="22">
        <v>1732</v>
      </c>
      <c r="Z94" s="22">
        <v>1750</v>
      </c>
      <c r="AA94" s="22">
        <v>1655</v>
      </c>
      <c r="AB94" s="22">
        <v>1548</v>
      </c>
      <c r="AC94" s="22">
        <v>1522</v>
      </c>
      <c r="AD94" s="22">
        <v>1539</v>
      </c>
      <c r="AE94" s="22">
        <v>1564.5</v>
      </c>
      <c r="AF94" s="22">
        <v>1516</v>
      </c>
      <c r="AG94" s="22">
        <v>1533.5</v>
      </c>
      <c r="AH94" s="22">
        <v>1535</v>
      </c>
      <c r="AI94" s="22">
        <v>1520</v>
      </c>
      <c r="AJ94" s="22">
        <v>1535</v>
      </c>
      <c r="AK94" s="22">
        <v>1513.5</v>
      </c>
      <c r="AL94" s="22">
        <v>1551</v>
      </c>
      <c r="AM94" s="22">
        <v>1564</v>
      </c>
      <c r="AN94" s="22">
        <v>1598</v>
      </c>
      <c r="AO94" s="22">
        <v>1611.5</v>
      </c>
      <c r="AP94" s="22">
        <v>1561</v>
      </c>
      <c r="AQ94" s="22">
        <v>1607.5</v>
      </c>
      <c r="AR94" s="22">
        <v>1629</v>
      </c>
      <c r="AS94" s="22">
        <v>1629.5</v>
      </c>
      <c r="AT94" s="22">
        <v>1651.5</v>
      </c>
      <c r="AU94" s="22">
        <v>1664</v>
      </c>
      <c r="AV94" s="22">
        <v>1652.5</v>
      </c>
      <c r="AW94" s="22">
        <v>1554.5</v>
      </c>
      <c r="AX94" s="22">
        <v>1551</v>
      </c>
      <c r="AY94" s="22">
        <v>1559.5</v>
      </c>
      <c r="AZ94" s="22">
        <v>1602.5</v>
      </c>
      <c r="BA94" s="22">
        <v>1570</v>
      </c>
      <c r="BB94" s="22">
        <v>1494.5</v>
      </c>
      <c r="BC94" s="22">
        <v>1450</v>
      </c>
      <c r="BD94" s="22">
        <v>1552</v>
      </c>
      <c r="BE94" s="22">
        <v>1581.5</v>
      </c>
      <c r="BF94" s="22">
        <v>1582</v>
      </c>
      <c r="BG94" s="22">
        <v>1519</v>
      </c>
      <c r="BH94" s="22">
        <v>1513.5</v>
      </c>
      <c r="BI94" s="22">
        <v>1566.5</v>
      </c>
      <c r="BJ94" s="22">
        <v>1611.5</v>
      </c>
      <c r="BK94" s="22">
        <v>1620</v>
      </c>
      <c r="BL94" s="22">
        <v>1587.5</v>
      </c>
    </row>
    <row r="95" spans="1:64" ht="15.95" customHeight="1">
      <c r="A95" s="81" t="s">
        <v>352</v>
      </c>
      <c r="B95" s="17" t="s">
        <v>156</v>
      </c>
      <c r="C95" s="26">
        <f>_xll.RssMarket("4008","始値")</f>
        <v>1322</v>
      </c>
      <c r="D95" s="25">
        <f t="shared" si="1"/>
        <v>0</v>
      </c>
      <c r="E95" s="22">
        <v>1322</v>
      </c>
      <c r="F95" s="22">
        <v>1321</v>
      </c>
      <c r="G95" s="22">
        <v>1305</v>
      </c>
      <c r="H95" s="73">
        <v>1284</v>
      </c>
      <c r="I95" s="22">
        <v>1250</v>
      </c>
      <c r="J95" s="22">
        <v>1279</v>
      </c>
      <c r="K95" s="22">
        <v>1249</v>
      </c>
      <c r="L95" s="22">
        <v>1282</v>
      </c>
      <c r="M95" s="22">
        <v>1300</v>
      </c>
      <c r="N95" s="22">
        <v>1310</v>
      </c>
      <c r="O95" s="22">
        <v>1261</v>
      </c>
      <c r="P95" s="22">
        <v>1333</v>
      </c>
      <c r="Q95" s="22">
        <v>1319</v>
      </c>
      <c r="R95" s="22">
        <v>1284</v>
      </c>
      <c r="S95" s="22">
        <v>1277</v>
      </c>
      <c r="T95" s="22">
        <v>1240</v>
      </c>
      <c r="U95" s="22">
        <v>1231</v>
      </c>
      <c r="V95" s="22">
        <v>1223</v>
      </c>
      <c r="W95" s="22">
        <v>1250</v>
      </c>
      <c r="X95" s="22">
        <v>1268</v>
      </c>
      <c r="Y95" s="22">
        <v>1238</v>
      </c>
      <c r="Z95" s="22">
        <v>1247</v>
      </c>
      <c r="AA95" s="22">
        <v>1218</v>
      </c>
      <c r="AB95" s="22">
        <v>1195</v>
      </c>
      <c r="AC95" s="22">
        <v>1217</v>
      </c>
      <c r="AD95" s="22">
        <v>1210</v>
      </c>
      <c r="AE95" s="22">
        <v>1208</v>
      </c>
      <c r="AF95" s="22">
        <v>1190</v>
      </c>
      <c r="AG95" s="22">
        <v>1185</v>
      </c>
      <c r="AH95" s="22">
        <v>1194</v>
      </c>
      <c r="AI95" s="22">
        <v>1191</v>
      </c>
      <c r="AJ95" s="22">
        <v>1208</v>
      </c>
      <c r="AK95" s="22">
        <v>1195</v>
      </c>
      <c r="AL95" s="22">
        <v>1236</v>
      </c>
      <c r="AM95" s="22">
        <v>1267</v>
      </c>
      <c r="AN95" s="22">
        <v>1275</v>
      </c>
      <c r="AO95" s="22">
        <v>1279</v>
      </c>
      <c r="AP95" s="22">
        <v>1280</v>
      </c>
      <c r="AQ95" s="22">
        <v>1280</v>
      </c>
      <c r="AR95" s="22">
        <v>1257</v>
      </c>
      <c r="AS95" s="22">
        <v>1254</v>
      </c>
      <c r="AT95" s="22">
        <v>1254</v>
      </c>
      <c r="AU95" s="22">
        <v>1269</v>
      </c>
      <c r="AV95" s="22">
        <v>1264</v>
      </c>
      <c r="AW95" s="22">
        <v>1235</v>
      </c>
      <c r="AX95" s="22">
        <v>1220</v>
      </c>
      <c r="AY95" s="22">
        <v>1213</v>
      </c>
      <c r="AZ95" s="22">
        <v>1235</v>
      </c>
      <c r="BA95" s="22">
        <v>1225</v>
      </c>
      <c r="BB95" s="22">
        <v>1204</v>
      </c>
      <c r="BC95" s="22">
        <v>1148</v>
      </c>
      <c r="BD95" s="22">
        <v>1258</v>
      </c>
      <c r="BE95" s="22">
        <v>1276</v>
      </c>
      <c r="BF95" s="22">
        <v>1278</v>
      </c>
      <c r="BG95" s="22">
        <v>1250</v>
      </c>
      <c r="BH95" s="22">
        <v>1230</v>
      </c>
      <c r="BI95" s="22">
        <v>1320</v>
      </c>
      <c r="BJ95" s="22">
        <v>1324</v>
      </c>
      <c r="BK95" s="22">
        <v>1322</v>
      </c>
      <c r="BL95" s="22">
        <v>1310</v>
      </c>
    </row>
    <row r="96" spans="1:64" ht="15.95" customHeight="1">
      <c r="A96" s="81" t="s">
        <v>353</v>
      </c>
      <c r="B96" s="17" t="s">
        <v>157</v>
      </c>
      <c r="C96" s="26">
        <f>_xll.RssMarket("4062","始値")</f>
        <v>21945</v>
      </c>
      <c r="D96" s="25">
        <f t="shared" si="1"/>
        <v>0</v>
      </c>
      <c r="E96" s="22">
        <v>21945</v>
      </c>
      <c r="F96" s="22">
        <v>22600</v>
      </c>
      <c r="G96" s="22">
        <v>20805</v>
      </c>
      <c r="H96" s="73">
        <v>19770</v>
      </c>
      <c r="I96" s="22">
        <v>16520</v>
      </c>
      <c r="J96" s="22">
        <v>17795</v>
      </c>
      <c r="K96" s="22">
        <v>16800</v>
      </c>
      <c r="L96" s="22">
        <v>18510</v>
      </c>
      <c r="M96" s="22">
        <v>21440</v>
      </c>
      <c r="N96" s="22">
        <v>21450</v>
      </c>
      <c r="O96" s="22">
        <v>21795</v>
      </c>
      <c r="P96" s="22">
        <v>20000</v>
      </c>
      <c r="Q96" s="22">
        <v>19925</v>
      </c>
      <c r="R96" s="22">
        <v>21255</v>
      </c>
      <c r="S96" s="22">
        <v>19650</v>
      </c>
      <c r="T96" s="22">
        <v>18005</v>
      </c>
      <c r="U96" s="22">
        <v>17200</v>
      </c>
      <c r="V96" s="22">
        <v>15030</v>
      </c>
      <c r="W96" s="22">
        <v>15300</v>
      </c>
      <c r="X96" s="22">
        <v>15550</v>
      </c>
      <c r="Y96" s="22">
        <v>17280</v>
      </c>
      <c r="Z96" s="22">
        <v>16890</v>
      </c>
      <c r="AA96" s="22">
        <v>15880</v>
      </c>
      <c r="AB96" s="22">
        <v>15700</v>
      </c>
      <c r="AC96" s="22">
        <v>16000</v>
      </c>
      <c r="AD96" s="22">
        <v>15575</v>
      </c>
      <c r="AE96" s="22">
        <v>15160</v>
      </c>
      <c r="AF96" s="22">
        <v>13245</v>
      </c>
      <c r="AG96" s="22">
        <v>13205</v>
      </c>
      <c r="AH96" s="22">
        <v>12700</v>
      </c>
      <c r="AI96" s="22">
        <v>12840</v>
      </c>
      <c r="AJ96" s="22">
        <v>12335</v>
      </c>
      <c r="AK96" s="22">
        <v>11310</v>
      </c>
      <c r="AL96" s="22">
        <v>10500</v>
      </c>
      <c r="AM96" s="22">
        <v>9800</v>
      </c>
      <c r="AN96" s="22">
        <v>9147</v>
      </c>
      <c r="AO96" s="22">
        <v>9468</v>
      </c>
      <c r="AP96" s="22">
        <v>9490</v>
      </c>
      <c r="AQ96" s="22">
        <v>10080</v>
      </c>
      <c r="AR96" s="22">
        <v>9707</v>
      </c>
      <c r="AS96" s="22">
        <v>9738</v>
      </c>
      <c r="AT96" s="22">
        <v>9822</v>
      </c>
      <c r="AU96" s="22">
        <v>9687</v>
      </c>
      <c r="AV96" s="22">
        <v>9460</v>
      </c>
      <c r="AW96" s="22">
        <v>8650</v>
      </c>
      <c r="AX96" s="22">
        <v>8273</v>
      </c>
      <c r="AY96" s="22">
        <v>8086</v>
      </c>
      <c r="AZ96" s="22">
        <v>8100</v>
      </c>
      <c r="BA96" s="22">
        <v>7894</v>
      </c>
      <c r="BB96" s="22">
        <v>7300</v>
      </c>
      <c r="BC96" s="22">
        <v>7712</v>
      </c>
      <c r="BD96" s="22">
        <v>8160</v>
      </c>
      <c r="BE96" s="22">
        <v>8500</v>
      </c>
      <c r="BF96" s="22">
        <v>8146</v>
      </c>
      <c r="BG96" s="22">
        <v>8063</v>
      </c>
      <c r="BH96" s="22">
        <v>7818</v>
      </c>
      <c r="BI96" s="22">
        <v>8212</v>
      </c>
      <c r="BJ96" s="22">
        <v>8531</v>
      </c>
      <c r="BK96" s="22">
        <v>8348</v>
      </c>
      <c r="BL96" s="22">
        <v>7854</v>
      </c>
    </row>
    <row r="97" spans="1:64" ht="15.95" customHeight="1">
      <c r="A97" s="81" t="s">
        <v>354</v>
      </c>
      <c r="B97" s="17" t="s">
        <v>158</v>
      </c>
      <c r="C97" s="26">
        <f>_xll.RssMarket("4182","始値")</f>
        <v>5000</v>
      </c>
      <c r="D97" s="25">
        <f t="shared" si="1"/>
        <v>0</v>
      </c>
      <c r="E97" s="22">
        <v>5000</v>
      </c>
      <c r="F97" s="22">
        <v>5020</v>
      </c>
      <c r="G97" s="22">
        <v>4973</v>
      </c>
      <c r="H97" s="73">
        <v>4750</v>
      </c>
      <c r="I97" s="22">
        <v>4216</v>
      </c>
      <c r="J97" s="22">
        <v>4580</v>
      </c>
      <c r="K97" s="22">
        <v>4700</v>
      </c>
      <c r="L97" s="22">
        <v>4999</v>
      </c>
      <c r="M97" s="22">
        <v>5282</v>
      </c>
      <c r="N97" s="22">
        <v>5450</v>
      </c>
      <c r="O97" s="22">
        <v>5371</v>
      </c>
      <c r="P97" s="22">
        <v>5520</v>
      </c>
      <c r="Q97" s="22">
        <v>5337</v>
      </c>
      <c r="R97" s="22">
        <v>5500</v>
      </c>
      <c r="S97" s="22">
        <v>5250</v>
      </c>
      <c r="T97" s="22">
        <v>4966</v>
      </c>
      <c r="U97" s="22">
        <v>4823</v>
      </c>
      <c r="V97" s="22">
        <v>4535</v>
      </c>
      <c r="W97" s="22">
        <v>4630</v>
      </c>
      <c r="X97" s="22">
        <v>4571</v>
      </c>
      <c r="Y97" s="22">
        <v>4902</v>
      </c>
      <c r="Z97" s="22">
        <v>4800</v>
      </c>
      <c r="AA97" s="22">
        <v>4740</v>
      </c>
      <c r="AB97" s="22">
        <v>4877</v>
      </c>
      <c r="AC97" s="22">
        <v>4650</v>
      </c>
      <c r="AD97" s="22">
        <v>4600</v>
      </c>
      <c r="AE97" s="22">
        <v>4480</v>
      </c>
      <c r="AF97" s="22">
        <v>4335</v>
      </c>
      <c r="AG97" s="22">
        <v>4352</v>
      </c>
      <c r="AH97" s="22">
        <v>4387</v>
      </c>
      <c r="AI97" s="22">
        <v>4364</v>
      </c>
      <c r="AJ97" s="22">
        <v>4377</v>
      </c>
      <c r="AK97" s="22">
        <v>4329</v>
      </c>
      <c r="AL97" s="22">
        <v>4323</v>
      </c>
      <c r="AM97" s="22">
        <v>4303</v>
      </c>
      <c r="AN97" s="22">
        <v>4243</v>
      </c>
      <c r="AO97" s="22">
        <v>4242</v>
      </c>
      <c r="AP97" s="22">
        <v>4184</v>
      </c>
      <c r="AQ97" s="22">
        <v>4287</v>
      </c>
      <c r="AR97" s="22">
        <v>4235</v>
      </c>
      <c r="AS97" s="22">
        <v>4110</v>
      </c>
      <c r="AT97" s="22">
        <v>4200</v>
      </c>
      <c r="AU97" s="22">
        <v>4215</v>
      </c>
      <c r="AV97" s="22">
        <v>4211</v>
      </c>
      <c r="AW97" s="22">
        <v>3922</v>
      </c>
      <c r="AX97" s="22">
        <v>3795</v>
      </c>
      <c r="AY97" s="22">
        <v>3774</v>
      </c>
      <c r="AZ97" s="22">
        <v>3844</v>
      </c>
      <c r="BA97" s="22">
        <v>3749</v>
      </c>
      <c r="BB97" s="22">
        <v>3542</v>
      </c>
      <c r="BC97" s="22">
        <v>3601</v>
      </c>
      <c r="BD97" s="22">
        <v>3856</v>
      </c>
      <c r="BE97" s="22">
        <v>4100</v>
      </c>
      <c r="BF97" s="22">
        <v>4056</v>
      </c>
      <c r="BG97" s="22">
        <v>3964</v>
      </c>
      <c r="BH97" s="22">
        <v>3845</v>
      </c>
      <c r="BI97" s="22">
        <v>4050</v>
      </c>
      <c r="BJ97" s="22">
        <v>4143</v>
      </c>
      <c r="BK97" s="22">
        <v>4203</v>
      </c>
      <c r="BL97" s="22">
        <v>4115</v>
      </c>
    </row>
    <row r="98" spans="1:64" ht="15.95" customHeight="1">
      <c r="A98" s="81" t="s">
        <v>355</v>
      </c>
      <c r="B98" s="17" t="s">
        <v>159</v>
      </c>
      <c r="C98" s="26">
        <f>_xll.RssMarket("4188","始値")</f>
        <v>1098</v>
      </c>
      <c r="D98" s="25">
        <f t="shared" si="1"/>
        <v>0</v>
      </c>
      <c r="E98" s="22">
        <v>1098</v>
      </c>
      <c r="F98" s="22">
        <v>1112.5</v>
      </c>
      <c r="G98" s="22">
        <v>1130</v>
      </c>
      <c r="H98" s="73">
        <v>1068</v>
      </c>
      <c r="I98" s="22">
        <v>1000</v>
      </c>
      <c r="J98" s="22">
        <v>1025</v>
      </c>
      <c r="K98" s="22">
        <v>1036.5</v>
      </c>
      <c r="L98" s="22">
        <v>1058</v>
      </c>
      <c r="M98" s="22">
        <v>1110</v>
      </c>
      <c r="N98" s="22">
        <v>1100</v>
      </c>
      <c r="O98" s="22">
        <v>1078</v>
      </c>
      <c r="P98" s="22">
        <v>1135</v>
      </c>
      <c r="Q98" s="22">
        <v>1106</v>
      </c>
      <c r="R98" s="22">
        <v>1130</v>
      </c>
      <c r="S98" s="22">
        <v>1048.5</v>
      </c>
      <c r="T98" s="22">
        <v>1008</v>
      </c>
      <c r="U98" s="22">
        <v>1024</v>
      </c>
      <c r="V98" s="22">
        <v>1017</v>
      </c>
      <c r="W98" s="22">
        <v>1026</v>
      </c>
      <c r="X98" s="22">
        <v>1016</v>
      </c>
      <c r="Y98" s="22">
        <v>994</v>
      </c>
      <c r="Z98" s="22">
        <v>1007</v>
      </c>
      <c r="AA98" s="22">
        <v>930.1</v>
      </c>
      <c r="AB98" s="22">
        <v>928</v>
      </c>
      <c r="AC98" s="22">
        <v>916.7</v>
      </c>
      <c r="AD98" s="22">
        <v>923.9</v>
      </c>
      <c r="AE98" s="22">
        <v>928</v>
      </c>
      <c r="AF98" s="22">
        <v>912.1</v>
      </c>
      <c r="AG98" s="22">
        <v>912.4</v>
      </c>
      <c r="AH98" s="22">
        <v>920.4</v>
      </c>
      <c r="AI98" s="22">
        <v>911.1</v>
      </c>
      <c r="AJ98" s="22">
        <v>926.8</v>
      </c>
      <c r="AK98" s="22">
        <v>930</v>
      </c>
      <c r="AL98" s="22">
        <v>960.2</v>
      </c>
      <c r="AM98" s="22">
        <v>965</v>
      </c>
      <c r="AN98" s="22">
        <v>988.9</v>
      </c>
      <c r="AO98" s="22">
        <v>988</v>
      </c>
      <c r="AP98" s="22">
        <v>993.4</v>
      </c>
      <c r="AQ98" s="22">
        <v>992.2</v>
      </c>
      <c r="AR98" s="22">
        <v>988</v>
      </c>
      <c r="AS98" s="22">
        <v>973</v>
      </c>
      <c r="AT98" s="22">
        <v>991</v>
      </c>
      <c r="AU98" s="22">
        <v>1010</v>
      </c>
      <c r="AV98" s="22">
        <v>980</v>
      </c>
      <c r="AW98" s="22">
        <v>917.3</v>
      </c>
      <c r="AX98" s="22">
        <v>926</v>
      </c>
      <c r="AY98" s="22">
        <v>916.6</v>
      </c>
      <c r="AZ98" s="22">
        <v>955</v>
      </c>
      <c r="BA98" s="22">
        <v>936.2</v>
      </c>
      <c r="BB98" s="22">
        <v>893.4</v>
      </c>
      <c r="BC98" s="22">
        <v>880</v>
      </c>
      <c r="BD98" s="22">
        <v>934</v>
      </c>
      <c r="BE98" s="22">
        <v>946.9</v>
      </c>
      <c r="BF98" s="22">
        <v>940</v>
      </c>
      <c r="BG98" s="22">
        <v>902.8</v>
      </c>
      <c r="BH98" s="22">
        <v>868.4</v>
      </c>
      <c r="BI98" s="22">
        <v>913.6</v>
      </c>
      <c r="BJ98" s="22">
        <v>926.9</v>
      </c>
      <c r="BK98" s="22">
        <v>924.3</v>
      </c>
      <c r="BL98" s="22">
        <v>909.5</v>
      </c>
    </row>
    <row r="99" spans="1:64" ht="15.95" customHeight="1">
      <c r="A99" s="81" t="s">
        <v>356</v>
      </c>
      <c r="B99" s="17" t="s">
        <v>160</v>
      </c>
      <c r="C99" s="26">
        <f>_xll.RssMarket("4523","始値")</f>
        <v>3857</v>
      </c>
      <c r="D99" s="25">
        <f t="shared" si="1"/>
        <v>0</v>
      </c>
      <c r="E99" s="22">
        <v>3857</v>
      </c>
      <c r="F99" s="22">
        <v>3796</v>
      </c>
      <c r="G99" s="22">
        <v>3794</v>
      </c>
      <c r="H99" s="73">
        <v>3754</v>
      </c>
      <c r="I99" s="22">
        <v>3709</v>
      </c>
      <c r="J99" s="22">
        <v>3736</v>
      </c>
      <c r="K99" s="22">
        <v>3800</v>
      </c>
      <c r="L99" s="22">
        <v>3850</v>
      </c>
      <c r="M99" s="22">
        <v>3829</v>
      </c>
      <c r="N99" s="22">
        <v>3800</v>
      </c>
      <c r="O99" s="22">
        <v>3793</v>
      </c>
      <c r="P99" s="22">
        <v>3901</v>
      </c>
      <c r="Q99" s="22">
        <v>4032</v>
      </c>
      <c r="R99" s="22">
        <v>3980</v>
      </c>
      <c r="S99" s="22">
        <v>4158</v>
      </c>
      <c r="T99" s="22">
        <v>4220</v>
      </c>
      <c r="U99" s="22">
        <v>4298</v>
      </c>
      <c r="V99" s="22">
        <v>4466</v>
      </c>
      <c r="W99" s="22">
        <v>4429</v>
      </c>
      <c r="X99" s="22">
        <v>4513</v>
      </c>
      <c r="Y99" s="22">
        <v>4710</v>
      </c>
      <c r="Z99" s="22">
        <v>4726</v>
      </c>
      <c r="AA99" s="22">
        <v>4719</v>
      </c>
      <c r="AB99" s="22">
        <v>4690</v>
      </c>
      <c r="AC99" s="22">
        <v>4607</v>
      </c>
      <c r="AD99" s="22">
        <v>4761</v>
      </c>
      <c r="AE99" s="22">
        <v>4671</v>
      </c>
      <c r="AF99" s="22">
        <v>4653</v>
      </c>
      <c r="AG99" s="22">
        <v>4625</v>
      </c>
      <c r="AH99" s="22">
        <v>4634</v>
      </c>
      <c r="AI99" s="22">
        <v>4630</v>
      </c>
      <c r="AJ99" s="22">
        <v>4733</v>
      </c>
      <c r="AK99" s="22">
        <v>4821</v>
      </c>
      <c r="AL99" s="22">
        <v>4874</v>
      </c>
      <c r="AM99" s="22">
        <v>4893</v>
      </c>
      <c r="AN99" s="22">
        <v>4920</v>
      </c>
      <c r="AO99" s="22">
        <v>5030</v>
      </c>
      <c r="AP99" s="22">
        <v>5060</v>
      </c>
      <c r="AQ99" s="22">
        <v>4909</v>
      </c>
      <c r="AR99" s="22">
        <v>4934</v>
      </c>
      <c r="AS99" s="22">
        <v>4971</v>
      </c>
      <c r="AT99" s="22">
        <v>5115</v>
      </c>
      <c r="AU99" s="22">
        <v>5197</v>
      </c>
      <c r="AV99" s="22">
        <v>5200</v>
      </c>
      <c r="AW99" s="22">
        <v>5100</v>
      </c>
      <c r="AX99" s="22">
        <v>5045</v>
      </c>
      <c r="AY99" s="22">
        <v>5032</v>
      </c>
      <c r="AZ99" s="22">
        <v>5146</v>
      </c>
      <c r="BA99" s="22">
        <v>4941</v>
      </c>
      <c r="BB99" s="22">
        <v>4871</v>
      </c>
      <c r="BC99" s="22">
        <v>4714</v>
      </c>
      <c r="BD99" s="22">
        <v>4961</v>
      </c>
      <c r="BE99" s="22">
        <v>4916</v>
      </c>
      <c r="BF99" s="22">
        <v>4879</v>
      </c>
      <c r="BG99" s="22">
        <v>4751</v>
      </c>
      <c r="BH99" s="22">
        <v>4700</v>
      </c>
      <c r="BI99" s="22">
        <v>4832</v>
      </c>
      <c r="BJ99" s="22">
        <v>4870</v>
      </c>
      <c r="BK99" s="22">
        <v>4798</v>
      </c>
      <c r="BL99" s="22">
        <v>4800</v>
      </c>
    </row>
    <row r="100" spans="1:64" ht="15.95" customHeight="1">
      <c r="A100" s="81" t="s">
        <v>357</v>
      </c>
      <c r="B100" s="17" t="s">
        <v>161</v>
      </c>
      <c r="C100" s="26">
        <f>_xll.RssMarket("4528","始値")</f>
        <v>2259</v>
      </c>
      <c r="D100" s="25">
        <f t="shared" si="1"/>
        <v>0</v>
      </c>
      <c r="E100" s="22">
        <v>2259</v>
      </c>
      <c r="F100" s="22">
        <v>2266.5</v>
      </c>
      <c r="G100" s="22">
        <v>2296.5</v>
      </c>
      <c r="H100" s="73">
        <v>2236</v>
      </c>
      <c r="I100" s="22">
        <v>2186.5</v>
      </c>
      <c r="J100" s="22">
        <v>2195.5</v>
      </c>
      <c r="K100" s="22">
        <v>2243</v>
      </c>
      <c r="L100" s="22">
        <v>2207</v>
      </c>
      <c r="M100" s="22">
        <v>2172</v>
      </c>
      <c r="N100" s="22">
        <v>2200</v>
      </c>
      <c r="O100" s="22">
        <v>2280</v>
      </c>
      <c r="P100" s="22">
        <v>2406</v>
      </c>
      <c r="Q100" s="22">
        <v>2368</v>
      </c>
      <c r="R100" s="22">
        <v>2344</v>
      </c>
      <c r="S100" s="22">
        <v>2508</v>
      </c>
      <c r="T100" s="22">
        <v>2484</v>
      </c>
      <c r="U100" s="22">
        <v>2458</v>
      </c>
      <c r="V100" s="22">
        <v>2466.5</v>
      </c>
      <c r="W100" s="22">
        <v>2400.5</v>
      </c>
      <c r="X100" s="22">
        <v>2507</v>
      </c>
      <c r="Y100" s="22">
        <v>2563</v>
      </c>
      <c r="Z100" s="22">
        <v>2535</v>
      </c>
      <c r="AA100" s="22">
        <v>2500</v>
      </c>
      <c r="AB100" s="22">
        <v>2466.5</v>
      </c>
      <c r="AC100" s="22">
        <v>2480</v>
      </c>
      <c r="AD100" s="22">
        <v>2359</v>
      </c>
      <c r="AE100" s="22">
        <v>2319</v>
      </c>
      <c r="AF100" s="22">
        <v>2287</v>
      </c>
      <c r="AG100" s="22">
        <v>2298</v>
      </c>
      <c r="AH100" s="22">
        <v>2316</v>
      </c>
      <c r="AI100" s="22">
        <v>2321</v>
      </c>
      <c r="AJ100" s="22">
        <v>2321.5</v>
      </c>
      <c r="AK100" s="22">
        <v>2300</v>
      </c>
      <c r="AL100" s="22">
        <v>2342</v>
      </c>
      <c r="AM100" s="22">
        <v>2411</v>
      </c>
      <c r="AN100" s="22">
        <v>2412.5</v>
      </c>
      <c r="AO100" s="22">
        <v>2465.5</v>
      </c>
      <c r="AP100" s="22">
        <v>2452</v>
      </c>
      <c r="AQ100" s="22">
        <v>2485</v>
      </c>
      <c r="AR100" s="22">
        <v>2504.5</v>
      </c>
      <c r="AS100" s="22">
        <v>2500</v>
      </c>
      <c r="AT100" s="22">
        <v>2534</v>
      </c>
      <c r="AU100" s="22">
        <v>2582.5</v>
      </c>
      <c r="AV100" s="22">
        <v>2592</v>
      </c>
      <c r="AW100" s="22">
        <v>2528.5</v>
      </c>
      <c r="AX100" s="22">
        <v>2549.5</v>
      </c>
      <c r="AY100" s="22">
        <v>2530</v>
      </c>
      <c r="AZ100" s="22">
        <v>2585</v>
      </c>
      <c r="BA100" s="22">
        <v>2548</v>
      </c>
      <c r="BB100" s="22">
        <v>2525</v>
      </c>
      <c r="BC100" s="22">
        <v>2415</v>
      </c>
      <c r="BD100" s="22">
        <v>2531.5</v>
      </c>
      <c r="BE100" s="22">
        <v>2486.5</v>
      </c>
      <c r="BF100" s="22">
        <v>2433.5</v>
      </c>
      <c r="BG100" s="22">
        <v>2369</v>
      </c>
      <c r="BH100" s="22">
        <v>2340</v>
      </c>
      <c r="BI100" s="22">
        <v>2351</v>
      </c>
      <c r="BJ100" s="22">
        <v>2370</v>
      </c>
      <c r="BK100" s="22">
        <v>2348</v>
      </c>
      <c r="BL100" s="22">
        <v>2344.5</v>
      </c>
    </row>
    <row r="101" spans="1:64" ht="15.95" customHeight="1">
      <c r="A101" s="81" t="s">
        <v>358</v>
      </c>
      <c r="B101" s="17" t="s">
        <v>162</v>
      </c>
      <c r="C101" s="26">
        <f>_xll.RssMarket("4661","始値")</f>
        <v>2290</v>
      </c>
      <c r="D101" s="25">
        <f t="shared" si="1"/>
        <v>0</v>
      </c>
      <c r="E101" s="22">
        <v>2290</v>
      </c>
      <c r="F101" s="22">
        <v>2272</v>
      </c>
      <c r="G101" s="22">
        <v>2236.5</v>
      </c>
      <c r="H101" s="73">
        <v>2278.5</v>
      </c>
      <c r="I101" s="22">
        <v>2292.5</v>
      </c>
      <c r="J101" s="22">
        <v>2244</v>
      </c>
      <c r="K101" s="22">
        <v>2222</v>
      </c>
      <c r="L101" s="22">
        <v>2205</v>
      </c>
      <c r="M101" s="22">
        <v>2215</v>
      </c>
      <c r="N101" s="22">
        <v>2154</v>
      </c>
      <c r="O101" s="22">
        <v>2221</v>
      </c>
      <c r="P101" s="22">
        <v>2260</v>
      </c>
      <c r="Q101" s="22">
        <v>2220</v>
      </c>
      <c r="R101" s="22">
        <v>2125</v>
      </c>
      <c r="S101" s="22">
        <v>2140</v>
      </c>
      <c r="T101" s="22">
        <v>2135</v>
      </c>
      <c r="U101" s="22">
        <v>2200</v>
      </c>
      <c r="V101" s="22">
        <v>2244</v>
      </c>
      <c r="W101" s="22">
        <v>2165</v>
      </c>
      <c r="X101" s="22">
        <v>2186</v>
      </c>
      <c r="Y101" s="22">
        <v>2141</v>
      </c>
      <c r="Z101" s="22">
        <v>2160</v>
      </c>
      <c r="AA101" s="22">
        <v>2195</v>
      </c>
      <c r="AB101" s="22">
        <v>2180</v>
      </c>
      <c r="AC101" s="22">
        <v>2220</v>
      </c>
      <c r="AD101" s="22">
        <v>2245</v>
      </c>
      <c r="AE101" s="22">
        <v>2223</v>
      </c>
      <c r="AF101" s="22">
        <v>2230</v>
      </c>
      <c r="AG101" s="22">
        <v>2250</v>
      </c>
      <c r="AH101" s="22">
        <v>2415</v>
      </c>
      <c r="AI101" s="22">
        <v>2397</v>
      </c>
      <c r="AJ101" s="22">
        <v>2448</v>
      </c>
      <c r="AK101" s="22">
        <v>2553.5</v>
      </c>
      <c r="AL101" s="22">
        <v>2607.5</v>
      </c>
      <c r="AM101" s="22">
        <v>2644</v>
      </c>
      <c r="AN101" s="22">
        <v>2649</v>
      </c>
      <c r="AO101" s="22">
        <v>2618</v>
      </c>
      <c r="AP101" s="22">
        <v>2666</v>
      </c>
      <c r="AQ101" s="22">
        <v>2556.5</v>
      </c>
      <c r="AR101" s="22">
        <v>2601</v>
      </c>
      <c r="AS101" s="22">
        <v>2608.5</v>
      </c>
      <c r="AT101" s="22">
        <v>2600</v>
      </c>
      <c r="AU101" s="22">
        <v>2660</v>
      </c>
      <c r="AV101" s="22">
        <v>2675.5</v>
      </c>
      <c r="AW101" s="22">
        <v>2675</v>
      </c>
      <c r="AX101" s="22">
        <v>2724</v>
      </c>
      <c r="AY101" s="22">
        <v>2735</v>
      </c>
      <c r="AZ101" s="22">
        <v>2713</v>
      </c>
      <c r="BA101" s="22">
        <v>2702</v>
      </c>
      <c r="BB101" s="22">
        <v>2691</v>
      </c>
      <c r="BC101" s="22">
        <v>2661</v>
      </c>
      <c r="BD101" s="22">
        <v>2730</v>
      </c>
      <c r="BE101" s="22">
        <v>2690</v>
      </c>
      <c r="BF101" s="22">
        <v>2700</v>
      </c>
      <c r="BG101" s="22">
        <v>2663.5</v>
      </c>
      <c r="BH101" s="22">
        <v>2740</v>
      </c>
      <c r="BI101" s="22">
        <v>2750.5</v>
      </c>
      <c r="BJ101" s="22">
        <v>2800</v>
      </c>
      <c r="BK101" s="22">
        <v>2789</v>
      </c>
      <c r="BL101" s="22">
        <v>2800</v>
      </c>
    </row>
    <row r="102" spans="1:64" ht="15.95" customHeight="1">
      <c r="A102" s="81" t="s">
        <v>359</v>
      </c>
      <c r="B102" s="17" t="s">
        <v>163</v>
      </c>
      <c r="C102" s="26">
        <f>_xll.RssMarket("5802","始値")</f>
        <v>12000</v>
      </c>
      <c r="D102" s="25">
        <f t="shared" si="1"/>
        <v>0</v>
      </c>
      <c r="E102" s="22">
        <v>12000</v>
      </c>
      <c r="F102" s="22">
        <v>11510</v>
      </c>
      <c r="G102" s="22">
        <v>11325</v>
      </c>
      <c r="H102" s="73">
        <v>10960</v>
      </c>
      <c r="I102" s="22">
        <v>9945</v>
      </c>
      <c r="J102" s="22">
        <v>11460</v>
      </c>
      <c r="K102" s="22">
        <v>11725</v>
      </c>
      <c r="L102" s="22">
        <v>12865</v>
      </c>
      <c r="M102" s="22">
        <v>13845</v>
      </c>
      <c r="N102" s="22">
        <v>14815</v>
      </c>
      <c r="O102" s="22">
        <v>12880</v>
      </c>
      <c r="P102" s="22">
        <v>12095</v>
      </c>
      <c r="Q102" s="22">
        <v>11720</v>
      </c>
      <c r="R102" s="22">
        <v>12495</v>
      </c>
      <c r="S102" s="22">
        <v>12165</v>
      </c>
      <c r="T102" s="22">
        <v>11470</v>
      </c>
      <c r="U102" s="22">
        <v>10825</v>
      </c>
      <c r="V102" s="22">
        <v>10285</v>
      </c>
      <c r="W102" s="22">
        <v>11310</v>
      </c>
      <c r="X102" s="22">
        <v>11090</v>
      </c>
      <c r="Y102" s="22">
        <v>12200</v>
      </c>
      <c r="Z102" s="22">
        <v>12890</v>
      </c>
      <c r="AA102" s="22">
        <v>11350</v>
      </c>
      <c r="AB102" s="22">
        <v>12410</v>
      </c>
      <c r="AC102" s="22">
        <v>11650</v>
      </c>
      <c r="AD102" s="22">
        <v>11005</v>
      </c>
      <c r="AE102" s="22">
        <v>10710</v>
      </c>
      <c r="AF102" s="22">
        <v>10280</v>
      </c>
      <c r="AG102" s="22">
        <v>10230</v>
      </c>
      <c r="AH102" s="22">
        <v>10000</v>
      </c>
      <c r="AI102" s="22">
        <v>9962</v>
      </c>
      <c r="AJ102" s="22">
        <v>10345</v>
      </c>
      <c r="AK102" s="22">
        <v>10805</v>
      </c>
      <c r="AL102" s="22">
        <v>10290</v>
      </c>
      <c r="AM102" s="22">
        <v>10300</v>
      </c>
      <c r="AN102" s="22">
        <v>10130</v>
      </c>
      <c r="AO102" s="22">
        <v>10050</v>
      </c>
      <c r="AP102" s="22">
        <v>9650</v>
      </c>
      <c r="AQ102" s="22">
        <v>10375</v>
      </c>
      <c r="AR102" s="22">
        <v>10130</v>
      </c>
      <c r="AS102" s="22">
        <v>10485</v>
      </c>
      <c r="AT102" s="22">
        <v>10110</v>
      </c>
      <c r="AU102" s="22">
        <v>10165</v>
      </c>
      <c r="AV102" s="22">
        <v>10100</v>
      </c>
      <c r="AW102" s="22">
        <v>9447</v>
      </c>
      <c r="AX102" s="22">
        <v>9610</v>
      </c>
      <c r="AY102" s="22">
        <v>9550</v>
      </c>
      <c r="AZ102" s="22">
        <v>9419</v>
      </c>
      <c r="BA102" s="22">
        <v>8800</v>
      </c>
      <c r="BB102" s="22">
        <v>8505</v>
      </c>
      <c r="BC102" s="22">
        <v>8925</v>
      </c>
      <c r="BD102" s="22">
        <v>9401</v>
      </c>
      <c r="BE102" s="22">
        <v>10215</v>
      </c>
      <c r="BF102" s="22">
        <v>10210</v>
      </c>
      <c r="BG102" s="22">
        <v>9964</v>
      </c>
      <c r="BH102" s="22">
        <v>9248</v>
      </c>
      <c r="BI102" s="22">
        <v>9737</v>
      </c>
      <c r="BJ102" s="22">
        <v>9810</v>
      </c>
      <c r="BK102" s="22">
        <v>10225</v>
      </c>
      <c r="BL102" s="22">
        <v>10345</v>
      </c>
    </row>
    <row r="103" spans="1:64" ht="15.95" customHeight="1">
      <c r="A103" s="81" t="s">
        <v>360</v>
      </c>
      <c r="B103" s="17" t="s">
        <v>164</v>
      </c>
      <c r="C103" s="26">
        <f>_xll.RssMarket("5803","始値")</f>
        <v>4600</v>
      </c>
      <c r="D103" s="25">
        <f t="shared" si="1"/>
        <v>0</v>
      </c>
      <c r="E103" s="22">
        <v>4600</v>
      </c>
      <c r="F103" s="22">
        <v>4400</v>
      </c>
      <c r="G103" s="22">
        <v>4450</v>
      </c>
      <c r="H103" s="73">
        <v>4352</v>
      </c>
      <c r="I103" s="22">
        <v>4006</v>
      </c>
      <c r="J103" s="22">
        <v>4320</v>
      </c>
      <c r="K103" s="22">
        <v>4386</v>
      </c>
      <c r="L103" s="22">
        <v>4654</v>
      </c>
      <c r="M103" s="22">
        <v>4831</v>
      </c>
      <c r="N103" s="22">
        <v>4854</v>
      </c>
      <c r="O103" s="22">
        <v>4607</v>
      </c>
      <c r="P103" s="22">
        <v>5044</v>
      </c>
      <c r="Q103" s="22">
        <v>4998</v>
      </c>
      <c r="R103" s="22">
        <v>5500</v>
      </c>
      <c r="S103" s="22">
        <v>5360</v>
      </c>
      <c r="T103" s="22">
        <v>4650</v>
      </c>
      <c r="U103" s="22">
        <v>4550</v>
      </c>
      <c r="V103" s="22">
        <v>4275</v>
      </c>
      <c r="W103" s="22">
        <v>5600</v>
      </c>
      <c r="X103" s="22">
        <v>5842</v>
      </c>
      <c r="Y103" s="22">
        <v>6418</v>
      </c>
      <c r="Z103" s="22">
        <v>7662</v>
      </c>
      <c r="AA103" s="22">
        <v>7324</v>
      </c>
      <c r="AB103" s="22">
        <v>7250</v>
      </c>
      <c r="AC103" s="22">
        <v>6780</v>
      </c>
      <c r="AD103" s="22">
        <v>6428</v>
      </c>
      <c r="AE103" s="22">
        <v>6300</v>
      </c>
      <c r="AF103" s="22">
        <v>5983</v>
      </c>
      <c r="AG103" s="22">
        <v>5981</v>
      </c>
      <c r="AH103" s="22">
        <v>6231</v>
      </c>
      <c r="AI103" s="22">
        <v>6037</v>
      </c>
      <c r="AJ103" s="22">
        <v>5987</v>
      </c>
      <c r="AK103" s="22">
        <v>6119</v>
      </c>
      <c r="AL103" s="22">
        <v>5833</v>
      </c>
      <c r="AM103" s="22">
        <v>5577</v>
      </c>
      <c r="AN103" s="22">
        <v>5692</v>
      </c>
      <c r="AO103" s="22">
        <v>5903</v>
      </c>
      <c r="AP103" s="22">
        <v>5600</v>
      </c>
      <c r="AQ103" s="22">
        <v>5960</v>
      </c>
      <c r="AR103" s="22">
        <v>5947</v>
      </c>
      <c r="AS103" s="22">
        <v>5914</v>
      </c>
      <c r="AT103" s="22">
        <v>5176</v>
      </c>
      <c r="AU103" s="22">
        <v>4806</v>
      </c>
      <c r="AV103" s="22">
        <v>4835</v>
      </c>
      <c r="AW103" s="22">
        <v>4597</v>
      </c>
      <c r="AX103" s="22">
        <v>4679</v>
      </c>
      <c r="AY103" s="22">
        <v>4430</v>
      </c>
      <c r="AZ103" s="22">
        <v>4535</v>
      </c>
      <c r="BA103" s="22">
        <v>4370</v>
      </c>
      <c r="BB103" s="22">
        <v>4250</v>
      </c>
      <c r="BC103" s="22">
        <v>4445</v>
      </c>
      <c r="BD103" s="22">
        <v>4583.3</v>
      </c>
      <c r="BE103" s="22">
        <v>4610.8</v>
      </c>
      <c r="BF103" s="22">
        <v>4483.3</v>
      </c>
      <c r="BG103" s="22">
        <v>4203.3</v>
      </c>
      <c r="BH103" s="22">
        <v>4010.8</v>
      </c>
      <c r="BI103" s="22">
        <v>4215</v>
      </c>
      <c r="BJ103" s="22">
        <v>4166.6000000000004</v>
      </c>
      <c r="BK103" s="22">
        <v>4346.6000000000004</v>
      </c>
      <c r="BL103" s="22">
        <v>4450</v>
      </c>
    </row>
    <row r="104" spans="1:64" ht="15.95" customHeight="1">
      <c r="A104" s="81" t="s">
        <v>361</v>
      </c>
      <c r="B104" s="17" t="s">
        <v>165</v>
      </c>
      <c r="C104" s="26">
        <f>_xll.RssMarket("6178","始値")</f>
        <v>2272</v>
      </c>
      <c r="D104" s="25">
        <f t="shared" si="1"/>
        <v>0</v>
      </c>
      <c r="E104" s="22">
        <v>2272</v>
      </c>
      <c r="F104" s="22">
        <v>2250</v>
      </c>
      <c r="G104" s="22">
        <v>2325</v>
      </c>
      <c r="H104" s="73">
        <v>2280.5</v>
      </c>
      <c r="I104" s="22">
        <v>2230.5</v>
      </c>
      <c r="J104" s="22">
        <v>2204</v>
      </c>
      <c r="K104" s="22">
        <v>2108.5</v>
      </c>
      <c r="L104" s="22">
        <v>2155</v>
      </c>
      <c r="M104" s="22">
        <v>2108.5</v>
      </c>
      <c r="N104" s="22">
        <v>2090</v>
      </c>
      <c r="O104" s="22">
        <v>2005</v>
      </c>
      <c r="P104" s="22">
        <v>2052</v>
      </c>
      <c r="Q104" s="22">
        <v>2024.5</v>
      </c>
      <c r="R104" s="22">
        <v>2070</v>
      </c>
      <c r="S104" s="22">
        <v>2093</v>
      </c>
      <c r="T104" s="22">
        <v>2115.5</v>
      </c>
      <c r="U104" s="22">
        <v>2110</v>
      </c>
      <c r="V104" s="22">
        <v>2126.5</v>
      </c>
      <c r="W104" s="22">
        <v>2065</v>
      </c>
      <c r="X104" s="22">
        <v>1997</v>
      </c>
      <c r="Y104" s="22">
        <v>1951</v>
      </c>
      <c r="Z104" s="22">
        <v>1951.5</v>
      </c>
      <c r="AA104" s="22">
        <v>1900</v>
      </c>
      <c r="AB104" s="22">
        <v>1876.5</v>
      </c>
      <c r="AC104" s="22">
        <v>1863</v>
      </c>
      <c r="AD104" s="22">
        <v>1857</v>
      </c>
      <c r="AE104" s="22">
        <v>1845.5</v>
      </c>
      <c r="AF104" s="22">
        <v>1812.5</v>
      </c>
      <c r="AG104" s="22">
        <v>1810</v>
      </c>
      <c r="AH104" s="22">
        <v>1775</v>
      </c>
      <c r="AI104" s="22">
        <v>1762</v>
      </c>
      <c r="AJ104" s="22">
        <v>1784.5</v>
      </c>
      <c r="AK104" s="22">
        <v>1789</v>
      </c>
      <c r="AL104" s="22">
        <v>1820.5</v>
      </c>
      <c r="AM104" s="22">
        <v>1856.5</v>
      </c>
      <c r="AN104" s="22">
        <v>1880.5</v>
      </c>
      <c r="AO104" s="22">
        <v>1887.5</v>
      </c>
      <c r="AP104" s="22">
        <v>1900</v>
      </c>
      <c r="AQ104" s="22">
        <v>1858.5</v>
      </c>
      <c r="AR104" s="22">
        <v>1881.5</v>
      </c>
      <c r="AS104" s="22">
        <v>1831</v>
      </c>
      <c r="AT104" s="22">
        <v>1891.5</v>
      </c>
      <c r="AU104" s="22">
        <v>1913.5</v>
      </c>
      <c r="AV104" s="22">
        <v>1924</v>
      </c>
      <c r="AW104" s="22">
        <v>1849</v>
      </c>
      <c r="AX104" s="22">
        <v>1829</v>
      </c>
      <c r="AY104" s="22">
        <v>1844</v>
      </c>
      <c r="AZ104" s="22">
        <v>1890</v>
      </c>
      <c r="BA104" s="22">
        <v>1869</v>
      </c>
      <c r="BB104" s="22">
        <v>1789</v>
      </c>
      <c r="BC104" s="22">
        <v>1740</v>
      </c>
      <c r="BD104" s="22">
        <v>1857</v>
      </c>
      <c r="BE104" s="22">
        <v>1863.5</v>
      </c>
      <c r="BF104" s="22">
        <v>1855.5</v>
      </c>
      <c r="BG104" s="22">
        <v>1816</v>
      </c>
      <c r="BH104" s="22">
        <v>1768.5</v>
      </c>
      <c r="BI104" s="22">
        <v>1804.5</v>
      </c>
      <c r="BJ104" s="22">
        <v>1820</v>
      </c>
      <c r="BK104" s="22">
        <v>1784.5</v>
      </c>
      <c r="BL104" s="22">
        <v>1773</v>
      </c>
    </row>
    <row r="105" spans="1:64" ht="15.95" customHeight="1">
      <c r="A105" s="81" t="s">
        <v>362</v>
      </c>
      <c r="B105" s="17" t="s">
        <v>166</v>
      </c>
      <c r="C105" s="26">
        <f>_xll.RssMarket("6925","始値")</f>
        <v>4478</v>
      </c>
      <c r="D105" s="25">
        <f t="shared" si="1"/>
        <v>0</v>
      </c>
      <c r="E105" s="22">
        <v>4478</v>
      </c>
      <c r="F105" s="22">
        <v>4274</v>
      </c>
      <c r="G105" s="22">
        <v>4200</v>
      </c>
      <c r="H105" s="76">
        <v>4025</v>
      </c>
      <c r="I105" s="22">
        <v>3794</v>
      </c>
      <c r="J105" s="22">
        <v>4027</v>
      </c>
      <c r="K105" s="22">
        <v>3980</v>
      </c>
      <c r="L105" s="22">
        <v>4269</v>
      </c>
      <c r="M105" s="22">
        <v>4077</v>
      </c>
      <c r="N105" s="22">
        <v>4067</v>
      </c>
      <c r="O105" s="22">
        <v>4059</v>
      </c>
      <c r="P105" s="22">
        <v>4229</v>
      </c>
      <c r="Q105" s="22">
        <v>4192</v>
      </c>
      <c r="R105" s="22">
        <v>4226</v>
      </c>
      <c r="S105" s="22">
        <v>4100</v>
      </c>
      <c r="T105" s="22">
        <v>4050</v>
      </c>
      <c r="U105" s="22">
        <v>3833</v>
      </c>
      <c r="V105" s="22">
        <v>3858</v>
      </c>
      <c r="W105" s="22">
        <v>4138</v>
      </c>
      <c r="X105" s="22">
        <v>4250</v>
      </c>
      <c r="Y105" s="22">
        <v>4239</v>
      </c>
      <c r="Z105" s="22">
        <v>3419</v>
      </c>
      <c r="AA105" s="22">
        <v>3439</v>
      </c>
      <c r="AB105" s="22">
        <v>3468</v>
      </c>
      <c r="AC105" s="22">
        <v>3405</v>
      </c>
      <c r="AD105" s="22">
        <v>3343</v>
      </c>
      <c r="AE105" s="22">
        <v>3235</v>
      </c>
      <c r="AF105" s="22">
        <v>3126</v>
      </c>
      <c r="AG105" s="22">
        <v>3090</v>
      </c>
      <c r="AH105" s="22">
        <v>3135</v>
      </c>
      <c r="AI105" s="22">
        <v>3200</v>
      </c>
      <c r="AJ105" s="22">
        <v>3224</v>
      </c>
      <c r="AK105" s="22">
        <v>3150</v>
      </c>
      <c r="AL105" s="22">
        <v>3180</v>
      </c>
      <c r="AM105" s="22">
        <v>3207</v>
      </c>
      <c r="AN105" s="22">
        <v>3156</v>
      </c>
      <c r="AO105" s="22">
        <v>3320</v>
      </c>
      <c r="AP105" s="22">
        <v>3299</v>
      </c>
      <c r="AQ105" s="22">
        <v>3282</v>
      </c>
      <c r="AR105" s="22">
        <v>3251</v>
      </c>
      <c r="AS105" s="22">
        <v>3231</v>
      </c>
      <c r="AT105" s="22">
        <v>3232</v>
      </c>
      <c r="AU105" s="22">
        <v>3200</v>
      </c>
      <c r="AV105" s="22">
        <v>3159</v>
      </c>
      <c r="AW105" s="22">
        <v>3079</v>
      </c>
      <c r="AX105" s="22">
        <v>3079</v>
      </c>
      <c r="AY105" s="22">
        <v>3086</v>
      </c>
      <c r="AZ105" s="22">
        <v>3082</v>
      </c>
      <c r="BA105" s="22">
        <v>2960</v>
      </c>
      <c r="BB105" s="22">
        <v>2794</v>
      </c>
      <c r="BC105" s="22">
        <v>2759</v>
      </c>
      <c r="BD105" s="22">
        <v>2904.5</v>
      </c>
      <c r="BE105" s="22">
        <v>2950</v>
      </c>
      <c r="BF105" s="22">
        <v>2978</v>
      </c>
      <c r="BG105" s="22">
        <v>2882</v>
      </c>
      <c r="BH105" s="22">
        <v>2799</v>
      </c>
      <c r="BI105" s="22">
        <v>2840</v>
      </c>
      <c r="BJ105" s="22">
        <v>2868</v>
      </c>
      <c r="BK105" s="22">
        <v>2851</v>
      </c>
      <c r="BL105" s="22">
        <v>2837.5</v>
      </c>
    </row>
    <row r="106" spans="1:64" ht="15.95" customHeight="1">
      <c r="A106" s="81" t="s">
        <v>363</v>
      </c>
      <c r="B106" s="17" t="s">
        <v>167</v>
      </c>
      <c r="C106" s="26">
        <f>_xll.RssMarket("7021","始値")</f>
        <v>1809</v>
      </c>
      <c r="D106" s="25">
        <f t="shared" si="1"/>
        <v>0</v>
      </c>
      <c r="E106" s="22">
        <v>1809</v>
      </c>
      <c r="F106" s="22">
        <v>1780</v>
      </c>
      <c r="G106" s="22">
        <v>1826</v>
      </c>
      <c r="H106" s="76">
        <v>1804</v>
      </c>
      <c r="I106" s="22">
        <v>1812</v>
      </c>
      <c r="J106" s="22">
        <v>1800</v>
      </c>
      <c r="K106" s="22">
        <v>1770</v>
      </c>
      <c r="L106" s="22">
        <v>1759</v>
      </c>
      <c r="M106" s="22">
        <v>1749</v>
      </c>
      <c r="N106" s="22">
        <v>1800</v>
      </c>
      <c r="O106" s="22">
        <v>1803</v>
      </c>
      <c r="P106" s="22">
        <v>1854</v>
      </c>
      <c r="Q106" s="22">
        <v>1819</v>
      </c>
      <c r="R106" s="22">
        <v>1823</v>
      </c>
      <c r="S106" s="22">
        <v>1868</v>
      </c>
      <c r="T106" s="22">
        <v>1881</v>
      </c>
      <c r="U106" s="22">
        <v>1915</v>
      </c>
      <c r="V106" s="22">
        <v>1980</v>
      </c>
      <c r="W106" s="22">
        <v>2088</v>
      </c>
      <c r="X106" s="22">
        <v>2189</v>
      </c>
      <c r="Y106" s="22">
        <v>2118</v>
      </c>
      <c r="Z106" s="22">
        <v>2151</v>
      </c>
      <c r="AA106" s="22">
        <v>2141</v>
      </c>
      <c r="AB106" s="22">
        <v>2170</v>
      </c>
      <c r="AC106" s="22">
        <v>2150</v>
      </c>
      <c r="AD106" s="22">
        <v>2175</v>
      </c>
      <c r="AE106" s="22">
        <v>2225</v>
      </c>
      <c r="AF106" s="22">
        <v>2176</v>
      </c>
      <c r="AG106" s="22">
        <v>2259</v>
      </c>
      <c r="AH106" s="22">
        <v>2258</v>
      </c>
      <c r="AI106" s="22">
        <v>2295</v>
      </c>
      <c r="AJ106" s="22">
        <v>2289</v>
      </c>
      <c r="AK106" s="22">
        <v>2364</v>
      </c>
      <c r="AL106" s="22">
        <v>2341</v>
      </c>
      <c r="AM106" s="22">
        <v>2337</v>
      </c>
      <c r="AN106" s="22">
        <v>2360</v>
      </c>
      <c r="AO106" s="22">
        <v>2343</v>
      </c>
      <c r="AP106" s="22">
        <v>2339</v>
      </c>
      <c r="AQ106" s="22">
        <v>2329</v>
      </c>
      <c r="AR106" s="22">
        <v>2301</v>
      </c>
      <c r="AS106" s="22">
        <v>2296</v>
      </c>
      <c r="AT106" s="22">
        <v>2295</v>
      </c>
      <c r="AU106" s="22">
        <v>2260</v>
      </c>
      <c r="AV106" s="22">
        <v>2295</v>
      </c>
      <c r="AW106" s="22">
        <v>2250</v>
      </c>
      <c r="AX106" s="22">
        <v>2288</v>
      </c>
      <c r="AY106" s="22">
        <v>2250</v>
      </c>
      <c r="AZ106" s="22">
        <v>2203</v>
      </c>
      <c r="BA106" s="22">
        <v>2182</v>
      </c>
      <c r="BB106" s="22">
        <v>2259</v>
      </c>
      <c r="BC106" s="22">
        <v>2261</v>
      </c>
      <c r="BD106" s="22">
        <v>2284</v>
      </c>
      <c r="BE106" s="22">
        <v>2278</v>
      </c>
      <c r="BF106" s="22">
        <v>2249</v>
      </c>
      <c r="BG106" s="22">
        <v>2284</v>
      </c>
      <c r="BH106" s="22">
        <v>2251</v>
      </c>
      <c r="BI106" s="22">
        <v>2250</v>
      </c>
      <c r="BJ106" s="22">
        <v>2239</v>
      </c>
      <c r="BK106" s="22">
        <v>2235</v>
      </c>
      <c r="BL106" s="22">
        <v>2257</v>
      </c>
    </row>
    <row r="107" spans="1:64" ht="15.95" customHeight="1">
      <c r="A107" s="81" t="s">
        <v>364</v>
      </c>
      <c r="B107" s="17" t="s">
        <v>168</v>
      </c>
      <c r="C107" s="26">
        <f>_xll.RssMarket("7729","始値")</f>
        <v>18490</v>
      </c>
      <c r="D107" s="25">
        <f t="shared" si="1"/>
        <v>0</v>
      </c>
      <c r="E107" s="22">
        <v>18490</v>
      </c>
      <c r="F107" s="22">
        <v>19775</v>
      </c>
      <c r="G107" s="22">
        <v>19455</v>
      </c>
      <c r="H107" s="76">
        <v>18430</v>
      </c>
      <c r="I107" s="22">
        <v>16355</v>
      </c>
      <c r="J107" s="22">
        <v>17270</v>
      </c>
      <c r="K107" s="22">
        <v>15910</v>
      </c>
      <c r="L107" s="22">
        <v>17925</v>
      </c>
      <c r="M107" s="22">
        <v>17360</v>
      </c>
      <c r="N107" s="22">
        <v>17250</v>
      </c>
      <c r="O107" s="22">
        <v>16975</v>
      </c>
      <c r="P107" s="22">
        <v>17970</v>
      </c>
      <c r="Q107" s="22">
        <v>17420</v>
      </c>
      <c r="R107" s="22">
        <v>17795</v>
      </c>
      <c r="S107" s="22">
        <v>17770</v>
      </c>
      <c r="T107" s="22">
        <v>16650</v>
      </c>
      <c r="U107" s="22">
        <v>16390</v>
      </c>
      <c r="V107" s="22">
        <v>15700</v>
      </c>
      <c r="W107" s="22">
        <v>16200</v>
      </c>
      <c r="X107" s="22">
        <v>16515</v>
      </c>
      <c r="Y107" s="22">
        <v>18155</v>
      </c>
      <c r="Z107" s="22">
        <v>19285</v>
      </c>
      <c r="AA107" s="22">
        <v>18585</v>
      </c>
      <c r="AB107" s="22">
        <v>19365</v>
      </c>
      <c r="AC107" s="22">
        <v>19400</v>
      </c>
      <c r="AD107" s="22">
        <v>18000</v>
      </c>
      <c r="AE107" s="22">
        <v>18375</v>
      </c>
      <c r="AF107" s="22">
        <v>17240</v>
      </c>
      <c r="AG107" s="22">
        <v>17355</v>
      </c>
      <c r="AH107" s="22">
        <v>17325</v>
      </c>
      <c r="AI107" s="22">
        <v>17640</v>
      </c>
      <c r="AJ107" s="22">
        <v>16950</v>
      </c>
      <c r="AK107" s="22">
        <v>17220</v>
      </c>
      <c r="AL107" s="22">
        <v>16715</v>
      </c>
      <c r="AM107" s="22">
        <v>16440</v>
      </c>
      <c r="AN107" s="22">
        <v>16665</v>
      </c>
      <c r="AO107" s="22">
        <v>16810</v>
      </c>
      <c r="AP107" s="22">
        <v>16595</v>
      </c>
      <c r="AQ107" s="22">
        <v>16435</v>
      </c>
      <c r="AR107" s="22">
        <v>16100</v>
      </c>
      <c r="AS107" s="22">
        <v>15605</v>
      </c>
      <c r="AT107" s="22">
        <v>15680</v>
      </c>
      <c r="AU107" s="22">
        <v>15345</v>
      </c>
      <c r="AV107" s="22">
        <v>15100</v>
      </c>
      <c r="AW107" s="22">
        <v>14320</v>
      </c>
      <c r="AX107" s="22">
        <v>14050</v>
      </c>
      <c r="AY107" s="22">
        <v>14210</v>
      </c>
      <c r="AZ107" s="22">
        <v>14465</v>
      </c>
      <c r="BA107" s="22">
        <v>13905</v>
      </c>
      <c r="BB107" s="22">
        <v>13000</v>
      </c>
      <c r="BC107" s="22">
        <v>13180</v>
      </c>
      <c r="BD107" s="22">
        <v>14030</v>
      </c>
      <c r="BE107" s="22">
        <v>14580</v>
      </c>
      <c r="BF107" s="22">
        <v>14650</v>
      </c>
      <c r="BG107" s="22">
        <v>14285</v>
      </c>
      <c r="BH107" s="22">
        <v>13800</v>
      </c>
      <c r="BI107" s="22">
        <v>14500</v>
      </c>
      <c r="BJ107" s="22">
        <v>14655</v>
      </c>
      <c r="BK107" s="22">
        <v>15130</v>
      </c>
      <c r="BL107" s="22">
        <v>14415</v>
      </c>
    </row>
    <row r="108" spans="1:64" ht="15.95" customHeight="1">
      <c r="A108" s="81" t="s">
        <v>365</v>
      </c>
      <c r="B108" s="17" t="s">
        <v>169</v>
      </c>
      <c r="C108" s="26">
        <f>_xll.RssMarket("8424","始値")</f>
        <v>4302</v>
      </c>
      <c r="D108" s="25">
        <f t="shared" si="1"/>
        <v>0</v>
      </c>
      <c r="E108" s="22">
        <v>4302</v>
      </c>
      <c r="F108" s="22">
        <v>4300</v>
      </c>
      <c r="G108" s="22">
        <v>4306</v>
      </c>
      <c r="H108" s="76">
        <v>4264</v>
      </c>
      <c r="I108" s="22">
        <v>4309</v>
      </c>
      <c r="J108" s="22">
        <v>4272</v>
      </c>
      <c r="K108" s="22">
        <v>4118</v>
      </c>
      <c r="L108" s="22">
        <v>4100</v>
      </c>
      <c r="M108" s="22">
        <v>4077</v>
      </c>
      <c r="N108" s="22">
        <v>4054</v>
      </c>
      <c r="O108" s="22">
        <v>4075</v>
      </c>
      <c r="P108" s="22">
        <v>4170</v>
      </c>
      <c r="Q108" s="22">
        <v>4185</v>
      </c>
      <c r="R108" s="22">
        <v>4190</v>
      </c>
      <c r="S108" s="22">
        <v>4280</v>
      </c>
      <c r="T108" s="22">
        <v>4371</v>
      </c>
      <c r="U108" s="22">
        <v>4403</v>
      </c>
      <c r="V108" s="22">
        <v>4387</v>
      </c>
      <c r="W108" s="22">
        <v>4342</v>
      </c>
      <c r="X108" s="22">
        <v>4378</v>
      </c>
      <c r="Y108" s="22">
        <v>4396</v>
      </c>
      <c r="Z108" s="22">
        <v>4350</v>
      </c>
      <c r="AA108" s="22">
        <v>4363</v>
      </c>
      <c r="AB108" s="22">
        <v>4300</v>
      </c>
      <c r="AC108" s="22">
        <v>4290</v>
      </c>
      <c r="AD108" s="22">
        <v>4322</v>
      </c>
      <c r="AE108" s="22">
        <v>4313</v>
      </c>
      <c r="AF108" s="22">
        <v>4312</v>
      </c>
      <c r="AG108" s="22">
        <v>4337</v>
      </c>
      <c r="AH108" s="22">
        <v>4267</v>
      </c>
      <c r="AI108" s="22">
        <v>4243</v>
      </c>
      <c r="AJ108" s="22">
        <v>4260</v>
      </c>
      <c r="AK108" s="22">
        <v>4230</v>
      </c>
      <c r="AL108" s="22">
        <v>4273</v>
      </c>
      <c r="AM108" s="22">
        <v>4315</v>
      </c>
      <c r="AN108" s="22">
        <v>4353</v>
      </c>
      <c r="AO108" s="22">
        <v>4330</v>
      </c>
      <c r="AP108" s="22">
        <v>4355</v>
      </c>
      <c r="AQ108" s="22">
        <v>4328</v>
      </c>
      <c r="AR108" s="22">
        <v>4338</v>
      </c>
      <c r="AS108" s="22">
        <v>4338</v>
      </c>
      <c r="AT108" s="22">
        <v>4410</v>
      </c>
      <c r="AU108" s="22">
        <v>4448</v>
      </c>
      <c r="AV108" s="22">
        <v>4447</v>
      </c>
      <c r="AW108" s="22">
        <v>4394</v>
      </c>
      <c r="AX108" s="22">
        <v>4356</v>
      </c>
      <c r="AY108" s="22">
        <v>4348</v>
      </c>
      <c r="AZ108" s="22">
        <v>4350</v>
      </c>
      <c r="BA108" s="22">
        <v>4328</v>
      </c>
      <c r="BB108" s="22">
        <v>4267</v>
      </c>
      <c r="BC108" s="22">
        <v>4163</v>
      </c>
      <c r="BD108" s="22">
        <v>4428</v>
      </c>
      <c r="BE108" s="22">
        <v>4424</v>
      </c>
      <c r="BF108" s="22">
        <v>4414</v>
      </c>
      <c r="BG108" s="22">
        <v>4358</v>
      </c>
      <c r="BH108" s="22">
        <v>4343</v>
      </c>
      <c r="BI108" s="22">
        <v>4400</v>
      </c>
      <c r="BJ108" s="22">
        <v>4442</v>
      </c>
      <c r="BK108" s="22">
        <v>4424</v>
      </c>
      <c r="BL108" s="22">
        <v>4383</v>
      </c>
    </row>
    <row r="109" spans="1:64" ht="15.95" customHeight="1">
      <c r="A109" s="81" t="s">
        <v>366</v>
      </c>
      <c r="B109" s="17" t="s">
        <v>170</v>
      </c>
      <c r="C109" s="26">
        <f>_xll.RssMarket("9020","始値")</f>
        <v>3445</v>
      </c>
      <c r="D109" s="25">
        <f t="shared" si="1"/>
        <v>0</v>
      </c>
      <c r="E109" s="22">
        <v>3445</v>
      </c>
      <c r="F109" s="22">
        <v>3385</v>
      </c>
      <c r="G109" s="22">
        <v>3410</v>
      </c>
      <c r="H109" s="76">
        <v>3450</v>
      </c>
      <c r="I109" s="22">
        <v>3500</v>
      </c>
      <c r="J109" s="22">
        <v>3413</v>
      </c>
      <c r="K109" s="22">
        <v>3400</v>
      </c>
      <c r="L109" s="22">
        <v>3292</v>
      </c>
      <c r="M109" s="22">
        <v>3317</v>
      </c>
      <c r="N109" s="22">
        <v>3295</v>
      </c>
      <c r="O109" s="22">
        <v>3335</v>
      </c>
      <c r="P109" s="22">
        <v>3438</v>
      </c>
      <c r="Q109" s="22">
        <v>3516</v>
      </c>
      <c r="R109" s="22">
        <v>3532</v>
      </c>
      <c r="S109" s="22">
        <v>3591</v>
      </c>
      <c r="T109" s="22">
        <v>3645</v>
      </c>
      <c r="U109" s="22">
        <v>3800</v>
      </c>
      <c r="V109" s="22">
        <v>3840</v>
      </c>
      <c r="W109" s="22">
        <v>3746</v>
      </c>
      <c r="X109" s="22">
        <v>3792</v>
      </c>
      <c r="Y109" s="22">
        <v>3675</v>
      </c>
      <c r="Z109" s="22">
        <v>3716</v>
      </c>
      <c r="AA109" s="22">
        <v>3752</v>
      </c>
      <c r="AB109" s="22">
        <v>3641</v>
      </c>
      <c r="AC109" s="22">
        <v>3626</v>
      </c>
      <c r="AD109" s="22">
        <v>3648</v>
      </c>
      <c r="AE109" s="22">
        <v>3573</v>
      </c>
      <c r="AF109" s="22">
        <v>3668</v>
      </c>
      <c r="AG109" s="22">
        <v>3381</v>
      </c>
      <c r="AH109" s="22">
        <v>3460</v>
      </c>
      <c r="AI109" s="22">
        <v>3402</v>
      </c>
      <c r="AJ109" s="22">
        <v>3474</v>
      </c>
      <c r="AK109" s="22">
        <v>3500</v>
      </c>
      <c r="AL109" s="22">
        <v>3528</v>
      </c>
      <c r="AM109" s="22">
        <v>3517</v>
      </c>
      <c r="AN109" s="22">
        <v>3500</v>
      </c>
      <c r="AO109" s="22">
        <v>3520</v>
      </c>
      <c r="AP109" s="22">
        <v>3559</v>
      </c>
      <c r="AQ109" s="22">
        <v>3533</v>
      </c>
      <c r="AR109" s="22">
        <v>3580</v>
      </c>
      <c r="AS109" s="22">
        <v>3560</v>
      </c>
      <c r="AT109" s="22">
        <v>3607</v>
      </c>
      <c r="AU109" s="22">
        <v>3560</v>
      </c>
      <c r="AV109" s="22">
        <v>3621</v>
      </c>
      <c r="AW109" s="22">
        <v>3592</v>
      </c>
      <c r="AX109" s="22">
        <v>3633</v>
      </c>
      <c r="AY109" s="22">
        <v>3610</v>
      </c>
      <c r="AZ109" s="22">
        <v>3683</v>
      </c>
      <c r="BA109" s="22">
        <v>3666</v>
      </c>
      <c r="BB109" s="22">
        <v>3659</v>
      </c>
      <c r="BC109" s="22">
        <v>3550</v>
      </c>
      <c r="BD109" s="22">
        <v>3693</v>
      </c>
      <c r="BE109" s="22">
        <v>3652</v>
      </c>
      <c r="BF109" s="22">
        <v>3627</v>
      </c>
      <c r="BG109" s="22">
        <v>3557</v>
      </c>
      <c r="BH109" s="22">
        <v>3608</v>
      </c>
      <c r="BI109" s="22">
        <v>3642</v>
      </c>
      <c r="BJ109" s="22">
        <v>3730</v>
      </c>
      <c r="BK109" s="22">
        <v>3710</v>
      </c>
      <c r="BL109" s="22">
        <v>3721</v>
      </c>
    </row>
    <row r="110" spans="1:64" ht="15.95" customHeight="1">
      <c r="A110" s="81" t="s">
        <v>367</v>
      </c>
      <c r="B110" s="17" t="s">
        <v>171</v>
      </c>
      <c r="C110" s="26">
        <f>_xll.RssMarket("9069","始値")</f>
        <v>1940</v>
      </c>
      <c r="D110" s="25">
        <f t="shared" si="1"/>
        <v>0</v>
      </c>
      <c r="E110" s="22">
        <v>1940</v>
      </c>
      <c r="F110" s="22">
        <v>1952</v>
      </c>
      <c r="G110" s="22">
        <v>1948.5</v>
      </c>
      <c r="H110" s="76">
        <v>1935</v>
      </c>
      <c r="I110" s="22">
        <v>1950</v>
      </c>
      <c r="J110" s="22">
        <v>1948</v>
      </c>
      <c r="K110" s="22">
        <v>1908</v>
      </c>
      <c r="L110" s="22">
        <v>1909</v>
      </c>
      <c r="M110" s="22">
        <v>1900</v>
      </c>
      <c r="N110" s="22">
        <v>1886</v>
      </c>
      <c r="O110" s="22">
        <v>1873</v>
      </c>
      <c r="P110" s="22">
        <v>1908</v>
      </c>
      <c r="Q110" s="22">
        <v>1932</v>
      </c>
      <c r="R110" s="22">
        <v>1964</v>
      </c>
      <c r="S110" s="22">
        <v>2022</v>
      </c>
      <c r="T110" s="22">
        <v>2029</v>
      </c>
      <c r="U110" s="22">
        <v>1988.5</v>
      </c>
      <c r="V110" s="22">
        <v>2020</v>
      </c>
      <c r="W110" s="22">
        <v>2022.5</v>
      </c>
      <c r="X110" s="22">
        <v>2006</v>
      </c>
      <c r="Y110" s="22">
        <v>1949</v>
      </c>
      <c r="Z110" s="22">
        <v>1834</v>
      </c>
      <c r="AA110" s="22">
        <v>1858</v>
      </c>
      <c r="AB110" s="22">
        <v>1848</v>
      </c>
      <c r="AC110" s="22">
        <v>1854.5</v>
      </c>
      <c r="AD110" s="22">
        <v>1821</v>
      </c>
      <c r="AE110" s="22">
        <v>1839.5</v>
      </c>
      <c r="AF110" s="22">
        <v>1834</v>
      </c>
      <c r="AG110" s="22">
        <v>1838</v>
      </c>
      <c r="AH110" s="22">
        <v>1832.5</v>
      </c>
      <c r="AI110" s="22">
        <v>1879.5</v>
      </c>
      <c r="AJ110" s="22">
        <v>1871</v>
      </c>
      <c r="AK110" s="22">
        <v>1901</v>
      </c>
      <c r="AL110" s="22">
        <v>1910</v>
      </c>
      <c r="AM110" s="22">
        <v>1896.5</v>
      </c>
      <c r="AN110" s="22">
        <v>1908.5</v>
      </c>
      <c r="AO110" s="22">
        <v>1888.5</v>
      </c>
      <c r="AP110" s="22">
        <v>1900</v>
      </c>
      <c r="AQ110" s="22">
        <v>1870.5</v>
      </c>
      <c r="AR110" s="22">
        <v>1866.5</v>
      </c>
      <c r="AS110" s="22">
        <v>1918</v>
      </c>
      <c r="AT110" s="22">
        <v>1920.5</v>
      </c>
      <c r="AU110" s="22">
        <v>1900.5</v>
      </c>
      <c r="AV110" s="22">
        <v>1856</v>
      </c>
      <c r="AW110" s="22">
        <v>1877.5</v>
      </c>
      <c r="AX110" s="22">
        <v>1885.5</v>
      </c>
      <c r="AY110" s="22">
        <v>1877</v>
      </c>
      <c r="AZ110" s="22">
        <v>1869</v>
      </c>
      <c r="BA110" s="22">
        <v>1788</v>
      </c>
      <c r="BB110" s="22">
        <v>1745.5</v>
      </c>
      <c r="BC110" s="22">
        <v>1812</v>
      </c>
      <c r="BD110" s="22">
        <v>1805.5</v>
      </c>
      <c r="BE110" s="22">
        <v>1821.5</v>
      </c>
      <c r="BF110" s="22">
        <v>1778.5</v>
      </c>
      <c r="BG110" s="22">
        <v>1754.5</v>
      </c>
      <c r="BH110" s="22">
        <v>1809.5</v>
      </c>
      <c r="BI110" s="22">
        <v>1803</v>
      </c>
      <c r="BJ110" s="22">
        <v>1780.5</v>
      </c>
      <c r="BK110" s="22">
        <v>1794</v>
      </c>
      <c r="BL110" s="22">
        <v>1800</v>
      </c>
    </row>
    <row r="111" spans="1:64" ht="15.95" customHeight="1">
      <c r="A111" s="81" t="s">
        <v>368</v>
      </c>
      <c r="B111" s="17" t="s">
        <v>172</v>
      </c>
      <c r="C111" s="26">
        <f>_xll.RssMarket("9227","始値")</f>
        <v>877</v>
      </c>
      <c r="D111" s="25">
        <f t="shared" si="1"/>
        <v>0</v>
      </c>
      <c r="E111" s="22">
        <v>877</v>
      </c>
      <c r="F111" s="22">
        <v>904</v>
      </c>
      <c r="G111" s="22">
        <v>917</v>
      </c>
      <c r="H111" s="76">
        <v>879</v>
      </c>
      <c r="I111" s="22">
        <v>854</v>
      </c>
      <c r="J111" s="22">
        <v>920</v>
      </c>
      <c r="K111" s="22">
        <v>902</v>
      </c>
      <c r="L111" s="22">
        <v>885</v>
      </c>
      <c r="M111" s="22">
        <v>894</v>
      </c>
      <c r="N111" s="22">
        <v>924</v>
      </c>
      <c r="O111" s="22">
        <v>939</v>
      </c>
      <c r="P111" s="22">
        <v>1103</v>
      </c>
      <c r="Q111" s="22">
        <v>1149</v>
      </c>
      <c r="R111" s="22">
        <v>1179</v>
      </c>
      <c r="S111" s="22">
        <v>1093</v>
      </c>
      <c r="T111" s="22">
        <v>943</v>
      </c>
      <c r="U111" s="22">
        <v>776</v>
      </c>
      <c r="V111" s="22">
        <v>800</v>
      </c>
      <c r="W111" s="22">
        <v>828</v>
      </c>
      <c r="X111" s="22">
        <v>833</v>
      </c>
      <c r="Y111" s="22">
        <v>836</v>
      </c>
      <c r="Z111" s="22">
        <v>845</v>
      </c>
      <c r="AA111" s="22">
        <v>842</v>
      </c>
      <c r="AB111" s="22">
        <v>982</v>
      </c>
      <c r="AC111" s="22">
        <v>1012</v>
      </c>
      <c r="AD111" s="22">
        <v>1003</v>
      </c>
      <c r="AE111" s="22">
        <v>1042</v>
      </c>
      <c r="AF111" s="22">
        <v>1025</v>
      </c>
      <c r="AG111" s="22">
        <v>1042</v>
      </c>
      <c r="AH111" s="22">
        <v>1094</v>
      </c>
      <c r="AI111" s="22">
        <v>1070</v>
      </c>
      <c r="AJ111" s="22">
        <v>1100</v>
      </c>
      <c r="AK111" s="22">
        <v>1163</v>
      </c>
      <c r="AL111" s="22">
        <v>1138</v>
      </c>
      <c r="AM111" s="22">
        <v>1300</v>
      </c>
      <c r="AN111" s="22">
        <v>1108</v>
      </c>
      <c r="AO111" s="22">
        <v>1033</v>
      </c>
      <c r="AP111" s="22">
        <v>1040</v>
      </c>
      <c r="AQ111" s="22">
        <v>1022</v>
      </c>
      <c r="AR111" s="22">
        <v>1023</v>
      </c>
      <c r="AS111" s="22">
        <v>945</v>
      </c>
      <c r="AT111" s="22">
        <v>975</v>
      </c>
      <c r="AU111" s="22">
        <v>998</v>
      </c>
      <c r="AV111" s="22">
        <v>968</v>
      </c>
      <c r="AW111" s="22">
        <v>953</v>
      </c>
      <c r="AX111" s="22">
        <v>956</v>
      </c>
      <c r="AY111" s="22">
        <v>976</v>
      </c>
      <c r="AZ111" s="22">
        <v>1017</v>
      </c>
      <c r="BA111" s="22">
        <v>990</v>
      </c>
      <c r="BB111" s="22">
        <v>994</v>
      </c>
      <c r="BC111" s="22">
        <v>944</v>
      </c>
      <c r="BD111" s="22">
        <v>951</v>
      </c>
      <c r="BE111" s="22">
        <v>1021</v>
      </c>
      <c r="BF111" s="22">
        <v>1014</v>
      </c>
      <c r="BG111" s="22">
        <v>1020</v>
      </c>
      <c r="BH111" s="22">
        <v>1024</v>
      </c>
      <c r="BI111" s="22">
        <v>1145</v>
      </c>
      <c r="BJ111" s="22">
        <v>1039</v>
      </c>
      <c r="BK111" s="22">
        <v>1021</v>
      </c>
      <c r="BL111" s="22">
        <v>1060</v>
      </c>
    </row>
    <row r="112" spans="1:64" ht="15.95" customHeight="1">
      <c r="A112" s="81" t="s">
        <v>369</v>
      </c>
      <c r="B112" s="17" t="s">
        <v>173</v>
      </c>
      <c r="C112" s="26">
        <f>_xll.RssMarket("9348","始値")</f>
        <v>471</v>
      </c>
      <c r="D112" s="25">
        <f t="shared" si="1"/>
        <v>0</v>
      </c>
      <c r="E112" s="22">
        <v>471</v>
      </c>
      <c r="F112" s="22">
        <v>510</v>
      </c>
      <c r="G112" s="22">
        <v>550</v>
      </c>
      <c r="H112" s="76">
        <v>602</v>
      </c>
      <c r="I112" s="22">
        <v>572</v>
      </c>
      <c r="J112" s="22">
        <v>583</v>
      </c>
      <c r="K112" s="22">
        <v>588</v>
      </c>
      <c r="L112" s="22">
        <v>607</v>
      </c>
      <c r="M112" s="22">
        <v>584</v>
      </c>
      <c r="N112" s="22">
        <v>603</v>
      </c>
      <c r="O112" s="22">
        <v>578</v>
      </c>
      <c r="P112" s="22">
        <v>709</v>
      </c>
      <c r="Q112" s="22">
        <v>610</v>
      </c>
      <c r="R112" s="22">
        <v>637</v>
      </c>
      <c r="S112" s="22">
        <v>598</v>
      </c>
      <c r="T112" s="22">
        <v>510</v>
      </c>
      <c r="U112" s="22">
        <v>506</v>
      </c>
      <c r="V112" s="22">
        <v>536</v>
      </c>
      <c r="W112" s="22">
        <v>507</v>
      </c>
      <c r="X112" s="22">
        <v>505</v>
      </c>
      <c r="Y112" s="22">
        <v>500</v>
      </c>
      <c r="Z112" s="22">
        <v>492</v>
      </c>
      <c r="AA112" s="22">
        <v>510</v>
      </c>
      <c r="AB112" s="22">
        <v>485</v>
      </c>
      <c r="AC112" s="22">
        <v>473</v>
      </c>
      <c r="AD112" s="22">
        <v>468</v>
      </c>
      <c r="AE112" s="22">
        <v>475</v>
      </c>
      <c r="AF112" s="22">
        <v>463</v>
      </c>
      <c r="AG112" s="22">
        <v>480</v>
      </c>
      <c r="AH112" s="22">
        <v>482</v>
      </c>
      <c r="AI112" s="22">
        <v>491</v>
      </c>
      <c r="AJ112" s="22">
        <v>489</v>
      </c>
      <c r="AK112" s="22">
        <v>496</v>
      </c>
      <c r="AL112" s="22">
        <v>496</v>
      </c>
      <c r="AM112" s="22">
        <v>505</v>
      </c>
      <c r="AN112" s="22">
        <v>514</v>
      </c>
      <c r="AO112" s="22">
        <v>513</v>
      </c>
      <c r="AP112" s="22">
        <v>503</v>
      </c>
      <c r="AQ112" s="22">
        <v>505</v>
      </c>
      <c r="AR112" s="22">
        <v>459</v>
      </c>
      <c r="AS112" s="22">
        <v>456</v>
      </c>
      <c r="AT112" s="22">
        <v>441</v>
      </c>
      <c r="AU112" s="22">
        <v>433</v>
      </c>
      <c r="AV112" s="22">
        <v>424</v>
      </c>
      <c r="AW112" s="22">
        <v>478</v>
      </c>
      <c r="AX112" s="22">
        <v>460</v>
      </c>
      <c r="AY112" s="22">
        <v>445</v>
      </c>
      <c r="AZ112" s="22">
        <v>426</v>
      </c>
      <c r="BA112" s="22">
        <v>466</v>
      </c>
      <c r="BB112" s="22">
        <v>564</v>
      </c>
      <c r="BC112" s="22">
        <v>576</v>
      </c>
      <c r="BD112" s="22">
        <v>558</v>
      </c>
      <c r="BE112" s="22">
        <v>557</v>
      </c>
      <c r="BF112" s="22">
        <v>564</v>
      </c>
      <c r="BG112" s="22">
        <v>593</v>
      </c>
      <c r="BH112" s="22">
        <v>585</v>
      </c>
      <c r="BI112" s="22">
        <v>582</v>
      </c>
      <c r="BJ112" s="22">
        <v>570</v>
      </c>
      <c r="BK112" s="22">
        <v>557</v>
      </c>
      <c r="BL112" s="22">
        <v>561</v>
      </c>
    </row>
    <row r="113" spans="1:64" ht="15.95" customHeight="1">
      <c r="A113" s="81" t="s">
        <v>370</v>
      </c>
      <c r="B113" s="17" t="s">
        <v>174</v>
      </c>
      <c r="C113" s="26">
        <f>_xll.RssMarket("9449","始値")</f>
        <v>3100</v>
      </c>
      <c r="D113" s="25">
        <f t="shared" si="1"/>
        <v>0</v>
      </c>
      <c r="E113" s="22">
        <v>3100</v>
      </c>
      <c r="F113" s="22">
        <v>3101</v>
      </c>
      <c r="G113" s="22">
        <v>3120</v>
      </c>
      <c r="H113" s="76">
        <v>3090</v>
      </c>
      <c r="I113" s="22">
        <v>3161</v>
      </c>
      <c r="J113" s="22">
        <v>3198</v>
      </c>
      <c r="K113" s="22">
        <v>3160</v>
      </c>
      <c r="L113" s="22">
        <v>3249</v>
      </c>
      <c r="M113" s="22">
        <v>3237</v>
      </c>
      <c r="N113" s="22">
        <v>3243</v>
      </c>
      <c r="O113" s="22">
        <v>3358</v>
      </c>
      <c r="P113" s="22">
        <v>3330</v>
      </c>
      <c r="Q113" s="22">
        <v>3300</v>
      </c>
      <c r="R113" s="22">
        <v>3400</v>
      </c>
      <c r="S113" s="22">
        <v>3425</v>
      </c>
      <c r="T113" s="22">
        <v>3307</v>
      </c>
      <c r="U113" s="22">
        <v>3300</v>
      </c>
      <c r="V113" s="22">
        <v>3350</v>
      </c>
      <c r="W113" s="22">
        <v>3330</v>
      </c>
      <c r="X113" s="22">
        <v>3345</v>
      </c>
      <c r="Y113" s="22">
        <v>3129</v>
      </c>
      <c r="Z113" s="22">
        <v>3172</v>
      </c>
      <c r="AA113" s="22">
        <v>3144</v>
      </c>
      <c r="AB113" s="22">
        <v>3220</v>
      </c>
      <c r="AC113" s="22">
        <v>3195</v>
      </c>
      <c r="AD113" s="22">
        <v>3080</v>
      </c>
      <c r="AE113" s="22">
        <v>3096</v>
      </c>
      <c r="AF113" s="22">
        <v>3065</v>
      </c>
      <c r="AG113" s="22">
        <v>3066</v>
      </c>
      <c r="AH113" s="22">
        <v>3117</v>
      </c>
      <c r="AI113" s="22">
        <v>3129</v>
      </c>
      <c r="AJ113" s="22">
        <v>3116</v>
      </c>
      <c r="AK113" s="22">
        <v>3230</v>
      </c>
      <c r="AL113" s="22">
        <v>3323</v>
      </c>
      <c r="AM113" s="22">
        <v>3270</v>
      </c>
      <c r="AN113" s="22">
        <v>3287</v>
      </c>
      <c r="AO113" s="22">
        <v>3232</v>
      </c>
      <c r="AP113" s="22">
        <v>3187</v>
      </c>
      <c r="AQ113" s="22">
        <v>3049</v>
      </c>
      <c r="AR113" s="22">
        <v>3043</v>
      </c>
      <c r="AS113" s="22">
        <v>2934.5</v>
      </c>
      <c r="AT113" s="22">
        <v>3026</v>
      </c>
      <c r="AU113" s="22">
        <v>3111</v>
      </c>
      <c r="AV113" s="22">
        <v>3112</v>
      </c>
      <c r="AW113" s="22">
        <v>3048</v>
      </c>
      <c r="AX113" s="22">
        <v>3001</v>
      </c>
      <c r="AY113" s="22">
        <v>2982.5</v>
      </c>
      <c r="AZ113" s="22">
        <v>2987.5</v>
      </c>
      <c r="BA113" s="22">
        <v>2939</v>
      </c>
      <c r="BB113" s="22">
        <v>2814.5</v>
      </c>
      <c r="BC113" s="22">
        <v>2767.5</v>
      </c>
      <c r="BD113" s="22">
        <v>2834</v>
      </c>
      <c r="BE113" s="22">
        <v>2858.5</v>
      </c>
      <c r="BF113" s="22">
        <v>2825</v>
      </c>
      <c r="BG113" s="22">
        <v>2825.5</v>
      </c>
      <c r="BH113" s="22">
        <v>2777.5</v>
      </c>
      <c r="BI113" s="22">
        <v>2851</v>
      </c>
      <c r="BJ113" s="22">
        <v>2854</v>
      </c>
      <c r="BK113" s="22">
        <v>2840</v>
      </c>
      <c r="BL113" s="22">
        <v>2827.5</v>
      </c>
    </row>
    <row r="114" spans="1:64" ht="15.95" customHeight="1">
      <c r="A114" s="81" t="s">
        <v>371</v>
      </c>
      <c r="B114" s="17" t="s">
        <v>175</v>
      </c>
      <c r="C114" s="26">
        <f>_xll.RssMarket("9501","始値")</f>
        <v>523.20000000000005</v>
      </c>
      <c r="D114" s="25">
        <f t="shared" si="1"/>
        <v>0</v>
      </c>
      <c r="E114" s="22">
        <v>523.20000000000005</v>
      </c>
      <c r="F114" s="22">
        <v>530</v>
      </c>
      <c r="G114" s="22">
        <v>529.29999999999995</v>
      </c>
      <c r="H114" s="76">
        <v>501.9</v>
      </c>
      <c r="I114" s="22">
        <v>507.8</v>
      </c>
      <c r="J114" s="22">
        <v>519.9</v>
      </c>
      <c r="K114" s="22">
        <v>518.4</v>
      </c>
      <c r="L114" s="22">
        <v>544.5</v>
      </c>
      <c r="M114" s="22">
        <v>570.1</v>
      </c>
      <c r="N114" s="22">
        <v>567.79999999999995</v>
      </c>
      <c r="O114" s="22">
        <v>550.1</v>
      </c>
      <c r="P114" s="22">
        <v>558.9</v>
      </c>
      <c r="Q114" s="22">
        <v>568</v>
      </c>
      <c r="R114" s="22">
        <v>578.4</v>
      </c>
      <c r="S114" s="22">
        <v>558.5</v>
      </c>
      <c r="T114" s="22">
        <v>565</v>
      </c>
      <c r="U114" s="22">
        <v>557.6</v>
      </c>
      <c r="V114" s="22">
        <v>572.9</v>
      </c>
      <c r="W114" s="22">
        <v>574.29999999999995</v>
      </c>
      <c r="X114" s="22">
        <v>593</v>
      </c>
      <c r="Y114" s="22">
        <v>606.1</v>
      </c>
      <c r="Z114" s="22">
        <v>611</v>
      </c>
      <c r="AA114" s="22">
        <v>638</v>
      </c>
      <c r="AB114" s="22">
        <v>653.20000000000005</v>
      </c>
      <c r="AC114" s="22">
        <v>633.1</v>
      </c>
      <c r="AD114" s="22">
        <v>627</v>
      </c>
      <c r="AE114" s="22">
        <v>615</v>
      </c>
      <c r="AF114" s="22">
        <v>595</v>
      </c>
      <c r="AG114" s="22">
        <v>597</v>
      </c>
      <c r="AH114" s="22">
        <v>584.5</v>
      </c>
      <c r="AI114" s="22">
        <v>581</v>
      </c>
      <c r="AJ114" s="22">
        <v>585</v>
      </c>
      <c r="AK114" s="22">
        <v>623</v>
      </c>
      <c r="AL114" s="22">
        <v>600</v>
      </c>
      <c r="AM114" s="22">
        <v>612</v>
      </c>
      <c r="AN114" s="22">
        <v>619.70000000000005</v>
      </c>
      <c r="AO114" s="22">
        <v>638.70000000000005</v>
      </c>
      <c r="AP114" s="22">
        <v>630.4</v>
      </c>
      <c r="AQ114" s="22">
        <v>652.29999999999995</v>
      </c>
      <c r="AR114" s="22">
        <v>652.9</v>
      </c>
      <c r="AS114" s="22">
        <v>659.8</v>
      </c>
      <c r="AT114" s="22">
        <v>684.6</v>
      </c>
      <c r="AU114" s="22">
        <v>643.70000000000005</v>
      </c>
      <c r="AV114" s="22">
        <v>650</v>
      </c>
      <c r="AW114" s="22">
        <v>635</v>
      </c>
      <c r="AX114" s="22">
        <v>651</v>
      </c>
      <c r="AY114" s="22">
        <v>655</v>
      </c>
      <c r="AZ114" s="22">
        <v>662.8</v>
      </c>
      <c r="BA114" s="22">
        <v>651.6</v>
      </c>
      <c r="BB114" s="22">
        <v>638</v>
      </c>
      <c r="BC114" s="22">
        <v>615.20000000000005</v>
      </c>
      <c r="BD114" s="22">
        <v>625.20000000000005</v>
      </c>
      <c r="BE114" s="22">
        <v>636</v>
      </c>
      <c r="BF114" s="22">
        <v>646.29999999999995</v>
      </c>
      <c r="BG114" s="22">
        <v>627.29999999999995</v>
      </c>
      <c r="BH114" s="22">
        <v>634.70000000000005</v>
      </c>
      <c r="BI114" s="22">
        <v>690.2</v>
      </c>
      <c r="BJ114" s="22">
        <v>640.5</v>
      </c>
      <c r="BK114" s="22">
        <v>619.4</v>
      </c>
      <c r="BL114" s="22">
        <v>628</v>
      </c>
    </row>
    <row r="115" spans="1:64" ht="15.95" customHeight="1">
      <c r="A115" s="81" t="s">
        <v>372</v>
      </c>
      <c r="B115" s="17" t="s">
        <v>176</v>
      </c>
      <c r="C115" s="26">
        <f>_xll.RssMarket("9531","始値")</f>
        <v>6300</v>
      </c>
      <c r="D115" s="25">
        <f t="shared" si="1"/>
        <v>0</v>
      </c>
      <c r="E115" s="22">
        <v>6300</v>
      </c>
      <c r="F115" s="22">
        <v>6261</v>
      </c>
      <c r="G115" s="22">
        <v>6303</v>
      </c>
      <c r="H115" s="76">
        <v>6452</v>
      </c>
      <c r="I115" s="22">
        <v>6340</v>
      </c>
      <c r="J115" s="22">
        <v>6428</v>
      </c>
      <c r="K115" s="22">
        <v>6116</v>
      </c>
      <c r="L115" s="22">
        <v>6219</v>
      </c>
      <c r="M115" s="22">
        <v>6292</v>
      </c>
      <c r="N115" s="22">
        <v>6320</v>
      </c>
      <c r="O115" s="22">
        <v>6098</v>
      </c>
      <c r="P115" s="22">
        <v>6214</v>
      </c>
      <c r="Q115" s="22">
        <v>6428</v>
      </c>
      <c r="R115" s="22">
        <v>6500</v>
      </c>
      <c r="S115" s="22">
        <v>6529</v>
      </c>
      <c r="T115" s="22">
        <v>6698</v>
      </c>
      <c r="U115" s="22">
        <v>6695</v>
      </c>
      <c r="V115" s="22">
        <v>6799</v>
      </c>
      <c r="W115" s="22">
        <v>6690</v>
      </c>
      <c r="X115" s="22">
        <v>6783</v>
      </c>
      <c r="Y115" s="22">
        <v>6624</v>
      </c>
      <c r="Z115" s="22">
        <v>6581</v>
      </c>
      <c r="AA115" s="22">
        <v>6670</v>
      </c>
      <c r="AB115" s="22">
        <v>6725</v>
      </c>
      <c r="AC115" s="22">
        <v>6600</v>
      </c>
      <c r="AD115" s="22">
        <v>6786</v>
      </c>
      <c r="AE115" s="22">
        <v>6630</v>
      </c>
      <c r="AF115" s="22">
        <v>6747</v>
      </c>
      <c r="AG115" s="22">
        <v>6637</v>
      </c>
      <c r="AH115" s="22">
        <v>6600</v>
      </c>
      <c r="AI115" s="22">
        <v>6410</v>
      </c>
      <c r="AJ115" s="22">
        <v>6500</v>
      </c>
      <c r="AK115" s="22">
        <v>6441</v>
      </c>
      <c r="AL115" s="22">
        <v>6550</v>
      </c>
      <c r="AM115" s="22">
        <v>6635</v>
      </c>
      <c r="AN115" s="22">
        <v>6884</v>
      </c>
      <c r="AO115" s="22">
        <v>7087</v>
      </c>
      <c r="AP115" s="22">
        <v>7000</v>
      </c>
      <c r="AQ115" s="22">
        <v>7049</v>
      </c>
      <c r="AR115" s="22">
        <v>7055</v>
      </c>
      <c r="AS115" s="22">
        <v>7176</v>
      </c>
      <c r="AT115" s="22">
        <v>7375</v>
      </c>
      <c r="AU115" s="22">
        <v>7349</v>
      </c>
      <c r="AV115" s="22">
        <v>7519</v>
      </c>
      <c r="AW115" s="22">
        <v>7247</v>
      </c>
      <c r="AX115" s="22">
        <v>7357</v>
      </c>
      <c r="AY115" s="22">
        <v>7302</v>
      </c>
      <c r="AZ115" s="22">
        <v>7600</v>
      </c>
      <c r="BA115" s="22">
        <v>7614</v>
      </c>
      <c r="BB115" s="22">
        <v>7624</v>
      </c>
      <c r="BC115" s="22">
        <v>7585</v>
      </c>
      <c r="BD115" s="22">
        <v>7600</v>
      </c>
      <c r="BE115" s="22">
        <v>7550</v>
      </c>
      <c r="BF115" s="22">
        <v>7513</v>
      </c>
      <c r="BG115" s="22">
        <v>7147</v>
      </c>
      <c r="BH115" s="22">
        <v>7104</v>
      </c>
      <c r="BI115" s="22">
        <v>7600</v>
      </c>
      <c r="BJ115" s="22">
        <v>7482</v>
      </c>
      <c r="BK115" s="22">
        <v>7430</v>
      </c>
      <c r="BL115" s="22">
        <v>7619</v>
      </c>
    </row>
    <row r="116" spans="1:64" ht="15.95" customHeight="1">
      <c r="A116" s="81" t="s">
        <v>373</v>
      </c>
      <c r="B116" s="17" t="s">
        <v>177</v>
      </c>
      <c r="C116" s="26">
        <f>_xll.RssMarket("9882","始値")</f>
        <v>1743</v>
      </c>
      <c r="D116" s="25">
        <f t="shared" si="1"/>
        <v>0</v>
      </c>
      <c r="E116" s="22">
        <v>1743</v>
      </c>
      <c r="F116" s="22">
        <v>1728</v>
      </c>
      <c r="G116" s="22">
        <v>1745</v>
      </c>
      <c r="H116" s="76">
        <v>1725</v>
      </c>
      <c r="I116" s="22">
        <v>1719</v>
      </c>
      <c r="J116" s="22">
        <v>1700</v>
      </c>
      <c r="K116" s="22">
        <v>1663</v>
      </c>
      <c r="L116" s="22">
        <v>1666</v>
      </c>
      <c r="M116" s="22">
        <v>1680</v>
      </c>
      <c r="N116" s="22">
        <v>1630</v>
      </c>
      <c r="O116" s="22">
        <v>1612</v>
      </c>
      <c r="P116" s="22">
        <v>1627</v>
      </c>
      <c r="Q116" s="22">
        <v>1628</v>
      </c>
      <c r="R116" s="22">
        <v>1625</v>
      </c>
      <c r="S116" s="22">
        <v>1624</v>
      </c>
      <c r="T116" s="22">
        <v>1629</v>
      </c>
      <c r="U116" s="22">
        <v>1622</v>
      </c>
      <c r="V116" s="22">
        <v>1637</v>
      </c>
      <c r="W116" s="22">
        <v>1625</v>
      </c>
      <c r="X116" s="22">
        <v>1640</v>
      </c>
      <c r="Y116" s="22">
        <v>1598</v>
      </c>
      <c r="Z116" s="22">
        <v>1620</v>
      </c>
      <c r="AA116" s="22">
        <v>1630</v>
      </c>
      <c r="AB116" s="22">
        <v>1649</v>
      </c>
      <c r="AC116" s="22">
        <v>1647</v>
      </c>
      <c r="AD116" s="22">
        <v>1510</v>
      </c>
      <c r="AE116" s="22">
        <v>1511</v>
      </c>
      <c r="AF116" s="22">
        <v>1504</v>
      </c>
      <c r="AG116" s="22">
        <v>1511</v>
      </c>
      <c r="AH116" s="22">
        <v>1510</v>
      </c>
      <c r="AI116" s="22">
        <v>1515</v>
      </c>
      <c r="AJ116" s="22">
        <v>1530</v>
      </c>
      <c r="AK116" s="22">
        <v>1565</v>
      </c>
      <c r="AL116" s="22">
        <v>1573</v>
      </c>
      <c r="AM116" s="22">
        <v>1575</v>
      </c>
      <c r="AN116" s="22">
        <v>1554</v>
      </c>
      <c r="AO116" s="22">
        <v>1557</v>
      </c>
      <c r="AP116" s="22">
        <v>1573</v>
      </c>
      <c r="AQ116" s="22">
        <v>1573</v>
      </c>
      <c r="AR116" s="22">
        <v>1577</v>
      </c>
      <c r="AS116" s="22">
        <v>1600</v>
      </c>
      <c r="AT116" s="22">
        <v>1627</v>
      </c>
      <c r="AU116" s="22">
        <v>1633</v>
      </c>
      <c r="AV116" s="22">
        <v>1585</v>
      </c>
      <c r="AW116" s="22">
        <v>1553</v>
      </c>
      <c r="AX116" s="22">
        <v>1550</v>
      </c>
      <c r="AY116" s="22">
        <v>1562</v>
      </c>
      <c r="AZ116" s="22">
        <v>1569</v>
      </c>
      <c r="BA116" s="22">
        <v>1555</v>
      </c>
      <c r="BB116" s="22">
        <v>1512</v>
      </c>
      <c r="BC116" s="22">
        <v>1587</v>
      </c>
      <c r="BD116" s="22">
        <v>1587</v>
      </c>
      <c r="BE116" s="22">
        <v>1580</v>
      </c>
      <c r="BF116" s="22">
        <v>1550</v>
      </c>
      <c r="BG116" s="22">
        <v>1520</v>
      </c>
      <c r="BH116" s="22">
        <v>1589</v>
      </c>
      <c r="BI116" s="22">
        <v>1585</v>
      </c>
      <c r="BJ116" s="22">
        <v>1578</v>
      </c>
      <c r="BK116" s="22">
        <v>1590</v>
      </c>
      <c r="BL116" s="22">
        <v>1599</v>
      </c>
    </row>
    <row r="117" spans="1:64" ht="15.95" customHeight="1">
      <c r="A117" s="81" t="s">
        <v>374</v>
      </c>
      <c r="B117" s="17" t="s">
        <v>178</v>
      </c>
      <c r="C117" s="26">
        <f>_xll.RssMarket("5838","始値")</f>
        <v>5250</v>
      </c>
      <c r="D117" s="25">
        <f t="shared" si="1"/>
        <v>0</v>
      </c>
      <c r="E117" s="22">
        <v>5250</v>
      </c>
      <c r="F117" s="22">
        <v>5179</v>
      </c>
      <c r="G117" s="22">
        <v>5300</v>
      </c>
      <c r="H117" s="76">
        <v>5104</v>
      </c>
      <c r="I117" s="22">
        <v>4951</v>
      </c>
      <c r="J117" s="22">
        <v>5113</v>
      </c>
      <c r="K117" s="22">
        <v>4971</v>
      </c>
      <c r="L117" s="22">
        <v>5078</v>
      </c>
      <c r="M117" s="22">
        <v>4801</v>
      </c>
      <c r="N117" s="22">
        <v>4501</v>
      </c>
      <c r="O117" s="22">
        <v>4508</v>
      </c>
      <c r="P117" s="22">
        <v>4840</v>
      </c>
      <c r="Q117" s="22">
        <v>4845</v>
      </c>
      <c r="R117" s="22">
        <v>4926</v>
      </c>
      <c r="S117" s="22">
        <v>4848</v>
      </c>
      <c r="T117" s="22">
        <v>5280</v>
      </c>
      <c r="U117" s="22">
        <v>5636</v>
      </c>
      <c r="V117" s="22">
        <v>6730</v>
      </c>
      <c r="W117" s="22">
        <v>6691</v>
      </c>
      <c r="X117" s="22">
        <v>6300</v>
      </c>
      <c r="Y117" s="22">
        <v>6034</v>
      </c>
      <c r="Z117" s="22">
        <v>6097</v>
      </c>
      <c r="AA117" s="22">
        <v>6000</v>
      </c>
      <c r="AB117" s="22">
        <v>6268</v>
      </c>
      <c r="AC117" s="22">
        <v>6323</v>
      </c>
      <c r="AD117" s="22">
        <v>6175</v>
      </c>
      <c r="AE117" s="22">
        <v>6331</v>
      </c>
      <c r="AF117" s="22">
        <v>6220</v>
      </c>
      <c r="AG117" s="22">
        <v>6299</v>
      </c>
      <c r="AH117" s="22">
        <v>6180</v>
      </c>
      <c r="AI117" s="22">
        <v>6070</v>
      </c>
      <c r="AJ117" s="22">
        <v>6206</v>
      </c>
      <c r="AK117" s="22">
        <v>6102</v>
      </c>
      <c r="AL117" s="22">
        <v>6302</v>
      </c>
      <c r="AM117" s="22">
        <v>6451</v>
      </c>
      <c r="AN117" s="22">
        <v>6513</v>
      </c>
      <c r="AO117" s="22">
        <v>6670</v>
      </c>
      <c r="AP117" s="22">
        <v>6760</v>
      </c>
      <c r="AQ117" s="22">
        <v>6800</v>
      </c>
      <c r="AR117" s="22">
        <v>6875</v>
      </c>
      <c r="AS117" s="22">
        <v>6714</v>
      </c>
      <c r="AT117" s="22">
        <v>6755</v>
      </c>
      <c r="AU117" s="22">
        <v>6545</v>
      </c>
      <c r="AV117" s="22">
        <v>6400</v>
      </c>
      <c r="AW117" s="22">
        <v>6129</v>
      </c>
      <c r="AX117" s="22">
        <v>6074</v>
      </c>
      <c r="AY117" s="22">
        <v>6050</v>
      </c>
      <c r="AZ117" s="22">
        <v>6176</v>
      </c>
      <c r="BA117" s="22">
        <v>5850</v>
      </c>
      <c r="BB117" s="22">
        <v>5709</v>
      </c>
      <c r="BC117" s="22">
        <v>5915</v>
      </c>
      <c r="BD117" s="22">
        <v>5999</v>
      </c>
      <c r="BE117" s="22">
        <v>6210</v>
      </c>
      <c r="BF117" s="22">
        <v>6280</v>
      </c>
      <c r="BG117" s="22">
        <v>6179</v>
      </c>
      <c r="BH117" s="22">
        <v>6078</v>
      </c>
      <c r="BI117" s="22">
        <v>6180</v>
      </c>
      <c r="BJ117" s="22">
        <v>6242</v>
      </c>
      <c r="BK117" s="22">
        <v>6100</v>
      </c>
      <c r="BL117" s="22">
        <v>6100</v>
      </c>
    </row>
    <row r="118" spans="1:64" ht="15.95" customHeight="1">
      <c r="A118" s="81" t="s">
        <v>375</v>
      </c>
      <c r="B118" s="17" t="s">
        <v>179</v>
      </c>
      <c r="C118" s="26">
        <f>_xll.RssMarket("5844","始値")</f>
        <v>4726</v>
      </c>
      <c r="D118" s="25">
        <f t="shared" si="1"/>
        <v>0</v>
      </c>
      <c r="E118" s="22">
        <v>4726</v>
      </c>
      <c r="F118" s="22">
        <v>4468</v>
      </c>
      <c r="G118" s="22">
        <v>4529</v>
      </c>
      <c r="H118" s="76">
        <v>4499</v>
      </c>
      <c r="I118" s="22">
        <v>4480</v>
      </c>
      <c r="J118" s="22">
        <v>4680</v>
      </c>
      <c r="K118" s="22">
        <v>4575</v>
      </c>
      <c r="L118" s="22">
        <v>4600</v>
      </c>
      <c r="M118" s="22">
        <v>4277</v>
      </c>
      <c r="N118" s="22">
        <v>4384</v>
      </c>
      <c r="O118" s="22">
        <v>4278</v>
      </c>
      <c r="P118" s="22">
        <v>4403</v>
      </c>
      <c r="Q118" s="22">
        <v>4504</v>
      </c>
      <c r="R118" s="22">
        <v>4502</v>
      </c>
      <c r="S118" s="22">
        <v>4549</v>
      </c>
      <c r="T118" s="22">
        <v>4498</v>
      </c>
      <c r="U118" s="22">
        <v>4450</v>
      </c>
      <c r="V118" s="22">
        <v>4465</v>
      </c>
      <c r="W118" s="22">
        <v>4406</v>
      </c>
      <c r="X118" s="22">
        <v>4420</v>
      </c>
      <c r="Y118" s="22">
        <v>4231</v>
      </c>
      <c r="Z118" s="22">
        <v>4483</v>
      </c>
      <c r="AA118" s="22">
        <v>4410</v>
      </c>
      <c r="AB118" s="22">
        <v>4447</v>
      </c>
      <c r="AC118" s="22">
        <v>4403</v>
      </c>
      <c r="AD118" s="22">
        <v>4391</v>
      </c>
      <c r="AE118" s="22">
        <v>4443</v>
      </c>
      <c r="AF118" s="22">
        <v>4336</v>
      </c>
      <c r="AG118" s="22">
        <v>4319</v>
      </c>
      <c r="AH118" s="22">
        <v>4261</v>
      </c>
      <c r="AI118" s="22">
        <v>4176</v>
      </c>
      <c r="AJ118" s="22">
        <v>4230</v>
      </c>
      <c r="AK118" s="22">
        <v>4188</v>
      </c>
      <c r="AL118" s="22">
        <v>4350</v>
      </c>
      <c r="AM118" s="22">
        <v>4364</v>
      </c>
      <c r="AN118" s="22">
        <v>4450</v>
      </c>
      <c r="AO118" s="22">
        <v>4395</v>
      </c>
      <c r="AP118" s="22">
        <v>4395</v>
      </c>
      <c r="AQ118" s="22">
        <v>4350</v>
      </c>
      <c r="AR118" s="22">
        <v>4395</v>
      </c>
      <c r="AS118" s="22">
        <v>4300</v>
      </c>
      <c r="AT118" s="22">
        <v>4430</v>
      </c>
      <c r="AU118" s="22">
        <v>4495</v>
      </c>
      <c r="AV118" s="22">
        <v>4550</v>
      </c>
      <c r="AW118" s="22">
        <v>4445</v>
      </c>
      <c r="AX118" s="22">
        <v>4381</v>
      </c>
      <c r="AY118" s="22">
        <v>4318</v>
      </c>
      <c r="AZ118" s="22">
        <v>4399</v>
      </c>
      <c r="BA118" s="22">
        <v>4242</v>
      </c>
      <c r="BB118" s="22">
        <v>4177</v>
      </c>
      <c r="BC118" s="22">
        <v>4184</v>
      </c>
      <c r="BD118" s="22">
        <v>4377</v>
      </c>
      <c r="BE118" s="22">
        <v>4415</v>
      </c>
      <c r="BF118" s="22">
        <v>4359</v>
      </c>
      <c r="BG118" s="22">
        <v>4420</v>
      </c>
      <c r="BH118" s="22">
        <v>4340</v>
      </c>
      <c r="BI118" s="22">
        <v>4341</v>
      </c>
      <c r="BJ118" s="22">
        <v>4330</v>
      </c>
      <c r="BK118" s="22">
        <v>4400</v>
      </c>
      <c r="BL118" s="22">
        <v>4472</v>
      </c>
    </row>
    <row r="119" spans="1:64" ht="15.95" customHeight="1">
      <c r="A119" s="81" t="s">
        <v>376</v>
      </c>
      <c r="B119" s="17" t="s">
        <v>180</v>
      </c>
      <c r="C119" s="26">
        <f>_xll.RssMarket("9404","始値")</f>
        <v>2897.5</v>
      </c>
      <c r="D119" s="25">
        <f t="shared" si="1"/>
        <v>0</v>
      </c>
      <c r="E119" s="22">
        <v>2897.5</v>
      </c>
      <c r="F119" s="22">
        <v>2817.5</v>
      </c>
      <c r="G119" s="22">
        <v>2846</v>
      </c>
      <c r="H119" s="76">
        <v>2858</v>
      </c>
      <c r="I119" s="22">
        <v>2898.5</v>
      </c>
      <c r="J119" s="22">
        <v>2893</v>
      </c>
      <c r="K119" s="22">
        <v>2828.5</v>
      </c>
      <c r="L119" s="22">
        <v>2840</v>
      </c>
      <c r="M119" s="22">
        <v>2777</v>
      </c>
      <c r="N119" s="22">
        <v>2768</v>
      </c>
      <c r="O119" s="22">
        <v>2820</v>
      </c>
      <c r="P119" s="22">
        <v>2850</v>
      </c>
      <c r="Q119" s="22">
        <v>2874.5</v>
      </c>
      <c r="R119" s="22">
        <v>2847</v>
      </c>
      <c r="S119" s="22">
        <v>2904.5</v>
      </c>
      <c r="T119" s="22">
        <v>2933.5</v>
      </c>
      <c r="U119" s="22">
        <v>2920</v>
      </c>
      <c r="V119" s="22">
        <v>2931.5</v>
      </c>
      <c r="W119" s="22">
        <v>2902.5</v>
      </c>
      <c r="X119" s="22">
        <v>2922</v>
      </c>
      <c r="Y119" s="22">
        <v>2790</v>
      </c>
      <c r="Z119" s="22">
        <v>2900</v>
      </c>
      <c r="AA119" s="22">
        <v>2947.5</v>
      </c>
      <c r="AB119" s="22">
        <v>2935</v>
      </c>
      <c r="AC119" s="22">
        <v>2966</v>
      </c>
      <c r="AD119" s="22">
        <v>3015</v>
      </c>
      <c r="AE119" s="22">
        <v>2986</v>
      </c>
      <c r="AF119" s="22">
        <v>2950</v>
      </c>
      <c r="AG119" s="22">
        <v>2985.5</v>
      </c>
      <c r="AH119" s="22">
        <v>3041</v>
      </c>
      <c r="AI119" s="22">
        <v>2981</v>
      </c>
      <c r="AJ119" s="22">
        <v>2960</v>
      </c>
      <c r="AK119" s="22">
        <v>3050</v>
      </c>
      <c r="AL119" s="22">
        <v>3145</v>
      </c>
      <c r="AM119" s="22">
        <v>3177</v>
      </c>
      <c r="AN119" s="22">
        <v>3200</v>
      </c>
      <c r="AO119" s="22">
        <v>3171</v>
      </c>
      <c r="AP119" s="22">
        <v>3195</v>
      </c>
      <c r="AQ119" s="22">
        <v>3169</v>
      </c>
      <c r="AR119" s="22">
        <v>3173</v>
      </c>
      <c r="AS119" s="22">
        <v>3100</v>
      </c>
      <c r="AT119" s="22">
        <v>3143</v>
      </c>
      <c r="AU119" s="22">
        <v>3164</v>
      </c>
      <c r="AV119" s="22">
        <v>3162</v>
      </c>
      <c r="AW119" s="22">
        <v>3123</v>
      </c>
      <c r="AX119" s="22">
        <v>3095</v>
      </c>
      <c r="AY119" s="22">
        <v>3105</v>
      </c>
      <c r="AZ119" s="22">
        <v>3213</v>
      </c>
      <c r="BA119" s="22">
        <v>3226</v>
      </c>
      <c r="BB119" s="22">
        <v>3204</v>
      </c>
      <c r="BC119" s="22">
        <v>3119</v>
      </c>
      <c r="BD119" s="22">
        <v>3225</v>
      </c>
      <c r="BE119" s="22">
        <v>3201</v>
      </c>
      <c r="BF119" s="22">
        <v>3204</v>
      </c>
      <c r="BG119" s="22">
        <v>3163</v>
      </c>
      <c r="BH119" s="22">
        <v>3130</v>
      </c>
      <c r="BI119" s="22">
        <v>3145</v>
      </c>
      <c r="BJ119" s="22">
        <v>3166</v>
      </c>
      <c r="BK119" s="22">
        <v>3171</v>
      </c>
      <c r="BL119" s="22">
        <v>3232</v>
      </c>
    </row>
    <row r="120" spans="1:64" ht="15.95" customHeight="1">
      <c r="A120" s="81" t="s">
        <v>377</v>
      </c>
      <c r="B120" s="17" t="s">
        <v>181</v>
      </c>
      <c r="C120" s="26">
        <f>_xll.RssMarket("6744","始値")</f>
        <v>4200</v>
      </c>
      <c r="D120" s="25">
        <f t="shared" si="1"/>
        <v>0</v>
      </c>
      <c r="E120" s="22">
        <v>4200</v>
      </c>
      <c r="F120" s="22">
        <v>4225</v>
      </c>
      <c r="G120" s="22">
        <v>4300</v>
      </c>
      <c r="H120" s="76">
        <v>4240</v>
      </c>
      <c r="I120" s="22">
        <v>4280</v>
      </c>
      <c r="J120" s="22">
        <v>4340</v>
      </c>
      <c r="K120" s="22">
        <v>4360</v>
      </c>
      <c r="L120" s="22">
        <v>4500</v>
      </c>
      <c r="M120" s="22">
        <v>4705</v>
      </c>
      <c r="N120" s="22">
        <v>4630</v>
      </c>
      <c r="O120" s="22">
        <v>4810</v>
      </c>
      <c r="P120" s="22">
        <v>4710</v>
      </c>
      <c r="Q120" s="22">
        <v>4940</v>
      </c>
      <c r="R120" s="22">
        <v>4785</v>
      </c>
      <c r="S120" s="22">
        <v>4650</v>
      </c>
      <c r="T120" s="22">
        <v>4595</v>
      </c>
      <c r="U120" s="22">
        <v>4615</v>
      </c>
      <c r="V120" s="22">
        <v>4800</v>
      </c>
      <c r="W120" s="22">
        <v>4660</v>
      </c>
      <c r="X120" s="22">
        <v>4350</v>
      </c>
      <c r="Y120" s="22">
        <v>4385</v>
      </c>
      <c r="Z120" s="22">
        <v>4310</v>
      </c>
      <c r="AA120" s="22">
        <v>4460</v>
      </c>
      <c r="AB120" s="22">
        <v>4315</v>
      </c>
      <c r="AC120" s="22">
        <v>4345</v>
      </c>
      <c r="AD120" s="22">
        <v>4125</v>
      </c>
      <c r="AE120" s="22">
        <v>4035</v>
      </c>
      <c r="AF120" s="22">
        <v>3975</v>
      </c>
      <c r="AG120" s="22">
        <v>3905</v>
      </c>
      <c r="AH120" s="22">
        <v>3965</v>
      </c>
      <c r="AI120" s="22">
        <v>4000</v>
      </c>
      <c r="AJ120" s="22">
        <v>4040</v>
      </c>
      <c r="AK120" s="22">
        <v>4100</v>
      </c>
      <c r="AL120" s="22">
        <v>4135</v>
      </c>
      <c r="AM120" s="22">
        <v>4205</v>
      </c>
      <c r="AN120" s="22">
        <v>4270</v>
      </c>
      <c r="AO120" s="22">
        <v>4435</v>
      </c>
      <c r="AP120" s="22">
        <v>4410</v>
      </c>
      <c r="AQ120" s="22">
        <v>4410</v>
      </c>
      <c r="AR120" s="22">
        <v>4390</v>
      </c>
      <c r="AS120" s="22">
        <v>4440</v>
      </c>
      <c r="AT120" s="22">
        <v>4400</v>
      </c>
      <c r="AU120" s="22">
        <v>4285</v>
      </c>
      <c r="AV120" s="22">
        <v>4230</v>
      </c>
      <c r="AW120" s="22">
        <v>4155</v>
      </c>
      <c r="AX120" s="22">
        <v>4300</v>
      </c>
      <c r="AY120" s="22">
        <v>4225</v>
      </c>
      <c r="AZ120" s="22">
        <v>4100</v>
      </c>
      <c r="BA120" s="22">
        <v>4100</v>
      </c>
      <c r="BB120" s="22">
        <v>4310</v>
      </c>
      <c r="BC120" s="22">
        <v>4385</v>
      </c>
      <c r="BD120" s="22">
        <v>4380</v>
      </c>
      <c r="BE120" s="22">
        <v>4290</v>
      </c>
      <c r="BF120" s="22">
        <v>4315</v>
      </c>
      <c r="BG120" s="22">
        <v>4450</v>
      </c>
      <c r="BH120" s="22">
        <v>4520</v>
      </c>
      <c r="BI120" s="22">
        <v>4570</v>
      </c>
      <c r="BJ120" s="22">
        <v>4500</v>
      </c>
      <c r="BK120" s="22">
        <v>4470</v>
      </c>
      <c r="BL120" s="22">
        <v>4590</v>
      </c>
    </row>
    <row r="121" spans="1:64" ht="15.95" customHeight="1">
      <c r="A121" s="81" t="s">
        <v>378</v>
      </c>
      <c r="B121" s="17" t="s">
        <v>182</v>
      </c>
      <c r="C121" s="26">
        <f>_xll.RssMarket("7685","始値")</f>
        <v>3505</v>
      </c>
      <c r="D121" s="25">
        <f t="shared" si="1"/>
        <v>0</v>
      </c>
      <c r="E121" s="22">
        <v>3505</v>
      </c>
      <c r="F121" s="22">
        <v>3675</v>
      </c>
      <c r="G121" s="22">
        <v>3760</v>
      </c>
      <c r="H121" s="76">
        <v>3820</v>
      </c>
      <c r="I121" s="22">
        <v>3750</v>
      </c>
      <c r="J121" s="22">
        <v>3720</v>
      </c>
      <c r="K121" s="22">
        <v>3600</v>
      </c>
      <c r="L121" s="22">
        <v>3725</v>
      </c>
      <c r="M121" s="22">
        <v>3865</v>
      </c>
      <c r="N121" s="22">
        <v>3945</v>
      </c>
      <c r="O121" s="22">
        <v>4065</v>
      </c>
      <c r="P121" s="22">
        <v>4030</v>
      </c>
      <c r="Q121" s="22">
        <v>3920</v>
      </c>
      <c r="R121" s="22">
        <v>3855</v>
      </c>
      <c r="S121" s="22">
        <v>3825</v>
      </c>
      <c r="T121" s="22">
        <v>3650</v>
      </c>
      <c r="U121" s="22">
        <v>3700</v>
      </c>
      <c r="V121" s="22">
        <v>3795</v>
      </c>
      <c r="W121" s="22">
        <v>3340</v>
      </c>
      <c r="X121" s="22">
        <v>3450</v>
      </c>
      <c r="Y121" s="22">
        <v>3375</v>
      </c>
      <c r="Z121" s="22">
        <v>3330</v>
      </c>
      <c r="AA121" s="22">
        <v>3000</v>
      </c>
      <c r="AB121" s="22">
        <v>3280</v>
      </c>
      <c r="AC121" s="22">
        <v>3330</v>
      </c>
      <c r="AD121" s="22">
        <v>3240</v>
      </c>
      <c r="AE121" s="22">
        <v>3090</v>
      </c>
      <c r="AF121" s="22">
        <v>3280</v>
      </c>
      <c r="AG121" s="22">
        <v>3210</v>
      </c>
      <c r="AH121" s="22">
        <v>3100</v>
      </c>
      <c r="AI121" s="22">
        <v>3135</v>
      </c>
      <c r="AJ121" s="22">
        <v>3245</v>
      </c>
      <c r="AK121" s="22">
        <v>3295</v>
      </c>
      <c r="AL121" s="22">
        <v>3420</v>
      </c>
      <c r="AM121" s="22">
        <v>3390</v>
      </c>
      <c r="AN121" s="22">
        <v>3470</v>
      </c>
      <c r="AO121" s="22">
        <v>3625</v>
      </c>
      <c r="AP121" s="22">
        <v>3650</v>
      </c>
      <c r="AQ121" s="22">
        <v>3570</v>
      </c>
      <c r="AR121" s="22">
        <v>3560</v>
      </c>
      <c r="AS121" s="22">
        <v>3410</v>
      </c>
      <c r="AT121" s="22">
        <v>3470</v>
      </c>
      <c r="AU121" s="22">
        <v>3455</v>
      </c>
      <c r="AV121" s="22">
        <v>3405</v>
      </c>
      <c r="AW121" s="22">
        <v>3335</v>
      </c>
      <c r="AX121" s="22">
        <v>3135</v>
      </c>
      <c r="AY121" s="22">
        <v>3115</v>
      </c>
      <c r="AZ121" s="22">
        <v>3265</v>
      </c>
      <c r="BA121" s="22">
        <v>3060</v>
      </c>
      <c r="BB121" s="22">
        <v>3035</v>
      </c>
      <c r="BC121" s="22">
        <v>3015</v>
      </c>
      <c r="BD121" s="22">
        <v>3100</v>
      </c>
      <c r="BE121" s="22">
        <v>3145</v>
      </c>
      <c r="BF121" s="22">
        <v>3035</v>
      </c>
      <c r="BG121" s="22">
        <v>3125</v>
      </c>
      <c r="BH121" s="22">
        <v>3155</v>
      </c>
      <c r="BI121" s="22">
        <v>3395</v>
      </c>
      <c r="BJ121" s="22">
        <v>3415</v>
      </c>
      <c r="BK121" s="22">
        <v>3500</v>
      </c>
      <c r="BL121" s="22">
        <v>3290</v>
      </c>
    </row>
    <row r="122" spans="1:64" ht="15.95" customHeight="1">
      <c r="A122" s="81" t="s">
        <v>379</v>
      </c>
      <c r="B122" s="17" t="s">
        <v>183</v>
      </c>
      <c r="C122" s="26">
        <f>_xll.RssMarket("8334","始値")</f>
        <v>2360</v>
      </c>
      <c r="D122" s="25">
        <f t="shared" si="1"/>
        <v>0</v>
      </c>
      <c r="E122" s="22">
        <v>2360</v>
      </c>
      <c r="F122" s="22">
        <v>2326.5</v>
      </c>
      <c r="G122" s="22">
        <v>2393.5</v>
      </c>
      <c r="H122" s="76">
        <v>2352</v>
      </c>
      <c r="I122" s="22">
        <v>2317</v>
      </c>
      <c r="J122" s="22">
        <v>2377</v>
      </c>
      <c r="K122" s="22">
        <v>2246</v>
      </c>
      <c r="L122" s="22">
        <v>2300</v>
      </c>
      <c r="M122" s="22">
        <v>2178</v>
      </c>
      <c r="N122" s="22">
        <v>2199</v>
      </c>
      <c r="O122" s="22">
        <v>2147.5</v>
      </c>
      <c r="P122" s="22">
        <v>2218.5</v>
      </c>
      <c r="Q122" s="22">
        <v>2279.5</v>
      </c>
      <c r="R122" s="22">
        <v>2261</v>
      </c>
      <c r="S122" s="22">
        <v>2296</v>
      </c>
      <c r="T122" s="22">
        <v>2369.5</v>
      </c>
      <c r="U122" s="22">
        <v>2340</v>
      </c>
      <c r="V122" s="22">
        <v>2312</v>
      </c>
      <c r="W122" s="22">
        <v>2288</v>
      </c>
      <c r="X122" s="22">
        <v>2259.5</v>
      </c>
      <c r="Y122" s="22">
        <v>2179</v>
      </c>
      <c r="Z122" s="22">
        <v>2182.5</v>
      </c>
      <c r="AA122" s="22">
        <v>2169</v>
      </c>
      <c r="AB122" s="22">
        <v>2224</v>
      </c>
      <c r="AC122" s="22">
        <v>2194</v>
      </c>
      <c r="AD122" s="22">
        <v>2173</v>
      </c>
      <c r="AE122" s="22">
        <v>2247</v>
      </c>
      <c r="AF122" s="22">
        <v>2132</v>
      </c>
      <c r="AG122" s="22">
        <v>2199</v>
      </c>
      <c r="AH122" s="22">
        <v>2052</v>
      </c>
      <c r="AI122" s="22">
        <v>2002</v>
      </c>
      <c r="AJ122" s="22">
        <v>2050</v>
      </c>
      <c r="AK122" s="22">
        <v>2028</v>
      </c>
      <c r="AL122" s="22">
        <v>2133.5</v>
      </c>
      <c r="AM122" s="22">
        <v>2193</v>
      </c>
      <c r="AN122" s="22">
        <v>2255.5</v>
      </c>
      <c r="AO122" s="22">
        <v>2264.5</v>
      </c>
      <c r="AP122" s="22">
        <v>2295</v>
      </c>
      <c r="AQ122" s="22">
        <v>2266</v>
      </c>
      <c r="AR122" s="22">
        <v>2289</v>
      </c>
      <c r="AS122" s="22">
        <v>2250.5</v>
      </c>
      <c r="AT122" s="22">
        <v>2299</v>
      </c>
      <c r="AU122" s="22">
        <v>2294</v>
      </c>
      <c r="AV122" s="22">
        <v>2339.5</v>
      </c>
      <c r="AW122" s="22">
        <v>2222</v>
      </c>
      <c r="AX122" s="22">
        <v>2240</v>
      </c>
      <c r="AY122" s="22">
        <v>2228.5</v>
      </c>
      <c r="AZ122" s="22">
        <v>2268.5</v>
      </c>
      <c r="BA122" s="22">
        <v>2162.5</v>
      </c>
      <c r="BB122" s="22">
        <v>2147.5</v>
      </c>
      <c r="BC122" s="22">
        <v>2168</v>
      </c>
      <c r="BD122" s="22">
        <v>2180.5</v>
      </c>
      <c r="BE122" s="22">
        <v>2188.5</v>
      </c>
      <c r="BF122" s="22">
        <v>2185</v>
      </c>
      <c r="BG122" s="22">
        <v>2100</v>
      </c>
      <c r="BH122" s="22">
        <v>2037</v>
      </c>
      <c r="BI122" s="22">
        <v>2113.5</v>
      </c>
      <c r="BJ122" s="22">
        <v>2126.5</v>
      </c>
      <c r="BK122" s="22">
        <v>2105</v>
      </c>
      <c r="BL122" s="22">
        <v>2084.5</v>
      </c>
    </row>
    <row r="123" spans="1:64" ht="15.95" customHeight="1">
      <c r="A123" s="81" t="s">
        <v>380</v>
      </c>
      <c r="B123" s="17" t="s">
        <v>184</v>
      </c>
      <c r="C123" s="26">
        <f>_xll.RssMarket("8359","始値")</f>
        <v>2372</v>
      </c>
      <c r="D123" s="25">
        <f t="shared" si="1"/>
        <v>0</v>
      </c>
      <c r="E123" s="22">
        <v>2372</v>
      </c>
      <c r="F123" s="22">
        <v>2356.5</v>
      </c>
      <c r="G123" s="22">
        <v>2460</v>
      </c>
      <c r="H123" s="76">
        <v>2354.5</v>
      </c>
      <c r="I123" s="22">
        <v>2331</v>
      </c>
      <c r="J123" s="22">
        <v>2452</v>
      </c>
      <c r="K123" s="22">
        <v>2350</v>
      </c>
      <c r="L123" s="22">
        <v>2438</v>
      </c>
      <c r="M123" s="22">
        <v>2283.5</v>
      </c>
      <c r="N123" s="22">
        <v>2348</v>
      </c>
      <c r="O123" s="22">
        <v>2300</v>
      </c>
      <c r="P123" s="22">
        <v>2295</v>
      </c>
      <c r="Q123" s="22">
        <v>2295.5</v>
      </c>
      <c r="R123" s="22">
        <v>2300</v>
      </c>
      <c r="S123" s="22">
        <v>2363</v>
      </c>
      <c r="T123" s="22">
        <v>2370</v>
      </c>
      <c r="U123" s="22">
        <v>2341.5</v>
      </c>
      <c r="V123" s="22">
        <v>2300</v>
      </c>
      <c r="W123" s="22">
        <v>2230</v>
      </c>
      <c r="X123" s="22">
        <v>2358</v>
      </c>
      <c r="Y123" s="22">
        <v>2340</v>
      </c>
      <c r="Z123" s="22">
        <v>2355</v>
      </c>
      <c r="AA123" s="22">
        <v>2327.5</v>
      </c>
      <c r="AB123" s="22">
        <v>2308.5</v>
      </c>
      <c r="AC123" s="22">
        <v>2221</v>
      </c>
      <c r="AD123" s="22">
        <v>2228</v>
      </c>
      <c r="AE123" s="22">
        <v>2167</v>
      </c>
      <c r="AF123" s="22">
        <v>2104</v>
      </c>
      <c r="AG123" s="22">
        <v>2150.5</v>
      </c>
      <c r="AH123" s="22">
        <v>2059</v>
      </c>
      <c r="AI123" s="22">
        <v>1991</v>
      </c>
      <c r="AJ123" s="22">
        <v>2032</v>
      </c>
      <c r="AK123" s="22">
        <v>1997.5</v>
      </c>
      <c r="AL123" s="22">
        <v>2037.5</v>
      </c>
      <c r="AM123" s="22">
        <v>2094.5</v>
      </c>
      <c r="AN123" s="22">
        <v>2125</v>
      </c>
      <c r="AO123" s="22">
        <v>2111</v>
      </c>
      <c r="AP123" s="22">
        <v>2104</v>
      </c>
      <c r="AQ123" s="22">
        <v>2084.5</v>
      </c>
      <c r="AR123" s="22">
        <v>2088</v>
      </c>
      <c r="AS123" s="22">
        <v>2082</v>
      </c>
      <c r="AT123" s="22">
        <v>2123</v>
      </c>
      <c r="AU123" s="22">
        <v>2128</v>
      </c>
      <c r="AV123" s="22">
        <v>2151</v>
      </c>
      <c r="AW123" s="22">
        <v>2070</v>
      </c>
      <c r="AX123" s="22">
        <v>2033</v>
      </c>
      <c r="AY123" s="22">
        <v>2058</v>
      </c>
      <c r="AZ123" s="22">
        <v>2098</v>
      </c>
      <c r="BA123" s="22">
        <v>2035</v>
      </c>
      <c r="BB123" s="22">
        <v>1946</v>
      </c>
      <c r="BC123" s="22">
        <v>1911.5</v>
      </c>
      <c r="BD123" s="22">
        <v>2035.5</v>
      </c>
      <c r="BE123" s="22">
        <v>2109.5</v>
      </c>
      <c r="BF123" s="22">
        <v>2085</v>
      </c>
      <c r="BG123" s="22">
        <v>2033.5</v>
      </c>
      <c r="BH123" s="22">
        <v>1904</v>
      </c>
      <c r="BI123" s="22">
        <v>1974.5</v>
      </c>
      <c r="BJ123" s="22">
        <v>1994.5</v>
      </c>
      <c r="BK123" s="22">
        <v>1965.5</v>
      </c>
      <c r="BL123" s="22">
        <v>1930.5</v>
      </c>
    </row>
    <row r="124" spans="1:64" ht="15.95" customHeight="1">
      <c r="A124" s="81" t="s">
        <v>381</v>
      </c>
      <c r="B124" s="17" t="s">
        <v>185</v>
      </c>
      <c r="C124" s="26">
        <f>_xll.RssMarket("8801","始値")</f>
        <v>1544.5</v>
      </c>
      <c r="D124" s="25">
        <f t="shared" si="1"/>
        <v>0</v>
      </c>
      <c r="E124" s="22">
        <v>1544.5</v>
      </c>
      <c r="F124" s="22">
        <v>1564.5</v>
      </c>
      <c r="G124" s="22">
        <v>1586</v>
      </c>
      <c r="H124" s="76">
        <v>1564</v>
      </c>
      <c r="I124" s="22">
        <v>1555</v>
      </c>
      <c r="J124" s="22">
        <v>1529.5</v>
      </c>
      <c r="K124" s="22">
        <v>1470</v>
      </c>
      <c r="L124" s="22">
        <v>1482</v>
      </c>
      <c r="M124" s="22">
        <v>1478.5</v>
      </c>
      <c r="N124" s="22">
        <v>1515</v>
      </c>
      <c r="O124" s="22">
        <v>1477.5</v>
      </c>
      <c r="P124" s="22">
        <v>1519</v>
      </c>
      <c r="Q124" s="22">
        <v>1532</v>
      </c>
      <c r="R124" s="22">
        <v>1537.5</v>
      </c>
      <c r="S124" s="22">
        <v>1510</v>
      </c>
      <c r="T124" s="22">
        <v>1501</v>
      </c>
      <c r="U124" s="22">
        <v>1539.5</v>
      </c>
      <c r="V124" s="22">
        <v>1520</v>
      </c>
      <c r="W124" s="22">
        <v>1539.5</v>
      </c>
      <c r="X124" s="22">
        <v>1490.5</v>
      </c>
      <c r="Y124" s="22">
        <v>1600</v>
      </c>
      <c r="Z124" s="22">
        <v>1672</v>
      </c>
      <c r="AA124" s="22">
        <v>1676.5</v>
      </c>
      <c r="AB124" s="22">
        <v>1656.5</v>
      </c>
      <c r="AC124" s="22">
        <v>1699</v>
      </c>
      <c r="AD124" s="22">
        <v>1709.5</v>
      </c>
      <c r="AE124" s="22">
        <v>1690</v>
      </c>
      <c r="AF124" s="22">
        <v>1694.5</v>
      </c>
      <c r="AG124" s="22">
        <v>1715</v>
      </c>
      <c r="AH124" s="22">
        <v>1697</v>
      </c>
      <c r="AI124" s="22">
        <v>1709.5</v>
      </c>
      <c r="AJ124" s="22">
        <v>1753.5</v>
      </c>
      <c r="AK124" s="22">
        <v>1741</v>
      </c>
      <c r="AL124" s="22">
        <v>1744.5</v>
      </c>
      <c r="AM124" s="22">
        <v>1766</v>
      </c>
      <c r="AN124" s="22">
        <v>1749.5</v>
      </c>
      <c r="AO124" s="22">
        <v>1777</v>
      </c>
      <c r="AP124" s="22">
        <v>1818</v>
      </c>
      <c r="AQ124" s="22">
        <v>1755</v>
      </c>
      <c r="AR124" s="22">
        <v>1700.5</v>
      </c>
      <c r="AS124" s="22">
        <v>1712</v>
      </c>
      <c r="AT124" s="22">
        <v>1781.5</v>
      </c>
      <c r="AU124" s="22">
        <v>1758.5</v>
      </c>
      <c r="AV124" s="22">
        <v>1658</v>
      </c>
      <c r="AW124" s="22">
        <v>1702</v>
      </c>
      <c r="AX124" s="22">
        <v>1706</v>
      </c>
      <c r="AY124" s="22">
        <v>1742</v>
      </c>
      <c r="AZ124" s="22">
        <v>1711</v>
      </c>
      <c r="BA124" s="22">
        <v>1656.5</v>
      </c>
      <c r="BB124" s="22">
        <v>1623.5</v>
      </c>
      <c r="BC124" s="22">
        <v>1719.5</v>
      </c>
      <c r="BD124" s="22">
        <v>1755.5</v>
      </c>
      <c r="BE124" s="22">
        <v>1784.5</v>
      </c>
      <c r="BF124" s="22">
        <v>1734</v>
      </c>
      <c r="BG124" s="22">
        <v>1744</v>
      </c>
      <c r="BH124" s="22">
        <v>1820</v>
      </c>
      <c r="BI124" s="22">
        <v>1879.5</v>
      </c>
      <c r="BJ124" s="22">
        <v>1863</v>
      </c>
      <c r="BK124" s="22">
        <v>1802.5</v>
      </c>
      <c r="BL124" s="22">
        <v>1815.5</v>
      </c>
    </row>
    <row r="125" spans="1:64" ht="15.95" customHeight="1">
      <c r="A125" s="81" t="s">
        <v>382</v>
      </c>
      <c r="B125" s="17" t="s">
        <v>186</v>
      </c>
      <c r="C125" s="26">
        <f>_xll.RssMarket("8934","始値")</f>
        <v>2388</v>
      </c>
      <c r="D125" s="25">
        <f t="shared" si="1"/>
        <v>0</v>
      </c>
      <c r="E125" s="22">
        <v>2388</v>
      </c>
      <c r="F125" s="22">
        <v>2380</v>
      </c>
      <c r="G125" s="22">
        <v>2405</v>
      </c>
      <c r="H125" s="76">
        <v>2350</v>
      </c>
      <c r="I125" s="22">
        <v>2381</v>
      </c>
      <c r="J125" s="22">
        <v>2375</v>
      </c>
      <c r="K125" s="22">
        <v>2307</v>
      </c>
      <c r="L125" s="22">
        <v>2297</v>
      </c>
      <c r="M125" s="22">
        <v>2268</v>
      </c>
      <c r="N125" s="22">
        <v>2277</v>
      </c>
      <c r="O125" s="22">
        <v>2230</v>
      </c>
      <c r="P125" s="22">
        <v>2363</v>
      </c>
      <c r="Q125" s="22">
        <v>2340</v>
      </c>
      <c r="R125" s="22">
        <v>2351</v>
      </c>
      <c r="S125" s="22">
        <v>2348</v>
      </c>
      <c r="T125" s="22">
        <v>2385</v>
      </c>
      <c r="U125" s="22">
        <v>2390</v>
      </c>
      <c r="V125" s="22">
        <v>2422</v>
      </c>
      <c r="W125" s="22">
        <v>2412</v>
      </c>
      <c r="X125" s="22">
        <v>2470</v>
      </c>
      <c r="Y125" s="22">
        <v>2445</v>
      </c>
      <c r="Z125" s="22">
        <v>2443</v>
      </c>
      <c r="AA125" s="22">
        <v>2445</v>
      </c>
      <c r="AB125" s="22">
        <v>2535</v>
      </c>
      <c r="AC125" s="22">
        <v>2580</v>
      </c>
      <c r="AD125" s="22">
        <v>2624</v>
      </c>
      <c r="AE125" s="22">
        <v>2650</v>
      </c>
      <c r="AF125" s="22">
        <v>2685</v>
      </c>
      <c r="AG125" s="22">
        <v>2701</v>
      </c>
      <c r="AH125" s="22">
        <v>2679</v>
      </c>
      <c r="AI125" s="22">
        <v>2631</v>
      </c>
      <c r="AJ125" s="22">
        <v>2683</v>
      </c>
      <c r="AK125" s="22">
        <v>2702</v>
      </c>
      <c r="AL125" s="22">
        <v>2744</v>
      </c>
      <c r="AM125" s="22">
        <v>2769</v>
      </c>
      <c r="AN125" s="22">
        <v>2799</v>
      </c>
      <c r="AO125" s="22">
        <v>2791</v>
      </c>
      <c r="AP125" s="22">
        <v>2825</v>
      </c>
      <c r="AQ125" s="22">
        <v>2840</v>
      </c>
      <c r="AR125" s="22">
        <v>2841</v>
      </c>
      <c r="AS125" s="22">
        <v>2812</v>
      </c>
      <c r="AT125" s="22">
        <v>2786</v>
      </c>
      <c r="AU125" s="22">
        <v>2742</v>
      </c>
      <c r="AV125" s="22">
        <v>2749</v>
      </c>
      <c r="AW125" s="22">
        <v>2720</v>
      </c>
      <c r="AX125" s="22">
        <v>2710</v>
      </c>
      <c r="AY125" s="22">
        <v>2681</v>
      </c>
      <c r="AZ125" s="22">
        <v>2698</v>
      </c>
      <c r="BA125" s="22">
        <v>2663</v>
      </c>
      <c r="BB125" s="22">
        <v>2640</v>
      </c>
      <c r="BC125" s="22">
        <v>2633</v>
      </c>
      <c r="BD125" s="22">
        <v>2688</v>
      </c>
      <c r="BE125" s="22">
        <v>2685</v>
      </c>
      <c r="BF125" s="22">
        <v>2684</v>
      </c>
      <c r="BG125" s="22">
        <v>2680</v>
      </c>
      <c r="BH125" s="22">
        <v>2691</v>
      </c>
      <c r="BI125" s="22">
        <v>2726</v>
      </c>
      <c r="BJ125" s="22">
        <v>2710</v>
      </c>
      <c r="BK125" s="22">
        <v>2695</v>
      </c>
      <c r="BL125" s="22">
        <v>2696</v>
      </c>
    </row>
    <row r="126" spans="1:64" ht="15.95" customHeight="1">
      <c r="A126" s="81" t="s">
        <v>383</v>
      </c>
      <c r="B126" s="17" t="s">
        <v>187</v>
      </c>
      <c r="C126" s="26">
        <f>_xll.RssMarket("9416","始値")</f>
        <v>1020</v>
      </c>
      <c r="D126" s="25">
        <f t="shared" si="1"/>
        <v>0</v>
      </c>
      <c r="E126" s="22">
        <v>1020</v>
      </c>
      <c r="F126" s="22">
        <v>1017</v>
      </c>
      <c r="G126" s="22">
        <v>1022</v>
      </c>
      <c r="H126" s="76">
        <v>1009</v>
      </c>
      <c r="I126" s="22">
        <v>1012</v>
      </c>
      <c r="J126" s="22">
        <v>1011</v>
      </c>
      <c r="K126" s="22">
        <v>1021</v>
      </c>
      <c r="L126" s="22">
        <v>1011</v>
      </c>
      <c r="M126" s="22">
        <v>1009</v>
      </c>
      <c r="N126" s="22">
        <v>1021</v>
      </c>
      <c r="O126" s="22">
        <v>1058</v>
      </c>
      <c r="P126" s="22">
        <v>1061</v>
      </c>
      <c r="Q126" s="22">
        <v>1063</v>
      </c>
      <c r="R126" s="22">
        <v>1020</v>
      </c>
      <c r="S126" s="22">
        <v>1030</v>
      </c>
      <c r="T126" s="22">
        <v>1031</v>
      </c>
      <c r="U126" s="22">
        <v>1008</v>
      </c>
      <c r="V126" s="22">
        <v>1044</v>
      </c>
      <c r="W126" s="22">
        <v>1020</v>
      </c>
      <c r="X126" s="22">
        <v>1140</v>
      </c>
      <c r="Y126" s="22">
        <v>1105</v>
      </c>
      <c r="Z126" s="22">
        <v>1111</v>
      </c>
      <c r="AA126" s="22">
        <v>1108</v>
      </c>
      <c r="AB126" s="22">
        <v>1102</v>
      </c>
      <c r="AC126" s="22">
        <v>1091</v>
      </c>
      <c r="AD126" s="22">
        <v>1099</v>
      </c>
      <c r="AE126" s="22">
        <v>1097</v>
      </c>
      <c r="AF126" s="22">
        <v>1087</v>
      </c>
      <c r="AG126" s="22">
        <v>1106</v>
      </c>
      <c r="AH126" s="22">
        <v>1109</v>
      </c>
      <c r="AI126" s="22">
        <v>1140</v>
      </c>
      <c r="AJ126" s="22">
        <v>1170</v>
      </c>
      <c r="AK126" s="22">
        <v>1186</v>
      </c>
      <c r="AL126" s="22">
        <v>1192</v>
      </c>
      <c r="AM126" s="22">
        <v>1208</v>
      </c>
      <c r="AN126" s="22">
        <v>1202</v>
      </c>
      <c r="AO126" s="22">
        <v>1202</v>
      </c>
      <c r="AP126" s="22">
        <v>1197</v>
      </c>
      <c r="AQ126" s="22">
        <v>1197</v>
      </c>
      <c r="AR126" s="22">
        <v>1202</v>
      </c>
      <c r="AS126" s="22">
        <v>1199</v>
      </c>
      <c r="AT126" s="22">
        <v>1176</v>
      </c>
      <c r="AU126" s="22">
        <v>1168</v>
      </c>
      <c r="AV126" s="22">
        <v>1153</v>
      </c>
      <c r="AW126" s="22">
        <v>1169</v>
      </c>
      <c r="AX126" s="22">
        <v>1154</v>
      </c>
      <c r="AY126" s="22">
        <v>1140</v>
      </c>
      <c r="AZ126" s="22">
        <v>1143</v>
      </c>
      <c r="BA126" s="22">
        <v>1154</v>
      </c>
      <c r="BB126" s="22">
        <v>1162</v>
      </c>
      <c r="BC126" s="22">
        <v>1156</v>
      </c>
      <c r="BD126" s="22">
        <v>1149</v>
      </c>
      <c r="BE126" s="22">
        <v>1133</v>
      </c>
      <c r="BF126" s="22">
        <v>1170</v>
      </c>
      <c r="BG126" s="22">
        <v>1183</v>
      </c>
      <c r="BH126" s="22">
        <v>1184</v>
      </c>
      <c r="BI126" s="22">
        <v>1186</v>
      </c>
      <c r="BJ126" s="22">
        <v>1191</v>
      </c>
      <c r="BK126" s="22">
        <v>1205</v>
      </c>
      <c r="BL126" s="22">
        <v>1229</v>
      </c>
    </row>
    <row r="127" spans="1:64" ht="15.95" customHeight="1">
      <c r="A127" s="81" t="s">
        <v>384</v>
      </c>
      <c r="B127" s="17" t="s">
        <v>188</v>
      </c>
      <c r="C127" s="26">
        <f>_xll.RssMarket("9532","始値")</f>
        <v>5527</v>
      </c>
      <c r="D127" s="25">
        <f t="shared" si="1"/>
        <v>0</v>
      </c>
      <c r="E127" s="22">
        <v>5527</v>
      </c>
      <c r="F127" s="22">
        <v>5520</v>
      </c>
      <c r="G127" s="22">
        <v>5606</v>
      </c>
      <c r="H127" s="76">
        <v>5698</v>
      </c>
      <c r="I127" s="22">
        <v>5540</v>
      </c>
      <c r="J127" s="22">
        <v>5550</v>
      </c>
      <c r="K127" s="22">
        <v>5454</v>
      </c>
      <c r="L127" s="22">
        <v>5457</v>
      </c>
      <c r="M127" s="22">
        <v>5607</v>
      </c>
      <c r="N127" s="22">
        <v>5499</v>
      </c>
      <c r="O127" s="22">
        <v>5260</v>
      </c>
      <c r="P127" s="22">
        <v>5350</v>
      </c>
      <c r="Q127" s="22">
        <v>5442</v>
      </c>
      <c r="R127" s="22">
        <v>5553</v>
      </c>
      <c r="S127" s="22">
        <v>5644</v>
      </c>
      <c r="T127" s="22">
        <v>5768</v>
      </c>
      <c r="U127" s="22">
        <v>5779</v>
      </c>
      <c r="V127" s="22">
        <v>5862</v>
      </c>
      <c r="W127" s="22">
        <v>5726</v>
      </c>
      <c r="X127" s="22">
        <v>5700</v>
      </c>
      <c r="Y127" s="22">
        <v>5717</v>
      </c>
      <c r="Z127" s="22">
        <v>5731</v>
      </c>
      <c r="AA127" s="22">
        <v>5679</v>
      </c>
      <c r="AB127" s="22">
        <v>5629</v>
      </c>
      <c r="AC127" s="22">
        <v>5567</v>
      </c>
      <c r="AD127" s="22">
        <v>5684</v>
      </c>
      <c r="AE127" s="22">
        <v>5736</v>
      </c>
      <c r="AF127" s="22">
        <v>5720</v>
      </c>
      <c r="AG127" s="22">
        <v>5874</v>
      </c>
      <c r="AH127" s="22">
        <v>5827</v>
      </c>
      <c r="AI127" s="22">
        <v>5779</v>
      </c>
      <c r="AJ127" s="22">
        <v>5956</v>
      </c>
      <c r="AK127" s="22">
        <v>5793</v>
      </c>
      <c r="AL127" s="22">
        <v>5880</v>
      </c>
      <c r="AM127" s="22">
        <v>5983</v>
      </c>
      <c r="AN127" s="22">
        <v>6129</v>
      </c>
      <c r="AO127" s="22">
        <v>6238</v>
      </c>
      <c r="AP127" s="22">
        <v>6174</v>
      </c>
      <c r="AQ127" s="22">
        <v>6249</v>
      </c>
      <c r="AR127" s="22">
        <v>6290</v>
      </c>
      <c r="AS127" s="22">
        <v>6374</v>
      </c>
      <c r="AT127" s="22">
        <v>6587</v>
      </c>
      <c r="AU127" s="22">
        <v>6550</v>
      </c>
      <c r="AV127" s="22">
        <v>6705</v>
      </c>
      <c r="AW127" s="22">
        <v>6500</v>
      </c>
      <c r="AX127" s="22">
        <v>6473</v>
      </c>
      <c r="AY127" s="22">
        <v>6485</v>
      </c>
      <c r="AZ127" s="22">
        <v>6550</v>
      </c>
      <c r="BA127" s="22">
        <v>6560</v>
      </c>
      <c r="BB127" s="22">
        <v>6478</v>
      </c>
      <c r="BC127" s="22">
        <v>6239</v>
      </c>
      <c r="BD127" s="22">
        <v>6390</v>
      </c>
      <c r="BE127" s="22">
        <v>6392</v>
      </c>
      <c r="BF127" s="22">
        <v>6505</v>
      </c>
      <c r="BG127" s="22">
        <v>6114</v>
      </c>
      <c r="BH127" s="22">
        <v>6209</v>
      </c>
      <c r="BI127" s="22">
        <v>6505</v>
      </c>
      <c r="BJ127" s="22">
        <v>6320</v>
      </c>
      <c r="BK127" s="22">
        <v>6203</v>
      </c>
      <c r="BL127" s="22">
        <v>6257</v>
      </c>
    </row>
    <row r="128" spans="1:64" ht="15.95" customHeight="1">
      <c r="A128" s="81" t="s">
        <v>385</v>
      </c>
      <c r="B128" s="17" t="s">
        <v>189</v>
      </c>
      <c r="C128" s="26">
        <f>_xll.RssMarket("6330","始値")</f>
        <v>2091</v>
      </c>
      <c r="D128" s="25">
        <f t="shared" si="1"/>
        <v>0</v>
      </c>
      <c r="E128" s="22">
        <v>2091</v>
      </c>
      <c r="F128" s="22">
        <v>2049</v>
      </c>
      <c r="G128" s="22">
        <v>1995</v>
      </c>
      <c r="H128" s="22">
        <v>1870</v>
      </c>
      <c r="I128" s="22">
        <v>1832</v>
      </c>
      <c r="J128" s="22">
        <v>1975</v>
      </c>
      <c r="K128" s="22">
        <v>1965</v>
      </c>
      <c r="L128" s="22">
        <v>1942</v>
      </c>
      <c r="M128" s="22">
        <v>1984</v>
      </c>
      <c r="N128" s="22">
        <v>1890</v>
      </c>
      <c r="O128" s="22">
        <v>1897</v>
      </c>
      <c r="P128" s="22">
        <v>2153</v>
      </c>
      <c r="Q128" s="22">
        <v>2092</v>
      </c>
      <c r="R128" s="22">
        <v>2169</v>
      </c>
      <c r="S128" s="22">
        <v>2184</v>
      </c>
      <c r="T128" s="22">
        <v>2010</v>
      </c>
      <c r="U128" s="22">
        <v>2069</v>
      </c>
      <c r="V128" s="22">
        <v>2082</v>
      </c>
      <c r="W128" s="22">
        <v>2100</v>
      </c>
      <c r="X128" s="22">
        <v>2128</v>
      </c>
      <c r="Y128" s="22">
        <v>2148</v>
      </c>
      <c r="Z128" s="22">
        <v>2160</v>
      </c>
      <c r="AA128" s="22">
        <v>2188</v>
      </c>
      <c r="AB128" s="22">
        <v>2226</v>
      </c>
      <c r="AC128" s="22">
        <v>2313</v>
      </c>
      <c r="AD128" s="22">
        <v>2295</v>
      </c>
      <c r="AE128" s="22">
        <v>2335</v>
      </c>
      <c r="AF128" s="22">
        <v>2286</v>
      </c>
      <c r="AG128" s="22">
        <v>2340</v>
      </c>
      <c r="AH128" s="22">
        <v>2331</v>
      </c>
      <c r="AI128" s="22">
        <v>2282</v>
      </c>
      <c r="AJ128" s="22">
        <v>2449</v>
      </c>
      <c r="AK128" s="22">
        <v>2478</v>
      </c>
      <c r="AL128" s="22">
        <v>2510</v>
      </c>
      <c r="AM128" s="22">
        <v>2662</v>
      </c>
      <c r="AN128" s="22">
        <v>2640</v>
      </c>
      <c r="AO128" s="22">
        <v>2500</v>
      </c>
      <c r="AP128" s="22">
        <v>2350</v>
      </c>
      <c r="AQ128" s="22">
        <v>2357</v>
      </c>
      <c r="AR128" s="22">
        <v>2331</v>
      </c>
      <c r="AS128" s="22">
        <v>2281</v>
      </c>
      <c r="AT128" s="22">
        <v>2340</v>
      </c>
      <c r="AU128" s="22">
        <v>2321</v>
      </c>
      <c r="AV128" s="22">
        <v>2268</v>
      </c>
      <c r="AW128" s="22">
        <v>2200</v>
      </c>
      <c r="AX128" s="22">
        <v>2272</v>
      </c>
      <c r="AY128" s="22">
        <v>2605</v>
      </c>
      <c r="AZ128" s="22">
        <v>2730</v>
      </c>
      <c r="BA128" s="22">
        <v>2746</v>
      </c>
      <c r="BB128" s="22">
        <v>2600</v>
      </c>
      <c r="BC128" s="22">
        <v>2597</v>
      </c>
      <c r="BD128" s="22">
        <v>2604</v>
      </c>
      <c r="BE128" s="22">
        <v>2737</v>
      </c>
      <c r="BF128" s="22">
        <v>2608</v>
      </c>
      <c r="BG128" s="22">
        <v>2985</v>
      </c>
      <c r="BH128" s="22">
        <v>3260</v>
      </c>
      <c r="BI128" s="22">
        <v>3330</v>
      </c>
      <c r="BJ128" s="22">
        <v>3300</v>
      </c>
      <c r="BK128" s="22">
        <v>3445</v>
      </c>
      <c r="BL128" s="22">
        <v>3235</v>
      </c>
    </row>
    <row r="129" spans="1:64" ht="15.95" customHeight="1">
      <c r="A129" s="81" t="s">
        <v>386</v>
      </c>
      <c r="B129" s="17" t="s">
        <v>190</v>
      </c>
      <c r="C129" s="26">
        <f>_xll.RssMarket("4082","始値")</f>
        <v>1990</v>
      </c>
      <c r="D129" s="25">
        <f t="shared" si="1"/>
        <v>0</v>
      </c>
      <c r="E129" s="22">
        <v>1990</v>
      </c>
      <c r="F129" s="22">
        <v>1948</v>
      </c>
      <c r="G129" s="22">
        <v>1940</v>
      </c>
      <c r="H129" s="22">
        <v>1900</v>
      </c>
      <c r="I129" s="22">
        <v>1800</v>
      </c>
      <c r="J129" s="22">
        <v>1963</v>
      </c>
      <c r="K129" s="22">
        <v>2010</v>
      </c>
      <c r="L129" s="22">
        <v>2079</v>
      </c>
      <c r="M129" s="22">
        <v>2172</v>
      </c>
      <c r="N129" s="22">
        <v>2166</v>
      </c>
      <c r="O129" s="22">
        <v>2225</v>
      </c>
      <c r="P129" s="22">
        <v>2295</v>
      </c>
      <c r="Q129" s="22">
        <v>2170</v>
      </c>
      <c r="R129" s="22">
        <v>2186</v>
      </c>
      <c r="S129" s="22">
        <v>2093</v>
      </c>
      <c r="T129" s="22">
        <v>1980</v>
      </c>
      <c r="U129" s="22">
        <v>1960</v>
      </c>
      <c r="V129" s="22">
        <v>2099</v>
      </c>
      <c r="W129" s="22">
        <v>2195</v>
      </c>
      <c r="X129" s="22">
        <v>2183</v>
      </c>
      <c r="Y129" s="22">
        <v>2181</v>
      </c>
      <c r="Z129" s="22">
        <v>2651</v>
      </c>
      <c r="AA129" s="22">
        <v>2640</v>
      </c>
      <c r="AB129" s="22">
        <v>2708</v>
      </c>
      <c r="AC129" s="22">
        <v>2487</v>
      </c>
      <c r="AD129" s="22">
        <v>2388</v>
      </c>
      <c r="AE129" s="22">
        <v>2346</v>
      </c>
      <c r="AF129" s="22">
        <v>2246</v>
      </c>
      <c r="AG129" s="22">
        <v>2307</v>
      </c>
      <c r="AH129" s="22">
        <v>2260</v>
      </c>
      <c r="AI129" s="22">
        <v>2268</v>
      </c>
      <c r="AJ129" s="22">
        <v>2470</v>
      </c>
      <c r="AK129" s="22">
        <v>2303</v>
      </c>
      <c r="AL129" s="22">
        <v>2380</v>
      </c>
      <c r="AM129" s="22">
        <v>2561</v>
      </c>
      <c r="AN129" s="22">
        <v>2329</v>
      </c>
      <c r="AO129" s="22">
        <v>2231</v>
      </c>
      <c r="AP129" s="22">
        <v>2152</v>
      </c>
      <c r="AQ129" s="22">
        <v>2100</v>
      </c>
      <c r="AR129" s="22">
        <v>2050</v>
      </c>
      <c r="AS129" s="22">
        <v>2038</v>
      </c>
      <c r="AT129" s="22">
        <v>2131</v>
      </c>
      <c r="AU129" s="22">
        <v>2172</v>
      </c>
      <c r="AV129" s="22">
        <v>2129</v>
      </c>
      <c r="AW129" s="22">
        <v>2105</v>
      </c>
      <c r="AX129" s="22">
        <v>2082</v>
      </c>
      <c r="AY129" s="22">
        <v>2229</v>
      </c>
      <c r="AZ129" s="22">
        <v>2368</v>
      </c>
      <c r="BA129" s="22">
        <v>2366</v>
      </c>
      <c r="BB129" s="22">
        <v>2325</v>
      </c>
      <c r="BC129" s="22">
        <v>2303</v>
      </c>
      <c r="BD129" s="22">
        <v>2346</v>
      </c>
      <c r="BE129" s="22">
        <v>2410</v>
      </c>
      <c r="BF129" s="22">
        <v>2408</v>
      </c>
      <c r="BG129" s="22">
        <v>2371</v>
      </c>
      <c r="BH129" s="22">
        <v>2401</v>
      </c>
      <c r="BI129" s="22">
        <v>2520</v>
      </c>
      <c r="BJ129" s="22">
        <v>2560</v>
      </c>
      <c r="BK129" s="22">
        <v>2779</v>
      </c>
      <c r="BL129" s="22">
        <v>2669</v>
      </c>
    </row>
    <row r="130" spans="1:64" ht="15.95" customHeight="1">
      <c r="A130" s="81" t="s">
        <v>387</v>
      </c>
      <c r="B130" s="17" t="s">
        <v>191</v>
      </c>
      <c r="C130" s="26">
        <f>_xll.RssMarket("4519","始値")</f>
        <v>7532</v>
      </c>
      <c r="D130" s="25">
        <f t="shared" si="1"/>
        <v>0</v>
      </c>
      <c r="E130" s="22">
        <v>7532</v>
      </c>
      <c r="F130" s="22">
        <v>7562</v>
      </c>
      <c r="G130" s="22">
        <v>7388</v>
      </c>
      <c r="H130" s="22">
        <v>7447</v>
      </c>
      <c r="I130" s="22">
        <v>7270</v>
      </c>
      <c r="J130" s="22">
        <v>7341</v>
      </c>
      <c r="K130" s="22">
        <v>7500</v>
      </c>
      <c r="L130" s="22">
        <v>7649</v>
      </c>
      <c r="M130" s="22">
        <v>7400</v>
      </c>
      <c r="N130" s="22">
        <v>7500</v>
      </c>
      <c r="O130" s="22">
        <v>7601</v>
      </c>
      <c r="P130" s="22">
        <v>7699</v>
      </c>
      <c r="Q130" s="22">
        <v>7880</v>
      </c>
      <c r="R130" s="22">
        <v>7646</v>
      </c>
      <c r="S130" s="22">
        <v>8013</v>
      </c>
      <c r="T130" s="22">
        <v>7804</v>
      </c>
      <c r="U130" s="22">
        <v>8049</v>
      </c>
      <c r="V130" s="22">
        <v>7873</v>
      </c>
      <c r="W130" s="22">
        <v>7979</v>
      </c>
      <c r="X130" s="22">
        <v>7892</v>
      </c>
      <c r="Y130" s="22">
        <v>7946</v>
      </c>
      <c r="Z130" s="22">
        <v>7850</v>
      </c>
      <c r="AA130" s="22">
        <v>7753</v>
      </c>
      <c r="AB130" s="22">
        <v>7850</v>
      </c>
      <c r="AC130" s="22">
        <v>7821</v>
      </c>
      <c r="AD130" s="22">
        <v>8245</v>
      </c>
      <c r="AE130" s="22">
        <v>7765</v>
      </c>
      <c r="AF130" s="22">
        <v>8529</v>
      </c>
      <c r="AG130" s="22">
        <v>8000</v>
      </c>
      <c r="AH130" s="22">
        <v>7580</v>
      </c>
      <c r="AI130" s="22">
        <v>7961</v>
      </c>
      <c r="AJ130" s="22">
        <v>8994</v>
      </c>
      <c r="AK130" s="22">
        <v>8760</v>
      </c>
      <c r="AL130" s="22">
        <v>8747</v>
      </c>
      <c r="AM130" s="22">
        <v>8744</v>
      </c>
      <c r="AN130" s="22">
        <v>8599</v>
      </c>
      <c r="AO130" s="22">
        <v>8435</v>
      </c>
      <c r="AP130" s="22">
        <v>8624</v>
      </c>
      <c r="AQ130" s="22">
        <v>8512</v>
      </c>
      <c r="AR130" s="22">
        <v>8639</v>
      </c>
      <c r="AS130" s="22">
        <v>8564</v>
      </c>
      <c r="AT130" s="22">
        <v>8750</v>
      </c>
      <c r="AU130" s="22">
        <v>8818</v>
      </c>
      <c r="AV130" s="22">
        <v>9039</v>
      </c>
      <c r="AW130" s="22">
        <v>8779</v>
      </c>
      <c r="AX130" s="22">
        <v>8785</v>
      </c>
      <c r="AY130" s="22">
        <v>9219</v>
      </c>
      <c r="AZ130" s="22">
        <v>9338</v>
      </c>
      <c r="BA130" s="22">
        <v>8898</v>
      </c>
      <c r="BB130" s="22">
        <v>8568</v>
      </c>
      <c r="BC130" s="22">
        <v>8258</v>
      </c>
      <c r="BD130" s="22">
        <v>8529</v>
      </c>
      <c r="BE130" s="22">
        <v>8441</v>
      </c>
      <c r="BF130" s="22">
        <v>8524</v>
      </c>
      <c r="BG130" s="22">
        <v>8157</v>
      </c>
      <c r="BH130" s="22">
        <v>8350</v>
      </c>
      <c r="BI130" s="22">
        <v>8836</v>
      </c>
      <c r="BJ130" s="22">
        <v>9036</v>
      </c>
      <c r="BK130" s="22">
        <v>9352</v>
      </c>
      <c r="BL130" s="22">
        <v>9212</v>
      </c>
    </row>
    <row r="131" spans="1:64" ht="15.95" customHeight="1">
      <c r="A131" s="81" t="s">
        <v>388</v>
      </c>
      <c r="B131" s="17" t="s">
        <v>192</v>
      </c>
      <c r="C131" s="26">
        <f>_xll.RssMarket("2160","始値")</f>
        <v>2500</v>
      </c>
      <c r="D131" s="25">
        <f t="shared" si="1"/>
        <v>0</v>
      </c>
      <c r="E131" s="22">
        <v>2500</v>
      </c>
      <c r="F131" s="22">
        <v>2544</v>
      </c>
      <c r="G131" s="22">
        <v>2529</v>
      </c>
      <c r="H131" s="22">
        <v>2735</v>
      </c>
      <c r="I131" s="22">
        <v>2650</v>
      </c>
      <c r="J131" s="22">
        <v>2784</v>
      </c>
      <c r="K131" s="22">
        <v>2920</v>
      </c>
      <c r="L131" s="22">
        <v>2800</v>
      </c>
      <c r="M131" s="22">
        <v>2600</v>
      </c>
      <c r="N131" s="22">
        <v>2547</v>
      </c>
      <c r="O131" s="22">
        <v>2564</v>
      </c>
      <c r="P131" s="22">
        <v>2665</v>
      </c>
      <c r="Q131" s="22">
        <v>2675</v>
      </c>
      <c r="R131" s="22">
        <v>2700</v>
      </c>
      <c r="S131" s="22">
        <v>2843</v>
      </c>
      <c r="T131" s="22">
        <v>2851</v>
      </c>
      <c r="U131" s="22">
        <v>2800</v>
      </c>
      <c r="V131" s="22">
        <v>2724</v>
      </c>
      <c r="W131" s="22">
        <v>2970</v>
      </c>
      <c r="X131" s="22">
        <v>3035</v>
      </c>
      <c r="Y131" s="22">
        <v>3100</v>
      </c>
      <c r="Z131" s="22">
        <v>3245</v>
      </c>
      <c r="AA131" s="22">
        <v>2973</v>
      </c>
      <c r="AB131" s="22">
        <v>2998</v>
      </c>
      <c r="AC131" s="22">
        <v>2985</v>
      </c>
      <c r="AD131" s="22">
        <v>3100</v>
      </c>
      <c r="AE131" s="22">
        <v>2970</v>
      </c>
      <c r="AF131" s="22">
        <v>3050</v>
      </c>
      <c r="AG131" s="22">
        <v>3125</v>
      </c>
      <c r="AH131" s="22">
        <v>3130</v>
      </c>
      <c r="AI131" s="22">
        <v>3115</v>
      </c>
      <c r="AJ131" s="22">
        <v>3270</v>
      </c>
      <c r="AK131" s="22">
        <v>3375</v>
      </c>
      <c r="AL131" s="22">
        <v>3415</v>
      </c>
      <c r="AM131" s="22">
        <v>3355</v>
      </c>
      <c r="AN131" s="22">
        <v>3350</v>
      </c>
      <c r="AO131" s="22">
        <v>3395</v>
      </c>
      <c r="AP131" s="22">
        <v>3220</v>
      </c>
      <c r="AQ131" s="22">
        <v>3235</v>
      </c>
      <c r="AR131" s="22">
        <v>3100</v>
      </c>
      <c r="AS131" s="22">
        <v>3165</v>
      </c>
      <c r="AT131" s="22">
        <v>3175</v>
      </c>
      <c r="AU131" s="22">
        <v>3250</v>
      </c>
      <c r="AV131" s="22">
        <v>3125</v>
      </c>
      <c r="AW131" s="22">
        <v>3135</v>
      </c>
      <c r="AX131" s="22">
        <v>3145</v>
      </c>
      <c r="AY131" s="22">
        <v>3250</v>
      </c>
      <c r="AZ131" s="22">
        <v>3085</v>
      </c>
      <c r="BA131" s="22">
        <v>3040</v>
      </c>
      <c r="BB131" s="22">
        <v>3050</v>
      </c>
      <c r="BC131" s="22">
        <v>3075</v>
      </c>
      <c r="BD131" s="22">
        <v>3100</v>
      </c>
      <c r="BE131" s="22">
        <v>3020</v>
      </c>
      <c r="BF131" s="22">
        <v>2861</v>
      </c>
      <c r="BG131" s="22">
        <v>2700</v>
      </c>
      <c r="BH131" s="22">
        <v>2942</v>
      </c>
      <c r="BI131" s="22">
        <v>3230</v>
      </c>
      <c r="BJ131" s="22">
        <v>3295</v>
      </c>
      <c r="BK131" s="22">
        <v>3260</v>
      </c>
      <c r="BL131" s="22">
        <v>3200</v>
      </c>
    </row>
    <row r="132" spans="1:64" ht="15.95" customHeight="1">
      <c r="A132" s="81" t="s">
        <v>389</v>
      </c>
      <c r="B132" s="17" t="s">
        <v>193</v>
      </c>
      <c r="C132" s="26">
        <f>_xll.RssMarket("6227","始値")</f>
        <v>7930</v>
      </c>
      <c r="D132" s="25">
        <f t="shared" si="1"/>
        <v>0</v>
      </c>
      <c r="E132" s="22">
        <v>7930</v>
      </c>
      <c r="F132" s="22">
        <v>8390</v>
      </c>
      <c r="G132" s="22">
        <v>8600</v>
      </c>
      <c r="H132" s="22">
        <v>7100</v>
      </c>
      <c r="I132" s="22">
        <v>6650</v>
      </c>
      <c r="J132" s="22">
        <v>7440</v>
      </c>
      <c r="K132" s="22">
        <v>6590</v>
      </c>
      <c r="L132" s="22">
        <v>6410</v>
      </c>
      <c r="M132" s="22">
        <v>5970</v>
      </c>
      <c r="N132" s="22">
        <v>6190</v>
      </c>
      <c r="O132" s="22">
        <v>5780</v>
      </c>
      <c r="P132" s="22">
        <v>5660</v>
      </c>
      <c r="Q132" s="22">
        <v>5380</v>
      </c>
      <c r="R132" s="22">
        <v>6230</v>
      </c>
      <c r="S132" s="22">
        <v>6110</v>
      </c>
      <c r="T132" s="22">
        <v>6060</v>
      </c>
      <c r="U132" s="22">
        <v>6900</v>
      </c>
      <c r="V132" s="22">
        <v>6710</v>
      </c>
      <c r="W132" s="22">
        <v>7220</v>
      </c>
      <c r="X132" s="22">
        <v>6910</v>
      </c>
      <c r="Y132" s="22">
        <v>6790</v>
      </c>
      <c r="Z132" s="22">
        <v>6590</v>
      </c>
      <c r="AA132" s="22">
        <v>6670</v>
      </c>
      <c r="AB132" s="22">
        <v>6520</v>
      </c>
      <c r="AC132" s="22">
        <v>6900</v>
      </c>
      <c r="AD132" s="22">
        <v>6690</v>
      </c>
      <c r="AE132" s="22">
        <v>6510</v>
      </c>
      <c r="AF132" s="22">
        <v>6280</v>
      </c>
      <c r="AG132" s="22">
        <v>6060</v>
      </c>
      <c r="AH132" s="22">
        <v>6450</v>
      </c>
      <c r="AI132" s="22">
        <v>6680</v>
      </c>
      <c r="AJ132" s="22">
        <v>6480</v>
      </c>
      <c r="AK132" s="22">
        <v>7060</v>
      </c>
      <c r="AL132" s="22">
        <v>7150</v>
      </c>
      <c r="AM132" s="22">
        <v>7450</v>
      </c>
      <c r="AN132" s="22">
        <v>8120</v>
      </c>
      <c r="AO132" s="22">
        <v>8000</v>
      </c>
      <c r="AP132" s="22">
        <v>8420</v>
      </c>
      <c r="AQ132" s="22">
        <v>8000</v>
      </c>
      <c r="AR132" s="22">
        <v>7150</v>
      </c>
      <c r="AS132" s="22">
        <v>6020</v>
      </c>
      <c r="AT132" s="22">
        <v>6100</v>
      </c>
      <c r="AU132" s="22">
        <v>5990</v>
      </c>
      <c r="AV132" s="22">
        <v>6090</v>
      </c>
      <c r="AW132" s="22">
        <v>5940</v>
      </c>
      <c r="AX132" s="22">
        <v>5350</v>
      </c>
      <c r="AY132" s="22">
        <v>5490</v>
      </c>
      <c r="AZ132" s="22">
        <v>5780</v>
      </c>
      <c r="BA132" s="22">
        <v>5700</v>
      </c>
      <c r="BB132" s="22">
        <v>5270</v>
      </c>
      <c r="BC132" s="22">
        <v>5480</v>
      </c>
      <c r="BD132" s="22">
        <v>6166.6</v>
      </c>
      <c r="BE132" s="22">
        <v>6983.3</v>
      </c>
      <c r="BF132" s="22">
        <v>6600</v>
      </c>
      <c r="BG132" s="22">
        <v>6410</v>
      </c>
      <c r="BH132" s="22">
        <v>6436.6</v>
      </c>
      <c r="BI132" s="22">
        <v>6300</v>
      </c>
      <c r="BJ132" s="22">
        <v>6733.3</v>
      </c>
      <c r="BK132" s="22">
        <v>7600</v>
      </c>
      <c r="BL132" s="22">
        <v>7600</v>
      </c>
    </row>
    <row r="133" spans="1:64" ht="15.95" customHeight="1">
      <c r="A133" s="81" t="s">
        <v>390</v>
      </c>
      <c r="B133" s="17" t="s">
        <v>194</v>
      </c>
      <c r="C133" s="26">
        <f>_xll.RssMarket("6327","始値")</f>
        <v>4720</v>
      </c>
      <c r="D133" s="25">
        <f t="shared" si="1"/>
        <v>0</v>
      </c>
      <c r="E133" s="22">
        <v>4720</v>
      </c>
      <c r="F133" s="22">
        <v>3975</v>
      </c>
      <c r="G133" s="22">
        <v>3230</v>
      </c>
      <c r="H133" s="22">
        <v>3330</v>
      </c>
      <c r="I133" s="22">
        <v>2939</v>
      </c>
      <c r="J133" s="22">
        <v>3375</v>
      </c>
      <c r="K133" s="22">
        <v>3350</v>
      </c>
      <c r="L133" s="22">
        <v>3655</v>
      </c>
      <c r="M133" s="22">
        <v>4070</v>
      </c>
      <c r="N133" s="22">
        <v>4915</v>
      </c>
      <c r="O133" s="22">
        <v>4660</v>
      </c>
      <c r="P133" s="22">
        <v>4995</v>
      </c>
      <c r="Q133" s="22">
        <v>3850</v>
      </c>
      <c r="R133" s="22">
        <v>3555</v>
      </c>
      <c r="S133" s="22">
        <v>2964</v>
      </c>
      <c r="T133" s="22">
        <v>2455</v>
      </c>
      <c r="U133" s="22">
        <v>2355</v>
      </c>
      <c r="V133" s="22">
        <v>2340</v>
      </c>
      <c r="W133" s="22">
        <v>2602</v>
      </c>
      <c r="X133" s="22">
        <v>2655</v>
      </c>
      <c r="Y133" s="22">
        <v>2673</v>
      </c>
      <c r="Z133" s="22">
        <v>2610</v>
      </c>
      <c r="AA133" s="22">
        <v>2790</v>
      </c>
      <c r="AB133" s="22">
        <v>3460</v>
      </c>
      <c r="AC133" s="22">
        <v>3260</v>
      </c>
      <c r="AD133" s="22">
        <v>3250</v>
      </c>
      <c r="AE133" s="22">
        <v>2947</v>
      </c>
      <c r="AF133" s="22">
        <v>2771</v>
      </c>
      <c r="AG133" s="22">
        <v>2588</v>
      </c>
      <c r="AH133" s="22">
        <v>2198</v>
      </c>
      <c r="AI133" s="22">
        <v>2118</v>
      </c>
      <c r="AJ133" s="22">
        <v>2075</v>
      </c>
      <c r="AK133" s="22">
        <v>2160</v>
      </c>
      <c r="AL133" s="22">
        <v>2150</v>
      </c>
      <c r="AM133" s="22">
        <v>2000</v>
      </c>
      <c r="AN133" s="22">
        <v>2046</v>
      </c>
      <c r="AO133" s="22">
        <v>2070</v>
      </c>
      <c r="AP133" s="22">
        <v>2045</v>
      </c>
      <c r="AQ133" s="22">
        <v>2120</v>
      </c>
      <c r="AR133" s="22">
        <v>2000</v>
      </c>
      <c r="AS133" s="22">
        <v>1928</v>
      </c>
      <c r="AT133" s="22">
        <v>1850</v>
      </c>
      <c r="AU133" s="22">
        <v>1885</v>
      </c>
      <c r="AV133" s="22">
        <v>1731</v>
      </c>
      <c r="AW133" s="22">
        <v>1675</v>
      </c>
      <c r="AX133" s="22">
        <v>1580</v>
      </c>
      <c r="AY133" s="22">
        <v>1510</v>
      </c>
      <c r="AZ133" s="22">
        <v>1516</v>
      </c>
      <c r="BA133" s="22">
        <v>1485</v>
      </c>
      <c r="BB133" s="22">
        <v>1440</v>
      </c>
      <c r="BC133" s="22">
        <v>1509</v>
      </c>
      <c r="BD133" s="22">
        <v>1600</v>
      </c>
      <c r="BE133" s="22">
        <v>1670</v>
      </c>
      <c r="BF133" s="22">
        <v>1600</v>
      </c>
      <c r="BG133" s="22">
        <v>1595</v>
      </c>
      <c r="BH133" s="22">
        <v>1551</v>
      </c>
      <c r="BI133" s="22">
        <v>1730</v>
      </c>
      <c r="BJ133" s="22">
        <v>1605</v>
      </c>
      <c r="BK133" s="22">
        <v>1754</v>
      </c>
      <c r="BL133" s="22">
        <v>1693</v>
      </c>
    </row>
    <row r="134" spans="1:64" ht="15.95" customHeight="1">
      <c r="A134" s="81" t="s">
        <v>391</v>
      </c>
      <c r="B134" s="17" t="s">
        <v>195</v>
      </c>
      <c r="C134" s="26">
        <f>_xll.RssMarket("3110","始値")</f>
        <v>20690</v>
      </c>
      <c r="D134" s="25">
        <f t="shared" ref="D134:D197" si="2">C134-E134</f>
        <v>0</v>
      </c>
      <c r="E134" s="22">
        <v>20690</v>
      </c>
      <c r="F134" s="22">
        <v>20260</v>
      </c>
      <c r="G134" s="22">
        <v>19580</v>
      </c>
      <c r="H134" s="22">
        <v>18100</v>
      </c>
      <c r="I134" s="22">
        <v>16670</v>
      </c>
      <c r="J134" s="22">
        <v>18000</v>
      </c>
      <c r="K134" s="22">
        <v>18230</v>
      </c>
      <c r="L134" s="22">
        <v>20270</v>
      </c>
      <c r="M134" s="22">
        <v>21000</v>
      </c>
      <c r="N134" s="22">
        <v>22400</v>
      </c>
      <c r="O134" s="22">
        <v>22510</v>
      </c>
      <c r="P134" s="22">
        <v>22940</v>
      </c>
      <c r="Q134" s="22">
        <v>25740</v>
      </c>
      <c r="R134" s="22">
        <v>25660</v>
      </c>
      <c r="S134" s="22">
        <v>22840</v>
      </c>
      <c r="T134" s="22">
        <v>21740</v>
      </c>
      <c r="U134" s="22">
        <v>21410</v>
      </c>
      <c r="V134" s="22">
        <v>21960</v>
      </c>
      <c r="W134" s="22">
        <v>24070</v>
      </c>
      <c r="X134" s="22">
        <v>26150</v>
      </c>
      <c r="Y134" s="22">
        <v>26030</v>
      </c>
      <c r="Z134" s="22">
        <v>26700</v>
      </c>
      <c r="AA134" s="22">
        <v>29990</v>
      </c>
      <c r="AB134" s="22">
        <v>30000</v>
      </c>
      <c r="AC134" s="22">
        <v>30700</v>
      </c>
      <c r="AD134" s="22">
        <v>30000</v>
      </c>
      <c r="AE134" s="22">
        <v>28540</v>
      </c>
      <c r="AF134" s="22">
        <v>28100</v>
      </c>
      <c r="AG134" s="22">
        <v>27110</v>
      </c>
      <c r="AH134" s="22">
        <v>27400</v>
      </c>
      <c r="AI134" s="22">
        <v>26470</v>
      </c>
      <c r="AJ134" s="22">
        <v>27930</v>
      </c>
      <c r="AK134" s="22">
        <v>26440</v>
      </c>
      <c r="AL134" s="22">
        <v>26850</v>
      </c>
      <c r="AM134" s="22">
        <v>27300</v>
      </c>
      <c r="AN134" s="22">
        <v>26820</v>
      </c>
      <c r="AO134" s="22">
        <v>26850</v>
      </c>
      <c r="AP134" s="22">
        <v>30100</v>
      </c>
      <c r="AQ134" s="22">
        <v>29960</v>
      </c>
      <c r="AR134" s="22">
        <v>27570</v>
      </c>
      <c r="AS134" s="22">
        <v>26500</v>
      </c>
      <c r="AT134" s="22">
        <v>24400</v>
      </c>
      <c r="AU134" s="22">
        <v>23500</v>
      </c>
      <c r="AV134" s="22">
        <v>21020</v>
      </c>
      <c r="AW134" s="22">
        <v>20500</v>
      </c>
      <c r="AX134" s="22">
        <v>20200</v>
      </c>
      <c r="AY134" s="22">
        <v>20970</v>
      </c>
      <c r="AZ134" s="22">
        <v>20340</v>
      </c>
      <c r="BA134" s="22">
        <v>18560</v>
      </c>
      <c r="BB134" s="22">
        <v>20080</v>
      </c>
      <c r="BC134" s="22">
        <v>20940</v>
      </c>
      <c r="BD134" s="22">
        <v>22160</v>
      </c>
      <c r="BE134" s="22">
        <v>21500</v>
      </c>
      <c r="BF134" s="22">
        <v>20920</v>
      </c>
      <c r="BG134" s="22">
        <v>20780</v>
      </c>
      <c r="BH134" s="22">
        <v>21940</v>
      </c>
      <c r="BI134" s="22">
        <v>21070</v>
      </c>
      <c r="BJ134" s="22">
        <v>22650</v>
      </c>
      <c r="BK134" s="22">
        <v>21910</v>
      </c>
      <c r="BL134" s="22">
        <v>20880</v>
      </c>
    </row>
    <row r="135" spans="1:64" ht="15.95" customHeight="1">
      <c r="A135" s="81" t="s">
        <v>392</v>
      </c>
      <c r="B135" s="17" t="s">
        <v>196</v>
      </c>
      <c r="C135" s="26">
        <f>_xll.RssMarket("6232","始値")</f>
        <v>1865</v>
      </c>
      <c r="D135" s="25">
        <f t="shared" si="2"/>
        <v>0</v>
      </c>
      <c r="E135" s="22">
        <v>1865</v>
      </c>
      <c r="F135" s="22">
        <v>1834</v>
      </c>
      <c r="G135" s="22">
        <v>1772</v>
      </c>
      <c r="H135" s="22">
        <v>1851</v>
      </c>
      <c r="I135" s="22">
        <v>1852</v>
      </c>
      <c r="J135" s="22">
        <v>2050</v>
      </c>
      <c r="K135" s="22">
        <v>2008</v>
      </c>
      <c r="L135" s="22">
        <v>2010</v>
      </c>
      <c r="M135" s="22">
        <v>1985</v>
      </c>
      <c r="N135" s="22">
        <v>2028</v>
      </c>
      <c r="O135" s="22">
        <v>2100</v>
      </c>
      <c r="P135" s="22">
        <v>2537</v>
      </c>
      <c r="Q135" s="22">
        <v>2284</v>
      </c>
      <c r="R135" s="22">
        <v>2449</v>
      </c>
      <c r="S135" s="22">
        <v>2891</v>
      </c>
      <c r="T135" s="22">
        <v>2650</v>
      </c>
      <c r="U135" s="22">
        <v>2912</v>
      </c>
      <c r="V135" s="22">
        <v>3220</v>
      </c>
      <c r="W135" s="22">
        <v>3170</v>
      </c>
      <c r="X135" s="22">
        <v>3325</v>
      </c>
      <c r="Y135" s="22">
        <v>3070</v>
      </c>
      <c r="Z135" s="22">
        <v>3110</v>
      </c>
      <c r="AA135" s="22">
        <v>2930</v>
      </c>
      <c r="AB135" s="22">
        <v>4130</v>
      </c>
      <c r="AC135" s="22">
        <v>3400</v>
      </c>
      <c r="AD135" s="22">
        <v>2382</v>
      </c>
      <c r="AE135" s="22">
        <v>2597</v>
      </c>
      <c r="AF135" s="22">
        <v>2389</v>
      </c>
      <c r="AG135" s="22">
        <v>2302</v>
      </c>
      <c r="AH135" s="22">
        <v>2262</v>
      </c>
      <c r="AI135" s="22">
        <v>2588</v>
      </c>
      <c r="AJ135" s="22">
        <v>2311</v>
      </c>
      <c r="AK135" s="22">
        <v>2322</v>
      </c>
      <c r="AL135" s="22">
        <v>1859</v>
      </c>
      <c r="AM135" s="22">
        <v>1774</v>
      </c>
      <c r="AN135" s="22">
        <v>1701</v>
      </c>
      <c r="AO135" s="22">
        <v>1782</v>
      </c>
      <c r="AP135" s="22">
        <v>1825</v>
      </c>
      <c r="AQ135" s="22">
        <v>1868</v>
      </c>
      <c r="AR135" s="22">
        <v>1861</v>
      </c>
      <c r="AS135" s="22">
        <v>1610</v>
      </c>
      <c r="AT135" s="22">
        <v>1581</v>
      </c>
      <c r="AU135" s="22">
        <v>1630</v>
      </c>
      <c r="AV135" s="22">
        <v>1615</v>
      </c>
      <c r="AW135" s="22">
        <v>1462</v>
      </c>
      <c r="AX135" s="22">
        <v>1465</v>
      </c>
      <c r="AY135" s="22">
        <v>1540</v>
      </c>
      <c r="AZ135" s="22">
        <v>1531</v>
      </c>
      <c r="BA135" s="22">
        <v>1475</v>
      </c>
      <c r="BB135" s="22">
        <v>1434</v>
      </c>
      <c r="BC135" s="22">
        <v>1498</v>
      </c>
      <c r="BD135" s="22">
        <v>1495</v>
      </c>
      <c r="BE135" s="22">
        <v>1551</v>
      </c>
      <c r="BF135" s="22">
        <v>1462</v>
      </c>
      <c r="BG135" s="22">
        <v>1556</v>
      </c>
      <c r="BH135" s="22">
        <v>1500</v>
      </c>
      <c r="BI135" s="22">
        <v>1602</v>
      </c>
      <c r="BJ135" s="22">
        <v>1640</v>
      </c>
      <c r="BK135" s="22">
        <v>1722</v>
      </c>
      <c r="BL135" s="22">
        <v>1768</v>
      </c>
    </row>
    <row r="136" spans="1:64" ht="15.95" customHeight="1">
      <c r="A136" s="81" t="s">
        <v>393</v>
      </c>
      <c r="B136" s="17" t="s">
        <v>197</v>
      </c>
      <c r="C136" s="26">
        <f>_xll.RssMarket("7794","始値")</f>
        <v>1074</v>
      </c>
      <c r="D136" s="25">
        <f t="shared" si="2"/>
        <v>0</v>
      </c>
      <c r="E136" s="22">
        <v>1074</v>
      </c>
      <c r="F136" s="22">
        <v>1095</v>
      </c>
      <c r="G136" s="22">
        <v>1121</v>
      </c>
      <c r="H136" s="22">
        <v>1100</v>
      </c>
      <c r="I136" s="22">
        <v>1081</v>
      </c>
      <c r="J136" s="22">
        <v>1110</v>
      </c>
      <c r="K136" s="22">
        <v>1080</v>
      </c>
      <c r="L136" s="22">
        <v>1005</v>
      </c>
      <c r="M136" s="22">
        <v>1070</v>
      </c>
      <c r="N136" s="22">
        <v>1102</v>
      </c>
      <c r="O136" s="22">
        <v>1160</v>
      </c>
      <c r="P136" s="22">
        <v>1225</v>
      </c>
      <c r="Q136" s="22">
        <v>1326</v>
      </c>
      <c r="R136" s="22">
        <v>1125</v>
      </c>
      <c r="S136" s="22">
        <v>1148</v>
      </c>
      <c r="T136" s="22">
        <v>1081</v>
      </c>
      <c r="U136" s="22">
        <v>1103</v>
      </c>
      <c r="V136" s="22">
        <v>1122</v>
      </c>
      <c r="W136" s="22">
        <v>1124</v>
      </c>
      <c r="X136" s="22">
        <v>1160</v>
      </c>
      <c r="Y136" s="22">
        <v>1120</v>
      </c>
      <c r="Z136" s="22">
        <v>1213</v>
      </c>
      <c r="AA136" s="22">
        <v>1310</v>
      </c>
      <c r="AB136" s="22">
        <v>1398</v>
      </c>
      <c r="AC136" s="22">
        <v>1421</v>
      </c>
      <c r="AD136" s="22">
        <v>1305</v>
      </c>
      <c r="AE136" s="22">
        <v>1320</v>
      </c>
      <c r="AF136" s="22">
        <v>1333</v>
      </c>
      <c r="AG136" s="22">
        <v>1315</v>
      </c>
      <c r="AH136" s="22">
        <v>1342</v>
      </c>
      <c r="AI136" s="22">
        <v>1414</v>
      </c>
      <c r="AJ136" s="22">
        <v>1450</v>
      </c>
      <c r="AK136" s="22">
        <v>1484</v>
      </c>
      <c r="AL136" s="22">
        <v>1540</v>
      </c>
      <c r="AM136" s="22">
        <v>1620</v>
      </c>
      <c r="AN136" s="22">
        <v>1580</v>
      </c>
      <c r="AO136" s="22">
        <v>1238</v>
      </c>
      <c r="AP136" s="22">
        <v>1189</v>
      </c>
      <c r="AQ136" s="22">
        <v>1198</v>
      </c>
      <c r="AR136" s="22">
        <v>1218</v>
      </c>
      <c r="AS136" s="22">
        <v>1169</v>
      </c>
      <c r="AT136" s="22">
        <v>1216</v>
      </c>
      <c r="AU136" s="22">
        <v>1201</v>
      </c>
      <c r="AV136" s="22">
        <v>1197</v>
      </c>
      <c r="AW136" s="22">
        <v>1184</v>
      </c>
      <c r="AX136" s="22">
        <v>1200</v>
      </c>
      <c r="AY136" s="22">
        <v>1240</v>
      </c>
      <c r="AZ136" s="22">
        <v>1285</v>
      </c>
      <c r="BA136" s="22">
        <v>1330</v>
      </c>
      <c r="BB136" s="22">
        <v>1291</v>
      </c>
      <c r="BC136" s="22">
        <v>1249</v>
      </c>
      <c r="BD136" s="22">
        <v>1314</v>
      </c>
      <c r="BE136" s="22">
        <v>1101</v>
      </c>
      <c r="BF136" s="22">
        <v>1101</v>
      </c>
      <c r="BG136" s="22">
        <v>1168</v>
      </c>
      <c r="BH136" s="22">
        <v>1169</v>
      </c>
      <c r="BI136" s="22">
        <v>1300</v>
      </c>
      <c r="BJ136" s="22">
        <v>1312</v>
      </c>
      <c r="BK136" s="22">
        <v>1366</v>
      </c>
      <c r="BL136" s="22">
        <v>1272</v>
      </c>
    </row>
    <row r="137" spans="1:64" ht="15.95" customHeight="1">
      <c r="A137" s="81" t="s">
        <v>394</v>
      </c>
      <c r="B137" s="17" t="s">
        <v>198</v>
      </c>
      <c r="C137" s="26">
        <f>_xll.RssMarket("6085","始値")</f>
        <v>321</v>
      </c>
      <c r="D137" s="25">
        <f t="shared" si="2"/>
        <v>0</v>
      </c>
      <c r="E137" s="22">
        <v>321</v>
      </c>
      <c r="F137" s="22">
        <v>310</v>
      </c>
      <c r="G137" s="22">
        <v>360</v>
      </c>
      <c r="H137" s="22">
        <v>400</v>
      </c>
      <c r="I137" s="22">
        <v>405</v>
      </c>
      <c r="J137" s="22">
        <v>394</v>
      </c>
      <c r="K137" s="22">
        <v>314</v>
      </c>
      <c r="L137" s="22">
        <v>266</v>
      </c>
      <c r="M137" s="22">
        <v>250</v>
      </c>
      <c r="N137" s="22">
        <v>274</v>
      </c>
      <c r="O137" s="22">
        <v>369</v>
      </c>
      <c r="P137" s="22">
        <v>335</v>
      </c>
      <c r="Q137" s="22">
        <v>423</v>
      </c>
      <c r="R137" s="22">
        <v>514</v>
      </c>
      <c r="S137" s="22">
        <v>520</v>
      </c>
      <c r="T137" s="22">
        <v>460</v>
      </c>
      <c r="U137" s="22">
        <v>440</v>
      </c>
      <c r="V137" s="22">
        <v>463</v>
      </c>
      <c r="W137" s="22">
        <v>579</v>
      </c>
      <c r="X137" s="22">
        <v>520</v>
      </c>
      <c r="Y137" s="22">
        <v>527</v>
      </c>
      <c r="Z137" s="22">
        <v>498</v>
      </c>
      <c r="AA137" s="22">
        <v>540</v>
      </c>
      <c r="AB137" s="22">
        <v>580</v>
      </c>
      <c r="AC137" s="22">
        <v>600</v>
      </c>
      <c r="AD137" s="22">
        <v>645</v>
      </c>
      <c r="AE137" s="22">
        <v>540</v>
      </c>
      <c r="AF137" s="22">
        <v>645</v>
      </c>
      <c r="AG137" s="22">
        <v>680</v>
      </c>
      <c r="AH137" s="22">
        <v>564</v>
      </c>
      <c r="AI137" s="22">
        <v>589</v>
      </c>
      <c r="AJ137" s="22">
        <v>465</v>
      </c>
      <c r="AK137" s="22">
        <v>451</v>
      </c>
      <c r="AL137" s="22">
        <v>396</v>
      </c>
      <c r="AM137" s="22">
        <v>399</v>
      </c>
      <c r="AN137" s="22">
        <v>364</v>
      </c>
      <c r="AO137" s="22">
        <v>349.5</v>
      </c>
      <c r="AP137" s="22">
        <v>297.89999999999998</v>
      </c>
      <c r="AQ137" s="22">
        <v>299.89999999999998</v>
      </c>
      <c r="AR137" s="22">
        <v>315</v>
      </c>
      <c r="AS137" s="22">
        <v>271</v>
      </c>
      <c r="AT137" s="22">
        <v>259</v>
      </c>
      <c r="AU137" s="22">
        <v>250</v>
      </c>
      <c r="AV137" s="22">
        <v>245</v>
      </c>
      <c r="AW137" s="22">
        <v>257.3</v>
      </c>
      <c r="AX137" s="22">
        <v>282.2</v>
      </c>
      <c r="AY137" s="22">
        <v>290.2</v>
      </c>
      <c r="AZ137" s="22">
        <v>299.7</v>
      </c>
      <c r="BA137" s="22">
        <v>308</v>
      </c>
      <c r="BB137" s="22">
        <v>314</v>
      </c>
      <c r="BC137" s="22">
        <v>283.8</v>
      </c>
      <c r="BD137" s="22">
        <v>353</v>
      </c>
      <c r="BE137" s="22">
        <v>298.39999999999998</v>
      </c>
      <c r="BF137" s="22">
        <v>247.9</v>
      </c>
      <c r="BG137" s="22">
        <v>296.5</v>
      </c>
      <c r="BH137" s="22">
        <v>210</v>
      </c>
      <c r="BI137" s="22">
        <v>260</v>
      </c>
      <c r="BJ137" s="22">
        <v>330</v>
      </c>
      <c r="BK137" s="22">
        <v>530</v>
      </c>
      <c r="BL137" s="22">
        <v>430.5</v>
      </c>
    </row>
    <row r="138" spans="1:64" ht="15.95" customHeight="1">
      <c r="A138" s="81" t="s">
        <v>395</v>
      </c>
      <c r="B138" s="17" t="s">
        <v>199</v>
      </c>
      <c r="C138" s="26">
        <f>_xll.RssMarket("3103","始値")</f>
        <v>1125</v>
      </c>
      <c r="D138" s="25">
        <f t="shared" si="2"/>
        <v>0</v>
      </c>
      <c r="E138" s="22">
        <v>1125</v>
      </c>
      <c r="F138" s="22">
        <v>1115</v>
      </c>
      <c r="G138" s="22">
        <v>1165</v>
      </c>
      <c r="H138" s="22">
        <v>1154</v>
      </c>
      <c r="I138" s="22">
        <v>1182</v>
      </c>
      <c r="J138" s="22">
        <v>1241</v>
      </c>
      <c r="K138" s="22">
        <v>1150</v>
      </c>
      <c r="L138" s="22">
        <v>1189</v>
      </c>
      <c r="M138" s="22">
        <v>1256</v>
      </c>
      <c r="N138" s="22">
        <v>1220</v>
      </c>
      <c r="O138" s="22">
        <v>1310</v>
      </c>
      <c r="P138" s="22">
        <v>1391</v>
      </c>
      <c r="Q138" s="22">
        <v>1420</v>
      </c>
      <c r="R138" s="22">
        <v>1578</v>
      </c>
      <c r="S138" s="22">
        <v>1850</v>
      </c>
      <c r="T138" s="22">
        <v>1268</v>
      </c>
      <c r="U138" s="22">
        <v>1330</v>
      </c>
      <c r="V138" s="22">
        <v>1418</v>
      </c>
      <c r="W138" s="22">
        <v>1370</v>
      </c>
      <c r="X138" s="22">
        <v>1325</v>
      </c>
      <c r="Y138" s="22">
        <v>1415</v>
      </c>
      <c r="Z138" s="22">
        <v>2304</v>
      </c>
      <c r="AA138" s="22">
        <v>2200</v>
      </c>
      <c r="AB138" s="22">
        <v>2326</v>
      </c>
      <c r="AC138" s="22">
        <v>2570</v>
      </c>
      <c r="AD138" s="22">
        <v>2410</v>
      </c>
      <c r="AE138" s="22">
        <v>2500</v>
      </c>
      <c r="AF138" s="22">
        <v>2534</v>
      </c>
      <c r="AG138" s="22">
        <v>2234</v>
      </c>
      <c r="AH138" s="22">
        <v>2564</v>
      </c>
      <c r="AI138" s="22">
        <v>2629</v>
      </c>
      <c r="AJ138" s="22">
        <v>2901</v>
      </c>
      <c r="AK138" s="22">
        <v>2968</v>
      </c>
      <c r="AL138" s="22">
        <v>2725</v>
      </c>
      <c r="AM138" s="22">
        <v>4025</v>
      </c>
      <c r="AN138" s="22">
        <v>3155</v>
      </c>
      <c r="AO138" s="22">
        <v>2731</v>
      </c>
      <c r="AP138" s="22">
        <v>2111</v>
      </c>
      <c r="AQ138" s="22">
        <v>2115</v>
      </c>
      <c r="AR138" s="22">
        <v>1963</v>
      </c>
      <c r="AS138" s="22">
        <v>1424</v>
      </c>
      <c r="AT138" s="22">
        <v>1187</v>
      </c>
      <c r="AU138" s="22">
        <v>1140</v>
      </c>
      <c r="AV138" s="22">
        <v>1106</v>
      </c>
      <c r="AW138" s="22">
        <v>1083</v>
      </c>
      <c r="AX138" s="22">
        <v>1092</v>
      </c>
      <c r="AY138" s="22">
        <v>1205</v>
      </c>
      <c r="AZ138" s="22">
        <v>1240</v>
      </c>
      <c r="BA138" s="22">
        <v>1218</v>
      </c>
      <c r="BB138" s="22">
        <v>1185</v>
      </c>
      <c r="BC138" s="22">
        <v>1129</v>
      </c>
      <c r="BD138" s="22">
        <v>1115</v>
      </c>
      <c r="BE138" s="22">
        <v>1307</v>
      </c>
      <c r="BF138" s="22">
        <v>1347</v>
      </c>
      <c r="BG138" s="22">
        <v>1428</v>
      </c>
      <c r="BH138" s="22">
        <v>1430</v>
      </c>
      <c r="BI138" s="22">
        <v>1469</v>
      </c>
      <c r="BJ138" s="22">
        <v>1251</v>
      </c>
      <c r="BK138" s="22">
        <v>1341</v>
      </c>
      <c r="BL138" s="22">
        <v>1306</v>
      </c>
    </row>
    <row r="139" spans="1:64" ht="15.95" customHeight="1">
      <c r="A139" s="81" t="s">
        <v>396</v>
      </c>
      <c r="B139" s="17" t="s">
        <v>200</v>
      </c>
      <c r="C139" s="26">
        <f>_xll.RssMarket("4422","始値")</f>
        <v>665</v>
      </c>
      <c r="D139" s="25">
        <f t="shared" si="2"/>
        <v>0</v>
      </c>
      <c r="E139" s="22">
        <v>665</v>
      </c>
      <c r="F139" s="22">
        <v>627</v>
      </c>
      <c r="G139" s="22">
        <v>634</v>
      </c>
      <c r="H139" s="22">
        <v>703</v>
      </c>
      <c r="I139" s="22">
        <v>762</v>
      </c>
      <c r="J139" s="22">
        <v>770</v>
      </c>
      <c r="K139" s="22">
        <v>690</v>
      </c>
      <c r="L139" s="22">
        <v>665</v>
      </c>
      <c r="M139" s="22">
        <v>679</v>
      </c>
      <c r="N139" s="22">
        <v>695</v>
      </c>
      <c r="O139" s="22">
        <v>728</v>
      </c>
      <c r="P139" s="22">
        <v>734</v>
      </c>
      <c r="Q139" s="22">
        <v>778</v>
      </c>
      <c r="R139" s="22">
        <v>830</v>
      </c>
      <c r="S139" s="22">
        <v>771</v>
      </c>
      <c r="T139" s="22">
        <v>780</v>
      </c>
      <c r="U139" s="22">
        <v>806</v>
      </c>
      <c r="V139" s="22">
        <v>840</v>
      </c>
      <c r="W139" s="22">
        <v>861</v>
      </c>
      <c r="X139" s="22">
        <v>871</v>
      </c>
      <c r="Y139" s="22">
        <v>952</v>
      </c>
      <c r="Z139" s="22">
        <v>1040</v>
      </c>
      <c r="AA139" s="22">
        <v>990</v>
      </c>
      <c r="AB139" s="22">
        <v>1023</v>
      </c>
      <c r="AC139" s="22">
        <v>1016</v>
      </c>
      <c r="AD139" s="22">
        <v>1044</v>
      </c>
      <c r="AE139" s="22">
        <v>1026</v>
      </c>
      <c r="AF139" s="22">
        <v>1156</v>
      </c>
      <c r="AG139" s="22">
        <v>1199</v>
      </c>
      <c r="AH139" s="22">
        <v>1258</v>
      </c>
      <c r="AI139" s="22">
        <v>1512</v>
      </c>
      <c r="AJ139" s="22">
        <v>1157</v>
      </c>
      <c r="AK139" s="22">
        <v>1268</v>
      </c>
      <c r="AL139" s="22">
        <v>1400</v>
      </c>
      <c r="AM139" s="22">
        <v>1517</v>
      </c>
      <c r="AN139" s="22">
        <v>1217</v>
      </c>
      <c r="AO139" s="22">
        <v>962</v>
      </c>
      <c r="AP139" s="22">
        <v>1020</v>
      </c>
      <c r="AQ139" s="22">
        <v>1170</v>
      </c>
      <c r="AR139" s="22">
        <v>1050</v>
      </c>
      <c r="AS139" s="22">
        <v>826</v>
      </c>
      <c r="AT139" s="22">
        <v>1041</v>
      </c>
      <c r="AU139" s="22">
        <v>891</v>
      </c>
      <c r="AV139" s="22">
        <v>741</v>
      </c>
      <c r="AW139" s="22">
        <v>641</v>
      </c>
      <c r="AX139" s="22">
        <v>493</v>
      </c>
      <c r="AY139" s="22">
        <v>478</v>
      </c>
      <c r="AZ139" s="22">
        <v>473</v>
      </c>
      <c r="BA139" s="22">
        <v>464</v>
      </c>
      <c r="BB139" s="22">
        <v>502</v>
      </c>
      <c r="BC139" s="22">
        <v>491</v>
      </c>
      <c r="BD139" s="22">
        <v>548</v>
      </c>
      <c r="BE139" s="22">
        <v>592</v>
      </c>
      <c r="BF139" s="22">
        <v>490</v>
      </c>
      <c r="BG139" s="22">
        <v>435</v>
      </c>
      <c r="BH139" s="22">
        <v>555</v>
      </c>
      <c r="BI139" s="22">
        <v>467</v>
      </c>
      <c r="BJ139" s="22">
        <v>487</v>
      </c>
      <c r="BK139" s="22">
        <v>488</v>
      </c>
      <c r="BL139" s="22">
        <v>408</v>
      </c>
    </row>
    <row r="140" spans="1:64" ht="15.95" customHeight="1">
      <c r="A140" s="81" t="s">
        <v>397</v>
      </c>
      <c r="B140" s="17" t="s">
        <v>201</v>
      </c>
      <c r="C140" s="26">
        <f>_xll.RssMarket("6740","始値")</f>
        <v>45</v>
      </c>
      <c r="D140" s="25">
        <f t="shared" si="2"/>
        <v>0</v>
      </c>
      <c r="E140" s="22">
        <v>45</v>
      </c>
      <c r="F140" s="22">
        <v>47</v>
      </c>
      <c r="G140" s="22">
        <v>52</v>
      </c>
      <c r="H140" s="22">
        <v>54</v>
      </c>
      <c r="I140" s="22">
        <v>53</v>
      </c>
      <c r="J140" s="22">
        <v>58</v>
      </c>
      <c r="K140" s="22">
        <v>54</v>
      </c>
      <c r="L140" s="22">
        <v>53</v>
      </c>
      <c r="M140" s="22">
        <v>52</v>
      </c>
      <c r="N140" s="22">
        <v>55</v>
      </c>
      <c r="O140" s="22">
        <v>56</v>
      </c>
      <c r="P140" s="22">
        <v>51</v>
      </c>
      <c r="Q140" s="22">
        <v>58</v>
      </c>
      <c r="R140" s="22">
        <v>68</v>
      </c>
      <c r="S140" s="22">
        <v>62</v>
      </c>
      <c r="T140" s="22">
        <v>61</v>
      </c>
      <c r="U140" s="22">
        <v>67</v>
      </c>
      <c r="V140" s="22">
        <v>69</v>
      </c>
      <c r="W140" s="22">
        <v>68</v>
      </c>
      <c r="X140" s="22">
        <v>80</v>
      </c>
      <c r="Y140" s="22">
        <v>72</v>
      </c>
      <c r="Z140" s="22">
        <v>73</v>
      </c>
      <c r="AA140" s="22">
        <v>79</v>
      </c>
      <c r="AB140" s="22">
        <v>81</v>
      </c>
      <c r="AC140" s="22">
        <v>85</v>
      </c>
      <c r="AD140" s="22">
        <v>90</v>
      </c>
      <c r="AE140" s="22">
        <v>100</v>
      </c>
      <c r="AF140" s="22">
        <v>112</v>
      </c>
      <c r="AG140" s="22">
        <v>93</v>
      </c>
      <c r="AH140" s="22">
        <v>100</v>
      </c>
      <c r="AI140" s="22">
        <v>95</v>
      </c>
      <c r="AJ140" s="22">
        <v>101</v>
      </c>
      <c r="AK140" s="22">
        <v>107</v>
      </c>
      <c r="AL140" s="22">
        <v>123</v>
      </c>
      <c r="AM140" s="22">
        <v>114</v>
      </c>
      <c r="AN140" s="22">
        <v>107</v>
      </c>
      <c r="AO140" s="22">
        <v>96</v>
      </c>
      <c r="AP140" s="22">
        <v>94</v>
      </c>
      <c r="AQ140" s="22">
        <v>83</v>
      </c>
      <c r="AR140" s="22">
        <v>84</v>
      </c>
      <c r="AS140" s="22">
        <v>88</v>
      </c>
      <c r="AT140" s="22">
        <v>89</v>
      </c>
      <c r="AU140" s="22">
        <v>86</v>
      </c>
      <c r="AV140" s="22">
        <v>81</v>
      </c>
      <c r="AW140" s="22">
        <v>95</v>
      </c>
      <c r="AX140" s="22">
        <v>98</v>
      </c>
      <c r="AY140" s="22">
        <v>97</v>
      </c>
      <c r="AZ140" s="22">
        <v>75</v>
      </c>
      <c r="BA140" s="22">
        <v>78</v>
      </c>
      <c r="BB140" s="22">
        <v>70</v>
      </c>
      <c r="BC140" s="22">
        <v>77</v>
      </c>
      <c r="BD140" s="22">
        <v>93</v>
      </c>
      <c r="BE140" s="22">
        <v>65</v>
      </c>
      <c r="BF140" s="22">
        <v>60</v>
      </c>
      <c r="BG140" s="22">
        <v>65</v>
      </c>
      <c r="BH140" s="22">
        <v>106</v>
      </c>
      <c r="BI140" s="22">
        <v>137</v>
      </c>
      <c r="BJ140" s="22">
        <v>146</v>
      </c>
      <c r="BK140" s="22">
        <v>94</v>
      </c>
      <c r="BL140" s="22">
        <v>84</v>
      </c>
    </row>
    <row r="141" spans="1:64" ht="15.95" customHeight="1">
      <c r="A141" s="81" t="s">
        <v>398</v>
      </c>
      <c r="B141" s="17" t="s">
        <v>202</v>
      </c>
      <c r="C141" s="26">
        <f>_xll.RssMarket("6613","始値")</f>
        <v>2520</v>
      </c>
      <c r="D141" s="25">
        <f t="shared" si="2"/>
        <v>0</v>
      </c>
      <c r="E141" s="22">
        <v>2520</v>
      </c>
      <c r="F141" s="22">
        <v>2798</v>
      </c>
      <c r="G141" s="22">
        <v>2761</v>
      </c>
      <c r="H141" s="22">
        <v>2490</v>
      </c>
      <c r="I141" s="22">
        <v>2252</v>
      </c>
      <c r="J141" s="22">
        <v>2528</v>
      </c>
      <c r="K141" s="22">
        <v>2370</v>
      </c>
      <c r="L141" s="22">
        <v>2400</v>
      </c>
      <c r="M141" s="22">
        <v>2500</v>
      </c>
      <c r="N141" s="22">
        <v>2820</v>
      </c>
      <c r="O141" s="22">
        <v>2923</v>
      </c>
      <c r="P141" s="22">
        <v>2769</v>
      </c>
      <c r="Q141" s="22">
        <v>2420</v>
      </c>
      <c r="R141" s="22">
        <v>3160</v>
      </c>
      <c r="S141" s="22">
        <v>3500</v>
      </c>
      <c r="T141" s="22">
        <v>2580</v>
      </c>
      <c r="U141" s="22">
        <v>2830</v>
      </c>
      <c r="V141" s="22">
        <v>2426</v>
      </c>
      <c r="W141" s="22">
        <v>2100</v>
      </c>
      <c r="X141" s="22">
        <v>1896</v>
      </c>
      <c r="Y141" s="22">
        <v>1779</v>
      </c>
      <c r="Z141" s="22">
        <v>1613</v>
      </c>
      <c r="AA141" s="22">
        <v>1613</v>
      </c>
      <c r="AB141" s="22">
        <v>1749</v>
      </c>
      <c r="AC141" s="22">
        <v>1966</v>
      </c>
      <c r="AD141" s="22">
        <v>1500</v>
      </c>
      <c r="AE141" s="22">
        <v>1520</v>
      </c>
      <c r="AF141" s="22">
        <v>1465</v>
      </c>
      <c r="AG141" s="22">
        <v>1449</v>
      </c>
      <c r="AH141" s="22">
        <v>1505</v>
      </c>
      <c r="AI141" s="22">
        <v>1444</v>
      </c>
      <c r="AJ141" s="22">
        <v>1521</v>
      </c>
      <c r="AK141" s="22">
        <v>1531</v>
      </c>
      <c r="AL141" s="22">
        <v>1570</v>
      </c>
      <c r="AM141" s="22">
        <v>1675</v>
      </c>
      <c r="AN141" s="22">
        <v>1290</v>
      </c>
      <c r="AO141" s="22">
        <v>1355</v>
      </c>
      <c r="AP141" s="22">
        <v>1329</v>
      </c>
      <c r="AQ141" s="22">
        <v>1485</v>
      </c>
      <c r="AR141" s="22">
        <v>1299</v>
      </c>
      <c r="AS141" s="22">
        <v>1082</v>
      </c>
      <c r="AT141" s="22">
        <v>1045</v>
      </c>
      <c r="AU141" s="22">
        <v>1103</v>
      </c>
      <c r="AV141" s="22">
        <v>1095</v>
      </c>
      <c r="AW141" s="22">
        <v>1072</v>
      </c>
      <c r="AX141" s="22">
        <v>1037</v>
      </c>
      <c r="AY141" s="22">
        <v>1111</v>
      </c>
      <c r="AZ141" s="22">
        <v>1220</v>
      </c>
      <c r="BA141" s="22">
        <v>1315</v>
      </c>
      <c r="BB141" s="22">
        <v>1265</v>
      </c>
      <c r="BC141" s="22">
        <v>1080</v>
      </c>
      <c r="BD141" s="22">
        <v>1096</v>
      </c>
      <c r="BE141" s="22">
        <v>1352</v>
      </c>
      <c r="BF141" s="22">
        <v>1480</v>
      </c>
      <c r="BG141" s="22">
        <v>1480</v>
      </c>
      <c r="BH141" s="22">
        <v>1429</v>
      </c>
      <c r="BI141" s="22">
        <v>1641</v>
      </c>
      <c r="BJ141" s="22">
        <v>1423</v>
      </c>
      <c r="BK141" s="22">
        <v>1620</v>
      </c>
      <c r="BL141" s="22">
        <v>1140</v>
      </c>
    </row>
    <row r="142" spans="1:64" ht="15.95" customHeight="1">
      <c r="A142" s="81" t="s">
        <v>487</v>
      </c>
      <c r="B142" s="17" t="str">
        <f>銘柄管理!C142</f>
        <v>第一三共</v>
      </c>
      <c r="C142" s="26">
        <f>_xll.RssMarket("4568","始値")</f>
        <v>2550</v>
      </c>
      <c r="D142" s="25"/>
      <c r="E142" s="22">
        <v>2550</v>
      </c>
      <c r="F142" s="22">
        <v>2546</v>
      </c>
      <c r="G142" s="22">
        <v>2541</v>
      </c>
      <c r="H142" s="74">
        <v>2507.5</v>
      </c>
      <c r="I142" s="22">
        <v>2474.5</v>
      </c>
      <c r="J142" s="22">
        <v>2490</v>
      </c>
      <c r="K142" s="22">
        <v>2529.5</v>
      </c>
      <c r="L142" s="22">
        <v>2390</v>
      </c>
      <c r="M142" s="22">
        <v>2421</v>
      </c>
      <c r="N142" s="22">
        <v>2518.5</v>
      </c>
      <c r="O142" s="22">
        <v>2580.5</v>
      </c>
      <c r="P142" s="22">
        <v>2720</v>
      </c>
      <c r="Q142" s="22">
        <v>2682</v>
      </c>
      <c r="R142" s="22">
        <v>2777.5</v>
      </c>
      <c r="S142" s="22">
        <v>2688</v>
      </c>
      <c r="T142" s="22">
        <v>2660.5</v>
      </c>
      <c r="U142" s="22">
        <v>2634</v>
      </c>
      <c r="V142" s="22">
        <v>2614.5</v>
      </c>
      <c r="W142" s="22">
        <v>2628</v>
      </c>
      <c r="X142" s="22">
        <v>2586</v>
      </c>
      <c r="Y142" s="22">
        <v>2549</v>
      </c>
      <c r="Z142" s="22">
        <v>2656</v>
      </c>
      <c r="AA142" s="22">
        <v>2735.5</v>
      </c>
      <c r="AB142" s="22">
        <v>2728</v>
      </c>
      <c r="AC142" s="22">
        <v>2600</v>
      </c>
      <c r="AD142" s="22">
        <v>2650</v>
      </c>
      <c r="AE142" s="22">
        <v>2537</v>
      </c>
      <c r="AF142" s="22">
        <v>2597</v>
      </c>
      <c r="AG142" s="22">
        <v>2689</v>
      </c>
      <c r="AH142" s="22">
        <v>2606</v>
      </c>
      <c r="AI142" s="22">
        <v>2499.5</v>
      </c>
      <c r="AJ142" s="22">
        <v>2600</v>
      </c>
      <c r="AK142" s="22">
        <v>2809</v>
      </c>
      <c r="AL142" s="22">
        <v>2883</v>
      </c>
      <c r="AM142" s="22">
        <v>2965</v>
      </c>
      <c r="AN142" s="22">
        <v>2967</v>
      </c>
      <c r="AO142" s="22">
        <v>2900</v>
      </c>
      <c r="AP142" s="22">
        <v>2897.5</v>
      </c>
      <c r="AQ142" s="22">
        <v>2739.5</v>
      </c>
      <c r="AR142" s="22">
        <v>2755</v>
      </c>
      <c r="AS142" s="22">
        <v>2750</v>
      </c>
      <c r="AT142" s="22">
        <v>2776</v>
      </c>
      <c r="AU142" s="22">
        <v>2795</v>
      </c>
      <c r="AV142" s="22">
        <v>2940.5</v>
      </c>
      <c r="AW142" s="22">
        <v>2863</v>
      </c>
      <c r="AX142" s="22">
        <v>2870</v>
      </c>
      <c r="AY142" s="22">
        <v>2890</v>
      </c>
      <c r="AZ142" s="22">
        <v>2920</v>
      </c>
      <c r="BA142" s="22">
        <v>2816</v>
      </c>
      <c r="BB142" s="22">
        <v>2805.5</v>
      </c>
      <c r="BC142" s="22">
        <v>2781</v>
      </c>
      <c r="BD142" s="22">
        <v>2894.5</v>
      </c>
      <c r="BE142" s="22">
        <v>2903</v>
      </c>
      <c r="BF142" s="22">
        <v>3038</v>
      </c>
      <c r="BG142" s="22">
        <v>2976.5</v>
      </c>
      <c r="BH142" s="22">
        <v>2903</v>
      </c>
      <c r="BI142" s="22">
        <v>2912</v>
      </c>
      <c r="BJ142" s="22">
        <v>2890</v>
      </c>
      <c r="BK142" s="22">
        <v>2837</v>
      </c>
      <c r="BL142" s="22">
        <v>2815</v>
      </c>
    </row>
    <row r="143" spans="1:64" ht="15.95" customHeight="1">
      <c r="A143" s="81" t="s">
        <v>399</v>
      </c>
      <c r="B143" s="17" t="s">
        <v>203</v>
      </c>
      <c r="C143" s="26">
        <f>_xll.RssMarket("6522","始値")</f>
        <v>720</v>
      </c>
      <c r="D143" s="25">
        <f t="shared" si="2"/>
        <v>0</v>
      </c>
      <c r="E143" s="22">
        <v>720</v>
      </c>
      <c r="F143" s="22">
        <v>719</v>
      </c>
      <c r="G143" s="22">
        <v>736</v>
      </c>
      <c r="H143" s="22">
        <v>745</v>
      </c>
      <c r="I143" s="22">
        <v>771</v>
      </c>
      <c r="J143" s="22">
        <v>742</v>
      </c>
      <c r="K143" s="22">
        <v>778</v>
      </c>
      <c r="L143" s="22">
        <v>782</v>
      </c>
      <c r="M143" s="22">
        <v>799</v>
      </c>
      <c r="N143" s="22">
        <v>900</v>
      </c>
      <c r="O143" s="22">
        <v>792</v>
      </c>
      <c r="P143" s="22">
        <v>840</v>
      </c>
      <c r="Q143" s="22">
        <v>910</v>
      </c>
      <c r="R143" s="22">
        <v>990</v>
      </c>
      <c r="S143" s="22">
        <v>920</v>
      </c>
      <c r="T143" s="22">
        <v>952</v>
      </c>
      <c r="U143" s="22">
        <v>996</v>
      </c>
      <c r="V143" s="22">
        <v>1000</v>
      </c>
      <c r="W143" s="22">
        <v>1038</v>
      </c>
      <c r="X143" s="22">
        <v>1028</v>
      </c>
      <c r="Y143" s="22">
        <v>1037</v>
      </c>
      <c r="Z143" s="22">
        <v>1157</v>
      </c>
      <c r="AA143" s="22">
        <v>1233</v>
      </c>
      <c r="AB143" s="22">
        <v>1205</v>
      </c>
      <c r="AC143" s="22">
        <v>1194</v>
      </c>
      <c r="AD143" s="22">
        <v>1140</v>
      </c>
      <c r="AE143" s="22">
        <v>1150</v>
      </c>
      <c r="AF143" s="22">
        <v>1192</v>
      </c>
      <c r="AG143" s="22">
        <v>1221</v>
      </c>
      <c r="AH143" s="22">
        <v>1265</v>
      </c>
      <c r="AI143" s="22">
        <v>1340</v>
      </c>
      <c r="AJ143" s="22">
        <v>1516</v>
      </c>
      <c r="AK143" s="22">
        <v>1026</v>
      </c>
      <c r="AL143" s="22">
        <v>1068</v>
      </c>
      <c r="AM143" s="22">
        <v>1097</v>
      </c>
      <c r="AN143" s="22">
        <v>964</v>
      </c>
      <c r="AO143" s="22">
        <v>1050</v>
      </c>
      <c r="AP143" s="22">
        <v>1019</v>
      </c>
      <c r="AQ143" s="22">
        <v>995</v>
      </c>
      <c r="AR143" s="22">
        <v>987</v>
      </c>
      <c r="AS143" s="22">
        <v>1050</v>
      </c>
      <c r="AT143" s="22">
        <v>1148</v>
      </c>
      <c r="AU143" s="22">
        <v>1047</v>
      </c>
      <c r="AV143" s="22">
        <v>1121</v>
      </c>
      <c r="AW143" s="22">
        <v>1120</v>
      </c>
      <c r="AX143" s="22">
        <v>1072</v>
      </c>
      <c r="AY143" s="22">
        <v>1073</v>
      </c>
      <c r="AZ143" s="22">
        <v>1403</v>
      </c>
      <c r="BA143" s="22">
        <v>1480</v>
      </c>
      <c r="BB143" s="22">
        <v>1541</v>
      </c>
      <c r="BC143" s="22">
        <v>1517</v>
      </c>
      <c r="BD143" s="22">
        <v>988</v>
      </c>
      <c r="BE143" s="22">
        <v>1117</v>
      </c>
      <c r="BF143" s="22">
        <v>1004</v>
      </c>
      <c r="BG143" s="22">
        <v>752</v>
      </c>
      <c r="BH143" s="22">
        <v>557</v>
      </c>
      <c r="BI143" s="22">
        <v>477</v>
      </c>
      <c r="BJ143" s="22">
        <v>395</v>
      </c>
      <c r="BK143" s="22">
        <v>394</v>
      </c>
      <c r="BL143" s="22">
        <v>405</v>
      </c>
    </row>
    <row r="144" spans="1:64" ht="15.95" customHeight="1">
      <c r="A144" s="81" t="s">
        <v>400</v>
      </c>
      <c r="B144" s="17" t="s">
        <v>204</v>
      </c>
      <c r="C144" s="26">
        <f>_xll.RssMarket("6777","始値")</f>
        <v>26230</v>
      </c>
      <c r="D144" s="25">
        <f t="shared" si="2"/>
        <v>0</v>
      </c>
      <c r="E144" s="22">
        <v>26230</v>
      </c>
      <c r="F144" s="22">
        <v>26050</v>
      </c>
      <c r="G144" s="22">
        <v>25220</v>
      </c>
      <c r="H144" s="22">
        <v>23800</v>
      </c>
      <c r="I144" s="22">
        <v>22640</v>
      </c>
      <c r="J144" s="22">
        <v>25350</v>
      </c>
      <c r="K144" s="22">
        <v>22670</v>
      </c>
      <c r="L144" s="22">
        <v>25470</v>
      </c>
      <c r="M144" s="22">
        <v>25800</v>
      </c>
      <c r="N144" s="22">
        <v>28450</v>
      </c>
      <c r="O144" s="22">
        <v>25560</v>
      </c>
      <c r="P144" s="22">
        <v>24780</v>
      </c>
      <c r="Q144" s="22">
        <v>24910</v>
      </c>
      <c r="R144" s="22">
        <v>26650</v>
      </c>
      <c r="S144" s="22">
        <v>29980</v>
      </c>
      <c r="T144" s="22">
        <v>27020</v>
      </c>
      <c r="U144" s="22">
        <v>27990</v>
      </c>
      <c r="V144" s="22">
        <v>27290</v>
      </c>
      <c r="W144" s="22">
        <v>31600</v>
      </c>
      <c r="X144" s="22">
        <v>32350</v>
      </c>
      <c r="Y144" s="22">
        <v>30800</v>
      </c>
      <c r="Z144" s="22">
        <v>33500</v>
      </c>
      <c r="AA144" s="22">
        <v>29810</v>
      </c>
      <c r="AB144" s="22">
        <v>29230</v>
      </c>
      <c r="AC144" s="22">
        <v>28800</v>
      </c>
      <c r="AD144" s="22">
        <v>27600</v>
      </c>
      <c r="AE144" s="22">
        <v>29550</v>
      </c>
      <c r="AF144" s="22">
        <v>27940</v>
      </c>
      <c r="AG144" s="22">
        <v>28360</v>
      </c>
      <c r="AH144" s="22">
        <v>28620</v>
      </c>
      <c r="AI144" s="22">
        <v>29000</v>
      </c>
      <c r="AJ144" s="22">
        <v>30250</v>
      </c>
      <c r="AK144" s="22">
        <v>29950</v>
      </c>
      <c r="AL144" s="22">
        <v>29550</v>
      </c>
      <c r="AM144" s="22">
        <v>30300</v>
      </c>
      <c r="AN144" s="22">
        <v>26790</v>
      </c>
      <c r="AO144" s="22">
        <v>24470</v>
      </c>
      <c r="AP144" s="22">
        <v>24850</v>
      </c>
      <c r="AQ144" s="22">
        <v>25260</v>
      </c>
      <c r="AR144" s="22">
        <v>25010</v>
      </c>
      <c r="AS144" s="22">
        <v>21700</v>
      </c>
      <c r="AT144" s="22">
        <v>20870</v>
      </c>
      <c r="AU144" s="22">
        <v>21300</v>
      </c>
      <c r="AV144" s="22">
        <v>20980</v>
      </c>
      <c r="AW144" s="22">
        <v>19690</v>
      </c>
      <c r="AX144" s="22">
        <v>19200</v>
      </c>
      <c r="AY144" s="22">
        <v>18790</v>
      </c>
      <c r="AZ144" s="22">
        <v>18380</v>
      </c>
      <c r="BA144" s="22">
        <v>18000</v>
      </c>
      <c r="BB144" s="22">
        <v>16390</v>
      </c>
      <c r="BC144" s="22">
        <v>17580</v>
      </c>
      <c r="BD144" s="22">
        <v>18310</v>
      </c>
      <c r="BE144" s="22">
        <v>19940</v>
      </c>
      <c r="BF144" s="22">
        <v>20330</v>
      </c>
      <c r="BG144" s="22">
        <v>19500</v>
      </c>
      <c r="BH144" s="22">
        <v>18950</v>
      </c>
      <c r="BI144" s="22">
        <v>20060</v>
      </c>
      <c r="BJ144" s="22">
        <v>20670</v>
      </c>
      <c r="BK144" s="22">
        <v>24220</v>
      </c>
      <c r="BL144" s="22">
        <v>22550</v>
      </c>
    </row>
    <row r="145" spans="1:64" ht="15.95" customHeight="1">
      <c r="A145" s="81" t="s">
        <v>401</v>
      </c>
      <c r="B145" s="17" t="s">
        <v>205</v>
      </c>
      <c r="C145" s="26">
        <f>_xll.RssMarket("6787","始値")</f>
        <v>33850</v>
      </c>
      <c r="D145" s="25">
        <f t="shared" si="2"/>
        <v>0</v>
      </c>
      <c r="E145" s="22">
        <v>33850</v>
      </c>
      <c r="F145" s="22">
        <v>30600</v>
      </c>
      <c r="G145" s="22">
        <v>32400</v>
      </c>
      <c r="H145" s="22">
        <v>31300</v>
      </c>
      <c r="I145" s="22">
        <v>30000</v>
      </c>
      <c r="J145" s="22">
        <v>32200</v>
      </c>
      <c r="K145" s="22">
        <v>32800</v>
      </c>
      <c r="L145" s="22">
        <v>36150</v>
      </c>
      <c r="M145" s="22">
        <v>36400</v>
      </c>
      <c r="N145" s="22">
        <v>39850</v>
      </c>
      <c r="O145" s="22">
        <v>39500</v>
      </c>
      <c r="P145" s="22">
        <v>38300</v>
      </c>
      <c r="Q145" s="22">
        <v>37900</v>
      </c>
      <c r="R145" s="22">
        <v>40450</v>
      </c>
      <c r="S145" s="22">
        <v>44150</v>
      </c>
      <c r="T145" s="22">
        <v>40750</v>
      </c>
      <c r="U145" s="22">
        <v>37250</v>
      </c>
      <c r="V145" s="22">
        <v>35600</v>
      </c>
      <c r="W145" s="22">
        <v>40000</v>
      </c>
      <c r="X145" s="22">
        <v>36900</v>
      </c>
      <c r="Y145" s="22">
        <v>40000</v>
      </c>
      <c r="Z145" s="22">
        <v>38650</v>
      </c>
      <c r="AA145" s="22">
        <v>29490</v>
      </c>
      <c r="AB145" s="22">
        <v>32200</v>
      </c>
      <c r="AC145" s="22">
        <v>33650</v>
      </c>
      <c r="AD145" s="22">
        <v>30700</v>
      </c>
      <c r="AE145" s="22">
        <v>31500</v>
      </c>
      <c r="AF145" s="22">
        <v>30500</v>
      </c>
      <c r="AG145" s="22">
        <v>31300</v>
      </c>
      <c r="AH145" s="22">
        <v>30900</v>
      </c>
      <c r="AI145" s="22">
        <v>30400</v>
      </c>
      <c r="AJ145" s="22">
        <v>28780</v>
      </c>
      <c r="AK145" s="22">
        <v>29390</v>
      </c>
      <c r="AL145" s="22">
        <v>28070</v>
      </c>
      <c r="AM145" s="22">
        <v>27340</v>
      </c>
      <c r="AN145" s="22">
        <v>28150</v>
      </c>
      <c r="AO145" s="22">
        <v>29440</v>
      </c>
      <c r="AP145" s="22">
        <v>28370</v>
      </c>
      <c r="AQ145" s="22">
        <v>29870</v>
      </c>
      <c r="AR145" s="22">
        <v>27650</v>
      </c>
      <c r="AS145" s="22">
        <v>26130</v>
      </c>
      <c r="AT145" s="22">
        <v>27510</v>
      </c>
      <c r="AU145" s="22">
        <v>25860</v>
      </c>
      <c r="AV145" s="22">
        <v>26500</v>
      </c>
      <c r="AW145" s="22">
        <v>25200</v>
      </c>
      <c r="AX145" s="22">
        <v>26170</v>
      </c>
      <c r="AY145" s="22">
        <v>26690</v>
      </c>
      <c r="AZ145" s="22">
        <v>28030</v>
      </c>
      <c r="BA145" s="22">
        <v>26590</v>
      </c>
      <c r="BB145" s="22">
        <v>26220</v>
      </c>
      <c r="BC145" s="22">
        <v>27370</v>
      </c>
      <c r="BD145" s="22">
        <v>27340</v>
      </c>
      <c r="BE145" s="22">
        <v>28780</v>
      </c>
      <c r="BF145" s="22">
        <v>26900</v>
      </c>
      <c r="BG145" s="22">
        <v>26710</v>
      </c>
      <c r="BH145" s="22">
        <v>24710</v>
      </c>
      <c r="BI145" s="22">
        <v>25680</v>
      </c>
      <c r="BJ145" s="22">
        <v>25520</v>
      </c>
      <c r="BK145" s="22">
        <v>26300</v>
      </c>
      <c r="BL145" s="22">
        <v>23450</v>
      </c>
    </row>
    <row r="146" spans="1:64" ht="15.95" customHeight="1">
      <c r="A146" s="81" t="s">
        <v>402</v>
      </c>
      <c r="B146" s="17" t="s">
        <v>206</v>
      </c>
      <c r="C146" s="26">
        <f>_xll.RssMarket("4888","始値")</f>
        <v>333</v>
      </c>
      <c r="D146" s="25">
        <f t="shared" si="2"/>
        <v>0</v>
      </c>
      <c r="E146" s="22">
        <v>333</v>
      </c>
      <c r="F146" s="22">
        <v>335</v>
      </c>
      <c r="G146" s="22">
        <v>333</v>
      </c>
      <c r="H146" s="22">
        <v>321</v>
      </c>
      <c r="I146" s="22">
        <v>299</v>
      </c>
      <c r="J146" s="22">
        <v>320</v>
      </c>
      <c r="K146" s="22">
        <v>288</v>
      </c>
      <c r="L146" s="22">
        <v>341</v>
      </c>
      <c r="M146" s="22">
        <v>350</v>
      </c>
      <c r="N146" s="22">
        <v>332</v>
      </c>
      <c r="O146" s="22">
        <v>381</v>
      </c>
      <c r="P146" s="22">
        <v>388</v>
      </c>
      <c r="Q146" s="22">
        <v>415</v>
      </c>
      <c r="R146" s="22">
        <v>445</v>
      </c>
      <c r="S146" s="22">
        <v>444</v>
      </c>
      <c r="T146" s="22">
        <v>419</v>
      </c>
      <c r="U146" s="22">
        <v>426</v>
      </c>
      <c r="V146" s="22">
        <v>441</v>
      </c>
      <c r="W146" s="22">
        <v>431</v>
      </c>
      <c r="X146" s="22">
        <v>419</v>
      </c>
      <c r="Y146" s="22">
        <v>439</v>
      </c>
      <c r="Z146" s="22">
        <v>470</v>
      </c>
      <c r="AA146" s="22">
        <v>495</v>
      </c>
      <c r="AB146" s="22">
        <v>531</v>
      </c>
      <c r="AC146" s="22">
        <v>522</v>
      </c>
      <c r="AD146" s="22">
        <v>538</v>
      </c>
      <c r="AE146" s="22">
        <v>524</v>
      </c>
      <c r="AF146" s="22">
        <v>516</v>
      </c>
      <c r="AG146" s="22">
        <v>535</v>
      </c>
      <c r="AH146" s="22">
        <v>553</v>
      </c>
      <c r="AI146" s="22">
        <v>558</v>
      </c>
      <c r="AJ146" s="22">
        <v>571</v>
      </c>
      <c r="AK146" s="22">
        <v>616</v>
      </c>
      <c r="AL146" s="22">
        <v>716</v>
      </c>
      <c r="AM146" s="22">
        <v>713</v>
      </c>
      <c r="AN146" s="22">
        <v>740</v>
      </c>
      <c r="AO146" s="22">
        <v>670</v>
      </c>
      <c r="AP146" s="22">
        <v>697</v>
      </c>
      <c r="AQ146" s="22">
        <v>720</v>
      </c>
      <c r="AR146" s="22">
        <v>690</v>
      </c>
      <c r="AS146" s="22">
        <v>708</v>
      </c>
      <c r="AT146" s="22">
        <v>680</v>
      </c>
      <c r="AU146" s="22">
        <v>645</v>
      </c>
      <c r="AV146" s="22">
        <v>584</v>
      </c>
      <c r="AW146" s="22">
        <v>589</v>
      </c>
      <c r="AX146" s="22">
        <v>677</v>
      </c>
      <c r="AY146" s="22">
        <v>697</v>
      </c>
      <c r="AZ146" s="22">
        <v>720</v>
      </c>
      <c r="BA146" s="22">
        <v>759</v>
      </c>
      <c r="BB146" s="22">
        <v>836</v>
      </c>
      <c r="BC146" s="22">
        <v>765</v>
      </c>
      <c r="BD146" s="22">
        <v>851</v>
      </c>
      <c r="BE146" s="22">
        <v>825</v>
      </c>
      <c r="BF146" s="22">
        <v>765</v>
      </c>
      <c r="BG146" s="22">
        <v>624</v>
      </c>
      <c r="BH146" s="22">
        <v>550</v>
      </c>
      <c r="BI146" s="22">
        <v>475</v>
      </c>
      <c r="BJ146" s="22">
        <v>422</v>
      </c>
      <c r="BK146" s="22">
        <v>438</v>
      </c>
      <c r="BL146" s="22">
        <v>461</v>
      </c>
    </row>
    <row r="147" spans="1:64" ht="15.95" customHeight="1">
      <c r="A147" s="81" t="s">
        <v>403</v>
      </c>
      <c r="B147" s="17" t="s">
        <v>207</v>
      </c>
      <c r="C147" s="26">
        <f>_xll.RssMarket("6387","始値")</f>
        <v>15420</v>
      </c>
      <c r="D147" s="25">
        <f t="shared" si="2"/>
        <v>0</v>
      </c>
      <c r="E147" s="22">
        <v>15420</v>
      </c>
      <c r="F147" s="22">
        <v>15600</v>
      </c>
      <c r="G147" s="22">
        <v>14790</v>
      </c>
      <c r="H147" s="22">
        <v>12390</v>
      </c>
      <c r="I147" s="22">
        <v>11160</v>
      </c>
      <c r="J147" s="22">
        <v>12060</v>
      </c>
      <c r="K147" s="22">
        <v>11690</v>
      </c>
      <c r="L147" s="22">
        <v>12280</v>
      </c>
      <c r="M147" s="22">
        <v>12200</v>
      </c>
      <c r="N147" s="22">
        <v>12650</v>
      </c>
      <c r="O147" s="22">
        <v>11050</v>
      </c>
      <c r="P147" s="22">
        <v>10590</v>
      </c>
      <c r="Q147" s="22">
        <v>10190</v>
      </c>
      <c r="R147" s="22">
        <v>11500</v>
      </c>
      <c r="S147" s="22">
        <v>12240</v>
      </c>
      <c r="T147" s="22">
        <v>11060</v>
      </c>
      <c r="U147" s="22">
        <v>11200</v>
      </c>
      <c r="V147" s="22">
        <v>10810</v>
      </c>
      <c r="W147" s="22">
        <v>12120</v>
      </c>
      <c r="X147" s="22">
        <v>12630</v>
      </c>
      <c r="Y147" s="22">
        <v>13450</v>
      </c>
      <c r="Z147" s="22">
        <v>13470</v>
      </c>
      <c r="AA147" s="22">
        <v>12340</v>
      </c>
      <c r="AB147" s="22">
        <v>13170</v>
      </c>
      <c r="AC147" s="22">
        <v>14000</v>
      </c>
      <c r="AD147" s="22">
        <v>13770</v>
      </c>
      <c r="AE147" s="22">
        <v>12670</v>
      </c>
      <c r="AF147" s="22">
        <v>11570</v>
      </c>
      <c r="AG147" s="22">
        <v>11150</v>
      </c>
      <c r="AH147" s="22">
        <v>11000</v>
      </c>
      <c r="AI147" s="22">
        <v>10930</v>
      </c>
      <c r="AJ147" s="22">
        <v>11040</v>
      </c>
      <c r="AK147" s="22">
        <v>10490</v>
      </c>
      <c r="AL147" s="22">
        <v>9370</v>
      </c>
      <c r="AM147" s="22">
        <v>9600</v>
      </c>
      <c r="AN147" s="22">
        <v>9560</v>
      </c>
      <c r="AO147" s="22">
        <v>9880</v>
      </c>
      <c r="AP147" s="22">
        <v>9880</v>
      </c>
      <c r="AQ147" s="22">
        <v>10360</v>
      </c>
      <c r="AR147" s="22">
        <v>10290</v>
      </c>
      <c r="AS147" s="22">
        <v>9110</v>
      </c>
      <c r="AT147" s="22">
        <v>9310</v>
      </c>
      <c r="AU147" s="22">
        <v>9110</v>
      </c>
      <c r="AV147" s="22">
        <v>8810</v>
      </c>
      <c r="AW147" s="22">
        <v>8520</v>
      </c>
      <c r="AX147" s="22">
        <v>8300</v>
      </c>
      <c r="AY147" s="22">
        <v>8400</v>
      </c>
      <c r="AZ147" s="22">
        <v>8870</v>
      </c>
      <c r="BA147" s="22">
        <v>8600</v>
      </c>
      <c r="BB147" s="22">
        <v>7730</v>
      </c>
      <c r="BC147" s="22">
        <v>8090</v>
      </c>
      <c r="BD147" s="22">
        <v>8650</v>
      </c>
      <c r="BE147" s="22">
        <v>8340</v>
      </c>
      <c r="BF147" s="22">
        <v>8280</v>
      </c>
      <c r="BG147" s="22">
        <v>7800</v>
      </c>
      <c r="BH147" s="22">
        <v>7390</v>
      </c>
      <c r="BI147" s="22">
        <v>7520</v>
      </c>
      <c r="BJ147" s="22">
        <v>7360</v>
      </c>
      <c r="BK147" s="22">
        <v>8020</v>
      </c>
      <c r="BL147" s="22">
        <v>7380</v>
      </c>
    </row>
    <row r="148" spans="1:64" ht="15.95" customHeight="1">
      <c r="A148" s="81" t="s">
        <v>404</v>
      </c>
      <c r="B148" s="17" t="s">
        <v>208</v>
      </c>
      <c r="C148" s="26">
        <f>_xll.RssMarket("6838","始値")</f>
        <v>2230</v>
      </c>
      <c r="D148" s="25">
        <f t="shared" si="2"/>
        <v>0</v>
      </c>
      <c r="E148" s="22">
        <v>2230</v>
      </c>
      <c r="F148" s="22">
        <v>2280</v>
      </c>
      <c r="G148" s="22">
        <v>1850</v>
      </c>
      <c r="H148" s="22">
        <v>1821</v>
      </c>
      <c r="I148" s="22">
        <v>1716</v>
      </c>
      <c r="J148" s="22">
        <v>1933</v>
      </c>
      <c r="K148" s="22">
        <v>2239</v>
      </c>
      <c r="L148" s="22">
        <v>2346</v>
      </c>
      <c r="M148" s="22">
        <v>2307</v>
      </c>
      <c r="N148" s="22">
        <v>2300</v>
      </c>
      <c r="O148" s="22">
        <v>2287</v>
      </c>
      <c r="P148" s="22">
        <v>2260</v>
      </c>
      <c r="Q148" s="22">
        <v>2175</v>
      </c>
      <c r="R148" s="22">
        <v>2298</v>
      </c>
      <c r="S148" s="22">
        <v>2125</v>
      </c>
      <c r="T148" s="22">
        <v>1957</v>
      </c>
      <c r="U148" s="22">
        <v>1960</v>
      </c>
      <c r="V148" s="22">
        <v>2010</v>
      </c>
      <c r="W148" s="22">
        <v>2183</v>
      </c>
      <c r="X148" s="22">
        <v>2050</v>
      </c>
      <c r="Y148" s="22">
        <v>1934</v>
      </c>
      <c r="Z148" s="22">
        <v>1953</v>
      </c>
      <c r="AA148" s="22">
        <v>1970</v>
      </c>
      <c r="AB148" s="22">
        <v>2127</v>
      </c>
      <c r="AC148" s="22">
        <v>1970</v>
      </c>
      <c r="AD148" s="22">
        <v>1750</v>
      </c>
      <c r="AE148" s="22">
        <v>1702</v>
      </c>
      <c r="AF148" s="22">
        <v>1684</v>
      </c>
      <c r="AG148" s="22">
        <v>1602</v>
      </c>
      <c r="AH148" s="22">
        <v>1647</v>
      </c>
      <c r="AI148" s="22">
        <v>1697</v>
      </c>
      <c r="AJ148" s="22">
        <v>1799</v>
      </c>
      <c r="AK148" s="22">
        <v>1866</v>
      </c>
      <c r="AL148" s="22">
        <v>1790</v>
      </c>
      <c r="AM148" s="22">
        <v>1710</v>
      </c>
      <c r="AN148" s="22">
        <v>1615</v>
      </c>
      <c r="AO148" s="22">
        <v>1408</v>
      </c>
      <c r="AP148" s="22">
        <v>1271</v>
      </c>
      <c r="AQ148" s="22">
        <v>1310</v>
      </c>
      <c r="AR148" s="22">
        <v>1317</v>
      </c>
      <c r="AS148" s="22">
        <v>1265</v>
      </c>
      <c r="AT148" s="22">
        <v>1359</v>
      </c>
      <c r="AU148" s="22">
        <v>1398</v>
      </c>
      <c r="AV148" s="22">
        <v>1400</v>
      </c>
      <c r="AW148" s="22">
        <v>1361</v>
      </c>
      <c r="AX148" s="22">
        <v>1391</v>
      </c>
      <c r="AY148" s="22">
        <v>1238</v>
      </c>
      <c r="AZ148" s="22">
        <v>1289</v>
      </c>
      <c r="BA148" s="22">
        <v>1252</v>
      </c>
      <c r="BB148" s="22">
        <v>1251</v>
      </c>
      <c r="BC148" s="22">
        <v>1236</v>
      </c>
      <c r="BD148" s="22">
        <v>1284</v>
      </c>
      <c r="BE148" s="22">
        <v>1360</v>
      </c>
      <c r="BF148" s="22">
        <v>1332</v>
      </c>
      <c r="BG148" s="22">
        <v>1373</v>
      </c>
      <c r="BH148" s="22">
        <v>1371</v>
      </c>
      <c r="BI148" s="22">
        <v>1618</v>
      </c>
      <c r="BJ148" s="22">
        <v>1580</v>
      </c>
      <c r="BK148" s="22">
        <v>1369</v>
      </c>
      <c r="BL148" s="22">
        <v>1030</v>
      </c>
    </row>
    <row r="149" spans="1:64" ht="15.95" customHeight="1">
      <c r="A149" s="81" t="s">
        <v>405</v>
      </c>
      <c r="B149" s="17" t="s">
        <v>209</v>
      </c>
      <c r="C149" s="26">
        <f>_xll.RssMarket("7375","始値")</f>
        <v>1312</v>
      </c>
      <c r="D149" s="25">
        <f t="shared" si="2"/>
        <v>0</v>
      </c>
      <c r="E149" s="22">
        <v>1312</v>
      </c>
      <c r="F149" s="22">
        <v>1267</v>
      </c>
      <c r="G149" s="22">
        <v>1269</v>
      </c>
      <c r="H149" s="22">
        <v>1360</v>
      </c>
      <c r="I149" s="22">
        <v>1370</v>
      </c>
      <c r="J149" s="22">
        <v>1406</v>
      </c>
      <c r="K149" s="22">
        <v>1378</v>
      </c>
      <c r="L149" s="22">
        <v>1447</v>
      </c>
      <c r="M149" s="22">
        <v>1431</v>
      </c>
      <c r="N149" s="22">
        <v>1463</v>
      </c>
      <c r="O149" s="22">
        <v>1548</v>
      </c>
      <c r="P149" s="22">
        <v>1602</v>
      </c>
      <c r="Q149" s="22">
        <v>1675</v>
      </c>
      <c r="R149" s="22">
        <v>2000</v>
      </c>
      <c r="S149" s="22">
        <v>1755</v>
      </c>
      <c r="T149" s="22">
        <v>1860</v>
      </c>
      <c r="U149" s="22">
        <v>1918</v>
      </c>
      <c r="V149" s="22">
        <v>1980</v>
      </c>
      <c r="W149" s="22">
        <v>1820</v>
      </c>
      <c r="X149" s="22">
        <v>1507</v>
      </c>
      <c r="Y149" s="22">
        <v>1592</v>
      </c>
      <c r="Z149" s="22">
        <v>1698</v>
      </c>
      <c r="AA149" s="22">
        <v>1680</v>
      </c>
      <c r="AB149" s="22">
        <v>1719</v>
      </c>
      <c r="AC149" s="22">
        <v>1841</v>
      </c>
      <c r="AD149" s="22">
        <v>1785</v>
      </c>
      <c r="AE149" s="22">
        <v>1965</v>
      </c>
      <c r="AF149" s="22">
        <v>2222</v>
      </c>
      <c r="AG149" s="22">
        <v>2011</v>
      </c>
      <c r="AH149" s="22">
        <v>2005</v>
      </c>
      <c r="AI149" s="22">
        <v>2164</v>
      </c>
      <c r="AJ149" s="22">
        <v>2215</v>
      </c>
      <c r="AK149" s="22">
        <v>2450</v>
      </c>
      <c r="AL149" s="22">
        <v>2172</v>
      </c>
      <c r="AM149" s="22">
        <v>2056</v>
      </c>
      <c r="AN149" s="22">
        <v>2063</v>
      </c>
      <c r="AO149" s="22">
        <v>2077</v>
      </c>
      <c r="AP149" s="22">
        <v>2020</v>
      </c>
      <c r="AQ149" s="22">
        <v>1724</v>
      </c>
      <c r="AR149" s="22">
        <v>1464</v>
      </c>
      <c r="AS149" s="22">
        <v>1480</v>
      </c>
      <c r="AT149" s="22">
        <v>1573</v>
      </c>
      <c r="AU149" s="22">
        <v>1533</v>
      </c>
      <c r="AV149" s="22">
        <v>1940</v>
      </c>
      <c r="AW149" s="22">
        <v>1610</v>
      </c>
      <c r="AX149" s="22">
        <v>1628</v>
      </c>
      <c r="AY149" s="22">
        <v>1332</v>
      </c>
      <c r="AZ149" s="22">
        <v>1110</v>
      </c>
      <c r="BA149" s="22">
        <v>1383</v>
      </c>
      <c r="BB149" s="22">
        <v>1339</v>
      </c>
      <c r="BC149" s="22">
        <v>1417</v>
      </c>
      <c r="BD149" s="22">
        <v>1090</v>
      </c>
      <c r="BE149" s="22">
        <v>1066</v>
      </c>
      <c r="BF149" s="22">
        <v>1101</v>
      </c>
      <c r="BG149" s="22">
        <v>1181</v>
      </c>
      <c r="BH149" s="22">
        <v>1053</v>
      </c>
      <c r="BI149" s="22">
        <v>1061</v>
      </c>
      <c r="BJ149" s="22">
        <v>1013</v>
      </c>
      <c r="BK149" s="22">
        <v>1208</v>
      </c>
      <c r="BL149" s="22">
        <v>1100</v>
      </c>
    </row>
    <row r="150" spans="1:64" ht="15.95" customHeight="1">
      <c r="A150" s="81" t="s">
        <v>406</v>
      </c>
      <c r="B150" s="17" t="s">
        <v>210</v>
      </c>
      <c r="C150" s="26">
        <f>_xll.RssMarket("4307","始値")</f>
        <v>4550</v>
      </c>
      <c r="D150" s="25">
        <f t="shared" si="2"/>
        <v>0</v>
      </c>
      <c r="E150" s="22">
        <v>4550</v>
      </c>
      <c r="F150" s="22">
        <v>4500</v>
      </c>
      <c r="G150" s="22">
        <v>4619</v>
      </c>
      <c r="H150" s="22">
        <v>4595</v>
      </c>
      <c r="I150" s="22">
        <v>4625</v>
      </c>
      <c r="J150" s="22">
        <v>4622</v>
      </c>
      <c r="K150" s="22">
        <v>4812</v>
      </c>
      <c r="L150" s="22">
        <v>4799</v>
      </c>
      <c r="M150" s="22">
        <v>4696</v>
      </c>
      <c r="N150" s="22">
        <v>4947</v>
      </c>
      <c r="O150" s="22">
        <v>5324</v>
      </c>
      <c r="P150" s="22">
        <v>5000</v>
      </c>
      <c r="Q150" s="22">
        <v>4745</v>
      </c>
      <c r="R150" s="22">
        <v>4570</v>
      </c>
      <c r="S150" s="22">
        <v>4685</v>
      </c>
      <c r="T150" s="22">
        <v>4640</v>
      </c>
      <c r="U150" s="22">
        <v>4735</v>
      </c>
      <c r="V150" s="22">
        <v>4838</v>
      </c>
      <c r="W150" s="22">
        <v>4684</v>
      </c>
      <c r="X150" s="22">
        <v>4432</v>
      </c>
      <c r="Y150" s="22">
        <v>4215</v>
      </c>
      <c r="Z150" s="22">
        <v>4270</v>
      </c>
      <c r="AA150" s="22">
        <v>4230</v>
      </c>
      <c r="AB150" s="22">
        <v>4215</v>
      </c>
      <c r="AC150" s="22">
        <v>4281</v>
      </c>
      <c r="AD150" s="22">
        <v>4347</v>
      </c>
      <c r="AE150" s="22">
        <v>4113</v>
      </c>
      <c r="AF150" s="22">
        <v>4142</v>
      </c>
      <c r="AG150" s="22">
        <v>4215</v>
      </c>
      <c r="AH150" s="22">
        <v>4479</v>
      </c>
      <c r="AI150" s="22">
        <v>4583</v>
      </c>
      <c r="AJ150" s="22">
        <v>5000</v>
      </c>
      <c r="AK150" s="22">
        <v>5123</v>
      </c>
      <c r="AL150" s="22">
        <v>5098</v>
      </c>
      <c r="AM150" s="22">
        <v>5008</v>
      </c>
      <c r="AN150" s="22">
        <v>4997</v>
      </c>
      <c r="AO150" s="22">
        <v>4989</v>
      </c>
      <c r="AP150" s="22">
        <v>4994</v>
      </c>
      <c r="AQ150" s="22">
        <v>4765</v>
      </c>
      <c r="AR150" s="22">
        <v>4632</v>
      </c>
      <c r="AS150" s="22">
        <v>4390</v>
      </c>
      <c r="AT150" s="22">
        <v>4445</v>
      </c>
      <c r="AU150" s="22">
        <v>4505</v>
      </c>
      <c r="AV150" s="22">
        <v>4560</v>
      </c>
      <c r="AW150" s="22">
        <v>4460</v>
      </c>
      <c r="AX150" s="22">
        <v>4472</v>
      </c>
      <c r="AY150" s="22">
        <v>4416</v>
      </c>
      <c r="AZ150" s="22">
        <v>4609</v>
      </c>
      <c r="BA150" s="22">
        <v>4450</v>
      </c>
      <c r="BB150" s="22">
        <v>4349</v>
      </c>
      <c r="BC150" s="22">
        <v>4078</v>
      </c>
      <c r="BD150" s="22">
        <v>4260</v>
      </c>
      <c r="BE150" s="22">
        <v>4241</v>
      </c>
      <c r="BF150" s="22">
        <v>4153</v>
      </c>
      <c r="BG150" s="22">
        <v>4320</v>
      </c>
      <c r="BH150" s="22">
        <v>4206</v>
      </c>
      <c r="BI150" s="22">
        <v>4366</v>
      </c>
      <c r="BJ150" s="22">
        <v>4286</v>
      </c>
      <c r="BK150" s="22">
        <v>4278</v>
      </c>
      <c r="BL150" s="22">
        <v>4276</v>
      </c>
    </row>
    <row r="151" spans="1:64" ht="15.95" customHeight="1">
      <c r="A151" s="81" t="s">
        <v>407</v>
      </c>
      <c r="B151" s="17" t="s">
        <v>211</v>
      </c>
      <c r="C151" s="26">
        <f>_xll.RssMarket("6516","始値")</f>
        <v>6450</v>
      </c>
      <c r="D151" s="25">
        <f t="shared" si="2"/>
        <v>0</v>
      </c>
      <c r="E151" s="22">
        <v>6450</v>
      </c>
      <c r="F151" s="22">
        <v>6600</v>
      </c>
      <c r="G151" s="22">
        <v>6580</v>
      </c>
      <c r="H151" s="22">
        <v>6350</v>
      </c>
      <c r="I151" s="22">
        <v>6080</v>
      </c>
      <c r="J151" s="22">
        <v>6460</v>
      </c>
      <c r="K151" s="22">
        <v>6340</v>
      </c>
      <c r="L151" s="22">
        <v>6620</v>
      </c>
      <c r="M151" s="22">
        <v>6600</v>
      </c>
      <c r="N151" s="22">
        <v>6640</v>
      </c>
      <c r="O151" s="22">
        <v>6400</v>
      </c>
      <c r="P151" s="22">
        <v>6830</v>
      </c>
      <c r="Q151" s="22">
        <v>6710</v>
      </c>
      <c r="R151" s="22">
        <v>7040</v>
      </c>
      <c r="S151" s="22">
        <v>7150</v>
      </c>
      <c r="T151" s="22">
        <v>7100</v>
      </c>
      <c r="U151" s="22">
        <v>6900</v>
      </c>
      <c r="V151" s="22">
        <v>7300</v>
      </c>
      <c r="W151" s="22">
        <v>7410</v>
      </c>
      <c r="X151" s="22">
        <v>7570</v>
      </c>
      <c r="Y151" s="22">
        <v>7700</v>
      </c>
      <c r="Z151" s="22">
        <v>7410</v>
      </c>
      <c r="AA151" s="22">
        <v>7770</v>
      </c>
      <c r="AB151" s="22">
        <v>7590</v>
      </c>
      <c r="AC151" s="22">
        <v>7190</v>
      </c>
      <c r="AD151" s="22">
        <v>7050</v>
      </c>
      <c r="AE151" s="22">
        <v>6820</v>
      </c>
      <c r="AF151" s="22">
        <v>7020</v>
      </c>
      <c r="AG151" s="22">
        <v>7230</v>
      </c>
      <c r="AH151" s="22">
        <v>5690</v>
      </c>
      <c r="AI151" s="22">
        <v>5190</v>
      </c>
      <c r="AJ151" s="22">
        <v>5270</v>
      </c>
      <c r="AK151" s="22">
        <v>5220</v>
      </c>
      <c r="AL151" s="22">
        <v>5240</v>
      </c>
      <c r="AM151" s="22">
        <v>5190</v>
      </c>
      <c r="AN151" s="22">
        <v>5200</v>
      </c>
      <c r="AO151" s="22">
        <v>5240</v>
      </c>
      <c r="AP151" s="22">
        <v>5400</v>
      </c>
      <c r="AQ151" s="22">
        <v>5080</v>
      </c>
      <c r="AR151" s="22">
        <v>5040</v>
      </c>
      <c r="AS151" s="22">
        <v>4940</v>
      </c>
      <c r="AT151" s="22">
        <v>4870</v>
      </c>
      <c r="AU151" s="22">
        <v>4830</v>
      </c>
      <c r="AV151" s="22">
        <v>4570</v>
      </c>
      <c r="AW151" s="22">
        <v>4590</v>
      </c>
      <c r="AX151" s="22">
        <v>4490</v>
      </c>
      <c r="AY151" s="22">
        <v>4665</v>
      </c>
      <c r="AZ151" s="22">
        <v>4545</v>
      </c>
      <c r="BA151" s="22">
        <v>4310</v>
      </c>
      <c r="BB151" s="22">
        <v>4230</v>
      </c>
      <c r="BC151" s="22">
        <v>4470</v>
      </c>
      <c r="BD151" s="22">
        <v>4555</v>
      </c>
      <c r="BE151" s="22">
        <v>4555</v>
      </c>
      <c r="BF151" s="22">
        <v>4445</v>
      </c>
      <c r="BG151" s="22">
        <v>4415</v>
      </c>
      <c r="BH151" s="22">
        <v>4670</v>
      </c>
      <c r="BI151" s="22">
        <v>4730</v>
      </c>
      <c r="BJ151" s="22">
        <v>4700</v>
      </c>
      <c r="BK151" s="22">
        <v>4610</v>
      </c>
      <c r="BL151" s="22">
        <v>4565</v>
      </c>
    </row>
    <row r="152" spans="1:64" ht="15.95" customHeight="1">
      <c r="A152" s="81" t="s">
        <v>408</v>
      </c>
      <c r="B152" s="17" t="s">
        <v>212</v>
      </c>
      <c r="C152" s="26">
        <f>_xll.RssMarket("7381","始値")</f>
        <v>1004</v>
      </c>
      <c r="D152" s="25">
        <f t="shared" si="2"/>
        <v>0</v>
      </c>
      <c r="E152" s="22">
        <v>1004</v>
      </c>
      <c r="F152" s="22">
        <v>997</v>
      </c>
      <c r="G152" s="22">
        <v>1014</v>
      </c>
      <c r="H152" s="22">
        <v>987</v>
      </c>
      <c r="I152" s="22">
        <v>990</v>
      </c>
      <c r="J152" s="22">
        <v>996</v>
      </c>
      <c r="K152" s="22">
        <v>1004</v>
      </c>
      <c r="L152" s="22">
        <v>1043</v>
      </c>
      <c r="M152" s="22">
        <v>1010</v>
      </c>
      <c r="N152" s="22">
        <v>1029</v>
      </c>
      <c r="O152" s="22">
        <v>998</v>
      </c>
      <c r="P152" s="22">
        <v>1050</v>
      </c>
      <c r="Q152" s="22">
        <v>1047</v>
      </c>
      <c r="R152" s="22">
        <v>1051</v>
      </c>
      <c r="S152" s="22">
        <v>1050</v>
      </c>
      <c r="T152" s="22">
        <v>1089</v>
      </c>
      <c r="U152" s="22">
        <v>1051</v>
      </c>
      <c r="V152" s="22">
        <v>1028</v>
      </c>
      <c r="W152" s="22">
        <v>1045</v>
      </c>
      <c r="X152" s="22">
        <v>1043</v>
      </c>
      <c r="Y152" s="22">
        <v>1045</v>
      </c>
      <c r="Z152" s="22">
        <v>1027</v>
      </c>
      <c r="AA152" s="22">
        <v>1011</v>
      </c>
      <c r="AB152" s="22">
        <v>1013</v>
      </c>
      <c r="AC152" s="22">
        <v>1000</v>
      </c>
      <c r="AD152" s="22">
        <v>995</v>
      </c>
      <c r="AE152" s="22">
        <v>982</v>
      </c>
      <c r="AF152" s="22">
        <v>941</v>
      </c>
      <c r="AG152" s="22">
        <v>939</v>
      </c>
      <c r="AH152" s="22">
        <v>916</v>
      </c>
      <c r="AI152" s="22">
        <v>920</v>
      </c>
      <c r="AJ152" s="22">
        <v>920</v>
      </c>
      <c r="AK152" s="22">
        <v>920</v>
      </c>
      <c r="AL152" s="22">
        <v>970</v>
      </c>
      <c r="AM152" s="22">
        <v>1001</v>
      </c>
      <c r="AN152" s="22">
        <v>1020</v>
      </c>
      <c r="AO152" s="22">
        <v>1030</v>
      </c>
      <c r="AP152" s="22">
        <v>1045</v>
      </c>
      <c r="AQ152" s="22">
        <v>1031</v>
      </c>
      <c r="AR152" s="22">
        <v>1027</v>
      </c>
      <c r="AS152" s="22">
        <v>1020</v>
      </c>
      <c r="AT152" s="22">
        <v>1034</v>
      </c>
      <c r="AU152" s="22">
        <v>1044</v>
      </c>
      <c r="AV152" s="22">
        <v>1050</v>
      </c>
      <c r="AW152" s="22">
        <v>1015</v>
      </c>
      <c r="AX152" s="22">
        <v>993</v>
      </c>
      <c r="AY152" s="22">
        <v>989</v>
      </c>
      <c r="AZ152" s="22">
        <v>1005</v>
      </c>
      <c r="BA152" s="22">
        <v>975</v>
      </c>
      <c r="BB152" s="22">
        <v>930</v>
      </c>
      <c r="BC152" s="22">
        <v>928</v>
      </c>
      <c r="BD152" s="22">
        <v>967</v>
      </c>
      <c r="BE152" s="22">
        <v>974</v>
      </c>
      <c r="BF152" s="22">
        <v>976</v>
      </c>
      <c r="BG152" s="22">
        <v>949</v>
      </c>
      <c r="BH152" s="22">
        <v>928</v>
      </c>
      <c r="BI152" s="22">
        <v>982</v>
      </c>
      <c r="BJ152" s="22">
        <v>985</v>
      </c>
      <c r="BK152" s="22">
        <v>968</v>
      </c>
      <c r="BL152" s="22">
        <v>967</v>
      </c>
    </row>
    <row r="153" spans="1:64" ht="15.95" customHeight="1">
      <c r="A153" s="81" t="s">
        <v>409</v>
      </c>
      <c r="B153" s="17" t="s">
        <v>213</v>
      </c>
      <c r="C153" s="26">
        <f>_xll.RssMarket("4417","始値")</f>
        <v>3070</v>
      </c>
      <c r="D153" s="25">
        <f t="shared" si="2"/>
        <v>0</v>
      </c>
      <c r="E153" s="22">
        <v>3070</v>
      </c>
      <c r="F153" s="22">
        <v>3110</v>
      </c>
      <c r="G153" s="22">
        <v>3070</v>
      </c>
      <c r="H153" s="22">
        <v>3100</v>
      </c>
      <c r="I153" s="22">
        <v>3090</v>
      </c>
      <c r="J153" s="22">
        <v>3200</v>
      </c>
      <c r="K153" s="22">
        <v>3030</v>
      </c>
      <c r="L153" s="22">
        <v>3160</v>
      </c>
      <c r="M153" s="22">
        <v>3050</v>
      </c>
      <c r="N153" s="22">
        <v>3300</v>
      </c>
      <c r="O153" s="22">
        <v>3375</v>
      </c>
      <c r="P153" s="22">
        <v>3310</v>
      </c>
      <c r="Q153" s="22">
        <v>3245</v>
      </c>
      <c r="R153" s="22">
        <v>3300</v>
      </c>
      <c r="S153" s="22">
        <v>3350</v>
      </c>
      <c r="T153" s="22">
        <v>3115</v>
      </c>
      <c r="U153" s="22">
        <v>3000</v>
      </c>
      <c r="V153" s="22">
        <v>2940</v>
      </c>
      <c r="W153" s="22">
        <v>2839</v>
      </c>
      <c r="X153" s="22">
        <v>2808</v>
      </c>
      <c r="Y153" s="22">
        <v>2721</v>
      </c>
      <c r="Z153" s="22">
        <v>2945</v>
      </c>
      <c r="AA153" s="22">
        <v>2942</v>
      </c>
      <c r="AB153" s="22">
        <v>2925</v>
      </c>
      <c r="AC153" s="22">
        <v>2910</v>
      </c>
      <c r="AD153" s="22">
        <v>2779</v>
      </c>
      <c r="AE153" s="22">
        <v>2732</v>
      </c>
      <c r="AF153" s="22">
        <v>2780</v>
      </c>
      <c r="AG153" s="22">
        <v>2480</v>
      </c>
      <c r="AH153" s="22">
        <v>2511</v>
      </c>
      <c r="AI153" s="22">
        <v>2529</v>
      </c>
      <c r="AJ153" s="22">
        <v>2450</v>
      </c>
      <c r="AK153" s="22">
        <v>2501</v>
      </c>
      <c r="AL153" s="22">
        <v>2449</v>
      </c>
      <c r="AM153" s="22">
        <v>2470</v>
      </c>
      <c r="AN153" s="22">
        <v>2502</v>
      </c>
      <c r="AO153" s="22">
        <v>2490</v>
      </c>
      <c r="AP153" s="22">
        <v>2456</v>
      </c>
      <c r="AQ153" s="22">
        <v>2285</v>
      </c>
      <c r="AR153" s="22">
        <v>2321</v>
      </c>
      <c r="AS153" s="22">
        <v>2395</v>
      </c>
      <c r="AT153" s="22">
        <v>2519</v>
      </c>
      <c r="AU153" s="22">
        <v>2571</v>
      </c>
      <c r="AV153" s="22">
        <v>2565</v>
      </c>
      <c r="AW153" s="22">
        <v>2538</v>
      </c>
      <c r="AX153" s="22">
        <v>2505</v>
      </c>
      <c r="AY153" s="22">
        <v>2493</v>
      </c>
      <c r="AZ153" s="22">
        <v>2510</v>
      </c>
      <c r="BA153" s="22">
        <v>2438</v>
      </c>
      <c r="BB153" s="22">
        <v>2311</v>
      </c>
      <c r="BC153" s="22">
        <v>2229</v>
      </c>
      <c r="BD153" s="22">
        <v>2333</v>
      </c>
      <c r="BE153" s="22">
        <v>2451</v>
      </c>
      <c r="BF153" s="22">
        <v>2416</v>
      </c>
      <c r="BG153" s="22">
        <v>2378</v>
      </c>
      <c r="BH153" s="22">
        <v>2309</v>
      </c>
      <c r="BI153" s="22">
        <v>2450</v>
      </c>
      <c r="BJ153" s="22">
        <v>2428</v>
      </c>
      <c r="BK153" s="22">
        <v>2420</v>
      </c>
      <c r="BL153" s="22">
        <v>2400</v>
      </c>
    </row>
    <row r="154" spans="1:64" ht="15.95" customHeight="1">
      <c r="A154" s="81" t="s">
        <v>410</v>
      </c>
      <c r="B154" s="17" t="s">
        <v>214</v>
      </c>
      <c r="C154" s="26">
        <f>_xll.RssMarket("6981","始値")</f>
        <v>10230</v>
      </c>
      <c r="D154" s="25">
        <f t="shared" si="2"/>
        <v>0</v>
      </c>
      <c r="E154" s="22">
        <v>10230</v>
      </c>
      <c r="F154" s="22">
        <v>10560</v>
      </c>
      <c r="G154" s="22">
        <v>9456</v>
      </c>
      <c r="H154" s="22">
        <v>9567</v>
      </c>
      <c r="I154" s="22">
        <v>8218</v>
      </c>
      <c r="J154" s="22">
        <v>9392</v>
      </c>
      <c r="K154" s="22">
        <v>8795</v>
      </c>
      <c r="L154" s="22">
        <v>9500</v>
      </c>
      <c r="M154" s="22">
        <v>10120</v>
      </c>
      <c r="N154" s="22">
        <v>10300</v>
      </c>
      <c r="O154" s="22">
        <v>10410</v>
      </c>
      <c r="P154" s="22">
        <v>9128</v>
      </c>
      <c r="Q154" s="22">
        <v>7700</v>
      </c>
      <c r="R154" s="22">
        <v>8227</v>
      </c>
      <c r="S154" s="22">
        <v>7338</v>
      </c>
      <c r="T154" s="22">
        <v>6715</v>
      </c>
      <c r="U154" s="22">
        <v>6352</v>
      </c>
      <c r="V154" s="22">
        <v>5990</v>
      </c>
      <c r="W154" s="22">
        <v>6234</v>
      </c>
      <c r="X154" s="22">
        <v>6051</v>
      </c>
      <c r="Y154" s="22">
        <v>6429</v>
      </c>
      <c r="Z154" s="22">
        <v>6146</v>
      </c>
      <c r="AA154" s="22">
        <v>5947</v>
      </c>
      <c r="AB154" s="22">
        <v>6078</v>
      </c>
      <c r="AC154" s="22">
        <v>5993</v>
      </c>
      <c r="AD154" s="22">
        <v>5590</v>
      </c>
      <c r="AE154" s="22">
        <v>5400</v>
      </c>
      <c r="AF154" s="22">
        <v>5000</v>
      </c>
      <c r="AG154" s="22">
        <v>4848</v>
      </c>
      <c r="AH154" s="22">
        <v>4933</v>
      </c>
      <c r="AI154" s="22">
        <v>5001</v>
      </c>
      <c r="AJ154" s="22">
        <v>4950</v>
      </c>
      <c r="AK154" s="22">
        <v>4841</v>
      </c>
      <c r="AL154" s="22">
        <v>4827</v>
      </c>
      <c r="AM154" s="22">
        <v>4740</v>
      </c>
      <c r="AN154" s="22">
        <v>4662</v>
      </c>
      <c r="AO154" s="22">
        <v>4722</v>
      </c>
      <c r="AP154" s="22">
        <v>4570</v>
      </c>
      <c r="AQ154" s="22">
        <v>4485</v>
      </c>
      <c r="AR154" s="22">
        <v>4208</v>
      </c>
      <c r="AS154" s="22">
        <v>4077</v>
      </c>
      <c r="AT154" s="22">
        <v>3988</v>
      </c>
      <c r="AU154" s="22">
        <v>3930</v>
      </c>
      <c r="AV154" s="22">
        <v>3996</v>
      </c>
      <c r="AW154" s="22">
        <v>3822</v>
      </c>
      <c r="AX154" s="22">
        <v>3780</v>
      </c>
      <c r="AY154" s="22">
        <v>3707</v>
      </c>
      <c r="AZ154" s="22">
        <v>3704</v>
      </c>
      <c r="BA154" s="22">
        <v>3619</v>
      </c>
      <c r="BB154" s="22">
        <v>3451</v>
      </c>
      <c r="BC154" s="22">
        <v>3486</v>
      </c>
      <c r="BD154" s="22">
        <v>3672</v>
      </c>
      <c r="BE154" s="22">
        <v>3673</v>
      </c>
      <c r="BF154" s="22">
        <v>3666</v>
      </c>
      <c r="BG154" s="22">
        <v>3637</v>
      </c>
      <c r="BH154" s="22">
        <v>3500</v>
      </c>
      <c r="BI154" s="22">
        <v>3710</v>
      </c>
      <c r="BJ154" s="22">
        <v>3900</v>
      </c>
      <c r="BK154" s="22">
        <v>3715</v>
      </c>
      <c r="BL154" s="22">
        <v>3580</v>
      </c>
    </row>
    <row r="155" spans="1:64" ht="15.95" customHeight="1">
      <c r="A155" s="81" t="s">
        <v>411</v>
      </c>
      <c r="B155" s="17" t="s">
        <v>215</v>
      </c>
      <c r="C155" s="26">
        <f>_xll.RssMarket("6754","始値")</f>
        <v>4001</v>
      </c>
      <c r="D155" s="25">
        <f t="shared" si="2"/>
        <v>0</v>
      </c>
      <c r="E155" s="22">
        <v>4001</v>
      </c>
      <c r="F155" s="22">
        <v>3947</v>
      </c>
      <c r="G155" s="22">
        <v>4022</v>
      </c>
      <c r="H155" s="22">
        <v>3975</v>
      </c>
      <c r="I155" s="22">
        <v>3694</v>
      </c>
      <c r="J155" s="22">
        <v>4120</v>
      </c>
      <c r="K155" s="22">
        <v>4199</v>
      </c>
      <c r="L155" s="22">
        <v>4515</v>
      </c>
      <c r="M155" s="22">
        <v>4698</v>
      </c>
      <c r="N155" s="22">
        <v>4654</v>
      </c>
      <c r="O155" s="22">
        <v>4700</v>
      </c>
      <c r="P155" s="22">
        <v>4535</v>
      </c>
      <c r="Q155" s="22">
        <v>4544</v>
      </c>
      <c r="R155" s="22">
        <v>4680</v>
      </c>
      <c r="S155" s="22">
        <v>4650</v>
      </c>
      <c r="T155" s="22">
        <v>4595</v>
      </c>
      <c r="U155" s="22">
        <v>4428</v>
      </c>
      <c r="V155" s="22">
        <v>4284</v>
      </c>
      <c r="W155" s="22">
        <v>4195</v>
      </c>
      <c r="X155" s="22">
        <v>4236</v>
      </c>
      <c r="Y155" s="22">
        <v>4322</v>
      </c>
      <c r="Z155" s="22">
        <v>4164</v>
      </c>
      <c r="AA155" s="22">
        <v>3985</v>
      </c>
      <c r="AB155" s="22">
        <v>4151</v>
      </c>
      <c r="AC155" s="22">
        <v>4300</v>
      </c>
      <c r="AD155" s="22">
        <v>4062</v>
      </c>
      <c r="AE155" s="22">
        <v>3946</v>
      </c>
      <c r="AF155" s="22">
        <v>3899</v>
      </c>
      <c r="AG155" s="22">
        <v>3936</v>
      </c>
      <c r="AH155" s="22">
        <v>3875</v>
      </c>
      <c r="AI155" s="22">
        <v>3694</v>
      </c>
      <c r="AJ155" s="22">
        <v>3592</v>
      </c>
      <c r="AK155" s="22">
        <v>3588</v>
      </c>
      <c r="AL155" s="22">
        <v>3616</v>
      </c>
      <c r="AM155" s="22">
        <v>3590</v>
      </c>
      <c r="AN155" s="22">
        <v>3392</v>
      </c>
      <c r="AO155" s="22">
        <v>3444</v>
      </c>
      <c r="AP155" s="22">
        <v>3419</v>
      </c>
      <c r="AQ155" s="22">
        <v>3478</v>
      </c>
      <c r="AR155" s="22">
        <v>3434</v>
      </c>
      <c r="AS155" s="22">
        <v>3400</v>
      </c>
      <c r="AT155" s="22">
        <v>3280</v>
      </c>
      <c r="AU155" s="22">
        <v>3274</v>
      </c>
      <c r="AV155" s="22">
        <v>3132</v>
      </c>
      <c r="AW155" s="22">
        <v>3048</v>
      </c>
      <c r="AX155" s="22">
        <v>3047</v>
      </c>
      <c r="AY155" s="22">
        <v>2978</v>
      </c>
      <c r="AZ155" s="22">
        <v>3000</v>
      </c>
      <c r="BA155" s="22">
        <v>2938</v>
      </c>
      <c r="BB155" s="22">
        <v>2750</v>
      </c>
      <c r="BC155" s="22">
        <v>2670</v>
      </c>
      <c r="BD155" s="22">
        <v>2838.5</v>
      </c>
      <c r="BE155" s="22">
        <v>2980</v>
      </c>
      <c r="BF155" s="22">
        <v>2924</v>
      </c>
      <c r="BG155" s="22">
        <v>2807.5</v>
      </c>
      <c r="BH155" s="22">
        <v>2657.5</v>
      </c>
      <c r="BI155" s="22">
        <v>2844.5</v>
      </c>
      <c r="BJ155" s="22">
        <v>2825.5</v>
      </c>
      <c r="BK155" s="22">
        <v>2980</v>
      </c>
      <c r="BL155" s="22">
        <v>2908.5</v>
      </c>
    </row>
    <row r="156" spans="1:64" ht="15.95" customHeight="1">
      <c r="A156" s="81" t="s">
        <v>412</v>
      </c>
      <c r="B156" s="17" t="s">
        <v>216</v>
      </c>
      <c r="C156" s="26">
        <f>_xll.RssMarket("4088","始値")</f>
        <v>2500</v>
      </c>
      <c r="D156" s="25">
        <f t="shared" si="2"/>
        <v>0</v>
      </c>
      <c r="E156" s="22">
        <v>2500</v>
      </c>
      <c r="F156" s="22">
        <v>2552</v>
      </c>
      <c r="G156" s="22">
        <v>2441</v>
      </c>
      <c r="H156" s="22">
        <v>2435</v>
      </c>
      <c r="I156" s="22">
        <v>2460</v>
      </c>
      <c r="J156" s="22">
        <v>2444</v>
      </c>
      <c r="K156" s="22">
        <v>2423</v>
      </c>
      <c r="L156" s="22">
        <v>2440</v>
      </c>
      <c r="M156" s="22">
        <v>2518</v>
      </c>
      <c r="N156" s="22">
        <v>2470</v>
      </c>
      <c r="O156" s="22">
        <v>2488</v>
      </c>
      <c r="P156" s="22">
        <v>2576</v>
      </c>
      <c r="Q156" s="22">
        <v>2599</v>
      </c>
      <c r="R156" s="22">
        <v>2578</v>
      </c>
      <c r="S156" s="22">
        <v>2616</v>
      </c>
      <c r="T156" s="22">
        <v>2580</v>
      </c>
      <c r="U156" s="22">
        <v>2500</v>
      </c>
      <c r="V156" s="22">
        <v>2451</v>
      </c>
      <c r="W156" s="22">
        <v>2290</v>
      </c>
      <c r="X156" s="22">
        <v>2167</v>
      </c>
      <c r="Y156" s="22">
        <v>2115</v>
      </c>
      <c r="Z156" s="22">
        <v>2052</v>
      </c>
      <c r="AA156" s="22">
        <v>2005</v>
      </c>
      <c r="AB156" s="22">
        <v>1964.5</v>
      </c>
      <c r="AC156" s="22">
        <v>1915</v>
      </c>
      <c r="AD156" s="22">
        <v>1890</v>
      </c>
      <c r="AE156" s="22">
        <v>2039</v>
      </c>
      <c r="AF156" s="22">
        <v>2239</v>
      </c>
      <c r="AG156" s="22">
        <v>2254</v>
      </c>
      <c r="AH156" s="22">
        <v>2232.5</v>
      </c>
      <c r="AI156" s="22">
        <v>2223.5</v>
      </c>
      <c r="AJ156" s="22">
        <v>2200</v>
      </c>
      <c r="AK156" s="22">
        <v>2255.5</v>
      </c>
      <c r="AL156" s="22">
        <v>2275</v>
      </c>
      <c r="AM156" s="22">
        <v>2287.5</v>
      </c>
      <c r="AN156" s="22">
        <v>2302</v>
      </c>
      <c r="AO156" s="22">
        <v>2293.5</v>
      </c>
      <c r="AP156" s="22">
        <v>2283</v>
      </c>
      <c r="AQ156" s="22">
        <v>2250</v>
      </c>
      <c r="AR156" s="22">
        <v>2227</v>
      </c>
      <c r="AS156" s="22">
        <v>2245.5</v>
      </c>
      <c r="AT156" s="22">
        <v>2295</v>
      </c>
      <c r="AU156" s="22">
        <v>2315.5</v>
      </c>
      <c r="AV156" s="22">
        <v>2238.5</v>
      </c>
      <c r="AW156" s="22">
        <v>2198</v>
      </c>
      <c r="AX156" s="22">
        <v>2162.5</v>
      </c>
      <c r="AY156" s="22">
        <v>2206</v>
      </c>
      <c r="AZ156" s="22">
        <v>2174.5</v>
      </c>
      <c r="BA156" s="22">
        <v>2127</v>
      </c>
      <c r="BB156" s="22">
        <v>2108.5</v>
      </c>
      <c r="BC156" s="22">
        <v>2153</v>
      </c>
      <c r="BD156" s="22">
        <v>2160</v>
      </c>
      <c r="BE156" s="22">
        <v>2148</v>
      </c>
      <c r="BF156" s="22">
        <v>2074.5</v>
      </c>
      <c r="BG156" s="22">
        <v>2062.5</v>
      </c>
      <c r="BH156" s="22">
        <v>2132</v>
      </c>
      <c r="BI156" s="22">
        <v>2157.5</v>
      </c>
      <c r="BJ156" s="22">
        <v>2156</v>
      </c>
      <c r="BK156" s="22">
        <v>2109.5</v>
      </c>
      <c r="BL156" s="22">
        <v>2040</v>
      </c>
    </row>
    <row r="157" spans="1:64" ht="15.95" customHeight="1">
      <c r="A157" s="81" t="s">
        <v>413</v>
      </c>
      <c r="B157" s="17" t="s">
        <v>217</v>
      </c>
      <c r="C157" s="26">
        <f>_xll.RssMarket("4091","始値")</f>
        <v>5561</v>
      </c>
      <c r="D157" s="25">
        <f t="shared" si="2"/>
        <v>0</v>
      </c>
      <c r="E157" s="22">
        <v>5561</v>
      </c>
      <c r="F157" s="22">
        <v>5574</v>
      </c>
      <c r="G157" s="22">
        <v>5487</v>
      </c>
      <c r="H157" s="22">
        <v>5320</v>
      </c>
      <c r="I157" s="22">
        <v>5175</v>
      </c>
      <c r="J157" s="22">
        <v>5331</v>
      </c>
      <c r="K157" s="22">
        <v>5527</v>
      </c>
      <c r="L157" s="22">
        <v>5570</v>
      </c>
      <c r="M157" s="22">
        <v>5662</v>
      </c>
      <c r="N157" s="22">
        <v>5700</v>
      </c>
      <c r="O157" s="22">
        <v>5772</v>
      </c>
      <c r="P157" s="22">
        <v>6350</v>
      </c>
      <c r="Q157" s="22">
        <v>6298</v>
      </c>
      <c r="R157" s="22">
        <v>6419</v>
      </c>
      <c r="S157" s="22">
        <v>6227</v>
      </c>
      <c r="T157" s="22">
        <v>6144</v>
      </c>
      <c r="U157" s="22">
        <v>5917</v>
      </c>
      <c r="V157" s="22">
        <v>5828</v>
      </c>
      <c r="W157" s="22">
        <v>6021</v>
      </c>
      <c r="X157" s="22">
        <v>6061</v>
      </c>
      <c r="Y157" s="22">
        <v>6114</v>
      </c>
      <c r="Z157" s="22">
        <v>6000</v>
      </c>
      <c r="AA157" s="22">
        <v>5739</v>
      </c>
      <c r="AB157" s="22">
        <v>6162</v>
      </c>
      <c r="AC157" s="22">
        <v>5736</v>
      </c>
      <c r="AD157" s="22">
        <v>5722</v>
      </c>
      <c r="AE157" s="22">
        <v>5468</v>
      </c>
      <c r="AF157" s="22">
        <v>5550</v>
      </c>
      <c r="AG157" s="22">
        <v>5652</v>
      </c>
      <c r="AH157" s="22">
        <v>5651</v>
      </c>
      <c r="AI157" s="22">
        <v>5661</v>
      </c>
      <c r="AJ157" s="22">
        <v>5602</v>
      </c>
      <c r="AK157" s="22">
        <v>5634</v>
      </c>
      <c r="AL157" s="22">
        <v>5710</v>
      </c>
      <c r="AM157" s="22">
        <v>5872</v>
      </c>
      <c r="AN157" s="22">
        <v>5815</v>
      </c>
      <c r="AO157" s="22">
        <v>6040</v>
      </c>
      <c r="AP157" s="22">
        <v>5861</v>
      </c>
      <c r="AQ157" s="22">
        <v>5857</v>
      </c>
      <c r="AR157" s="22">
        <v>5971</v>
      </c>
      <c r="AS157" s="22">
        <v>5821</v>
      </c>
      <c r="AT157" s="22">
        <v>5930</v>
      </c>
      <c r="AU157" s="22">
        <v>5895</v>
      </c>
      <c r="AV157" s="22">
        <v>5970</v>
      </c>
      <c r="AW157" s="22">
        <v>5808</v>
      </c>
      <c r="AX157" s="22">
        <v>5800</v>
      </c>
      <c r="AY157" s="22">
        <v>5829</v>
      </c>
      <c r="AZ157" s="22">
        <v>5820</v>
      </c>
      <c r="BA157" s="22">
        <v>5733</v>
      </c>
      <c r="BB157" s="22">
        <v>5782</v>
      </c>
      <c r="BC157" s="22">
        <v>5653</v>
      </c>
      <c r="BD157" s="22">
        <v>5869</v>
      </c>
      <c r="BE157" s="22">
        <v>6009</v>
      </c>
      <c r="BF157" s="22">
        <v>6040</v>
      </c>
      <c r="BG157" s="22">
        <v>5861</v>
      </c>
      <c r="BH157" s="22">
        <v>5823</v>
      </c>
      <c r="BI157" s="22">
        <v>6228</v>
      </c>
      <c r="BJ157" s="22">
        <v>6250</v>
      </c>
      <c r="BK157" s="22">
        <v>6310</v>
      </c>
      <c r="BL157" s="22">
        <v>5855</v>
      </c>
    </row>
    <row r="158" spans="1:64" ht="15.95" customHeight="1">
      <c r="A158" s="81" t="s">
        <v>414</v>
      </c>
      <c r="B158" s="17" t="s">
        <v>218</v>
      </c>
      <c r="C158" s="26">
        <f>_xll.RssMarket("6857","始値")</f>
        <v>29640</v>
      </c>
      <c r="D158" s="25">
        <f t="shared" si="2"/>
        <v>0</v>
      </c>
      <c r="E158" s="22">
        <v>29640</v>
      </c>
      <c r="F158" s="22">
        <v>29600</v>
      </c>
      <c r="G158" s="22">
        <v>28800</v>
      </c>
      <c r="H158" s="22">
        <v>27205</v>
      </c>
      <c r="I158" s="22">
        <v>24450</v>
      </c>
      <c r="J158" s="22">
        <v>25490</v>
      </c>
      <c r="K158" s="22">
        <v>25100</v>
      </c>
      <c r="L158" s="22">
        <v>27560</v>
      </c>
      <c r="M158" s="22">
        <v>27380</v>
      </c>
      <c r="N158" s="22">
        <v>27320</v>
      </c>
      <c r="O158" s="22">
        <v>25810</v>
      </c>
      <c r="P158" s="22">
        <v>26380</v>
      </c>
      <c r="Q158" s="22">
        <v>26760</v>
      </c>
      <c r="R158" s="22">
        <v>27200</v>
      </c>
      <c r="S158" s="22">
        <v>27245</v>
      </c>
      <c r="T158" s="22">
        <v>26975</v>
      </c>
      <c r="U158" s="22">
        <v>26625</v>
      </c>
      <c r="V158" s="22">
        <v>25790</v>
      </c>
      <c r="W158" s="22">
        <v>26150</v>
      </c>
      <c r="X158" s="22">
        <v>26485</v>
      </c>
      <c r="Y158" s="22">
        <v>29015</v>
      </c>
      <c r="Z158" s="22">
        <v>28510</v>
      </c>
      <c r="AA158" s="22">
        <v>28080</v>
      </c>
      <c r="AB158" s="22">
        <v>29280</v>
      </c>
      <c r="AC158" s="22">
        <v>30410</v>
      </c>
      <c r="AD158" s="22">
        <v>29800</v>
      </c>
      <c r="AE158" s="22">
        <v>30100</v>
      </c>
      <c r="AF158" s="22">
        <v>28990</v>
      </c>
      <c r="AG158" s="22">
        <v>28880</v>
      </c>
      <c r="AH158" s="22">
        <v>30120</v>
      </c>
      <c r="AI158" s="22">
        <v>30500</v>
      </c>
      <c r="AJ158" s="22">
        <v>28315</v>
      </c>
      <c r="AK158" s="22">
        <v>28500</v>
      </c>
      <c r="AL158" s="22">
        <v>27255</v>
      </c>
      <c r="AM158" s="22">
        <v>27430</v>
      </c>
      <c r="AN158" s="22">
        <v>27885</v>
      </c>
      <c r="AO158" s="22">
        <v>28900</v>
      </c>
      <c r="AP158" s="22">
        <v>28085</v>
      </c>
      <c r="AQ158" s="22">
        <v>28000</v>
      </c>
      <c r="AR158" s="22">
        <v>25900</v>
      </c>
      <c r="AS158" s="22">
        <v>24650</v>
      </c>
      <c r="AT158" s="22">
        <v>25300</v>
      </c>
      <c r="AU158" s="22">
        <v>25000</v>
      </c>
      <c r="AV158" s="22">
        <v>24200</v>
      </c>
      <c r="AW158" s="22">
        <v>21900</v>
      </c>
      <c r="AX158" s="22">
        <v>21690</v>
      </c>
      <c r="AY158" s="22">
        <v>21600</v>
      </c>
      <c r="AZ158" s="22">
        <v>22365</v>
      </c>
      <c r="BA158" s="22">
        <v>21495</v>
      </c>
      <c r="BB158" s="22">
        <v>20110</v>
      </c>
      <c r="BC158" s="22">
        <v>20465</v>
      </c>
      <c r="BD158" s="22">
        <v>22120</v>
      </c>
      <c r="BE158" s="22">
        <v>23285</v>
      </c>
      <c r="BF158" s="22">
        <v>23000</v>
      </c>
      <c r="BG158" s="22">
        <v>23230</v>
      </c>
      <c r="BH158" s="22">
        <v>22480</v>
      </c>
      <c r="BI158" s="22">
        <v>24040</v>
      </c>
      <c r="BJ158" s="22">
        <v>24325</v>
      </c>
      <c r="BK158" s="22">
        <v>24485</v>
      </c>
      <c r="BL158" s="22">
        <v>23705</v>
      </c>
    </row>
    <row r="159" spans="1:64" ht="15.95" customHeight="1">
      <c r="A159" s="81" t="s">
        <v>415</v>
      </c>
      <c r="B159" s="17" t="s">
        <v>219</v>
      </c>
      <c r="C159" s="26">
        <f>_xll.RssMarket("3891","始値")</f>
        <v>8830</v>
      </c>
      <c r="D159" s="25">
        <f t="shared" si="2"/>
        <v>0</v>
      </c>
      <c r="E159" s="22">
        <v>8830</v>
      </c>
      <c r="F159" s="22">
        <v>8770</v>
      </c>
      <c r="G159" s="22">
        <v>8760</v>
      </c>
      <c r="H159" s="22">
        <v>9320</v>
      </c>
      <c r="I159" s="22">
        <v>8190</v>
      </c>
      <c r="J159" s="22">
        <v>9750</v>
      </c>
      <c r="K159" s="22">
        <v>8260</v>
      </c>
      <c r="L159" s="22">
        <v>8220</v>
      </c>
      <c r="M159" s="22">
        <v>8330</v>
      </c>
      <c r="N159" s="22">
        <v>8060</v>
      </c>
      <c r="O159" s="22">
        <v>8180</v>
      </c>
      <c r="P159" s="22">
        <v>7390</v>
      </c>
      <c r="Q159" s="22">
        <v>6870</v>
      </c>
      <c r="R159" s="22">
        <v>7590</v>
      </c>
      <c r="S159" s="22">
        <v>7750</v>
      </c>
      <c r="T159" s="22">
        <v>7020</v>
      </c>
      <c r="U159" s="22">
        <v>6930</v>
      </c>
      <c r="V159" s="22">
        <v>6450</v>
      </c>
      <c r="W159" s="22">
        <v>6500</v>
      </c>
      <c r="X159" s="22">
        <v>6200</v>
      </c>
      <c r="Y159" s="22">
        <v>6310</v>
      </c>
      <c r="Z159" s="22">
        <v>6500</v>
      </c>
      <c r="AA159" s="22">
        <v>6300</v>
      </c>
      <c r="AB159" s="22">
        <v>6480</v>
      </c>
      <c r="AC159" s="22">
        <v>6680</v>
      </c>
      <c r="AD159" s="22">
        <v>6520</v>
      </c>
      <c r="AE159" s="22">
        <v>6270</v>
      </c>
      <c r="AF159" s="22">
        <v>6460</v>
      </c>
      <c r="AG159" s="22">
        <v>6340</v>
      </c>
      <c r="AH159" s="22">
        <v>6250</v>
      </c>
      <c r="AI159" s="22">
        <v>6000</v>
      </c>
      <c r="AJ159" s="22">
        <v>4420</v>
      </c>
      <c r="AK159" s="22">
        <v>4515</v>
      </c>
      <c r="AL159" s="22">
        <v>4585</v>
      </c>
      <c r="AM159" s="22">
        <v>4455</v>
      </c>
      <c r="AN159" s="22">
        <v>4280</v>
      </c>
      <c r="AO159" s="22">
        <v>4490</v>
      </c>
      <c r="AP159" s="22">
        <v>4530</v>
      </c>
      <c r="AQ159" s="22">
        <v>4505</v>
      </c>
      <c r="AR159" s="22">
        <v>4250</v>
      </c>
      <c r="AS159" s="22">
        <v>4045</v>
      </c>
      <c r="AT159" s="22">
        <v>4125</v>
      </c>
      <c r="AU159" s="22">
        <v>4070</v>
      </c>
      <c r="AV159" s="22">
        <v>3935</v>
      </c>
      <c r="AW159" s="22">
        <v>3830</v>
      </c>
      <c r="AX159" s="22">
        <v>3730</v>
      </c>
      <c r="AY159" s="22">
        <v>3680</v>
      </c>
      <c r="AZ159" s="22">
        <v>3760</v>
      </c>
      <c r="BA159" s="22">
        <v>3650</v>
      </c>
      <c r="BB159" s="22">
        <v>3445</v>
      </c>
      <c r="BC159" s="22">
        <v>3400</v>
      </c>
      <c r="BD159" s="22">
        <v>3630</v>
      </c>
      <c r="BE159" s="22">
        <v>3855</v>
      </c>
      <c r="BF159" s="22">
        <v>3735</v>
      </c>
      <c r="BG159" s="22">
        <v>3635</v>
      </c>
      <c r="BH159" s="22">
        <v>3525</v>
      </c>
      <c r="BI159" s="22">
        <v>3965</v>
      </c>
      <c r="BJ159" s="22">
        <v>3990</v>
      </c>
      <c r="BK159" s="22">
        <v>4005</v>
      </c>
      <c r="BL159" s="22">
        <v>3900</v>
      </c>
    </row>
    <row r="160" spans="1:64" ht="15.95" customHeight="1">
      <c r="A160" s="81" t="s">
        <v>416</v>
      </c>
      <c r="B160" s="17" t="s">
        <v>220</v>
      </c>
      <c r="C160" s="26">
        <f>_xll.RssMarket("4373","始値")</f>
        <v>966</v>
      </c>
      <c r="D160" s="25">
        <f t="shared" si="2"/>
        <v>0</v>
      </c>
      <c r="E160" s="22">
        <v>966</v>
      </c>
      <c r="F160" s="22">
        <v>940</v>
      </c>
      <c r="G160" s="22">
        <v>983</v>
      </c>
      <c r="H160" s="22">
        <v>991</v>
      </c>
      <c r="I160" s="22">
        <v>1036</v>
      </c>
      <c r="J160" s="22">
        <v>1060</v>
      </c>
      <c r="K160" s="22">
        <v>1074</v>
      </c>
      <c r="L160" s="22">
        <v>1084</v>
      </c>
      <c r="M160" s="22">
        <v>1106</v>
      </c>
      <c r="N160" s="22">
        <v>1116</v>
      </c>
      <c r="O160" s="22">
        <v>1158</v>
      </c>
      <c r="P160" s="22">
        <v>1045</v>
      </c>
      <c r="Q160" s="22">
        <v>1040</v>
      </c>
      <c r="R160" s="22">
        <v>999</v>
      </c>
      <c r="S160" s="22">
        <v>1043</v>
      </c>
      <c r="T160" s="22">
        <v>1035</v>
      </c>
      <c r="U160" s="22">
        <v>1005</v>
      </c>
      <c r="V160" s="22">
        <v>1024</v>
      </c>
      <c r="W160" s="22">
        <v>1008</v>
      </c>
      <c r="X160" s="22">
        <v>950</v>
      </c>
      <c r="Y160" s="22">
        <v>945</v>
      </c>
      <c r="Z160" s="22">
        <v>956</v>
      </c>
      <c r="AA160" s="22">
        <v>968</v>
      </c>
      <c r="AB160" s="22">
        <v>960</v>
      </c>
      <c r="AC160" s="22">
        <v>936</v>
      </c>
      <c r="AD160" s="22">
        <v>925</v>
      </c>
      <c r="AE160" s="22">
        <v>891</v>
      </c>
      <c r="AF160" s="22">
        <v>917</v>
      </c>
      <c r="AG160" s="22">
        <v>881</v>
      </c>
      <c r="AH160" s="22">
        <v>888</v>
      </c>
      <c r="AI160" s="22">
        <v>921</v>
      </c>
      <c r="AJ160" s="22">
        <v>905</v>
      </c>
      <c r="AK160" s="22">
        <v>948</v>
      </c>
      <c r="AL160" s="22">
        <v>945</v>
      </c>
      <c r="AM160" s="22">
        <v>959</v>
      </c>
      <c r="AN160" s="22">
        <v>945</v>
      </c>
      <c r="AO160" s="22">
        <v>899</v>
      </c>
      <c r="AP160" s="22">
        <v>933</v>
      </c>
      <c r="AQ160" s="22">
        <v>862</v>
      </c>
      <c r="AR160" s="22">
        <v>849</v>
      </c>
      <c r="AS160" s="22">
        <v>803</v>
      </c>
      <c r="AT160" s="22">
        <v>823</v>
      </c>
      <c r="AU160" s="22">
        <v>841</v>
      </c>
      <c r="AV160" s="22">
        <v>855</v>
      </c>
      <c r="AW160" s="22">
        <v>835</v>
      </c>
      <c r="AX160" s="22">
        <v>836</v>
      </c>
      <c r="AY160" s="22">
        <v>823</v>
      </c>
      <c r="AZ160" s="22">
        <v>816</v>
      </c>
      <c r="BA160" s="22">
        <v>822</v>
      </c>
      <c r="BB160" s="22">
        <v>792</v>
      </c>
      <c r="BC160" s="22">
        <v>769</v>
      </c>
      <c r="BD160" s="22">
        <v>813</v>
      </c>
      <c r="BE160" s="22">
        <v>810</v>
      </c>
      <c r="BF160" s="22">
        <v>811</v>
      </c>
      <c r="BG160" s="22">
        <v>818</v>
      </c>
      <c r="BH160" s="22">
        <v>810</v>
      </c>
      <c r="BI160" s="22">
        <v>831</v>
      </c>
      <c r="BJ160" s="22">
        <v>830</v>
      </c>
      <c r="BK160" s="22">
        <v>839</v>
      </c>
      <c r="BL160" s="22">
        <v>820</v>
      </c>
    </row>
    <row r="161" spans="1:64" ht="15.95" customHeight="1">
      <c r="A161" s="81" t="s">
        <v>417</v>
      </c>
      <c r="B161" s="17" t="s">
        <v>221</v>
      </c>
      <c r="C161" s="26">
        <f>_xll.RssMarket("8892","始値")</f>
        <v>1105</v>
      </c>
      <c r="D161" s="25">
        <f t="shared" si="2"/>
        <v>0</v>
      </c>
      <c r="E161" s="22">
        <v>1105</v>
      </c>
      <c r="F161" s="22">
        <v>1115</v>
      </c>
      <c r="G161" s="22">
        <v>1091</v>
      </c>
      <c r="H161" s="22">
        <v>1109</v>
      </c>
      <c r="I161" s="22">
        <v>1095</v>
      </c>
      <c r="J161" s="22">
        <v>1085</v>
      </c>
      <c r="K161" s="22">
        <v>1069</v>
      </c>
      <c r="L161" s="22">
        <v>1071</v>
      </c>
      <c r="M161" s="22">
        <v>1067</v>
      </c>
      <c r="N161" s="22">
        <v>1103</v>
      </c>
      <c r="O161" s="22">
        <v>1109</v>
      </c>
      <c r="P161" s="22">
        <v>1111</v>
      </c>
      <c r="Q161" s="22">
        <v>1138</v>
      </c>
      <c r="R161" s="22">
        <v>1133</v>
      </c>
      <c r="S161" s="22">
        <v>1145</v>
      </c>
      <c r="T161" s="22">
        <v>1130</v>
      </c>
      <c r="U161" s="22">
        <v>1118</v>
      </c>
      <c r="V161" s="22">
        <v>1152</v>
      </c>
      <c r="W161" s="22">
        <v>1160</v>
      </c>
      <c r="X161" s="22">
        <v>1171</v>
      </c>
      <c r="Y161" s="22">
        <v>1174</v>
      </c>
      <c r="Z161" s="22">
        <v>1162</v>
      </c>
      <c r="AA161" s="22">
        <v>1171</v>
      </c>
      <c r="AB161" s="22">
        <v>1152</v>
      </c>
      <c r="AC161" s="22">
        <v>1171</v>
      </c>
      <c r="AD161" s="22">
        <v>1175</v>
      </c>
      <c r="AE161" s="22">
        <v>1200</v>
      </c>
      <c r="AF161" s="22">
        <v>1170</v>
      </c>
      <c r="AG161" s="22">
        <v>1137</v>
      </c>
      <c r="AH161" s="22">
        <v>1124</v>
      </c>
      <c r="AI161" s="22">
        <v>1136</v>
      </c>
      <c r="AJ161" s="22">
        <v>1146</v>
      </c>
      <c r="AK161" s="22">
        <v>1143</v>
      </c>
      <c r="AL161" s="22">
        <v>1138</v>
      </c>
      <c r="AM161" s="22">
        <v>1142</v>
      </c>
      <c r="AN161" s="22">
        <v>1140</v>
      </c>
      <c r="AO161" s="22">
        <v>1136</v>
      </c>
      <c r="AP161" s="22">
        <v>1126</v>
      </c>
      <c r="AQ161" s="22">
        <v>1128</v>
      </c>
      <c r="AR161" s="22">
        <v>1136</v>
      </c>
      <c r="AS161" s="22">
        <v>1130</v>
      </c>
      <c r="AT161" s="22">
        <v>1118</v>
      </c>
      <c r="AU161" s="22">
        <v>1105</v>
      </c>
      <c r="AV161" s="22">
        <v>1120</v>
      </c>
      <c r="AW161" s="22">
        <v>1128</v>
      </c>
      <c r="AX161" s="22">
        <v>1095</v>
      </c>
      <c r="AY161" s="22">
        <v>1084</v>
      </c>
      <c r="AZ161" s="22">
        <v>1060</v>
      </c>
      <c r="BA161" s="22">
        <v>1141</v>
      </c>
      <c r="BB161" s="22">
        <v>1146</v>
      </c>
      <c r="BC161" s="22">
        <v>1132</v>
      </c>
      <c r="BD161" s="22">
        <v>1125</v>
      </c>
      <c r="BE161" s="22">
        <v>1119</v>
      </c>
      <c r="BF161" s="22">
        <v>1139</v>
      </c>
      <c r="BG161" s="22">
        <v>1123</v>
      </c>
      <c r="BH161" s="22">
        <v>1115</v>
      </c>
      <c r="BI161" s="22">
        <v>1102</v>
      </c>
      <c r="BJ161" s="22">
        <v>1100</v>
      </c>
      <c r="BK161" s="22">
        <v>1117</v>
      </c>
      <c r="BL161" s="22">
        <v>1117</v>
      </c>
    </row>
    <row r="162" spans="1:64" ht="15.95" customHeight="1">
      <c r="A162" s="81" t="s">
        <v>418</v>
      </c>
      <c r="B162" s="17" t="s">
        <v>222</v>
      </c>
      <c r="C162" s="26">
        <f>_xll.RssMarket("9687","始値")</f>
        <v>4325</v>
      </c>
      <c r="D162" s="25">
        <f t="shared" si="2"/>
        <v>0</v>
      </c>
      <c r="E162" s="22">
        <v>4325</v>
      </c>
      <c r="F162" s="22">
        <v>4335</v>
      </c>
      <c r="G162" s="22">
        <v>4300</v>
      </c>
      <c r="H162" s="22">
        <v>4260</v>
      </c>
      <c r="I162" s="22">
        <v>4300</v>
      </c>
      <c r="J162" s="22">
        <v>4310</v>
      </c>
      <c r="K162" s="22">
        <v>4335</v>
      </c>
      <c r="L162" s="22">
        <v>4325</v>
      </c>
      <c r="M162" s="22">
        <v>4350</v>
      </c>
      <c r="N162" s="22">
        <v>4355</v>
      </c>
      <c r="O162" s="22">
        <v>4375</v>
      </c>
      <c r="P162" s="22">
        <v>4380</v>
      </c>
      <c r="Q162" s="22">
        <v>4360</v>
      </c>
      <c r="R162" s="22">
        <v>4365</v>
      </c>
      <c r="S162" s="22">
        <v>4330</v>
      </c>
      <c r="T162" s="22">
        <v>4345</v>
      </c>
      <c r="U162" s="22">
        <v>4335</v>
      </c>
      <c r="V162" s="22">
        <v>4350</v>
      </c>
      <c r="W162" s="22">
        <v>4365</v>
      </c>
      <c r="X162" s="22">
        <v>4400</v>
      </c>
      <c r="Y162" s="22">
        <v>4390</v>
      </c>
      <c r="Z162" s="22">
        <v>4400</v>
      </c>
      <c r="AA162" s="22">
        <v>4440</v>
      </c>
      <c r="AB162" s="22">
        <v>4395</v>
      </c>
      <c r="AC162" s="22">
        <v>4385</v>
      </c>
      <c r="AD162" s="22">
        <v>4385</v>
      </c>
      <c r="AE162" s="22">
        <v>4345</v>
      </c>
      <c r="AF162" s="22">
        <v>4375</v>
      </c>
      <c r="AG162" s="22">
        <v>4370</v>
      </c>
      <c r="AH162" s="22">
        <v>4355</v>
      </c>
      <c r="AI162" s="22">
        <v>4385</v>
      </c>
      <c r="AJ162" s="22">
        <v>4445</v>
      </c>
      <c r="AK162" s="22">
        <v>4320</v>
      </c>
      <c r="AL162" s="22">
        <v>4320</v>
      </c>
      <c r="AM162" s="22">
        <v>4340</v>
      </c>
      <c r="AN162" s="22">
        <v>4350</v>
      </c>
      <c r="AO162" s="22">
        <v>4435</v>
      </c>
      <c r="AP162" s="22">
        <v>4455</v>
      </c>
      <c r="AQ162" s="22">
        <v>4395</v>
      </c>
      <c r="AR162" s="22">
        <v>4355</v>
      </c>
      <c r="AS162" s="22">
        <v>4370</v>
      </c>
      <c r="AT162" s="22">
        <v>4405</v>
      </c>
      <c r="AU162" s="22">
        <v>4365</v>
      </c>
      <c r="AV162" s="22">
        <v>4365</v>
      </c>
      <c r="AW162" s="22">
        <v>4410</v>
      </c>
      <c r="AX162" s="22">
        <v>4240</v>
      </c>
      <c r="AY162" s="22">
        <v>4440</v>
      </c>
      <c r="AZ162" s="22">
        <v>4515</v>
      </c>
      <c r="BA162" s="22">
        <v>4490</v>
      </c>
      <c r="BB162" s="22">
        <v>4465</v>
      </c>
      <c r="BC162" s="22">
        <v>4350</v>
      </c>
      <c r="BD162" s="22">
        <v>4450</v>
      </c>
      <c r="BE162" s="22">
        <v>4495</v>
      </c>
      <c r="BF162" s="22">
        <v>4410</v>
      </c>
      <c r="BG162" s="22">
        <v>4400</v>
      </c>
      <c r="BH162" s="22">
        <v>4360</v>
      </c>
      <c r="BI162" s="22">
        <v>4440</v>
      </c>
      <c r="BJ162" s="22">
        <v>4410</v>
      </c>
      <c r="BK162" s="22">
        <v>4420</v>
      </c>
      <c r="BL162" s="22">
        <v>4345</v>
      </c>
    </row>
    <row r="163" spans="1:64" ht="15.95" customHeight="1">
      <c r="A163" s="81" t="s">
        <v>419</v>
      </c>
      <c r="B163" s="17" t="s">
        <v>223</v>
      </c>
      <c r="C163" s="26">
        <f>_xll.RssMarket("1930","始値")</f>
        <v>1664</v>
      </c>
      <c r="D163" s="25">
        <f t="shared" si="2"/>
        <v>0</v>
      </c>
      <c r="E163" s="22">
        <v>1664</v>
      </c>
      <c r="F163" s="22">
        <v>1715</v>
      </c>
      <c r="G163" s="22">
        <v>1655</v>
      </c>
      <c r="H163" s="22">
        <v>1612</v>
      </c>
      <c r="I163" s="22">
        <v>1586</v>
      </c>
      <c r="J163" s="22">
        <v>1588</v>
      </c>
      <c r="K163" s="22">
        <v>1589</v>
      </c>
      <c r="L163" s="22">
        <v>1567</v>
      </c>
      <c r="M163" s="22">
        <v>1573</v>
      </c>
      <c r="N163" s="22">
        <v>1582</v>
      </c>
      <c r="O163" s="22">
        <v>1619</v>
      </c>
      <c r="P163" s="22">
        <v>1711</v>
      </c>
      <c r="Q163" s="22">
        <v>1664</v>
      </c>
      <c r="R163" s="22">
        <v>1739</v>
      </c>
      <c r="S163" s="22">
        <v>1645</v>
      </c>
      <c r="T163" s="22">
        <v>1595</v>
      </c>
      <c r="U163" s="22">
        <v>1612</v>
      </c>
      <c r="V163" s="22">
        <v>1636</v>
      </c>
      <c r="W163" s="22">
        <v>1602</v>
      </c>
      <c r="X163" s="22">
        <v>1647</v>
      </c>
      <c r="Y163" s="22">
        <v>1684</v>
      </c>
      <c r="Z163" s="22">
        <v>1750</v>
      </c>
      <c r="AA163" s="22">
        <v>1766</v>
      </c>
      <c r="AB163" s="22">
        <v>1721</v>
      </c>
      <c r="AC163" s="22">
        <v>1700</v>
      </c>
      <c r="AD163" s="22">
        <v>1642</v>
      </c>
      <c r="AE163" s="22">
        <v>1740</v>
      </c>
      <c r="AF163" s="22">
        <v>1690</v>
      </c>
      <c r="AG163" s="22">
        <v>1647</v>
      </c>
      <c r="AH163" s="22">
        <v>1472</v>
      </c>
      <c r="AI163" s="22">
        <v>1459</v>
      </c>
      <c r="AJ163" s="22">
        <v>1447</v>
      </c>
      <c r="AK163" s="22">
        <v>1445</v>
      </c>
      <c r="AL163" s="22">
        <v>1472</v>
      </c>
      <c r="AM163" s="22">
        <v>1475</v>
      </c>
      <c r="AN163" s="22">
        <v>1477</v>
      </c>
      <c r="AO163" s="22">
        <v>1469</v>
      </c>
      <c r="AP163" s="22">
        <v>1453</v>
      </c>
      <c r="AQ163" s="22">
        <v>1464</v>
      </c>
      <c r="AR163" s="22">
        <v>1444</v>
      </c>
      <c r="AS163" s="22">
        <v>1458</v>
      </c>
      <c r="AT163" s="22">
        <v>1496</v>
      </c>
      <c r="AU163" s="22">
        <v>1520</v>
      </c>
      <c r="AV163" s="22">
        <v>1522</v>
      </c>
      <c r="AW163" s="22">
        <v>1467</v>
      </c>
      <c r="AX163" s="22">
        <v>1455</v>
      </c>
      <c r="AY163" s="22">
        <v>1463</v>
      </c>
      <c r="AZ163" s="22">
        <v>1474</v>
      </c>
      <c r="BA163" s="22">
        <v>1458</v>
      </c>
      <c r="BB163" s="22">
        <v>1416</v>
      </c>
      <c r="BC163" s="22">
        <v>1423</v>
      </c>
      <c r="BD163" s="22">
        <v>1500</v>
      </c>
      <c r="BE163" s="22">
        <v>1527</v>
      </c>
      <c r="BF163" s="22">
        <v>1513</v>
      </c>
      <c r="BG163" s="22">
        <v>1506</v>
      </c>
      <c r="BH163" s="22">
        <v>1493</v>
      </c>
      <c r="BI163" s="22">
        <v>1588</v>
      </c>
      <c r="BJ163" s="22">
        <v>1602</v>
      </c>
      <c r="BK163" s="22">
        <v>1599</v>
      </c>
      <c r="BL163" s="22">
        <v>1586</v>
      </c>
    </row>
    <row r="164" spans="1:64" ht="15.95" customHeight="1">
      <c r="A164" s="81" t="s">
        <v>420</v>
      </c>
      <c r="B164" s="17" t="s">
        <v>224</v>
      </c>
      <c r="C164" s="26">
        <f>_xll.RssMarket("8704","始値")</f>
        <v>1146</v>
      </c>
      <c r="D164" s="25">
        <f t="shared" si="2"/>
        <v>0</v>
      </c>
      <c r="E164" s="22">
        <v>1146</v>
      </c>
      <c r="F164" s="22">
        <v>1166</v>
      </c>
      <c r="G164" s="22">
        <v>1158</v>
      </c>
      <c r="H164" s="22">
        <v>1123</v>
      </c>
      <c r="I164" s="22">
        <v>1084</v>
      </c>
      <c r="J164" s="22">
        <v>1140</v>
      </c>
      <c r="K164" s="22">
        <v>1110</v>
      </c>
      <c r="L164" s="22">
        <v>1113</v>
      </c>
      <c r="M164" s="22">
        <v>1162</v>
      </c>
      <c r="N164" s="22">
        <v>1195</v>
      </c>
      <c r="O164" s="22">
        <v>1200</v>
      </c>
      <c r="P164" s="22">
        <v>1153</v>
      </c>
      <c r="Q164" s="22">
        <v>1142</v>
      </c>
      <c r="R164" s="22">
        <v>1161</v>
      </c>
      <c r="S164" s="22">
        <v>1135</v>
      </c>
      <c r="T164" s="22">
        <v>1134</v>
      </c>
      <c r="U164" s="22">
        <v>1125</v>
      </c>
      <c r="V164" s="22">
        <v>1126</v>
      </c>
      <c r="W164" s="22">
        <v>1152</v>
      </c>
      <c r="X164" s="22">
        <v>1170</v>
      </c>
      <c r="Y164" s="22">
        <v>1172</v>
      </c>
      <c r="Z164" s="22">
        <v>1210</v>
      </c>
      <c r="AA164" s="22">
        <v>1198</v>
      </c>
      <c r="AB164" s="22">
        <v>1231</v>
      </c>
      <c r="AC164" s="22">
        <v>1215</v>
      </c>
      <c r="AD164" s="22">
        <v>1180</v>
      </c>
      <c r="AE164" s="22">
        <v>1148</v>
      </c>
      <c r="AF164" s="22">
        <v>1151</v>
      </c>
      <c r="AG164" s="22">
        <v>1078</v>
      </c>
      <c r="AH164" s="22">
        <v>1029</v>
      </c>
      <c r="AI164" s="22">
        <v>1029</v>
      </c>
      <c r="AJ164" s="22">
        <v>1036</v>
      </c>
      <c r="AK164" s="22">
        <v>1042</v>
      </c>
      <c r="AL164" s="22">
        <v>1061</v>
      </c>
      <c r="AM164" s="22">
        <v>1059</v>
      </c>
      <c r="AN164" s="22">
        <v>1050</v>
      </c>
      <c r="AO164" s="22">
        <v>1062</v>
      </c>
      <c r="AP164" s="22">
        <v>1055</v>
      </c>
      <c r="AQ164" s="22">
        <v>1049</v>
      </c>
      <c r="AR164" s="22">
        <v>1040</v>
      </c>
      <c r="AS164" s="22">
        <v>1047</v>
      </c>
      <c r="AT164" s="22">
        <v>1058</v>
      </c>
      <c r="AU164" s="22">
        <v>1075</v>
      </c>
      <c r="AV164" s="22">
        <v>1062</v>
      </c>
      <c r="AW164" s="22">
        <v>1040</v>
      </c>
      <c r="AX164" s="22">
        <v>1040</v>
      </c>
      <c r="AY164" s="22">
        <v>1038</v>
      </c>
      <c r="AZ164" s="22">
        <v>1052</v>
      </c>
      <c r="BA164" s="22">
        <v>1022</v>
      </c>
      <c r="BB164" s="22">
        <v>1017</v>
      </c>
      <c r="BC164" s="22">
        <v>1000</v>
      </c>
      <c r="BD164" s="22">
        <v>1041</v>
      </c>
      <c r="BE164" s="22">
        <v>1072</v>
      </c>
      <c r="BF164" s="22">
        <v>1038</v>
      </c>
      <c r="BG164" s="22">
        <v>1020</v>
      </c>
      <c r="BH164" s="22">
        <v>1001</v>
      </c>
      <c r="BI164" s="22">
        <v>1046</v>
      </c>
      <c r="BJ164" s="22">
        <v>1027</v>
      </c>
      <c r="BK164" s="22">
        <v>1035</v>
      </c>
      <c r="BL164" s="22">
        <v>1032</v>
      </c>
    </row>
    <row r="165" spans="1:64" ht="15.95" customHeight="1">
      <c r="A165" s="81" t="s">
        <v>421</v>
      </c>
      <c r="B165" s="17" t="s">
        <v>225</v>
      </c>
      <c r="C165" s="26">
        <f>_xll.RssMarket("4733","始値")</f>
        <v>5844</v>
      </c>
      <c r="D165" s="25">
        <f t="shared" si="2"/>
        <v>0</v>
      </c>
      <c r="E165" s="22">
        <v>5844</v>
      </c>
      <c r="F165" s="22">
        <v>5830</v>
      </c>
      <c r="G165" s="22">
        <v>5890</v>
      </c>
      <c r="H165" s="22">
        <v>5880</v>
      </c>
      <c r="I165" s="22">
        <v>5914</v>
      </c>
      <c r="J165" s="22">
        <v>5935</v>
      </c>
      <c r="K165" s="22">
        <v>6068</v>
      </c>
      <c r="L165" s="22">
        <v>6070</v>
      </c>
      <c r="M165" s="22">
        <v>6063</v>
      </c>
      <c r="N165" s="22">
        <v>6224</v>
      </c>
      <c r="O165" s="22">
        <v>6500</v>
      </c>
      <c r="P165" s="22">
        <v>6088</v>
      </c>
      <c r="Q165" s="22">
        <v>6113</v>
      </c>
      <c r="R165" s="22">
        <v>5970</v>
      </c>
      <c r="S165" s="22">
        <v>6091</v>
      </c>
      <c r="T165" s="22">
        <v>6050</v>
      </c>
      <c r="U165" s="22">
        <v>6100</v>
      </c>
      <c r="V165" s="22">
        <v>6227</v>
      </c>
      <c r="W165" s="22">
        <v>6210</v>
      </c>
      <c r="X165" s="22">
        <v>6113</v>
      </c>
      <c r="Y165" s="22">
        <v>6052</v>
      </c>
      <c r="Z165" s="22">
        <v>6142</v>
      </c>
      <c r="AA165" s="22">
        <v>6131</v>
      </c>
      <c r="AB165" s="22">
        <v>6070</v>
      </c>
      <c r="AC165" s="22">
        <v>6287</v>
      </c>
      <c r="AD165" s="22">
        <v>6222</v>
      </c>
      <c r="AE165" s="22">
        <v>6075</v>
      </c>
      <c r="AF165" s="22">
        <v>6107</v>
      </c>
      <c r="AG165" s="22">
        <v>6159</v>
      </c>
      <c r="AH165" s="22">
        <v>6156</v>
      </c>
      <c r="AI165" s="22">
        <v>6296</v>
      </c>
      <c r="AJ165" s="22">
        <v>6170</v>
      </c>
      <c r="AK165" s="22">
        <v>6630</v>
      </c>
      <c r="AL165" s="22">
        <v>6781</v>
      </c>
      <c r="AM165" s="22">
        <v>6745</v>
      </c>
      <c r="AN165" s="22">
        <v>6741</v>
      </c>
      <c r="AO165" s="22">
        <v>6683</v>
      </c>
      <c r="AP165" s="22">
        <v>6913</v>
      </c>
      <c r="AQ165" s="22">
        <v>6603</v>
      </c>
      <c r="AR165" s="22">
        <v>6664</v>
      </c>
      <c r="AS165" s="22">
        <v>6087</v>
      </c>
      <c r="AT165" s="22">
        <v>6261</v>
      </c>
      <c r="AU165" s="22">
        <v>6397</v>
      </c>
      <c r="AV165" s="22">
        <v>6500</v>
      </c>
      <c r="AW165" s="22">
        <v>6334</v>
      </c>
      <c r="AX165" s="22">
        <v>6340</v>
      </c>
      <c r="AY165" s="22">
        <v>6351</v>
      </c>
      <c r="AZ165" s="22">
        <v>6337</v>
      </c>
      <c r="BA165" s="22">
        <v>6341</v>
      </c>
      <c r="BB165" s="22">
        <v>6264</v>
      </c>
      <c r="BC165" s="22">
        <v>6014</v>
      </c>
      <c r="BD165" s="22">
        <v>6250</v>
      </c>
      <c r="BE165" s="22">
        <v>6114</v>
      </c>
      <c r="BF165" s="22">
        <v>6140</v>
      </c>
      <c r="BG165" s="22">
        <v>6215</v>
      </c>
      <c r="BH165" s="22">
        <v>6076</v>
      </c>
      <c r="BI165" s="22">
        <v>6240</v>
      </c>
      <c r="BJ165" s="22">
        <v>6265</v>
      </c>
      <c r="BK165" s="22">
        <v>6359</v>
      </c>
      <c r="BL165" s="22">
        <v>6334</v>
      </c>
    </row>
    <row r="166" spans="1:64" ht="15.95" customHeight="1">
      <c r="A166" s="81" t="s">
        <v>422</v>
      </c>
      <c r="B166" s="17" t="s">
        <v>226</v>
      </c>
      <c r="C166" s="26">
        <f>_xll.RssMarket("9733","始値")</f>
        <v>2234</v>
      </c>
      <c r="D166" s="25">
        <f t="shared" si="2"/>
        <v>0</v>
      </c>
      <c r="E166" s="22">
        <v>2234</v>
      </c>
      <c r="F166" s="22">
        <v>2235</v>
      </c>
      <c r="G166" s="22">
        <v>2250</v>
      </c>
      <c r="H166" s="22">
        <v>2230</v>
      </c>
      <c r="I166" s="22">
        <v>2246</v>
      </c>
      <c r="J166" s="22">
        <v>2251</v>
      </c>
      <c r="K166" s="22">
        <v>2190</v>
      </c>
      <c r="L166" s="22">
        <v>2187</v>
      </c>
      <c r="M166" s="22">
        <v>2201</v>
      </c>
      <c r="N166" s="22">
        <v>2232</v>
      </c>
      <c r="O166" s="22">
        <v>2266</v>
      </c>
      <c r="P166" s="22">
        <v>2241</v>
      </c>
      <c r="Q166" s="22">
        <v>2255</v>
      </c>
      <c r="R166" s="22">
        <v>2301</v>
      </c>
      <c r="S166" s="22">
        <v>2313</v>
      </c>
      <c r="T166" s="22">
        <v>2315</v>
      </c>
      <c r="U166" s="22">
        <v>2320</v>
      </c>
      <c r="V166" s="22">
        <v>2275</v>
      </c>
      <c r="W166" s="22">
        <v>2280</v>
      </c>
      <c r="X166" s="22">
        <v>2270</v>
      </c>
      <c r="Y166" s="22">
        <v>2272</v>
      </c>
      <c r="Z166" s="22">
        <v>2260</v>
      </c>
      <c r="AA166" s="22">
        <v>2285</v>
      </c>
      <c r="AB166" s="22">
        <v>2280</v>
      </c>
      <c r="AC166" s="22">
        <v>2279</v>
      </c>
      <c r="AD166" s="22">
        <v>2340</v>
      </c>
      <c r="AE166" s="22">
        <v>2300</v>
      </c>
      <c r="AF166" s="22">
        <v>2335</v>
      </c>
      <c r="AG166" s="22">
        <v>2300</v>
      </c>
      <c r="AH166" s="22">
        <v>2301</v>
      </c>
      <c r="AI166" s="22">
        <v>2345</v>
      </c>
      <c r="AJ166" s="22">
        <v>2370</v>
      </c>
      <c r="AK166" s="22">
        <v>2352</v>
      </c>
      <c r="AL166" s="22">
        <v>2401</v>
      </c>
      <c r="AM166" s="22">
        <v>2460</v>
      </c>
      <c r="AN166" s="22">
        <v>2479</v>
      </c>
      <c r="AO166" s="22">
        <v>2448</v>
      </c>
      <c r="AP166" s="22">
        <v>2481</v>
      </c>
      <c r="AQ166" s="22">
        <v>2510</v>
      </c>
      <c r="AR166" s="22">
        <v>2528</v>
      </c>
      <c r="AS166" s="22">
        <v>2535</v>
      </c>
      <c r="AT166" s="22">
        <v>2578</v>
      </c>
      <c r="AU166" s="22">
        <v>2535</v>
      </c>
      <c r="AV166" s="22">
        <v>2500</v>
      </c>
      <c r="AW166" s="22">
        <v>2473</v>
      </c>
      <c r="AX166" s="22">
        <v>2474</v>
      </c>
      <c r="AY166" s="22">
        <v>2435</v>
      </c>
      <c r="AZ166" s="22">
        <v>2401</v>
      </c>
      <c r="BA166" s="22">
        <v>2551</v>
      </c>
      <c r="BB166" s="22">
        <v>2443</v>
      </c>
      <c r="BC166" s="22">
        <v>2800</v>
      </c>
      <c r="BD166" s="22">
        <v>2825</v>
      </c>
      <c r="BE166" s="22">
        <v>2752</v>
      </c>
      <c r="BF166" s="22">
        <v>2734</v>
      </c>
      <c r="BG166" s="22">
        <v>2750</v>
      </c>
      <c r="BH166" s="22">
        <v>2800</v>
      </c>
      <c r="BI166" s="22">
        <v>2789</v>
      </c>
      <c r="BJ166" s="22">
        <v>2752</v>
      </c>
      <c r="BK166" s="22">
        <v>2751</v>
      </c>
      <c r="BL166" s="22">
        <v>2750</v>
      </c>
    </row>
    <row r="167" spans="1:64" ht="15.95" customHeight="1">
      <c r="A167" s="81" t="s">
        <v>423</v>
      </c>
      <c r="B167" s="17" t="s">
        <v>227</v>
      </c>
      <c r="C167" s="26">
        <f>_xll.RssMarket("9551","始値")</f>
        <v>3365</v>
      </c>
      <c r="D167" s="25">
        <f t="shared" si="2"/>
        <v>0</v>
      </c>
      <c r="E167" s="22">
        <v>3365</v>
      </c>
      <c r="F167" s="22">
        <v>3375</v>
      </c>
      <c r="G167" s="22">
        <v>3205</v>
      </c>
      <c r="H167" s="22">
        <v>3145</v>
      </c>
      <c r="I167" s="22">
        <v>3110</v>
      </c>
      <c r="J167" s="22">
        <v>3205</v>
      </c>
      <c r="K167" s="22">
        <v>3200</v>
      </c>
      <c r="L167" s="22">
        <v>3290</v>
      </c>
      <c r="M167" s="22">
        <v>3280</v>
      </c>
      <c r="N167" s="22">
        <v>3275</v>
      </c>
      <c r="O167" s="22">
        <v>3320</v>
      </c>
      <c r="P167" s="22">
        <v>3525</v>
      </c>
      <c r="Q167" s="22">
        <v>3245</v>
      </c>
      <c r="R167" s="22">
        <v>3320</v>
      </c>
      <c r="S167" s="22">
        <v>3305</v>
      </c>
      <c r="T167" s="22">
        <v>3295</v>
      </c>
      <c r="U167" s="22">
        <v>3300</v>
      </c>
      <c r="V167" s="22">
        <v>3265</v>
      </c>
      <c r="W167" s="22">
        <v>3380</v>
      </c>
      <c r="X167" s="22">
        <v>3490</v>
      </c>
      <c r="Y167" s="22">
        <v>3465</v>
      </c>
      <c r="Z167" s="22">
        <v>3440</v>
      </c>
      <c r="AA167" s="22">
        <v>3395</v>
      </c>
      <c r="AB167" s="22">
        <v>3385</v>
      </c>
      <c r="AC167" s="22">
        <v>3440</v>
      </c>
      <c r="AD167" s="22">
        <v>3430</v>
      </c>
      <c r="AE167" s="22">
        <v>3435</v>
      </c>
      <c r="AF167" s="22">
        <v>3410</v>
      </c>
      <c r="AG167" s="22">
        <v>3360</v>
      </c>
      <c r="AH167" s="22">
        <v>3325</v>
      </c>
      <c r="AI167" s="22">
        <v>3410</v>
      </c>
      <c r="AJ167" s="22">
        <v>3665</v>
      </c>
      <c r="AK167" s="22">
        <v>3625</v>
      </c>
      <c r="AL167" s="22">
        <v>3690</v>
      </c>
      <c r="AM167" s="22">
        <v>3685</v>
      </c>
      <c r="AN167" s="22">
        <v>3735</v>
      </c>
      <c r="AO167" s="22">
        <v>3720</v>
      </c>
      <c r="AP167" s="22">
        <v>3665</v>
      </c>
      <c r="AQ167" s="22">
        <v>3720</v>
      </c>
      <c r="AR167" s="22">
        <v>3700</v>
      </c>
      <c r="AS167" s="22">
        <v>3660</v>
      </c>
      <c r="AT167" s="22">
        <v>3750</v>
      </c>
      <c r="AU167" s="22">
        <v>3720</v>
      </c>
      <c r="AV167" s="22">
        <v>3740</v>
      </c>
      <c r="AW167" s="22">
        <v>3580</v>
      </c>
      <c r="AX167" s="22">
        <v>3555</v>
      </c>
      <c r="AY167" s="22">
        <v>3530</v>
      </c>
      <c r="AZ167" s="22">
        <v>3600</v>
      </c>
      <c r="BA167" s="22">
        <v>3515</v>
      </c>
      <c r="BB167" s="22">
        <v>3355</v>
      </c>
      <c r="BC167" s="22">
        <v>3345</v>
      </c>
      <c r="BD167" s="22">
        <v>3460</v>
      </c>
      <c r="BE167" s="22">
        <v>3570</v>
      </c>
      <c r="BF167" s="22">
        <v>3550</v>
      </c>
      <c r="BG167" s="22">
        <v>3470</v>
      </c>
      <c r="BH167" s="22">
        <v>3430</v>
      </c>
      <c r="BI167" s="22">
        <v>3650</v>
      </c>
      <c r="BJ167" s="22">
        <v>3695</v>
      </c>
      <c r="BK167" s="22">
        <v>3710</v>
      </c>
      <c r="BL167" s="22">
        <v>3680</v>
      </c>
    </row>
    <row r="168" spans="1:64" ht="15.95" customHeight="1">
      <c r="A168" s="81" t="s">
        <v>424</v>
      </c>
      <c r="B168" s="17" t="s">
        <v>228</v>
      </c>
      <c r="C168" s="26">
        <f>_xll.RssMarket("2359","始値")</f>
        <v>2010</v>
      </c>
      <c r="D168" s="25">
        <f t="shared" si="2"/>
        <v>0</v>
      </c>
      <c r="E168" s="22">
        <v>2010</v>
      </c>
      <c r="F168" s="22">
        <v>2007</v>
      </c>
      <c r="G168" s="22">
        <v>2019</v>
      </c>
      <c r="H168" s="22">
        <v>2006</v>
      </c>
      <c r="I168" s="22">
        <v>2027</v>
      </c>
      <c r="J168" s="22">
        <v>2017</v>
      </c>
      <c r="K168" s="22">
        <v>2033</v>
      </c>
      <c r="L168" s="22">
        <v>2061</v>
      </c>
      <c r="M168" s="22">
        <v>2021</v>
      </c>
      <c r="N168" s="22">
        <v>2043</v>
      </c>
      <c r="O168" s="22">
        <v>2034</v>
      </c>
      <c r="P168" s="22">
        <v>2072</v>
      </c>
      <c r="Q168" s="22">
        <v>2037</v>
      </c>
      <c r="R168" s="22">
        <v>2095</v>
      </c>
      <c r="S168" s="22">
        <v>2149</v>
      </c>
      <c r="T168" s="22">
        <v>2125</v>
      </c>
      <c r="U168" s="22">
        <v>2118</v>
      </c>
      <c r="V168" s="22">
        <v>2086</v>
      </c>
      <c r="W168" s="22">
        <v>2050</v>
      </c>
      <c r="X168" s="22">
        <v>2064</v>
      </c>
      <c r="Y168" s="22">
        <v>2051</v>
      </c>
      <c r="Z168" s="22">
        <v>2023</v>
      </c>
      <c r="AA168" s="22">
        <v>2010</v>
      </c>
      <c r="AB168" s="22">
        <v>2027</v>
      </c>
      <c r="AC168" s="22">
        <v>1993</v>
      </c>
      <c r="AD168" s="22">
        <v>2035</v>
      </c>
      <c r="AE168" s="22">
        <v>2050</v>
      </c>
      <c r="AF168" s="22">
        <v>2055</v>
      </c>
      <c r="AG168" s="22">
        <v>2230</v>
      </c>
      <c r="AH168" s="22">
        <v>2147</v>
      </c>
      <c r="AI168" s="22">
        <v>2167</v>
      </c>
      <c r="AJ168" s="22">
        <v>2200</v>
      </c>
      <c r="AK168" s="22">
        <v>2248</v>
      </c>
      <c r="AL168" s="22">
        <v>2249</v>
      </c>
      <c r="AM168" s="22">
        <v>2251</v>
      </c>
      <c r="AN168" s="22">
        <v>2248</v>
      </c>
      <c r="AO168" s="22">
        <v>2243</v>
      </c>
      <c r="AP168" s="22">
        <v>2250</v>
      </c>
      <c r="AQ168" s="22">
        <v>2240</v>
      </c>
      <c r="AR168" s="22">
        <v>2241</v>
      </c>
      <c r="AS168" s="22">
        <v>2274</v>
      </c>
      <c r="AT168" s="22">
        <v>2301</v>
      </c>
      <c r="AU168" s="22">
        <v>2290</v>
      </c>
      <c r="AV168" s="22">
        <v>2251</v>
      </c>
      <c r="AW168" s="22">
        <v>2274</v>
      </c>
      <c r="AX168" s="22">
        <v>2283</v>
      </c>
      <c r="AY168" s="22">
        <v>2280</v>
      </c>
      <c r="AZ168" s="22">
        <v>2280</v>
      </c>
      <c r="BA168" s="22">
        <v>2223</v>
      </c>
      <c r="BB168" s="22">
        <v>2184</v>
      </c>
      <c r="BC168" s="22">
        <v>2315</v>
      </c>
      <c r="BD168" s="22">
        <v>2294</v>
      </c>
      <c r="BE168" s="22">
        <v>2212</v>
      </c>
      <c r="BF168" s="22">
        <v>2182</v>
      </c>
      <c r="BG168" s="22">
        <v>2170</v>
      </c>
      <c r="BH168" s="22">
        <v>2208</v>
      </c>
      <c r="BI168" s="22">
        <v>2190</v>
      </c>
      <c r="BJ168" s="22">
        <v>2205</v>
      </c>
      <c r="BK168" s="22">
        <v>2172</v>
      </c>
      <c r="BL168" s="22">
        <v>2179</v>
      </c>
    </row>
    <row r="169" spans="1:64" ht="15.95" customHeight="1">
      <c r="A169" s="81" t="s">
        <v>425</v>
      </c>
      <c r="B169" s="17" t="s">
        <v>229</v>
      </c>
      <c r="C169" s="26">
        <f>_xll.RssMarket("8103","始値")</f>
        <v>876</v>
      </c>
      <c r="D169" s="25">
        <f t="shared" si="2"/>
        <v>0</v>
      </c>
      <c r="E169" s="22">
        <v>876</v>
      </c>
      <c r="F169" s="22">
        <v>880</v>
      </c>
      <c r="G169" s="22">
        <v>872</v>
      </c>
      <c r="H169" s="22">
        <v>862</v>
      </c>
      <c r="I169" s="22">
        <v>867</v>
      </c>
      <c r="J169" s="22">
        <v>880</v>
      </c>
      <c r="K169" s="22">
        <v>864</v>
      </c>
      <c r="L169" s="22">
        <v>885</v>
      </c>
      <c r="M169" s="22">
        <v>884</v>
      </c>
      <c r="N169" s="22">
        <v>880</v>
      </c>
      <c r="O169" s="22">
        <v>892</v>
      </c>
      <c r="P169" s="22">
        <v>885</v>
      </c>
      <c r="Q169" s="22">
        <v>899</v>
      </c>
      <c r="R169" s="22">
        <v>903</v>
      </c>
      <c r="S169" s="22">
        <v>894</v>
      </c>
      <c r="T169" s="22">
        <v>898</v>
      </c>
      <c r="U169" s="22">
        <v>908</v>
      </c>
      <c r="V169" s="22">
        <v>912</v>
      </c>
      <c r="W169" s="22">
        <v>900</v>
      </c>
      <c r="X169" s="22">
        <v>907</v>
      </c>
      <c r="Y169" s="22">
        <v>900</v>
      </c>
      <c r="Z169" s="22">
        <v>881</v>
      </c>
      <c r="AA169" s="22">
        <v>888</v>
      </c>
      <c r="AB169" s="22">
        <v>895</v>
      </c>
      <c r="AC169" s="22">
        <v>901</v>
      </c>
      <c r="AD169" s="22">
        <v>860</v>
      </c>
      <c r="AE169" s="22">
        <v>837</v>
      </c>
      <c r="AF169" s="22">
        <v>771</v>
      </c>
      <c r="AG169" s="22">
        <v>767</v>
      </c>
      <c r="AH169" s="22">
        <v>770</v>
      </c>
      <c r="AI169" s="22">
        <v>767</v>
      </c>
      <c r="AJ169" s="22">
        <v>770</v>
      </c>
      <c r="AK169" s="22">
        <v>773</v>
      </c>
      <c r="AL169" s="22">
        <v>782</v>
      </c>
      <c r="AM169" s="22">
        <v>783</v>
      </c>
      <c r="AN169" s="22">
        <v>780</v>
      </c>
      <c r="AO169" s="22">
        <v>773</v>
      </c>
      <c r="AP169" s="22">
        <v>782</v>
      </c>
      <c r="AQ169" s="22">
        <v>790</v>
      </c>
      <c r="AR169" s="22">
        <v>796</v>
      </c>
      <c r="AS169" s="22">
        <v>803</v>
      </c>
      <c r="AT169" s="22">
        <v>804</v>
      </c>
      <c r="AU169" s="22">
        <v>803</v>
      </c>
      <c r="AV169" s="22">
        <v>792</v>
      </c>
      <c r="AW169" s="22">
        <v>792</v>
      </c>
      <c r="AX169" s="22">
        <v>795</v>
      </c>
      <c r="AY169" s="22">
        <v>806</v>
      </c>
      <c r="AZ169" s="22">
        <v>799</v>
      </c>
      <c r="BA169" s="22">
        <v>786</v>
      </c>
      <c r="BB169" s="22">
        <v>764</v>
      </c>
      <c r="BC169" s="22">
        <v>822</v>
      </c>
      <c r="BD169" s="22">
        <v>830</v>
      </c>
      <c r="BE169" s="22">
        <v>826</v>
      </c>
      <c r="BF169" s="22">
        <v>816</v>
      </c>
      <c r="BG169" s="22">
        <v>806</v>
      </c>
      <c r="BH169" s="22">
        <v>827</v>
      </c>
      <c r="BI169" s="22">
        <v>823</v>
      </c>
      <c r="BJ169" s="22">
        <v>823</v>
      </c>
      <c r="BK169" s="22">
        <v>813</v>
      </c>
      <c r="BL169" s="22">
        <v>820</v>
      </c>
    </row>
    <row r="170" spans="1:64" ht="15.95" customHeight="1">
      <c r="A170" s="81" t="s">
        <v>426</v>
      </c>
      <c r="B170" s="17" t="s">
        <v>230</v>
      </c>
      <c r="C170" s="26">
        <f>_xll.RssMarket("4709","始値")</f>
        <v>1112</v>
      </c>
      <c r="D170" s="25">
        <f t="shared" si="2"/>
        <v>0</v>
      </c>
      <c r="E170" s="22">
        <v>1112</v>
      </c>
      <c r="F170" s="22">
        <v>1080</v>
      </c>
      <c r="G170" s="22">
        <v>1062</v>
      </c>
      <c r="H170" s="22">
        <v>1045</v>
      </c>
      <c r="I170" s="22">
        <v>1097</v>
      </c>
      <c r="J170" s="22">
        <v>1042</v>
      </c>
      <c r="K170" s="22">
        <v>995</v>
      </c>
      <c r="L170" s="22">
        <v>998</v>
      </c>
      <c r="M170" s="22">
        <v>992</v>
      </c>
      <c r="N170" s="22">
        <v>1024</v>
      </c>
      <c r="O170" s="22">
        <v>1028</v>
      </c>
      <c r="P170" s="22">
        <v>1032</v>
      </c>
      <c r="Q170" s="22">
        <v>1008</v>
      </c>
      <c r="R170" s="22">
        <v>1015</v>
      </c>
      <c r="S170" s="22">
        <v>1049</v>
      </c>
      <c r="T170" s="22">
        <v>1043</v>
      </c>
      <c r="U170" s="22">
        <v>1046</v>
      </c>
      <c r="V170" s="22">
        <v>1047</v>
      </c>
      <c r="W170" s="22">
        <v>1017</v>
      </c>
      <c r="X170" s="22">
        <v>1036</v>
      </c>
      <c r="Y170" s="22">
        <v>1018</v>
      </c>
      <c r="Z170" s="22">
        <v>1065</v>
      </c>
      <c r="AA170" s="22">
        <v>1075</v>
      </c>
      <c r="AB170" s="22">
        <v>1074</v>
      </c>
      <c r="AC170" s="22">
        <v>1058</v>
      </c>
      <c r="AD170" s="22">
        <v>1035</v>
      </c>
      <c r="AE170" s="22">
        <v>1040</v>
      </c>
      <c r="AF170" s="22">
        <v>1024</v>
      </c>
      <c r="AG170" s="22">
        <v>896</v>
      </c>
      <c r="AH170" s="22">
        <v>899</v>
      </c>
      <c r="AI170" s="22">
        <v>890</v>
      </c>
      <c r="AJ170" s="22">
        <v>896</v>
      </c>
      <c r="AK170" s="22">
        <v>905</v>
      </c>
      <c r="AL170" s="22">
        <v>918</v>
      </c>
      <c r="AM170" s="22">
        <v>922</v>
      </c>
      <c r="AN170" s="22">
        <v>946</v>
      </c>
      <c r="AO170" s="22">
        <v>932</v>
      </c>
      <c r="AP170" s="22">
        <v>941</v>
      </c>
      <c r="AQ170" s="22">
        <v>918</v>
      </c>
      <c r="AR170" s="22">
        <v>930</v>
      </c>
      <c r="AS170" s="22">
        <v>922</v>
      </c>
      <c r="AT170" s="22">
        <v>938</v>
      </c>
      <c r="AU170" s="22">
        <v>956</v>
      </c>
      <c r="AV170" s="22">
        <v>967</v>
      </c>
      <c r="AW170" s="22">
        <v>951</v>
      </c>
      <c r="AX170" s="22">
        <v>944</v>
      </c>
      <c r="AY170" s="22">
        <v>940</v>
      </c>
      <c r="AZ170" s="22">
        <v>953</v>
      </c>
      <c r="BA170" s="22">
        <v>950</v>
      </c>
      <c r="BB170" s="22">
        <v>922</v>
      </c>
      <c r="BC170" s="22">
        <v>930</v>
      </c>
      <c r="BD170" s="22">
        <v>944.5</v>
      </c>
      <c r="BE170" s="22">
        <v>952.5</v>
      </c>
      <c r="BF170" s="22">
        <v>946</v>
      </c>
      <c r="BG170" s="22">
        <v>925</v>
      </c>
      <c r="BH170" s="22">
        <v>925.5</v>
      </c>
      <c r="BI170" s="22">
        <v>959</v>
      </c>
      <c r="BJ170" s="22">
        <v>959</v>
      </c>
      <c r="BK170" s="22">
        <v>964.5</v>
      </c>
      <c r="BL170" s="22">
        <v>955</v>
      </c>
    </row>
    <row r="171" spans="1:64" ht="15.95" customHeight="1">
      <c r="A171" s="81" t="s">
        <v>427</v>
      </c>
      <c r="B171" s="17" t="s">
        <v>231</v>
      </c>
      <c r="C171" s="26">
        <f>_xll.RssMarket("7981","始値")</f>
        <v>3010</v>
      </c>
      <c r="D171" s="25">
        <f t="shared" si="2"/>
        <v>0</v>
      </c>
      <c r="E171" s="22">
        <v>3010</v>
      </c>
      <c r="F171" s="22">
        <v>3015</v>
      </c>
      <c r="G171" s="22">
        <v>3010</v>
      </c>
      <c r="H171" s="22">
        <v>2999</v>
      </c>
      <c r="I171" s="22">
        <v>2951</v>
      </c>
      <c r="J171" s="22">
        <v>2962</v>
      </c>
      <c r="K171" s="22">
        <v>2917</v>
      </c>
      <c r="L171" s="22">
        <v>2944</v>
      </c>
      <c r="M171" s="22">
        <v>2924</v>
      </c>
      <c r="N171" s="22">
        <v>2923</v>
      </c>
      <c r="O171" s="22">
        <v>2932</v>
      </c>
      <c r="P171" s="22">
        <v>2935</v>
      </c>
      <c r="Q171" s="22">
        <v>2975</v>
      </c>
      <c r="R171" s="22">
        <v>2946</v>
      </c>
      <c r="S171" s="22">
        <v>2973</v>
      </c>
      <c r="T171" s="22">
        <v>2900</v>
      </c>
      <c r="U171" s="22">
        <v>2945</v>
      </c>
      <c r="V171" s="22">
        <v>2925</v>
      </c>
      <c r="W171" s="22">
        <v>2990</v>
      </c>
      <c r="X171" s="22">
        <v>3005</v>
      </c>
      <c r="Y171" s="22">
        <v>2988</v>
      </c>
      <c r="Z171" s="22">
        <v>3025</v>
      </c>
      <c r="AA171" s="22">
        <v>3095</v>
      </c>
      <c r="AB171" s="22">
        <v>3050</v>
      </c>
      <c r="AC171" s="22">
        <v>3200</v>
      </c>
      <c r="AD171" s="22">
        <v>3045</v>
      </c>
      <c r="AE171" s="22">
        <v>2992</v>
      </c>
      <c r="AF171" s="22">
        <v>2811</v>
      </c>
      <c r="AG171" s="22">
        <v>2750</v>
      </c>
      <c r="AH171" s="22">
        <v>2675</v>
      </c>
      <c r="AI171" s="22">
        <v>2668</v>
      </c>
      <c r="AJ171" s="22">
        <v>2660</v>
      </c>
      <c r="AK171" s="22">
        <v>2675</v>
      </c>
      <c r="AL171" s="22">
        <v>2714</v>
      </c>
      <c r="AM171" s="22">
        <v>2749</v>
      </c>
      <c r="AN171" s="22">
        <v>2771</v>
      </c>
      <c r="AO171" s="22">
        <v>2755</v>
      </c>
      <c r="AP171" s="22">
        <v>2698</v>
      </c>
      <c r="AQ171" s="22">
        <v>2763</v>
      </c>
      <c r="AR171" s="22">
        <v>2906</v>
      </c>
      <c r="AS171" s="22">
        <v>2980</v>
      </c>
      <c r="AT171" s="22">
        <v>2928</v>
      </c>
      <c r="AU171" s="22">
        <v>2905</v>
      </c>
      <c r="AV171" s="22">
        <v>2819</v>
      </c>
      <c r="AW171" s="22">
        <v>2798</v>
      </c>
      <c r="AX171" s="22">
        <v>2778</v>
      </c>
      <c r="AY171" s="22">
        <v>2815</v>
      </c>
      <c r="AZ171" s="22">
        <v>2820</v>
      </c>
      <c r="BA171" s="22">
        <v>2732</v>
      </c>
      <c r="BB171" s="22">
        <v>2688</v>
      </c>
      <c r="BC171" s="22">
        <v>2866</v>
      </c>
      <c r="BD171" s="22">
        <v>2863</v>
      </c>
      <c r="BE171" s="22">
        <v>2834</v>
      </c>
      <c r="BF171" s="22">
        <v>2777</v>
      </c>
      <c r="BG171" s="22">
        <v>2776</v>
      </c>
      <c r="BH171" s="22">
        <v>2857</v>
      </c>
      <c r="BI171" s="22">
        <v>2878</v>
      </c>
      <c r="BJ171" s="22">
        <v>2805</v>
      </c>
      <c r="BK171" s="22">
        <v>2801</v>
      </c>
      <c r="BL171" s="22">
        <v>2796</v>
      </c>
    </row>
    <row r="172" spans="1:64" ht="15.95" customHeight="1">
      <c r="A172" s="81" t="s">
        <v>428</v>
      </c>
      <c r="B172" s="17" t="s">
        <v>232</v>
      </c>
      <c r="C172" s="26">
        <f>_xll.RssMarket("8303","始値")</f>
        <v>1470</v>
      </c>
      <c r="D172" s="25">
        <f t="shared" si="2"/>
        <v>0</v>
      </c>
      <c r="E172" s="22">
        <v>1470</v>
      </c>
      <c r="F172" s="22">
        <v>1493</v>
      </c>
      <c r="G172" s="22">
        <v>1476</v>
      </c>
      <c r="H172" s="22">
        <v>1420</v>
      </c>
      <c r="I172" s="22">
        <v>1460</v>
      </c>
      <c r="J172" s="22">
        <v>1491</v>
      </c>
      <c r="K172" s="22">
        <v>1366</v>
      </c>
      <c r="L172" s="22">
        <v>1448</v>
      </c>
      <c r="M172" s="22">
        <v>1401.5</v>
      </c>
      <c r="N172" s="22">
        <v>1364</v>
      </c>
      <c r="O172" s="22">
        <v>1351</v>
      </c>
      <c r="P172" s="22">
        <v>1369</v>
      </c>
      <c r="Q172" s="22">
        <v>1392</v>
      </c>
      <c r="R172" s="22">
        <v>1412.5</v>
      </c>
      <c r="S172" s="22">
        <v>1480</v>
      </c>
      <c r="T172" s="22">
        <v>1501</v>
      </c>
      <c r="U172" s="22">
        <v>1571</v>
      </c>
      <c r="V172" s="22">
        <v>1595.5</v>
      </c>
      <c r="W172" s="22">
        <v>1640</v>
      </c>
      <c r="X172" s="22">
        <v>1647</v>
      </c>
      <c r="Y172" s="22">
        <v>1618</v>
      </c>
      <c r="Z172" s="22">
        <v>1651</v>
      </c>
      <c r="AA172" s="22">
        <v>1650</v>
      </c>
      <c r="AB172" s="22">
        <v>1640</v>
      </c>
      <c r="AC172" s="22">
        <v>1669</v>
      </c>
      <c r="AD172" s="22">
        <v>1679</v>
      </c>
      <c r="AE172" s="22">
        <v>1718.5</v>
      </c>
      <c r="AF172" s="22">
        <v>1828.5</v>
      </c>
      <c r="AG172" s="22">
        <v>1826</v>
      </c>
      <c r="AH172" s="22">
        <v>1760</v>
      </c>
      <c r="AI172" s="22">
        <v>1683</v>
      </c>
      <c r="AJ172" s="22">
        <v>1690</v>
      </c>
      <c r="AK172" s="22">
        <v>1620</v>
      </c>
      <c r="AL172" s="22">
        <v>1658.5</v>
      </c>
      <c r="AM172" s="22">
        <v>1677</v>
      </c>
      <c r="AN172" s="22">
        <v>1690</v>
      </c>
      <c r="AO172" s="22">
        <v>1717</v>
      </c>
      <c r="AP172" s="22">
        <v>1703</v>
      </c>
      <c r="AQ172" s="22">
        <v>1685</v>
      </c>
      <c r="AR172" s="22">
        <v>1697</v>
      </c>
      <c r="AS172" s="22">
        <v>1698</v>
      </c>
      <c r="AT172" s="22">
        <v>1731</v>
      </c>
      <c r="AU172" s="22">
        <v>1757</v>
      </c>
      <c r="AV172" s="22">
        <v>1812.5</v>
      </c>
      <c r="AW172" s="22">
        <v>1775</v>
      </c>
      <c r="AX172" s="22">
        <v>1739.5</v>
      </c>
      <c r="AY172" s="22">
        <v>1731.5</v>
      </c>
      <c r="AZ172" s="22">
        <v>1769.5</v>
      </c>
      <c r="BA172" s="22">
        <v>1711</v>
      </c>
      <c r="BB172" s="22">
        <v>1683</v>
      </c>
      <c r="BC172" s="22">
        <v>1643</v>
      </c>
      <c r="BD172" s="22">
        <v>1677</v>
      </c>
      <c r="BE172" s="22">
        <v>1709.5</v>
      </c>
      <c r="BF172" s="22">
        <v>1716</v>
      </c>
      <c r="BG172" s="22">
        <v>1685.5</v>
      </c>
      <c r="BH172" s="22">
        <v>1650</v>
      </c>
      <c r="BI172" s="22">
        <v>1680</v>
      </c>
      <c r="BJ172" s="22">
        <v>1686.5</v>
      </c>
      <c r="BK172" s="22">
        <v>1698.5</v>
      </c>
      <c r="BL172" s="22">
        <v>1677.5</v>
      </c>
    </row>
    <row r="173" spans="1:64" ht="15.95" customHeight="1">
      <c r="A173" s="81" t="s">
        <v>429</v>
      </c>
      <c r="B173" s="17" t="s">
        <v>233</v>
      </c>
      <c r="C173" s="26">
        <f>_xll.RssMarket("4382","始値")</f>
        <v>792</v>
      </c>
      <c r="D173" s="25">
        <f t="shared" si="2"/>
        <v>0</v>
      </c>
      <c r="E173" s="22">
        <v>792</v>
      </c>
      <c r="F173" s="22">
        <v>788</v>
      </c>
      <c r="G173" s="22">
        <v>849</v>
      </c>
      <c r="H173" s="22">
        <v>782</v>
      </c>
      <c r="I173" s="22">
        <v>751</v>
      </c>
      <c r="J173" s="22">
        <v>810</v>
      </c>
      <c r="K173" s="22">
        <v>698</v>
      </c>
      <c r="L173" s="22">
        <v>696</v>
      </c>
      <c r="M173" s="22">
        <v>698</v>
      </c>
      <c r="N173" s="22">
        <v>701</v>
      </c>
      <c r="O173" s="22">
        <v>703</v>
      </c>
      <c r="P173" s="22">
        <v>720</v>
      </c>
      <c r="Q173" s="22">
        <v>747</v>
      </c>
      <c r="R173" s="22">
        <v>751</v>
      </c>
      <c r="S173" s="22">
        <v>771</v>
      </c>
      <c r="T173" s="22">
        <v>766</v>
      </c>
      <c r="U173" s="22">
        <v>765</v>
      </c>
      <c r="V173" s="22">
        <v>774</v>
      </c>
      <c r="W173" s="22">
        <v>762</v>
      </c>
      <c r="X173" s="22">
        <v>775</v>
      </c>
      <c r="Y173" s="22">
        <v>781</v>
      </c>
      <c r="Z173" s="22">
        <v>786</v>
      </c>
      <c r="AA173" s="22">
        <v>787</v>
      </c>
      <c r="AB173" s="22">
        <v>804</v>
      </c>
      <c r="AC173" s="22">
        <v>805</v>
      </c>
      <c r="AD173" s="22">
        <v>821</v>
      </c>
      <c r="AE173" s="22">
        <v>812</v>
      </c>
      <c r="AF173" s="22">
        <v>810</v>
      </c>
      <c r="AG173" s="22">
        <v>812</v>
      </c>
      <c r="AH173" s="22">
        <v>831</v>
      </c>
      <c r="AI173" s="22">
        <v>843</v>
      </c>
      <c r="AJ173" s="22">
        <v>851</v>
      </c>
      <c r="AK173" s="22">
        <v>860</v>
      </c>
      <c r="AL173" s="22">
        <v>860</v>
      </c>
      <c r="AM173" s="22">
        <v>881</v>
      </c>
      <c r="AN173" s="22">
        <v>900</v>
      </c>
      <c r="AO173" s="22">
        <v>879</v>
      </c>
      <c r="AP173" s="22">
        <v>872</v>
      </c>
      <c r="AQ173" s="22">
        <v>869</v>
      </c>
      <c r="AR173" s="22">
        <v>850</v>
      </c>
      <c r="AS173" s="22">
        <v>868</v>
      </c>
      <c r="AT173" s="22">
        <v>881</v>
      </c>
      <c r="AU173" s="22">
        <v>887</v>
      </c>
      <c r="AV173" s="22">
        <v>875</v>
      </c>
      <c r="AW173" s="22">
        <v>865</v>
      </c>
      <c r="AX173" s="22">
        <v>851</v>
      </c>
      <c r="AY173" s="22">
        <v>867</v>
      </c>
      <c r="AZ173" s="22">
        <v>853</v>
      </c>
      <c r="BA173" s="22">
        <v>821</v>
      </c>
      <c r="BB173" s="22">
        <v>811</v>
      </c>
      <c r="BC173" s="22">
        <v>802</v>
      </c>
      <c r="BD173" s="22">
        <v>823</v>
      </c>
      <c r="BE173" s="22">
        <v>820</v>
      </c>
      <c r="BF173" s="22">
        <v>801</v>
      </c>
      <c r="BG173" s="22">
        <v>822</v>
      </c>
      <c r="BH173" s="22">
        <v>861</v>
      </c>
      <c r="BI173" s="22">
        <v>863</v>
      </c>
      <c r="BJ173" s="22">
        <v>870</v>
      </c>
      <c r="BK173" s="22">
        <v>889</v>
      </c>
      <c r="BL173" s="22">
        <v>866</v>
      </c>
    </row>
    <row r="174" spans="1:64" ht="15.95" customHeight="1">
      <c r="A174" s="81" t="s">
        <v>430</v>
      </c>
      <c r="B174" s="17" t="s">
        <v>234</v>
      </c>
      <c r="C174" s="26">
        <f>_xll.RssMarket("2327","始値")</f>
        <v>3133</v>
      </c>
      <c r="D174" s="25">
        <f t="shared" si="2"/>
        <v>0</v>
      </c>
      <c r="E174" s="22">
        <v>3133</v>
      </c>
      <c r="F174" s="22">
        <v>3220</v>
      </c>
      <c r="G174" s="22">
        <v>3250</v>
      </c>
      <c r="H174" s="22">
        <v>3234</v>
      </c>
      <c r="I174" s="22">
        <v>3243</v>
      </c>
      <c r="J174" s="22">
        <v>3285</v>
      </c>
      <c r="K174" s="22">
        <v>3351</v>
      </c>
      <c r="L174" s="22">
        <v>3480</v>
      </c>
      <c r="M174" s="22">
        <v>3362</v>
      </c>
      <c r="N174" s="22">
        <v>3512</v>
      </c>
      <c r="O174" s="22">
        <v>3570</v>
      </c>
      <c r="P174" s="22">
        <v>3499</v>
      </c>
      <c r="Q174" s="22">
        <v>3568</v>
      </c>
      <c r="R174" s="22">
        <v>3607</v>
      </c>
      <c r="S174" s="22">
        <v>3598</v>
      </c>
      <c r="T174" s="22">
        <v>3516</v>
      </c>
      <c r="U174" s="22">
        <v>3542</v>
      </c>
      <c r="V174" s="22">
        <v>3600</v>
      </c>
      <c r="W174" s="22">
        <v>3548</v>
      </c>
      <c r="X174" s="22">
        <v>3510</v>
      </c>
      <c r="Y174" s="22">
        <v>3500</v>
      </c>
      <c r="Z174" s="22">
        <v>3515</v>
      </c>
      <c r="AA174" s="22">
        <v>3639</v>
      </c>
      <c r="AB174" s="22">
        <v>3630</v>
      </c>
      <c r="AC174" s="22">
        <v>3638</v>
      </c>
      <c r="AD174" s="22">
        <v>3643</v>
      </c>
      <c r="AE174" s="22">
        <v>3586</v>
      </c>
      <c r="AF174" s="22">
        <v>3536</v>
      </c>
      <c r="AG174" s="22">
        <v>3641</v>
      </c>
      <c r="AH174" s="22">
        <v>3524</v>
      </c>
      <c r="AI174" s="22">
        <v>3680</v>
      </c>
      <c r="AJ174" s="22">
        <v>3638</v>
      </c>
      <c r="AK174" s="22">
        <v>3833</v>
      </c>
      <c r="AL174" s="22">
        <v>3881</v>
      </c>
      <c r="AM174" s="22">
        <v>3879</v>
      </c>
      <c r="AN174" s="22">
        <v>3897</v>
      </c>
      <c r="AO174" s="22">
        <v>3903</v>
      </c>
      <c r="AP174" s="22">
        <v>3933</v>
      </c>
      <c r="AQ174" s="22">
        <v>3820</v>
      </c>
      <c r="AR174" s="22">
        <v>3790</v>
      </c>
      <c r="AS174" s="22">
        <v>3754</v>
      </c>
      <c r="AT174" s="22">
        <v>3771</v>
      </c>
      <c r="AU174" s="22">
        <v>3845</v>
      </c>
      <c r="AV174" s="22">
        <v>3942</v>
      </c>
      <c r="AW174" s="22">
        <v>3875</v>
      </c>
      <c r="AX174" s="22">
        <v>3839</v>
      </c>
      <c r="AY174" s="22">
        <v>3740</v>
      </c>
      <c r="AZ174" s="22">
        <v>3666</v>
      </c>
      <c r="BA174" s="22">
        <v>3771</v>
      </c>
      <c r="BB174" s="22">
        <v>3663</v>
      </c>
      <c r="BC174" s="22">
        <v>3599</v>
      </c>
      <c r="BD174" s="22">
        <v>3707</v>
      </c>
      <c r="BE174" s="22">
        <v>3638</v>
      </c>
      <c r="BF174" s="22">
        <v>3674</v>
      </c>
      <c r="BG174" s="22">
        <v>3712</v>
      </c>
      <c r="BH174" s="22">
        <v>3683</v>
      </c>
      <c r="BI174" s="22">
        <v>3720</v>
      </c>
      <c r="BJ174" s="22">
        <v>3739</v>
      </c>
      <c r="BK174" s="22">
        <v>3753</v>
      </c>
      <c r="BL174" s="22">
        <v>3663</v>
      </c>
    </row>
    <row r="175" spans="1:64" ht="15.95" customHeight="1">
      <c r="A175" s="81" t="s">
        <v>431</v>
      </c>
      <c r="B175" s="17" t="s">
        <v>235</v>
      </c>
      <c r="C175" s="26">
        <f>_xll.RssMarket("1942","始値")</f>
        <v>6400</v>
      </c>
      <c r="D175" s="25">
        <f t="shared" si="2"/>
        <v>0</v>
      </c>
      <c r="E175" s="22">
        <v>6400</v>
      </c>
      <c r="F175" s="22">
        <v>6320</v>
      </c>
      <c r="G175" s="22">
        <v>6163</v>
      </c>
      <c r="H175" s="22">
        <v>5944</v>
      </c>
      <c r="I175" s="22">
        <v>5862</v>
      </c>
      <c r="J175" s="22">
        <v>6033</v>
      </c>
      <c r="K175" s="22">
        <v>5814</v>
      </c>
      <c r="L175" s="22">
        <v>5823</v>
      </c>
      <c r="M175" s="22">
        <v>5820</v>
      </c>
      <c r="N175" s="22">
        <v>6000</v>
      </c>
      <c r="O175" s="22">
        <v>6007</v>
      </c>
      <c r="P175" s="22">
        <v>6579</v>
      </c>
      <c r="Q175" s="22">
        <v>6492</v>
      </c>
      <c r="R175" s="22">
        <v>6682</v>
      </c>
      <c r="S175" s="22">
        <v>6060</v>
      </c>
      <c r="T175" s="22">
        <v>6105</v>
      </c>
      <c r="U175" s="22">
        <v>6250</v>
      </c>
      <c r="V175" s="22">
        <v>6322</v>
      </c>
      <c r="W175" s="22">
        <v>6500</v>
      </c>
      <c r="X175" s="22">
        <v>6800</v>
      </c>
      <c r="Y175" s="22">
        <v>6968</v>
      </c>
      <c r="Z175" s="22">
        <v>7250</v>
      </c>
      <c r="AA175" s="22">
        <v>7280</v>
      </c>
      <c r="AB175" s="22">
        <v>7270</v>
      </c>
      <c r="AC175" s="22">
        <v>7050</v>
      </c>
      <c r="AD175" s="22">
        <v>6912</v>
      </c>
      <c r="AE175" s="22">
        <v>6834</v>
      </c>
      <c r="AF175" s="22">
        <v>6900</v>
      </c>
      <c r="AG175" s="22">
        <v>6697</v>
      </c>
      <c r="AH175" s="22">
        <v>6412</v>
      </c>
      <c r="AI175" s="22">
        <v>6004</v>
      </c>
      <c r="AJ175" s="22">
        <v>6096</v>
      </c>
      <c r="AK175" s="22">
        <v>6002</v>
      </c>
      <c r="AL175" s="22">
        <v>6122</v>
      </c>
      <c r="AM175" s="22">
        <v>6167</v>
      </c>
      <c r="AN175" s="22">
        <v>6190</v>
      </c>
      <c r="AO175" s="22">
        <v>6154</v>
      </c>
      <c r="AP175" s="22">
        <v>6091</v>
      </c>
      <c r="AQ175" s="22">
        <v>6375</v>
      </c>
      <c r="AR175" s="22">
        <v>6280</v>
      </c>
      <c r="AS175" s="22">
        <v>6265</v>
      </c>
      <c r="AT175" s="22">
        <v>6399</v>
      </c>
      <c r="AU175" s="22">
        <v>6366</v>
      </c>
      <c r="AV175" s="22">
        <v>6350</v>
      </c>
      <c r="AW175" s="22">
        <v>6080</v>
      </c>
      <c r="AX175" s="22">
        <v>6110</v>
      </c>
      <c r="AY175" s="22">
        <v>6122</v>
      </c>
      <c r="AZ175" s="22">
        <v>6280</v>
      </c>
      <c r="BA175" s="22">
        <v>6098</v>
      </c>
      <c r="BB175" s="22">
        <v>5795</v>
      </c>
      <c r="BC175" s="22">
        <v>5910</v>
      </c>
      <c r="BD175" s="22">
        <v>6206</v>
      </c>
      <c r="BE175" s="22">
        <v>6375</v>
      </c>
      <c r="BF175" s="22">
        <v>6298</v>
      </c>
      <c r="BG175" s="22">
        <v>6098</v>
      </c>
      <c r="BH175" s="22">
        <v>5995</v>
      </c>
      <c r="BI175" s="22">
        <v>6206</v>
      </c>
      <c r="BJ175" s="22">
        <v>6203</v>
      </c>
      <c r="BK175" s="22">
        <v>6183</v>
      </c>
      <c r="BL175" s="22">
        <v>6097</v>
      </c>
    </row>
    <row r="176" spans="1:64" ht="15.95" customHeight="1">
      <c r="A176" s="81" t="s">
        <v>432</v>
      </c>
      <c r="B176" s="17" t="s">
        <v>236</v>
      </c>
      <c r="C176" s="26">
        <f>_xll.RssMarket("1938","始値")</f>
        <v>2804</v>
      </c>
      <c r="D176" s="25">
        <f t="shared" si="2"/>
        <v>0</v>
      </c>
      <c r="E176" s="22">
        <v>2804</v>
      </c>
      <c r="F176" s="22">
        <v>2760</v>
      </c>
      <c r="G176" s="22">
        <v>2740</v>
      </c>
      <c r="H176" s="22">
        <v>2714</v>
      </c>
      <c r="I176" s="22">
        <v>2698</v>
      </c>
      <c r="J176" s="22">
        <v>2728</v>
      </c>
      <c r="K176" s="22">
        <v>2722</v>
      </c>
      <c r="L176" s="22">
        <v>2777</v>
      </c>
      <c r="M176" s="22">
        <v>2705</v>
      </c>
      <c r="N176" s="22">
        <v>2748</v>
      </c>
      <c r="O176" s="22">
        <v>2688</v>
      </c>
      <c r="P176" s="22">
        <v>2799</v>
      </c>
      <c r="Q176" s="22">
        <v>2761</v>
      </c>
      <c r="R176" s="22">
        <v>2850</v>
      </c>
      <c r="S176" s="22">
        <v>2687</v>
      </c>
      <c r="T176" s="22">
        <v>2664</v>
      </c>
      <c r="U176" s="22">
        <v>2735</v>
      </c>
      <c r="V176" s="22">
        <v>2759</v>
      </c>
      <c r="W176" s="22">
        <v>2849</v>
      </c>
      <c r="X176" s="22">
        <v>2879</v>
      </c>
      <c r="Y176" s="22">
        <v>2988</v>
      </c>
      <c r="Z176" s="22">
        <v>3005</v>
      </c>
      <c r="AA176" s="22">
        <v>3150</v>
      </c>
      <c r="AB176" s="22">
        <v>2994</v>
      </c>
      <c r="AC176" s="22">
        <v>2924</v>
      </c>
      <c r="AD176" s="22">
        <v>2887</v>
      </c>
      <c r="AE176" s="22">
        <v>2879</v>
      </c>
      <c r="AF176" s="22">
        <v>2733</v>
      </c>
      <c r="AG176" s="22">
        <v>2689</v>
      </c>
      <c r="AH176" s="22">
        <v>2585</v>
      </c>
      <c r="AI176" s="22">
        <v>2532</v>
      </c>
      <c r="AJ176" s="22">
        <v>2575</v>
      </c>
      <c r="AK176" s="22">
        <v>2506</v>
      </c>
      <c r="AL176" s="22">
        <v>2570</v>
      </c>
      <c r="AM176" s="22">
        <v>2571</v>
      </c>
      <c r="AN176" s="22">
        <v>2545</v>
      </c>
      <c r="AO176" s="22">
        <v>2585</v>
      </c>
      <c r="AP176" s="22">
        <v>2591</v>
      </c>
      <c r="AQ176" s="22">
        <v>2658</v>
      </c>
      <c r="AR176" s="22">
        <v>2701</v>
      </c>
      <c r="AS176" s="22">
        <v>2604</v>
      </c>
      <c r="AT176" s="22">
        <v>2680</v>
      </c>
      <c r="AU176" s="22">
        <v>2705</v>
      </c>
      <c r="AV176" s="22">
        <v>2611</v>
      </c>
      <c r="AW176" s="22">
        <v>2515</v>
      </c>
      <c r="AX176" s="22">
        <v>2537</v>
      </c>
      <c r="AY176" s="22">
        <v>2535</v>
      </c>
      <c r="AZ176" s="22">
        <v>2592</v>
      </c>
      <c r="BA176" s="22">
        <v>2573</v>
      </c>
      <c r="BB176" s="22">
        <v>2488</v>
      </c>
      <c r="BC176" s="22">
        <v>2471</v>
      </c>
      <c r="BD176" s="22">
        <v>2598</v>
      </c>
      <c r="BE176" s="22">
        <v>2695</v>
      </c>
      <c r="BF176" s="22">
        <v>2687</v>
      </c>
      <c r="BG176" s="22">
        <v>2575</v>
      </c>
      <c r="BH176" s="22">
        <v>2576</v>
      </c>
      <c r="BI176" s="22">
        <v>2720</v>
      </c>
      <c r="BJ176" s="22">
        <v>2711</v>
      </c>
      <c r="BK176" s="22">
        <v>2690</v>
      </c>
      <c r="BL176" s="22">
        <v>2609</v>
      </c>
    </row>
    <row r="177" spans="1:64" ht="15.95" customHeight="1">
      <c r="A177" s="81" t="s">
        <v>433</v>
      </c>
      <c r="B177" s="17" t="s">
        <v>237</v>
      </c>
      <c r="C177" s="26">
        <f>_xll.RssMarket("7236","始値")</f>
        <v>14220</v>
      </c>
      <c r="D177" s="25">
        <f t="shared" si="2"/>
        <v>0</v>
      </c>
      <c r="E177" s="22">
        <v>14220</v>
      </c>
      <c r="F177" s="22">
        <v>14430</v>
      </c>
      <c r="G177" s="22">
        <v>14370</v>
      </c>
      <c r="H177" s="22">
        <v>14290</v>
      </c>
      <c r="I177" s="22">
        <v>14200</v>
      </c>
      <c r="J177" s="22">
        <v>14310</v>
      </c>
      <c r="K177" s="22">
        <v>13990</v>
      </c>
      <c r="L177" s="22">
        <v>14060</v>
      </c>
      <c r="M177" s="22">
        <v>14250</v>
      </c>
      <c r="N177" s="22">
        <v>15000</v>
      </c>
      <c r="O177" s="22">
        <v>15180</v>
      </c>
      <c r="P177" s="22">
        <v>14850</v>
      </c>
      <c r="Q177" s="22">
        <v>14700</v>
      </c>
      <c r="R177" s="22">
        <v>15210</v>
      </c>
      <c r="S177" s="22">
        <v>14960</v>
      </c>
      <c r="T177" s="22">
        <v>14440</v>
      </c>
      <c r="U177" s="22">
        <v>13900</v>
      </c>
      <c r="V177" s="22">
        <v>13800</v>
      </c>
      <c r="W177" s="22">
        <v>13900</v>
      </c>
      <c r="X177" s="22">
        <v>14320</v>
      </c>
      <c r="Y177" s="22">
        <v>14560</v>
      </c>
      <c r="Z177" s="22">
        <v>14660</v>
      </c>
      <c r="AA177" s="22">
        <v>14470</v>
      </c>
      <c r="AB177" s="22">
        <v>14700</v>
      </c>
      <c r="AC177" s="22">
        <v>14550</v>
      </c>
      <c r="AD177" s="22">
        <v>14810</v>
      </c>
      <c r="AE177" s="22">
        <v>14900</v>
      </c>
      <c r="AF177" s="22">
        <v>15010</v>
      </c>
      <c r="AG177" s="22">
        <v>11110</v>
      </c>
      <c r="AH177" s="22">
        <v>9610</v>
      </c>
      <c r="AI177" s="22">
        <v>8080</v>
      </c>
      <c r="AJ177" s="22">
        <v>8810</v>
      </c>
      <c r="AK177" s="22">
        <v>8670</v>
      </c>
      <c r="AL177" s="22">
        <v>9140</v>
      </c>
      <c r="AM177" s="22">
        <v>9240</v>
      </c>
      <c r="AN177" s="22">
        <v>9190</v>
      </c>
      <c r="AO177" s="22">
        <v>9010</v>
      </c>
      <c r="AP177" s="22">
        <v>8690</v>
      </c>
      <c r="AQ177" s="22">
        <v>8460</v>
      </c>
      <c r="AR177" s="22">
        <v>8250</v>
      </c>
      <c r="AS177" s="22">
        <v>8170</v>
      </c>
      <c r="AT177" s="22">
        <v>8350</v>
      </c>
      <c r="AU177" s="22">
        <v>8400</v>
      </c>
      <c r="AV177" s="22">
        <v>8390</v>
      </c>
      <c r="AW177" s="22">
        <v>8190</v>
      </c>
      <c r="AX177" s="22">
        <v>8200</v>
      </c>
      <c r="AY177" s="22">
        <v>8100</v>
      </c>
      <c r="AZ177" s="22">
        <v>8330</v>
      </c>
      <c r="BA177" s="22">
        <v>7920</v>
      </c>
      <c r="BB177" s="22">
        <v>7820</v>
      </c>
      <c r="BC177" s="22">
        <v>7980</v>
      </c>
      <c r="BD177" s="22">
        <v>8330</v>
      </c>
      <c r="BE177" s="22">
        <v>8700</v>
      </c>
      <c r="BF177" s="22">
        <v>8630</v>
      </c>
      <c r="BG177" s="22">
        <v>8600</v>
      </c>
      <c r="BH177" s="22">
        <v>8530</v>
      </c>
      <c r="BI177" s="22">
        <v>9020</v>
      </c>
      <c r="BJ177" s="22">
        <v>9100</v>
      </c>
      <c r="BK177" s="22">
        <v>9370</v>
      </c>
      <c r="BL177" s="22">
        <v>9090</v>
      </c>
    </row>
    <row r="178" spans="1:64" ht="15.95" customHeight="1">
      <c r="A178" s="81" t="s">
        <v>434</v>
      </c>
      <c r="B178" s="17" t="s">
        <v>238</v>
      </c>
      <c r="C178" s="26">
        <f>_xll.RssMarket("6436","始値")</f>
        <v>3595</v>
      </c>
      <c r="D178" s="25">
        <f t="shared" si="2"/>
        <v>0</v>
      </c>
      <c r="E178" s="22">
        <v>3595</v>
      </c>
      <c r="F178" s="22">
        <v>3577</v>
      </c>
      <c r="G178" s="22">
        <v>3597</v>
      </c>
      <c r="H178" s="22">
        <v>3601</v>
      </c>
      <c r="I178" s="22">
        <v>3646</v>
      </c>
      <c r="J178" s="22">
        <v>3582</v>
      </c>
      <c r="K178" s="22">
        <v>3453</v>
      </c>
      <c r="L178" s="22">
        <v>3534</v>
      </c>
      <c r="M178" s="22">
        <v>3502</v>
      </c>
      <c r="N178" s="22">
        <v>3540</v>
      </c>
      <c r="O178" s="22">
        <v>3534</v>
      </c>
      <c r="P178" s="22">
        <v>3568</v>
      </c>
      <c r="Q178" s="22">
        <v>3572</v>
      </c>
      <c r="R178" s="22">
        <v>3550</v>
      </c>
      <c r="S178" s="22">
        <v>3659</v>
      </c>
      <c r="T178" s="22">
        <v>3629</v>
      </c>
      <c r="U178" s="22">
        <v>3667</v>
      </c>
      <c r="V178" s="22">
        <v>3690</v>
      </c>
      <c r="W178" s="22">
        <v>3651</v>
      </c>
      <c r="X178" s="22">
        <v>3671</v>
      </c>
      <c r="Y178" s="22">
        <v>3683</v>
      </c>
      <c r="Z178" s="22">
        <v>3668</v>
      </c>
      <c r="AA178" s="22">
        <v>3678</v>
      </c>
      <c r="AB178" s="22">
        <v>3699</v>
      </c>
      <c r="AC178" s="22">
        <v>3691</v>
      </c>
      <c r="AD178" s="22">
        <v>3614</v>
      </c>
      <c r="AE178" s="22">
        <v>3592</v>
      </c>
      <c r="AF178" s="22">
        <v>3582</v>
      </c>
      <c r="AG178" s="22">
        <v>3706</v>
      </c>
      <c r="AH178" s="22">
        <v>3707</v>
      </c>
      <c r="AI178" s="22">
        <v>3800</v>
      </c>
      <c r="AJ178" s="22">
        <v>3830</v>
      </c>
      <c r="AK178" s="22">
        <v>3830</v>
      </c>
      <c r="AL178" s="22">
        <v>3821</v>
      </c>
      <c r="AM178" s="22">
        <v>3870</v>
      </c>
      <c r="AN178" s="22">
        <v>3957</v>
      </c>
      <c r="AO178" s="22">
        <v>3883</v>
      </c>
      <c r="AP178" s="22">
        <v>3872</v>
      </c>
      <c r="AQ178" s="22">
        <v>3876</v>
      </c>
      <c r="AR178" s="22">
        <v>3897</v>
      </c>
      <c r="AS178" s="22">
        <v>3880</v>
      </c>
      <c r="AT178" s="22">
        <v>3945</v>
      </c>
      <c r="AU178" s="22">
        <v>3930</v>
      </c>
      <c r="AV178" s="22">
        <v>3934</v>
      </c>
      <c r="AW178" s="22">
        <v>3895</v>
      </c>
      <c r="AX178" s="22">
        <v>3850</v>
      </c>
      <c r="AY178" s="22">
        <v>3819</v>
      </c>
      <c r="AZ178" s="22">
        <v>3865</v>
      </c>
      <c r="BA178" s="22">
        <v>3848</v>
      </c>
      <c r="BB178" s="22">
        <v>3753</v>
      </c>
      <c r="BC178" s="22">
        <v>3650</v>
      </c>
      <c r="BD178" s="22">
        <v>3875</v>
      </c>
      <c r="BE178" s="22">
        <v>3891</v>
      </c>
      <c r="BF178" s="22">
        <v>3899</v>
      </c>
      <c r="BG178" s="22">
        <v>3860</v>
      </c>
      <c r="BH178" s="22">
        <v>3814</v>
      </c>
      <c r="BI178" s="22">
        <v>3856</v>
      </c>
      <c r="BJ178" s="22">
        <v>3860</v>
      </c>
      <c r="BK178" s="22">
        <v>3850</v>
      </c>
      <c r="BL178" s="22">
        <v>3860</v>
      </c>
    </row>
    <row r="179" spans="1:64" ht="15.95" customHeight="1">
      <c r="A179" s="81" t="s">
        <v>435</v>
      </c>
      <c r="B179" s="17" t="s">
        <v>239</v>
      </c>
      <c r="C179" s="26">
        <f>_xll.RssMarket("5410","始値")</f>
        <v>2610</v>
      </c>
      <c r="D179" s="25">
        <f t="shared" si="2"/>
        <v>0</v>
      </c>
      <c r="E179" s="22">
        <v>2610</v>
      </c>
      <c r="F179" s="22">
        <v>2611</v>
      </c>
      <c r="G179" s="22">
        <v>2612</v>
      </c>
      <c r="H179" s="22">
        <v>2565</v>
      </c>
      <c r="I179" s="22">
        <v>2555</v>
      </c>
      <c r="J179" s="22">
        <v>2531</v>
      </c>
      <c r="K179" s="22">
        <v>2566</v>
      </c>
      <c r="L179" s="22">
        <v>2545</v>
      </c>
      <c r="M179" s="22">
        <v>2554</v>
      </c>
      <c r="N179" s="22">
        <v>2600</v>
      </c>
      <c r="O179" s="22">
        <v>2594</v>
      </c>
      <c r="P179" s="22">
        <v>2715</v>
      </c>
      <c r="Q179" s="22">
        <v>2697</v>
      </c>
      <c r="R179" s="22">
        <v>2637</v>
      </c>
      <c r="S179" s="22">
        <v>2682</v>
      </c>
      <c r="T179" s="22">
        <v>2714</v>
      </c>
      <c r="U179" s="22">
        <v>2710</v>
      </c>
      <c r="V179" s="22">
        <v>2762</v>
      </c>
      <c r="W179" s="22">
        <v>2771</v>
      </c>
      <c r="X179" s="22">
        <v>2838</v>
      </c>
      <c r="Y179" s="22">
        <v>2867</v>
      </c>
      <c r="Z179" s="22">
        <v>2821</v>
      </c>
      <c r="AA179" s="22">
        <v>2867</v>
      </c>
      <c r="AB179" s="22">
        <v>2868</v>
      </c>
      <c r="AC179" s="22">
        <v>2880</v>
      </c>
      <c r="AD179" s="22">
        <v>2855</v>
      </c>
      <c r="AE179" s="22">
        <v>2893</v>
      </c>
      <c r="AF179" s="22">
        <v>2855</v>
      </c>
      <c r="AG179" s="22">
        <v>2917</v>
      </c>
      <c r="AH179" s="22">
        <v>3010</v>
      </c>
      <c r="AI179" s="22">
        <v>3385</v>
      </c>
      <c r="AJ179" s="22">
        <v>3455</v>
      </c>
      <c r="AK179" s="22">
        <v>3495</v>
      </c>
      <c r="AL179" s="22">
        <v>3535</v>
      </c>
      <c r="AM179" s="22">
        <v>3565</v>
      </c>
      <c r="AN179" s="22">
        <v>3560</v>
      </c>
      <c r="AO179" s="22">
        <v>3570</v>
      </c>
      <c r="AP179" s="22">
        <v>3560</v>
      </c>
      <c r="AQ179" s="22">
        <v>3590</v>
      </c>
      <c r="AR179" s="22">
        <v>3575</v>
      </c>
      <c r="AS179" s="22">
        <v>3580</v>
      </c>
      <c r="AT179" s="22">
        <v>3640</v>
      </c>
      <c r="AU179" s="22">
        <v>3720</v>
      </c>
      <c r="AV179" s="22">
        <v>3760</v>
      </c>
      <c r="AW179" s="22">
        <v>3695</v>
      </c>
      <c r="AX179" s="22">
        <v>3705</v>
      </c>
      <c r="AY179" s="22">
        <v>3675</v>
      </c>
      <c r="AZ179" s="22">
        <v>3710</v>
      </c>
      <c r="BA179" s="22">
        <v>3705</v>
      </c>
      <c r="BB179" s="22">
        <v>3640</v>
      </c>
      <c r="BC179" s="22">
        <v>3565</v>
      </c>
      <c r="BD179" s="22">
        <v>3730</v>
      </c>
      <c r="BE179" s="22">
        <v>3735</v>
      </c>
      <c r="BF179" s="22">
        <v>3760</v>
      </c>
      <c r="BG179" s="22">
        <v>3670</v>
      </c>
      <c r="BH179" s="22">
        <v>3640</v>
      </c>
      <c r="BI179" s="22">
        <v>3755</v>
      </c>
      <c r="BJ179" s="22">
        <v>3745</v>
      </c>
      <c r="BK179" s="22">
        <v>3730</v>
      </c>
      <c r="BL179" s="22">
        <v>3695</v>
      </c>
    </row>
    <row r="180" spans="1:64" ht="15.95" customHeight="1">
      <c r="A180" s="81" t="s">
        <v>436</v>
      </c>
      <c r="B180" s="17" t="s">
        <v>240</v>
      </c>
      <c r="C180" s="26">
        <f>_xll.RssMarket("5440","始値")</f>
        <v>1744</v>
      </c>
      <c r="D180" s="25">
        <f t="shared" si="2"/>
        <v>0</v>
      </c>
      <c r="E180" s="22">
        <v>1744</v>
      </c>
      <c r="F180" s="22">
        <v>1752</v>
      </c>
      <c r="G180" s="22">
        <v>1779</v>
      </c>
      <c r="H180" s="22">
        <v>1740</v>
      </c>
      <c r="I180" s="22">
        <v>1717</v>
      </c>
      <c r="J180" s="22">
        <v>1722</v>
      </c>
      <c r="K180" s="22">
        <v>1739</v>
      </c>
      <c r="L180" s="22">
        <v>1740</v>
      </c>
      <c r="M180" s="22">
        <v>1744</v>
      </c>
      <c r="N180" s="22">
        <v>1748</v>
      </c>
      <c r="O180" s="22">
        <v>1739</v>
      </c>
      <c r="P180" s="22">
        <v>1835</v>
      </c>
      <c r="Q180" s="22">
        <v>1830</v>
      </c>
      <c r="R180" s="22">
        <v>1820</v>
      </c>
      <c r="S180" s="22">
        <v>1853</v>
      </c>
      <c r="T180" s="22">
        <v>1855</v>
      </c>
      <c r="U180" s="22">
        <v>1821</v>
      </c>
      <c r="V180" s="22">
        <v>1830</v>
      </c>
      <c r="W180" s="22">
        <v>1840</v>
      </c>
      <c r="X180" s="22">
        <v>1856</v>
      </c>
      <c r="Y180" s="22">
        <v>1877</v>
      </c>
      <c r="Z180" s="22">
        <v>1824</v>
      </c>
      <c r="AA180" s="22">
        <v>1818</v>
      </c>
      <c r="AB180" s="22">
        <v>1827</v>
      </c>
      <c r="AC180" s="22">
        <v>1801</v>
      </c>
      <c r="AD180" s="22">
        <v>1820</v>
      </c>
      <c r="AE180" s="22">
        <v>1830</v>
      </c>
      <c r="AF180" s="22">
        <v>1907</v>
      </c>
      <c r="AG180" s="22">
        <v>2154</v>
      </c>
      <c r="AH180" s="22">
        <v>2182</v>
      </c>
      <c r="AI180" s="22">
        <v>2236</v>
      </c>
      <c r="AJ180" s="22">
        <v>2239</v>
      </c>
      <c r="AK180" s="22">
        <v>2262</v>
      </c>
      <c r="AL180" s="22">
        <v>2272</v>
      </c>
      <c r="AM180" s="22">
        <v>2333</v>
      </c>
      <c r="AN180" s="22">
        <v>2290</v>
      </c>
      <c r="AO180" s="22">
        <v>2304</v>
      </c>
      <c r="AP180" s="22">
        <v>2341</v>
      </c>
      <c r="AQ180" s="22">
        <v>2357</v>
      </c>
      <c r="AR180" s="22">
        <v>2350</v>
      </c>
      <c r="AS180" s="22">
        <v>2355</v>
      </c>
      <c r="AT180" s="22">
        <v>2400</v>
      </c>
      <c r="AU180" s="22">
        <v>2430</v>
      </c>
      <c r="AV180" s="22">
        <v>2425</v>
      </c>
      <c r="AW180" s="22">
        <v>2377</v>
      </c>
      <c r="AX180" s="22">
        <v>2391</v>
      </c>
      <c r="AY180" s="22">
        <v>2384</v>
      </c>
      <c r="AZ180" s="22">
        <v>2402</v>
      </c>
      <c r="BA180" s="22">
        <v>2414</v>
      </c>
      <c r="BB180" s="22">
        <v>2322</v>
      </c>
      <c r="BC180" s="22">
        <v>2260</v>
      </c>
      <c r="BD180" s="22">
        <v>2395</v>
      </c>
      <c r="BE180" s="22">
        <v>2403</v>
      </c>
      <c r="BF180" s="22">
        <v>2421</v>
      </c>
      <c r="BG180" s="22">
        <v>2369</v>
      </c>
      <c r="BH180" s="22">
        <v>2308</v>
      </c>
      <c r="BI180" s="22">
        <v>2396</v>
      </c>
      <c r="BJ180" s="22">
        <v>2409</v>
      </c>
      <c r="BK180" s="22">
        <v>2369</v>
      </c>
      <c r="BL180" s="22">
        <v>2318</v>
      </c>
    </row>
    <row r="181" spans="1:64" ht="15.95" customHeight="1">
      <c r="A181" s="81" t="s">
        <v>437</v>
      </c>
      <c r="B181" s="17" t="s">
        <v>241</v>
      </c>
      <c r="C181" s="26">
        <f>_xll.RssMarket("9505","始値")</f>
        <v>849</v>
      </c>
      <c r="D181" s="25">
        <f t="shared" si="2"/>
        <v>0</v>
      </c>
      <c r="E181" s="22">
        <v>849</v>
      </c>
      <c r="F181" s="22">
        <v>872.9</v>
      </c>
      <c r="G181" s="22">
        <v>876</v>
      </c>
      <c r="H181" s="22">
        <v>861.8</v>
      </c>
      <c r="I181" s="22">
        <v>865</v>
      </c>
      <c r="J181" s="22">
        <v>845</v>
      </c>
      <c r="K181" s="22">
        <v>806.7</v>
      </c>
      <c r="L181" s="22">
        <v>812</v>
      </c>
      <c r="M181" s="22">
        <v>809.3</v>
      </c>
      <c r="N181" s="22">
        <v>815</v>
      </c>
      <c r="O181" s="22">
        <v>796</v>
      </c>
      <c r="P181" s="22">
        <v>829.1</v>
      </c>
      <c r="Q181" s="22">
        <v>844</v>
      </c>
      <c r="R181" s="22">
        <v>855</v>
      </c>
      <c r="S181" s="22">
        <v>861.8</v>
      </c>
      <c r="T181" s="22">
        <v>882.5</v>
      </c>
      <c r="U181" s="22">
        <v>877.5</v>
      </c>
      <c r="V181" s="22">
        <v>883</v>
      </c>
      <c r="W181" s="22">
        <v>871.6</v>
      </c>
      <c r="X181" s="22">
        <v>897</v>
      </c>
      <c r="Y181" s="22">
        <v>913.2</v>
      </c>
      <c r="Z181" s="22">
        <v>910</v>
      </c>
      <c r="AA181" s="22">
        <v>918.3</v>
      </c>
      <c r="AB181" s="22">
        <v>904.8</v>
      </c>
      <c r="AC181" s="22">
        <v>872.4</v>
      </c>
      <c r="AD181" s="22">
        <v>895.4</v>
      </c>
      <c r="AE181" s="22">
        <v>860.1</v>
      </c>
      <c r="AF181" s="22">
        <v>871.5</v>
      </c>
      <c r="AG181" s="22">
        <v>905.6</v>
      </c>
      <c r="AH181" s="22">
        <v>985</v>
      </c>
      <c r="AI181" s="22">
        <v>986.1</v>
      </c>
      <c r="AJ181" s="22">
        <v>999.1</v>
      </c>
      <c r="AK181" s="22">
        <v>995</v>
      </c>
      <c r="AL181" s="22">
        <v>1003</v>
      </c>
      <c r="AM181" s="22">
        <v>1028.5</v>
      </c>
      <c r="AN181" s="22">
        <v>1058.5</v>
      </c>
      <c r="AO181" s="22">
        <v>1080</v>
      </c>
      <c r="AP181" s="22">
        <v>1081.5</v>
      </c>
      <c r="AQ181" s="22">
        <v>1088</v>
      </c>
      <c r="AR181" s="22">
        <v>1090</v>
      </c>
      <c r="AS181" s="22">
        <v>1104</v>
      </c>
      <c r="AT181" s="22">
        <v>1128.5</v>
      </c>
      <c r="AU181" s="22">
        <v>1110.5</v>
      </c>
      <c r="AV181" s="22">
        <v>1130</v>
      </c>
      <c r="AW181" s="22">
        <v>1099</v>
      </c>
      <c r="AX181" s="22">
        <v>1112</v>
      </c>
      <c r="AY181" s="22">
        <v>1110.5</v>
      </c>
      <c r="AZ181" s="22">
        <v>1110</v>
      </c>
      <c r="BA181" s="22">
        <v>1097.5</v>
      </c>
      <c r="BB181" s="22">
        <v>1078</v>
      </c>
      <c r="BC181" s="22">
        <v>1049</v>
      </c>
      <c r="BD181" s="22">
        <v>1095</v>
      </c>
      <c r="BE181" s="22">
        <v>1087</v>
      </c>
      <c r="BF181" s="22">
        <v>1084</v>
      </c>
      <c r="BG181" s="22">
        <v>1059</v>
      </c>
      <c r="BH181" s="22">
        <v>1058</v>
      </c>
      <c r="BI181" s="22">
        <v>1113.5</v>
      </c>
      <c r="BJ181" s="22">
        <v>1085</v>
      </c>
      <c r="BK181" s="22">
        <v>1070</v>
      </c>
      <c r="BL181" s="22">
        <v>1059.5</v>
      </c>
    </row>
    <row r="182" spans="1:64" ht="15.95" customHeight="1">
      <c r="A182" s="81" t="s">
        <v>438</v>
      </c>
      <c r="B182" s="17" t="s">
        <v>242</v>
      </c>
      <c r="C182" s="26">
        <f>_xll.RssMarket("8091","始値")</f>
        <v>2219</v>
      </c>
      <c r="D182" s="25">
        <f t="shared" si="2"/>
        <v>0</v>
      </c>
      <c r="E182" s="22">
        <v>2219</v>
      </c>
      <c r="F182" s="22">
        <v>2202</v>
      </c>
      <c r="G182" s="22">
        <v>2186</v>
      </c>
      <c r="H182" s="22">
        <v>2176</v>
      </c>
      <c r="I182" s="22">
        <v>2211</v>
      </c>
      <c r="J182" s="22">
        <v>2180</v>
      </c>
      <c r="K182" s="22">
        <v>2185</v>
      </c>
      <c r="L182" s="22">
        <v>2188</v>
      </c>
      <c r="M182" s="22">
        <v>2141</v>
      </c>
      <c r="N182" s="22">
        <v>2131</v>
      </c>
      <c r="O182" s="22">
        <v>2134</v>
      </c>
      <c r="P182" s="22">
        <v>2173</v>
      </c>
      <c r="Q182" s="22">
        <v>2133</v>
      </c>
      <c r="R182" s="22">
        <v>2140</v>
      </c>
      <c r="S182" s="22">
        <v>2146</v>
      </c>
      <c r="T182" s="22">
        <v>2169</v>
      </c>
      <c r="U182" s="22">
        <v>2168</v>
      </c>
      <c r="V182" s="22">
        <v>2190</v>
      </c>
      <c r="W182" s="22">
        <v>2161</v>
      </c>
      <c r="X182" s="22">
        <v>2204</v>
      </c>
      <c r="Y182" s="22">
        <v>2280</v>
      </c>
      <c r="Z182" s="22">
        <v>2278</v>
      </c>
      <c r="AA182" s="22">
        <v>2248</v>
      </c>
      <c r="AB182" s="22">
        <v>2273</v>
      </c>
      <c r="AC182" s="22">
        <v>2256</v>
      </c>
      <c r="AD182" s="22">
        <v>2227</v>
      </c>
      <c r="AE182" s="22">
        <v>2253</v>
      </c>
      <c r="AF182" s="22">
        <v>2270</v>
      </c>
      <c r="AG182" s="22">
        <v>2280</v>
      </c>
      <c r="AH182" s="22">
        <v>2390</v>
      </c>
      <c r="AI182" s="22">
        <v>2445</v>
      </c>
      <c r="AJ182" s="22">
        <v>2458</v>
      </c>
      <c r="AK182" s="22">
        <v>2490</v>
      </c>
      <c r="AL182" s="22">
        <v>2507</v>
      </c>
      <c r="AM182" s="22">
        <v>2522</v>
      </c>
      <c r="AN182" s="22">
        <v>2519</v>
      </c>
      <c r="AO182" s="22">
        <v>2525</v>
      </c>
      <c r="AP182" s="22">
        <v>2525</v>
      </c>
      <c r="AQ182" s="22">
        <v>2540</v>
      </c>
      <c r="AR182" s="22">
        <v>2533</v>
      </c>
      <c r="AS182" s="22">
        <v>2577</v>
      </c>
      <c r="AT182" s="22">
        <v>2590</v>
      </c>
      <c r="AU182" s="22">
        <v>2574</v>
      </c>
      <c r="AV182" s="22">
        <v>2551</v>
      </c>
      <c r="AW182" s="22">
        <v>2547</v>
      </c>
      <c r="AX182" s="22">
        <v>2562</v>
      </c>
      <c r="AY182" s="22">
        <v>2595</v>
      </c>
      <c r="AZ182" s="22">
        <v>2526</v>
      </c>
      <c r="BA182" s="22">
        <v>2502</v>
      </c>
      <c r="BB182" s="22">
        <v>2450</v>
      </c>
      <c r="BC182" s="22">
        <v>2545</v>
      </c>
      <c r="BD182" s="22">
        <v>2579</v>
      </c>
      <c r="BE182" s="22">
        <v>2560</v>
      </c>
      <c r="BF182" s="22">
        <v>2542</v>
      </c>
      <c r="BG182" s="22">
        <v>2530</v>
      </c>
      <c r="BH182" s="22">
        <v>2605</v>
      </c>
      <c r="BI182" s="22">
        <v>2593</v>
      </c>
      <c r="BJ182" s="22">
        <v>2560</v>
      </c>
      <c r="BK182" s="22">
        <v>2559</v>
      </c>
      <c r="BL182" s="22">
        <v>2560</v>
      </c>
    </row>
    <row r="183" spans="1:64" ht="15.95" customHeight="1">
      <c r="A183" s="81" t="s">
        <v>439</v>
      </c>
      <c r="B183" s="17" t="s">
        <v>243</v>
      </c>
      <c r="C183" s="26">
        <f>_xll.RssMarket("6507","始値")</f>
        <v>14720</v>
      </c>
      <c r="D183" s="25">
        <f t="shared" si="2"/>
        <v>0</v>
      </c>
      <c r="E183" s="22">
        <v>14720</v>
      </c>
      <c r="F183" s="22">
        <v>13760</v>
      </c>
      <c r="G183" s="22">
        <v>13990</v>
      </c>
      <c r="H183" s="22">
        <v>13600</v>
      </c>
      <c r="I183" s="22">
        <v>12730</v>
      </c>
      <c r="J183" s="22">
        <v>13770</v>
      </c>
      <c r="K183" s="22">
        <v>14000</v>
      </c>
      <c r="L183" s="22">
        <v>15190</v>
      </c>
      <c r="M183" s="22">
        <v>14090</v>
      </c>
      <c r="N183" s="22">
        <v>14400</v>
      </c>
      <c r="O183" s="22">
        <v>13960</v>
      </c>
      <c r="P183" s="22">
        <v>14100</v>
      </c>
      <c r="Q183" s="22">
        <v>14150</v>
      </c>
      <c r="R183" s="22">
        <v>15180</v>
      </c>
      <c r="S183" s="22">
        <v>14280</v>
      </c>
      <c r="T183" s="22">
        <v>14000</v>
      </c>
      <c r="U183" s="22">
        <v>13480</v>
      </c>
      <c r="V183" s="22">
        <v>13200</v>
      </c>
      <c r="W183" s="22">
        <v>15370</v>
      </c>
      <c r="X183" s="22">
        <v>15320</v>
      </c>
      <c r="Y183" s="22">
        <v>16470</v>
      </c>
      <c r="Z183" s="22">
        <v>15240</v>
      </c>
      <c r="AA183" s="22">
        <v>14530</v>
      </c>
      <c r="AB183" s="22">
        <v>15190</v>
      </c>
      <c r="AC183" s="22">
        <v>15150</v>
      </c>
      <c r="AD183" s="22">
        <v>14660</v>
      </c>
      <c r="AE183" s="22">
        <v>15210</v>
      </c>
      <c r="AF183" s="22">
        <v>14260</v>
      </c>
      <c r="AG183" s="22">
        <v>13660</v>
      </c>
      <c r="AH183" s="22">
        <v>13680</v>
      </c>
      <c r="AI183" s="22">
        <v>13340</v>
      </c>
      <c r="AJ183" s="22">
        <v>13330</v>
      </c>
      <c r="AK183" s="22">
        <v>13570</v>
      </c>
      <c r="AL183" s="22">
        <v>13440</v>
      </c>
      <c r="AM183" s="22">
        <v>13560</v>
      </c>
      <c r="AN183" s="22">
        <v>13490</v>
      </c>
      <c r="AO183" s="22">
        <v>13890</v>
      </c>
      <c r="AP183" s="22">
        <v>13780</v>
      </c>
      <c r="AQ183" s="22">
        <v>13550</v>
      </c>
      <c r="AR183" s="22">
        <v>13680</v>
      </c>
      <c r="AS183" s="22">
        <v>13400</v>
      </c>
      <c r="AT183" s="22">
        <v>13050</v>
      </c>
      <c r="AU183" s="22">
        <v>12960</v>
      </c>
      <c r="AV183" s="22">
        <v>12800</v>
      </c>
      <c r="AW183" s="22">
        <v>12020</v>
      </c>
      <c r="AX183" s="22">
        <v>12210</v>
      </c>
      <c r="AY183" s="22">
        <v>11800</v>
      </c>
      <c r="AZ183" s="22">
        <v>11660</v>
      </c>
      <c r="BA183" s="22">
        <v>11020</v>
      </c>
      <c r="BB183" s="22">
        <v>10270</v>
      </c>
      <c r="BC183" s="22">
        <v>10700</v>
      </c>
      <c r="BD183" s="22">
        <v>11660</v>
      </c>
      <c r="BE183" s="22">
        <v>12210</v>
      </c>
      <c r="BF183" s="22">
        <v>12140</v>
      </c>
      <c r="BG183" s="22">
        <v>12100</v>
      </c>
      <c r="BH183" s="22">
        <v>11800</v>
      </c>
      <c r="BI183" s="22">
        <v>12680</v>
      </c>
      <c r="BJ183" s="22">
        <v>12700</v>
      </c>
      <c r="BK183" s="22">
        <v>13180</v>
      </c>
      <c r="BL183" s="22">
        <v>12960</v>
      </c>
    </row>
    <row r="184" spans="1:64" ht="15.95" customHeight="1">
      <c r="A184" s="81" t="s">
        <v>440</v>
      </c>
      <c r="B184" s="17" t="s">
        <v>244</v>
      </c>
      <c r="C184" s="26">
        <f>_xll.RssMarket("9022","始値")</f>
        <v>3364</v>
      </c>
      <c r="D184" s="25">
        <f t="shared" si="2"/>
        <v>0</v>
      </c>
      <c r="E184" s="22">
        <v>3364</v>
      </c>
      <c r="F184" s="22">
        <v>3303</v>
      </c>
      <c r="G184" s="22">
        <v>3383</v>
      </c>
      <c r="H184" s="22">
        <v>3392</v>
      </c>
      <c r="I184" s="22">
        <v>3473</v>
      </c>
      <c r="J184" s="22">
        <v>3493</v>
      </c>
      <c r="K184" s="22">
        <v>3345</v>
      </c>
      <c r="L184" s="22">
        <v>3352</v>
      </c>
      <c r="M184" s="22">
        <v>3303</v>
      </c>
      <c r="N184" s="22">
        <v>3323</v>
      </c>
      <c r="O184" s="22">
        <v>3398</v>
      </c>
      <c r="P184" s="22">
        <v>3465</v>
      </c>
      <c r="Q184" s="22">
        <v>3524</v>
      </c>
      <c r="R184" s="22">
        <v>3540</v>
      </c>
      <c r="S184" s="22">
        <v>3553</v>
      </c>
      <c r="T184" s="22">
        <v>3567</v>
      </c>
      <c r="U184" s="22">
        <v>3591</v>
      </c>
      <c r="V184" s="22">
        <v>3608</v>
      </c>
      <c r="W184" s="22">
        <v>3555</v>
      </c>
      <c r="X184" s="22">
        <v>3615</v>
      </c>
      <c r="Y184" s="22">
        <v>3616</v>
      </c>
      <c r="Z184" s="22">
        <v>3595</v>
      </c>
      <c r="AA184" s="22">
        <v>3615</v>
      </c>
      <c r="AB184" s="22">
        <v>3588</v>
      </c>
      <c r="AC184" s="22">
        <v>3571</v>
      </c>
      <c r="AD184" s="22">
        <v>3700</v>
      </c>
      <c r="AE184" s="22">
        <v>3555</v>
      </c>
      <c r="AF184" s="22">
        <v>3705</v>
      </c>
      <c r="AG184" s="22">
        <v>3723</v>
      </c>
      <c r="AH184" s="22">
        <v>4109</v>
      </c>
      <c r="AI184" s="22">
        <v>4055</v>
      </c>
      <c r="AJ184" s="22">
        <v>4109</v>
      </c>
      <c r="AK184" s="22">
        <v>4092</v>
      </c>
      <c r="AL184" s="22">
        <v>4176</v>
      </c>
      <c r="AM184" s="22">
        <v>4276</v>
      </c>
      <c r="AN184" s="22">
        <v>4188</v>
      </c>
      <c r="AO184" s="22">
        <v>4280</v>
      </c>
      <c r="AP184" s="22">
        <v>4287</v>
      </c>
      <c r="AQ184" s="22">
        <v>4333</v>
      </c>
      <c r="AR184" s="22">
        <v>4240</v>
      </c>
      <c r="AS184" s="22">
        <v>4168</v>
      </c>
      <c r="AT184" s="22">
        <v>4266</v>
      </c>
      <c r="AU184" s="22">
        <v>4249</v>
      </c>
      <c r="AV184" s="22">
        <v>4189</v>
      </c>
      <c r="AW184" s="22">
        <v>4077</v>
      </c>
      <c r="AX184" s="22">
        <v>4144</v>
      </c>
      <c r="AY184" s="22">
        <v>4158</v>
      </c>
      <c r="AZ184" s="22">
        <v>4200</v>
      </c>
      <c r="BA184" s="22">
        <v>4173</v>
      </c>
      <c r="BB184" s="22">
        <v>4070</v>
      </c>
      <c r="BC184" s="22">
        <v>4076</v>
      </c>
      <c r="BD184" s="22">
        <v>4234</v>
      </c>
      <c r="BE184" s="22">
        <v>4296</v>
      </c>
      <c r="BF184" s="22">
        <v>4274</v>
      </c>
      <c r="BG184" s="22">
        <v>4144</v>
      </c>
      <c r="BH184" s="22">
        <v>4192</v>
      </c>
      <c r="BI184" s="22">
        <v>4285</v>
      </c>
      <c r="BJ184" s="22">
        <v>4310</v>
      </c>
      <c r="BK184" s="22">
        <v>4251</v>
      </c>
      <c r="BL184" s="22">
        <v>4246</v>
      </c>
    </row>
    <row r="185" spans="1:64" ht="15.95" customHeight="1">
      <c r="A185" s="81" t="s">
        <v>441</v>
      </c>
      <c r="B185" s="17" t="s">
        <v>245</v>
      </c>
      <c r="C185" s="26">
        <f>_xll.RssMarket("9536","始値")</f>
        <v>2242</v>
      </c>
      <c r="D185" s="25">
        <f t="shared" si="2"/>
        <v>0</v>
      </c>
      <c r="E185" s="22">
        <v>2242</v>
      </c>
      <c r="F185" s="22">
        <v>2262</v>
      </c>
      <c r="G185" s="22">
        <v>2250</v>
      </c>
      <c r="H185" s="22">
        <v>2236</v>
      </c>
      <c r="I185" s="22">
        <v>2244</v>
      </c>
      <c r="J185" s="22">
        <v>2227</v>
      </c>
      <c r="K185" s="22">
        <v>2180</v>
      </c>
      <c r="L185" s="22">
        <v>2190</v>
      </c>
      <c r="M185" s="22">
        <v>2187</v>
      </c>
      <c r="N185" s="22">
        <v>2174</v>
      </c>
      <c r="O185" s="22">
        <v>2181</v>
      </c>
      <c r="P185" s="22">
        <v>2192</v>
      </c>
      <c r="Q185" s="22">
        <v>2210</v>
      </c>
      <c r="R185" s="22">
        <v>2216</v>
      </c>
      <c r="S185" s="22">
        <v>2222</v>
      </c>
      <c r="T185" s="22">
        <v>2225</v>
      </c>
      <c r="U185" s="22">
        <v>2216</v>
      </c>
      <c r="V185" s="22">
        <v>2228</v>
      </c>
      <c r="W185" s="22">
        <v>2219</v>
      </c>
      <c r="X185" s="22">
        <v>2250</v>
      </c>
      <c r="Y185" s="22">
        <v>2264</v>
      </c>
      <c r="Z185" s="22">
        <v>2227</v>
      </c>
      <c r="AA185" s="22">
        <v>2225</v>
      </c>
      <c r="AB185" s="22">
        <v>2266</v>
      </c>
      <c r="AC185" s="22">
        <v>2223</v>
      </c>
      <c r="AD185" s="22">
        <v>2253</v>
      </c>
      <c r="AE185" s="22">
        <v>2218</v>
      </c>
      <c r="AF185" s="22">
        <v>2246</v>
      </c>
      <c r="AG185" s="22">
        <v>2358</v>
      </c>
      <c r="AH185" s="22">
        <v>2430</v>
      </c>
      <c r="AI185" s="22">
        <v>2470</v>
      </c>
      <c r="AJ185" s="22">
        <v>2457</v>
      </c>
      <c r="AK185" s="22">
        <v>2460</v>
      </c>
      <c r="AL185" s="22">
        <v>2510</v>
      </c>
      <c r="AM185" s="22">
        <v>2535</v>
      </c>
      <c r="AN185" s="22">
        <v>2580</v>
      </c>
      <c r="AO185" s="22">
        <v>2615</v>
      </c>
      <c r="AP185" s="22">
        <v>2600</v>
      </c>
      <c r="AQ185" s="22">
        <v>2590</v>
      </c>
      <c r="AR185" s="22">
        <v>2582</v>
      </c>
      <c r="AS185" s="22">
        <v>2553</v>
      </c>
      <c r="AT185" s="22">
        <v>2584</v>
      </c>
      <c r="AU185" s="22">
        <v>2630</v>
      </c>
      <c r="AV185" s="22">
        <v>2615</v>
      </c>
      <c r="AW185" s="22">
        <v>2586</v>
      </c>
      <c r="AX185" s="22">
        <v>2570</v>
      </c>
      <c r="AY185" s="22">
        <v>2566</v>
      </c>
      <c r="AZ185" s="22">
        <v>2584</v>
      </c>
      <c r="BA185" s="22">
        <v>2577</v>
      </c>
      <c r="BB185" s="22">
        <v>2555</v>
      </c>
      <c r="BC185" s="22">
        <v>2502</v>
      </c>
      <c r="BD185" s="22">
        <v>2597</v>
      </c>
      <c r="BE185" s="22">
        <v>2583</v>
      </c>
      <c r="BF185" s="22">
        <v>2569</v>
      </c>
      <c r="BG185" s="22">
        <v>2511</v>
      </c>
      <c r="BH185" s="22">
        <v>2460</v>
      </c>
      <c r="BI185" s="22">
        <v>2544</v>
      </c>
      <c r="BJ185" s="22">
        <v>2514</v>
      </c>
      <c r="BK185" s="22">
        <v>2508</v>
      </c>
      <c r="BL185" s="22">
        <v>2500</v>
      </c>
    </row>
    <row r="186" spans="1:64" ht="15.95" customHeight="1">
      <c r="A186" s="81" t="s">
        <v>442</v>
      </c>
      <c r="B186" s="17" t="s">
        <v>246</v>
      </c>
      <c r="C186" s="26">
        <f>_xll.RssMarket("9506","始値")</f>
        <v>1043.5</v>
      </c>
      <c r="D186" s="25">
        <f t="shared" si="2"/>
        <v>0</v>
      </c>
      <c r="E186" s="22">
        <v>1043.5</v>
      </c>
      <c r="F186" s="22">
        <v>1058.5</v>
      </c>
      <c r="G186" s="22">
        <v>1033</v>
      </c>
      <c r="H186" s="22">
        <v>1030</v>
      </c>
      <c r="I186" s="22">
        <v>1027.5</v>
      </c>
      <c r="J186" s="22">
        <v>1020</v>
      </c>
      <c r="K186" s="22">
        <v>992</v>
      </c>
      <c r="L186" s="22">
        <v>997.9</v>
      </c>
      <c r="M186" s="22">
        <v>1000.5</v>
      </c>
      <c r="N186" s="22">
        <v>992.2</v>
      </c>
      <c r="O186" s="22">
        <v>983.7</v>
      </c>
      <c r="P186" s="22">
        <v>994.3</v>
      </c>
      <c r="Q186" s="22">
        <v>998.6</v>
      </c>
      <c r="R186" s="22">
        <v>1010</v>
      </c>
      <c r="S186" s="22">
        <v>1015</v>
      </c>
      <c r="T186" s="22">
        <v>1033.5</v>
      </c>
      <c r="U186" s="22">
        <v>1014</v>
      </c>
      <c r="V186" s="22">
        <v>1021</v>
      </c>
      <c r="W186" s="22">
        <v>1013</v>
      </c>
      <c r="X186" s="22">
        <v>1040</v>
      </c>
      <c r="Y186" s="22">
        <v>1053</v>
      </c>
      <c r="Z186" s="22">
        <v>1061.5</v>
      </c>
      <c r="AA186" s="22">
        <v>1065.5</v>
      </c>
      <c r="AB186" s="22">
        <v>1052.5</v>
      </c>
      <c r="AC186" s="22">
        <v>1094</v>
      </c>
      <c r="AD186" s="22">
        <v>1061</v>
      </c>
      <c r="AE186" s="22">
        <v>1079</v>
      </c>
      <c r="AF186" s="22">
        <v>1139</v>
      </c>
      <c r="AG186" s="22">
        <v>1131</v>
      </c>
      <c r="AH186" s="22">
        <v>1123</v>
      </c>
      <c r="AI186" s="22">
        <v>1132.5</v>
      </c>
      <c r="AJ186" s="22">
        <v>1125</v>
      </c>
      <c r="AK186" s="22">
        <v>1146</v>
      </c>
      <c r="AL186" s="22">
        <v>1162</v>
      </c>
      <c r="AM186" s="22">
        <v>1190</v>
      </c>
      <c r="AN186" s="22">
        <v>1182</v>
      </c>
      <c r="AO186" s="22">
        <v>1173</v>
      </c>
      <c r="AP186" s="22">
        <v>1176</v>
      </c>
      <c r="AQ186" s="22">
        <v>1164</v>
      </c>
      <c r="AR186" s="22">
        <v>1159.5</v>
      </c>
      <c r="AS186" s="22">
        <v>1185</v>
      </c>
      <c r="AT186" s="22">
        <v>1183</v>
      </c>
      <c r="AU186" s="22">
        <v>1191</v>
      </c>
      <c r="AV186" s="22">
        <v>1173</v>
      </c>
      <c r="AW186" s="22">
        <v>1190</v>
      </c>
      <c r="AX186" s="22">
        <v>1186</v>
      </c>
      <c r="AY186" s="22">
        <v>1210</v>
      </c>
      <c r="AZ186" s="22">
        <v>1197</v>
      </c>
      <c r="BA186" s="22">
        <v>1186</v>
      </c>
      <c r="BB186" s="22">
        <v>1167</v>
      </c>
      <c r="BC186" s="22">
        <v>1195</v>
      </c>
      <c r="BD186" s="22">
        <v>1196</v>
      </c>
      <c r="BE186" s="22">
        <v>1165</v>
      </c>
      <c r="BF186" s="22">
        <v>1139</v>
      </c>
      <c r="BG186" s="22">
        <v>1107</v>
      </c>
      <c r="BH186" s="22">
        <v>1181</v>
      </c>
      <c r="BI186" s="22">
        <v>1153</v>
      </c>
      <c r="BJ186" s="22">
        <v>1142</v>
      </c>
      <c r="BK186" s="22">
        <v>1155</v>
      </c>
      <c r="BL186" s="22">
        <v>1122</v>
      </c>
    </row>
    <row r="187" spans="1:64" ht="15.95" customHeight="1">
      <c r="A187" s="81" t="s">
        <v>443</v>
      </c>
      <c r="B187" s="17" t="s">
        <v>247</v>
      </c>
      <c r="C187" s="26">
        <f>_xll.RssMarket("2127","始値")</f>
        <v>645</v>
      </c>
      <c r="D187" s="25">
        <f t="shared" si="2"/>
        <v>0</v>
      </c>
      <c r="E187" s="22">
        <v>645</v>
      </c>
      <c r="F187" s="22">
        <v>636.29999999999995</v>
      </c>
      <c r="G187" s="22">
        <v>636</v>
      </c>
      <c r="H187" s="22">
        <v>652</v>
      </c>
      <c r="I187" s="22">
        <v>639.9</v>
      </c>
      <c r="J187" s="22">
        <v>642.9</v>
      </c>
      <c r="K187" s="22">
        <v>631.70000000000005</v>
      </c>
      <c r="L187" s="22">
        <v>638.1</v>
      </c>
      <c r="M187" s="22">
        <v>626</v>
      </c>
      <c r="N187" s="22">
        <v>639.9</v>
      </c>
      <c r="O187" s="22">
        <v>658</v>
      </c>
      <c r="P187" s="22">
        <v>655</v>
      </c>
      <c r="Q187" s="22">
        <v>656.6</v>
      </c>
      <c r="R187" s="22">
        <v>665.8</v>
      </c>
      <c r="S187" s="22">
        <v>666</v>
      </c>
      <c r="T187" s="22">
        <v>657.2</v>
      </c>
      <c r="U187" s="22">
        <v>652</v>
      </c>
      <c r="V187" s="22">
        <v>650.20000000000005</v>
      </c>
      <c r="W187" s="22">
        <v>641</v>
      </c>
      <c r="X187" s="22">
        <v>640.4</v>
      </c>
      <c r="Y187" s="22">
        <v>637</v>
      </c>
      <c r="Z187" s="22">
        <v>644.5</v>
      </c>
      <c r="AA187" s="22">
        <v>634.5</v>
      </c>
      <c r="AB187" s="22">
        <v>652</v>
      </c>
      <c r="AC187" s="22">
        <v>653</v>
      </c>
      <c r="AD187" s="22">
        <v>649.9</v>
      </c>
      <c r="AE187" s="22">
        <v>619.9</v>
      </c>
      <c r="AF187" s="22">
        <v>620</v>
      </c>
      <c r="AG187" s="22">
        <v>682.3</v>
      </c>
      <c r="AH187" s="22">
        <v>695</v>
      </c>
      <c r="AI187" s="22">
        <v>674.9</v>
      </c>
      <c r="AJ187" s="22">
        <v>676.1</v>
      </c>
      <c r="AK187" s="22">
        <v>688</v>
      </c>
      <c r="AL187" s="22">
        <v>691.6</v>
      </c>
      <c r="AM187" s="22">
        <v>695</v>
      </c>
      <c r="AN187" s="22">
        <v>690.1</v>
      </c>
      <c r="AO187" s="22">
        <v>689.1</v>
      </c>
      <c r="AP187" s="22">
        <v>683</v>
      </c>
      <c r="AQ187" s="22">
        <v>672</v>
      </c>
      <c r="AR187" s="22">
        <v>667.2</v>
      </c>
      <c r="AS187" s="22">
        <v>655.1</v>
      </c>
      <c r="AT187" s="22">
        <v>661.8</v>
      </c>
      <c r="AU187" s="22">
        <v>671</v>
      </c>
      <c r="AV187" s="22">
        <v>668.9</v>
      </c>
      <c r="AW187" s="22">
        <v>656</v>
      </c>
      <c r="AX187" s="22">
        <v>651</v>
      </c>
      <c r="AY187" s="22">
        <v>647</v>
      </c>
      <c r="AZ187" s="22">
        <v>652.70000000000005</v>
      </c>
      <c r="BA187" s="22">
        <v>639.4</v>
      </c>
      <c r="BB187" s="22">
        <v>627</v>
      </c>
      <c r="BC187" s="22">
        <v>613</v>
      </c>
      <c r="BD187" s="22">
        <v>654</v>
      </c>
      <c r="BE187" s="22">
        <v>650</v>
      </c>
      <c r="BF187" s="22">
        <v>644</v>
      </c>
      <c r="BG187" s="22">
        <v>636.79999999999995</v>
      </c>
      <c r="BH187" s="22">
        <v>625</v>
      </c>
      <c r="BI187" s="22">
        <v>639.5</v>
      </c>
      <c r="BJ187" s="22">
        <v>640.9</v>
      </c>
      <c r="BK187" s="22">
        <v>634.9</v>
      </c>
      <c r="BL187" s="22">
        <v>635</v>
      </c>
    </row>
    <row r="188" spans="1:64" ht="15.95" customHeight="1">
      <c r="A188" s="81" t="s">
        <v>444</v>
      </c>
      <c r="B188" s="17" t="s">
        <v>248</v>
      </c>
      <c r="C188" s="26">
        <f>_xll.RssMarket("6753","始値")</f>
        <v>594</v>
      </c>
      <c r="D188" s="25">
        <f t="shared" si="2"/>
        <v>0</v>
      </c>
      <c r="E188" s="22">
        <v>594</v>
      </c>
      <c r="F188" s="22">
        <v>610</v>
      </c>
      <c r="G188" s="22">
        <v>611.20000000000005</v>
      </c>
      <c r="H188" s="22">
        <v>630.5</v>
      </c>
      <c r="I188" s="22">
        <v>626.20000000000005</v>
      </c>
      <c r="J188" s="22">
        <v>649.79999999999995</v>
      </c>
      <c r="K188" s="22">
        <v>650</v>
      </c>
      <c r="L188" s="22">
        <v>675</v>
      </c>
      <c r="M188" s="22">
        <v>663.2</v>
      </c>
      <c r="N188" s="22">
        <v>651.6</v>
      </c>
      <c r="O188" s="22">
        <v>624</v>
      </c>
      <c r="P188" s="22">
        <v>622</v>
      </c>
      <c r="Q188" s="22">
        <v>613</v>
      </c>
      <c r="R188" s="22">
        <v>626.6</v>
      </c>
      <c r="S188" s="22">
        <v>640.9</v>
      </c>
      <c r="T188" s="22">
        <v>616.29999999999995</v>
      </c>
      <c r="U188" s="22">
        <v>604.4</v>
      </c>
      <c r="V188" s="22">
        <v>635.4</v>
      </c>
      <c r="W188" s="22">
        <v>615.79999999999995</v>
      </c>
      <c r="X188" s="22">
        <v>609.9</v>
      </c>
      <c r="Y188" s="22">
        <v>574.9</v>
      </c>
      <c r="Z188" s="22">
        <v>581.1</v>
      </c>
      <c r="AA188" s="22">
        <v>550</v>
      </c>
      <c r="AB188" s="22">
        <v>555</v>
      </c>
      <c r="AC188" s="22">
        <v>554.29999999999995</v>
      </c>
      <c r="AD188" s="22">
        <v>563.79999999999995</v>
      </c>
      <c r="AE188" s="22">
        <v>590.70000000000005</v>
      </c>
      <c r="AF188" s="22">
        <v>558.20000000000005</v>
      </c>
      <c r="AG188" s="22">
        <v>566.1</v>
      </c>
      <c r="AH188" s="22">
        <v>555</v>
      </c>
      <c r="AI188" s="22">
        <v>551</v>
      </c>
      <c r="AJ188" s="22">
        <v>582</v>
      </c>
      <c r="AK188" s="22">
        <v>604.6</v>
      </c>
      <c r="AL188" s="22">
        <v>605.1</v>
      </c>
      <c r="AM188" s="22">
        <v>617</v>
      </c>
      <c r="AN188" s="22">
        <v>617</v>
      </c>
      <c r="AO188" s="22">
        <v>604</v>
      </c>
      <c r="AP188" s="22">
        <v>600</v>
      </c>
      <c r="AQ188" s="22">
        <v>596</v>
      </c>
      <c r="AR188" s="22">
        <v>595.70000000000005</v>
      </c>
      <c r="AS188" s="22">
        <v>594.4</v>
      </c>
      <c r="AT188" s="22">
        <v>608.79999999999995</v>
      </c>
      <c r="AU188" s="22">
        <v>628.20000000000005</v>
      </c>
      <c r="AV188" s="22">
        <v>643.1</v>
      </c>
      <c r="AW188" s="22">
        <v>636.4</v>
      </c>
      <c r="AX188" s="22">
        <v>641</v>
      </c>
      <c r="AY188" s="22">
        <v>611.20000000000005</v>
      </c>
      <c r="AZ188" s="22">
        <v>610.1</v>
      </c>
      <c r="BA188" s="22">
        <v>593.29999999999995</v>
      </c>
      <c r="BB188" s="22">
        <v>575</v>
      </c>
      <c r="BC188" s="22">
        <v>568.6</v>
      </c>
      <c r="BD188" s="22">
        <v>587.6</v>
      </c>
      <c r="BE188" s="22">
        <v>577.70000000000005</v>
      </c>
      <c r="BF188" s="22">
        <v>589</v>
      </c>
      <c r="BG188" s="22">
        <v>579</v>
      </c>
      <c r="BH188" s="22">
        <v>566</v>
      </c>
      <c r="BI188" s="22">
        <v>582</v>
      </c>
      <c r="BJ188" s="22">
        <v>589.9</v>
      </c>
      <c r="BK188" s="22">
        <v>591.5</v>
      </c>
      <c r="BL188" s="22">
        <v>597</v>
      </c>
    </row>
    <row r="189" spans="1:64" ht="15.95" customHeight="1">
      <c r="A189" s="81" t="s">
        <v>478</v>
      </c>
      <c r="B189" s="17" t="str">
        <f>銘柄管理!C189</f>
        <v>ヤマトホールディングス</v>
      </c>
      <c r="C189" s="26">
        <f>_xll.RssMarket("9064","始値")</f>
        <v>1770</v>
      </c>
      <c r="D189" s="25"/>
      <c r="E189" s="22">
        <v>1770</v>
      </c>
      <c r="F189" s="22">
        <v>1773.5</v>
      </c>
      <c r="G189" s="22">
        <v>1784</v>
      </c>
      <c r="H189" s="22">
        <v>1834.5</v>
      </c>
      <c r="I189" s="22">
        <v>1795.5</v>
      </c>
      <c r="J189" s="22">
        <v>1792.5</v>
      </c>
      <c r="K189" s="22">
        <v>1785</v>
      </c>
      <c r="L189" s="22">
        <v>1820</v>
      </c>
      <c r="M189" s="22">
        <v>1823.5</v>
      </c>
      <c r="N189" s="22">
        <v>1814</v>
      </c>
      <c r="O189" s="22">
        <v>1794.5</v>
      </c>
      <c r="P189" s="22">
        <v>1818.5</v>
      </c>
      <c r="Q189" s="22">
        <v>1779.5</v>
      </c>
      <c r="R189" s="22">
        <v>1787</v>
      </c>
      <c r="S189" s="22">
        <v>1768.5</v>
      </c>
      <c r="T189" s="22">
        <v>1775</v>
      </c>
      <c r="U189" s="22">
        <v>1770</v>
      </c>
      <c r="V189" s="22">
        <v>1763</v>
      </c>
      <c r="W189" s="22">
        <v>1760.5</v>
      </c>
      <c r="X189" s="22">
        <v>1739.5</v>
      </c>
      <c r="Y189" s="22">
        <v>1740</v>
      </c>
      <c r="Z189" s="22">
        <v>1747</v>
      </c>
      <c r="AA189" s="22">
        <v>1745</v>
      </c>
      <c r="AB189" s="22">
        <v>1734.5</v>
      </c>
      <c r="AC189" s="22">
        <v>1775</v>
      </c>
      <c r="AD189" s="22">
        <v>1830</v>
      </c>
      <c r="AE189" s="22">
        <v>1748.5</v>
      </c>
      <c r="AF189" s="22">
        <v>1724.5</v>
      </c>
      <c r="AG189" s="22">
        <v>1780.5</v>
      </c>
      <c r="AH189" s="22">
        <v>1791</v>
      </c>
      <c r="AI189" s="22">
        <v>1750</v>
      </c>
      <c r="AJ189" s="22">
        <v>1764</v>
      </c>
      <c r="AK189" s="22">
        <v>1790</v>
      </c>
      <c r="AL189" s="22">
        <v>1815</v>
      </c>
      <c r="AM189" s="22">
        <v>1843.5</v>
      </c>
      <c r="AN189" s="22">
        <v>1855</v>
      </c>
      <c r="AO189" s="22">
        <v>1860</v>
      </c>
      <c r="AP189" s="22">
        <v>1856.5</v>
      </c>
      <c r="AQ189" s="22">
        <v>1866</v>
      </c>
      <c r="AR189" s="22">
        <v>1850.5</v>
      </c>
      <c r="AS189" s="22">
        <v>1834</v>
      </c>
      <c r="AT189" s="22">
        <v>1873</v>
      </c>
      <c r="AU189" s="22">
        <v>1878.5</v>
      </c>
      <c r="AV189" s="22">
        <v>1844</v>
      </c>
      <c r="AW189" s="22">
        <v>1811</v>
      </c>
      <c r="AX189" s="22">
        <v>1790</v>
      </c>
      <c r="AY189" s="22">
        <v>1780</v>
      </c>
      <c r="AZ189" s="22">
        <v>1785</v>
      </c>
      <c r="BA189" s="22">
        <v>1745</v>
      </c>
      <c r="BB189" s="22">
        <v>1757</v>
      </c>
      <c r="BC189" s="22">
        <v>1722.5</v>
      </c>
      <c r="BD189" s="22">
        <v>1776</v>
      </c>
      <c r="BE189" s="22">
        <v>1757</v>
      </c>
      <c r="BF189" s="22">
        <v>1756</v>
      </c>
      <c r="BG189" s="22">
        <v>1731</v>
      </c>
      <c r="BH189" s="22">
        <v>1718.5</v>
      </c>
      <c r="BI189" s="22">
        <v>1764</v>
      </c>
      <c r="BJ189" s="22">
        <v>1765</v>
      </c>
      <c r="BK189" s="22">
        <v>1760.5</v>
      </c>
      <c r="BL189" s="22">
        <v>1760.5</v>
      </c>
    </row>
    <row r="190" spans="1:64" ht="15.95" customHeight="1">
      <c r="A190" s="81" t="s">
        <v>445</v>
      </c>
      <c r="B190" s="17" t="s">
        <v>480</v>
      </c>
      <c r="C190" s="26">
        <f>_xll.RssMarket("7181","始値")</f>
        <v>1580</v>
      </c>
      <c r="D190" s="25">
        <f>C190-E190</f>
        <v>0</v>
      </c>
      <c r="E190" s="22">
        <v>1580</v>
      </c>
      <c r="F190" s="22">
        <v>1548.5</v>
      </c>
      <c r="G190" s="22">
        <v>1535.5</v>
      </c>
      <c r="H190" s="22">
        <v>1540</v>
      </c>
      <c r="I190" s="22">
        <v>1570</v>
      </c>
      <c r="J190" s="22">
        <v>1556.5</v>
      </c>
      <c r="K190" s="22">
        <v>1423.5</v>
      </c>
      <c r="L190" s="22">
        <v>1434.5</v>
      </c>
      <c r="M190" s="22">
        <v>1391</v>
      </c>
      <c r="N190" s="22">
        <v>1437</v>
      </c>
      <c r="O190" s="22">
        <v>1382.5</v>
      </c>
      <c r="P190" s="22">
        <v>1400</v>
      </c>
      <c r="Q190" s="22">
        <v>1462</v>
      </c>
      <c r="R190" s="22">
        <v>1470.5</v>
      </c>
      <c r="S190" s="22">
        <v>1505.5</v>
      </c>
      <c r="T190" s="22">
        <v>1551</v>
      </c>
      <c r="U190" s="22">
        <v>1530</v>
      </c>
      <c r="V190" s="22">
        <v>1535</v>
      </c>
      <c r="W190" s="22">
        <v>1474.5</v>
      </c>
      <c r="X190" s="22">
        <v>1530</v>
      </c>
      <c r="Y190" s="22">
        <v>1616</v>
      </c>
      <c r="Z190" s="22">
        <v>1611</v>
      </c>
      <c r="AA190" s="22">
        <v>1568</v>
      </c>
      <c r="AB190" s="22">
        <v>1564</v>
      </c>
      <c r="AC190" s="22">
        <v>1553.5</v>
      </c>
      <c r="AD190" s="22">
        <v>1567</v>
      </c>
      <c r="AE190" s="22">
        <v>1577.5</v>
      </c>
      <c r="AF190" s="22">
        <v>1518.5</v>
      </c>
      <c r="AG190" s="22">
        <v>1524.5</v>
      </c>
      <c r="AH190" s="22">
        <v>1511</v>
      </c>
      <c r="AI190" s="22">
        <v>1481</v>
      </c>
      <c r="AJ190" s="22">
        <v>1506</v>
      </c>
      <c r="AK190" s="22">
        <v>1476</v>
      </c>
      <c r="AL190" s="22">
        <v>1542</v>
      </c>
      <c r="AM190" s="22">
        <v>1577.5</v>
      </c>
      <c r="AN190" s="22">
        <v>1614</v>
      </c>
      <c r="AO190" s="22">
        <v>1644</v>
      </c>
      <c r="AP190" s="22">
        <v>1667</v>
      </c>
      <c r="AQ190" s="22">
        <v>1649.5</v>
      </c>
      <c r="AR190" s="22">
        <v>1613</v>
      </c>
      <c r="AS190" s="22">
        <v>1583</v>
      </c>
      <c r="AT190" s="22">
        <v>1595.5</v>
      </c>
      <c r="AU190" s="22">
        <v>1630</v>
      </c>
      <c r="AV190" s="22">
        <v>1654</v>
      </c>
      <c r="AW190" s="22">
        <v>1600</v>
      </c>
      <c r="AX190" s="22">
        <v>1619</v>
      </c>
      <c r="AY190" s="22">
        <v>1627</v>
      </c>
      <c r="AZ190" s="22">
        <v>1657</v>
      </c>
      <c r="BA190" s="22">
        <v>1642</v>
      </c>
      <c r="BB190" s="22">
        <v>1577.5</v>
      </c>
      <c r="BC190" s="22">
        <v>1538</v>
      </c>
      <c r="BD190" s="22">
        <v>1623.3</v>
      </c>
      <c r="BE190" s="22">
        <v>1610.6</v>
      </c>
      <c r="BF190" s="22">
        <v>1607</v>
      </c>
      <c r="BG190" s="22">
        <v>1581.3</v>
      </c>
      <c r="BH190" s="22">
        <v>1533.3</v>
      </c>
      <c r="BI190" s="22">
        <v>1583.3</v>
      </c>
      <c r="BJ190" s="22">
        <v>1588.6</v>
      </c>
      <c r="BK190" s="22">
        <v>1576.6</v>
      </c>
      <c r="BL190" s="22">
        <v>1548</v>
      </c>
    </row>
    <row r="191" spans="1:64" ht="15.95" customHeight="1">
      <c r="A191" s="81" t="s">
        <v>481</v>
      </c>
      <c r="B191" s="17" t="str">
        <f>銘柄管理!C191</f>
        <v>前澤給装工業</v>
      </c>
      <c r="C191" s="26">
        <f>_xll.RssMarket("6485","始値")</f>
        <v>1458</v>
      </c>
      <c r="D191" s="25"/>
      <c r="E191" s="22">
        <v>1458</v>
      </c>
      <c r="F191" s="22">
        <v>1440</v>
      </c>
      <c r="G191" s="22">
        <v>1430</v>
      </c>
      <c r="H191" s="22">
        <v>1419</v>
      </c>
      <c r="I191" s="22">
        <v>1435</v>
      </c>
      <c r="J191" s="22">
        <v>1433</v>
      </c>
      <c r="K191" s="22">
        <v>1420</v>
      </c>
      <c r="L191" s="22">
        <v>1393</v>
      </c>
      <c r="M191" s="22">
        <v>1381</v>
      </c>
      <c r="N191" s="22">
        <v>1380</v>
      </c>
      <c r="O191" s="22">
        <v>1425</v>
      </c>
      <c r="P191" s="22">
        <v>1420</v>
      </c>
      <c r="Q191" s="22">
        <v>1415</v>
      </c>
      <c r="R191" s="22">
        <v>1419</v>
      </c>
      <c r="S191" s="22">
        <v>1420</v>
      </c>
      <c r="T191" s="22">
        <v>1430</v>
      </c>
      <c r="U191" s="22">
        <v>1449</v>
      </c>
      <c r="V191" s="22">
        <v>1456</v>
      </c>
      <c r="W191" s="22">
        <v>1475</v>
      </c>
      <c r="X191" s="22">
        <v>1491</v>
      </c>
      <c r="Y191" s="22">
        <v>1490</v>
      </c>
      <c r="Z191" s="22">
        <v>1510</v>
      </c>
      <c r="AA191" s="22">
        <v>1515</v>
      </c>
      <c r="AB191" s="22">
        <v>1512</v>
      </c>
      <c r="AC191" s="22">
        <v>1510</v>
      </c>
      <c r="AD191" s="22">
        <v>1505</v>
      </c>
      <c r="AE191" s="22">
        <v>1515</v>
      </c>
      <c r="AF191" s="22">
        <v>1484</v>
      </c>
      <c r="AG191" s="22">
        <v>1519</v>
      </c>
      <c r="AH191" s="22">
        <v>1504</v>
      </c>
      <c r="AI191" s="22">
        <v>1522</v>
      </c>
      <c r="AJ191" s="22">
        <v>1550</v>
      </c>
      <c r="AK191" s="22">
        <v>1565</v>
      </c>
      <c r="AL191" s="22">
        <v>1562</v>
      </c>
      <c r="AM191" s="22">
        <v>1564</v>
      </c>
      <c r="AN191" s="22">
        <v>1586</v>
      </c>
      <c r="AO191" s="22">
        <v>1591</v>
      </c>
      <c r="AP191" s="22">
        <v>1600</v>
      </c>
      <c r="AQ191" s="22">
        <v>1606</v>
      </c>
      <c r="AR191" s="22">
        <v>1626</v>
      </c>
      <c r="AS191" s="22">
        <v>1629</v>
      </c>
      <c r="AT191" s="22">
        <v>1620</v>
      </c>
      <c r="AU191" s="22">
        <v>1589</v>
      </c>
      <c r="AV191" s="22">
        <v>1586</v>
      </c>
      <c r="AW191" s="22">
        <v>1580</v>
      </c>
      <c r="AX191" s="22">
        <v>1586</v>
      </c>
      <c r="AY191" s="22">
        <v>1572</v>
      </c>
      <c r="AZ191" s="22">
        <v>1550</v>
      </c>
      <c r="BA191" s="22">
        <v>1581</v>
      </c>
      <c r="BB191" s="22">
        <v>1595</v>
      </c>
      <c r="BC191" s="22">
        <v>1602</v>
      </c>
      <c r="BD191" s="22">
        <v>1610</v>
      </c>
      <c r="BE191" s="22">
        <v>1588</v>
      </c>
      <c r="BF191" s="22">
        <v>1603</v>
      </c>
      <c r="BG191" s="22">
        <v>1654</v>
      </c>
      <c r="BH191" s="22">
        <v>1648</v>
      </c>
      <c r="BI191" s="22">
        <v>1637</v>
      </c>
      <c r="BJ191" s="22">
        <v>1626</v>
      </c>
      <c r="BK191" s="22">
        <v>1629</v>
      </c>
      <c r="BL191" s="22">
        <v>1639</v>
      </c>
    </row>
    <row r="192" spans="1:64" ht="15.95" customHeight="1">
      <c r="A192" s="81" t="s">
        <v>446</v>
      </c>
      <c r="B192" s="17" t="s">
        <v>249</v>
      </c>
      <c r="C192" s="26">
        <f>_xll.RssMarket("4887","始値")</f>
        <v>1662.5</v>
      </c>
      <c r="D192" s="25">
        <f t="shared" si="2"/>
        <v>0</v>
      </c>
      <c r="E192" s="22">
        <v>1662.5</v>
      </c>
      <c r="F192" s="22">
        <v>1664</v>
      </c>
      <c r="G192" s="22">
        <v>1683</v>
      </c>
      <c r="H192" s="22">
        <v>1692</v>
      </c>
      <c r="I192" s="22">
        <v>1710</v>
      </c>
      <c r="J192" s="22">
        <v>1718</v>
      </c>
      <c r="K192" s="22">
        <v>1691</v>
      </c>
      <c r="L192" s="22">
        <v>1733</v>
      </c>
      <c r="M192" s="22">
        <v>1725</v>
      </c>
      <c r="N192" s="22">
        <v>1685</v>
      </c>
      <c r="O192" s="22">
        <v>1718</v>
      </c>
      <c r="P192" s="22">
        <v>1731</v>
      </c>
      <c r="Q192" s="22">
        <v>1776</v>
      </c>
      <c r="R192" s="22">
        <v>1759</v>
      </c>
      <c r="S192" s="22">
        <v>1771</v>
      </c>
      <c r="T192" s="22">
        <v>1750</v>
      </c>
      <c r="U192" s="22">
        <v>1824</v>
      </c>
      <c r="V192" s="22">
        <v>1815</v>
      </c>
      <c r="W192" s="22">
        <v>1741</v>
      </c>
      <c r="X192" s="22">
        <v>1782.5</v>
      </c>
      <c r="Y192" s="22">
        <v>2070</v>
      </c>
      <c r="Z192" s="22">
        <v>2090</v>
      </c>
      <c r="AA192" s="22">
        <v>2071</v>
      </c>
      <c r="AB192" s="22">
        <v>2099.5</v>
      </c>
      <c r="AC192" s="22">
        <v>2101.5</v>
      </c>
      <c r="AD192" s="22">
        <v>2131</v>
      </c>
      <c r="AE192" s="22">
        <v>2088</v>
      </c>
      <c r="AF192" s="22">
        <v>2104.5</v>
      </c>
      <c r="AG192" s="22">
        <v>2105.5</v>
      </c>
      <c r="AH192" s="22">
        <v>2073</v>
      </c>
      <c r="AI192" s="22">
        <v>2100</v>
      </c>
      <c r="AJ192" s="22">
        <v>2093.5</v>
      </c>
      <c r="AK192" s="22">
        <v>2094.5</v>
      </c>
      <c r="AL192" s="22">
        <v>2162</v>
      </c>
      <c r="AM192" s="22">
        <v>2175</v>
      </c>
      <c r="AN192" s="22">
        <v>2225</v>
      </c>
      <c r="AO192" s="22">
        <v>2239.5</v>
      </c>
      <c r="AP192" s="22">
        <v>2240</v>
      </c>
      <c r="AQ192" s="22">
        <v>2177</v>
      </c>
      <c r="AR192" s="22">
        <v>2226.5</v>
      </c>
      <c r="AS192" s="22">
        <v>2251.5</v>
      </c>
      <c r="AT192" s="22">
        <v>2252</v>
      </c>
      <c r="AU192" s="22">
        <v>2260</v>
      </c>
      <c r="AV192" s="22">
        <v>2300</v>
      </c>
      <c r="AW192" s="22">
        <v>2281</v>
      </c>
      <c r="AX192" s="22">
        <v>2300</v>
      </c>
      <c r="AY192" s="22">
        <v>2237</v>
      </c>
      <c r="AZ192" s="22">
        <v>2260.5</v>
      </c>
      <c r="BA192" s="22">
        <v>2221.5</v>
      </c>
      <c r="BB192" s="22">
        <v>2249.5</v>
      </c>
      <c r="BC192" s="22">
        <v>2247</v>
      </c>
      <c r="BD192" s="22">
        <v>2292.5</v>
      </c>
      <c r="BE192" s="22">
        <v>2260</v>
      </c>
      <c r="BF192" s="22">
        <v>2225</v>
      </c>
      <c r="BG192" s="22">
        <v>2144</v>
      </c>
      <c r="BH192" s="22">
        <v>2107</v>
      </c>
      <c r="BI192" s="22">
        <v>2162.5</v>
      </c>
      <c r="BJ192" s="22">
        <v>2181.5</v>
      </c>
      <c r="BK192" s="22">
        <v>2156</v>
      </c>
      <c r="BL192" s="22">
        <v>2136</v>
      </c>
    </row>
    <row r="193" spans="1:64" ht="15.95" customHeight="1">
      <c r="A193" s="81" t="s">
        <v>447</v>
      </c>
      <c r="B193" s="17" t="s">
        <v>250</v>
      </c>
      <c r="C193" s="26">
        <f>_xll.RssMarket("5243","始値")</f>
        <v>1749</v>
      </c>
      <c r="D193" s="25">
        <f t="shared" si="2"/>
        <v>0</v>
      </c>
      <c r="E193" s="22">
        <v>1749</v>
      </c>
      <c r="F193" s="22">
        <v>1692</v>
      </c>
      <c r="G193" s="22">
        <v>1678</v>
      </c>
      <c r="H193" s="22">
        <v>1712</v>
      </c>
      <c r="I193" s="22">
        <v>1636</v>
      </c>
      <c r="J193" s="22">
        <v>1725</v>
      </c>
      <c r="K193" s="22">
        <v>1795</v>
      </c>
      <c r="L193" s="22">
        <v>1815</v>
      </c>
      <c r="M193" s="22">
        <v>1866</v>
      </c>
      <c r="N193" s="22">
        <v>1900</v>
      </c>
      <c r="O193" s="22">
        <v>1975</v>
      </c>
      <c r="P193" s="22">
        <v>2090</v>
      </c>
      <c r="Q193" s="22">
        <v>2092</v>
      </c>
      <c r="R193" s="22">
        <v>2200</v>
      </c>
      <c r="S193" s="22">
        <v>2250</v>
      </c>
      <c r="T193" s="22">
        <v>2197</v>
      </c>
      <c r="U193" s="22">
        <v>2150</v>
      </c>
      <c r="V193" s="22">
        <v>2208</v>
      </c>
      <c r="W193" s="22">
        <v>2300</v>
      </c>
      <c r="X193" s="22">
        <v>2220</v>
      </c>
      <c r="Y193" s="22">
        <v>2299</v>
      </c>
      <c r="Z193" s="22">
        <v>2407</v>
      </c>
      <c r="AA193" s="22">
        <v>2273</v>
      </c>
      <c r="AB193" s="22">
        <v>2135</v>
      </c>
      <c r="AC193" s="22">
        <v>2160</v>
      </c>
      <c r="AD193" s="22">
        <v>2288</v>
      </c>
      <c r="AE193" s="22">
        <v>2359</v>
      </c>
      <c r="AF193" s="22">
        <v>2405</v>
      </c>
      <c r="AG193" s="22">
        <v>2457</v>
      </c>
      <c r="AH193" s="22">
        <v>2330</v>
      </c>
      <c r="AI193" s="22">
        <v>2385</v>
      </c>
      <c r="AJ193" s="22">
        <v>2476</v>
      </c>
      <c r="AK193" s="22">
        <v>2556</v>
      </c>
      <c r="AL193" s="22">
        <v>2536</v>
      </c>
      <c r="AM193" s="22">
        <v>2615</v>
      </c>
      <c r="AN193" s="22">
        <v>2570</v>
      </c>
      <c r="AO193" s="22">
        <v>2706</v>
      </c>
      <c r="AP193" s="22">
        <v>2631</v>
      </c>
      <c r="AQ193" s="22">
        <v>3400</v>
      </c>
      <c r="AR193" s="22">
        <v>2900</v>
      </c>
      <c r="AS193" s="22">
        <v>2681</v>
      </c>
      <c r="AT193" s="22">
        <v>2695</v>
      </c>
      <c r="AU193" s="22">
        <v>2694</v>
      </c>
      <c r="AV193" s="22">
        <v>2600</v>
      </c>
      <c r="AW193" s="22">
        <v>2580</v>
      </c>
      <c r="AX193" s="22">
        <v>2534</v>
      </c>
      <c r="AY193" s="22">
        <v>2500</v>
      </c>
      <c r="AZ193" s="22">
        <v>2593</v>
      </c>
      <c r="BA193" s="22">
        <v>2524</v>
      </c>
      <c r="BB193" s="22">
        <v>2412</v>
      </c>
      <c r="BC193" s="22">
        <v>2469</v>
      </c>
      <c r="BD193" s="22">
        <v>2447</v>
      </c>
      <c r="BE193" s="22">
        <v>2470</v>
      </c>
      <c r="BF193" s="22">
        <v>2401</v>
      </c>
      <c r="BG193" s="22">
        <v>2200</v>
      </c>
      <c r="BH193" s="22">
        <v>2091</v>
      </c>
      <c r="BI193" s="22">
        <v>2251</v>
      </c>
      <c r="BJ193" s="22">
        <v>2324</v>
      </c>
      <c r="BK193" s="22">
        <v>2438</v>
      </c>
      <c r="BL193" s="22">
        <v>2485</v>
      </c>
    </row>
    <row r="194" spans="1:64" ht="15.95" customHeight="1">
      <c r="A194" s="81" t="s">
        <v>448</v>
      </c>
      <c r="B194" s="17" t="s">
        <v>251</v>
      </c>
      <c r="C194" s="26">
        <f>_xll.RssMarket("2702","始値")</f>
        <v>7380</v>
      </c>
      <c r="D194" s="25">
        <f t="shared" si="2"/>
        <v>0</v>
      </c>
      <c r="E194" s="22">
        <v>7380</v>
      </c>
      <c r="F194" s="22">
        <v>7480</v>
      </c>
      <c r="G194" s="22">
        <v>7500</v>
      </c>
      <c r="H194" s="22">
        <v>7410</v>
      </c>
      <c r="I194" s="22">
        <v>7330</v>
      </c>
      <c r="J194" s="22">
        <v>7350</v>
      </c>
      <c r="K194" s="22">
        <v>7360</v>
      </c>
      <c r="L194" s="22">
        <v>7460</v>
      </c>
      <c r="M194" s="22">
        <v>7500</v>
      </c>
      <c r="N194" s="22">
        <v>7520</v>
      </c>
      <c r="O194" s="22">
        <v>7640</v>
      </c>
      <c r="P194" s="22">
        <v>7830</v>
      </c>
      <c r="Q194" s="22">
        <v>7820</v>
      </c>
      <c r="R194" s="22">
        <v>8050</v>
      </c>
      <c r="S194" s="22">
        <v>8180</v>
      </c>
      <c r="T194" s="22">
        <v>8040</v>
      </c>
      <c r="U194" s="22">
        <v>8180</v>
      </c>
      <c r="V194" s="22">
        <v>8000</v>
      </c>
      <c r="W194" s="22">
        <v>7810</v>
      </c>
      <c r="X194" s="22">
        <v>8190</v>
      </c>
      <c r="Y194" s="22">
        <v>8300</v>
      </c>
      <c r="Z194" s="22">
        <v>8580</v>
      </c>
      <c r="AA194" s="22">
        <v>8420</v>
      </c>
      <c r="AB194" s="22">
        <v>7750</v>
      </c>
      <c r="AC194" s="22">
        <v>7810</v>
      </c>
      <c r="AD194" s="22">
        <v>7970</v>
      </c>
      <c r="AE194" s="22">
        <v>8120</v>
      </c>
      <c r="AF194" s="22">
        <v>8120</v>
      </c>
      <c r="AG194" s="22">
        <v>8190</v>
      </c>
      <c r="AH194" s="22">
        <v>8240</v>
      </c>
      <c r="AI194" s="22">
        <v>8080</v>
      </c>
      <c r="AJ194" s="22">
        <v>8140</v>
      </c>
      <c r="AK194" s="22">
        <v>8180</v>
      </c>
      <c r="AL194" s="22">
        <v>8250</v>
      </c>
      <c r="AM194" s="22">
        <v>8280</v>
      </c>
      <c r="AN194" s="22">
        <v>8200</v>
      </c>
      <c r="AO194" s="22">
        <v>8200</v>
      </c>
      <c r="AP194" s="22">
        <v>8280</v>
      </c>
      <c r="AQ194" s="22">
        <v>8050</v>
      </c>
      <c r="AR194" s="22">
        <v>8040</v>
      </c>
      <c r="AS194" s="22">
        <v>8220</v>
      </c>
      <c r="AT194" s="22">
        <v>8470</v>
      </c>
      <c r="AU194" s="22">
        <v>8600</v>
      </c>
      <c r="AV194" s="22">
        <v>8660</v>
      </c>
      <c r="AW194" s="22">
        <v>8500</v>
      </c>
      <c r="AX194" s="22">
        <v>8380</v>
      </c>
      <c r="AY194" s="22">
        <v>8230</v>
      </c>
      <c r="AZ194" s="22">
        <v>8200</v>
      </c>
      <c r="BA194" s="22">
        <v>8280</v>
      </c>
      <c r="BB194" s="22">
        <v>8430</v>
      </c>
      <c r="BC194" s="22">
        <v>8260</v>
      </c>
      <c r="BD194" s="22">
        <v>8180</v>
      </c>
      <c r="BE194" s="22">
        <v>8090</v>
      </c>
      <c r="BF194" s="22">
        <v>8110</v>
      </c>
      <c r="BG194" s="22">
        <v>7910</v>
      </c>
      <c r="BH194" s="22">
        <v>7930</v>
      </c>
      <c r="BI194" s="22">
        <v>8000</v>
      </c>
      <c r="BJ194" s="22">
        <v>7950</v>
      </c>
      <c r="BK194" s="22">
        <v>7840</v>
      </c>
      <c r="BL194" s="22">
        <v>7840</v>
      </c>
    </row>
    <row r="195" spans="1:64" ht="15.95" customHeight="1">
      <c r="A195" s="81" t="s">
        <v>449</v>
      </c>
      <c r="B195" s="17" t="s">
        <v>252</v>
      </c>
      <c r="C195" s="26">
        <f>_xll.RssMarket("6890","始値")</f>
        <v>9020</v>
      </c>
      <c r="D195" s="25">
        <f t="shared" si="2"/>
        <v>0</v>
      </c>
      <c r="E195" s="22">
        <v>9020</v>
      </c>
      <c r="F195" s="22">
        <v>9210</v>
      </c>
      <c r="G195" s="22">
        <v>9390</v>
      </c>
      <c r="H195" s="22">
        <v>8780</v>
      </c>
      <c r="I195" s="22">
        <v>7580</v>
      </c>
      <c r="J195" s="22">
        <v>8120</v>
      </c>
      <c r="K195" s="22">
        <v>8500</v>
      </c>
      <c r="L195" s="22">
        <v>8900</v>
      </c>
      <c r="M195" s="22">
        <v>7950</v>
      </c>
      <c r="N195" s="22">
        <v>8210</v>
      </c>
      <c r="O195" s="22">
        <v>8000</v>
      </c>
      <c r="P195" s="22">
        <v>8570</v>
      </c>
      <c r="Q195" s="22">
        <v>8470</v>
      </c>
      <c r="R195" s="22">
        <v>9200</v>
      </c>
      <c r="S195" s="22">
        <v>9000</v>
      </c>
      <c r="T195" s="22">
        <v>9200</v>
      </c>
      <c r="U195" s="22">
        <v>8780</v>
      </c>
      <c r="V195" s="22">
        <v>9300</v>
      </c>
      <c r="W195" s="22">
        <v>9610</v>
      </c>
      <c r="X195" s="22">
        <v>9780</v>
      </c>
      <c r="Y195" s="22">
        <v>9650</v>
      </c>
      <c r="Z195" s="22">
        <v>9170</v>
      </c>
      <c r="AA195" s="22">
        <v>9760</v>
      </c>
      <c r="AB195" s="22">
        <v>9810</v>
      </c>
      <c r="AC195" s="22">
        <v>9090</v>
      </c>
      <c r="AD195" s="22">
        <v>8370</v>
      </c>
      <c r="AE195" s="22">
        <v>7650</v>
      </c>
      <c r="AF195" s="22">
        <v>7740</v>
      </c>
      <c r="AG195" s="22">
        <v>7220</v>
      </c>
      <c r="AH195" s="22">
        <v>7510</v>
      </c>
      <c r="AI195" s="22">
        <v>7200</v>
      </c>
      <c r="AJ195" s="22">
        <v>7100</v>
      </c>
      <c r="AK195" s="22">
        <v>6720</v>
      </c>
      <c r="AL195" s="22">
        <v>6800</v>
      </c>
      <c r="AM195" s="22">
        <v>6800</v>
      </c>
      <c r="AN195" s="22">
        <v>6780</v>
      </c>
      <c r="AO195" s="22">
        <v>6780</v>
      </c>
      <c r="AP195" s="22">
        <v>6930</v>
      </c>
      <c r="AQ195" s="22">
        <v>7130</v>
      </c>
      <c r="AR195" s="22">
        <v>7000</v>
      </c>
      <c r="AS195" s="22">
        <v>7000</v>
      </c>
      <c r="AT195" s="22">
        <v>6750</v>
      </c>
      <c r="AU195" s="22">
        <v>6740</v>
      </c>
      <c r="AV195" s="22">
        <v>6630</v>
      </c>
      <c r="AW195" s="22">
        <v>6560</v>
      </c>
      <c r="AX195" s="22">
        <v>6420</v>
      </c>
      <c r="AY195" s="22">
        <v>6790</v>
      </c>
      <c r="AZ195" s="22">
        <v>6560</v>
      </c>
      <c r="BA195" s="22">
        <v>6370</v>
      </c>
      <c r="BB195" s="22">
        <v>6230</v>
      </c>
      <c r="BC195" s="22">
        <v>6360</v>
      </c>
      <c r="BD195" s="22">
        <v>6400</v>
      </c>
      <c r="BE195" s="22">
        <v>6150</v>
      </c>
      <c r="BF195" s="22">
        <v>5890</v>
      </c>
      <c r="BG195" s="22">
        <v>5890</v>
      </c>
      <c r="BH195" s="22">
        <v>6240</v>
      </c>
      <c r="BI195" s="22">
        <v>6080</v>
      </c>
      <c r="BJ195" s="22">
        <v>6240</v>
      </c>
      <c r="BK195" s="22">
        <v>6040</v>
      </c>
      <c r="BL195" s="22">
        <v>6080</v>
      </c>
    </row>
    <row r="196" spans="1:64" ht="15.95" customHeight="1">
      <c r="A196" s="81" t="s">
        <v>450</v>
      </c>
      <c r="B196" s="17" t="s">
        <v>253</v>
      </c>
      <c r="C196" s="26">
        <f>_xll.RssMarket("4966","始値")</f>
        <v>26000</v>
      </c>
      <c r="D196" s="25">
        <f t="shared" si="2"/>
        <v>0</v>
      </c>
      <c r="E196" s="22">
        <v>26000</v>
      </c>
      <c r="F196" s="22">
        <v>26190</v>
      </c>
      <c r="G196" s="22">
        <v>24840</v>
      </c>
      <c r="H196" s="22">
        <v>24050</v>
      </c>
      <c r="I196" s="22">
        <v>22230</v>
      </c>
      <c r="J196" s="22">
        <v>22450</v>
      </c>
      <c r="K196" s="22">
        <v>21240</v>
      </c>
      <c r="L196" s="22">
        <v>23020</v>
      </c>
      <c r="M196" s="22">
        <v>23500</v>
      </c>
      <c r="N196" s="22">
        <v>23250</v>
      </c>
      <c r="O196" s="22">
        <v>23080</v>
      </c>
      <c r="P196" s="22">
        <v>23560</v>
      </c>
      <c r="Q196" s="22">
        <v>23570</v>
      </c>
      <c r="R196" s="22">
        <v>24110</v>
      </c>
      <c r="S196" s="22">
        <v>24450</v>
      </c>
      <c r="T196" s="22">
        <v>23440</v>
      </c>
      <c r="U196" s="22">
        <v>23250</v>
      </c>
      <c r="V196" s="22">
        <v>22310</v>
      </c>
      <c r="W196" s="22">
        <v>24240</v>
      </c>
      <c r="X196" s="22">
        <v>23990</v>
      </c>
      <c r="Y196" s="22">
        <v>26180</v>
      </c>
      <c r="Z196" s="22">
        <v>25010</v>
      </c>
      <c r="AA196" s="22">
        <v>24370</v>
      </c>
      <c r="AB196" s="22">
        <v>24580</v>
      </c>
      <c r="AC196" s="22">
        <v>24000</v>
      </c>
      <c r="AD196" s="22">
        <v>23300</v>
      </c>
      <c r="AE196" s="22">
        <v>23440</v>
      </c>
      <c r="AF196" s="22">
        <v>23440</v>
      </c>
      <c r="AG196" s="22">
        <v>23500</v>
      </c>
      <c r="AH196" s="22">
        <v>23150</v>
      </c>
      <c r="AI196" s="22">
        <v>23500</v>
      </c>
      <c r="AJ196" s="22">
        <v>23160</v>
      </c>
      <c r="AK196" s="22">
        <v>23700</v>
      </c>
      <c r="AL196" s="22">
        <v>23020</v>
      </c>
      <c r="AM196" s="22">
        <v>23050</v>
      </c>
      <c r="AN196" s="22">
        <v>23000</v>
      </c>
      <c r="AO196" s="22">
        <v>24130</v>
      </c>
      <c r="AP196" s="22">
        <v>24390</v>
      </c>
      <c r="AQ196" s="22">
        <v>24500</v>
      </c>
      <c r="AR196" s="22">
        <v>24200</v>
      </c>
      <c r="AS196" s="22">
        <v>22890</v>
      </c>
      <c r="AT196" s="22">
        <v>22670</v>
      </c>
      <c r="AU196" s="22">
        <v>22600</v>
      </c>
      <c r="AV196" s="22">
        <v>21620</v>
      </c>
      <c r="AW196" s="22">
        <v>21410</v>
      </c>
      <c r="AX196" s="22">
        <v>21350</v>
      </c>
      <c r="AY196" s="22">
        <v>20540</v>
      </c>
      <c r="AZ196" s="22">
        <v>20950</v>
      </c>
      <c r="BA196" s="22">
        <v>20470</v>
      </c>
      <c r="BB196" s="22">
        <v>19800</v>
      </c>
      <c r="BC196" s="22">
        <v>20600</v>
      </c>
      <c r="BD196" s="22">
        <v>22240</v>
      </c>
      <c r="BE196" s="22">
        <v>23200</v>
      </c>
      <c r="BF196" s="22">
        <v>22920</v>
      </c>
      <c r="BG196" s="22">
        <v>22280</v>
      </c>
      <c r="BH196" s="22">
        <v>22300</v>
      </c>
      <c r="BI196" s="22">
        <v>22990</v>
      </c>
      <c r="BJ196" s="22">
        <v>23070</v>
      </c>
      <c r="BK196" s="22">
        <v>23110</v>
      </c>
      <c r="BL196" s="22">
        <v>22590</v>
      </c>
    </row>
    <row r="197" spans="1:64" ht="15.95" customHeight="1">
      <c r="A197" s="81" t="s">
        <v>451</v>
      </c>
      <c r="B197" s="17" t="s">
        <v>254</v>
      </c>
      <c r="C197" s="26">
        <f>_xll.RssMarket("6146","始値")</f>
        <v>80050</v>
      </c>
      <c r="D197" s="25">
        <f t="shared" si="2"/>
        <v>0</v>
      </c>
      <c r="E197" s="22">
        <v>80050</v>
      </c>
      <c r="F197" s="22">
        <v>84610</v>
      </c>
      <c r="G197" s="22">
        <v>82650</v>
      </c>
      <c r="H197" s="22">
        <v>73750</v>
      </c>
      <c r="I197" s="22">
        <v>68560</v>
      </c>
      <c r="J197" s="22">
        <v>70020</v>
      </c>
      <c r="K197" s="22">
        <v>66580</v>
      </c>
      <c r="L197" s="22">
        <v>73160</v>
      </c>
      <c r="M197" s="22">
        <v>68160</v>
      </c>
      <c r="N197" s="22">
        <v>65910</v>
      </c>
      <c r="O197" s="22">
        <v>63070</v>
      </c>
      <c r="P197" s="22">
        <v>65690</v>
      </c>
      <c r="Q197" s="22">
        <v>66630</v>
      </c>
      <c r="R197" s="22">
        <v>68740</v>
      </c>
      <c r="S197" s="22">
        <v>67240</v>
      </c>
      <c r="T197" s="22">
        <v>66700</v>
      </c>
      <c r="U197" s="22">
        <v>63600</v>
      </c>
      <c r="V197" s="22">
        <v>61200</v>
      </c>
      <c r="W197" s="22">
        <v>63500</v>
      </c>
      <c r="X197" s="22">
        <v>65400</v>
      </c>
      <c r="Y197" s="22">
        <v>71500</v>
      </c>
      <c r="Z197" s="22">
        <v>73500</v>
      </c>
      <c r="AA197" s="22">
        <v>71370</v>
      </c>
      <c r="AB197" s="22">
        <v>73650</v>
      </c>
      <c r="AC197" s="22">
        <v>74770</v>
      </c>
      <c r="AD197" s="22">
        <v>75840</v>
      </c>
      <c r="AE197" s="22">
        <v>76060</v>
      </c>
      <c r="AF197" s="22">
        <v>73860</v>
      </c>
      <c r="AG197" s="22">
        <v>74540</v>
      </c>
      <c r="AH197" s="22">
        <v>75100</v>
      </c>
      <c r="AI197" s="22">
        <v>73000</v>
      </c>
      <c r="AJ197" s="22">
        <v>73030</v>
      </c>
      <c r="AK197" s="22">
        <v>76330</v>
      </c>
      <c r="AL197" s="22">
        <v>74500</v>
      </c>
      <c r="AM197" s="22">
        <v>72000</v>
      </c>
      <c r="AN197" s="22">
        <v>73400</v>
      </c>
      <c r="AO197" s="22">
        <v>72550</v>
      </c>
      <c r="AP197" s="22">
        <v>71750</v>
      </c>
      <c r="AQ197" s="22">
        <v>72950</v>
      </c>
      <c r="AR197" s="22">
        <v>70540</v>
      </c>
      <c r="AS197" s="22">
        <v>66200</v>
      </c>
      <c r="AT197" s="22">
        <v>65760</v>
      </c>
      <c r="AU197" s="22">
        <v>65500</v>
      </c>
      <c r="AV197" s="22">
        <v>66000</v>
      </c>
      <c r="AW197" s="22">
        <v>66000</v>
      </c>
      <c r="AX197" s="22">
        <v>66500</v>
      </c>
      <c r="AY197" s="22">
        <v>65150</v>
      </c>
      <c r="AZ197" s="22">
        <v>65430</v>
      </c>
      <c r="BA197" s="22">
        <v>63240</v>
      </c>
      <c r="BB197" s="22">
        <v>61000</v>
      </c>
      <c r="BC197" s="22">
        <v>64490</v>
      </c>
      <c r="BD197" s="22">
        <v>66000</v>
      </c>
      <c r="BE197" s="22">
        <v>68180</v>
      </c>
      <c r="BF197" s="22">
        <v>67990</v>
      </c>
      <c r="BG197" s="22">
        <v>68000</v>
      </c>
      <c r="BH197" s="22">
        <v>66110</v>
      </c>
      <c r="BI197" s="22">
        <v>69450</v>
      </c>
      <c r="BJ197" s="22">
        <v>68700</v>
      </c>
      <c r="BK197" s="22">
        <v>70920</v>
      </c>
      <c r="BL197" s="22">
        <v>69920</v>
      </c>
    </row>
    <row r="198" spans="1:64" ht="15.95" customHeight="1">
      <c r="A198" s="81" t="s">
        <v>452</v>
      </c>
      <c r="B198" s="17" t="s">
        <v>255</v>
      </c>
      <c r="C198" s="26">
        <f>_xll.RssMarket("8035","始値")</f>
        <v>69970</v>
      </c>
      <c r="D198" s="25">
        <f t="shared" ref="D198:D217" si="3">C198-E198</f>
        <v>0</v>
      </c>
      <c r="E198" s="22">
        <v>69970</v>
      </c>
      <c r="F198" s="22">
        <v>71510</v>
      </c>
      <c r="G198" s="22">
        <v>74800</v>
      </c>
      <c r="H198" s="22">
        <v>68400</v>
      </c>
      <c r="I198" s="22">
        <v>61000</v>
      </c>
      <c r="J198" s="22">
        <v>61110</v>
      </c>
      <c r="K198" s="22">
        <v>55650</v>
      </c>
      <c r="L198" s="22">
        <v>62000</v>
      </c>
      <c r="M198" s="22">
        <v>59900</v>
      </c>
      <c r="N198" s="22">
        <v>56710</v>
      </c>
      <c r="O198" s="22">
        <v>53060</v>
      </c>
      <c r="P198" s="22">
        <v>52780</v>
      </c>
      <c r="Q198" s="22">
        <v>52000</v>
      </c>
      <c r="R198" s="22">
        <v>52870</v>
      </c>
      <c r="S198" s="22">
        <v>50530</v>
      </c>
      <c r="T198" s="22">
        <v>49050</v>
      </c>
      <c r="U198" s="22">
        <v>47650</v>
      </c>
      <c r="V198" s="22">
        <v>46700</v>
      </c>
      <c r="W198" s="22">
        <v>49960</v>
      </c>
      <c r="X198" s="22">
        <v>50600</v>
      </c>
      <c r="Y198" s="22">
        <v>52150</v>
      </c>
      <c r="Z198" s="22">
        <v>51590</v>
      </c>
      <c r="AA198" s="22">
        <v>51510</v>
      </c>
      <c r="AB198" s="22">
        <v>53000</v>
      </c>
      <c r="AC198" s="22">
        <v>53500</v>
      </c>
      <c r="AD198" s="22">
        <v>51720</v>
      </c>
      <c r="AE198" s="22">
        <v>51180</v>
      </c>
      <c r="AF198" s="22">
        <v>47000</v>
      </c>
      <c r="AG198" s="22">
        <v>45000</v>
      </c>
      <c r="AH198" s="22">
        <v>46880</v>
      </c>
      <c r="AI198" s="22">
        <v>46460</v>
      </c>
      <c r="AJ198" s="22">
        <v>45450</v>
      </c>
      <c r="AK198" s="22">
        <v>46150</v>
      </c>
      <c r="AL198" s="22">
        <v>45170</v>
      </c>
      <c r="AM198" s="22">
        <v>44740</v>
      </c>
      <c r="AN198" s="22">
        <v>43870</v>
      </c>
      <c r="AO198" s="22">
        <v>45120</v>
      </c>
      <c r="AP198" s="22">
        <v>44200</v>
      </c>
      <c r="AQ198" s="22">
        <v>43870</v>
      </c>
      <c r="AR198" s="22">
        <v>43160</v>
      </c>
      <c r="AS198" s="22">
        <v>43370</v>
      </c>
      <c r="AT198" s="22">
        <v>42840</v>
      </c>
      <c r="AU198" s="22">
        <v>42830</v>
      </c>
      <c r="AV198" s="22">
        <v>41500</v>
      </c>
      <c r="AW198" s="22">
        <v>38650</v>
      </c>
      <c r="AX198" s="22">
        <v>38200</v>
      </c>
      <c r="AY198" s="22">
        <v>38880</v>
      </c>
      <c r="AZ198" s="22">
        <v>39700</v>
      </c>
      <c r="BA198" s="22">
        <v>38630</v>
      </c>
      <c r="BB198" s="22">
        <v>36950</v>
      </c>
      <c r="BC198" s="22">
        <v>37600</v>
      </c>
      <c r="BD198" s="22">
        <v>39130</v>
      </c>
      <c r="BE198" s="22">
        <v>39950</v>
      </c>
      <c r="BF198" s="22">
        <v>40640</v>
      </c>
      <c r="BG198" s="22">
        <v>39350</v>
      </c>
      <c r="BH198" s="22">
        <v>37930</v>
      </c>
      <c r="BI198" s="22">
        <v>39010</v>
      </c>
      <c r="BJ198" s="22">
        <v>39480</v>
      </c>
      <c r="BK198" s="22">
        <v>39850</v>
      </c>
      <c r="BL198" s="22">
        <v>38420</v>
      </c>
    </row>
    <row r="199" spans="1:64" ht="15.95" customHeight="1">
      <c r="A199" s="81" t="s">
        <v>453</v>
      </c>
      <c r="B199" s="17" t="s">
        <v>256</v>
      </c>
      <c r="C199" s="26">
        <f>_xll.RssMarket("6920","始値")</f>
        <v>45870</v>
      </c>
      <c r="D199" s="25">
        <f t="shared" si="3"/>
        <v>0</v>
      </c>
      <c r="E199" s="22">
        <v>45870</v>
      </c>
      <c r="F199" s="22">
        <v>47600</v>
      </c>
      <c r="G199" s="22">
        <v>46000</v>
      </c>
      <c r="H199" s="22">
        <v>42000</v>
      </c>
      <c r="I199" s="22">
        <v>38550</v>
      </c>
      <c r="J199" s="22">
        <v>39970</v>
      </c>
      <c r="K199" s="22">
        <v>39380</v>
      </c>
      <c r="L199" s="22">
        <v>42050</v>
      </c>
      <c r="M199" s="22">
        <v>41500</v>
      </c>
      <c r="N199" s="22">
        <v>40420</v>
      </c>
      <c r="O199" s="22">
        <v>38360</v>
      </c>
      <c r="P199" s="22">
        <v>40810</v>
      </c>
      <c r="Q199" s="22">
        <v>40830</v>
      </c>
      <c r="R199" s="22">
        <v>42990</v>
      </c>
      <c r="S199" s="22">
        <v>40300</v>
      </c>
      <c r="T199" s="22">
        <v>38590</v>
      </c>
      <c r="U199" s="22">
        <v>37050</v>
      </c>
      <c r="V199" s="22">
        <v>36200</v>
      </c>
      <c r="W199" s="22">
        <v>38090</v>
      </c>
      <c r="X199" s="22">
        <v>38800</v>
      </c>
      <c r="Y199" s="22">
        <v>41190</v>
      </c>
      <c r="Z199" s="22">
        <v>42910</v>
      </c>
      <c r="AA199" s="22">
        <v>42790</v>
      </c>
      <c r="AB199" s="22">
        <v>45220</v>
      </c>
      <c r="AC199" s="22">
        <v>45300</v>
      </c>
      <c r="AD199" s="22">
        <v>44220</v>
      </c>
      <c r="AE199" s="22">
        <v>46190</v>
      </c>
      <c r="AF199" s="22">
        <v>43540</v>
      </c>
      <c r="AG199" s="22">
        <v>43370</v>
      </c>
      <c r="AH199" s="22">
        <v>45100</v>
      </c>
      <c r="AI199" s="22">
        <v>45600</v>
      </c>
      <c r="AJ199" s="22">
        <v>44530</v>
      </c>
      <c r="AK199" s="22">
        <v>45490</v>
      </c>
      <c r="AL199" s="22">
        <v>44700</v>
      </c>
      <c r="AM199" s="22">
        <v>42450</v>
      </c>
      <c r="AN199" s="22">
        <v>40640</v>
      </c>
      <c r="AO199" s="22">
        <v>41510</v>
      </c>
      <c r="AP199" s="22">
        <v>41510</v>
      </c>
      <c r="AQ199" s="22">
        <v>43500</v>
      </c>
      <c r="AR199" s="22">
        <v>42000</v>
      </c>
      <c r="AS199" s="22">
        <v>41100</v>
      </c>
      <c r="AT199" s="22">
        <v>39100</v>
      </c>
      <c r="AU199" s="22">
        <v>39000</v>
      </c>
      <c r="AV199" s="22">
        <v>38100</v>
      </c>
      <c r="AW199" s="22">
        <v>37330</v>
      </c>
      <c r="AX199" s="22">
        <v>35860</v>
      </c>
      <c r="AY199" s="22">
        <v>36100</v>
      </c>
      <c r="AZ199" s="22">
        <v>35350</v>
      </c>
      <c r="BA199" s="22">
        <v>34470</v>
      </c>
      <c r="BB199" s="22">
        <v>33910</v>
      </c>
      <c r="BC199" s="22">
        <v>33570</v>
      </c>
      <c r="BD199" s="22">
        <v>34110</v>
      </c>
      <c r="BE199" s="22">
        <v>33700</v>
      </c>
      <c r="BF199" s="22">
        <v>33270</v>
      </c>
      <c r="BG199" s="22">
        <v>32730</v>
      </c>
      <c r="BH199" s="22">
        <v>32990</v>
      </c>
      <c r="BI199" s="22">
        <v>34900</v>
      </c>
      <c r="BJ199" s="22">
        <v>36060</v>
      </c>
      <c r="BK199" s="22">
        <v>38000</v>
      </c>
      <c r="BL199" s="22">
        <v>37520</v>
      </c>
    </row>
    <row r="200" spans="1:64" ht="15.95" customHeight="1">
      <c r="A200" s="81" t="s">
        <v>454</v>
      </c>
      <c r="B200" s="17" t="s">
        <v>66</v>
      </c>
      <c r="C200" s="26">
        <f>_xll.RssMarket("5801","始値")</f>
        <v>44900</v>
      </c>
      <c r="D200" s="25">
        <f t="shared" si="3"/>
        <v>0</v>
      </c>
      <c r="E200" s="22">
        <v>44900</v>
      </c>
      <c r="F200" s="22">
        <v>45000</v>
      </c>
      <c r="G200" s="22">
        <v>44800</v>
      </c>
      <c r="H200" s="22">
        <v>43250</v>
      </c>
      <c r="I200" s="22">
        <v>38350</v>
      </c>
      <c r="J200" s="22">
        <v>44400</v>
      </c>
      <c r="K200" s="22">
        <v>44850</v>
      </c>
      <c r="L200" s="22">
        <v>49600</v>
      </c>
      <c r="M200" s="22">
        <v>52990</v>
      </c>
      <c r="N200" s="22">
        <v>55000</v>
      </c>
      <c r="O200" s="22">
        <v>51140</v>
      </c>
      <c r="P200" s="22">
        <v>52400</v>
      </c>
      <c r="Q200" s="22">
        <v>54110</v>
      </c>
      <c r="R200" s="22">
        <v>61030</v>
      </c>
      <c r="S200" s="22">
        <v>56480</v>
      </c>
      <c r="T200" s="22">
        <v>51020</v>
      </c>
      <c r="U200" s="22">
        <v>52010</v>
      </c>
      <c r="V200" s="22">
        <v>48700</v>
      </c>
      <c r="W200" s="22">
        <v>53200</v>
      </c>
      <c r="X200" s="22">
        <v>55480</v>
      </c>
      <c r="Y200" s="22">
        <v>59500</v>
      </c>
      <c r="Z200" s="22">
        <v>57620</v>
      </c>
      <c r="AA200" s="22">
        <v>51180</v>
      </c>
      <c r="AB200" s="22">
        <v>45700</v>
      </c>
      <c r="AC200" s="22">
        <v>45570</v>
      </c>
      <c r="AD200" s="22">
        <v>44830</v>
      </c>
      <c r="AE200" s="22">
        <v>44690</v>
      </c>
      <c r="AF200" s="22">
        <v>42520</v>
      </c>
      <c r="AG200" s="22">
        <v>42720</v>
      </c>
      <c r="AH200" s="22">
        <v>41500</v>
      </c>
      <c r="AI200" s="22">
        <v>42750</v>
      </c>
      <c r="AJ200" s="22">
        <v>43010</v>
      </c>
      <c r="AK200" s="22">
        <v>45030</v>
      </c>
      <c r="AL200" s="22">
        <v>44360</v>
      </c>
      <c r="AM200" s="22">
        <v>43700</v>
      </c>
      <c r="AN200" s="22">
        <v>44260</v>
      </c>
      <c r="AO200" s="22">
        <v>45910</v>
      </c>
      <c r="AP200" s="22">
        <v>43540</v>
      </c>
      <c r="AQ200" s="22">
        <v>47230</v>
      </c>
      <c r="AR200" s="22">
        <v>47220</v>
      </c>
      <c r="AS200" s="22">
        <v>46000</v>
      </c>
      <c r="AT200" s="22">
        <v>45010</v>
      </c>
      <c r="AU200" s="22">
        <v>42740</v>
      </c>
      <c r="AV200" s="22">
        <v>40000</v>
      </c>
      <c r="AW200" s="22">
        <v>36600</v>
      </c>
      <c r="AX200" s="22">
        <v>37900</v>
      </c>
      <c r="AY200" s="22">
        <v>35000</v>
      </c>
      <c r="AZ200" s="22">
        <v>33190</v>
      </c>
      <c r="BA200" s="22">
        <v>30500</v>
      </c>
      <c r="BB200" s="22">
        <v>29700</v>
      </c>
      <c r="BC200" s="22">
        <v>29700</v>
      </c>
      <c r="BD200" s="22">
        <v>31510</v>
      </c>
      <c r="BE200" s="22">
        <v>31740</v>
      </c>
      <c r="BF200" s="22">
        <v>31000</v>
      </c>
      <c r="BG200" s="22">
        <v>28180</v>
      </c>
      <c r="BH200" s="22">
        <v>27900</v>
      </c>
      <c r="BI200" s="22">
        <v>28220</v>
      </c>
      <c r="BJ200" s="22">
        <v>28300</v>
      </c>
      <c r="BK200" s="22">
        <v>29800</v>
      </c>
      <c r="BL200" s="22">
        <v>31250</v>
      </c>
    </row>
    <row r="201" spans="1:64" ht="15.95" customHeight="1">
      <c r="A201" s="81" t="s">
        <v>455</v>
      </c>
      <c r="B201" s="17" t="s">
        <v>67</v>
      </c>
      <c r="C201" s="26">
        <f>_xll.RssMarket("6506","始値")</f>
        <v>6745</v>
      </c>
      <c r="D201" s="25">
        <f t="shared" si="3"/>
        <v>0</v>
      </c>
      <c r="E201" s="22">
        <v>6745</v>
      </c>
      <c r="F201" s="22">
        <v>6770</v>
      </c>
      <c r="G201" s="22">
        <v>6594</v>
      </c>
      <c r="H201" s="22">
        <v>6321</v>
      </c>
      <c r="I201" s="22">
        <v>5688</v>
      </c>
      <c r="J201" s="22">
        <v>6195</v>
      </c>
      <c r="K201" s="22">
        <v>6262</v>
      </c>
      <c r="L201" s="22">
        <v>6742</v>
      </c>
      <c r="M201" s="22">
        <v>7002</v>
      </c>
      <c r="N201" s="22">
        <v>6930</v>
      </c>
      <c r="O201" s="22">
        <v>7018</v>
      </c>
      <c r="P201" s="22">
        <v>7286</v>
      </c>
      <c r="Q201" s="22">
        <v>6980</v>
      </c>
      <c r="R201" s="22">
        <v>7593</v>
      </c>
      <c r="S201" s="22">
        <v>7700</v>
      </c>
      <c r="T201" s="22">
        <v>6851</v>
      </c>
      <c r="U201" s="22">
        <v>6276</v>
      </c>
      <c r="V201" s="22">
        <v>6238</v>
      </c>
      <c r="W201" s="22">
        <v>6639</v>
      </c>
      <c r="X201" s="22">
        <v>7009</v>
      </c>
      <c r="Y201" s="22">
        <v>7133</v>
      </c>
      <c r="Z201" s="22">
        <v>7261</v>
      </c>
      <c r="AA201" s="22">
        <v>6812</v>
      </c>
      <c r="AB201" s="22">
        <v>6854</v>
      </c>
      <c r="AC201" s="22">
        <v>6390</v>
      </c>
      <c r="AD201" s="22">
        <v>5997</v>
      </c>
      <c r="AE201" s="22">
        <v>5889</v>
      </c>
      <c r="AF201" s="22">
        <v>5527</v>
      </c>
      <c r="AG201" s="22">
        <v>5481</v>
      </c>
      <c r="AH201" s="22">
        <v>5470</v>
      </c>
      <c r="AI201" s="22">
        <v>5250</v>
      </c>
      <c r="AJ201" s="22">
        <v>5247</v>
      </c>
      <c r="AK201" s="22">
        <v>5347</v>
      </c>
      <c r="AL201" s="22">
        <v>5401</v>
      </c>
      <c r="AM201" s="22">
        <v>5469</v>
      </c>
      <c r="AN201" s="22">
        <v>5367</v>
      </c>
      <c r="AO201" s="22">
        <v>5211</v>
      </c>
      <c r="AP201" s="22">
        <v>5230</v>
      </c>
      <c r="AQ201" s="22">
        <v>5340</v>
      </c>
      <c r="AR201" s="22">
        <v>5270</v>
      </c>
      <c r="AS201" s="22">
        <v>5034</v>
      </c>
      <c r="AT201" s="22">
        <v>4828</v>
      </c>
      <c r="AU201" s="22">
        <v>4729</v>
      </c>
      <c r="AV201" s="22">
        <v>4618</v>
      </c>
      <c r="AW201" s="22">
        <v>4330</v>
      </c>
      <c r="AX201" s="22">
        <v>4322</v>
      </c>
      <c r="AY201" s="22">
        <v>4311</v>
      </c>
      <c r="AZ201" s="22">
        <v>4400</v>
      </c>
      <c r="BA201" s="22">
        <v>4277</v>
      </c>
      <c r="BB201" s="22">
        <v>4058</v>
      </c>
      <c r="BC201" s="22">
        <v>4090</v>
      </c>
      <c r="BD201" s="22">
        <v>4328</v>
      </c>
      <c r="BE201" s="22">
        <v>4550</v>
      </c>
      <c r="BF201" s="22">
        <v>4500</v>
      </c>
      <c r="BG201" s="22">
        <v>4397</v>
      </c>
      <c r="BH201" s="22">
        <v>4188</v>
      </c>
      <c r="BI201" s="22">
        <v>4514</v>
      </c>
      <c r="BJ201" s="22">
        <v>4540</v>
      </c>
      <c r="BK201" s="22">
        <v>4600</v>
      </c>
      <c r="BL201" s="22">
        <v>4502</v>
      </c>
    </row>
    <row r="202" spans="1:64" ht="15.95" customHeight="1">
      <c r="A202" s="81" t="s">
        <v>456</v>
      </c>
      <c r="B202" s="17" t="s">
        <v>68</v>
      </c>
      <c r="C202" s="26">
        <f>_xll.RssMarket("2768","始値")</f>
        <v>5366</v>
      </c>
      <c r="D202" s="25">
        <f t="shared" si="3"/>
        <v>0</v>
      </c>
      <c r="E202" s="22">
        <v>5366</v>
      </c>
      <c r="F202" s="22">
        <v>5380</v>
      </c>
      <c r="G202" s="22">
        <v>5240</v>
      </c>
      <c r="H202" s="22">
        <v>5052</v>
      </c>
      <c r="I202" s="22">
        <v>5021</v>
      </c>
      <c r="J202" s="22">
        <v>5131</v>
      </c>
      <c r="K202" s="22">
        <v>5091</v>
      </c>
      <c r="L202" s="22">
        <v>5180</v>
      </c>
      <c r="M202" s="22">
        <v>5151</v>
      </c>
      <c r="N202" s="22">
        <v>5130</v>
      </c>
      <c r="O202" s="22">
        <v>5052</v>
      </c>
      <c r="P202" s="22">
        <v>5422</v>
      </c>
      <c r="Q202" s="22">
        <v>5450</v>
      </c>
      <c r="R202" s="22">
        <v>5601</v>
      </c>
      <c r="S202" s="22">
        <v>5543</v>
      </c>
      <c r="T202" s="22">
        <v>5540</v>
      </c>
      <c r="U202" s="22">
        <v>5597</v>
      </c>
      <c r="V202" s="22">
        <v>5680</v>
      </c>
      <c r="W202" s="22">
        <v>5740</v>
      </c>
      <c r="X202" s="22">
        <v>5900</v>
      </c>
      <c r="Y202" s="22">
        <v>5867</v>
      </c>
      <c r="Z202" s="22">
        <v>5910</v>
      </c>
      <c r="AA202" s="22">
        <v>5850</v>
      </c>
      <c r="AB202" s="22">
        <v>5754</v>
      </c>
      <c r="AC202" s="22">
        <v>5636</v>
      </c>
      <c r="AD202" s="22">
        <v>5809</v>
      </c>
      <c r="AE202" s="22">
        <v>6200</v>
      </c>
      <c r="AF202" s="22">
        <v>5920</v>
      </c>
      <c r="AG202" s="22">
        <v>5900</v>
      </c>
      <c r="AH202" s="22">
        <v>5885</v>
      </c>
      <c r="AI202" s="22">
        <v>5830</v>
      </c>
      <c r="AJ202" s="22">
        <v>5912</v>
      </c>
      <c r="AK202" s="22">
        <v>5840</v>
      </c>
      <c r="AL202" s="22">
        <v>5998</v>
      </c>
      <c r="AM202" s="22">
        <v>6080</v>
      </c>
      <c r="AN202" s="22">
        <v>6135</v>
      </c>
      <c r="AO202" s="22">
        <v>6221</v>
      </c>
      <c r="AP202" s="22">
        <v>6190</v>
      </c>
      <c r="AQ202" s="22">
        <v>6260</v>
      </c>
      <c r="AR202" s="22">
        <v>6400</v>
      </c>
      <c r="AS202" s="22">
        <v>6383</v>
      </c>
      <c r="AT202" s="22">
        <v>6497</v>
      </c>
      <c r="AU202" s="22">
        <v>6600</v>
      </c>
      <c r="AV202" s="22">
        <v>6602</v>
      </c>
      <c r="AW202" s="22">
        <v>6439</v>
      </c>
      <c r="AX202" s="22">
        <v>6363</v>
      </c>
      <c r="AY202" s="22">
        <v>6335</v>
      </c>
      <c r="AZ202" s="22">
        <v>6510</v>
      </c>
      <c r="BA202" s="22">
        <v>6344</v>
      </c>
      <c r="BB202" s="22">
        <v>6131</v>
      </c>
      <c r="BC202" s="22">
        <v>6070</v>
      </c>
      <c r="BD202" s="22">
        <v>6366</v>
      </c>
      <c r="BE202" s="22">
        <v>6405</v>
      </c>
      <c r="BF202" s="22">
        <v>6346</v>
      </c>
      <c r="BG202" s="22">
        <v>6162</v>
      </c>
      <c r="BH202" s="22">
        <v>5986</v>
      </c>
      <c r="BI202" s="22">
        <v>6378</v>
      </c>
      <c r="BJ202" s="22">
        <v>6336</v>
      </c>
      <c r="BK202" s="22">
        <v>6375</v>
      </c>
      <c r="BL202" s="22">
        <v>6369</v>
      </c>
    </row>
    <row r="203" spans="1:64" ht="15.95" customHeight="1">
      <c r="A203" s="81" t="s">
        <v>457</v>
      </c>
      <c r="B203" s="17" t="s">
        <v>69</v>
      </c>
      <c r="C203" s="26">
        <f>_xll.RssMarket("6305","始値")</f>
        <v>5350</v>
      </c>
      <c r="D203" s="25">
        <f t="shared" si="3"/>
        <v>0</v>
      </c>
      <c r="E203" s="22">
        <v>5350</v>
      </c>
      <c r="F203" s="22">
        <v>5574</v>
      </c>
      <c r="G203" s="22">
        <v>5430</v>
      </c>
      <c r="H203" s="22">
        <v>5317</v>
      </c>
      <c r="I203" s="22">
        <v>5108</v>
      </c>
      <c r="J203" s="22">
        <v>5250</v>
      </c>
      <c r="K203" s="22">
        <v>5315</v>
      </c>
      <c r="L203" s="22">
        <v>5431</v>
      </c>
      <c r="M203" s="22">
        <v>5343</v>
      </c>
      <c r="N203" s="22">
        <v>5165</v>
      </c>
      <c r="O203" s="22">
        <v>4975</v>
      </c>
      <c r="P203" s="22">
        <v>5151</v>
      </c>
      <c r="Q203" s="22">
        <v>5236</v>
      </c>
      <c r="R203" s="22">
        <v>5199</v>
      </c>
      <c r="S203" s="22">
        <v>5052</v>
      </c>
      <c r="T203" s="22">
        <v>4986</v>
      </c>
      <c r="U203" s="22">
        <v>4982</v>
      </c>
      <c r="V203" s="22">
        <v>5003</v>
      </c>
      <c r="W203" s="22">
        <v>5170</v>
      </c>
      <c r="X203" s="22">
        <v>5247</v>
      </c>
      <c r="Y203" s="22">
        <v>5300</v>
      </c>
      <c r="Z203" s="22">
        <v>5359</v>
      </c>
      <c r="AA203" s="22">
        <v>5143</v>
      </c>
      <c r="AB203" s="22">
        <v>5674</v>
      </c>
      <c r="AC203" s="22">
        <v>5676</v>
      </c>
      <c r="AD203" s="22">
        <v>5538</v>
      </c>
      <c r="AE203" s="22">
        <v>5720</v>
      </c>
      <c r="AF203" s="22">
        <v>5450</v>
      </c>
      <c r="AG203" s="22">
        <v>5619</v>
      </c>
      <c r="AH203" s="22">
        <v>5532</v>
      </c>
      <c r="AI203" s="22">
        <v>5243</v>
      </c>
      <c r="AJ203" s="22">
        <v>5567</v>
      </c>
      <c r="AK203" s="22">
        <v>5465</v>
      </c>
      <c r="AL203" s="22">
        <v>5485</v>
      </c>
      <c r="AM203" s="22">
        <v>5484</v>
      </c>
      <c r="AN203" s="22">
        <v>5460</v>
      </c>
      <c r="AO203" s="22">
        <v>5500</v>
      </c>
      <c r="AP203" s="22">
        <v>5627</v>
      </c>
      <c r="AQ203" s="22">
        <v>5643</v>
      </c>
      <c r="AR203" s="22">
        <v>5719</v>
      </c>
      <c r="AS203" s="22">
        <v>5642</v>
      </c>
      <c r="AT203" s="22">
        <v>5740</v>
      </c>
      <c r="AU203" s="22">
        <v>5749</v>
      </c>
      <c r="AV203" s="22">
        <v>5717</v>
      </c>
      <c r="AW203" s="22">
        <v>5384</v>
      </c>
      <c r="AX203" s="22">
        <v>5449</v>
      </c>
      <c r="AY203" s="22">
        <v>5428</v>
      </c>
      <c r="AZ203" s="22">
        <v>5619</v>
      </c>
      <c r="BA203" s="22">
        <v>5553</v>
      </c>
      <c r="BB203" s="22">
        <v>5150</v>
      </c>
      <c r="BC203" s="22">
        <v>5141</v>
      </c>
      <c r="BD203" s="22">
        <v>5520</v>
      </c>
      <c r="BE203" s="22">
        <v>5590</v>
      </c>
      <c r="BF203" s="22">
        <v>5532</v>
      </c>
      <c r="BG203" s="22">
        <v>5319</v>
      </c>
      <c r="BH203" s="22">
        <v>5132</v>
      </c>
      <c r="BI203" s="22">
        <v>5498</v>
      </c>
      <c r="BJ203" s="22">
        <v>5696</v>
      </c>
      <c r="BK203" s="22">
        <v>5859</v>
      </c>
      <c r="BL203" s="22">
        <v>5840</v>
      </c>
    </row>
    <row r="204" spans="1:64" ht="15.95" customHeight="1">
      <c r="A204" s="81" t="s">
        <v>458</v>
      </c>
      <c r="B204" s="17" t="s">
        <v>70</v>
      </c>
      <c r="C204" s="26">
        <f>_xll.RssMarket("8015","始値")</f>
        <v>6426</v>
      </c>
      <c r="D204" s="25">
        <f t="shared" si="3"/>
        <v>0</v>
      </c>
      <c r="E204" s="22">
        <v>6426</v>
      </c>
      <c r="F204" s="22">
        <v>6490</v>
      </c>
      <c r="G204" s="22">
        <v>6438</v>
      </c>
      <c r="H204" s="22">
        <v>6169</v>
      </c>
      <c r="I204" s="22">
        <v>5910</v>
      </c>
      <c r="J204" s="22">
        <v>6081</v>
      </c>
      <c r="K204" s="22">
        <v>6439</v>
      </c>
      <c r="L204" s="22">
        <v>6430</v>
      </c>
      <c r="M204" s="22">
        <v>6486</v>
      </c>
      <c r="N204" s="22">
        <v>6445</v>
      </c>
      <c r="O204" s="22">
        <v>6409</v>
      </c>
      <c r="P204" s="22">
        <v>6692</v>
      </c>
      <c r="Q204" s="22">
        <v>6798</v>
      </c>
      <c r="R204" s="22">
        <v>7019</v>
      </c>
      <c r="S204" s="22">
        <v>6965</v>
      </c>
      <c r="T204" s="22">
        <v>6887</v>
      </c>
      <c r="U204" s="22">
        <v>6842</v>
      </c>
      <c r="V204" s="22">
        <v>6991</v>
      </c>
      <c r="W204" s="22">
        <v>7040</v>
      </c>
      <c r="X204" s="22">
        <v>7237</v>
      </c>
      <c r="Y204" s="22">
        <v>7374</v>
      </c>
      <c r="Z204" s="22">
        <v>7357</v>
      </c>
      <c r="AA204" s="22">
        <v>7130</v>
      </c>
      <c r="AB204" s="22">
        <v>7091</v>
      </c>
      <c r="AC204" s="22">
        <v>6732</v>
      </c>
      <c r="AD204" s="22">
        <v>6809</v>
      </c>
      <c r="AE204" s="22">
        <v>7049</v>
      </c>
      <c r="AF204" s="22">
        <v>6359</v>
      </c>
      <c r="AG204" s="22">
        <v>5979</v>
      </c>
      <c r="AH204" s="22">
        <v>6360</v>
      </c>
      <c r="AI204" s="22">
        <v>6053</v>
      </c>
      <c r="AJ204" s="22">
        <v>6225</v>
      </c>
      <c r="AK204" s="22">
        <v>6160</v>
      </c>
      <c r="AL204" s="22">
        <v>6258</v>
      </c>
      <c r="AM204" s="22">
        <v>6292</v>
      </c>
      <c r="AN204" s="22">
        <v>6339</v>
      </c>
      <c r="AO204" s="22">
        <v>6352</v>
      </c>
      <c r="AP204" s="22">
        <v>6288</v>
      </c>
      <c r="AQ204" s="22">
        <v>6446</v>
      </c>
      <c r="AR204" s="22">
        <v>6486</v>
      </c>
      <c r="AS204" s="22">
        <v>6544</v>
      </c>
      <c r="AT204" s="22">
        <v>6699</v>
      </c>
      <c r="AU204" s="22">
        <v>6574</v>
      </c>
      <c r="AV204" s="22">
        <v>6418</v>
      </c>
      <c r="AW204" s="22">
        <v>6044</v>
      </c>
      <c r="AX204" s="22">
        <v>6060</v>
      </c>
      <c r="AY204" s="22">
        <v>6161</v>
      </c>
      <c r="AZ204" s="22">
        <v>6446</v>
      </c>
      <c r="BA204" s="22">
        <v>6279</v>
      </c>
      <c r="BB204" s="22">
        <v>5887</v>
      </c>
      <c r="BC204" s="22">
        <v>5833</v>
      </c>
      <c r="BD204" s="22">
        <v>6115</v>
      </c>
      <c r="BE204" s="22">
        <v>6300</v>
      </c>
      <c r="BF204" s="22">
        <v>6202</v>
      </c>
      <c r="BG204" s="22">
        <v>6140</v>
      </c>
      <c r="BH204" s="22">
        <v>5970</v>
      </c>
      <c r="BI204" s="22">
        <v>6500</v>
      </c>
      <c r="BJ204" s="22">
        <v>6533</v>
      </c>
      <c r="BK204" s="22">
        <v>6465</v>
      </c>
      <c r="BL204" s="22">
        <v>6330</v>
      </c>
    </row>
    <row r="205" spans="1:64" ht="18.75">
      <c r="A205" s="81" t="s">
        <v>459</v>
      </c>
      <c r="B205" s="17" t="s">
        <v>71</v>
      </c>
      <c r="C205" s="26">
        <f>_xll.RssMarket("6758","始値")</f>
        <v>3297</v>
      </c>
      <c r="D205" s="25">
        <f t="shared" si="3"/>
        <v>0</v>
      </c>
      <c r="E205" s="2">
        <v>3297</v>
      </c>
      <c r="F205" s="2">
        <v>3253</v>
      </c>
      <c r="G205" s="2">
        <v>3339</v>
      </c>
      <c r="H205" s="2">
        <v>3349</v>
      </c>
      <c r="I205" s="2">
        <v>3315</v>
      </c>
      <c r="J205" s="2">
        <v>3436</v>
      </c>
      <c r="K205" s="2">
        <v>3489</v>
      </c>
      <c r="L205" s="2">
        <v>3580</v>
      </c>
      <c r="M205" s="2">
        <v>3589</v>
      </c>
      <c r="N205" s="2">
        <v>3599</v>
      </c>
      <c r="O205" s="2">
        <v>3584</v>
      </c>
      <c r="P205" s="2">
        <v>3462</v>
      </c>
      <c r="Q205" s="2">
        <v>3438</v>
      </c>
      <c r="R205" s="2">
        <v>3492</v>
      </c>
      <c r="S205" s="2">
        <v>3595</v>
      </c>
      <c r="T205" s="2">
        <v>3540</v>
      </c>
      <c r="U205" s="2">
        <v>3594</v>
      </c>
      <c r="V205" s="2">
        <v>3676</v>
      </c>
      <c r="W205" s="2">
        <v>3596</v>
      </c>
      <c r="X205" s="2">
        <v>3589</v>
      </c>
      <c r="Y205" s="2">
        <v>3548</v>
      </c>
      <c r="Z205" s="2">
        <v>3528</v>
      </c>
      <c r="AA205" s="2">
        <v>3634</v>
      </c>
      <c r="AB205" s="2">
        <v>3395</v>
      </c>
      <c r="AC205" s="2">
        <v>3352</v>
      </c>
      <c r="AD205" s="2">
        <v>6809</v>
      </c>
      <c r="AE205" s="2">
        <v>7049</v>
      </c>
      <c r="AF205" s="2">
        <v>6359</v>
      </c>
      <c r="AG205" s="2">
        <v>5979</v>
      </c>
      <c r="AH205" s="2">
        <v>6360</v>
      </c>
      <c r="AI205" s="2">
        <v>6053</v>
      </c>
      <c r="AJ205" s="2">
        <v>6225</v>
      </c>
      <c r="AK205" s="2">
        <v>6160</v>
      </c>
      <c r="AL205" s="2">
        <v>6258</v>
      </c>
      <c r="AM205" s="2">
        <v>6292</v>
      </c>
      <c r="AN205" s="2">
        <v>6339</v>
      </c>
      <c r="AO205" s="2">
        <v>6352</v>
      </c>
      <c r="AP205" s="2">
        <v>6288</v>
      </c>
      <c r="AQ205" s="2">
        <v>6446</v>
      </c>
      <c r="AR205" s="2">
        <v>6486</v>
      </c>
      <c r="AS205" s="2">
        <v>6544</v>
      </c>
      <c r="AT205" s="2">
        <v>6699</v>
      </c>
      <c r="AU205" s="2">
        <v>6574</v>
      </c>
      <c r="AV205" s="2">
        <v>6418</v>
      </c>
      <c r="AW205" s="2">
        <v>6044</v>
      </c>
      <c r="AX205" s="2">
        <v>6060</v>
      </c>
      <c r="AY205" s="2">
        <v>6161</v>
      </c>
      <c r="AZ205" s="2">
        <v>6446</v>
      </c>
      <c r="BA205" s="2">
        <v>6279</v>
      </c>
      <c r="BB205" s="2">
        <v>5887</v>
      </c>
      <c r="BC205" s="2">
        <v>5833</v>
      </c>
      <c r="BD205" s="2">
        <v>6115</v>
      </c>
      <c r="BE205" s="2">
        <v>6300</v>
      </c>
      <c r="BF205" s="2">
        <v>6202</v>
      </c>
      <c r="BG205" s="2">
        <v>6140</v>
      </c>
      <c r="BH205" s="2">
        <v>5970</v>
      </c>
      <c r="BI205" s="2">
        <v>6500</v>
      </c>
      <c r="BJ205" s="2">
        <v>6533</v>
      </c>
      <c r="BK205" s="2">
        <v>6465</v>
      </c>
      <c r="BL205" s="2">
        <v>6330</v>
      </c>
    </row>
    <row r="206" spans="1:64" ht="18.75">
      <c r="A206" s="81" t="s">
        <v>460</v>
      </c>
      <c r="B206" s="17" t="s">
        <v>72</v>
      </c>
      <c r="C206" s="26">
        <f>_xll.RssMarket("9101","始値")</f>
        <v>5409</v>
      </c>
      <c r="D206" s="25">
        <f t="shared" si="3"/>
        <v>0</v>
      </c>
      <c r="E206" s="2">
        <v>5409</v>
      </c>
      <c r="F206" s="2">
        <v>5484</v>
      </c>
      <c r="G206" s="2">
        <v>5594</v>
      </c>
      <c r="H206" s="2">
        <v>5669</v>
      </c>
      <c r="I206" s="2">
        <v>5582</v>
      </c>
      <c r="J206" s="2">
        <v>5713</v>
      </c>
      <c r="K206" s="2">
        <v>5568</v>
      </c>
      <c r="L206" s="2">
        <v>5606</v>
      </c>
      <c r="M206" s="2">
        <v>5391</v>
      </c>
      <c r="N206" s="2">
        <v>5316</v>
      </c>
      <c r="O206" s="2">
        <v>5220</v>
      </c>
      <c r="P206" s="2">
        <v>5302</v>
      </c>
      <c r="Q206" s="2">
        <v>5270</v>
      </c>
      <c r="R206" s="2">
        <v>5231</v>
      </c>
      <c r="S206" s="2">
        <v>5406</v>
      </c>
      <c r="T206" s="2">
        <v>5441</v>
      </c>
      <c r="U206" s="2">
        <v>5620</v>
      </c>
      <c r="V206" s="2">
        <v>5605</v>
      </c>
      <c r="W206" s="2">
        <v>5505</v>
      </c>
      <c r="X206" s="2">
        <v>5398</v>
      </c>
      <c r="Y206" s="2">
        <v>5350</v>
      </c>
      <c r="Z206" s="2">
        <v>5286</v>
      </c>
      <c r="AA206" s="2">
        <v>5400</v>
      </c>
      <c r="AB206" s="2">
        <v>5554</v>
      </c>
      <c r="AC206" s="2">
        <v>5700</v>
      </c>
      <c r="AD206" s="2">
        <v>5529</v>
      </c>
      <c r="AE206" s="2">
        <v>5570</v>
      </c>
      <c r="AF206" s="2">
        <v>5602</v>
      </c>
      <c r="AG206" s="2">
        <v>5611</v>
      </c>
      <c r="AH206" s="2">
        <v>5804</v>
      </c>
      <c r="AI206" s="2">
        <v>5835</v>
      </c>
      <c r="AJ206" s="2">
        <v>5770</v>
      </c>
      <c r="AK206" s="2">
        <v>5884</v>
      </c>
      <c r="AL206" s="2">
        <v>5898</v>
      </c>
      <c r="AM206" s="2">
        <v>6051</v>
      </c>
      <c r="AN206" s="2">
        <v>6130</v>
      </c>
      <c r="AO206" s="2">
        <v>6043</v>
      </c>
      <c r="AP206" s="2">
        <v>6130</v>
      </c>
      <c r="AQ206" s="2">
        <v>6079</v>
      </c>
      <c r="AR206" s="2">
        <v>6240</v>
      </c>
      <c r="AS206" s="2">
        <v>6219</v>
      </c>
      <c r="AT206" s="2">
        <v>6170</v>
      </c>
      <c r="AU206" s="2">
        <v>6388</v>
      </c>
      <c r="AV206" s="2">
        <v>6320</v>
      </c>
      <c r="AW206" s="2">
        <v>6230</v>
      </c>
      <c r="AX206" s="2">
        <v>6201</v>
      </c>
      <c r="AY206" s="2">
        <v>6200</v>
      </c>
      <c r="AZ206" s="2">
        <v>5835</v>
      </c>
      <c r="BA206" s="2">
        <v>5727</v>
      </c>
      <c r="BB206" s="2">
        <v>5699</v>
      </c>
      <c r="BC206" s="2">
        <v>5815</v>
      </c>
      <c r="BD206" s="2">
        <v>5749</v>
      </c>
      <c r="BE206" s="2">
        <v>5828</v>
      </c>
      <c r="BF206" s="2">
        <v>5800</v>
      </c>
      <c r="BG206" s="2">
        <v>6000</v>
      </c>
      <c r="BH206" s="2">
        <v>6103</v>
      </c>
      <c r="BI206" s="2">
        <v>6005</v>
      </c>
      <c r="BJ206" s="2">
        <v>5806</v>
      </c>
      <c r="BK206" s="2">
        <v>5702</v>
      </c>
      <c r="BL206" s="2">
        <v>5646</v>
      </c>
    </row>
    <row r="207" spans="1:64" ht="17.25">
      <c r="A207" s="82" t="s">
        <v>461</v>
      </c>
      <c r="B207" s="1" t="s">
        <v>73</v>
      </c>
      <c r="C207" s="57">
        <f>_xll.RssMarket("7011","始値")</f>
        <v>3810</v>
      </c>
      <c r="D207" s="16">
        <f t="shared" si="3"/>
        <v>0</v>
      </c>
      <c r="E207" s="2">
        <v>3810</v>
      </c>
      <c r="F207" s="2">
        <v>3700</v>
      </c>
      <c r="G207" s="2">
        <v>3647</v>
      </c>
      <c r="H207" s="2">
        <v>3545</v>
      </c>
      <c r="I207" s="2">
        <v>3450</v>
      </c>
      <c r="J207" s="2">
        <v>3669</v>
      </c>
      <c r="K207" s="2">
        <v>3713</v>
      </c>
      <c r="L207" s="2">
        <v>3560</v>
      </c>
      <c r="M207" s="2">
        <v>3556</v>
      </c>
      <c r="N207" s="2">
        <v>3496</v>
      </c>
      <c r="O207" s="2">
        <v>3768</v>
      </c>
      <c r="P207" s="2">
        <v>3950</v>
      </c>
      <c r="Q207" s="2">
        <v>4025</v>
      </c>
      <c r="R207" s="2">
        <v>3931</v>
      </c>
      <c r="S207" s="2">
        <v>3998</v>
      </c>
      <c r="T207" s="2">
        <v>3985</v>
      </c>
      <c r="U207" s="2">
        <v>4083</v>
      </c>
      <c r="V207" s="2">
        <v>4205</v>
      </c>
      <c r="W207" s="2">
        <v>4084</v>
      </c>
      <c r="X207" s="2">
        <v>4120</v>
      </c>
      <c r="Y207" s="2">
        <v>4405</v>
      </c>
      <c r="Z207" s="2">
        <v>4370</v>
      </c>
      <c r="AA207" s="2">
        <v>4350</v>
      </c>
      <c r="AB207" s="2">
        <v>4500</v>
      </c>
      <c r="AC207" s="2">
        <v>4488</v>
      </c>
      <c r="AD207" s="2">
        <v>4552</v>
      </c>
      <c r="AE207" s="2">
        <v>4562</v>
      </c>
      <c r="AF207" s="2">
        <v>4600</v>
      </c>
      <c r="AG207" s="2">
        <v>4680</v>
      </c>
      <c r="AH207" s="2">
        <v>4724</v>
      </c>
      <c r="AI207" s="2">
        <v>4749</v>
      </c>
      <c r="AJ207" s="2">
        <v>4589</v>
      </c>
      <c r="AK207" s="2">
        <v>4400</v>
      </c>
      <c r="AL207" s="2">
        <v>4499</v>
      </c>
      <c r="AM207" s="2">
        <v>4511</v>
      </c>
      <c r="AN207" s="2">
        <v>4509</v>
      </c>
      <c r="AO207" s="2">
        <v>4558</v>
      </c>
      <c r="AP207" s="2">
        <v>4723</v>
      </c>
      <c r="AQ207" s="2">
        <v>4815</v>
      </c>
      <c r="AR207" s="2">
        <v>4725</v>
      </c>
      <c r="AS207" s="2">
        <v>4782</v>
      </c>
      <c r="AT207" s="2">
        <v>4832</v>
      </c>
      <c r="AU207" s="2">
        <v>4924</v>
      </c>
      <c r="AV207" s="2">
        <v>4765</v>
      </c>
      <c r="AW207" s="2">
        <v>4827</v>
      </c>
      <c r="AX207" s="2">
        <v>4848</v>
      </c>
      <c r="AY207" s="2">
        <v>4799</v>
      </c>
      <c r="AZ207" s="2">
        <v>4433</v>
      </c>
      <c r="BA207" s="2">
        <v>4268</v>
      </c>
      <c r="BB207" s="2">
        <v>4400</v>
      </c>
      <c r="BC207" s="2">
        <v>4461</v>
      </c>
      <c r="BD207" s="2">
        <v>4573</v>
      </c>
      <c r="BE207" s="2">
        <v>4500</v>
      </c>
      <c r="BF207" s="2">
        <v>4600</v>
      </c>
      <c r="BG207" s="2">
        <v>4708</v>
      </c>
      <c r="BH207" s="2">
        <v>4907</v>
      </c>
      <c r="BI207" s="2">
        <v>4928</v>
      </c>
      <c r="BJ207" s="2">
        <v>4850</v>
      </c>
      <c r="BK207" s="2">
        <v>4790</v>
      </c>
      <c r="BL207" s="2">
        <v>4641</v>
      </c>
    </row>
    <row r="208" spans="1:64" ht="17.25">
      <c r="A208" s="82" t="s">
        <v>462</v>
      </c>
      <c r="B208" s="1" t="s">
        <v>74</v>
      </c>
      <c r="C208" s="57">
        <f>_xll.RssMarket("1812","始値")</f>
        <v>5968</v>
      </c>
      <c r="D208" s="16">
        <f t="shared" si="3"/>
        <v>0</v>
      </c>
      <c r="E208" s="2">
        <v>5968</v>
      </c>
      <c r="F208" s="2">
        <v>6128</v>
      </c>
      <c r="G208" s="2">
        <v>5778</v>
      </c>
      <c r="H208" s="2">
        <v>5575</v>
      </c>
      <c r="I208" s="2">
        <v>5476</v>
      </c>
      <c r="J208" s="2">
        <v>5550</v>
      </c>
      <c r="K208" s="2">
        <v>5520</v>
      </c>
      <c r="L208" s="2">
        <v>5440</v>
      </c>
      <c r="M208" s="2">
        <v>5489</v>
      </c>
      <c r="N208" s="2">
        <v>5500</v>
      </c>
      <c r="O208" s="2">
        <v>5541</v>
      </c>
      <c r="P208" s="2">
        <v>5771</v>
      </c>
      <c r="Q208" s="2">
        <v>5802</v>
      </c>
      <c r="R208" s="2">
        <v>6013</v>
      </c>
      <c r="S208" s="2">
        <v>5569</v>
      </c>
      <c r="T208" s="2">
        <v>5589</v>
      </c>
      <c r="U208" s="2">
        <v>5639</v>
      </c>
      <c r="V208" s="2">
        <v>5748</v>
      </c>
      <c r="W208" s="2">
        <v>5686</v>
      </c>
      <c r="X208" s="2">
        <v>5818</v>
      </c>
      <c r="Y208" s="2">
        <v>6183</v>
      </c>
      <c r="Z208" s="2">
        <v>6536</v>
      </c>
      <c r="AA208" s="2">
        <v>6748</v>
      </c>
      <c r="AB208" s="2">
        <v>6257</v>
      </c>
      <c r="AC208" s="2">
        <v>6019</v>
      </c>
      <c r="AD208" s="2">
        <v>6177</v>
      </c>
      <c r="AE208" s="2">
        <v>6177</v>
      </c>
      <c r="AF208" s="2">
        <v>6193</v>
      </c>
      <c r="AG208" s="2">
        <v>6420</v>
      </c>
      <c r="AH208" s="2">
        <v>6054</v>
      </c>
      <c r="AI208" s="2">
        <v>5850</v>
      </c>
      <c r="AJ208" s="2">
        <v>5980</v>
      </c>
      <c r="AK208" s="2">
        <v>5884</v>
      </c>
      <c r="AL208" s="2">
        <v>5973</v>
      </c>
      <c r="AM208" s="2">
        <v>6072</v>
      </c>
      <c r="AN208" s="2">
        <v>6032</v>
      </c>
      <c r="AO208" s="2">
        <v>6120</v>
      </c>
      <c r="AP208" s="2">
        <v>6094</v>
      </c>
      <c r="AQ208" s="2">
        <v>6310</v>
      </c>
      <c r="AR208" s="2">
        <v>6230</v>
      </c>
      <c r="AS208" s="2">
        <v>6127</v>
      </c>
      <c r="AT208" s="2">
        <v>6310</v>
      </c>
      <c r="AU208" s="2">
        <v>6377</v>
      </c>
      <c r="AV208" s="2">
        <v>6329</v>
      </c>
      <c r="AW208" s="2">
        <v>6027</v>
      </c>
      <c r="AX208" s="2">
        <v>6100</v>
      </c>
      <c r="AY208" s="2">
        <v>6100</v>
      </c>
      <c r="AZ208" s="2">
        <v>6388</v>
      </c>
      <c r="BA208" s="2">
        <v>6172</v>
      </c>
      <c r="BB208" s="2">
        <v>5784</v>
      </c>
      <c r="BC208" s="2">
        <v>5702</v>
      </c>
      <c r="BD208" s="2">
        <v>6035</v>
      </c>
      <c r="BE208" s="2">
        <v>6188</v>
      </c>
      <c r="BF208" s="2">
        <v>6064</v>
      </c>
      <c r="BG208" s="2">
        <v>5833</v>
      </c>
      <c r="BH208" s="2">
        <v>5935</v>
      </c>
      <c r="BI208" s="2">
        <v>6329</v>
      </c>
      <c r="BJ208" s="2">
        <v>6148</v>
      </c>
      <c r="BK208" s="2">
        <v>6118</v>
      </c>
      <c r="BL208" s="2">
        <v>6100</v>
      </c>
    </row>
    <row r="209" spans="1:64" ht="17.25">
      <c r="A209" s="82" t="s">
        <v>488</v>
      </c>
      <c r="B209" s="1" t="str">
        <f>銘柄管理!C209</f>
        <v>キーエンス</v>
      </c>
      <c r="C209" s="57">
        <f>_xll.RssMarket("6861","始値")</f>
        <v>73710</v>
      </c>
      <c r="D209" s="16"/>
      <c r="E209" s="2">
        <v>73710</v>
      </c>
      <c r="F209" s="2">
        <v>75420</v>
      </c>
      <c r="G209" s="2">
        <v>74980</v>
      </c>
      <c r="H209" s="2">
        <v>72040</v>
      </c>
      <c r="I209" s="2">
        <v>69670</v>
      </c>
      <c r="J209" s="2">
        <v>73600</v>
      </c>
      <c r="K209" s="2">
        <v>74010</v>
      </c>
      <c r="L209" s="2">
        <v>78540</v>
      </c>
      <c r="M209" s="2">
        <v>80840</v>
      </c>
      <c r="N209" s="2">
        <v>79060</v>
      </c>
      <c r="O209" s="2">
        <v>79020</v>
      </c>
      <c r="P209" s="2">
        <v>79900</v>
      </c>
      <c r="Q209" s="2">
        <v>76600</v>
      </c>
      <c r="R209" s="2">
        <v>75620</v>
      </c>
      <c r="S209" s="2">
        <v>78070</v>
      </c>
      <c r="T209" s="2">
        <v>78460</v>
      </c>
      <c r="U209" s="2">
        <v>76170</v>
      </c>
      <c r="V209" s="2">
        <v>75000</v>
      </c>
      <c r="W209" s="2">
        <v>75710</v>
      </c>
      <c r="X209" s="2">
        <v>76430</v>
      </c>
      <c r="Y209" s="2">
        <v>78340</v>
      </c>
      <c r="Z209" s="2">
        <v>79200</v>
      </c>
      <c r="AA209" s="2">
        <v>78980</v>
      </c>
      <c r="AB209" s="2">
        <v>83000</v>
      </c>
      <c r="AC209" s="2">
        <v>83460</v>
      </c>
      <c r="AD209" s="2">
        <v>81330</v>
      </c>
      <c r="AE209" s="2">
        <v>80280</v>
      </c>
      <c r="AF209" s="2">
        <v>72470</v>
      </c>
      <c r="AG209" s="2">
        <v>73920</v>
      </c>
      <c r="AH209" s="2">
        <v>73180</v>
      </c>
      <c r="AI209" s="2">
        <v>73180</v>
      </c>
      <c r="AJ209" s="2">
        <v>64150</v>
      </c>
      <c r="AK209" s="2">
        <v>64330</v>
      </c>
      <c r="AL209" s="2">
        <v>63170</v>
      </c>
      <c r="AM209" s="2">
        <v>63320</v>
      </c>
      <c r="AN209" s="2">
        <v>63060</v>
      </c>
      <c r="AO209" s="2">
        <v>63050</v>
      </c>
      <c r="AP209" s="2">
        <v>62710</v>
      </c>
      <c r="AQ209" s="2">
        <v>62900</v>
      </c>
      <c r="AR209" s="2">
        <v>63650</v>
      </c>
      <c r="AS209" s="2">
        <v>62440</v>
      </c>
      <c r="AT209" s="2">
        <v>61580</v>
      </c>
      <c r="AU209" s="2">
        <v>60650</v>
      </c>
      <c r="AV209" s="2">
        <v>60020</v>
      </c>
      <c r="AW209" s="2">
        <v>58400</v>
      </c>
      <c r="AX209" s="2">
        <v>58100</v>
      </c>
      <c r="AY209" s="2">
        <v>57730</v>
      </c>
      <c r="AZ209" s="2">
        <v>58500</v>
      </c>
      <c r="BA209" s="2">
        <v>56900</v>
      </c>
      <c r="BB209" s="2">
        <v>54720</v>
      </c>
      <c r="BC209" s="2">
        <v>55690</v>
      </c>
      <c r="BD209" s="2">
        <v>56540</v>
      </c>
      <c r="BE209" s="2">
        <v>58600</v>
      </c>
      <c r="BF209" s="2">
        <v>58150</v>
      </c>
      <c r="BG209" s="2">
        <v>57550</v>
      </c>
      <c r="BH209" s="2">
        <v>58080</v>
      </c>
      <c r="BI209" s="2">
        <v>59270</v>
      </c>
      <c r="BJ209" s="2">
        <v>59600</v>
      </c>
      <c r="BK209" s="2">
        <v>60400</v>
      </c>
      <c r="BL209" s="2">
        <v>59880</v>
      </c>
    </row>
    <row r="210" spans="1:64" ht="17.25">
      <c r="A210" s="82" t="s">
        <v>463</v>
      </c>
      <c r="B210" s="1" t="s">
        <v>75</v>
      </c>
      <c r="C210" s="57">
        <f>_xll.RssMarket("6324","始値")</f>
        <v>7280</v>
      </c>
      <c r="D210" s="16">
        <f t="shared" si="3"/>
        <v>0</v>
      </c>
      <c r="E210" s="2">
        <v>7280</v>
      </c>
      <c r="F210" s="2">
        <v>6970</v>
      </c>
      <c r="G210" s="2">
        <v>6920</v>
      </c>
      <c r="H210" s="2">
        <v>6580</v>
      </c>
      <c r="I210" s="2">
        <v>5960</v>
      </c>
      <c r="J210" s="2">
        <v>6710</v>
      </c>
      <c r="K210" s="2">
        <v>6540</v>
      </c>
      <c r="L210" s="2">
        <v>6790</v>
      </c>
      <c r="M210" s="2">
        <v>7300</v>
      </c>
      <c r="N210" s="2">
        <v>7400</v>
      </c>
      <c r="O210" s="2">
        <v>7560</v>
      </c>
      <c r="P210" s="2">
        <v>7880</v>
      </c>
      <c r="Q210" s="2">
        <v>7420</v>
      </c>
      <c r="R210" s="2">
        <v>8300</v>
      </c>
      <c r="S210" s="2">
        <v>7500</v>
      </c>
      <c r="T210" s="2">
        <v>6700</v>
      </c>
      <c r="U210" s="2">
        <v>6180</v>
      </c>
      <c r="V210" s="2">
        <v>5950</v>
      </c>
      <c r="W210" s="2">
        <v>6700</v>
      </c>
      <c r="X210" s="2">
        <v>6980</v>
      </c>
      <c r="Y210" s="2">
        <v>6930</v>
      </c>
      <c r="Z210" s="2">
        <v>6970</v>
      </c>
      <c r="AA210" s="2">
        <v>6440</v>
      </c>
      <c r="AB210" s="2">
        <v>6540</v>
      </c>
      <c r="AC210" s="2">
        <v>6430</v>
      </c>
      <c r="AD210" s="2">
        <v>5610</v>
      </c>
      <c r="AE210" s="2">
        <v>5480</v>
      </c>
      <c r="AF210" s="2">
        <v>5120</v>
      </c>
      <c r="AG210" s="2">
        <v>4745</v>
      </c>
      <c r="AH210" s="2">
        <v>4880</v>
      </c>
      <c r="AI210" s="2">
        <v>4475</v>
      </c>
      <c r="AJ210" s="2">
        <v>4285</v>
      </c>
      <c r="AK210" s="2">
        <v>4385</v>
      </c>
      <c r="AL210" s="2">
        <v>4355</v>
      </c>
      <c r="AM210" s="2">
        <v>4685</v>
      </c>
      <c r="AN210" s="2">
        <v>4500</v>
      </c>
      <c r="AO210" s="2">
        <v>4585</v>
      </c>
      <c r="AP210" s="2">
        <v>4540</v>
      </c>
      <c r="AQ210" s="2">
        <v>4220</v>
      </c>
      <c r="AR210" s="2">
        <v>4250</v>
      </c>
      <c r="AS210" s="2">
        <v>4005</v>
      </c>
      <c r="AT210" s="2">
        <v>3990</v>
      </c>
      <c r="AU210" s="2">
        <v>4115</v>
      </c>
      <c r="AV210" s="2">
        <v>3910</v>
      </c>
      <c r="AW210" s="2">
        <v>3850</v>
      </c>
      <c r="AX210" s="2">
        <v>3740</v>
      </c>
      <c r="AY210" s="2">
        <v>3685</v>
      </c>
      <c r="AZ210" s="2">
        <v>3725</v>
      </c>
      <c r="BA210" s="2">
        <v>3655</v>
      </c>
      <c r="BB210" s="2">
        <v>3600</v>
      </c>
      <c r="BC210" s="2">
        <v>3850</v>
      </c>
      <c r="BD210" s="2">
        <v>4055</v>
      </c>
      <c r="BE210" s="2">
        <v>4160</v>
      </c>
      <c r="BF210" s="2">
        <v>4075</v>
      </c>
      <c r="BG210" s="2">
        <v>3995</v>
      </c>
      <c r="BH210" s="2">
        <v>3885</v>
      </c>
      <c r="BI210" s="2">
        <v>4320</v>
      </c>
      <c r="BJ210" s="2">
        <v>4230</v>
      </c>
      <c r="BK210" s="2">
        <v>4420</v>
      </c>
      <c r="BL210" s="2">
        <v>4145</v>
      </c>
    </row>
    <row r="211" spans="1:64" ht="17.25">
      <c r="A211" s="82" t="s">
        <v>464</v>
      </c>
      <c r="B211" s="1" t="s">
        <v>76</v>
      </c>
      <c r="C211" s="57">
        <f>_xll.RssMarket("6273","始値")</f>
        <v>70450</v>
      </c>
      <c r="D211" s="16">
        <f t="shared" si="3"/>
        <v>0</v>
      </c>
      <c r="E211" s="2">
        <v>70450</v>
      </c>
      <c r="F211" s="2">
        <v>69410</v>
      </c>
      <c r="G211" s="2">
        <v>68170</v>
      </c>
      <c r="H211" s="2">
        <v>65920</v>
      </c>
      <c r="I211" s="2">
        <v>59000</v>
      </c>
      <c r="J211" s="2">
        <v>60490</v>
      </c>
      <c r="K211" s="2">
        <v>62040</v>
      </c>
      <c r="L211" s="2">
        <v>64660</v>
      </c>
      <c r="M211" s="2">
        <v>65560</v>
      </c>
      <c r="N211" s="2">
        <v>63890</v>
      </c>
      <c r="O211" s="2">
        <v>65830</v>
      </c>
      <c r="P211" s="2">
        <v>68880</v>
      </c>
      <c r="Q211" s="2">
        <v>66650</v>
      </c>
      <c r="R211" s="2">
        <v>66430</v>
      </c>
      <c r="S211" s="2">
        <v>65620</v>
      </c>
      <c r="T211" s="2">
        <v>66140</v>
      </c>
      <c r="U211" s="2">
        <v>65120</v>
      </c>
      <c r="V211" s="2">
        <v>67070</v>
      </c>
      <c r="W211" s="2">
        <v>67000</v>
      </c>
      <c r="X211" s="2">
        <v>72760</v>
      </c>
      <c r="Y211" s="2">
        <v>84730</v>
      </c>
      <c r="Z211" s="2">
        <v>82580</v>
      </c>
      <c r="AA211" s="2">
        <v>84340</v>
      </c>
      <c r="AB211" s="2">
        <v>84360</v>
      </c>
      <c r="AC211" s="2">
        <v>79580</v>
      </c>
      <c r="AD211" s="2">
        <v>78230</v>
      </c>
      <c r="AE211" s="2">
        <v>77580</v>
      </c>
      <c r="AF211" s="2">
        <v>76950</v>
      </c>
      <c r="AG211" s="2">
        <v>76980</v>
      </c>
      <c r="AH211" s="2">
        <v>72440</v>
      </c>
      <c r="AI211" s="2">
        <v>70890</v>
      </c>
      <c r="AJ211" s="2">
        <v>71620</v>
      </c>
      <c r="AK211" s="2">
        <v>71000</v>
      </c>
      <c r="AL211" s="2">
        <v>71580</v>
      </c>
      <c r="AM211" s="2">
        <v>70850</v>
      </c>
      <c r="AN211" s="2">
        <v>71940</v>
      </c>
      <c r="AO211" s="2">
        <v>71820</v>
      </c>
      <c r="AP211" s="2">
        <v>72520</v>
      </c>
      <c r="AQ211" s="2">
        <v>73150</v>
      </c>
      <c r="AR211" s="2">
        <v>70020</v>
      </c>
      <c r="AS211" s="2">
        <v>68330</v>
      </c>
      <c r="AT211" s="2">
        <v>67470</v>
      </c>
      <c r="AU211" s="2">
        <v>66130</v>
      </c>
      <c r="AV211" s="2">
        <v>62930</v>
      </c>
      <c r="AW211" s="2">
        <v>62470</v>
      </c>
      <c r="AX211" s="2">
        <v>62030</v>
      </c>
      <c r="AY211" s="2">
        <v>64500</v>
      </c>
      <c r="AZ211" s="2">
        <v>62870</v>
      </c>
      <c r="BA211" s="2">
        <v>59610</v>
      </c>
      <c r="BB211" s="2">
        <v>59220</v>
      </c>
      <c r="BC211" s="2">
        <v>62850</v>
      </c>
      <c r="BD211" s="2">
        <v>66000</v>
      </c>
      <c r="BE211" s="2">
        <v>64800</v>
      </c>
      <c r="BF211" s="2">
        <v>62330</v>
      </c>
      <c r="BG211" s="2">
        <v>61180</v>
      </c>
      <c r="BH211" s="2">
        <v>66080</v>
      </c>
      <c r="BI211" s="2">
        <v>66900</v>
      </c>
      <c r="BJ211" s="2">
        <v>66760</v>
      </c>
      <c r="BK211" s="2">
        <v>65200</v>
      </c>
      <c r="BL211" s="2">
        <v>65980</v>
      </c>
    </row>
    <row r="212" spans="1:64" ht="17.25">
      <c r="A212" s="82" t="s">
        <v>465</v>
      </c>
      <c r="B212" s="1" t="s">
        <v>77</v>
      </c>
      <c r="C212" s="57">
        <f>_xll.RssMarket("4502","始値")</f>
        <v>5018</v>
      </c>
      <c r="D212" s="16">
        <f t="shared" si="3"/>
        <v>0</v>
      </c>
      <c r="E212" s="2">
        <v>5018</v>
      </c>
      <c r="F212" s="2">
        <v>5040</v>
      </c>
      <c r="G212" s="2">
        <v>5078</v>
      </c>
      <c r="H212" s="2">
        <v>5048</v>
      </c>
      <c r="I212" s="2">
        <v>5018</v>
      </c>
      <c r="J212" s="2">
        <v>5040</v>
      </c>
      <c r="K212" s="2">
        <v>4896</v>
      </c>
      <c r="L212" s="2">
        <v>4933</v>
      </c>
      <c r="M212" s="2">
        <v>4800</v>
      </c>
      <c r="N212" s="2">
        <v>4837</v>
      </c>
      <c r="O212" s="2">
        <v>5079</v>
      </c>
      <c r="P212" s="2">
        <v>5128</v>
      </c>
      <c r="Q212" s="2">
        <v>5090</v>
      </c>
      <c r="R212" s="2">
        <v>5141</v>
      </c>
      <c r="S212" s="2">
        <v>5190</v>
      </c>
      <c r="T212" s="2">
        <v>5300</v>
      </c>
      <c r="U212" s="2">
        <v>5323</v>
      </c>
      <c r="V212" s="2">
        <v>5325</v>
      </c>
      <c r="W212" s="2">
        <v>5291</v>
      </c>
      <c r="X212" s="2">
        <v>5256</v>
      </c>
      <c r="Y212" s="2">
        <v>5124</v>
      </c>
      <c r="Z212" s="2">
        <v>5193</v>
      </c>
      <c r="AA212" s="2">
        <v>5167</v>
      </c>
      <c r="AB212" s="2">
        <v>5207</v>
      </c>
      <c r="AC212" s="2">
        <v>5339</v>
      </c>
      <c r="AD212" s="2">
        <v>5206</v>
      </c>
      <c r="AE212" s="2">
        <v>5260</v>
      </c>
      <c r="AF212" s="2">
        <v>5214</v>
      </c>
      <c r="AG212" s="2">
        <v>5292</v>
      </c>
      <c r="AH212" s="2">
        <v>5235</v>
      </c>
      <c r="AI212" s="2">
        <v>5352</v>
      </c>
      <c r="AJ212" s="2">
        <v>5318</v>
      </c>
      <c r="AK212" s="2">
        <v>5485</v>
      </c>
      <c r="AL212" s="2">
        <v>5520</v>
      </c>
      <c r="AM212" s="2">
        <v>5622</v>
      </c>
      <c r="AN212" s="2">
        <v>5602</v>
      </c>
      <c r="AO212" s="2">
        <v>5676</v>
      </c>
      <c r="AP212" s="2">
        <v>5612</v>
      </c>
      <c r="AQ212" s="2">
        <v>5669</v>
      </c>
      <c r="AR212" s="2">
        <v>5736</v>
      </c>
      <c r="AS212" s="2">
        <v>5750</v>
      </c>
      <c r="AT212" s="2">
        <v>5900</v>
      </c>
      <c r="AU212" s="2">
        <v>5914</v>
      </c>
      <c r="AV212" s="2">
        <v>5780</v>
      </c>
      <c r="AW212" s="2">
        <v>5809</v>
      </c>
      <c r="AX212" s="2">
        <v>5850</v>
      </c>
      <c r="AY212" s="2">
        <v>6000</v>
      </c>
      <c r="AZ212" s="2">
        <v>5860</v>
      </c>
      <c r="BA212" s="2">
        <v>5727</v>
      </c>
      <c r="BB212" s="2">
        <v>5521</v>
      </c>
      <c r="BC212" s="2">
        <v>5789</v>
      </c>
      <c r="BD212" s="2">
        <v>5813</v>
      </c>
      <c r="BE212" s="2">
        <v>5800</v>
      </c>
      <c r="BF212" s="2">
        <v>5645</v>
      </c>
      <c r="BG212" s="2">
        <v>5642</v>
      </c>
      <c r="BH212" s="2">
        <v>5752</v>
      </c>
      <c r="BI212" s="2">
        <v>5797</v>
      </c>
      <c r="BJ212" s="2">
        <v>5810</v>
      </c>
      <c r="BK212" s="2">
        <v>5671</v>
      </c>
      <c r="BL212" s="2">
        <v>5621</v>
      </c>
    </row>
    <row r="213" spans="1:64" ht="17.25">
      <c r="A213" s="82" t="s">
        <v>466</v>
      </c>
      <c r="B213" s="1" t="s">
        <v>78</v>
      </c>
      <c r="C213" s="57">
        <f>_xll.RssMarket("4004","始値")</f>
        <v>17735</v>
      </c>
      <c r="D213" s="16">
        <f t="shared" si="3"/>
        <v>0</v>
      </c>
      <c r="E213" s="2">
        <v>17735</v>
      </c>
      <c r="F213" s="2">
        <v>18500</v>
      </c>
      <c r="G213" s="2">
        <v>18100</v>
      </c>
      <c r="H213" s="2">
        <v>17120</v>
      </c>
      <c r="I213" s="2">
        <v>14635</v>
      </c>
      <c r="J213" s="2">
        <v>16350</v>
      </c>
      <c r="K213" s="2">
        <v>15585</v>
      </c>
      <c r="L213" s="2">
        <v>17295</v>
      </c>
      <c r="M213" s="2">
        <v>18595</v>
      </c>
      <c r="N213" s="2">
        <v>19400</v>
      </c>
      <c r="O213" s="2">
        <v>18560</v>
      </c>
      <c r="P213" s="2">
        <v>18980</v>
      </c>
      <c r="Q213" s="2">
        <v>18875</v>
      </c>
      <c r="R213" s="2">
        <v>19870</v>
      </c>
      <c r="S213" s="2">
        <v>18890</v>
      </c>
      <c r="T213" s="2">
        <v>17370</v>
      </c>
      <c r="U213" s="2">
        <v>16660</v>
      </c>
      <c r="V213" s="2">
        <v>16290</v>
      </c>
      <c r="W213" s="2">
        <v>16540</v>
      </c>
      <c r="X213" s="2">
        <v>17200</v>
      </c>
      <c r="Y213" s="2">
        <v>18980</v>
      </c>
      <c r="Z213" s="2">
        <v>20005</v>
      </c>
      <c r="AA213" s="2">
        <v>17110</v>
      </c>
      <c r="AB213" s="2">
        <v>17510</v>
      </c>
      <c r="AC213" s="2">
        <v>16480</v>
      </c>
      <c r="AD213" s="2">
        <v>15190</v>
      </c>
      <c r="AE213" s="2">
        <v>15035</v>
      </c>
      <c r="AF213" s="2">
        <v>14290</v>
      </c>
      <c r="AG213" s="2">
        <v>13870</v>
      </c>
      <c r="AH213" s="2">
        <v>13700</v>
      </c>
      <c r="AI213" s="2">
        <v>13850</v>
      </c>
      <c r="AJ213" s="2">
        <v>13930</v>
      </c>
      <c r="AK213" s="2">
        <v>14520</v>
      </c>
      <c r="AL213" s="2">
        <v>13860</v>
      </c>
      <c r="AM213" s="2">
        <v>12730</v>
      </c>
      <c r="AN213" s="2">
        <v>12600</v>
      </c>
      <c r="AO213" s="2">
        <v>13000</v>
      </c>
      <c r="AP213" s="2">
        <v>13000</v>
      </c>
      <c r="AQ213" s="2">
        <v>13580</v>
      </c>
      <c r="AR213" s="2">
        <v>13660</v>
      </c>
      <c r="AS213" s="2">
        <v>13000</v>
      </c>
      <c r="AT213" s="2">
        <v>13500</v>
      </c>
      <c r="AU213" s="2">
        <v>12850</v>
      </c>
      <c r="AV213" s="2">
        <v>12745</v>
      </c>
      <c r="AW213" s="2">
        <v>11840</v>
      </c>
      <c r="AX213" s="2">
        <v>11350</v>
      </c>
      <c r="AY213" s="2">
        <v>11150</v>
      </c>
      <c r="AZ213" s="2">
        <v>10690</v>
      </c>
      <c r="BA213" s="2">
        <v>10450</v>
      </c>
      <c r="BB213" s="2">
        <v>9835</v>
      </c>
      <c r="BC213" s="2">
        <v>10175</v>
      </c>
      <c r="BD213" s="2">
        <v>10710</v>
      </c>
      <c r="BE213" s="2">
        <v>10940</v>
      </c>
      <c r="BF213" s="2">
        <v>11340</v>
      </c>
      <c r="BG213" s="2">
        <v>10915</v>
      </c>
      <c r="BH213" s="2">
        <v>10385</v>
      </c>
      <c r="BI213" s="2">
        <v>11100</v>
      </c>
      <c r="BJ213" s="2">
        <v>11040</v>
      </c>
      <c r="BK213" s="2">
        <v>11300</v>
      </c>
      <c r="BL213" s="2">
        <v>10950</v>
      </c>
    </row>
    <row r="214" spans="1:64" ht="17.25">
      <c r="A214" s="82" t="s">
        <v>467</v>
      </c>
      <c r="B214" s="1" t="s">
        <v>79</v>
      </c>
      <c r="C214" s="57">
        <f>_xll.RssMarket("9519","始値")</f>
        <v>875</v>
      </c>
      <c r="D214" s="16">
        <f t="shared" si="3"/>
        <v>0</v>
      </c>
      <c r="E214" s="2">
        <v>875</v>
      </c>
      <c r="F214" s="2">
        <v>881</v>
      </c>
      <c r="G214" s="2">
        <v>902</v>
      </c>
      <c r="H214" s="2">
        <v>895</v>
      </c>
      <c r="I214" s="2">
        <v>896</v>
      </c>
      <c r="J214" s="2">
        <v>927</v>
      </c>
      <c r="K214" s="2">
        <v>1001</v>
      </c>
      <c r="L214" s="2">
        <v>954</v>
      </c>
      <c r="M214" s="2">
        <v>1003</v>
      </c>
      <c r="N214" s="2">
        <v>1087</v>
      </c>
      <c r="O214" s="2">
        <v>1173</v>
      </c>
      <c r="P214" s="2">
        <v>1323</v>
      </c>
      <c r="Q214" s="2">
        <v>1288</v>
      </c>
      <c r="R214" s="2">
        <v>1270</v>
      </c>
      <c r="S214" s="2">
        <v>1370</v>
      </c>
      <c r="T214" s="2">
        <v>1335</v>
      </c>
      <c r="U214" s="2">
        <v>1292</v>
      </c>
      <c r="V214" s="2">
        <v>1361</v>
      </c>
      <c r="W214" s="2">
        <v>1310</v>
      </c>
      <c r="X214" s="2">
        <v>1360</v>
      </c>
      <c r="Y214" s="2">
        <v>1320</v>
      </c>
      <c r="Z214" s="2">
        <v>1268</v>
      </c>
      <c r="AA214" s="2">
        <v>1215</v>
      </c>
      <c r="AB214" s="2">
        <v>1221</v>
      </c>
      <c r="AC214" s="2">
        <v>1160</v>
      </c>
      <c r="AD214" s="2">
        <v>1138</v>
      </c>
      <c r="AE214" s="2">
        <v>1111</v>
      </c>
      <c r="AF214" s="2">
        <v>1130</v>
      </c>
      <c r="AG214" s="2">
        <v>1111</v>
      </c>
      <c r="AH214" s="2">
        <v>1088</v>
      </c>
      <c r="AI214" s="2">
        <v>1042</v>
      </c>
      <c r="AJ214" s="2">
        <v>991</v>
      </c>
      <c r="AK214" s="2">
        <v>964</v>
      </c>
      <c r="AL214" s="2">
        <v>971</v>
      </c>
      <c r="AM214" s="2">
        <v>1036</v>
      </c>
      <c r="AN214" s="2">
        <v>1041</v>
      </c>
      <c r="AO214" s="2">
        <v>1068</v>
      </c>
      <c r="AP214" s="2">
        <v>1060</v>
      </c>
      <c r="AQ214" s="2">
        <v>1020</v>
      </c>
      <c r="AR214" s="2">
        <v>996</v>
      </c>
      <c r="AS214" s="2">
        <v>960</v>
      </c>
      <c r="AT214" s="2">
        <v>998</v>
      </c>
      <c r="AU214" s="2">
        <v>932</v>
      </c>
      <c r="AV214" s="2">
        <v>929</v>
      </c>
      <c r="AW214" s="2">
        <v>907</v>
      </c>
      <c r="AX214" s="2">
        <v>925</v>
      </c>
      <c r="AY214" s="2">
        <v>902</v>
      </c>
      <c r="AZ214" s="2">
        <v>874</v>
      </c>
      <c r="BA214" s="2">
        <v>868</v>
      </c>
      <c r="BB214" s="2">
        <v>871</v>
      </c>
      <c r="BC214" s="2">
        <v>790</v>
      </c>
      <c r="BD214" s="2">
        <v>782</v>
      </c>
      <c r="BE214" s="2">
        <v>796</v>
      </c>
      <c r="BF214" s="2">
        <v>773</v>
      </c>
      <c r="BG214" s="2">
        <v>769</v>
      </c>
      <c r="BH214" s="2">
        <v>722</v>
      </c>
      <c r="BI214" s="2">
        <v>803</v>
      </c>
      <c r="BJ214" s="2">
        <v>827</v>
      </c>
      <c r="BK214" s="2">
        <v>820</v>
      </c>
      <c r="BL214" s="2">
        <v>800</v>
      </c>
    </row>
    <row r="215" spans="1:64" ht="17.25">
      <c r="A215" s="82" t="s">
        <v>468</v>
      </c>
      <c r="B215" s="1" t="s">
        <v>80</v>
      </c>
      <c r="C215" s="57">
        <f>_xll.RssMarket("6752","始値")</f>
        <v>4184</v>
      </c>
      <c r="D215" s="16">
        <f t="shared" si="3"/>
        <v>0</v>
      </c>
      <c r="E215" s="2">
        <v>4184</v>
      </c>
      <c r="F215" s="2">
        <v>4100</v>
      </c>
      <c r="G215" s="2">
        <v>3930</v>
      </c>
      <c r="H215" s="2">
        <v>3837</v>
      </c>
      <c r="I215" s="2">
        <v>3613</v>
      </c>
      <c r="J215" s="2">
        <v>3780</v>
      </c>
      <c r="K215" s="2">
        <v>3450</v>
      </c>
      <c r="L215" s="2">
        <v>3744</v>
      </c>
      <c r="M215" s="2">
        <v>3642</v>
      </c>
      <c r="N215" s="2">
        <v>3690</v>
      </c>
      <c r="O215" s="2">
        <v>3567</v>
      </c>
      <c r="P215" s="2">
        <v>3591</v>
      </c>
      <c r="Q215" s="2">
        <v>3499</v>
      </c>
      <c r="R215" s="2">
        <v>3619</v>
      </c>
      <c r="S215" s="2">
        <v>3540</v>
      </c>
      <c r="T215" s="2">
        <v>3472</v>
      </c>
      <c r="U215" s="2">
        <v>3230</v>
      </c>
      <c r="V215" s="2">
        <v>3283</v>
      </c>
      <c r="W215" s="2">
        <v>3350</v>
      </c>
      <c r="X215" s="2">
        <v>3231</v>
      </c>
      <c r="Y215" s="2">
        <v>3400</v>
      </c>
      <c r="Z215" s="2">
        <v>3322</v>
      </c>
      <c r="AA215" s="2">
        <v>3165</v>
      </c>
      <c r="AB215" s="2">
        <v>3341</v>
      </c>
      <c r="AC215" s="2">
        <v>3231</v>
      </c>
      <c r="AD215" s="2">
        <v>3224</v>
      </c>
      <c r="AE215" s="2">
        <v>3423</v>
      </c>
      <c r="AF215" s="2">
        <v>3273</v>
      </c>
      <c r="AG215" s="2">
        <v>3091</v>
      </c>
      <c r="AH215" s="2">
        <v>3103</v>
      </c>
      <c r="AI215" s="2">
        <v>2950</v>
      </c>
      <c r="AJ215" s="2">
        <v>2900</v>
      </c>
      <c r="AK215" s="2">
        <v>2914.5</v>
      </c>
      <c r="AL215" s="2">
        <v>2977</v>
      </c>
      <c r="AM215" s="2">
        <v>3000</v>
      </c>
      <c r="AN215" s="2">
        <v>2893.5</v>
      </c>
      <c r="AO215" s="2">
        <v>2953</v>
      </c>
      <c r="AP215" s="2">
        <v>2939</v>
      </c>
      <c r="AQ215" s="2">
        <v>2936.5</v>
      </c>
      <c r="AR215" s="2">
        <v>2911</v>
      </c>
      <c r="AS215" s="2">
        <v>2812</v>
      </c>
      <c r="AT215" s="2">
        <v>2923</v>
      </c>
      <c r="AU215" s="2">
        <v>2891</v>
      </c>
      <c r="AV215" s="2">
        <v>3030</v>
      </c>
      <c r="AW215" s="2">
        <v>2800</v>
      </c>
      <c r="AX215" s="2">
        <v>2725</v>
      </c>
      <c r="AY215" s="2">
        <v>2750</v>
      </c>
      <c r="AZ215" s="2">
        <v>2800</v>
      </c>
      <c r="BA215" s="2">
        <v>2735.5</v>
      </c>
      <c r="BB215" s="2">
        <v>2550</v>
      </c>
      <c r="BC215" s="2">
        <v>2577</v>
      </c>
      <c r="BD215" s="2">
        <v>2720</v>
      </c>
      <c r="BE215" s="2">
        <v>2640</v>
      </c>
      <c r="BF215" s="2">
        <v>2605.5</v>
      </c>
      <c r="BG215" s="2">
        <v>2572</v>
      </c>
      <c r="BH215" s="2">
        <v>2456</v>
      </c>
      <c r="BI215" s="2">
        <v>2631</v>
      </c>
      <c r="BJ215" s="2">
        <v>2636</v>
      </c>
      <c r="BK215" s="2">
        <v>2643.5</v>
      </c>
      <c r="BL215" s="2">
        <v>2592</v>
      </c>
    </row>
    <row r="216" spans="1:64" ht="17.25">
      <c r="A216" s="82" t="s">
        <v>469</v>
      </c>
      <c r="B216" s="1" t="s">
        <v>81</v>
      </c>
      <c r="C216" s="57">
        <f>_xll.RssMarket("6622","始値")</f>
        <v>16170</v>
      </c>
      <c r="D216" s="16">
        <f t="shared" si="3"/>
        <v>0</v>
      </c>
      <c r="E216" s="2">
        <v>16170</v>
      </c>
      <c r="F216" s="2">
        <v>16290</v>
      </c>
      <c r="G216" s="2">
        <v>16000</v>
      </c>
      <c r="H216" s="2">
        <v>15200</v>
      </c>
      <c r="I216" s="2">
        <v>14050</v>
      </c>
      <c r="J216" s="2">
        <v>15100</v>
      </c>
      <c r="K216" s="2">
        <v>14600</v>
      </c>
      <c r="L216" s="2">
        <v>15520</v>
      </c>
      <c r="M216" s="2">
        <v>15320</v>
      </c>
      <c r="N216" s="2">
        <v>15480</v>
      </c>
      <c r="O216" s="2">
        <v>15610</v>
      </c>
      <c r="P216" s="2">
        <v>16530</v>
      </c>
      <c r="Q216" s="2">
        <v>16420</v>
      </c>
      <c r="R216" s="2">
        <v>17360</v>
      </c>
      <c r="S216" s="2">
        <v>16910</v>
      </c>
      <c r="T216" s="2">
        <v>16400</v>
      </c>
      <c r="U216" s="2">
        <v>15610</v>
      </c>
      <c r="V216" s="2">
        <v>15400</v>
      </c>
      <c r="W216" s="2">
        <v>16620</v>
      </c>
      <c r="X216" s="2">
        <v>17300</v>
      </c>
      <c r="Y216" s="2">
        <v>17600</v>
      </c>
      <c r="Z216" s="2">
        <v>18150</v>
      </c>
      <c r="AA216" s="2">
        <v>17500</v>
      </c>
      <c r="AB216" s="2">
        <v>19790</v>
      </c>
      <c r="AC216" s="2">
        <v>17880</v>
      </c>
      <c r="AD216" s="2">
        <v>16700</v>
      </c>
      <c r="AE216" s="2">
        <v>16830</v>
      </c>
      <c r="AF216" s="2">
        <v>15460</v>
      </c>
      <c r="AG216" s="2">
        <v>15190</v>
      </c>
      <c r="AH216" s="2">
        <v>14700</v>
      </c>
      <c r="AI216" s="2">
        <v>14080</v>
      </c>
      <c r="AJ216" s="2">
        <v>13790</v>
      </c>
      <c r="AK216" s="2">
        <v>13940</v>
      </c>
      <c r="AL216" s="2">
        <v>14080</v>
      </c>
      <c r="AM216" s="2">
        <v>14050</v>
      </c>
      <c r="AN216" s="2">
        <v>13820</v>
      </c>
      <c r="AO216" s="2">
        <v>14320</v>
      </c>
      <c r="AP216" s="2">
        <v>14340</v>
      </c>
      <c r="AQ216" s="2">
        <v>14740</v>
      </c>
      <c r="AR216" s="2">
        <v>14550</v>
      </c>
      <c r="AS216" s="2">
        <v>13880</v>
      </c>
      <c r="AT216" s="2">
        <v>13800</v>
      </c>
      <c r="AU216" s="2">
        <v>13650</v>
      </c>
      <c r="AV216" s="2">
        <v>13310</v>
      </c>
      <c r="AW216" s="2">
        <v>12470</v>
      </c>
      <c r="AX216" s="2">
        <v>11940</v>
      </c>
      <c r="AY216" s="2">
        <v>12180</v>
      </c>
      <c r="AZ216" s="2">
        <v>12540</v>
      </c>
      <c r="BA216" s="2">
        <v>12070</v>
      </c>
      <c r="BB216" s="2">
        <v>11120</v>
      </c>
      <c r="BC216" s="2">
        <v>11190</v>
      </c>
      <c r="BD216" s="2">
        <v>12080</v>
      </c>
      <c r="BE216" s="2">
        <v>12650</v>
      </c>
      <c r="BF216" s="2">
        <v>12500</v>
      </c>
      <c r="BG216" s="2">
        <v>12070</v>
      </c>
      <c r="BH216" s="2">
        <v>11850</v>
      </c>
      <c r="BI216" s="2">
        <v>12530</v>
      </c>
      <c r="BJ216" s="2">
        <v>12610</v>
      </c>
      <c r="BK216" s="2">
        <v>12650</v>
      </c>
      <c r="BL216" s="2">
        <v>12170</v>
      </c>
    </row>
    <row r="217" spans="1:64" ht="17.25">
      <c r="A217" s="82" t="s">
        <v>470</v>
      </c>
      <c r="B217" s="1" t="s">
        <v>82</v>
      </c>
      <c r="C217" s="57">
        <f>_xll.RssMarket("1407","始値")</f>
        <v>2220</v>
      </c>
      <c r="D217" s="16">
        <f t="shared" si="3"/>
        <v>0</v>
      </c>
      <c r="E217" s="2">
        <v>2220</v>
      </c>
      <c r="F217" s="2">
        <v>2234</v>
      </c>
      <c r="G217" s="2">
        <v>2332</v>
      </c>
      <c r="H217" s="2">
        <v>2305</v>
      </c>
      <c r="I217" s="2">
        <v>2238</v>
      </c>
      <c r="J217" s="2">
        <v>2335</v>
      </c>
      <c r="K217" s="2">
        <v>2355</v>
      </c>
      <c r="L217" s="2">
        <v>2386</v>
      </c>
      <c r="M217" s="2">
        <v>2564</v>
      </c>
      <c r="N217" s="2">
        <v>2524</v>
      </c>
      <c r="O217" s="2">
        <v>2600</v>
      </c>
      <c r="P217" s="2">
        <v>2863</v>
      </c>
      <c r="Q217" s="2">
        <v>3045</v>
      </c>
      <c r="R217" s="2">
        <v>3165</v>
      </c>
      <c r="S217" s="2">
        <v>2900</v>
      </c>
      <c r="T217" s="2">
        <v>2918</v>
      </c>
      <c r="U217" s="2">
        <v>3100</v>
      </c>
      <c r="V217" s="2">
        <v>3040</v>
      </c>
      <c r="W217" s="2">
        <v>3015</v>
      </c>
      <c r="X217" s="2">
        <v>3030</v>
      </c>
      <c r="Y217" s="2">
        <v>3140</v>
      </c>
      <c r="Z217" s="2">
        <v>3040</v>
      </c>
      <c r="AA217" s="2">
        <v>2850</v>
      </c>
      <c r="AB217" s="2">
        <v>3180</v>
      </c>
      <c r="AC217" s="2">
        <v>3110</v>
      </c>
      <c r="AD217" s="2">
        <v>2862</v>
      </c>
      <c r="AE217" s="2">
        <v>2880</v>
      </c>
      <c r="AF217" s="2">
        <v>2927</v>
      </c>
      <c r="AG217" s="2">
        <v>2731</v>
      </c>
      <c r="AH217" s="2">
        <v>2683</v>
      </c>
      <c r="AI217" s="2">
        <v>2541</v>
      </c>
      <c r="AJ217" s="2">
        <v>2383</v>
      </c>
      <c r="AK217" s="2">
        <v>2320</v>
      </c>
      <c r="AL217" s="2">
        <v>2288</v>
      </c>
      <c r="AM217" s="2">
        <v>2305</v>
      </c>
      <c r="AN217" s="2">
        <v>2205</v>
      </c>
      <c r="AO217" s="2">
        <v>2320</v>
      </c>
      <c r="AP217" s="2">
        <v>2096</v>
      </c>
      <c r="AQ217" s="2">
        <v>1944</v>
      </c>
      <c r="AR217" s="2">
        <v>1815</v>
      </c>
      <c r="AS217" s="2">
        <v>1843</v>
      </c>
      <c r="AT217" s="2">
        <v>1890</v>
      </c>
      <c r="AU217" s="2">
        <v>1834</v>
      </c>
      <c r="AV217" s="2">
        <v>1872</v>
      </c>
      <c r="AW217" s="2">
        <v>1882</v>
      </c>
      <c r="AX217" s="2">
        <v>1912</v>
      </c>
      <c r="AY217" s="2">
        <v>1838</v>
      </c>
      <c r="AZ217" s="2">
        <v>1831</v>
      </c>
      <c r="BA217" s="2">
        <v>1774</v>
      </c>
      <c r="BB217" s="2">
        <v>1780</v>
      </c>
      <c r="BC217" s="2">
        <v>1685</v>
      </c>
      <c r="BD217" s="2">
        <v>1723</v>
      </c>
      <c r="BE217" s="2">
        <v>1791</v>
      </c>
      <c r="BF217" s="2">
        <v>1755</v>
      </c>
      <c r="BG217" s="2">
        <v>1710</v>
      </c>
      <c r="BH217" s="2">
        <v>1670</v>
      </c>
      <c r="BI217" s="2">
        <v>1758</v>
      </c>
      <c r="BJ217" s="2">
        <v>1805</v>
      </c>
      <c r="BK217" s="2">
        <v>2027</v>
      </c>
      <c r="BL217" s="2">
        <v>1951</v>
      </c>
    </row>
    <row r="218" spans="1:64" ht="17.25">
      <c r="A218" s="82" t="s">
        <v>260</v>
      </c>
      <c r="B218" s="1" t="s">
        <v>259</v>
      </c>
      <c r="C218" s="57">
        <f>_xll.RssMarket("285A","始値")</f>
        <v>93500</v>
      </c>
      <c r="D218" s="16">
        <f>C218-E218</f>
        <v>0</v>
      </c>
      <c r="E218" s="2">
        <v>93500</v>
      </c>
      <c r="F218" s="2">
        <v>93910</v>
      </c>
      <c r="G218" s="2">
        <v>85700</v>
      </c>
      <c r="H218" s="75">
        <v>80500</v>
      </c>
      <c r="I218" s="2">
        <v>67750</v>
      </c>
      <c r="J218" s="2">
        <v>74950</v>
      </c>
      <c r="K218" s="2">
        <v>69140</v>
      </c>
      <c r="L218" s="2">
        <v>74010</v>
      </c>
      <c r="M218" s="2">
        <v>77000</v>
      </c>
      <c r="N218" s="2">
        <v>79660</v>
      </c>
      <c r="O218" s="2">
        <v>74000</v>
      </c>
      <c r="P218" s="2">
        <v>62500</v>
      </c>
      <c r="Q218" s="2">
        <v>59000</v>
      </c>
      <c r="R218" s="2">
        <v>65890</v>
      </c>
      <c r="S218" s="2">
        <v>58380</v>
      </c>
      <c r="T218" s="2">
        <v>57500</v>
      </c>
      <c r="U218" s="2">
        <v>53290</v>
      </c>
      <c r="V218" s="2">
        <v>51000</v>
      </c>
      <c r="W218" s="2">
        <v>52010</v>
      </c>
      <c r="X218" s="2">
        <v>51450</v>
      </c>
      <c r="Y218" s="2">
        <v>48460</v>
      </c>
      <c r="Z218" s="2">
        <v>50070</v>
      </c>
      <c r="AA218" s="2">
        <v>44800</v>
      </c>
      <c r="AB218" s="2">
        <v>46900</v>
      </c>
      <c r="AC218" s="2">
        <v>49200</v>
      </c>
      <c r="AD218" s="2">
        <v>43350</v>
      </c>
      <c r="AE218" s="2">
        <v>43410</v>
      </c>
      <c r="AF218" s="2">
        <v>36500</v>
      </c>
      <c r="AG218" s="2">
        <v>37460</v>
      </c>
      <c r="AH218" s="2">
        <v>36400</v>
      </c>
      <c r="AI218" s="2">
        <v>35410</v>
      </c>
      <c r="AJ218" s="2">
        <v>35250</v>
      </c>
      <c r="AK218" s="2">
        <v>36500</v>
      </c>
      <c r="AL218" s="2">
        <v>33000</v>
      </c>
      <c r="AM218" s="2">
        <v>30780</v>
      </c>
      <c r="AN218" s="2">
        <v>31180</v>
      </c>
      <c r="AO218" s="2">
        <v>33440</v>
      </c>
      <c r="AP218" s="2">
        <v>33000</v>
      </c>
      <c r="AQ218" s="2">
        <v>35000</v>
      </c>
      <c r="AR218" s="2">
        <v>36170</v>
      </c>
      <c r="AS218" s="2">
        <v>29550</v>
      </c>
      <c r="AT218" s="2">
        <v>29000</v>
      </c>
      <c r="AU218" s="2">
        <v>26915</v>
      </c>
      <c r="AV218" s="2">
        <v>26270</v>
      </c>
      <c r="AW218" s="2">
        <v>23300</v>
      </c>
      <c r="AX218" s="2">
        <v>22120</v>
      </c>
      <c r="AY218" s="2">
        <v>21830</v>
      </c>
      <c r="AZ218" s="2">
        <v>22225</v>
      </c>
      <c r="BA218" s="2">
        <v>20780</v>
      </c>
      <c r="BB218" s="2">
        <v>18805</v>
      </c>
      <c r="BC218" s="2">
        <v>19370</v>
      </c>
      <c r="BD218" s="2">
        <v>19300</v>
      </c>
      <c r="BE218" s="2">
        <v>21680</v>
      </c>
      <c r="BF218" s="2">
        <v>21565</v>
      </c>
      <c r="BG218" s="2">
        <v>21800</v>
      </c>
      <c r="BH218" s="2">
        <v>21360</v>
      </c>
      <c r="BI218" s="2">
        <v>22900</v>
      </c>
      <c r="BJ218" s="2">
        <v>22610</v>
      </c>
      <c r="BK218" s="2">
        <v>23280</v>
      </c>
      <c r="BL218" s="2">
        <v>21600</v>
      </c>
    </row>
    <row r="219" spans="1:64" ht="17.25">
      <c r="A219" s="82" t="s">
        <v>261</v>
      </c>
      <c r="B219" s="1" t="s">
        <v>471</v>
      </c>
      <c r="C219" s="57">
        <f>_xll.RssMarket("141A","始値")</f>
        <v>2791</v>
      </c>
      <c r="D219" s="16">
        <f>C219-E219</f>
        <v>0</v>
      </c>
      <c r="E219" s="2">
        <v>2791</v>
      </c>
      <c r="F219" s="2">
        <v>2833</v>
      </c>
      <c r="G219" s="2">
        <v>2837</v>
      </c>
      <c r="H219" s="2">
        <v>2889</v>
      </c>
      <c r="I219" s="2">
        <v>2876</v>
      </c>
      <c r="J219" s="2">
        <v>2830</v>
      </c>
      <c r="K219" s="2">
        <v>2750</v>
      </c>
      <c r="L219" s="2">
        <v>2669</v>
      </c>
      <c r="M219" s="2">
        <v>2702</v>
      </c>
      <c r="N219" s="2">
        <v>2538</v>
      </c>
      <c r="O219" s="2">
        <v>2620</v>
      </c>
      <c r="P219" s="2">
        <v>2929</v>
      </c>
      <c r="Q219" s="2">
        <v>2846</v>
      </c>
      <c r="R219" s="2">
        <v>2718</v>
      </c>
      <c r="S219" s="2">
        <v>3000</v>
      </c>
      <c r="T219" s="2">
        <v>3055</v>
      </c>
      <c r="U219" s="2">
        <v>3110</v>
      </c>
      <c r="V219" s="2">
        <v>3180</v>
      </c>
      <c r="W219" s="2">
        <v>2948</v>
      </c>
      <c r="X219" s="2">
        <v>3505</v>
      </c>
      <c r="Y219" s="2">
        <v>3710</v>
      </c>
      <c r="Z219" s="2">
        <v>4440</v>
      </c>
      <c r="AA219" s="2">
        <v>4305</v>
      </c>
      <c r="AB219" s="2">
        <v>4300</v>
      </c>
      <c r="AC219" s="2">
        <v>4120</v>
      </c>
      <c r="AD219" s="2">
        <v>4215</v>
      </c>
      <c r="AE219" s="2">
        <v>3900</v>
      </c>
      <c r="AF219" s="2">
        <v>3960</v>
      </c>
      <c r="AG219" s="2">
        <v>4000</v>
      </c>
      <c r="AH219" s="2">
        <v>3870</v>
      </c>
      <c r="AI219" s="2">
        <v>3970</v>
      </c>
      <c r="AJ219" s="2">
        <v>4215</v>
      </c>
      <c r="AK219" s="2">
        <v>4400</v>
      </c>
      <c r="AL219" s="2">
        <v>4760</v>
      </c>
      <c r="AM219" s="2">
        <v>4695</v>
      </c>
      <c r="AN219" s="2">
        <v>4455</v>
      </c>
      <c r="AO219" s="2">
        <v>4475</v>
      </c>
      <c r="AP219" s="2">
        <v>4420</v>
      </c>
      <c r="AQ219" s="2">
        <v>4320</v>
      </c>
      <c r="AR219" s="2">
        <v>4190</v>
      </c>
      <c r="AS219" s="2">
        <v>4375</v>
      </c>
      <c r="AT219" s="2">
        <v>4535</v>
      </c>
      <c r="AU219" s="2">
        <v>4655</v>
      </c>
      <c r="AV219" s="2">
        <v>4815</v>
      </c>
      <c r="AW219" s="2">
        <v>4725</v>
      </c>
      <c r="AX219" s="2">
        <v>4755</v>
      </c>
      <c r="AY219" s="2">
        <v>4655</v>
      </c>
      <c r="AZ219" s="2">
        <v>4485</v>
      </c>
      <c r="BA219" s="2">
        <v>4310</v>
      </c>
      <c r="BB219" s="2">
        <v>4200</v>
      </c>
      <c r="BC219" s="2">
        <v>4080</v>
      </c>
      <c r="BD219" s="2">
        <v>4180</v>
      </c>
      <c r="BE219" s="2">
        <v>4200</v>
      </c>
      <c r="BF219" s="2">
        <v>4235</v>
      </c>
      <c r="BG219" s="2">
        <v>4135</v>
      </c>
      <c r="BH219" s="2">
        <v>4170</v>
      </c>
      <c r="BI219" s="2">
        <v>4300</v>
      </c>
      <c r="BJ219" s="2">
        <v>4210</v>
      </c>
      <c r="BK219" s="2">
        <v>4140</v>
      </c>
      <c r="BL219" s="2">
        <v>4005</v>
      </c>
    </row>
    <row r="220" spans="1:64" ht="17.25">
      <c r="A220" s="82" t="s">
        <v>262</v>
      </c>
      <c r="B220" s="1" t="s">
        <v>475</v>
      </c>
      <c r="C220" s="57">
        <f>_xll.RssMarket("464A","始値")</f>
        <v>2380</v>
      </c>
      <c r="D220" s="16">
        <f>C220-E220</f>
        <v>0</v>
      </c>
      <c r="E220" s="2">
        <v>2380</v>
      </c>
      <c r="F220" s="2">
        <v>2424</v>
      </c>
      <c r="G220" s="2">
        <v>2746</v>
      </c>
      <c r="H220" s="2">
        <v>2807</v>
      </c>
      <c r="I220" s="2">
        <v>2483</v>
      </c>
      <c r="J220" s="2">
        <v>2611</v>
      </c>
      <c r="K220" s="2">
        <v>2772</v>
      </c>
      <c r="L220" s="2">
        <v>2995</v>
      </c>
      <c r="M220" s="2">
        <v>2748</v>
      </c>
      <c r="N220" s="2">
        <v>3150</v>
      </c>
      <c r="O220" s="2">
        <v>3145</v>
      </c>
      <c r="P220" s="2">
        <v>4335</v>
      </c>
      <c r="Q220" s="2">
        <v>4135</v>
      </c>
      <c r="R220" s="2">
        <v>4410</v>
      </c>
      <c r="S220" s="2">
        <v>3935</v>
      </c>
      <c r="T220" s="2">
        <v>3435</v>
      </c>
      <c r="U220" s="2">
        <v>3380</v>
      </c>
      <c r="V220" s="2">
        <v>3495</v>
      </c>
      <c r="W220" s="2">
        <v>3370</v>
      </c>
      <c r="X220" s="2">
        <v>3350</v>
      </c>
      <c r="Y220" s="2">
        <v>3320</v>
      </c>
      <c r="Z220" s="2">
        <v>3235</v>
      </c>
      <c r="AA220" s="2">
        <v>2907</v>
      </c>
      <c r="AB220" s="2">
        <v>3040</v>
      </c>
      <c r="AC220" s="2">
        <v>2950</v>
      </c>
      <c r="AD220" s="2">
        <v>2647</v>
      </c>
      <c r="AE220" s="2">
        <v>2650</v>
      </c>
      <c r="AF220" s="2">
        <v>2520</v>
      </c>
      <c r="AG220" s="2">
        <v>2500</v>
      </c>
      <c r="AH220" s="2">
        <v>2440</v>
      </c>
      <c r="AI220" s="2">
        <v>2595</v>
      </c>
      <c r="AJ220" s="2">
        <v>2570</v>
      </c>
      <c r="AK220" s="2">
        <v>2686</v>
      </c>
      <c r="AL220" s="2">
        <v>2783</v>
      </c>
      <c r="AM220" s="2">
        <v>2690</v>
      </c>
      <c r="AN220" s="2">
        <v>2675</v>
      </c>
      <c r="AO220" s="2">
        <v>2677</v>
      </c>
      <c r="AP220" s="2">
        <v>2564</v>
      </c>
      <c r="AQ220" s="2">
        <v>2645</v>
      </c>
      <c r="AR220" s="2">
        <v>2768</v>
      </c>
      <c r="AS220" s="2">
        <v>2782</v>
      </c>
      <c r="AT220" s="2">
        <v>2665</v>
      </c>
      <c r="AU220" s="2">
        <v>2677</v>
      </c>
      <c r="AV220" s="2">
        <v>2554</v>
      </c>
      <c r="AW220" s="2">
        <v>2423</v>
      </c>
      <c r="AX220" s="2">
        <v>2370</v>
      </c>
      <c r="AY220" s="2">
        <v>2381</v>
      </c>
      <c r="AZ220" s="2">
        <v>2303</v>
      </c>
      <c r="BA220" s="2">
        <v>2200</v>
      </c>
      <c r="BB220" s="2">
        <v>2134</v>
      </c>
      <c r="BC220" s="2">
        <v>2198</v>
      </c>
      <c r="BD220" s="2">
        <v>2347</v>
      </c>
      <c r="BE220" s="2">
        <v>2485</v>
      </c>
      <c r="BF220" s="2">
        <v>2345</v>
      </c>
      <c r="BG220" s="2">
        <v>2402</v>
      </c>
      <c r="BH220" s="2">
        <v>2470</v>
      </c>
      <c r="BI220" s="2">
        <v>2582</v>
      </c>
      <c r="BJ220" s="2">
        <v>2404</v>
      </c>
      <c r="BK220" s="2">
        <v>2319</v>
      </c>
      <c r="BL220" s="2">
        <v>2200</v>
      </c>
    </row>
    <row r="221" spans="1:64" ht="17.25">
      <c r="A221" s="82" t="s">
        <v>473</v>
      </c>
      <c r="B221" s="1" t="s">
        <v>474</v>
      </c>
      <c r="C221" s="57">
        <f>_xll.RssMarket("485A","始値")</f>
        <v>2441</v>
      </c>
      <c r="D221" s="16">
        <f>C221-E221</f>
        <v>0</v>
      </c>
      <c r="E221" s="2">
        <v>2441</v>
      </c>
      <c r="F221" s="2">
        <v>2366</v>
      </c>
      <c r="G221" s="2">
        <v>2662</v>
      </c>
      <c r="H221" s="2">
        <v>2600</v>
      </c>
      <c r="I221" s="2">
        <v>2141</v>
      </c>
      <c r="J221" s="2">
        <v>2401</v>
      </c>
      <c r="K221" s="2">
        <v>2689</v>
      </c>
      <c r="L221" s="2">
        <v>2743</v>
      </c>
      <c r="M221" s="2">
        <v>3770</v>
      </c>
      <c r="N221" s="2">
        <v>3425</v>
      </c>
      <c r="O221" s="2">
        <v>3300</v>
      </c>
      <c r="P221" s="2">
        <v>4430</v>
      </c>
      <c r="Q221" s="2">
        <v>4460</v>
      </c>
      <c r="R221" s="2">
        <v>13800</v>
      </c>
      <c r="S221" s="2">
        <v>12950</v>
      </c>
      <c r="T221" s="2">
        <v>13380</v>
      </c>
      <c r="U221" s="2">
        <v>14200</v>
      </c>
      <c r="V221" s="2">
        <v>14300</v>
      </c>
      <c r="W221" s="2">
        <v>14980</v>
      </c>
      <c r="X221" s="2">
        <v>12850</v>
      </c>
      <c r="Y221" s="2">
        <v>13650</v>
      </c>
      <c r="Z221" s="2">
        <v>13000</v>
      </c>
      <c r="AA221" s="2">
        <v>11580</v>
      </c>
      <c r="AB221" s="2">
        <v>14390</v>
      </c>
      <c r="AC221" s="2">
        <v>14220</v>
      </c>
      <c r="AD221" s="2">
        <v>12400</v>
      </c>
      <c r="AE221" s="2">
        <v>10730</v>
      </c>
      <c r="AF221" s="2">
        <v>10990</v>
      </c>
      <c r="AG221" s="2">
        <v>9820</v>
      </c>
      <c r="AH221" s="2">
        <v>9310</v>
      </c>
      <c r="AI221" s="2">
        <v>8040</v>
      </c>
      <c r="AJ221" s="2">
        <v>7490</v>
      </c>
      <c r="AK221" s="2">
        <v>7770</v>
      </c>
      <c r="AL221" s="2">
        <v>7010</v>
      </c>
      <c r="AM221" s="2">
        <v>6890</v>
      </c>
      <c r="AN221" s="2">
        <v>6700</v>
      </c>
      <c r="AO221" s="2">
        <v>7330</v>
      </c>
      <c r="AP221" s="2">
        <v>6650</v>
      </c>
      <c r="AQ221" s="2">
        <v>7110</v>
      </c>
      <c r="AR221" s="2">
        <v>6900</v>
      </c>
      <c r="AS221" s="2">
        <v>7600</v>
      </c>
      <c r="AT221" s="2">
        <v>6800</v>
      </c>
      <c r="AU221" s="2">
        <v>6160</v>
      </c>
      <c r="AV221" s="2">
        <v>5950</v>
      </c>
      <c r="AW221" s="2">
        <v>6000</v>
      </c>
      <c r="AX221" s="2">
        <v>6140</v>
      </c>
      <c r="AY221" s="2">
        <v>5500</v>
      </c>
      <c r="AZ221" s="2">
        <v>5320</v>
      </c>
      <c r="BA221" s="2">
        <v>4925</v>
      </c>
      <c r="BB221" s="2">
        <v>4725</v>
      </c>
      <c r="BC221" s="2">
        <v>4180</v>
      </c>
      <c r="BD221" s="2">
        <v>4085</v>
      </c>
      <c r="BE221" s="2">
        <v>4180</v>
      </c>
      <c r="BF221" s="2">
        <v>4845</v>
      </c>
      <c r="BG221" s="2">
        <v>5800</v>
      </c>
      <c r="BH221" s="2">
        <v>5770</v>
      </c>
      <c r="BI221" s="2">
        <v>5510</v>
      </c>
      <c r="BJ221" s="2">
        <v>5410</v>
      </c>
      <c r="BK221" s="2">
        <v>5890</v>
      </c>
      <c r="BL221" s="2">
        <v>5650</v>
      </c>
    </row>
    <row r="222" spans="1:64" ht="17.25">
      <c r="A222" s="82" t="s">
        <v>490</v>
      </c>
      <c r="B222" s="1" t="str">
        <f>銘柄管理!C222</f>
        <v>ＮＦ日経レバ</v>
      </c>
      <c r="C222" s="57">
        <f>_xll.RssMarket("1570","始値")</f>
        <v>76910</v>
      </c>
      <c r="D222" s="16"/>
      <c r="E222" s="2">
        <v>76910</v>
      </c>
      <c r="F222" s="2">
        <v>78320</v>
      </c>
      <c r="G222" s="2">
        <v>76320</v>
      </c>
      <c r="H222" s="2">
        <v>71830</v>
      </c>
      <c r="I222" s="2">
        <v>63960</v>
      </c>
      <c r="J222" s="2">
        <v>68160</v>
      </c>
      <c r="K222" s="2">
        <v>66640</v>
      </c>
      <c r="L222" s="2">
        <v>73450</v>
      </c>
      <c r="M222" s="2">
        <v>75220</v>
      </c>
      <c r="N222" s="2">
        <v>75310</v>
      </c>
      <c r="O222" s="2">
        <v>73900</v>
      </c>
      <c r="P222" s="2">
        <v>70670</v>
      </c>
      <c r="Q222" s="2">
        <v>68560</v>
      </c>
      <c r="R222" s="2">
        <v>72450</v>
      </c>
      <c r="S222" s="2">
        <v>66880</v>
      </c>
      <c r="T222" s="2">
        <v>63980</v>
      </c>
      <c r="U222" s="2">
        <v>61820</v>
      </c>
      <c r="V222" s="2">
        <v>60220</v>
      </c>
      <c r="W222" s="2">
        <v>61890</v>
      </c>
      <c r="X222" s="2">
        <v>62680</v>
      </c>
      <c r="Y222" s="2">
        <v>65350</v>
      </c>
      <c r="Z222" s="2">
        <v>66780</v>
      </c>
      <c r="AA222" s="2">
        <v>63950</v>
      </c>
      <c r="AB222" s="2">
        <v>65150</v>
      </c>
      <c r="AC222" s="2">
        <v>66270</v>
      </c>
      <c r="AD222" s="2">
        <v>64560</v>
      </c>
      <c r="AE222" s="2">
        <v>63400</v>
      </c>
      <c r="AF222" s="2">
        <v>58940</v>
      </c>
      <c r="AG222" s="2">
        <v>57960</v>
      </c>
      <c r="AH222" s="2">
        <v>60380</v>
      </c>
      <c r="AI222" s="2">
        <v>59790</v>
      </c>
      <c r="AJ222" s="2">
        <v>58500</v>
      </c>
      <c r="AK222" s="2">
        <v>59540</v>
      </c>
      <c r="AL222" s="2">
        <v>57860</v>
      </c>
      <c r="AM222" s="2">
        <v>57830</v>
      </c>
      <c r="AN222" s="2">
        <v>57570</v>
      </c>
      <c r="AO222" s="2">
        <v>58390</v>
      </c>
      <c r="AP222" s="2">
        <v>56940</v>
      </c>
      <c r="AQ222" s="2">
        <v>57000</v>
      </c>
      <c r="AR222" s="2">
        <v>54760</v>
      </c>
      <c r="AS222" s="2">
        <v>52800</v>
      </c>
      <c r="AT222" s="2">
        <v>53070</v>
      </c>
      <c r="AU222" s="2">
        <v>52870</v>
      </c>
      <c r="AV222" s="2">
        <v>52180</v>
      </c>
      <c r="AW222" s="2">
        <v>48060</v>
      </c>
      <c r="AX222" s="2">
        <v>47220</v>
      </c>
      <c r="AY222" s="2">
        <v>47340</v>
      </c>
      <c r="AZ222" s="2">
        <v>49030</v>
      </c>
      <c r="BA222" s="2">
        <v>46750</v>
      </c>
      <c r="BB222" s="2">
        <v>43400</v>
      </c>
      <c r="BC222" s="2">
        <v>43000</v>
      </c>
      <c r="BD222" s="2">
        <v>46700</v>
      </c>
      <c r="BE222" s="2">
        <v>48110</v>
      </c>
      <c r="BF222" s="2">
        <v>47450</v>
      </c>
      <c r="BG222" s="2">
        <v>45970</v>
      </c>
      <c r="BH222" s="2">
        <v>43760</v>
      </c>
      <c r="BI222" s="2">
        <v>48180</v>
      </c>
      <c r="BJ222" s="2">
        <v>49200</v>
      </c>
      <c r="BK222" s="2">
        <v>48870</v>
      </c>
      <c r="BL222" s="2">
        <v>48010</v>
      </c>
    </row>
    <row r="223" spans="1:64">
      <c r="A223" s="77" t="s">
        <v>489</v>
      </c>
      <c r="B223" s="1" t="str">
        <f>銘柄管理!C223</f>
        <v>牧野フライス</v>
      </c>
      <c r="C223" s="57">
        <f>_xll.RssMarket("6135","始値")</f>
        <v>14480</v>
      </c>
      <c r="D223" s="16"/>
      <c r="E223" s="2">
        <v>14480</v>
      </c>
      <c r="F223" s="1">
        <v>14100</v>
      </c>
      <c r="G223" s="1">
        <v>14240</v>
      </c>
      <c r="H223" s="1">
        <v>14050</v>
      </c>
      <c r="I223" s="1">
        <v>14000</v>
      </c>
      <c r="J223" s="1">
        <v>14920</v>
      </c>
      <c r="K223" s="1">
        <v>13960</v>
      </c>
      <c r="L223" s="1">
        <v>14140</v>
      </c>
      <c r="M223" s="1">
        <v>14100</v>
      </c>
      <c r="N223" s="1">
        <v>13800</v>
      </c>
      <c r="O223" s="1">
        <v>14010</v>
      </c>
      <c r="P223" s="1">
        <v>13210</v>
      </c>
      <c r="Q223" s="1">
        <v>13220</v>
      </c>
      <c r="R223" s="1">
        <v>13050</v>
      </c>
      <c r="S223" s="1">
        <v>13290</v>
      </c>
      <c r="T223" s="1">
        <v>13210</v>
      </c>
      <c r="U223" s="1">
        <v>13250</v>
      </c>
      <c r="V223" s="1">
        <v>13670</v>
      </c>
      <c r="W223" s="1">
        <v>13690</v>
      </c>
      <c r="X223" s="1">
        <v>13900</v>
      </c>
      <c r="Y223" s="1">
        <v>14100</v>
      </c>
      <c r="Z223" s="1">
        <v>13610</v>
      </c>
      <c r="AA223" s="1">
        <v>13740</v>
      </c>
      <c r="AB223" s="1">
        <v>13770</v>
      </c>
      <c r="AC223" s="1">
        <v>13390</v>
      </c>
      <c r="AD223" s="1">
        <v>13770</v>
      </c>
      <c r="AE223" s="1">
        <v>13260</v>
      </c>
      <c r="AF223" s="1">
        <v>11950</v>
      </c>
      <c r="AG223" s="1">
        <v>11730</v>
      </c>
      <c r="AH223" s="1">
        <v>11750</v>
      </c>
      <c r="AI223" s="1">
        <v>11840</v>
      </c>
      <c r="AJ223" s="1">
        <v>11760</v>
      </c>
      <c r="AK223" s="1">
        <v>10720</v>
      </c>
      <c r="AL223" s="1">
        <v>11620</v>
      </c>
      <c r="AM223" s="1">
        <v>11620</v>
      </c>
      <c r="AN223" s="1">
        <v>11620</v>
      </c>
      <c r="AO223" s="1">
        <v>11610</v>
      </c>
      <c r="AP223" s="1">
        <v>11610</v>
      </c>
      <c r="AQ223" s="1">
        <v>11610</v>
      </c>
      <c r="AR223" s="1">
        <v>11590</v>
      </c>
      <c r="AS223" s="1">
        <v>11580</v>
      </c>
      <c r="AT223" s="1">
        <v>11620</v>
      </c>
      <c r="AU223" s="1">
        <v>11560</v>
      </c>
      <c r="AV223" s="1">
        <v>11570</v>
      </c>
      <c r="AW223" s="1">
        <v>11530</v>
      </c>
      <c r="AX223" s="1">
        <v>11550</v>
      </c>
      <c r="AY223" s="1">
        <v>11550</v>
      </c>
      <c r="AZ223" s="1">
        <v>11560</v>
      </c>
      <c r="BA223" s="1">
        <v>11510</v>
      </c>
      <c r="BB223" s="1">
        <v>11480</v>
      </c>
      <c r="BC223" s="1">
        <v>11470</v>
      </c>
      <c r="BD223" s="1">
        <v>11510</v>
      </c>
      <c r="BE223" s="1">
        <v>11490</v>
      </c>
      <c r="BF223" s="1">
        <v>11530</v>
      </c>
      <c r="BG223" s="1">
        <v>11480</v>
      </c>
      <c r="BH223" s="1">
        <v>11520</v>
      </c>
      <c r="BI223" s="1">
        <v>11550</v>
      </c>
      <c r="BJ223" s="1">
        <v>11550</v>
      </c>
      <c r="BK223" s="1">
        <v>11530</v>
      </c>
      <c r="BL223" s="1">
        <v>11520</v>
      </c>
    </row>
    <row r="224" spans="1:64">
      <c r="A224" s="77" t="s">
        <v>546</v>
      </c>
      <c r="B224" s="1" t="str">
        <f>銘柄管理!C224</f>
        <v>ジャパンマテリアル</v>
      </c>
      <c r="C224" s="57">
        <f>_xll.RssMarket("6055","始値")</f>
        <v>2331</v>
      </c>
      <c r="D224" s="16"/>
      <c r="E224" s="2">
        <v>2331</v>
      </c>
      <c r="F224" s="1">
        <v>2465</v>
      </c>
      <c r="G224" s="1">
        <v>2456</v>
      </c>
      <c r="H224" s="1">
        <v>2283</v>
      </c>
      <c r="I224" s="1">
        <v>2087</v>
      </c>
      <c r="J224" s="1">
        <v>2165</v>
      </c>
      <c r="K224" s="1">
        <v>2090</v>
      </c>
      <c r="L224" s="1">
        <v>2180</v>
      </c>
      <c r="M224" s="1">
        <v>2118</v>
      </c>
      <c r="N224" s="1">
        <v>2122</v>
      </c>
      <c r="O224" s="1">
        <v>2090</v>
      </c>
      <c r="P224" s="1">
        <v>2033</v>
      </c>
      <c r="Q224" s="1">
        <v>2161</v>
      </c>
      <c r="R224" s="1">
        <v>2033</v>
      </c>
      <c r="S224" s="1">
        <v>2060</v>
      </c>
      <c r="T224" s="1">
        <v>2013</v>
      </c>
      <c r="U224" s="1">
        <v>1932</v>
      </c>
      <c r="V224" s="1">
        <v>2100</v>
      </c>
      <c r="W224" s="1">
        <v>2230</v>
      </c>
      <c r="X224" s="1">
        <v>2017</v>
      </c>
      <c r="Y224" s="1">
        <v>2187</v>
      </c>
      <c r="Z224" s="1">
        <v>2080</v>
      </c>
      <c r="AA224" s="1">
        <v>2101</v>
      </c>
      <c r="AB224" s="1">
        <v>2015</v>
      </c>
      <c r="AC224" s="1">
        <v>1928</v>
      </c>
      <c r="AD224" s="1">
        <v>1929</v>
      </c>
      <c r="AE224" s="1">
        <v>1796</v>
      </c>
      <c r="AF224" s="1">
        <v>1771</v>
      </c>
      <c r="AG224" s="1">
        <v>1850</v>
      </c>
      <c r="AH224" s="1">
        <v>1854</v>
      </c>
      <c r="AI224" s="1">
        <v>1788</v>
      </c>
      <c r="AJ224" s="1">
        <v>1864</v>
      </c>
      <c r="AK224" s="1">
        <v>1844</v>
      </c>
      <c r="AL224" s="1">
        <v>1865</v>
      </c>
      <c r="AM224" s="1">
        <v>1886</v>
      </c>
      <c r="AN224" s="1">
        <v>1900</v>
      </c>
      <c r="AO224" s="1">
        <v>1918</v>
      </c>
      <c r="AP224" s="1">
        <v>1930</v>
      </c>
      <c r="AQ224" s="1">
        <v>1847</v>
      </c>
      <c r="AR224" s="1">
        <v>1800</v>
      </c>
      <c r="AS224" s="1">
        <v>1799</v>
      </c>
      <c r="AT224" s="1">
        <v>1787</v>
      </c>
      <c r="AU224" s="1">
        <v>1745</v>
      </c>
      <c r="AV224" s="1">
        <v>1651</v>
      </c>
      <c r="AW224" s="1">
        <v>1640</v>
      </c>
      <c r="AX224" s="1">
        <v>1627</v>
      </c>
      <c r="AY224" s="1">
        <v>1699</v>
      </c>
      <c r="AZ224" s="1">
        <v>1640</v>
      </c>
      <c r="BA224" s="1">
        <v>1560</v>
      </c>
      <c r="BB224" s="1">
        <v>1632</v>
      </c>
      <c r="BC224" s="1">
        <v>1698</v>
      </c>
      <c r="BD224" s="1">
        <v>1736</v>
      </c>
      <c r="BE224" s="1">
        <v>1719</v>
      </c>
      <c r="BF224" s="1">
        <v>1687</v>
      </c>
      <c r="BG224" s="1">
        <v>1611</v>
      </c>
      <c r="BH224" s="1">
        <v>1751</v>
      </c>
      <c r="BI224" s="1">
        <v>1811</v>
      </c>
      <c r="BJ224" s="1">
        <v>1832</v>
      </c>
      <c r="BK224" s="1">
        <v>1828</v>
      </c>
      <c r="BL224" s="1">
        <v>1795</v>
      </c>
    </row>
    <row r="225" spans="1:64">
      <c r="A225" s="77" t="s">
        <v>476</v>
      </c>
      <c r="B225" s="1" t="str">
        <f>銘柄管理!C225</f>
        <v>ミナトホールディングス</v>
      </c>
      <c r="C225" s="1">
        <f>_xll.RssMarket("6862","始値")</f>
        <v>2100</v>
      </c>
      <c r="E225" s="2">
        <v>2100</v>
      </c>
      <c r="F225" s="1">
        <v>2079</v>
      </c>
      <c r="G225" s="1">
        <v>2000</v>
      </c>
      <c r="H225" s="1">
        <v>2015</v>
      </c>
      <c r="I225" s="1">
        <v>1924</v>
      </c>
      <c r="J225" s="1">
        <v>2054</v>
      </c>
      <c r="K225" s="1">
        <v>2105</v>
      </c>
      <c r="L225" s="1">
        <v>2130</v>
      </c>
      <c r="M225" s="1">
        <v>2182</v>
      </c>
      <c r="N225" s="1">
        <v>2240</v>
      </c>
      <c r="O225" s="1">
        <v>2165</v>
      </c>
      <c r="P225" s="1">
        <v>2240</v>
      </c>
      <c r="Q225" s="1">
        <v>2298</v>
      </c>
      <c r="R225" s="1">
        <v>2499</v>
      </c>
      <c r="S225" s="1">
        <v>2617</v>
      </c>
      <c r="T225" s="1">
        <v>2576</v>
      </c>
      <c r="U225" s="1">
        <v>2505</v>
      </c>
      <c r="V225" s="1">
        <v>2494</v>
      </c>
      <c r="W225" s="1">
        <v>2731</v>
      </c>
      <c r="X225" s="1">
        <v>2867</v>
      </c>
      <c r="Y225" s="1">
        <v>2942</v>
      </c>
      <c r="Z225" s="1">
        <v>2880</v>
      </c>
      <c r="AA225" s="1">
        <v>2930</v>
      </c>
      <c r="AB225" s="1">
        <v>3555</v>
      </c>
      <c r="AC225" s="1">
        <v>4165</v>
      </c>
      <c r="AD225" s="1">
        <v>3695</v>
      </c>
      <c r="AE225" s="1">
        <v>3715</v>
      </c>
      <c r="AF225" s="1">
        <v>2798</v>
      </c>
      <c r="AG225" s="1">
        <v>2622</v>
      </c>
      <c r="AH225" s="1">
        <v>2651</v>
      </c>
      <c r="AI225" s="1">
        <v>2532</v>
      </c>
      <c r="AJ225" s="1">
        <v>2403</v>
      </c>
      <c r="AK225" s="1">
        <v>2530</v>
      </c>
      <c r="AL225" s="1">
        <v>2555</v>
      </c>
      <c r="AM225" s="1">
        <v>2559</v>
      </c>
      <c r="AN225" s="1">
        <v>2422</v>
      </c>
      <c r="AO225" s="1">
        <v>2473</v>
      </c>
      <c r="AP225" s="1">
        <v>2416</v>
      </c>
      <c r="AQ225" s="1">
        <v>2601</v>
      </c>
      <c r="AR225" s="1">
        <v>2446</v>
      </c>
      <c r="AS225" s="1">
        <v>2189</v>
      </c>
      <c r="AT225" s="1">
        <v>2218</v>
      </c>
      <c r="AU225" s="1">
        <v>2209</v>
      </c>
      <c r="AV225" s="1">
        <v>2168</v>
      </c>
      <c r="AW225" s="1">
        <v>2088</v>
      </c>
      <c r="AX225" s="1">
        <v>2139</v>
      </c>
      <c r="AY225" s="1">
        <v>2053</v>
      </c>
      <c r="AZ225" s="1">
        <v>2165</v>
      </c>
      <c r="BA225" s="1">
        <v>2099</v>
      </c>
      <c r="BB225" s="1">
        <v>2089</v>
      </c>
      <c r="BC225" s="1">
        <v>2180</v>
      </c>
      <c r="BD225" s="1">
        <v>2338</v>
      </c>
      <c r="BE225" s="1">
        <v>2597</v>
      </c>
      <c r="BF225" s="1">
        <v>2196</v>
      </c>
      <c r="BG225" s="1">
        <v>2130</v>
      </c>
      <c r="BH225" s="1">
        <v>2114</v>
      </c>
      <c r="BI225" s="1">
        <v>2326</v>
      </c>
      <c r="BJ225" s="1">
        <v>2337</v>
      </c>
      <c r="BK225" s="1">
        <v>2501</v>
      </c>
      <c r="BL225" s="1">
        <v>2380</v>
      </c>
    </row>
    <row r="226" spans="1:64">
      <c r="A226" s="77" t="s">
        <v>491</v>
      </c>
      <c r="B226" s="1" t="str">
        <f>銘柄管理!C226</f>
        <v>ヤクルト</v>
      </c>
      <c r="C226" s="1">
        <f>_xll.RssMarket("2267","始値")</f>
        <v>2647</v>
      </c>
      <c r="E226" s="2">
        <v>2647</v>
      </c>
      <c r="F226" s="1">
        <v>2644.5</v>
      </c>
      <c r="G226" s="1">
        <v>2679.5</v>
      </c>
      <c r="H226" s="1">
        <v>2650</v>
      </c>
      <c r="I226" s="1">
        <v>2715</v>
      </c>
      <c r="J226" s="1">
        <v>2705</v>
      </c>
      <c r="K226" s="1">
        <v>2641</v>
      </c>
      <c r="L226" s="1">
        <v>2684.5</v>
      </c>
      <c r="M226" s="1">
        <v>2687.5</v>
      </c>
      <c r="N226" s="1">
        <v>2699</v>
      </c>
      <c r="O226" s="1">
        <v>2657.5</v>
      </c>
      <c r="P226" s="1">
        <v>2693</v>
      </c>
      <c r="Q226" s="1">
        <v>2734</v>
      </c>
      <c r="R226" s="1">
        <v>2660.5</v>
      </c>
      <c r="S226" s="1">
        <v>2806.5</v>
      </c>
      <c r="T226" s="1">
        <v>2746</v>
      </c>
      <c r="U226" s="1">
        <v>2768</v>
      </c>
      <c r="V226" s="1">
        <v>2831.5</v>
      </c>
      <c r="W226" s="1">
        <v>2749</v>
      </c>
      <c r="X226" s="1">
        <v>2762</v>
      </c>
      <c r="Y226" s="1">
        <v>2753</v>
      </c>
      <c r="Z226" s="1">
        <v>2800.5</v>
      </c>
      <c r="AA226" s="1">
        <v>2670</v>
      </c>
      <c r="AB226" s="1">
        <v>2900</v>
      </c>
      <c r="AC226" s="1">
        <v>2916.5</v>
      </c>
      <c r="AD226" s="1">
        <v>2978</v>
      </c>
      <c r="AE226" s="1">
        <v>3056</v>
      </c>
      <c r="AF226" s="1">
        <v>2820</v>
      </c>
      <c r="AG226" s="1">
        <v>2722.5</v>
      </c>
      <c r="AH226" s="1">
        <v>2742</v>
      </c>
      <c r="AI226" s="1">
        <v>2749</v>
      </c>
      <c r="AJ226" s="1">
        <v>2653</v>
      </c>
      <c r="AK226" s="1">
        <v>2596</v>
      </c>
      <c r="AL226" s="1">
        <v>2605</v>
      </c>
      <c r="AM226" s="1">
        <v>2625</v>
      </c>
      <c r="AN226" s="1">
        <v>2672</v>
      </c>
      <c r="AO226" s="1">
        <v>2650</v>
      </c>
      <c r="AP226" s="1">
        <v>2700</v>
      </c>
      <c r="AQ226" s="1">
        <v>2628.5</v>
      </c>
      <c r="AR226" s="1">
        <v>2629</v>
      </c>
      <c r="AS226" s="1">
        <v>2640</v>
      </c>
      <c r="AT226" s="1">
        <v>2701</v>
      </c>
      <c r="AU226" s="1">
        <v>2793</v>
      </c>
      <c r="AV226" s="1">
        <v>2771.5</v>
      </c>
      <c r="AW226" s="1">
        <v>2740</v>
      </c>
      <c r="AX226" s="1">
        <v>2713.5</v>
      </c>
      <c r="AY226" s="1">
        <v>2653</v>
      </c>
      <c r="AZ226" s="1">
        <v>2665</v>
      </c>
      <c r="BA226" s="1">
        <v>2648</v>
      </c>
      <c r="BB226" s="1">
        <v>2675</v>
      </c>
      <c r="BC226" s="1">
        <v>2629</v>
      </c>
      <c r="BD226" s="1">
        <v>2672</v>
      </c>
      <c r="BE226" s="1">
        <v>2607</v>
      </c>
      <c r="BF226" s="1">
        <v>2612.5</v>
      </c>
      <c r="BG226" s="1">
        <v>2585</v>
      </c>
      <c r="BH226" s="1">
        <v>2579.5</v>
      </c>
      <c r="BI226" s="1">
        <v>2600</v>
      </c>
      <c r="BJ226" s="1">
        <v>2596</v>
      </c>
      <c r="BK226" s="1">
        <v>2574</v>
      </c>
      <c r="BL226" s="1">
        <v>2588.5</v>
      </c>
    </row>
    <row r="227" spans="1:64">
      <c r="A227" s="77" t="s">
        <v>492</v>
      </c>
      <c r="B227" s="1" t="str">
        <f>銘柄管理!C227</f>
        <v>ＮＦエネ資源Ｔ１７</v>
      </c>
      <c r="C227" s="1">
        <f>_xll.RssMarket("1618","始値")</f>
        <v>32080</v>
      </c>
      <c r="E227" s="2">
        <v>32080</v>
      </c>
      <c r="F227" s="1">
        <v>32450</v>
      </c>
      <c r="G227" s="1">
        <v>33120</v>
      </c>
      <c r="H227" s="1">
        <v>32980</v>
      </c>
      <c r="I227" s="1">
        <v>32720</v>
      </c>
      <c r="J227" s="1">
        <v>32660</v>
      </c>
      <c r="K227" s="1">
        <v>33310</v>
      </c>
      <c r="L227" s="1">
        <v>34200</v>
      </c>
      <c r="M227" s="1">
        <v>34510</v>
      </c>
      <c r="N227" s="1">
        <v>34250</v>
      </c>
      <c r="O227" s="1">
        <v>33040</v>
      </c>
      <c r="P227" s="1">
        <v>33600</v>
      </c>
      <c r="Q227" s="1">
        <v>33490</v>
      </c>
      <c r="R227" s="1">
        <v>33670</v>
      </c>
      <c r="S227" s="1">
        <v>34600</v>
      </c>
      <c r="T227" s="1">
        <v>34730</v>
      </c>
      <c r="U227" s="1">
        <v>35740</v>
      </c>
      <c r="V227" s="1">
        <v>36280</v>
      </c>
      <c r="W227" s="1">
        <v>36430</v>
      </c>
      <c r="X227" s="1">
        <v>36910</v>
      </c>
      <c r="Y227" s="1">
        <v>35810</v>
      </c>
      <c r="Z227" s="1">
        <v>35900</v>
      </c>
      <c r="AA227" s="1">
        <v>36470</v>
      </c>
      <c r="AB227" s="1">
        <v>36030</v>
      </c>
      <c r="AC227" s="1">
        <v>34580</v>
      </c>
      <c r="AD227" s="1">
        <v>35140</v>
      </c>
      <c r="AE227" s="1">
        <v>36060</v>
      </c>
      <c r="AF227" s="1">
        <v>36090</v>
      </c>
      <c r="AG227" s="1">
        <v>36900</v>
      </c>
      <c r="AH227" s="1">
        <v>35220</v>
      </c>
      <c r="AI227" s="1">
        <v>35740</v>
      </c>
      <c r="AJ227" s="1">
        <v>35940</v>
      </c>
      <c r="AK227" s="1">
        <v>35000</v>
      </c>
      <c r="AL227" s="1">
        <v>35790</v>
      </c>
      <c r="AM227" s="1">
        <v>36360</v>
      </c>
      <c r="AN227" s="1">
        <v>36790</v>
      </c>
      <c r="AO227" s="1">
        <v>37830</v>
      </c>
      <c r="AP227" s="1">
        <v>38270</v>
      </c>
      <c r="AQ227" s="1">
        <v>38300</v>
      </c>
      <c r="AR227" s="1">
        <v>39000</v>
      </c>
      <c r="AS227" s="1">
        <v>39530</v>
      </c>
      <c r="AT227" s="1">
        <v>38930</v>
      </c>
      <c r="AU227" s="1">
        <v>39170</v>
      </c>
      <c r="AV227" s="1">
        <v>40930</v>
      </c>
      <c r="AW227" s="1">
        <v>41080</v>
      </c>
      <c r="AX227" s="1">
        <v>41290</v>
      </c>
      <c r="AY227" s="1">
        <v>40450</v>
      </c>
      <c r="AZ227" s="1">
        <v>41190</v>
      </c>
      <c r="BA227" s="1">
        <v>40400</v>
      </c>
      <c r="BB227" s="1">
        <v>42010</v>
      </c>
      <c r="BC227" s="1">
        <v>41940</v>
      </c>
      <c r="BD227" s="1">
        <v>40030</v>
      </c>
      <c r="BE227" s="1">
        <v>39500</v>
      </c>
      <c r="BF227" s="1">
        <v>39530</v>
      </c>
      <c r="BG227" s="1">
        <v>38140</v>
      </c>
      <c r="BH227" s="1">
        <v>39410</v>
      </c>
      <c r="BI227" s="1">
        <v>40100</v>
      </c>
      <c r="BJ227" s="1">
        <v>39600</v>
      </c>
      <c r="BK227" s="1">
        <v>38080</v>
      </c>
      <c r="BL227" s="1">
        <v>38950</v>
      </c>
    </row>
    <row r="228" spans="1:64">
      <c r="A228" s="77" t="s">
        <v>493</v>
      </c>
      <c r="C228" s="1">
        <f>_xll.RssMarket("3696","始値")</f>
        <v>1794</v>
      </c>
      <c r="E228" s="2">
        <v>1794</v>
      </c>
      <c r="F228" s="1">
        <v>1826</v>
      </c>
      <c r="G228" s="1">
        <v>1816</v>
      </c>
      <c r="H228" s="1">
        <v>1745</v>
      </c>
      <c r="I228" s="1">
        <v>1746</v>
      </c>
      <c r="J228" s="1">
        <v>1772</v>
      </c>
      <c r="K228" s="1">
        <v>1749</v>
      </c>
      <c r="L228" s="1">
        <v>1745</v>
      </c>
      <c r="M228" s="1">
        <v>1747</v>
      </c>
      <c r="N228" s="1">
        <v>1805</v>
      </c>
      <c r="O228" s="1">
        <v>1802</v>
      </c>
      <c r="P228" s="1">
        <v>1756</v>
      </c>
      <c r="Q228" s="1">
        <v>1714</v>
      </c>
      <c r="R228" s="1">
        <v>1785</v>
      </c>
      <c r="S228" s="1">
        <v>1819</v>
      </c>
      <c r="T228" s="1">
        <v>1838</v>
      </c>
      <c r="U228" s="1">
        <v>1830</v>
      </c>
      <c r="V228" s="1">
        <v>1871</v>
      </c>
      <c r="W228" s="1">
        <v>1913</v>
      </c>
      <c r="X228" s="1">
        <v>1932</v>
      </c>
      <c r="Y228" s="1">
        <v>1887</v>
      </c>
      <c r="Z228" s="1">
        <v>1902</v>
      </c>
      <c r="AA228" s="1">
        <v>1901</v>
      </c>
      <c r="AB228" s="1">
        <v>4300</v>
      </c>
      <c r="AC228" s="1">
        <v>4120</v>
      </c>
      <c r="AD228" s="1">
        <v>4215</v>
      </c>
      <c r="AE228" s="1">
        <v>3900</v>
      </c>
      <c r="AF228" s="1">
        <v>3960</v>
      </c>
      <c r="AG228" s="1">
        <v>4000</v>
      </c>
      <c r="AH228" s="1">
        <v>3870</v>
      </c>
      <c r="AI228" s="1">
        <v>3970</v>
      </c>
      <c r="AJ228" s="1">
        <v>4215</v>
      </c>
      <c r="AK228" s="1">
        <v>4400</v>
      </c>
      <c r="AL228" s="1">
        <v>4760</v>
      </c>
      <c r="AM228" s="1">
        <v>4695</v>
      </c>
      <c r="AN228" s="1">
        <v>4455</v>
      </c>
      <c r="AO228" s="1">
        <v>4475</v>
      </c>
      <c r="AP228" s="1">
        <v>4420</v>
      </c>
      <c r="AQ228" s="1">
        <v>4320</v>
      </c>
      <c r="AR228" s="1">
        <v>4190</v>
      </c>
      <c r="AS228" s="1">
        <v>4375</v>
      </c>
      <c r="AT228" s="1">
        <v>4535</v>
      </c>
      <c r="AU228" s="1">
        <v>4655</v>
      </c>
      <c r="AV228" s="1">
        <v>4815</v>
      </c>
      <c r="AW228" s="1">
        <v>4725</v>
      </c>
      <c r="AX228" s="1">
        <v>4755</v>
      </c>
      <c r="AY228" s="1">
        <v>4655</v>
      </c>
      <c r="AZ228" s="1">
        <v>4485</v>
      </c>
      <c r="BA228" s="1">
        <v>4310</v>
      </c>
      <c r="BB228" s="1">
        <v>4200</v>
      </c>
      <c r="BC228" s="1">
        <v>4080</v>
      </c>
      <c r="BD228" s="1">
        <v>4180</v>
      </c>
      <c r="BE228" s="1">
        <v>4200</v>
      </c>
      <c r="BF228" s="1">
        <v>4235</v>
      </c>
      <c r="BG228" s="1">
        <v>4135</v>
      </c>
      <c r="BH228" s="1">
        <v>4170</v>
      </c>
      <c r="BI228" s="1">
        <v>4300</v>
      </c>
      <c r="BJ228" s="1">
        <v>4210</v>
      </c>
      <c r="BK228" s="1">
        <v>4140</v>
      </c>
      <c r="BL228" s="1">
        <v>4005</v>
      </c>
    </row>
    <row r="229" spans="1:64">
      <c r="A229" s="77" t="s">
        <v>494</v>
      </c>
      <c r="B229" s="1" t="str">
        <f>銘柄管理!C229</f>
        <v>児玉化学</v>
      </c>
      <c r="C229" s="1">
        <f>_xll.RssMarket("4222","始値")</f>
        <v>687</v>
      </c>
      <c r="E229" s="2">
        <v>687</v>
      </c>
      <c r="F229" s="1">
        <v>697</v>
      </c>
      <c r="G229" s="1">
        <v>664</v>
      </c>
      <c r="H229" s="1">
        <v>674</v>
      </c>
      <c r="I229" s="1">
        <v>685</v>
      </c>
      <c r="J229" s="1">
        <v>691</v>
      </c>
      <c r="K229" s="1">
        <v>681</v>
      </c>
      <c r="L229" s="1">
        <v>700</v>
      </c>
      <c r="M229" s="1">
        <v>702</v>
      </c>
      <c r="N229" s="1">
        <v>694</v>
      </c>
      <c r="O229" s="1">
        <v>701</v>
      </c>
      <c r="P229" s="1">
        <v>750</v>
      </c>
      <c r="Q229" s="1">
        <v>785</v>
      </c>
      <c r="R229" s="1">
        <v>815</v>
      </c>
      <c r="S229" s="1">
        <v>802</v>
      </c>
      <c r="T229" s="1">
        <v>828</v>
      </c>
      <c r="U229" s="1">
        <v>850</v>
      </c>
      <c r="V229" s="1">
        <v>878</v>
      </c>
      <c r="W229" s="1">
        <v>909</v>
      </c>
      <c r="X229" s="1">
        <v>954</v>
      </c>
      <c r="Y229" s="1">
        <v>1226</v>
      </c>
      <c r="Z229" s="1">
        <v>1249</v>
      </c>
      <c r="AA229" s="1">
        <v>1315</v>
      </c>
      <c r="AB229" s="1">
        <v>1186</v>
      </c>
      <c r="AC229" s="1">
        <v>1155</v>
      </c>
      <c r="AD229" s="1">
        <v>1125</v>
      </c>
      <c r="AE229" s="1">
        <v>1115</v>
      </c>
      <c r="AF229" s="1">
        <v>1117</v>
      </c>
      <c r="AG229" s="1">
        <v>1150</v>
      </c>
      <c r="AH229" s="1">
        <v>1141</v>
      </c>
      <c r="AI229" s="1">
        <v>1134</v>
      </c>
      <c r="AJ229" s="1">
        <v>1165</v>
      </c>
      <c r="AK229" s="1">
        <v>1172</v>
      </c>
      <c r="AL229" s="1">
        <v>1200</v>
      </c>
      <c r="AM229" s="1">
        <v>1150</v>
      </c>
      <c r="AN229" s="1">
        <v>1166</v>
      </c>
      <c r="AO229" s="1">
        <v>1160</v>
      </c>
      <c r="AP229" s="1">
        <v>1151</v>
      </c>
      <c r="AQ229" s="1">
        <v>1140</v>
      </c>
      <c r="AR229" s="1">
        <v>1083</v>
      </c>
      <c r="AS229" s="1">
        <v>1124</v>
      </c>
      <c r="AT229" s="1">
        <v>1150</v>
      </c>
      <c r="AU229" s="1">
        <v>1085</v>
      </c>
      <c r="AV229" s="1">
        <v>1058</v>
      </c>
      <c r="AW229" s="1">
        <v>1020</v>
      </c>
      <c r="AX229" s="1">
        <v>1003</v>
      </c>
      <c r="AY229" s="1">
        <v>1040</v>
      </c>
      <c r="AZ229" s="1">
        <v>1028</v>
      </c>
      <c r="BA229" s="1">
        <v>1001</v>
      </c>
      <c r="BB229" s="1">
        <v>1005</v>
      </c>
      <c r="BC229" s="1">
        <v>1033</v>
      </c>
      <c r="BD229" s="1">
        <v>1219</v>
      </c>
      <c r="BE229" s="1">
        <v>1040</v>
      </c>
      <c r="BF229" s="1">
        <v>999</v>
      </c>
      <c r="BG229" s="1">
        <v>971</v>
      </c>
      <c r="BH229" s="1">
        <v>1066</v>
      </c>
      <c r="BI229" s="1">
        <v>1065</v>
      </c>
      <c r="BJ229" s="1">
        <v>1088</v>
      </c>
      <c r="BK229" s="1">
        <v>1070</v>
      </c>
      <c r="BL229" s="1">
        <v>1104</v>
      </c>
    </row>
    <row r="230" spans="1:64">
      <c r="A230" s="77" t="s">
        <v>512</v>
      </c>
      <c r="B230" s="1" t="str">
        <f>銘柄管理!C230</f>
        <v>ＦＯＯＤ＆ＬＩＦＥＣＯＭＰＡＮ</v>
      </c>
      <c r="C230" s="1">
        <f>_xll.RssMarket("3563","始値")</f>
        <v>10300</v>
      </c>
      <c r="E230" s="1">
        <v>10300</v>
      </c>
      <c r="F230" s="1">
        <v>10170</v>
      </c>
      <c r="G230" s="1">
        <v>10045</v>
      </c>
      <c r="H230" s="1">
        <v>9869</v>
      </c>
      <c r="I230" s="1">
        <v>9950</v>
      </c>
      <c r="J230" s="1">
        <v>9609</v>
      </c>
      <c r="K230" s="1">
        <v>9761</v>
      </c>
      <c r="L230" s="1">
        <v>9691</v>
      </c>
      <c r="M230" s="1">
        <v>10240</v>
      </c>
      <c r="N230" s="1">
        <v>10500</v>
      </c>
      <c r="O230" s="1">
        <v>10350</v>
      </c>
      <c r="P230" s="1">
        <v>10425</v>
      </c>
      <c r="Q230" s="1">
        <v>10160</v>
      </c>
      <c r="R230" s="1">
        <v>10185</v>
      </c>
      <c r="S230" s="1">
        <v>10900</v>
      </c>
      <c r="T230" s="1">
        <v>10565</v>
      </c>
      <c r="U230" s="1">
        <v>11000</v>
      </c>
      <c r="V230" s="1">
        <v>10820</v>
      </c>
      <c r="W230" s="1">
        <v>10600</v>
      </c>
      <c r="X230" s="1">
        <v>10450</v>
      </c>
      <c r="Y230" s="1">
        <v>10700</v>
      </c>
      <c r="Z230" s="1">
        <v>10710</v>
      </c>
      <c r="AA230" s="1">
        <v>10560</v>
      </c>
      <c r="AB230" s="1">
        <v>10660</v>
      </c>
      <c r="AC230" s="1">
        <v>10500</v>
      </c>
      <c r="AD230" s="1">
        <v>9905</v>
      </c>
      <c r="AE230" s="1">
        <v>9200</v>
      </c>
      <c r="AF230" s="1">
        <v>9050</v>
      </c>
      <c r="AG230" s="1">
        <v>8864</v>
      </c>
      <c r="AH230" s="1">
        <v>9055</v>
      </c>
      <c r="AI230" s="1">
        <v>9030</v>
      </c>
      <c r="AJ230" s="1">
        <v>9202</v>
      </c>
      <c r="AK230" s="1">
        <v>9014</v>
      </c>
      <c r="AL230" s="1">
        <v>9311</v>
      </c>
      <c r="AM230" s="1">
        <v>9570</v>
      </c>
      <c r="AN230" s="1">
        <v>9400</v>
      </c>
      <c r="AO230" s="1">
        <v>9420</v>
      </c>
      <c r="AP230" s="1">
        <v>9490</v>
      </c>
      <c r="AQ230" s="1">
        <v>9700</v>
      </c>
      <c r="AR230" s="1">
        <v>9614</v>
      </c>
      <c r="AS230" s="1">
        <v>9577</v>
      </c>
      <c r="AT230" s="1">
        <v>9351</v>
      </c>
      <c r="AU230" s="1">
        <v>9619</v>
      </c>
      <c r="AV230" s="1">
        <v>9800</v>
      </c>
      <c r="AW230" s="1">
        <v>9714</v>
      </c>
      <c r="AX230" s="1">
        <v>9747</v>
      </c>
      <c r="AY230" s="1">
        <v>9712</v>
      </c>
      <c r="AZ230" s="1">
        <v>9768</v>
      </c>
      <c r="BA230" s="1">
        <v>9650</v>
      </c>
      <c r="BB230" s="1">
        <v>9442</v>
      </c>
      <c r="BC230" s="1">
        <v>9303</v>
      </c>
      <c r="BD230" s="1">
        <v>9749</v>
      </c>
      <c r="BE230" s="1">
        <v>10005</v>
      </c>
      <c r="BF230" s="1">
        <v>9980</v>
      </c>
      <c r="BG230" s="1">
        <v>9879</v>
      </c>
      <c r="BH230" s="1">
        <v>9418</v>
      </c>
      <c r="BI230" s="1">
        <v>9604</v>
      </c>
      <c r="BJ230" s="1">
        <v>9500</v>
      </c>
      <c r="BK230" s="1">
        <v>9625</v>
      </c>
      <c r="BL230" s="1">
        <v>9650</v>
      </c>
    </row>
    <row r="231" spans="1:64">
      <c r="A231" s="77" t="s">
        <v>513</v>
      </c>
      <c r="B231" s="1" t="str">
        <f>銘柄管理!C231</f>
        <v>ＩＨＩ</v>
      </c>
      <c r="C231" s="1">
        <f>_xll.RssMarket("7013","始値")</f>
        <v>2808</v>
      </c>
      <c r="E231" s="1">
        <v>2808</v>
      </c>
      <c r="F231" s="1">
        <v>2855</v>
      </c>
      <c r="G231" s="1">
        <v>2520</v>
      </c>
      <c r="H231" s="1">
        <v>2405.5</v>
      </c>
      <c r="I231" s="1">
        <v>2302.5</v>
      </c>
      <c r="J231" s="1">
        <v>2470</v>
      </c>
      <c r="K231" s="1">
        <v>2486</v>
      </c>
      <c r="L231" s="1">
        <v>2570</v>
      </c>
      <c r="M231" s="1">
        <v>2460</v>
      </c>
      <c r="N231" s="1">
        <v>2558</v>
      </c>
      <c r="O231" s="1">
        <v>2613.5</v>
      </c>
      <c r="P231" s="1">
        <v>2750</v>
      </c>
      <c r="Q231" s="1">
        <v>2800</v>
      </c>
      <c r="R231" s="1">
        <v>2960</v>
      </c>
      <c r="S231" s="1">
        <v>2830</v>
      </c>
      <c r="T231" s="1">
        <v>2775</v>
      </c>
      <c r="U231" s="1">
        <v>2612.5</v>
      </c>
      <c r="V231" s="1">
        <v>2545.5</v>
      </c>
      <c r="W231" s="1">
        <v>2693</v>
      </c>
      <c r="X231" s="1">
        <v>2727.5</v>
      </c>
      <c r="Y231" s="1">
        <v>2664</v>
      </c>
      <c r="Z231" s="1">
        <v>2750</v>
      </c>
      <c r="AA231" s="1">
        <v>2766</v>
      </c>
      <c r="AB231" s="1">
        <v>2845</v>
      </c>
      <c r="AC231" s="1">
        <v>2950</v>
      </c>
      <c r="AD231" s="1">
        <v>3098</v>
      </c>
      <c r="AE231" s="1">
        <v>2880</v>
      </c>
      <c r="AF231" s="1">
        <v>2876.5</v>
      </c>
      <c r="AG231" s="1">
        <v>2962</v>
      </c>
      <c r="AH231" s="1">
        <v>2948</v>
      </c>
      <c r="AI231" s="1">
        <v>2924</v>
      </c>
      <c r="AJ231" s="1">
        <v>3071</v>
      </c>
      <c r="AK231" s="1">
        <v>3071</v>
      </c>
      <c r="AL231" s="1">
        <v>2947</v>
      </c>
      <c r="AM231" s="1">
        <v>3131</v>
      </c>
      <c r="AN231" s="1">
        <v>3130</v>
      </c>
      <c r="AO231" s="1">
        <v>3179</v>
      </c>
      <c r="AP231" s="1">
        <v>3185</v>
      </c>
      <c r="AQ231" s="1">
        <v>3310</v>
      </c>
      <c r="AR231" s="1">
        <v>3344</v>
      </c>
      <c r="AS231" s="1">
        <v>3299</v>
      </c>
      <c r="AT231" s="1">
        <v>3352</v>
      </c>
      <c r="AU231" s="1">
        <v>3445</v>
      </c>
      <c r="AV231" s="1">
        <v>3475</v>
      </c>
      <c r="AW231" s="1">
        <v>3331</v>
      </c>
      <c r="AX231" s="1">
        <v>3419</v>
      </c>
      <c r="AY231" s="1">
        <v>3500</v>
      </c>
      <c r="AZ231" s="1">
        <v>3462</v>
      </c>
      <c r="BA231" s="1">
        <v>3267</v>
      </c>
      <c r="BB231" s="1">
        <v>3200</v>
      </c>
      <c r="BC231" s="1">
        <v>3288</v>
      </c>
      <c r="BD231" s="1">
        <v>3417</v>
      </c>
      <c r="BE231" s="1">
        <v>3521</v>
      </c>
      <c r="BF231" s="1">
        <v>3522</v>
      </c>
      <c r="BG231" s="1">
        <v>3559</v>
      </c>
      <c r="BH231" s="1">
        <v>3655</v>
      </c>
      <c r="BI231" s="1">
        <v>3830</v>
      </c>
      <c r="BJ231" s="1">
        <v>3851</v>
      </c>
      <c r="BK231" s="1">
        <v>3801</v>
      </c>
      <c r="BL231" s="1">
        <v>3693</v>
      </c>
    </row>
    <row r="232" spans="1:64">
      <c r="A232" s="77" t="s">
        <v>516</v>
      </c>
      <c r="B232" s="1" t="str">
        <f>銘柄管理!C232</f>
        <v>ＮＥＣキャピタルソリューション</v>
      </c>
      <c r="C232" s="1">
        <f>_xll.RssMarket("8793","始値")</f>
        <v>4160</v>
      </c>
      <c r="E232" s="1">
        <v>4160</v>
      </c>
      <c r="F232" s="1">
        <v>4130</v>
      </c>
      <c r="G232" s="1">
        <v>4155</v>
      </c>
      <c r="H232" s="1">
        <v>4105</v>
      </c>
      <c r="I232" s="1">
        <v>4160</v>
      </c>
      <c r="J232" s="1">
        <v>4140</v>
      </c>
      <c r="K232" s="1">
        <v>4010</v>
      </c>
      <c r="L232" s="1">
        <v>3950</v>
      </c>
      <c r="M232" s="1">
        <v>3920</v>
      </c>
      <c r="N232" s="1">
        <v>3885</v>
      </c>
      <c r="O232" s="1">
        <v>3900</v>
      </c>
      <c r="P232" s="1">
        <v>3960</v>
      </c>
      <c r="Q232" s="1">
        <v>3940</v>
      </c>
      <c r="R232" s="1">
        <v>3965</v>
      </c>
      <c r="S232" s="1">
        <v>3980</v>
      </c>
      <c r="T232" s="1">
        <v>4025</v>
      </c>
      <c r="U232" s="1">
        <v>3980</v>
      </c>
      <c r="V232" s="1">
        <v>3965</v>
      </c>
      <c r="W232" s="1">
        <v>3935</v>
      </c>
      <c r="X232" s="1">
        <v>3970</v>
      </c>
      <c r="Y232" s="1">
        <v>4010</v>
      </c>
      <c r="Z232" s="1">
        <v>4030</v>
      </c>
      <c r="AA232" s="1">
        <v>4055</v>
      </c>
      <c r="AB232" s="1">
        <v>4055</v>
      </c>
      <c r="AC232" s="1">
        <v>4055</v>
      </c>
      <c r="AD232" s="1">
        <v>4030</v>
      </c>
      <c r="AE232" s="1">
        <v>4010</v>
      </c>
      <c r="AF232" s="1">
        <v>4090</v>
      </c>
      <c r="AG232" s="1">
        <v>4195</v>
      </c>
      <c r="AH232" s="1">
        <v>4195</v>
      </c>
      <c r="AI232" s="1">
        <v>4280</v>
      </c>
      <c r="AJ232" s="1">
        <v>4210</v>
      </c>
      <c r="AK232" s="1">
        <v>4215</v>
      </c>
      <c r="AL232" s="1">
        <v>4270</v>
      </c>
      <c r="AM232" s="1">
        <v>4315</v>
      </c>
      <c r="AN232" s="1">
        <v>4260</v>
      </c>
      <c r="AO232" s="1">
        <v>4240</v>
      </c>
      <c r="AP232" s="1">
        <v>4280</v>
      </c>
      <c r="AQ232" s="1">
        <v>4245</v>
      </c>
      <c r="AR232" s="1">
        <v>4170</v>
      </c>
      <c r="AS232" s="1">
        <v>4170</v>
      </c>
      <c r="AT232" s="1">
        <v>4245</v>
      </c>
      <c r="AU232" s="1">
        <v>4265</v>
      </c>
      <c r="AV232" s="1">
        <v>4230</v>
      </c>
      <c r="AW232" s="1">
        <v>4175</v>
      </c>
      <c r="AX232" s="1">
        <v>4150</v>
      </c>
      <c r="AY232" s="1">
        <v>4145</v>
      </c>
      <c r="AZ232" s="1">
        <v>4135</v>
      </c>
      <c r="BA232" s="1">
        <v>4115</v>
      </c>
      <c r="BB232" s="1">
        <v>4035</v>
      </c>
      <c r="BC232" s="1">
        <v>3960</v>
      </c>
      <c r="BD232" s="1">
        <v>4165</v>
      </c>
      <c r="BE232" s="1">
        <v>4175</v>
      </c>
      <c r="BF232" s="1">
        <v>4150</v>
      </c>
      <c r="BG232" s="1">
        <v>4095</v>
      </c>
      <c r="BH232" s="1">
        <v>4055</v>
      </c>
      <c r="BI232" s="1">
        <v>4130</v>
      </c>
      <c r="BJ232" s="1">
        <v>4110</v>
      </c>
      <c r="BK232" s="1">
        <v>4095</v>
      </c>
      <c r="BL232" s="1">
        <v>4060</v>
      </c>
    </row>
    <row r="233" spans="1:64">
      <c r="A233" s="77" t="s">
        <v>517</v>
      </c>
      <c r="B233" s="1" t="str">
        <f>銘柄管理!C233</f>
        <v>ミスミグループ本社</v>
      </c>
      <c r="C233" s="1">
        <f>_xll.RssMarket("9962","始値")</f>
        <v>3883</v>
      </c>
      <c r="E233" s="1">
        <v>3883</v>
      </c>
      <c r="F233" s="1">
        <v>3812</v>
      </c>
      <c r="G233" s="1">
        <v>3835</v>
      </c>
      <c r="H233" s="1">
        <v>3720</v>
      </c>
      <c r="I233" s="1">
        <v>3568</v>
      </c>
      <c r="J233" s="1">
        <v>3559</v>
      </c>
      <c r="K233" s="1">
        <v>3574</v>
      </c>
      <c r="L233" s="1">
        <v>3762</v>
      </c>
      <c r="M233" s="1">
        <v>3761</v>
      </c>
      <c r="N233" s="1">
        <v>3760</v>
      </c>
      <c r="O233" s="1">
        <v>3617</v>
      </c>
      <c r="P233" s="1">
        <v>3705</v>
      </c>
      <c r="Q233" s="1">
        <v>3526</v>
      </c>
      <c r="R233" s="1">
        <v>3597</v>
      </c>
      <c r="S233" s="1">
        <v>3446</v>
      </c>
      <c r="T233" s="1">
        <v>3454</v>
      </c>
      <c r="U233" s="1">
        <v>3199</v>
      </c>
      <c r="V233" s="1">
        <v>3087</v>
      </c>
      <c r="W233" s="1">
        <v>3166</v>
      </c>
      <c r="X233" s="1">
        <v>3184</v>
      </c>
      <c r="Y233" s="1">
        <v>3326</v>
      </c>
      <c r="Z233" s="1">
        <v>3359</v>
      </c>
      <c r="AA233" s="1">
        <v>3319</v>
      </c>
      <c r="AB233" s="1">
        <v>3470</v>
      </c>
      <c r="AC233" s="1">
        <v>3466</v>
      </c>
      <c r="AD233" s="1">
        <v>3406</v>
      </c>
      <c r="AE233" s="1">
        <v>3498</v>
      </c>
      <c r="AF233" s="1">
        <v>3309</v>
      </c>
      <c r="AG233" s="1">
        <v>3393</v>
      </c>
      <c r="AH233" s="1">
        <v>3395</v>
      </c>
      <c r="AI233" s="1">
        <v>3065</v>
      </c>
      <c r="AJ233" s="1">
        <v>3025</v>
      </c>
      <c r="AK233" s="1">
        <v>3060</v>
      </c>
      <c r="AL233" s="1">
        <v>3100</v>
      </c>
      <c r="AM233" s="1">
        <v>3150</v>
      </c>
      <c r="AN233" s="1">
        <v>3086</v>
      </c>
      <c r="AO233" s="1">
        <v>3015</v>
      </c>
      <c r="AP233" s="1">
        <v>3034</v>
      </c>
      <c r="AQ233" s="1">
        <v>2992</v>
      </c>
      <c r="AR233" s="1">
        <v>3032</v>
      </c>
      <c r="AS233" s="1">
        <v>2951.5</v>
      </c>
      <c r="AT233" s="1">
        <v>2998</v>
      </c>
      <c r="AU233" s="1">
        <v>2980.5</v>
      </c>
      <c r="AV233" s="1">
        <v>2957</v>
      </c>
      <c r="AW233" s="1">
        <v>2791.5</v>
      </c>
      <c r="AX233" s="1">
        <v>2787</v>
      </c>
      <c r="AY233" s="1">
        <v>2744</v>
      </c>
      <c r="AZ233" s="1">
        <v>2775</v>
      </c>
      <c r="BA233" s="1">
        <v>2741</v>
      </c>
      <c r="BB233" s="1">
        <v>2543</v>
      </c>
      <c r="BC233" s="1">
        <v>2605</v>
      </c>
      <c r="BD233" s="1">
        <v>2793.5</v>
      </c>
      <c r="BE233" s="1">
        <v>2831.5</v>
      </c>
      <c r="BF233" s="1">
        <v>2825.5</v>
      </c>
      <c r="BG233" s="1">
        <v>2750.5</v>
      </c>
      <c r="BH233" s="1">
        <v>2736.5</v>
      </c>
      <c r="BI233" s="1">
        <v>2836.5</v>
      </c>
      <c r="BJ233" s="1">
        <v>2910.5</v>
      </c>
      <c r="BK233" s="1">
        <v>2897</v>
      </c>
      <c r="BL233" s="1">
        <v>2859.5</v>
      </c>
    </row>
    <row r="234" spans="1:64">
      <c r="A234" s="77" t="s">
        <v>518</v>
      </c>
      <c r="B234" s="1" t="str">
        <f>銘柄管理!C234</f>
        <v>ＴＤＫ</v>
      </c>
      <c r="C234" s="1">
        <f>_xll.RssMarket("6762","始値")</f>
        <v>3732</v>
      </c>
      <c r="E234" s="1">
        <v>3732</v>
      </c>
      <c r="F234" s="1">
        <v>3848</v>
      </c>
      <c r="G234" s="1">
        <v>3644</v>
      </c>
      <c r="H234" s="1">
        <v>3756</v>
      </c>
      <c r="I234" s="1">
        <v>3450</v>
      </c>
      <c r="J234" s="1">
        <v>3700</v>
      </c>
      <c r="K234" s="1">
        <v>3899</v>
      </c>
      <c r="L234" s="1">
        <v>3950</v>
      </c>
      <c r="M234" s="1">
        <v>3919</v>
      </c>
      <c r="N234" s="1">
        <v>4083</v>
      </c>
      <c r="O234" s="1">
        <v>3999</v>
      </c>
      <c r="P234" s="1">
        <v>3590</v>
      </c>
      <c r="Q234" s="1">
        <v>3750</v>
      </c>
      <c r="R234" s="1">
        <v>3580</v>
      </c>
      <c r="S234" s="1">
        <v>3137</v>
      </c>
      <c r="T234" s="1">
        <v>2993</v>
      </c>
      <c r="U234" s="1">
        <v>2885.5</v>
      </c>
      <c r="V234" s="1">
        <v>3025</v>
      </c>
      <c r="W234" s="1">
        <v>2988.5</v>
      </c>
      <c r="X234" s="1">
        <v>3110</v>
      </c>
      <c r="Y234" s="1">
        <v>2979</v>
      </c>
      <c r="Z234" s="1">
        <v>2911</v>
      </c>
      <c r="AA234" s="1">
        <v>2936</v>
      </c>
      <c r="AB234" s="1">
        <v>2990</v>
      </c>
      <c r="AC234" s="1">
        <v>2930</v>
      </c>
      <c r="AD234" s="1">
        <v>2920</v>
      </c>
      <c r="AE234" s="1">
        <v>2886</v>
      </c>
      <c r="AF234" s="1">
        <v>2927</v>
      </c>
      <c r="AG234" s="1">
        <v>2740</v>
      </c>
      <c r="AH234" s="1">
        <v>2767.5</v>
      </c>
      <c r="AI234" s="1">
        <v>2700.5</v>
      </c>
      <c r="AJ234" s="1">
        <v>2750</v>
      </c>
      <c r="AK234" s="1">
        <v>2548.5</v>
      </c>
      <c r="AL234" s="1">
        <v>2536</v>
      </c>
      <c r="AM234" s="1">
        <v>2600</v>
      </c>
      <c r="AN234" s="1">
        <v>2527.5</v>
      </c>
      <c r="AO234" s="1">
        <v>2280</v>
      </c>
      <c r="AP234" s="1">
        <v>2300.5</v>
      </c>
      <c r="AQ234" s="1">
        <v>2310</v>
      </c>
      <c r="AR234" s="1">
        <v>2266</v>
      </c>
      <c r="AS234" s="1">
        <v>2249</v>
      </c>
      <c r="AT234" s="1">
        <v>2200</v>
      </c>
      <c r="AU234" s="1">
        <v>2200</v>
      </c>
      <c r="AV234" s="1">
        <v>2019</v>
      </c>
      <c r="AW234" s="1">
        <v>2015</v>
      </c>
      <c r="AX234" s="1">
        <v>1981</v>
      </c>
      <c r="AY234" s="1">
        <v>2082</v>
      </c>
      <c r="AZ234" s="1">
        <v>2040</v>
      </c>
      <c r="BA234" s="1">
        <v>1955</v>
      </c>
      <c r="BB234" s="1">
        <v>1952.5</v>
      </c>
      <c r="BC234" s="1">
        <v>2062.5</v>
      </c>
      <c r="BD234" s="1">
        <v>2089</v>
      </c>
      <c r="BE234" s="1">
        <v>2108</v>
      </c>
      <c r="BF234" s="1">
        <v>2097.5</v>
      </c>
      <c r="BG234" s="1">
        <v>1977.5</v>
      </c>
      <c r="BH234" s="1">
        <v>2092</v>
      </c>
      <c r="BI234" s="1">
        <v>2200</v>
      </c>
      <c r="BJ234" s="1">
        <v>2101.5</v>
      </c>
      <c r="BK234" s="1">
        <v>2104</v>
      </c>
      <c r="BL234" s="1">
        <v>2082</v>
      </c>
    </row>
    <row r="235" spans="1:64">
      <c r="A235" s="77" t="s">
        <v>519</v>
      </c>
      <c r="B235" s="1" t="str">
        <f>銘柄管理!C235</f>
        <v>ＦＩＧ</v>
      </c>
      <c r="C235" s="1">
        <f>_xll.RssMarket("4392","始値")</f>
        <v>1230</v>
      </c>
      <c r="E235" s="1">
        <v>1230</v>
      </c>
      <c r="F235" s="1">
        <v>1299</v>
      </c>
      <c r="G235" s="1">
        <v>1376</v>
      </c>
      <c r="H235" s="1">
        <v>1532</v>
      </c>
      <c r="I235" s="1">
        <v>1588</v>
      </c>
      <c r="J235" s="1">
        <v>1482</v>
      </c>
      <c r="K235" s="1">
        <v>1252</v>
      </c>
      <c r="L235" s="1">
        <v>1301</v>
      </c>
      <c r="M235" s="1">
        <v>1555</v>
      </c>
      <c r="N235" s="1">
        <v>1632</v>
      </c>
      <c r="O235" s="1">
        <v>1845</v>
      </c>
      <c r="P235" s="1">
        <v>2189</v>
      </c>
      <c r="Q235" s="1">
        <v>2064</v>
      </c>
      <c r="R235" s="1">
        <v>2800</v>
      </c>
      <c r="S235" s="1">
        <v>1985</v>
      </c>
      <c r="T235" s="1">
        <v>1969</v>
      </c>
      <c r="U235" s="1">
        <v>1821</v>
      </c>
      <c r="V235" s="1">
        <v>1300</v>
      </c>
      <c r="W235" s="1">
        <v>1360</v>
      </c>
      <c r="X235" s="1">
        <v>1060</v>
      </c>
      <c r="Y235" s="1">
        <v>910</v>
      </c>
      <c r="Z235" s="1">
        <v>769</v>
      </c>
      <c r="AA235" s="1">
        <v>780</v>
      </c>
      <c r="AB235" s="1">
        <v>859</v>
      </c>
      <c r="AC235" s="1">
        <v>509</v>
      </c>
      <c r="AD235" s="1">
        <v>429</v>
      </c>
      <c r="AE235" s="1">
        <v>350</v>
      </c>
      <c r="AF235" s="1">
        <v>345</v>
      </c>
      <c r="AG235" s="1">
        <v>350</v>
      </c>
      <c r="AH235" s="1">
        <v>359</v>
      </c>
      <c r="AI235" s="1">
        <v>356</v>
      </c>
      <c r="AJ235" s="1">
        <v>348</v>
      </c>
      <c r="AK235" s="1">
        <v>352</v>
      </c>
      <c r="AL235" s="1">
        <v>347</v>
      </c>
      <c r="AM235" s="1">
        <v>349</v>
      </c>
      <c r="AN235" s="1">
        <v>328</v>
      </c>
      <c r="AO235" s="1">
        <v>327</v>
      </c>
      <c r="AP235" s="1">
        <v>326</v>
      </c>
      <c r="AQ235" s="1">
        <v>324</v>
      </c>
      <c r="AR235" s="1">
        <v>323</v>
      </c>
      <c r="AS235" s="1">
        <v>323</v>
      </c>
      <c r="AT235" s="1">
        <v>326</v>
      </c>
      <c r="AU235" s="1">
        <v>332</v>
      </c>
      <c r="AV235" s="1">
        <v>329</v>
      </c>
      <c r="AW235" s="1">
        <v>325</v>
      </c>
      <c r="AX235" s="1">
        <v>323</v>
      </c>
      <c r="AY235" s="1">
        <v>317</v>
      </c>
      <c r="AZ235" s="1">
        <v>322</v>
      </c>
      <c r="BA235" s="1">
        <v>316</v>
      </c>
      <c r="BB235" s="1">
        <v>310</v>
      </c>
      <c r="BC235" s="1">
        <v>311</v>
      </c>
      <c r="BD235" s="1">
        <v>320</v>
      </c>
      <c r="BE235" s="1">
        <v>330</v>
      </c>
      <c r="BF235" s="1">
        <v>315</v>
      </c>
      <c r="BG235" s="1">
        <v>309</v>
      </c>
      <c r="BH235" s="1">
        <v>303</v>
      </c>
      <c r="BI235" s="1">
        <v>320</v>
      </c>
      <c r="BJ235" s="1">
        <v>320</v>
      </c>
      <c r="BK235" s="1">
        <v>320</v>
      </c>
      <c r="BL235" s="1">
        <v>315</v>
      </c>
    </row>
    <row r="236" spans="1:64">
      <c r="A236" s="77" t="s">
        <v>520</v>
      </c>
      <c r="B236" s="1" t="str">
        <f>銘柄管理!C236</f>
        <v>スクロール</v>
      </c>
      <c r="C236" s="1">
        <f>_xll.RssMarket("8005","始値")</f>
        <v>1640</v>
      </c>
      <c r="E236" s="1">
        <v>1640</v>
      </c>
      <c r="F236" s="1">
        <v>1624</v>
      </c>
      <c r="G236" s="1">
        <v>1620</v>
      </c>
      <c r="H236" s="1">
        <v>1625</v>
      </c>
      <c r="I236" s="1">
        <v>1628</v>
      </c>
      <c r="J236" s="1">
        <v>1612</v>
      </c>
      <c r="K236" s="1">
        <v>1621</v>
      </c>
      <c r="L236" s="1">
        <v>1628</v>
      </c>
      <c r="M236" s="1">
        <v>1634</v>
      </c>
      <c r="N236" s="1">
        <v>1638</v>
      </c>
      <c r="O236" s="1">
        <v>1672</v>
      </c>
      <c r="P236" s="1">
        <v>1630</v>
      </c>
      <c r="Q236" s="1">
        <v>1635</v>
      </c>
      <c r="R236" s="1">
        <v>1640</v>
      </c>
      <c r="S236" s="1">
        <v>1638</v>
      </c>
      <c r="T236" s="1">
        <v>1651</v>
      </c>
      <c r="U236" s="1">
        <v>1669</v>
      </c>
      <c r="V236" s="1">
        <v>1660</v>
      </c>
      <c r="W236" s="1">
        <v>1655</v>
      </c>
      <c r="X236" s="1">
        <v>1612</v>
      </c>
      <c r="Y236" s="1">
        <v>1649</v>
      </c>
      <c r="Z236" s="1">
        <v>1633</v>
      </c>
      <c r="AA236" s="1">
        <v>1656</v>
      </c>
      <c r="AB236" s="1">
        <v>1705</v>
      </c>
      <c r="AC236" s="1">
        <v>1757</v>
      </c>
      <c r="AD236" s="1">
        <v>1597</v>
      </c>
      <c r="AE236" s="1">
        <v>1324</v>
      </c>
      <c r="AF236" s="1">
        <v>1320</v>
      </c>
      <c r="AG236" s="1">
        <v>1323</v>
      </c>
      <c r="AH236" s="1">
        <v>1310</v>
      </c>
      <c r="AI236" s="1">
        <v>1320</v>
      </c>
      <c r="AJ236" s="1">
        <v>1320</v>
      </c>
      <c r="AK236" s="1">
        <v>1320</v>
      </c>
      <c r="AL236" s="1">
        <v>1345</v>
      </c>
      <c r="AM236" s="1">
        <v>1359</v>
      </c>
      <c r="AN236" s="1">
        <v>1352</v>
      </c>
      <c r="AO236" s="1">
        <v>1355</v>
      </c>
      <c r="AP236" s="1">
        <v>1348</v>
      </c>
      <c r="AQ236" s="1">
        <v>1331</v>
      </c>
      <c r="AR236" s="1">
        <v>1315</v>
      </c>
      <c r="AS236" s="1">
        <v>1328</v>
      </c>
      <c r="AT236" s="1">
        <v>1346</v>
      </c>
      <c r="AU236" s="1">
        <v>1361</v>
      </c>
      <c r="AV236" s="1">
        <v>1360</v>
      </c>
      <c r="AW236" s="1">
        <v>1349</v>
      </c>
      <c r="AX236" s="1">
        <v>1337</v>
      </c>
      <c r="AY236" s="1">
        <v>1337</v>
      </c>
      <c r="AZ236" s="1">
        <v>1343</v>
      </c>
      <c r="BA236" s="1">
        <v>1340</v>
      </c>
      <c r="BB236" s="1">
        <v>1300</v>
      </c>
      <c r="BC236" s="1">
        <v>1247</v>
      </c>
      <c r="BD236" s="1">
        <v>1337</v>
      </c>
      <c r="BE236" s="1">
        <v>1332</v>
      </c>
      <c r="BF236" s="1">
        <v>1338</v>
      </c>
      <c r="BG236" s="1">
        <v>1310</v>
      </c>
      <c r="BH236" s="1">
        <v>1300</v>
      </c>
      <c r="BI236" s="1">
        <v>1330</v>
      </c>
      <c r="BJ236" s="1">
        <v>1323</v>
      </c>
      <c r="BK236" s="1">
        <v>1315</v>
      </c>
      <c r="BL236" s="1">
        <v>1312</v>
      </c>
    </row>
    <row r="237" spans="1:64">
      <c r="A237" s="77" t="s">
        <v>521</v>
      </c>
      <c r="B237" s="1" t="str">
        <f>銘柄管理!C237</f>
        <v>デジタルアーツ</v>
      </c>
      <c r="C237" s="1">
        <f>_xll.RssMarket("2326","始値")</f>
        <v>3615</v>
      </c>
      <c r="E237" s="1">
        <v>3615</v>
      </c>
      <c r="F237" s="1">
        <v>3540</v>
      </c>
      <c r="G237" s="1">
        <v>3570</v>
      </c>
      <c r="H237" s="1">
        <v>3610</v>
      </c>
      <c r="I237" s="1">
        <v>3625</v>
      </c>
      <c r="J237" s="1">
        <v>3690</v>
      </c>
      <c r="K237" s="1">
        <v>3760</v>
      </c>
      <c r="L237" s="1">
        <v>3740</v>
      </c>
      <c r="M237" s="1">
        <v>3625</v>
      </c>
      <c r="N237" s="1">
        <v>3735</v>
      </c>
      <c r="O237" s="1">
        <v>3800</v>
      </c>
      <c r="P237" s="1">
        <v>4040</v>
      </c>
      <c r="Q237" s="1">
        <v>4050</v>
      </c>
      <c r="R237" s="1">
        <v>4110</v>
      </c>
      <c r="S237" s="1">
        <v>4180</v>
      </c>
      <c r="T237" s="1">
        <v>4100</v>
      </c>
      <c r="U237" s="1">
        <v>4125</v>
      </c>
      <c r="V237" s="1">
        <v>4280</v>
      </c>
      <c r="W237" s="1">
        <v>4290</v>
      </c>
      <c r="X237" s="1">
        <v>4205</v>
      </c>
      <c r="Y237" s="1">
        <v>4055</v>
      </c>
      <c r="Z237" s="1">
        <v>4005</v>
      </c>
      <c r="AA237" s="1">
        <v>3955</v>
      </c>
      <c r="AB237" s="1">
        <v>4100</v>
      </c>
      <c r="AC237" s="1">
        <v>4310</v>
      </c>
      <c r="AD237" s="1">
        <v>4940</v>
      </c>
      <c r="AE237" s="1">
        <v>5790</v>
      </c>
      <c r="AF237" s="1">
        <v>5510</v>
      </c>
      <c r="AG237" s="1">
        <v>5480</v>
      </c>
      <c r="AH237" s="1">
        <v>5460</v>
      </c>
      <c r="AI237" s="1">
        <v>5500</v>
      </c>
      <c r="AJ237" s="1">
        <v>5590</v>
      </c>
      <c r="AK237" s="1">
        <v>6010</v>
      </c>
      <c r="AL237" s="1">
        <v>5980</v>
      </c>
      <c r="AM237" s="1">
        <v>5900</v>
      </c>
      <c r="AN237" s="1">
        <v>5840</v>
      </c>
      <c r="AO237" s="1">
        <v>5780</v>
      </c>
      <c r="AP237" s="1">
        <v>5740</v>
      </c>
      <c r="AQ237" s="1">
        <v>5580</v>
      </c>
      <c r="AR237" s="1">
        <v>5550</v>
      </c>
      <c r="AS237" s="1">
        <v>5360</v>
      </c>
      <c r="AT237" s="1">
        <v>5340</v>
      </c>
      <c r="AU237" s="1">
        <v>5510</v>
      </c>
      <c r="AV237" s="1">
        <v>5530</v>
      </c>
      <c r="AW237" s="1">
        <v>5430</v>
      </c>
      <c r="AX237" s="1">
        <v>5340</v>
      </c>
      <c r="AY237" s="1">
        <v>5310</v>
      </c>
      <c r="AZ237" s="1">
        <v>5380</v>
      </c>
      <c r="BA237" s="1">
        <v>5260</v>
      </c>
      <c r="BB237" s="1">
        <v>5190</v>
      </c>
      <c r="BC237" s="1">
        <v>4910</v>
      </c>
      <c r="BD237" s="1">
        <v>5080</v>
      </c>
      <c r="BE237" s="1">
        <v>5060</v>
      </c>
      <c r="BF237" s="1">
        <v>4950</v>
      </c>
      <c r="BG237" s="1">
        <v>4935</v>
      </c>
      <c r="BH237" s="1">
        <v>4950</v>
      </c>
      <c r="BI237" s="1">
        <v>5110</v>
      </c>
      <c r="BJ237" s="1">
        <v>5170</v>
      </c>
      <c r="BK237" s="1">
        <v>5290</v>
      </c>
      <c r="BL237" s="1">
        <v>5320</v>
      </c>
    </row>
    <row r="238" spans="1:64">
      <c r="A238" s="77" t="s">
        <v>522</v>
      </c>
      <c r="B238" s="1" t="str">
        <f>銘柄管理!C238</f>
        <v>ＴＯＡ</v>
      </c>
      <c r="C238" s="1">
        <f>_xll.RssMarket("6809","始値")</f>
        <v>1565</v>
      </c>
      <c r="E238" s="1">
        <v>1565</v>
      </c>
      <c r="F238" s="1">
        <v>1560</v>
      </c>
      <c r="G238" s="1">
        <v>1577</v>
      </c>
      <c r="H238" s="1">
        <v>1560</v>
      </c>
      <c r="I238" s="1">
        <v>1562</v>
      </c>
      <c r="J238" s="1">
        <v>1572</v>
      </c>
      <c r="K238" s="1">
        <v>1543</v>
      </c>
      <c r="L238" s="1">
        <v>1550</v>
      </c>
      <c r="M238" s="1">
        <v>1536</v>
      </c>
      <c r="N238" s="1">
        <v>1554</v>
      </c>
      <c r="O238" s="1">
        <v>1540</v>
      </c>
      <c r="P238" s="1">
        <v>1542</v>
      </c>
      <c r="Q238" s="1">
        <v>1526</v>
      </c>
      <c r="R238" s="1">
        <v>1560</v>
      </c>
      <c r="S238" s="1">
        <v>1582</v>
      </c>
      <c r="T238" s="1">
        <v>1547</v>
      </c>
      <c r="U238" s="1">
        <v>1533</v>
      </c>
      <c r="V238" s="1">
        <v>1601</v>
      </c>
      <c r="W238" s="1">
        <v>1580</v>
      </c>
      <c r="X238" s="1">
        <v>1598</v>
      </c>
      <c r="Y238" s="1">
        <v>1586</v>
      </c>
      <c r="Z238" s="1">
        <v>1569</v>
      </c>
      <c r="AA238" s="1">
        <v>1562</v>
      </c>
      <c r="AB238" s="1">
        <v>1570</v>
      </c>
      <c r="AC238" s="1">
        <v>1580</v>
      </c>
      <c r="AD238" s="1">
        <v>1604</v>
      </c>
      <c r="AE238" s="1">
        <v>1775</v>
      </c>
      <c r="AF238" s="1">
        <v>1730</v>
      </c>
      <c r="AG238" s="1">
        <v>1726</v>
      </c>
      <c r="AH238" s="1">
        <v>1700</v>
      </c>
      <c r="AI238" s="1">
        <v>1720</v>
      </c>
      <c r="AJ238" s="1">
        <v>1757</v>
      </c>
      <c r="AK238" s="1">
        <v>1750</v>
      </c>
      <c r="AL238" s="1">
        <v>1786</v>
      </c>
      <c r="AM238" s="1">
        <v>1773</v>
      </c>
      <c r="AN238" s="1">
        <v>1800</v>
      </c>
      <c r="AO238" s="1">
        <v>1784</v>
      </c>
      <c r="AP238" s="1">
        <v>1780</v>
      </c>
      <c r="AQ238" s="1">
        <v>1792</v>
      </c>
      <c r="AR238" s="1">
        <v>1800</v>
      </c>
      <c r="AS238" s="1">
        <v>1800</v>
      </c>
      <c r="AT238" s="1">
        <v>1821</v>
      </c>
      <c r="AU238" s="1">
        <v>1849</v>
      </c>
      <c r="AV238" s="1">
        <v>1840</v>
      </c>
      <c r="AW238" s="1">
        <v>1803</v>
      </c>
      <c r="AX238" s="1">
        <v>1772</v>
      </c>
      <c r="AY238" s="1">
        <v>1809</v>
      </c>
      <c r="AZ238" s="1">
        <v>1803</v>
      </c>
      <c r="BA238" s="1">
        <v>1791</v>
      </c>
      <c r="BB238" s="1">
        <v>1778</v>
      </c>
      <c r="BC238" s="1">
        <v>1779</v>
      </c>
      <c r="BD238" s="1">
        <v>1873</v>
      </c>
      <c r="BE238" s="1">
        <v>1898</v>
      </c>
      <c r="BF238" s="1">
        <v>1854</v>
      </c>
      <c r="BG238" s="1">
        <v>1813</v>
      </c>
      <c r="BH238" s="1">
        <v>1801</v>
      </c>
      <c r="BI238" s="1">
        <v>1834</v>
      </c>
      <c r="BJ238" s="1">
        <v>1750</v>
      </c>
      <c r="BK238" s="1">
        <v>1752</v>
      </c>
      <c r="BL238" s="1">
        <v>1749</v>
      </c>
    </row>
    <row r="239" spans="1:64">
      <c r="A239" s="77" t="s">
        <v>523</v>
      </c>
      <c r="B239" s="1" t="str">
        <f>銘柄管理!C239</f>
        <v>ユーザーローカル</v>
      </c>
      <c r="C239" s="1">
        <f>_xll.RssMarket("3984","始値")</f>
        <v>1775</v>
      </c>
      <c r="E239" s="1">
        <v>1775</v>
      </c>
      <c r="F239" s="1">
        <v>1785</v>
      </c>
      <c r="G239" s="1">
        <v>1793</v>
      </c>
      <c r="H239" s="1">
        <v>1840</v>
      </c>
      <c r="I239" s="1">
        <v>1781</v>
      </c>
      <c r="J239" s="1">
        <v>1815</v>
      </c>
      <c r="K239" s="1">
        <v>1850</v>
      </c>
      <c r="L239" s="1">
        <v>1836</v>
      </c>
      <c r="M239" s="1">
        <v>1808</v>
      </c>
      <c r="N239" s="1">
        <v>1793</v>
      </c>
      <c r="O239" s="1">
        <v>1826</v>
      </c>
      <c r="P239" s="1">
        <v>1705</v>
      </c>
      <c r="Q239" s="1">
        <v>1706</v>
      </c>
      <c r="R239" s="1">
        <v>1710</v>
      </c>
      <c r="S239" s="1">
        <v>1797</v>
      </c>
      <c r="T239" s="1">
        <v>1760</v>
      </c>
      <c r="U239" s="1">
        <v>1773</v>
      </c>
      <c r="V239" s="1">
        <v>1767</v>
      </c>
      <c r="W239" s="1">
        <v>1723</v>
      </c>
      <c r="X239" s="1">
        <v>1717</v>
      </c>
      <c r="Y239" s="1">
        <v>1710</v>
      </c>
      <c r="Z239" s="1">
        <v>1745</v>
      </c>
      <c r="AA239" s="1">
        <v>1726</v>
      </c>
      <c r="AB239" s="1">
        <v>1796</v>
      </c>
      <c r="AC239" s="1">
        <v>1814</v>
      </c>
      <c r="AD239" s="1">
        <v>1736</v>
      </c>
      <c r="AE239" s="1">
        <v>1600</v>
      </c>
      <c r="AF239" s="1">
        <v>1540</v>
      </c>
      <c r="AG239" s="1">
        <v>1559</v>
      </c>
      <c r="AH239" s="1">
        <v>1550</v>
      </c>
      <c r="AI239" s="1">
        <v>1571</v>
      </c>
      <c r="AJ239" s="1">
        <v>1555</v>
      </c>
      <c r="AK239" s="1">
        <v>1595</v>
      </c>
      <c r="AL239" s="1">
        <v>1593</v>
      </c>
      <c r="AM239" s="1">
        <v>1585</v>
      </c>
      <c r="AN239" s="1">
        <v>1574</v>
      </c>
      <c r="AO239" s="1">
        <v>1577</v>
      </c>
      <c r="AP239" s="1">
        <v>1578</v>
      </c>
      <c r="AQ239" s="1">
        <v>1498</v>
      </c>
      <c r="AR239" s="1">
        <v>1452</v>
      </c>
      <c r="AS239" s="1">
        <v>1433</v>
      </c>
      <c r="AT239" s="1">
        <v>1490</v>
      </c>
      <c r="AU239" s="1">
        <v>1522</v>
      </c>
      <c r="AV239" s="1">
        <v>1500</v>
      </c>
      <c r="AW239" s="1">
        <v>1464</v>
      </c>
      <c r="AX239" s="1">
        <v>1459</v>
      </c>
      <c r="AY239" s="1">
        <v>1465</v>
      </c>
      <c r="AZ239" s="1">
        <v>1483</v>
      </c>
      <c r="BA239" s="1">
        <v>1437</v>
      </c>
      <c r="BB239" s="1">
        <v>1386</v>
      </c>
      <c r="BC239" s="1">
        <v>1380</v>
      </c>
      <c r="BD239" s="1">
        <v>1420</v>
      </c>
      <c r="BE239" s="1">
        <v>1480</v>
      </c>
      <c r="BF239" s="1">
        <v>1466</v>
      </c>
      <c r="BG239" s="1">
        <v>1462</v>
      </c>
      <c r="BH239" s="1">
        <v>1443</v>
      </c>
      <c r="BI239" s="1">
        <v>1516</v>
      </c>
      <c r="BJ239" s="1">
        <v>1532</v>
      </c>
      <c r="BK239" s="1">
        <v>1550</v>
      </c>
      <c r="BL239" s="1">
        <v>1520</v>
      </c>
    </row>
    <row r="240" spans="1:64">
      <c r="A240" s="77" t="s">
        <v>524</v>
      </c>
      <c r="B240" s="1" t="str">
        <f>銘柄管理!C240</f>
        <v>ダイトロン</v>
      </c>
      <c r="C240" s="1">
        <f>_xll.RssMarket("7609","始値")</f>
        <v>3525</v>
      </c>
      <c r="E240" s="1">
        <v>3525</v>
      </c>
      <c r="F240" s="1">
        <v>3630</v>
      </c>
      <c r="G240" s="1">
        <v>3605</v>
      </c>
      <c r="H240" s="1">
        <v>3490</v>
      </c>
      <c r="I240" s="1">
        <v>3350</v>
      </c>
      <c r="J240" s="1">
        <v>3525</v>
      </c>
      <c r="K240" s="1">
        <v>3565</v>
      </c>
      <c r="L240" s="1">
        <v>3735</v>
      </c>
      <c r="M240" s="1">
        <v>3635</v>
      </c>
      <c r="N240" s="1">
        <v>3640</v>
      </c>
      <c r="O240" s="1">
        <v>3495</v>
      </c>
      <c r="P240" s="1">
        <v>3610</v>
      </c>
      <c r="Q240" s="1">
        <v>3480</v>
      </c>
      <c r="R240" s="1">
        <v>3665</v>
      </c>
      <c r="S240" s="1">
        <v>3620</v>
      </c>
      <c r="T240" s="1">
        <v>3600</v>
      </c>
      <c r="U240" s="1">
        <v>3540</v>
      </c>
      <c r="V240" s="1">
        <v>3535</v>
      </c>
      <c r="W240" s="1">
        <v>3875</v>
      </c>
      <c r="X240" s="1">
        <v>3840</v>
      </c>
      <c r="Y240" s="1">
        <v>4000</v>
      </c>
      <c r="Z240" s="1">
        <v>3920</v>
      </c>
      <c r="AA240" s="1">
        <v>3850</v>
      </c>
      <c r="AB240" s="1">
        <v>3935</v>
      </c>
      <c r="AC240" s="1">
        <v>3905</v>
      </c>
      <c r="AD240" s="1">
        <v>3850</v>
      </c>
      <c r="AE240" s="1">
        <v>3290</v>
      </c>
      <c r="AF240" s="1">
        <v>2944</v>
      </c>
      <c r="AG240" s="1">
        <v>2870</v>
      </c>
      <c r="AH240" s="1">
        <v>2895</v>
      </c>
      <c r="AI240" s="1">
        <v>2891</v>
      </c>
      <c r="AJ240" s="1">
        <v>2906</v>
      </c>
      <c r="AK240" s="1">
        <v>2827</v>
      </c>
      <c r="AL240" s="1">
        <v>2881</v>
      </c>
      <c r="AM240" s="1">
        <v>2877</v>
      </c>
      <c r="AN240" s="1">
        <v>2861</v>
      </c>
      <c r="AO240" s="1">
        <v>2957</v>
      </c>
      <c r="AP240" s="1">
        <v>2885</v>
      </c>
      <c r="AQ240" s="1">
        <v>2969</v>
      </c>
      <c r="AR240" s="1">
        <v>2832</v>
      </c>
      <c r="AS240" s="1">
        <v>2798</v>
      </c>
      <c r="AT240" s="1">
        <v>2791</v>
      </c>
      <c r="AU240" s="1">
        <v>2843</v>
      </c>
      <c r="AV240" s="1">
        <v>2812</v>
      </c>
      <c r="AW240" s="1">
        <v>2714</v>
      </c>
      <c r="AX240" s="1">
        <v>2722</v>
      </c>
      <c r="AY240" s="1">
        <v>2743</v>
      </c>
      <c r="AZ240" s="1">
        <v>2805</v>
      </c>
      <c r="BA240" s="1">
        <v>2737</v>
      </c>
      <c r="BB240" s="1">
        <v>2716</v>
      </c>
      <c r="BC240" s="1">
        <v>2728</v>
      </c>
      <c r="BD240" s="1">
        <v>2827</v>
      </c>
      <c r="BE240" s="1">
        <v>2841</v>
      </c>
      <c r="BF240" s="1">
        <v>2850</v>
      </c>
      <c r="BG240" s="1">
        <v>2803</v>
      </c>
      <c r="BH240" s="1">
        <v>2778</v>
      </c>
      <c r="BI240" s="1">
        <v>2898</v>
      </c>
      <c r="BJ240" s="1">
        <v>2888</v>
      </c>
      <c r="BK240" s="1">
        <v>2915</v>
      </c>
      <c r="BL240" s="1">
        <v>2869</v>
      </c>
    </row>
    <row r="241" spans="1:64">
      <c r="A241" s="77" t="s">
        <v>525</v>
      </c>
      <c r="B241" s="1" t="str">
        <f>銘柄管理!C241</f>
        <v>イトーキ</v>
      </c>
      <c r="C241" s="1">
        <f>_xll.RssMarket("7972","始値")</f>
        <v>2455</v>
      </c>
      <c r="E241" s="1">
        <v>2455</v>
      </c>
      <c r="F241" s="1">
        <v>2446</v>
      </c>
      <c r="G241" s="1">
        <v>2480</v>
      </c>
      <c r="H241" s="1">
        <v>2416</v>
      </c>
      <c r="I241" s="1">
        <v>2396</v>
      </c>
      <c r="J241" s="1">
        <v>2403</v>
      </c>
      <c r="K241" s="1">
        <v>2381</v>
      </c>
      <c r="L241" s="1">
        <v>2411</v>
      </c>
      <c r="M241" s="1">
        <v>2396</v>
      </c>
      <c r="N241" s="1">
        <v>2405</v>
      </c>
      <c r="O241" s="1">
        <v>2480</v>
      </c>
      <c r="P241" s="1">
        <v>2619</v>
      </c>
      <c r="Q241" s="1">
        <v>2699</v>
      </c>
      <c r="R241" s="1">
        <v>2700</v>
      </c>
      <c r="S241" s="1">
        <v>2624</v>
      </c>
      <c r="T241" s="1">
        <v>2611</v>
      </c>
      <c r="U241" s="1">
        <v>2699</v>
      </c>
      <c r="V241" s="1">
        <v>2718</v>
      </c>
      <c r="W241" s="1">
        <v>2737</v>
      </c>
      <c r="X241" s="1">
        <v>2722</v>
      </c>
      <c r="Y241" s="1">
        <v>2789</v>
      </c>
      <c r="Z241" s="1">
        <v>2805</v>
      </c>
      <c r="AA241" s="1">
        <v>2799</v>
      </c>
      <c r="AB241" s="1">
        <v>2799</v>
      </c>
      <c r="AC241" s="1">
        <v>2894</v>
      </c>
      <c r="AD241" s="1">
        <v>2920</v>
      </c>
      <c r="AE241" s="1">
        <v>3225</v>
      </c>
      <c r="AF241" s="1">
        <v>3145</v>
      </c>
      <c r="AG241" s="1">
        <v>3220</v>
      </c>
      <c r="AH241" s="1">
        <v>3215</v>
      </c>
      <c r="AI241" s="1">
        <v>3175</v>
      </c>
      <c r="AJ241" s="1">
        <v>3195</v>
      </c>
      <c r="AK241" s="1">
        <v>3210</v>
      </c>
      <c r="AL241" s="1">
        <v>3295</v>
      </c>
      <c r="AM241" s="1">
        <v>3325</v>
      </c>
      <c r="AN241" s="1">
        <v>3315</v>
      </c>
      <c r="AO241" s="1">
        <v>3335</v>
      </c>
      <c r="AP241" s="1">
        <v>3365</v>
      </c>
      <c r="AQ241" s="1">
        <v>3590</v>
      </c>
      <c r="AR241" s="1">
        <v>3600</v>
      </c>
      <c r="AS241" s="1">
        <v>3505</v>
      </c>
      <c r="AT241" s="1">
        <v>3500</v>
      </c>
      <c r="AU241" s="1">
        <v>3480</v>
      </c>
      <c r="AV241" s="1">
        <v>3500</v>
      </c>
      <c r="AW241" s="1">
        <v>3315</v>
      </c>
      <c r="AX241" s="1">
        <v>3305</v>
      </c>
      <c r="AY241" s="1">
        <v>3280</v>
      </c>
      <c r="AZ241" s="1">
        <v>3285</v>
      </c>
      <c r="BA241" s="1">
        <v>3200</v>
      </c>
      <c r="BB241" s="1">
        <v>3025</v>
      </c>
      <c r="BC241" s="1">
        <v>3110</v>
      </c>
      <c r="BD241" s="1">
        <v>3255</v>
      </c>
      <c r="BE241" s="1">
        <v>3375</v>
      </c>
      <c r="BF241" s="1">
        <v>3370</v>
      </c>
      <c r="BG241" s="1">
        <v>3300</v>
      </c>
      <c r="BH241" s="1">
        <v>3205</v>
      </c>
      <c r="BI241" s="1">
        <v>3380</v>
      </c>
      <c r="BJ241" s="1">
        <v>3455</v>
      </c>
      <c r="BK241" s="1">
        <v>3500</v>
      </c>
      <c r="BL241" s="1">
        <v>3405</v>
      </c>
    </row>
    <row r="242" spans="1:64">
      <c r="A242" s="77" t="s">
        <v>526</v>
      </c>
      <c r="B242" s="1" t="str">
        <f>銘柄管理!C242</f>
        <v>オキサイド</v>
      </c>
      <c r="C242" s="1">
        <f>_xll.RssMarket("6521","始値")</f>
        <v>4555</v>
      </c>
      <c r="E242" s="1">
        <v>4555</v>
      </c>
      <c r="F242" s="1">
        <v>4505</v>
      </c>
      <c r="G242" s="1">
        <v>4600</v>
      </c>
      <c r="H242" s="1">
        <v>4570</v>
      </c>
      <c r="I242" s="1">
        <v>4360</v>
      </c>
      <c r="J242" s="1">
        <v>4695</v>
      </c>
      <c r="K242" s="1">
        <v>4720</v>
      </c>
      <c r="L242" s="1">
        <v>4870</v>
      </c>
      <c r="M242" s="1">
        <v>5000</v>
      </c>
      <c r="N242" s="1">
        <v>5260</v>
      </c>
      <c r="O242" s="1">
        <v>5230</v>
      </c>
      <c r="P242" s="1">
        <v>5940</v>
      </c>
      <c r="Q242" s="1">
        <v>5620</v>
      </c>
      <c r="R242" s="1">
        <v>5900</v>
      </c>
      <c r="S242" s="1">
        <v>6450</v>
      </c>
      <c r="T242" s="1">
        <v>5790</v>
      </c>
      <c r="U242" s="1">
        <v>5940</v>
      </c>
      <c r="V242" s="1">
        <v>5850</v>
      </c>
      <c r="W242" s="1">
        <v>6710</v>
      </c>
      <c r="X242" s="1">
        <v>6330</v>
      </c>
      <c r="Y242" s="1">
        <v>6500</v>
      </c>
      <c r="Z242" s="1">
        <v>6320</v>
      </c>
      <c r="AA242" s="1">
        <v>6050</v>
      </c>
      <c r="AB242" s="1">
        <v>6540</v>
      </c>
      <c r="AC242" s="1">
        <v>6710</v>
      </c>
      <c r="AD242" s="1">
        <v>5150</v>
      </c>
      <c r="AE242" s="1">
        <v>4800</v>
      </c>
      <c r="AF242" s="1">
        <v>4580</v>
      </c>
      <c r="AG242" s="1">
        <v>4750</v>
      </c>
      <c r="AH242" s="1">
        <v>4600</v>
      </c>
      <c r="AI242" s="1">
        <v>4710</v>
      </c>
      <c r="AJ242" s="1">
        <v>4670</v>
      </c>
      <c r="AK242" s="1">
        <v>4895</v>
      </c>
      <c r="AL242" s="1">
        <v>5140</v>
      </c>
      <c r="AM242" s="1">
        <v>4595</v>
      </c>
      <c r="AN242" s="1">
        <v>4120</v>
      </c>
      <c r="AO242" s="1">
        <v>4485</v>
      </c>
      <c r="AP242" s="1">
        <v>4350</v>
      </c>
      <c r="AQ242" s="1">
        <v>4990</v>
      </c>
      <c r="AR242" s="1">
        <v>5150</v>
      </c>
      <c r="AS242" s="1">
        <v>4645</v>
      </c>
      <c r="AT242" s="1">
        <v>4595</v>
      </c>
      <c r="AU242" s="1">
        <v>4455</v>
      </c>
      <c r="AV242" s="1">
        <v>4555</v>
      </c>
      <c r="AW242" s="1">
        <v>4560</v>
      </c>
      <c r="AX242" s="1">
        <v>4325</v>
      </c>
      <c r="AY242" s="1">
        <v>4145</v>
      </c>
      <c r="AZ242" s="1">
        <v>4495</v>
      </c>
      <c r="BA242" s="1">
        <v>4465</v>
      </c>
      <c r="BB242" s="1">
        <v>4185</v>
      </c>
      <c r="BC242" s="1">
        <v>4060</v>
      </c>
      <c r="BD242" s="1">
        <v>4380</v>
      </c>
      <c r="BE242" s="1">
        <v>4565</v>
      </c>
      <c r="BF242" s="1">
        <v>5120</v>
      </c>
      <c r="BG242" s="1">
        <v>4970</v>
      </c>
      <c r="BH242" s="1">
        <v>4990</v>
      </c>
      <c r="BI242" s="1">
        <v>4990</v>
      </c>
      <c r="BJ242" s="1">
        <v>4960</v>
      </c>
      <c r="BK242" s="1">
        <v>5440</v>
      </c>
      <c r="BL242" s="1">
        <v>4490</v>
      </c>
    </row>
    <row r="243" spans="1:64">
      <c r="A243" s="77" t="s">
        <v>527</v>
      </c>
      <c r="B243" s="1" t="str">
        <f>銘柄管理!C243</f>
        <v>クオルテック</v>
      </c>
      <c r="C243" s="1">
        <f>_xll.RssMarket("9165","始値")</f>
        <v>1686</v>
      </c>
      <c r="E243" s="1">
        <v>1686</v>
      </c>
      <c r="F243" s="1">
        <v>1711</v>
      </c>
      <c r="G243" s="1">
        <v>1718</v>
      </c>
      <c r="H243" s="1">
        <v>1701</v>
      </c>
      <c r="I243" s="1">
        <v>1667</v>
      </c>
      <c r="J243" s="1">
        <v>1714</v>
      </c>
      <c r="K243" s="1">
        <v>1761</v>
      </c>
      <c r="L243" s="1">
        <v>1801</v>
      </c>
      <c r="M243" s="1">
        <v>1808</v>
      </c>
      <c r="N243" s="1">
        <v>1781</v>
      </c>
      <c r="O243" s="1">
        <v>1815</v>
      </c>
      <c r="P243" s="1">
        <v>1872</v>
      </c>
      <c r="Q243" s="1">
        <v>1928</v>
      </c>
      <c r="R243" s="1">
        <v>2067</v>
      </c>
      <c r="S243" s="1">
        <v>2350</v>
      </c>
      <c r="T243" s="1">
        <v>1790</v>
      </c>
      <c r="U243" s="1">
        <v>1825</v>
      </c>
      <c r="V243" s="1">
        <v>1850</v>
      </c>
      <c r="W243" s="1">
        <v>1850</v>
      </c>
      <c r="X243" s="1">
        <v>1712</v>
      </c>
      <c r="Y243" s="1">
        <v>1736</v>
      </c>
      <c r="Z243" s="1">
        <v>1784</v>
      </c>
      <c r="AA243" s="1">
        <v>1725</v>
      </c>
      <c r="AB243" s="1">
        <v>1850</v>
      </c>
      <c r="AC243" s="1">
        <v>1840</v>
      </c>
      <c r="AD243" s="1">
        <v>1680</v>
      </c>
      <c r="AE243" s="1">
        <v>1476</v>
      </c>
      <c r="AF243" s="1">
        <v>1471</v>
      </c>
      <c r="AG243" s="1">
        <v>1479</v>
      </c>
      <c r="AH243" s="1">
        <v>1460</v>
      </c>
      <c r="AI243" s="1">
        <v>1480</v>
      </c>
      <c r="AJ243" s="1">
        <v>1468</v>
      </c>
      <c r="AK243" s="1">
        <v>1467</v>
      </c>
      <c r="AL243" s="1">
        <v>1470</v>
      </c>
      <c r="AM243" s="1">
        <v>1450</v>
      </c>
      <c r="AN243" s="1">
        <v>1447</v>
      </c>
      <c r="AO243" s="1">
        <v>1464</v>
      </c>
      <c r="AP243" s="1">
        <v>1458</v>
      </c>
      <c r="AQ243" s="1">
        <v>1456</v>
      </c>
      <c r="AR243" s="1">
        <v>1445</v>
      </c>
      <c r="AS243" s="1">
        <v>1430</v>
      </c>
      <c r="AT243" s="1">
        <v>1434</v>
      </c>
      <c r="AU243" s="1">
        <v>1494</v>
      </c>
      <c r="AV243" s="1">
        <v>1421</v>
      </c>
      <c r="AW243" s="1">
        <v>1420</v>
      </c>
      <c r="AX243" s="1">
        <v>1421</v>
      </c>
      <c r="AY243" s="1">
        <v>1400</v>
      </c>
      <c r="AZ243" s="1">
        <v>1414</v>
      </c>
      <c r="BA243" s="1">
        <v>1407</v>
      </c>
      <c r="BB243" s="1">
        <v>1400</v>
      </c>
      <c r="BC243" s="1">
        <v>1403</v>
      </c>
      <c r="BD243" s="1">
        <v>1415</v>
      </c>
      <c r="BE243" s="1">
        <v>1408</v>
      </c>
      <c r="BF243" s="1">
        <v>1424</v>
      </c>
      <c r="BG243" s="1">
        <v>1420</v>
      </c>
      <c r="BH243" s="1">
        <v>1400</v>
      </c>
      <c r="BI243" s="1">
        <v>1410</v>
      </c>
      <c r="BJ243" s="1">
        <v>1442</v>
      </c>
      <c r="BK243" s="1">
        <v>1416</v>
      </c>
      <c r="BL243" s="1">
        <v>1393</v>
      </c>
    </row>
    <row r="244" spans="1:64">
      <c r="A244" s="77" t="s">
        <v>528</v>
      </c>
      <c r="B244" s="1" t="str">
        <f>銘柄管理!C244</f>
        <v>デンソー</v>
      </c>
      <c r="C244" s="1">
        <f>_xll.RssMarket("6902","始値")</f>
        <v>1920</v>
      </c>
      <c r="E244" s="1">
        <v>1920</v>
      </c>
      <c r="F244" s="1">
        <v>1886.5</v>
      </c>
      <c r="G244" s="1">
        <v>1886</v>
      </c>
      <c r="H244" s="1">
        <v>1851</v>
      </c>
      <c r="I244" s="1">
        <v>1824</v>
      </c>
      <c r="J244" s="1">
        <v>1920</v>
      </c>
      <c r="K244" s="1">
        <v>1880</v>
      </c>
      <c r="L244" s="1">
        <v>1907</v>
      </c>
      <c r="M244" s="1">
        <v>1904.5</v>
      </c>
      <c r="N244" s="1">
        <v>1874.5</v>
      </c>
      <c r="O244" s="1">
        <v>1853</v>
      </c>
      <c r="P244" s="1">
        <v>1870</v>
      </c>
      <c r="Q244" s="1">
        <v>1889</v>
      </c>
      <c r="R244" s="1">
        <v>1860</v>
      </c>
      <c r="S244" s="1">
        <v>1850</v>
      </c>
      <c r="T244" s="1">
        <v>1860</v>
      </c>
      <c r="U244" s="1">
        <v>1865</v>
      </c>
      <c r="V244" s="1">
        <v>1866</v>
      </c>
      <c r="W244" s="1">
        <v>1900</v>
      </c>
      <c r="X244" s="1">
        <v>1885.5</v>
      </c>
      <c r="Y244" s="1">
        <v>1850</v>
      </c>
      <c r="Z244" s="1">
        <v>1872</v>
      </c>
      <c r="AA244" s="1">
        <v>1871</v>
      </c>
      <c r="AB244" s="1">
        <v>1888</v>
      </c>
      <c r="AC244" s="1">
        <v>1945</v>
      </c>
      <c r="AD244" s="1">
        <v>1895</v>
      </c>
      <c r="AE244" s="1">
        <v>1850</v>
      </c>
      <c r="AF244" s="1">
        <v>1843</v>
      </c>
      <c r="AG244" s="1">
        <v>1914</v>
      </c>
      <c r="AH244" s="1">
        <v>1895.5</v>
      </c>
      <c r="AI244" s="1">
        <v>1890</v>
      </c>
      <c r="AJ244" s="1">
        <v>1916.5</v>
      </c>
      <c r="AK244" s="1">
        <v>1933</v>
      </c>
      <c r="AL244" s="1">
        <v>1970</v>
      </c>
      <c r="AM244" s="1">
        <v>1953</v>
      </c>
      <c r="AN244" s="1">
        <v>1931</v>
      </c>
      <c r="AO244" s="1">
        <v>1924</v>
      </c>
      <c r="AP244" s="1">
        <v>1938</v>
      </c>
      <c r="AQ244" s="1">
        <v>1930</v>
      </c>
      <c r="AR244" s="1">
        <v>1911</v>
      </c>
      <c r="AS244" s="1">
        <v>1951.5</v>
      </c>
      <c r="AT244" s="1">
        <v>1986.5</v>
      </c>
      <c r="AU244" s="1">
        <v>1973.5</v>
      </c>
      <c r="AV244" s="1">
        <v>1911.5</v>
      </c>
      <c r="AW244" s="1">
        <v>1923</v>
      </c>
      <c r="AX244" s="1">
        <v>1911.5</v>
      </c>
      <c r="AY244" s="1">
        <v>1977</v>
      </c>
      <c r="AZ244" s="1">
        <v>1985</v>
      </c>
      <c r="BA244" s="1">
        <v>1895</v>
      </c>
      <c r="BB244" s="1">
        <v>1862</v>
      </c>
      <c r="BC244" s="1">
        <v>1942</v>
      </c>
      <c r="BD244" s="1">
        <v>1952</v>
      </c>
      <c r="BE244" s="1">
        <v>1955</v>
      </c>
      <c r="BF244" s="1">
        <v>1904</v>
      </c>
      <c r="BG244" s="1">
        <v>1850</v>
      </c>
      <c r="BH244" s="1">
        <v>1935.5</v>
      </c>
      <c r="BI244" s="1">
        <v>1950</v>
      </c>
      <c r="BJ244" s="1">
        <v>1957</v>
      </c>
      <c r="BK244" s="1">
        <v>1935</v>
      </c>
      <c r="BL244" s="1">
        <v>1952.5</v>
      </c>
    </row>
    <row r="245" spans="1:64">
      <c r="A245" s="77" t="s">
        <v>529</v>
      </c>
      <c r="B245" s="1" t="str">
        <f>銘柄管理!C245</f>
        <v>グローバルウェイ</v>
      </c>
      <c r="C245" s="1">
        <f>_xll.RssMarket("3936","始値")</f>
        <v>156</v>
      </c>
      <c r="E245" s="1">
        <v>156</v>
      </c>
      <c r="F245" s="1">
        <v>162</v>
      </c>
      <c r="G245" s="1">
        <v>165</v>
      </c>
      <c r="H245" s="1">
        <v>168</v>
      </c>
      <c r="I245" s="1">
        <v>173</v>
      </c>
      <c r="J245" s="1">
        <v>174</v>
      </c>
      <c r="K245" s="1">
        <v>171</v>
      </c>
      <c r="L245" s="1">
        <v>174</v>
      </c>
      <c r="M245" s="1">
        <v>168</v>
      </c>
      <c r="N245" s="1">
        <v>165</v>
      </c>
      <c r="O245" s="1">
        <v>170</v>
      </c>
      <c r="P245" s="1">
        <v>157</v>
      </c>
      <c r="Q245" s="1">
        <v>164</v>
      </c>
      <c r="R245" s="1">
        <v>158</v>
      </c>
      <c r="S245" s="1">
        <v>163</v>
      </c>
      <c r="T245" s="1">
        <v>168</v>
      </c>
      <c r="U245" s="1">
        <v>177</v>
      </c>
      <c r="V245" s="1">
        <v>166</v>
      </c>
      <c r="W245" s="1">
        <v>167</v>
      </c>
      <c r="X245" s="1">
        <v>211</v>
      </c>
      <c r="Y245" s="1">
        <v>206</v>
      </c>
      <c r="Z245" s="1">
        <v>170</v>
      </c>
      <c r="AA245" s="1">
        <v>177</v>
      </c>
      <c r="AB245" s="1">
        <v>169</v>
      </c>
      <c r="AC245" s="1">
        <v>174</v>
      </c>
      <c r="AD245" s="1">
        <v>177</v>
      </c>
      <c r="AE245" s="1">
        <v>170</v>
      </c>
      <c r="AF245" s="1">
        <v>183</v>
      </c>
      <c r="AG245" s="1">
        <v>205</v>
      </c>
      <c r="AH245" s="1">
        <v>231</v>
      </c>
      <c r="AI245" s="1">
        <v>251</v>
      </c>
      <c r="AJ245" s="1">
        <v>192</v>
      </c>
      <c r="AK245" s="1">
        <v>212</v>
      </c>
      <c r="AL245" s="1">
        <v>154</v>
      </c>
      <c r="AM245" s="1">
        <v>131</v>
      </c>
      <c r="AN245" s="1">
        <v>127</v>
      </c>
      <c r="AO245" s="1">
        <v>124</v>
      </c>
      <c r="AP245" s="1">
        <v>125</v>
      </c>
      <c r="AQ245" s="1">
        <v>125</v>
      </c>
      <c r="AR245" s="1">
        <v>128</v>
      </c>
      <c r="AS245" s="1">
        <v>129</v>
      </c>
      <c r="AT245" s="1">
        <v>128</v>
      </c>
      <c r="AU245" s="1">
        <v>126</v>
      </c>
      <c r="AV245" s="1">
        <v>127</v>
      </c>
      <c r="AW245" s="1">
        <v>126</v>
      </c>
      <c r="AX245" s="1">
        <v>130</v>
      </c>
      <c r="AY245" s="1">
        <v>126</v>
      </c>
      <c r="AZ245" s="1">
        <v>125</v>
      </c>
      <c r="BA245" s="1">
        <v>124</v>
      </c>
      <c r="BB245" s="1">
        <v>124</v>
      </c>
      <c r="BC245" s="1">
        <v>132</v>
      </c>
      <c r="BD245" s="1">
        <v>128</v>
      </c>
      <c r="BE245" s="1">
        <v>126</v>
      </c>
      <c r="BF245" s="1">
        <v>128</v>
      </c>
      <c r="BG245" s="1">
        <v>136</v>
      </c>
      <c r="BH245" s="1">
        <v>132</v>
      </c>
      <c r="BI245" s="1">
        <v>132</v>
      </c>
      <c r="BJ245" s="1">
        <v>132</v>
      </c>
      <c r="BK245" s="1">
        <v>130</v>
      </c>
      <c r="BL245" s="1">
        <v>134</v>
      </c>
    </row>
    <row r="246" spans="1:64">
      <c r="A246" s="77" t="s">
        <v>547</v>
      </c>
      <c r="B246" s="1" t="str">
        <f>銘柄管理!C246</f>
        <v>エノモト</v>
      </c>
      <c r="C246" s="1">
        <f>_xll.RssMarket("6928","始値")</f>
        <v>3275</v>
      </c>
      <c r="E246" s="1">
        <v>3275</v>
      </c>
      <c r="F246" s="1">
        <v>3385</v>
      </c>
      <c r="G246" s="1">
        <v>3230</v>
      </c>
      <c r="H246" s="1">
        <v>3385</v>
      </c>
      <c r="I246" s="1">
        <v>3355</v>
      </c>
      <c r="J246" s="1">
        <v>3500</v>
      </c>
      <c r="K246" s="1">
        <v>3495</v>
      </c>
      <c r="L246" s="1">
        <v>3675</v>
      </c>
      <c r="M246" s="1">
        <v>3700</v>
      </c>
      <c r="N246" s="1">
        <v>3715</v>
      </c>
      <c r="O246" s="1">
        <v>3880</v>
      </c>
      <c r="P246" s="1">
        <v>3795</v>
      </c>
      <c r="Q246" s="1">
        <v>3510</v>
      </c>
      <c r="R246" s="1">
        <v>3745</v>
      </c>
      <c r="S246" s="1">
        <v>3650</v>
      </c>
      <c r="T246" s="1">
        <v>3500</v>
      </c>
      <c r="U246" s="1">
        <v>3570</v>
      </c>
      <c r="V246" s="1">
        <v>3475</v>
      </c>
      <c r="W246" s="1">
        <v>3560</v>
      </c>
      <c r="X246" s="1">
        <v>3470</v>
      </c>
      <c r="Y246" s="1">
        <v>3505</v>
      </c>
      <c r="Z246" s="1">
        <v>3530</v>
      </c>
      <c r="AA246" s="1">
        <v>3415</v>
      </c>
      <c r="AB246" s="1">
        <v>3480</v>
      </c>
      <c r="AC246" s="1">
        <v>3760</v>
      </c>
      <c r="AD246" s="1">
        <v>3530</v>
      </c>
      <c r="AE246" s="1">
        <v>3580</v>
      </c>
      <c r="AF246" s="1">
        <v>3295</v>
      </c>
      <c r="AG246" s="1">
        <v>3150</v>
      </c>
      <c r="AH246" s="1">
        <v>3165</v>
      </c>
      <c r="AI246" s="1">
        <v>3165</v>
      </c>
      <c r="AJ246" s="1">
        <v>3165</v>
      </c>
      <c r="AK246" s="1">
        <v>3185</v>
      </c>
      <c r="AL246" s="1">
        <v>3185</v>
      </c>
      <c r="AM246" s="1">
        <v>3230</v>
      </c>
      <c r="AN246" s="1">
        <v>3270</v>
      </c>
      <c r="AO246" s="1">
        <v>3335</v>
      </c>
      <c r="AP246" s="1">
        <v>3290</v>
      </c>
      <c r="AQ246" s="1">
        <v>3255</v>
      </c>
      <c r="AR246" s="1">
        <v>3220</v>
      </c>
      <c r="AS246" s="1">
        <v>3125</v>
      </c>
      <c r="AT246" s="1">
        <v>3110</v>
      </c>
      <c r="AU246" s="1">
        <v>3090</v>
      </c>
      <c r="AV246" s="1">
        <v>3020</v>
      </c>
      <c r="AW246" s="1">
        <v>2901</v>
      </c>
      <c r="AX246" s="1">
        <v>2857</v>
      </c>
      <c r="AY246" s="1">
        <v>2834</v>
      </c>
      <c r="AZ246" s="1">
        <v>2904</v>
      </c>
      <c r="BA246" s="1">
        <v>2914</v>
      </c>
      <c r="BB246" s="1">
        <v>2766</v>
      </c>
      <c r="BC246" s="1">
        <v>2690</v>
      </c>
      <c r="BD246" s="1">
        <v>2916</v>
      </c>
      <c r="BE246" s="1">
        <v>2920</v>
      </c>
      <c r="BF246" s="1">
        <v>2920</v>
      </c>
      <c r="BG246" s="1">
        <v>2855</v>
      </c>
      <c r="BH246" s="1">
        <v>2721</v>
      </c>
      <c r="BI246" s="1">
        <v>3000</v>
      </c>
      <c r="BJ246" s="1">
        <v>2981</v>
      </c>
      <c r="BK246" s="1">
        <v>3050</v>
      </c>
      <c r="BL246" s="1">
        <v>3025</v>
      </c>
    </row>
    <row r="247" spans="1:64">
      <c r="A247" s="77" t="s">
        <v>548</v>
      </c>
      <c r="B247" s="1" t="str">
        <f>銘柄管理!C247</f>
        <v>三菱製鋼</v>
      </c>
      <c r="C247" s="1">
        <f>_xll.RssMarket("5632","始値")</f>
        <v>2162</v>
      </c>
      <c r="E247" s="1">
        <v>2162</v>
      </c>
      <c r="F247" s="1">
        <v>2200</v>
      </c>
      <c r="G247" s="1">
        <v>2175</v>
      </c>
      <c r="H247" s="1">
        <v>2133</v>
      </c>
      <c r="I247" s="1">
        <v>2100</v>
      </c>
      <c r="J247" s="1">
        <v>2089</v>
      </c>
      <c r="K247" s="1">
        <v>2100</v>
      </c>
      <c r="L247" s="1">
        <v>2120</v>
      </c>
      <c r="M247" s="1">
        <v>2060</v>
      </c>
      <c r="N247" s="1">
        <v>2099</v>
      </c>
      <c r="O247" s="1">
        <v>2088</v>
      </c>
      <c r="P247" s="1">
        <v>2128</v>
      </c>
      <c r="Q247" s="1">
        <v>2122</v>
      </c>
      <c r="R247" s="1">
        <v>2115</v>
      </c>
      <c r="S247" s="1">
        <v>2155</v>
      </c>
      <c r="T247" s="1">
        <v>2110</v>
      </c>
      <c r="U247" s="1">
        <v>2048</v>
      </c>
      <c r="V247" s="1">
        <v>2061</v>
      </c>
      <c r="W247" s="1">
        <v>2080</v>
      </c>
      <c r="X247" s="1">
        <v>2145</v>
      </c>
      <c r="Y247" s="1">
        <v>2074</v>
      </c>
      <c r="Z247" s="1">
        <v>2020</v>
      </c>
      <c r="AA247" s="1">
        <v>1865</v>
      </c>
      <c r="AB247" s="1">
        <v>1902</v>
      </c>
      <c r="AC247" s="1">
        <v>1840</v>
      </c>
      <c r="AD247" s="1">
        <v>1853</v>
      </c>
      <c r="AE247" s="1">
        <v>1838</v>
      </c>
      <c r="AF247" s="1">
        <v>1791</v>
      </c>
      <c r="AG247" s="1">
        <v>1805</v>
      </c>
      <c r="AH247" s="1">
        <v>1780</v>
      </c>
      <c r="AI247" s="1">
        <v>1793</v>
      </c>
      <c r="AJ247" s="1">
        <v>1804</v>
      </c>
      <c r="AK247" s="1">
        <v>1804</v>
      </c>
      <c r="AL247" s="1">
        <v>1833</v>
      </c>
      <c r="AM247" s="1">
        <v>1843</v>
      </c>
      <c r="AN247" s="1">
        <v>1841</v>
      </c>
      <c r="AO247" s="1">
        <v>1826</v>
      </c>
      <c r="AP247" s="1">
        <v>1828</v>
      </c>
      <c r="AQ247" s="1">
        <v>1833</v>
      </c>
      <c r="AR247" s="1">
        <v>1802</v>
      </c>
      <c r="AS247" s="1">
        <v>1788</v>
      </c>
      <c r="AT247" s="1">
        <v>1821</v>
      </c>
      <c r="AU247" s="1">
        <v>1846</v>
      </c>
      <c r="AV247" s="1">
        <v>1849</v>
      </c>
      <c r="AW247" s="1">
        <v>1805</v>
      </c>
      <c r="AX247" s="1">
        <v>1807</v>
      </c>
      <c r="AY247" s="1">
        <v>1820</v>
      </c>
      <c r="AZ247" s="1">
        <v>1837</v>
      </c>
      <c r="BA247" s="1">
        <v>1830</v>
      </c>
      <c r="BB247" s="1">
        <v>1791</v>
      </c>
      <c r="BC247" s="1">
        <v>1780</v>
      </c>
      <c r="BD247" s="1">
        <v>1877</v>
      </c>
      <c r="BE247" s="1">
        <v>1900</v>
      </c>
      <c r="BF247" s="1">
        <v>1879</v>
      </c>
      <c r="BG247" s="1">
        <v>1830</v>
      </c>
      <c r="BH247" s="1">
        <v>1798</v>
      </c>
      <c r="BI247" s="1">
        <v>1870</v>
      </c>
      <c r="BJ247" s="1">
        <v>1849</v>
      </c>
      <c r="BK247" s="1">
        <v>1828</v>
      </c>
      <c r="BL247" s="1">
        <v>1833</v>
      </c>
    </row>
    <row r="248" spans="1:64">
      <c r="A248" s="77" t="s">
        <v>549</v>
      </c>
      <c r="B248" s="1" t="str">
        <f>銘柄管理!C248</f>
        <v>リクルートホールディングス</v>
      </c>
      <c r="C248" s="1">
        <f>_xll.RssMarket("6098","始値")</f>
        <v>10640</v>
      </c>
      <c r="E248" s="1">
        <v>10640</v>
      </c>
      <c r="F248" s="1">
        <v>10560</v>
      </c>
      <c r="G248" s="1">
        <v>10800</v>
      </c>
      <c r="H248" s="1">
        <v>11140</v>
      </c>
      <c r="I248" s="1">
        <v>11080</v>
      </c>
      <c r="J248" s="1">
        <v>11400</v>
      </c>
      <c r="K248" s="1">
        <v>10775</v>
      </c>
      <c r="L248" s="1">
        <v>10915</v>
      </c>
      <c r="M248" s="1">
        <v>10620</v>
      </c>
      <c r="N248" s="1">
        <v>10930</v>
      </c>
      <c r="O248" s="1">
        <v>11105</v>
      </c>
      <c r="P248" s="1">
        <v>10375</v>
      </c>
      <c r="Q248" s="1">
        <v>9951</v>
      </c>
      <c r="R248" s="1">
        <v>10075</v>
      </c>
      <c r="S248" s="1">
        <v>9693</v>
      </c>
      <c r="T248" s="1">
        <v>9414</v>
      </c>
      <c r="U248" s="1">
        <v>9648</v>
      </c>
      <c r="V248" s="1">
        <v>9990</v>
      </c>
      <c r="W248" s="1">
        <v>9322</v>
      </c>
      <c r="X248" s="1">
        <v>9025</v>
      </c>
      <c r="Y248" s="1">
        <v>7805</v>
      </c>
      <c r="Z248" s="1">
        <v>7680</v>
      </c>
      <c r="AA248" s="1">
        <v>7688</v>
      </c>
      <c r="AB248" s="1">
        <v>7616</v>
      </c>
      <c r="AC248" s="1">
        <v>7822</v>
      </c>
      <c r="AD248" s="1">
        <v>7848</v>
      </c>
      <c r="AE248" s="1">
        <v>7570</v>
      </c>
      <c r="AF248" s="1">
        <v>7204</v>
      </c>
      <c r="AG248" s="1">
        <v>7164</v>
      </c>
      <c r="AH248" s="1">
        <v>7452</v>
      </c>
      <c r="AI248" s="1">
        <v>7340</v>
      </c>
      <c r="AJ248" s="1">
        <v>7380</v>
      </c>
      <c r="AK248" s="1">
        <v>7567</v>
      </c>
      <c r="AL248" s="1">
        <v>7853</v>
      </c>
      <c r="AM248" s="1">
        <v>7620</v>
      </c>
      <c r="AN248" s="1">
        <v>7524</v>
      </c>
      <c r="AO248" s="1">
        <v>7300</v>
      </c>
      <c r="AP248" s="1">
        <v>7327</v>
      </c>
      <c r="AQ248" s="1">
        <v>6966</v>
      </c>
      <c r="AR248" s="1">
        <v>7096</v>
      </c>
      <c r="AS248" s="1">
        <v>6975</v>
      </c>
      <c r="AT248" s="1">
        <v>7035</v>
      </c>
      <c r="AU248" s="1">
        <v>7210</v>
      </c>
      <c r="AV248" s="1">
        <v>7305</v>
      </c>
      <c r="AW248" s="1">
        <v>6940</v>
      </c>
      <c r="AX248" s="1">
        <v>6914</v>
      </c>
      <c r="AY248" s="1">
        <v>7098</v>
      </c>
      <c r="AZ248" s="1">
        <v>7088</v>
      </c>
      <c r="BA248" s="1">
        <v>7026</v>
      </c>
      <c r="BB248" s="1">
        <v>6405</v>
      </c>
      <c r="BC248" s="1">
        <v>6307</v>
      </c>
      <c r="BD248" s="1">
        <v>6451</v>
      </c>
      <c r="BE248" s="1">
        <v>6390</v>
      </c>
      <c r="BF248" s="1">
        <v>6463</v>
      </c>
      <c r="BG248" s="1">
        <v>6472</v>
      </c>
      <c r="BH248" s="1">
        <v>6150</v>
      </c>
      <c r="BI248" s="1">
        <v>6346</v>
      </c>
      <c r="BJ248" s="1">
        <v>6465</v>
      </c>
      <c r="BK248" s="1">
        <v>6535</v>
      </c>
      <c r="BL248" s="1">
        <v>6523</v>
      </c>
    </row>
    <row r="249" spans="1:64">
      <c r="A249" s="77" t="s">
        <v>550</v>
      </c>
      <c r="B249" s="1" t="str">
        <f>銘柄管理!C249</f>
        <v>荏原製作所</v>
      </c>
      <c r="C249" s="1">
        <f>_xll.RssMarket("6361","始値")</f>
        <v>6093</v>
      </c>
      <c r="E249" s="1">
        <v>6093</v>
      </c>
      <c r="F249" s="1">
        <v>6284</v>
      </c>
      <c r="G249" s="1">
        <v>5765</v>
      </c>
      <c r="H249" s="1">
        <v>5476</v>
      </c>
      <c r="I249" s="1">
        <v>5065</v>
      </c>
      <c r="J249" s="1">
        <v>5283</v>
      </c>
      <c r="K249" s="1">
        <v>4982</v>
      </c>
      <c r="L249" s="1">
        <v>5471</v>
      </c>
      <c r="M249" s="1">
        <v>5555</v>
      </c>
      <c r="N249" s="1">
        <v>5279</v>
      </c>
      <c r="O249" s="1">
        <v>5698</v>
      </c>
      <c r="P249" s="1">
        <v>5599</v>
      </c>
      <c r="Q249" s="1">
        <v>5572</v>
      </c>
      <c r="R249" s="1">
        <v>5742</v>
      </c>
      <c r="S249" s="1">
        <v>5697</v>
      </c>
      <c r="T249" s="1">
        <v>5393</v>
      </c>
      <c r="U249" s="1">
        <v>5100</v>
      </c>
      <c r="V249" s="1">
        <v>4980</v>
      </c>
      <c r="W249" s="1">
        <v>5398</v>
      </c>
      <c r="X249" s="1">
        <v>5533</v>
      </c>
      <c r="Y249" s="1">
        <v>5819</v>
      </c>
      <c r="Z249" s="1">
        <v>5797</v>
      </c>
      <c r="AA249" s="1">
        <v>5666</v>
      </c>
      <c r="AB249" s="1">
        <v>5945</v>
      </c>
      <c r="AC249" s="1">
        <v>5800</v>
      </c>
      <c r="AD249" s="1">
        <v>5749</v>
      </c>
      <c r="AE249" s="1">
        <v>5742</v>
      </c>
      <c r="AF249" s="1">
        <v>5343</v>
      </c>
      <c r="AG249" s="1">
        <v>5523</v>
      </c>
      <c r="AH249" s="1">
        <v>5515</v>
      </c>
      <c r="AI249" s="1">
        <v>5370</v>
      </c>
      <c r="AJ249" s="1">
        <v>5461</v>
      </c>
      <c r="AK249" s="1">
        <v>5390</v>
      </c>
      <c r="AL249" s="1">
        <v>5187</v>
      </c>
      <c r="AM249" s="1">
        <v>5193</v>
      </c>
      <c r="AN249" s="1">
        <v>5070</v>
      </c>
      <c r="AO249" s="1">
        <v>5090</v>
      </c>
      <c r="AP249" s="1">
        <v>4993</v>
      </c>
      <c r="AQ249" s="1">
        <v>5267</v>
      </c>
      <c r="AR249" s="1">
        <v>5254</v>
      </c>
      <c r="AS249" s="1">
        <v>5078</v>
      </c>
      <c r="AT249" s="1">
        <v>5063</v>
      </c>
      <c r="AU249" s="1">
        <v>5051</v>
      </c>
      <c r="AV249" s="1">
        <v>4916</v>
      </c>
      <c r="AW249" s="1">
        <v>4561</v>
      </c>
      <c r="AX249" s="1">
        <v>4512</v>
      </c>
      <c r="AY249" s="1">
        <v>4576</v>
      </c>
      <c r="AZ249" s="1">
        <v>4622</v>
      </c>
      <c r="BA249" s="1">
        <v>4500</v>
      </c>
      <c r="BB249" s="1">
        <v>4163</v>
      </c>
      <c r="BC249" s="1">
        <v>4200</v>
      </c>
      <c r="BD249" s="1">
        <v>4502</v>
      </c>
      <c r="BE249" s="1">
        <v>4881</v>
      </c>
      <c r="BF249" s="1">
        <v>4697</v>
      </c>
      <c r="BG249" s="1">
        <v>4575</v>
      </c>
      <c r="BH249" s="1">
        <v>4447</v>
      </c>
      <c r="BI249" s="1">
        <v>4767</v>
      </c>
      <c r="BJ249" s="1">
        <v>4822</v>
      </c>
      <c r="BK249" s="1">
        <v>4758</v>
      </c>
      <c r="BL249" s="1">
        <v>4765</v>
      </c>
    </row>
    <row r="250" spans="1:64">
      <c r="A250" s="77" t="s">
        <v>551</v>
      </c>
      <c r="B250" s="1" t="str">
        <f>銘柄管理!C250</f>
        <v>情報戦略テクノロジー</v>
      </c>
      <c r="C250" s="1">
        <f>_xll.RssMarket("155A","始値")</f>
        <v>830</v>
      </c>
      <c r="E250" s="1">
        <v>830</v>
      </c>
      <c r="F250" s="1">
        <v>847</v>
      </c>
      <c r="G250" s="1">
        <v>850</v>
      </c>
      <c r="H250" s="1">
        <v>860</v>
      </c>
      <c r="I250" s="1">
        <v>880</v>
      </c>
      <c r="J250" s="1">
        <v>838</v>
      </c>
      <c r="K250" s="1">
        <v>840</v>
      </c>
      <c r="L250" s="1">
        <v>834</v>
      </c>
      <c r="M250" s="1">
        <v>835</v>
      </c>
      <c r="N250" s="1">
        <v>822</v>
      </c>
      <c r="O250" s="1">
        <v>868</v>
      </c>
      <c r="P250" s="1">
        <v>878</v>
      </c>
      <c r="Q250" s="1">
        <v>855</v>
      </c>
      <c r="R250" s="1">
        <v>867</v>
      </c>
      <c r="S250" s="1">
        <v>835</v>
      </c>
      <c r="T250" s="1">
        <v>839</v>
      </c>
      <c r="U250" s="1">
        <v>877</v>
      </c>
      <c r="V250" s="1">
        <v>893</v>
      </c>
      <c r="W250" s="1">
        <v>904</v>
      </c>
      <c r="X250" s="1">
        <v>874</v>
      </c>
      <c r="Y250" s="1">
        <v>777</v>
      </c>
      <c r="Z250" s="1">
        <v>788</v>
      </c>
      <c r="AA250" s="1">
        <v>799</v>
      </c>
      <c r="AB250" s="1">
        <v>810</v>
      </c>
      <c r="AC250" s="1">
        <v>817</v>
      </c>
      <c r="AD250" s="1">
        <v>803</v>
      </c>
      <c r="AE250" s="1">
        <v>801</v>
      </c>
      <c r="AF250" s="1">
        <v>813</v>
      </c>
      <c r="AG250" s="1">
        <v>820</v>
      </c>
      <c r="AH250" s="1">
        <v>813</v>
      </c>
      <c r="AI250" s="1">
        <v>828</v>
      </c>
      <c r="AJ250" s="1">
        <v>860</v>
      </c>
      <c r="AK250" s="1">
        <v>850</v>
      </c>
      <c r="AL250" s="1">
        <v>842</v>
      </c>
      <c r="AM250" s="1">
        <v>833</v>
      </c>
      <c r="AN250" s="1">
        <v>830</v>
      </c>
      <c r="AO250" s="1">
        <v>829</v>
      </c>
      <c r="AP250" s="1">
        <v>813</v>
      </c>
      <c r="AQ250" s="1">
        <v>817</v>
      </c>
      <c r="AR250" s="1">
        <v>811</v>
      </c>
      <c r="AS250" s="1">
        <v>847</v>
      </c>
      <c r="AT250" s="1">
        <v>873</v>
      </c>
      <c r="AU250" s="1">
        <v>868</v>
      </c>
      <c r="AV250" s="1">
        <v>840</v>
      </c>
      <c r="AW250" s="1">
        <v>843</v>
      </c>
      <c r="AX250" s="1">
        <v>850</v>
      </c>
      <c r="AY250" s="1">
        <v>853</v>
      </c>
      <c r="AZ250" s="1">
        <v>836</v>
      </c>
      <c r="BA250" s="1">
        <v>827</v>
      </c>
      <c r="BB250" s="1">
        <v>842</v>
      </c>
      <c r="BC250" s="1">
        <v>868</v>
      </c>
      <c r="BD250" s="1">
        <v>890</v>
      </c>
      <c r="BE250" s="1">
        <v>879</v>
      </c>
      <c r="BF250" s="1">
        <v>897</v>
      </c>
      <c r="BG250" s="1">
        <v>860</v>
      </c>
      <c r="BH250" s="1">
        <v>901</v>
      </c>
      <c r="BI250" s="1">
        <v>879</v>
      </c>
      <c r="BJ250" s="1">
        <v>892</v>
      </c>
      <c r="BK250" s="1">
        <v>884</v>
      </c>
      <c r="BL250" s="1">
        <v>889</v>
      </c>
    </row>
    <row r="251" spans="1:64">
      <c r="A251" s="77" t="s">
        <v>552</v>
      </c>
      <c r="B251" s="1" t="str">
        <f>銘柄管理!C251</f>
        <v>ＴＥＲＲＡＤＲＯＮＥ</v>
      </c>
      <c r="C251" s="1">
        <f>_xll.RssMarket("278A","始値")</f>
        <v>9550</v>
      </c>
      <c r="E251" s="1">
        <v>9550</v>
      </c>
      <c r="F251" s="1">
        <v>8750</v>
      </c>
      <c r="G251" s="1">
        <v>7800</v>
      </c>
      <c r="H251" s="1">
        <v>8720</v>
      </c>
      <c r="I251" s="1">
        <v>8540</v>
      </c>
      <c r="J251" s="1">
        <v>8900</v>
      </c>
      <c r="K251" s="1">
        <v>8340</v>
      </c>
      <c r="L251" s="1">
        <v>7900</v>
      </c>
      <c r="M251" s="1">
        <v>8440</v>
      </c>
      <c r="N251" s="1">
        <v>8410</v>
      </c>
      <c r="O251" s="1">
        <v>8850</v>
      </c>
      <c r="P251" s="1">
        <v>10580</v>
      </c>
      <c r="Q251" s="1">
        <v>8900</v>
      </c>
      <c r="R251" s="1">
        <v>9700</v>
      </c>
      <c r="S251" s="1">
        <v>11300</v>
      </c>
      <c r="T251" s="1">
        <v>10700</v>
      </c>
      <c r="U251" s="1">
        <v>11510</v>
      </c>
      <c r="V251" s="1">
        <v>12000</v>
      </c>
      <c r="W251" s="1">
        <v>13250</v>
      </c>
      <c r="X251" s="1">
        <v>12700</v>
      </c>
      <c r="Y251" s="1">
        <v>11000</v>
      </c>
      <c r="Z251" s="1">
        <v>12240</v>
      </c>
      <c r="AA251" s="1">
        <v>10000</v>
      </c>
      <c r="AB251" s="1">
        <v>19600</v>
      </c>
      <c r="AC251" s="1">
        <v>15230</v>
      </c>
      <c r="AD251" s="1">
        <v>12020</v>
      </c>
      <c r="AE251" s="1">
        <v>12570</v>
      </c>
      <c r="AF251" s="1">
        <v>10000</v>
      </c>
      <c r="AG251" s="1">
        <v>8220</v>
      </c>
      <c r="AH251" s="1">
        <v>7380</v>
      </c>
      <c r="AI251" s="1">
        <v>7990</v>
      </c>
      <c r="AJ251" s="1">
        <v>8410</v>
      </c>
      <c r="AK251" s="1">
        <v>7820</v>
      </c>
      <c r="AL251" s="1">
        <v>7000</v>
      </c>
      <c r="AM251" s="1">
        <v>6650</v>
      </c>
      <c r="AN251" s="1">
        <v>6570</v>
      </c>
      <c r="AO251" s="1">
        <v>6500</v>
      </c>
      <c r="AP251" s="1">
        <v>6500</v>
      </c>
      <c r="AQ251" s="1">
        <v>5790</v>
      </c>
      <c r="AR251" s="1">
        <v>6000</v>
      </c>
      <c r="AS251" s="1">
        <v>5330</v>
      </c>
      <c r="AT251" s="1">
        <v>4475</v>
      </c>
      <c r="AU251" s="1">
        <v>4260</v>
      </c>
      <c r="AV251" s="1">
        <v>4290</v>
      </c>
      <c r="AW251" s="1">
        <v>4640</v>
      </c>
      <c r="AX251" s="1">
        <v>4430</v>
      </c>
      <c r="AY251" s="1">
        <v>5000</v>
      </c>
      <c r="AZ251" s="1">
        <v>5030</v>
      </c>
      <c r="BA251" s="1">
        <v>4495</v>
      </c>
      <c r="BB251" s="1">
        <v>3830</v>
      </c>
      <c r="BC251" s="1">
        <v>4030</v>
      </c>
      <c r="BD251" s="1">
        <v>3960</v>
      </c>
      <c r="BE251" s="1">
        <v>4165</v>
      </c>
      <c r="BF251" s="1">
        <v>3735</v>
      </c>
      <c r="BG251" s="1">
        <v>3395</v>
      </c>
      <c r="BH251" s="1">
        <v>2840</v>
      </c>
      <c r="BI251" s="1">
        <v>3150</v>
      </c>
      <c r="BJ251" s="1">
        <v>2980</v>
      </c>
      <c r="BK251" s="1">
        <v>2921</v>
      </c>
      <c r="BL251" s="1">
        <v>2638</v>
      </c>
    </row>
    <row r="252" spans="1:64">
      <c r="A252" s="77" t="s">
        <v>553</v>
      </c>
      <c r="B252" s="1" t="str">
        <f>銘柄管理!C252</f>
        <v>ＭＩＣ</v>
      </c>
      <c r="C252" s="1">
        <f>_xll.RssMarket("300A","始値")</f>
        <v>2810</v>
      </c>
      <c r="E252" s="1">
        <v>2810</v>
      </c>
      <c r="F252" s="1">
        <v>2835</v>
      </c>
      <c r="G252" s="1">
        <v>2867</v>
      </c>
      <c r="H252" s="1">
        <v>2800</v>
      </c>
      <c r="I252" s="1">
        <v>2797</v>
      </c>
      <c r="J252" s="1">
        <v>2800</v>
      </c>
      <c r="K252" s="1">
        <v>2774</v>
      </c>
      <c r="L252" s="1">
        <v>2755</v>
      </c>
      <c r="M252" s="1">
        <v>2799</v>
      </c>
      <c r="N252" s="1">
        <v>2801</v>
      </c>
      <c r="O252" s="1">
        <v>2847</v>
      </c>
      <c r="P252" s="1">
        <v>2899</v>
      </c>
      <c r="Q252" s="1">
        <v>2841</v>
      </c>
      <c r="R252" s="1">
        <v>2871</v>
      </c>
      <c r="S252" s="1">
        <v>2918</v>
      </c>
      <c r="T252" s="1">
        <v>2864</v>
      </c>
      <c r="U252" s="1">
        <v>2938</v>
      </c>
      <c r="V252" s="1">
        <v>2920</v>
      </c>
      <c r="W252" s="1">
        <v>2848</v>
      </c>
      <c r="X252" s="1">
        <v>2930</v>
      </c>
      <c r="Y252" s="1">
        <v>2904</v>
      </c>
      <c r="Z252" s="1">
        <v>2790</v>
      </c>
      <c r="AA252" s="1">
        <v>2760</v>
      </c>
      <c r="AB252" s="1">
        <v>2789</v>
      </c>
      <c r="AC252" s="1">
        <v>2782</v>
      </c>
      <c r="AD252" s="1">
        <v>2750</v>
      </c>
      <c r="AE252" s="1">
        <v>2795</v>
      </c>
      <c r="AF252" s="1">
        <v>2769</v>
      </c>
      <c r="AG252" s="1">
        <v>2885</v>
      </c>
      <c r="AH252" s="1">
        <v>2783</v>
      </c>
      <c r="AI252" s="1">
        <v>2851</v>
      </c>
      <c r="AJ252" s="1">
        <v>2934</v>
      </c>
      <c r="AK252" s="1">
        <v>3070</v>
      </c>
      <c r="AL252" s="1">
        <v>3095</v>
      </c>
      <c r="AM252" s="1">
        <v>3050</v>
      </c>
      <c r="AN252" s="1">
        <v>3000</v>
      </c>
      <c r="AO252" s="1">
        <v>3005</v>
      </c>
      <c r="AP252" s="1">
        <v>2964</v>
      </c>
      <c r="AQ252" s="1">
        <v>2942</v>
      </c>
      <c r="AR252" s="1">
        <v>2898</v>
      </c>
      <c r="AS252" s="1">
        <v>2878</v>
      </c>
      <c r="AT252" s="1">
        <v>2853</v>
      </c>
      <c r="AU252" s="1">
        <v>2830</v>
      </c>
      <c r="AV252" s="1">
        <v>2839</v>
      </c>
      <c r="AW252" s="1">
        <v>2826</v>
      </c>
      <c r="AX252" s="1">
        <v>2845</v>
      </c>
      <c r="AY252" s="1">
        <v>2844</v>
      </c>
      <c r="AZ252" s="1">
        <v>2870</v>
      </c>
      <c r="BA252" s="1">
        <v>2837</v>
      </c>
      <c r="BB252" s="1">
        <v>2770</v>
      </c>
      <c r="BC252" s="1">
        <v>2782</v>
      </c>
      <c r="BD252" s="1">
        <v>2780</v>
      </c>
      <c r="BE252" s="1">
        <v>2818</v>
      </c>
      <c r="BF252" s="1">
        <v>2789</v>
      </c>
      <c r="BG252" s="1">
        <v>2700</v>
      </c>
      <c r="BH252" s="1">
        <v>2751</v>
      </c>
      <c r="BI252" s="1">
        <v>2834</v>
      </c>
      <c r="BJ252" s="1">
        <v>2784</v>
      </c>
      <c r="BK252" s="1">
        <v>2785</v>
      </c>
      <c r="BL252" s="1">
        <v>2760</v>
      </c>
    </row>
    <row r="253" spans="1:64">
      <c r="A253" s="77" t="s">
        <v>554</v>
      </c>
      <c r="B253" s="1" t="str">
        <f>銘柄管理!C253</f>
        <v>サイボウズ</v>
      </c>
      <c r="C253" s="1">
        <f>_xll.RssMarket("4776","始値")</f>
        <v>2321</v>
      </c>
      <c r="E253" s="1">
        <v>2321</v>
      </c>
      <c r="F253" s="1">
        <v>2344</v>
      </c>
      <c r="G253" s="1">
        <v>2315</v>
      </c>
      <c r="H253" s="1">
        <v>2297</v>
      </c>
      <c r="I253" s="1">
        <v>2389</v>
      </c>
      <c r="J253" s="1">
        <v>2355</v>
      </c>
      <c r="K253" s="1">
        <v>2430</v>
      </c>
      <c r="L253" s="1">
        <v>2436</v>
      </c>
      <c r="M253" s="1">
        <v>2420</v>
      </c>
      <c r="N253" s="1">
        <v>2557</v>
      </c>
      <c r="O253" s="1">
        <v>2650</v>
      </c>
      <c r="P253" s="1">
        <v>2552</v>
      </c>
      <c r="Q253" s="1">
        <v>2575</v>
      </c>
      <c r="R253" s="1">
        <v>2570</v>
      </c>
      <c r="S253" s="1">
        <v>2550</v>
      </c>
      <c r="T253" s="1">
        <v>2489</v>
      </c>
      <c r="U253" s="1">
        <v>2501</v>
      </c>
      <c r="V253" s="1">
        <v>2490</v>
      </c>
      <c r="W253" s="1">
        <v>2383</v>
      </c>
      <c r="X253" s="1">
        <v>2407</v>
      </c>
      <c r="Y253" s="1">
        <v>2274</v>
      </c>
      <c r="Z253" s="1">
        <v>2159</v>
      </c>
      <c r="AA253" s="1">
        <v>2157</v>
      </c>
      <c r="AB253" s="1">
        <v>2160</v>
      </c>
      <c r="AC253" s="1">
        <v>2189</v>
      </c>
      <c r="AD253" s="1">
        <v>2171</v>
      </c>
      <c r="AE253" s="1">
        <v>2053</v>
      </c>
      <c r="AF253" s="1">
        <v>2082</v>
      </c>
      <c r="AG253" s="1">
        <v>2090</v>
      </c>
      <c r="AH253" s="1">
        <v>2101</v>
      </c>
      <c r="AI253" s="1">
        <v>2119</v>
      </c>
      <c r="AJ253" s="1">
        <v>2100</v>
      </c>
      <c r="AK253" s="1">
        <v>2139</v>
      </c>
      <c r="AL253" s="1">
        <v>2165</v>
      </c>
      <c r="AM253" s="1">
        <v>2204</v>
      </c>
      <c r="AN253" s="1">
        <v>2264</v>
      </c>
      <c r="AO253" s="1">
        <v>2226</v>
      </c>
      <c r="AP253" s="1">
        <v>2240</v>
      </c>
      <c r="AQ253" s="1">
        <v>2064</v>
      </c>
      <c r="AR253" s="1">
        <v>2039</v>
      </c>
      <c r="AS253" s="1">
        <v>1963</v>
      </c>
      <c r="AT253" s="1">
        <v>2000</v>
      </c>
      <c r="AU253" s="1">
        <v>2083</v>
      </c>
      <c r="AV253" s="1">
        <v>2103</v>
      </c>
      <c r="AW253" s="1">
        <v>2072</v>
      </c>
      <c r="AX253" s="1">
        <v>2043</v>
      </c>
      <c r="AY253" s="1">
        <v>2061</v>
      </c>
      <c r="AZ253" s="1">
        <v>2068</v>
      </c>
      <c r="BA253" s="1">
        <v>2090</v>
      </c>
      <c r="BB253" s="1">
        <v>2094</v>
      </c>
      <c r="BC253" s="1">
        <v>2060</v>
      </c>
      <c r="BD253" s="1">
        <v>2055</v>
      </c>
      <c r="BE253" s="1">
        <v>2053</v>
      </c>
      <c r="BF253" s="1">
        <v>2019</v>
      </c>
      <c r="BG253" s="1">
        <v>2032</v>
      </c>
      <c r="BH253" s="1">
        <v>2050</v>
      </c>
      <c r="BI253" s="1">
        <v>2099</v>
      </c>
      <c r="BJ253" s="1">
        <v>2128</v>
      </c>
      <c r="BK253" s="1">
        <v>2137</v>
      </c>
      <c r="BL253" s="1">
        <v>2138</v>
      </c>
    </row>
    <row r="254" spans="1:64">
      <c r="A254" s="77" t="s">
        <v>555</v>
      </c>
      <c r="B254" s="1" t="str">
        <f>銘柄管理!C254</f>
        <v>トレンドマイクロ</v>
      </c>
      <c r="C254" s="1">
        <f>_xll.RssMarket("4704","始値")</f>
        <v>5771</v>
      </c>
      <c r="E254" s="1">
        <v>5771</v>
      </c>
      <c r="F254" s="1">
        <v>5850</v>
      </c>
      <c r="G254" s="1">
        <v>5931</v>
      </c>
      <c r="H254" s="1">
        <v>6136</v>
      </c>
      <c r="I254" s="1">
        <v>6183</v>
      </c>
      <c r="J254" s="1">
        <v>6186</v>
      </c>
      <c r="K254" s="1">
        <v>6478</v>
      </c>
      <c r="L254" s="1">
        <v>6725</v>
      </c>
      <c r="M254" s="1">
        <v>6145</v>
      </c>
      <c r="N254" s="1">
        <v>6251</v>
      </c>
      <c r="O254" s="1">
        <v>6453</v>
      </c>
      <c r="P254" s="1">
        <v>5980</v>
      </c>
      <c r="Q254" s="1">
        <v>6037</v>
      </c>
      <c r="R254" s="1">
        <v>6066</v>
      </c>
      <c r="S254" s="1">
        <v>6203</v>
      </c>
      <c r="T254" s="1">
        <v>6015</v>
      </c>
      <c r="U254" s="1">
        <v>5911</v>
      </c>
      <c r="V254" s="1">
        <v>6060</v>
      </c>
      <c r="W254" s="1">
        <v>6081</v>
      </c>
      <c r="X254" s="1">
        <v>5730</v>
      </c>
      <c r="Y254" s="1">
        <v>5400</v>
      </c>
      <c r="Z254" s="1">
        <v>5511</v>
      </c>
      <c r="AA254" s="1">
        <v>5725</v>
      </c>
      <c r="AB254" s="1">
        <v>5592</v>
      </c>
      <c r="AC254" s="1">
        <v>5715</v>
      </c>
      <c r="AD254" s="1">
        <v>5729</v>
      </c>
      <c r="AE254" s="1">
        <v>5339</v>
      </c>
      <c r="AF254" s="1">
        <v>5376</v>
      </c>
      <c r="AG254" s="1">
        <v>5552</v>
      </c>
      <c r="AH254" s="1">
        <v>5514</v>
      </c>
      <c r="AI254" s="1">
        <v>5632</v>
      </c>
      <c r="AJ254" s="1">
        <v>5601</v>
      </c>
      <c r="AK254" s="1">
        <v>5859</v>
      </c>
      <c r="AL254" s="1">
        <v>6050</v>
      </c>
      <c r="AM254" s="1">
        <v>5907</v>
      </c>
      <c r="AN254" s="1">
        <v>5998</v>
      </c>
      <c r="AO254" s="1">
        <v>6012</v>
      </c>
      <c r="AP254" s="1">
        <v>5859</v>
      </c>
      <c r="AQ254" s="1">
        <v>5433</v>
      </c>
      <c r="AR254" s="1">
        <v>5317</v>
      </c>
      <c r="AS254" s="1">
        <v>5073</v>
      </c>
      <c r="AT254" s="1">
        <v>5260</v>
      </c>
      <c r="AU254" s="1">
        <v>5435</v>
      </c>
      <c r="AV254" s="1">
        <v>5551</v>
      </c>
      <c r="AW254" s="1">
        <v>5320</v>
      </c>
      <c r="AX254" s="1">
        <v>5320</v>
      </c>
      <c r="AY254" s="1">
        <v>5350</v>
      </c>
      <c r="AZ254" s="1">
        <v>5311</v>
      </c>
      <c r="BA254" s="1">
        <v>5315</v>
      </c>
      <c r="BB254" s="1">
        <v>5272</v>
      </c>
      <c r="BC254" s="1">
        <v>5100</v>
      </c>
      <c r="BD254" s="1">
        <v>5315</v>
      </c>
      <c r="BE254" s="1">
        <v>5230</v>
      </c>
      <c r="BF254" s="1">
        <v>5181</v>
      </c>
      <c r="BG254" s="1">
        <v>5351</v>
      </c>
      <c r="BH254" s="1">
        <v>5276</v>
      </c>
      <c r="BI254" s="1">
        <v>5325</v>
      </c>
      <c r="BJ254" s="1">
        <v>5300</v>
      </c>
      <c r="BK254" s="1">
        <v>5309</v>
      </c>
      <c r="BL254" s="1">
        <v>5386</v>
      </c>
    </row>
    <row r="255" spans="1:64">
      <c r="A255" s="77" t="s">
        <v>556</v>
      </c>
      <c r="B255" s="1" t="str">
        <f>銘柄管理!C255</f>
        <v>栗田工業</v>
      </c>
      <c r="C255" s="1">
        <f>_xll.RssMarket("6370","始値")</f>
        <v>9335</v>
      </c>
      <c r="E255" s="1">
        <v>9335</v>
      </c>
      <c r="F255" s="1">
        <v>8761</v>
      </c>
      <c r="G255" s="1">
        <v>8639</v>
      </c>
      <c r="H255" s="1">
        <v>8300</v>
      </c>
      <c r="I255" s="1">
        <v>7901</v>
      </c>
      <c r="J255" s="1">
        <v>8286</v>
      </c>
      <c r="K255" s="1">
        <v>8212</v>
      </c>
      <c r="L255" s="1">
        <v>8808</v>
      </c>
      <c r="M255" s="1">
        <v>8803</v>
      </c>
      <c r="N255" s="1">
        <v>8714</v>
      </c>
      <c r="O255" s="1">
        <v>8549</v>
      </c>
      <c r="P255" s="1">
        <v>8691</v>
      </c>
      <c r="Q255" s="1">
        <v>8728</v>
      </c>
      <c r="R255" s="1">
        <v>9077</v>
      </c>
      <c r="S255" s="1">
        <v>8834</v>
      </c>
      <c r="T255" s="1">
        <v>8713</v>
      </c>
      <c r="U255" s="1">
        <v>8538</v>
      </c>
      <c r="V255" s="1">
        <v>8616</v>
      </c>
      <c r="W255" s="1">
        <v>8773</v>
      </c>
      <c r="X255" s="1">
        <v>8918</v>
      </c>
      <c r="Y255" s="1">
        <v>9500</v>
      </c>
      <c r="Z255" s="1">
        <v>9010</v>
      </c>
      <c r="AA255" s="1">
        <v>9000</v>
      </c>
      <c r="AB255" s="1">
        <v>9184</v>
      </c>
      <c r="AC255" s="1">
        <v>8900</v>
      </c>
      <c r="AD255" s="1">
        <v>8362</v>
      </c>
      <c r="AE255" s="1">
        <v>8296</v>
      </c>
      <c r="AF255" s="1">
        <v>8290</v>
      </c>
      <c r="AG255" s="1">
        <v>8401</v>
      </c>
      <c r="AH255" s="1">
        <v>8297</v>
      </c>
      <c r="AI255" s="1">
        <v>7905</v>
      </c>
      <c r="AJ255" s="1">
        <v>7916</v>
      </c>
      <c r="AK255" s="1">
        <v>7847</v>
      </c>
      <c r="AL255" s="1">
        <v>7990</v>
      </c>
      <c r="AM255" s="1">
        <v>8188</v>
      </c>
      <c r="AN255" s="1">
        <v>8095</v>
      </c>
      <c r="AO255" s="1">
        <v>8010</v>
      </c>
      <c r="AP255" s="1">
        <v>7950</v>
      </c>
      <c r="AQ255" s="1">
        <v>7998</v>
      </c>
      <c r="AR255" s="1">
        <v>8201</v>
      </c>
      <c r="AS255" s="1">
        <v>8069</v>
      </c>
      <c r="AT255" s="1">
        <v>8040</v>
      </c>
      <c r="AU255" s="1">
        <v>8212</v>
      </c>
      <c r="AV255" s="1">
        <v>8048</v>
      </c>
      <c r="AW255" s="1">
        <v>7725</v>
      </c>
      <c r="AX255" s="1">
        <v>7720</v>
      </c>
      <c r="AY255" s="1">
        <v>7619</v>
      </c>
      <c r="AZ255" s="1">
        <v>7837</v>
      </c>
      <c r="BA255" s="1">
        <v>7628</v>
      </c>
      <c r="BB255" s="1">
        <v>7250</v>
      </c>
      <c r="BC255" s="1">
        <v>7183</v>
      </c>
      <c r="BD255" s="1">
        <v>7655</v>
      </c>
      <c r="BE255" s="1">
        <v>7806</v>
      </c>
      <c r="BF255" s="1">
        <v>7672</v>
      </c>
      <c r="BG255" s="1">
        <v>7417</v>
      </c>
      <c r="BH255" s="1">
        <v>7098</v>
      </c>
      <c r="BI255" s="1">
        <v>7700</v>
      </c>
      <c r="BJ255" s="1">
        <v>7800</v>
      </c>
      <c r="BK255" s="1">
        <v>7890</v>
      </c>
      <c r="BL255" s="1">
        <v>7735</v>
      </c>
    </row>
    <row r="256" spans="1:64">
      <c r="A256" s="77" t="s">
        <v>557</v>
      </c>
      <c r="B256" s="1" t="str">
        <f>銘柄管理!C256</f>
        <v>名村造船所</v>
      </c>
      <c r="C256" s="1">
        <f>_xll.RssMarket("7014","始値")</f>
        <v>3755</v>
      </c>
      <c r="E256" s="1">
        <v>3755</v>
      </c>
      <c r="F256" s="1">
        <v>3765</v>
      </c>
      <c r="G256" s="1">
        <v>3685</v>
      </c>
      <c r="H256" s="1">
        <v>3480</v>
      </c>
      <c r="I256" s="1">
        <v>3345</v>
      </c>
      <c r="J256" s="1">
        <v>3440</v>
      </c>
      <c r="K256" s="1">
        <v>3550</v>
      </c>
      <c r="L256" s="1">
        <v>3655</v>
      </c>
      <c r="M256" s="1">
        <v>3485</v>
      </c>
      <c r="N256" s="1">
        <v>3475</v>
      </c>
      <c r="O256" s="1">
        <v>3455</v>
      </c>
      <c r="P256" s="1">
        <v>3790</v>
      </c>
      <c r="Q256" s="1">
        <v>4085</v>
      </c>
      <c r="R256" s="1">
        <v>4240</v>
      </c>
      <c r="S256" s="1">
        <v>3945</v>
      </c>
      <c r="T256" s="1">
        <v>3800</v>
      </c>
      <c r="U256" s="1">
        <v>8538</v>
      </c>
      <c r="V256" s="1">
        <v>8616</v>
      </c>
      <c r="W256" s="1">
        <v>8773</v>
      </c>
      <c r="X256" s="1">
        <v>8918</v>
      </c>
      <c r="Y256" s="1">
        <v>9500</v>
      </c>
      <c r="Z256" s="1">
        <v>9010</v>
      </c>
      <c r="AA256" s="1">
        <v>9000</v>
      </c>
      <c r="AB256" s="1">
        <v>9184</v>
      </c>
      <c r="AC256" s="1">
        <v>8900</v>
      </c>
      <c r="AD256" s="1">
        <v>8362</v>
      </c>
      <c r="AE256" s="1">
        <v>8296</v>
      </c>
      <c r="AF256" s="1">
        <v>8290</v>
      </c>
      <c r="AG256" s="1">
        <v>8401</v>
      </c>
      <c r="AH256" s="1">
        <v>8297</v>
      </c>
      <c r="AI256" s="1">
        <v>7905</v>
      </c>
      <c r="AJ256" s="1">
        <v>7916</v>
      </c>
      <c r="AK256" s="1">
        <v>7847</v>
      </c>
      <c r="AL256" s="1">
        <v>7990</v>
      </c>
      <c r="AM256" s="1">
        <v>8188</v>
      </c>
      <c r="AN256" s="1">
        <v>8095</v>
      </c>
      <c r="AO256" s="1">
        <v>8010</v>
      </c>
      <c r="AP256" s="1">
        <v>7950</v>
      </c>
      <c r="AQ256" s="1">
        <v>7998</v>
      </c>
      <c r="AR256" s="1">
        <v>8201</v>
      </c>
      <c r="AS256" s="1">
        <v>8069</v>
      </c>
      <c r="AT256" s="1">
        <v>8040</v>
      </c>
      <c r="AU256" s="1">
        <v>8212</v>
      </c>
      <c r="AV256" s="1">
        <v>8048</v>
      </c>
      <c r="AW256" s="1">
        <v>7725</v>
      </c>
      <c r="AX256" s="1">
        <v>7720</v>
      </c>
      <c r="AY256" s="1">
        <v>7619</v>
      </c>
      <c r="AZ256" s="1">
        <v>7837</v>
      </c>
      <c r="BA256" s="1">
        <v>7628</v>
      </c>
      <c r="BB256" s="1">
        <v>7250</v>
      </c>
      <c r="BC256" s="1">
        <v>7183</v>
      </c>
      <c r="BD256" s="1">
        <v>7655</v>
      </c>
      <c r="BE256" s="1">
        <v>7806</v>
      </c>
      <c r="BF256" s="1">
        <v>7672</v>
      </c>
      <c r="BG256" s="1">
        <v>7417</v>
      </c>
      <c r="BH256" s="1">
        <v>7098</v>
      </c>
      <c r="BI256" s="1">
        <v>7700</v>
      </c>
      <c r="BJ256" s="1">
        <v>7800</v>
      </c>
      <c r="BK256" s="1">
        <v>7890</v>
      </c>
      <c r="BL256" s="1">
        <v>7735</v>
      </c>
    </row>
    <row r="257" spans="1:64">
      <c r="A257" s="77" t="s">
        <v>558</v>
      </c>
      <c r="B257" s="1" t="str">
        <f>銘柄管理!C257</f>
        <v>イノテック</v>
      </c>
      <c r="C257" s="1">
        <f>_xll.RssMarket("9880","始値")</f>
        <v>3900</v>
      </c>
      <c r="E257" s="1">
        <v>3900</v>
      </c>
      <c r="F257" s="1">
        <v>4130</v>
      </c>
      <c r="G257" s="1">
        <v>4200</v>
      </c>
      <c r="H257" s="1">
        <v>4105</v>
      </c>
      <c r="I257" s="1">
        <v>3910</v>
      </c>
      <c r="J257" s="1">
        <v>4140</v>
      </c>
      <c r="K257" s="1">
        <v>4200</v>
      </c>
      <c r="L257" s="1">
        <v>4390</v>
      </c>
      <c r="M257" s="1">
        <v>4300</v>
      </c>
      <c r="N257" s="1">
        <v>4320</v>
      </c>
      <c r="O257" s="1">
        <v>4360</v>
      </c>
      <c r="P257" s="1">
        <v>4220</v>
      </c>
      <c r="Q257" s="1">
        <v>4650</v>
      </c>
      <c r="R257" s="1">
        <v>4380</v>
      </c>
      <c r="S257" s="1">
        <v>4400</v>
      </c>
      <c r="T257" s="1">
        <v>4380</v>
      </c>
      <c r="U257" s="1">
        <v>4225</v>
      </c>
      <c r="V257" s="1">
        <v>4750</v>
      </c>
      <c r="W257" s="1">
        <v>4505</v>
      </c>
      <c r="X257" s="1">
        <v>3975</v>
      </c>
      <c r="Y257" s="1">
        <v>3360</v>
      </c>
      <c r="Z257" s="1">
        <v>3270</v>
      </c>
      <c r="AA257" s="1">
        <v>3380</v>
      </c>
      <c r="AB257" s="1">
        <v>3325</v>
      </c>
      <c r="AC257" s="1">
        <v>3185</v>
      </c>
      <c r="AD257" s="1">
        <v>2950</v>
      </c>
      <c r="AE257" s="1">
        <v>2834</v>
      </c>
      <c r="AF257" s="1">
        <v>2790</v>
      </c>
      <c r="AG257" s="1">
        <v>2760</v>
      </c>
      <c r="AH257" s="1">
        <v>2805</v>
      </c>
      <c r="AI257" s="1">
        <v>2674</v>
      </c>
      <c r="AJ257" s="1">
        <v>2710</v>
      </c>
      <c r="AK257" s="1">
        <v>2728</v>
      </c>
      <c r="AL257" s="1">
        <v>2763</v>
      </c>
      <c r="AM257" s="1">
        <v>2823</v>
      </c>
      <c r="AN257" s="1">
        <v>2896</v>
      </c>
      <c r="AO257" s="1">
        <v>2900</v>
      </c>
      <c r="AP257" s="1">
        <v>2889</v>
      </c>
      <c r="AQ257" s="1">
        <v>2640</v>
      </c>
      <c r="AR257" s="1">
        <v>2561</v>
      </c>
      <c r="AS257" s="1">
        <v>2580</v>
      </c>
      <c r="AT257" s="1">
        <v>2604</v>
      </c>
      <c r="AU257" s="1">
        <v>2555</v>
      </c>
      <c r="AV257" s="1">
        <v>2471</v>
      </c>
      <c r="AW257" s="1">
        <v>2465</v>
      </c>
      <c r="AX257" s="1">
        <v>2483</v>
      </c>
      <c r="AY257" s="1">
        <v>2510</v>
      </c>
      <c r="AZ257" s="1">
        <v>2451</v>
      </c>
      <c r="BA257" s="1">
        <v>2330</v>
      </c>
      <c r="BB257" s="1">
        <v>2327</v>
      </c>
      <c r="BC257" s="1">
        <v>2550</v>
      </c>
      <c r="BD257" s="1">
        <v>2780</v>
      </c>
      <c r="BE257" s="1">
        <v>2547</v>
      </c>
      <c r="BF257" s="1">
        <v>2500</v>
      </c>
      <c r="BG257" s="1">
        <v>2388</v>
      </c>
      <c r="BH257" s="1">
        <v>2580</v>
      </c>
      <c r="BI257" s="1">
        <v>2603</v>
      </c>
      <c r="BJ257" s="1">
        <v>2657</v>
      </c>
      <c r="BK257" s="1">
        <v>2551</v>
      </c>
      <c r="BL257" s="1">
        <v>2559</v>
      </c>
    </row>
    <row r="258" spans="1:64">
      <c r="A258" s="77" t="s">
        <v>559</v>
      </c>
      <c r="B258" s="1" t="str">
        <f>銘柄管理!C258</f>
        <v>カバー</v>
      </c>
      <c r="C258" s="1">
        <f>_xll.RssMarket("5253","始値")</f>
        <v>1415</v>
      </c>
      <c r="E258" s="1">
        <v>1415</v>
      </c>
      <c r="F258" s="1">
        <v>1418</v>
      </c>
      <c r="G258" s="1">
        <v>1458</v>
      </c>
      <c r="H258" s="1">
        <v>1522</v>
      </c>
      <c r="I258" s="1">
        <v>1444</v>
      </c>
      <c r="J258" s="1">
        <v>1620</v>
      </c>
      <c r="K258" s="1">
        <v>1616</v>
      </c>
      <c r="L258" s="1">
        <v>1624</v>
      </c>
      <c r="M258" s="1">
        <v>1636</v>
      </c>
      <c r="N258" s="1">
        <v>1631</v>
      </c>
      <c r="O258" s="1">
        <v>1620</v>
      </c>
      <c r="P258" s="1">
        <v>1600</v>
      </c>
      <c r="Q258" s="1">
        <v>1551</v>
      </c>
      <c r="R258" s="1">
        <v>1583</v>
      </c>
      <c r="S258" s="1">
        <v>1760</v>
      </c>
      <c r="T258" s="1">
        <v>1758</v>
      </c>
      <c r="U258" s="1">
        <v>1666</v>
      </c>
      <c r="V258" s="1">
        <v>1671</v>
      </c>
      <c r="W258" s="1">
        <v>1600</v>
      </c>
      <c r="X258" s="1">
        <v>1526</v>
      </c>
      <c r="Y258" s="1">
        <v>1324</v>
      </c>
      <c r="Z258" s="1">
        <v>1435</v>
      </c>
      <c r="AA258" s="1">
        <v>1412</v>
      </c>
      <c r="AB258" s="1">
        <v>1393</v>
      </c>
      <c r="AC258" s="1">
        <v>1420</v>
      </c>
      <c r="AD258" s="1">
        <v>1445</v>
      </c>
      <c r="AE258" s="1">
        <v>1393</v>
      </c>
      <c r="AF258" s="1">
        <v>1365</v>
      </c>
      <c r="AG258" s="1">
        <v>1365</v>
      </c>
      <c r="AH258" s="1">
        <v>1370</v>
      </c>
      <c r="AI258" s="1">
        <v>1370</v>
      </c>
      <c r="AJ258" s="1">
        <v>1400</v>
      </c>
      <c r="AK258" s="1">
        <v>1420</v>
      </c>
      <c r="AL258" s="1">
        <v>1441</v>
      </c>
      <c r="AM258" s="1">
        <v>1455</v>
      </c>
      <c r="AN258" s="1">
        <v>1474</v>
      </c>
      <c r="AO258" s="1">
        <v>1451</v>
      </c>
      <c r="AP258" s="1">
        <v>1482</v>
      </c>
      <c r="AQ258" s="1">
        <v>1480</v>
      </c>
      <c r="AR258" s="1">
        <v>1438</v>
      </c>
      <c r="AS258" s="1">
        <v>1402</v>
      </c>
      <c r="AT258" s="1">
        <v>1471</v>
      </c>
      <c r="AU258" s="1">
        <v>1482</v>
      </c>
      <c r="AV258" s="1">
        <v>1449</v>
      </c>
      <c r="AW258" s="1">
        <v>1405</v>
      </c>
      <c r="AX258" s="1">
        <v>1389</v>
      </c>
      <c r="AY258" s="1">
        <v>1356</v>
      </c>
      <c r="AZ258" s="1">
        <v>1408</v>
      </c>
      <c r="BA258" s="1">
        <v>1365</v>
      </c>
      <c r="BB258" s="1">
        <v>1370</v>
      </c>
      <c r="BC258" s="1">
        <v>1345</v>
      </c>
      <c r="BD258" s="1">
        <v>1413</v>
      </c>
      <c r="BE258" s="1">
        <v>1464</v>
      </c>
      <c r="BF258" s="1">
        <v>1425</v>
      </c>
      <c r="BG258" s="1">
        <v>1441</v>
      </c>
      <c r="BH258" s="1">
        <v>1530</v>
      </c>
      <c r="BI258" s="1">
        <v>1627</v>
      </c>
      <c r="BJ258" s="1">
        <v>1652</v>
      </c>
      <c r="BK258" s="1">
        <v>1620</v>
      </c>
      <c r="BL258" s="1">
        <v>1628</v>
      </c>
    </row>
    <row r="259" spans="1:64">
      <c r="A259" s="77" t="s">
        <v>560</v>
      </c>
      <c r="B259" s="1" t="str">
        <f>銘柄管理!C259</f>
        <v>商船三井</v>
      </c>
      <c r="C259" s="1">
        <f>_xll.RssMarket("9104","始値")</f>
        <v>5459</v>
      </c>
      <c r="E259" s="1">
        <v>5459</v>
      </c>
      <c r="F259" s="1">
        <v>5686</v>
      </c>
      <c r="G259" s="1">
        <v>5742</v>
      </c>
      <c r="H259" s="1">
        <v>5757</v>
      </c>
      <c r="I259" s="1">
        <v>5636</v>
      </c>
      <c r="J259" s="1">
        <v>5878</v>
      </c>
      <c r="K259" s="1">
        <v>5784</v>
      </c>
      <c r="L259" s="1">
        <v>5685</v>
      </c>
      <c r="M259" s="1">
        <v>5433</v>
      </c>
      <c r="N259" s="1">
        <v>5484</v>
      </c>
      <c r="O259" s="1">
        <v>5421</v>
      </c>
      <c r="P259" s="1">
        <v>5400</v>
      </c>
      <c r="Q259" s="1">
        <v>5420</v>
      </c>
      <c r="R259" s="1">
        <v>5570</v>
      </c>
      <c r="S259" s="1">
        <v>5681</v>
      </c>
      <c r="T259" s="1">
        <v>5648</v>
      </c>
      <c r="U259" s="1">
        <v>5827</v>
      </c>
      <c r="V259" s="1">
        <v>5794</v>
      </c>
      <c r="W259" s="1">
        <v>5839</v>
      </c>
      <c r="X259" s="1">
        <v>5861</v>
      </c>
      <c r="Y259" s="1">
        <v>5850</v>
      </c>
      <c r="Z259" s="1">
        <v>5886</v>
      </c>
      <c r="AA259" s="1">
        <v>5804</v>
      </c>
      <c r="AB259" s="1">
        <v>5783</v>
      </c>
      <c r="AC259" s="1">
        <v>5676</v>
      </c>
      <c r="AD259" s="1">
        <v>5796</v>
      </c>
      <c r="AE259" s="1">
        <v>5817</v>
      </c>
      <c r="AF259" s="1">
        <v>5890</v>
      </c>
      <c r="AG259" s="1">
        <v>6000</v>
      </c>
      <c r="AH259" s="1">
        <v>5812</v>
      </c>
      <c r="AI259" s="1">
        <v>5950</v>
      </c>
      <c r="AJ259" s="1">
        <v>6088</v>
      </c>
      <c r="AK259" s="1">
        <v>6051</v>
      </c>
      <c r="AL259" s="1">
        <v>6100</v>
      </c>
      <c r="AM259" s="1">
        <v>6100</v>
      </c>
      <c r="AN259" s="1">
        <v>6252</v>
      </c>
      <c r="AO259" s="1">
        <v>6394</v>
      </c>
      <c r="AP259" s="1">
        <v>6300</v>
      </c>
      <c r="AQ259" s="1">
        <v>6434</v>
      </c>
      <c r="AR259" s="1">
        <v>6300</v>
      </c>
      <c r="AS259" s="1">
        <v>6500</v>
      </c>
      <c r="AT259" s="1">
        <v>6600</v>
      </c>
      <c r="AU259" s="1">
        <v>6655</v>
      </c>
      <c r="AV259" s="1">
        <v>6890</v>
      </c>
      <c r="AW259" s="1">
        <v>6850</v>
      </c>
      <c r="AX259" s="1">
        <v>6844</v>
      </c>
      <c r="AY259" s="1">
        <v>6801</v>
      </c>
      <c r="AZ259" s="1">
        <v>6787</v>
      </c>
      <c r="BA259" s="1">
        <v>6492</v>
      </c>
      <c r="BB259" s="1">
        <v>6750</v>
      </c>
      <c r="BC259" s="1">
        <v>6700</v>
      </c>
      <c r="BD259" s="1">
        <v>6906</v>
      </c>
      <c r="BE259" s="1">
        <v>6782</v>
      </c>
      <c r="BF259" s="1">
        <v>6589</v>
      </c>
      <c r="BG259" s="1">
        <v>6438</v>
      </c>
      <c r="BH259" s="1">
        <v>6834</v>
      </c>
      <c r="BI259" s="1">
        <v>7024</v>
      </c>
      <c r="BJ259" s="1">
        <v>6470</v>
      </c>
      <c r="BK259" s="1">
        <v>6100</v>
      </c>
      <c r="BL259" s="1">
        <v>6175</v>
      </c>
    </row>
    <row r="260" spans="1:64">
      <c r="A260" s="77" t="s">
        <v>561</v>
      </c>
      <c r="B260" s="1" t="str">
        <f>銘柄管理!C260</f>
        <v>千代田化工建</v>
      </c>
      <c r="C260" s="1">
        <f>_xll.RssMarket("6366","始値")</f>
        <v>776</v>
      </c>
      <c r="E260" s="1">
        <v>776</v>
      </c>
      <c r="F260" s="1">
        <v>759</v>
      </c>
      <c r="G260" s="1">
        <v>837</v>
      </c>
      <c r="H260" s="1">
        <v>704</v>
      </c>
      <c r="I260" s="1">
        <v>650</v>
      </c>
      <c r="J260" s="1">
        <v>698</v>
      </c>
      <c r="K260" s="1">
        <v>703</v>
      </c>
      <c r="L260" s="1">
        <v>723</v>
      </c>
      <c r="M260" s="1">
        <v>700</v>
      </c>
      <c r="N260" s="1">
        <v>719</v>
      </c>
      <c r="O260" s="1">
        <v>701</v>
      </c>
      <c r="P260" s="1">
        <v>748</v>
      </c>
      <c r="Q260" s="1">
        <v>775</v>
      </c>
      <c r="R260" s="1">
        <v>832</v>
      </c>
      <c r="S260" s="1">
        <v>807</v>
      </c>
      <c r="T260" s="1">
        <v>700</v>
      </c>
      <c r="U260" s="1">
        <v>740</v>
      </c>
      <c r="V260" s="1">
        <v>757</v>
      </c>
      <c r="W260" s="1">
        <v>771</v>
      </c>
      <c r="X260" s="1">
        <v>807</v>
      </c>
      <c r="Y260" s="1">
        <v>821</v>
      </c>
      <c r="Z260" s="1">
        <v>810</v>
      </c>
      <c r="AA260" s="1">
        <v>810</v>
      </c>
      <c r="AB260" s="1">
        <v>828</v>
      </c>
      <c r="AC260" s="1">
        <v>986</v>
      </c>
      <c r="AD260" s="1">
        <v>992</v>
      </c>
      <c r="AE260" s="1">
        <v>1049</v>
      </c>
      <c r="AF260" s="1">
        <v>1010</v>
      </c>
      <c r="AG260" s="1">
        <v>1045</v>
      </c>
      <c r="AH260" s="1">
        <v>1027</v>
      </c>
      <c r="AI260" s="1">
        <v>1000</v>
      </c>
      <c r="AJ260" s="1">
        <v>1065</v>
      </c>
      <c r="AK260" s="1">
        <v>1050</v>
      </c>
      <c r="AL260" s="1">
        <v>1070</v>
      </c>
      <c r="AM260" s="1">
        <v>1101</v>
      </c>
      <c r="AN260" s="1">
        <v>1166</v>
      </c>
      <c r="AO260" s="1">
        <v>1170</v>
      </c>
      <c r="AP260" s="1">
        <v>1120</v>
      </c>
      <c r="AQ260" s="1">
        <v>1163</v>
      </c>
      <c r="AR260" s="1">
        <v>1162</v>
      </c>
      <c r="AS260" s="1">
        <v>1135</v>
      </c>
      <c r="AT260" s="1">
        <v>1213</v>
      </c>
      <c r="AU260" s="1">
        <v>1146</v>
      </c>
      <c r="AV260" s="1">
        <v>1065</v>
      </c>
      <c r="AW260" s="1">
        <v>985</v>
      </c>
      <c r="AX260" s="1">
        <v>982</v>
      </c>
      <c r="AY260" s="1">
        <v>1008</v>
      </c>
      <c r="AZ260" s="1">
        <v>1023</v>
      </c>
      <c r="BA260" s="1">
        <v>938</v>
      </c>
      <c r="BB260" s="1">
        <v>891</v>
      </c>
      <c r="BC260" s="1">
        <v>826</v>
      </c>
      <c r="BD260" s="1">
        <v>921</v>
      </c>
      <c r="BE260" s="1">
        <v>1016</v>
      </c>
      <c r="BF260" s="1">
        <v>1099</v>
      </c>
      <c r="BG260" s="1">
        <v>1057</v>
      </c>
      <c r="BH260" s="1">
        <v>1052</v>
      </c>
      <c r="BI260" s="1">
        <v>1225</v>
      </c>
      <c r="BJ260" s="1">
        <v>1119</v>
      </c>
      <c r="BK260" s="1">
        <v>1070</v>
      </c>
      <c r="BL260" s="1">
        <v>1046</v>
      </c>
    </row>
    <row r="261" spans="1:64">
      <c r="A261" s="77" t="s">
        <v>562</v>
      </c>
      <c r="B261" s="1" t="str">
        <f>銘柄管理!C261</f>
        <v>旭ダイヤモンド</v>
      </c>
      <c r="C261" s="1">
        <f>_xll.RssMarket("6140","始値")</f>
        <v>1284</v>
      </c>
      <c r="E261" s="1">
        <v>1284</v>
      </c>
      <c r="F261" s="1">
        <v>1313</v>
      </c>
      <c r="G261" s="1">
        <v>1284</v>
      </c>
      <c r="H261" s="1">
        <v>1238</v>
      </c>
      <c r="I261" s="1">
        <v>1196</v>
      </c>
      <c r="J261" s="1">
        <v>1259</v>
      </c>
      <c r="K261" s="1">
        <v>1286</v>
      </c>
      <c r="L261" s="1">
        <v>1300</v>
      </c>
      <c r="M261" s="1">
        <v>1301</v>
      </c>
      <c r="N261" s="1">
        <v>1319</v>
      </c>
      <c r="O261" s="1">
        <v>1350</v>
      </c>
      <c r="P261" s="1">
        <v>1357</v>
      </c>
      <c r="Q261" s="1">
        <v>1335</v>
      </c>
      <c r="R261" s="1">
        <v>1399</v>
      </c>
      <c r="S261" s="1">
        <v>1370</v>
      </c>
      <c r="T261" s="1">
        <v>1271</v>
      </c>
      <c r="U261" s="1">
        <v>1320</v>
      </c>
      <c r="V261" s="1">
        <v>1272</v>
      </c>
      <c r="W261" s="1">
        <v>1315</v>
      </c>
      <c r="X261" s="1">
        <v>1280</v>
      </c>
      <c r="Y261" s="1">
        <v>1375</v>
      </c>
      <c r="Z261" s="1">
        <v>1402</v>
      </c>
      <c r="AA261" s="1">
        <v>1355</v>
      </c>
      <c r="AB261" s="1">
        <v>1333</v>
      </c>
      <c r="AC261" s="1">
        <v>1341</v>
      </c>
      <c r="AD261" s="1">
        <v>1310</v>
      </c>
      <c r="AE261" s="1">
        <v>1314</v>
      </c>
      <c r="AF261" s="1">
        <v>1285</v>
      </c>
      <c r="AG261" s="1">
        <v>1289</v>
      </c>
      <c r="AH261" s="1">
        <v>1287</v>
      </c>
      <c r="AI261" s="1">
        <v>1310</v>
      </c>
      <c r="AJ261" s="1">
        <v>1300</v>
      </c>
      <c r="AK261" s="1">
        <v>1302</v>
      </c>
      <c r="AL261" s="1">
        <v>1301</v>
      </c>
      <c r="AM261" s="1">
        <v>1321</v>
      </c>
      <c r="AN261" s="1">
        <v>1392</v>
      </c>
      <c r="AO261" s="1">
        <v>1293</v>
      </c>
      <c r="AP261" s="1">
        <v>1163</v>
      </c>
      <c r="AQ261" s="1">
        <v>1176</v>
      </c>
      <c r="AR261" s="1">
        <v>1173</v>
      </c>
      <c r="AS261" s="1">
        <v>1147</v>
      </c>
      <c r="AT261" s="1">
        <v>1165</v>
      </c>
      <c r="AU261" s="1">
        <v>1200</v>
      </c>
      <c r="AV261" s="1">
        <v>1197</v>
      </c>
      <c r="AW261" s="1">
        <v>1160</v>
      </c>
      <c r="AX261" s="1">
        <v>1202</v>
      </c>
      <c r="AY261" s="1">
        <v>1222</v>
      </c>
      <c r="AZ261" s="1">
        <v>1255</v>
      </c>
      <c r="BA261" s="1">
        <v>1229</v>
      </c>
      <c r="BB261" s="1">
        <v>1201</v>
      </c>
      <c r="BC261" s="1">
        <v>1211</v>
      </c>
      <c r="BD261" s="1">
        <v>1242</v>
      </c>
      <c r="BE261" s="1">
        <v>1281</v>
      </c>
      <c r="BF261" s="1">
        <v>1265</v>
      </c>
      <c r="BG261" s="1">
        <v>1269</v>
      </c>
      <c r="BH261" s="1">
        <v>1282</v>
      </c>
      <c r="BI261" s="1">
        <v>1355</v>
      </c>
      <c r="BJ261" s="1">
        <v>1375</v>
      </c>
      <c r="BK261" s="1">
        <v>1431</v>
      </c>
      <c r="BL261" s="1">
        <v>1350</v>
      </c>
    </row>
    <row r="262" spans="1:64">
      <c r="A262" s="77" t="s">
        <v>563</v>
      </c>
      <c r="B262" s="1" t="str">
        <f>銘柄管理!C262</f>
        <v>住石ホールディングス</v>
      </c>
      <c r="C262" s="1">
        <f>_xll.RssMarket("1514","始値")</f>
        <v>544</v>
      </c>
      <c r="E262" s="1">
        <v>544</v>
      </c>
      <c r="F262" s="1">
        <v>554</v>
      </c>
      <c r="G262" s="1">
        <v>551</v>
      </c>
      <c r="H262" s="1">
        <v>553</v>
      </c>
      <c r="I262" s="1">
        <v>550</v>
      </c>
      <c r="J262" s="1">
        <v>561</v>
      </c>
      <c r="K262" s="1">
        <v>566</v>
      </c>
      <c r="L262" s="1">
        <v>564</v>
      </c>
      <c r="M262" s="1">
        <v>557</v>
      </c>
      <c r="N262" s="1">
        <v>564</v>
      </c>
      <c r="O262" s="1">
        <v>563</v>
      </c>
      <c r="P262" s="1">
        <v>588</v>
      </c>
      <c r="Q262" s="1">
        <v>605</v>
      </c>
      <c r="R262" s="1">
        <v>620</v>
      </c>
      <c r="S262" s="1">
        <v>603</v>
      </c>
      <c r="T262" s="1">
        <v>599</v>
      </c>
      <c r="U262" s="1">
        <v>598</v>
      </c>
      <c r="V262" s="1">
        <v>615</v>
      </c>
      <c r="W262" s="1">
        <v>631</v>
      </c>
      <c r="X262" s="1">
        <v>647</v>
      </c>
      <c r="Y262" s="1">
        <v>700</v>
      </c>
      <c r="Z262" s="1">
        <v>720</v>
      </c>
      <c r="AA262" s="1">
        <v>730</v>
      </c>
      <c r="AB262" s="1">
        <v>738</v>
      </c>
      <c r="AC262" s="1">
        <v>744</v>
      </c>
      <c r="AD262" s="1">
        <v>760</v>
      </c>
      <c r="AE262" s="1">
        <v>745</v>
      </c>
      <c r="AF262" s="1">
        <v>760</v>
      </c>
      <c r="AG262" s="1">
        <v>795</v>
      </c>
      <c r="AH262" s="1">
        <v>771</v>
      </c>
      <c r="AI262" s="1">
        <v>784</v>
      </c>
      <c r="AJ262" s="1">
        <v>810</v>
      </c>
      <c r="AK262" s="1">
        <v>835</v>
      </c>
      <c r="AL262" s="1">
        <v>860</v>
      </c>
      <c r="AM262" s="1">
        <v>869</v>
      </c>
      <c r="AN262" s="1">
        <v>850</v>
      </c>
      <c r="AO262" s="1">
        <v>873</v>
      </c>
      <c r="AP262" s="1">
        <v>890</v>
      </c>
      <c r="AQ262" s="1">
        <v>842</v>
      </c>
      <c r="AR262" s="1">
        <v>850</v>
      </c>
      <c r="AS262" s="1">
        <v>867</v>
      </c>
      <c r="AT262" s="1">
        <v>872</v>
      </c>
      <c r="AU262" s="1">
        <v>899</v>
      </c>
      <c r="AV262" s="1">
        <v>885</v>
      </c>
      <c r="AW262" s="1">
        <v>924</v>
      </c>
      <c r="AX262" s="1">
        <v>953</v>
      </c>
      <c r="AY262" s="1">
        <v>950</v>
      </c>
      <c r="AZ262" s="1">
        <v>946</v>
      </c>
      <c r="BA262" s="1">
        <v>950</v>
      </c>
      <c r="BB262" s="1">
        <v>1125</v>
      </c>
      <c r="BC262" s="1">
        <v>1125</v>
      </c>
      <c r="BD262" s="1">
        <v>1008</v>
      </c>
      <c r="BE262" s="1">
        <v>900</v>
      </c>
      <c r="BF262" s="1">
        <v>870</v>
      </c>
      <c r="BG262" s="1">
        <v>885</v>
      </c>
      <c r="BH262" s="1">
        <v>941</v>
      </c>
      <c r="BI262" s="1">
        <v>1063</v>
      </c>
      <c r="BJ262" s="1">
        <v>1016</v>
      </c>
      <c r="BK262" s="1">
        <v>1024</v>
      </c>
      <c r="BL262" s="1">
        <v>1198</v>
      </c>
    </row>
    <row r="263" spans="1:64">
      <c r="A263" s="77" t="s">
        <v>564</v>
      </c>
      <c r="B263" s="1" t="str">
        <f>銘柄管理!C263</f>
        <v>日本製鋼所</v>
      </c>
      <c r="C263" s="1">
        <f>_xll.RssMarket("5631","始値")</f>
        <v>7850</v>
      </c>
      <c r="E263" s="1">
        <v>7850</v>
      </c>
      <c r="F263" s="1">
        <v>7828</v>
      </c>
      <c r="G263" s="1">
        <v>7749</v>
      </c>
      <c r="H263" s="1">
        <v>7414</v>
      </c>
      <c r="I263" s="1">
        <v>6779</v>
      </c>
      <c r="J263" s="1">
        <v>7317</v>
      </c>
      <c r="K263" s="1">
        <v>7660</v>
      </c>
      <c r="L263" s="1">
        <v>7486</v>
      </c>
      <c r="M263" s="1">
        <v>7255</v>
      </c>
      <c r="N263" s="1">
        <v>7349</v>
      </c>
      <c r="O263" s="1">
        <v>7418</v>
      </c>
      <c r="P263" s="1">
        <v>7703</v>
      </c>
      <c r="Q263" s="1">
        <v>8000</v>
      </c>
      <c r="R263" s="1">
        <v>8393</v>
      </c>
      <c r="S263" s="1">
        <v>7992</v>
      </c>
      <c r="T263" s="1">
        <v>7767</v>
      </c>
      <c r="U263" s="1">
        <v>8085</v>
      </c>
      <c r="V263" s="1">
        <v>8086</v>
      </c>
      <c r="W263" s="1">
        <v>7881</v>
      </c>
      <c r="X263" s="1">
        <v>7873</v>
      </c>
      <c r="Y263" s="1">
        <v>8100</v>
      </c>
      <c r="Z263" s="1">
        <v>8601</v>
      </c>
      <c r="AA263" s="1">
        <v>8825</v>
      </c>
      <c r="AB263" s="1">
        <v>9067</v>
      </c>
      <c r="AC263" s="1">
        <v>9359</v>
      </c>
      <c r="AD263" s="1">
        <v>9149</v>
      </c>
      <c r="AE263" s="1">
        <v>9280</v>
      </c>
      <c r="AF263" s="1">
        <v>9450</v>
      </c>
      <c r="AG263" s="1">
        <v>9681</v>
      </c>
      <c r="AH263" s="1">
        <v>9603</v>
      </c>
      <c r="AI263" s="1">
        <v>9780</v>
      </c>
      <c r="AJ263" s="1">
        <v>9846</v>
      </c>
      <c r="AK263" s="1">
        <v>9640</v>
      </c>
      <c r="AL263" s="1">
        <v>9322</v>
      </c>
      <c r="AM263" s="1">
        <v>9197</v>
      </c>
      <c r="AN263" s="1">
        <v>9080</v>
      </c>
      <c r="AO263" s="1">
        <v>9210</v>
      </c>
      <c r="AP263" s="1">
        <v>9100</v>
      </c>
      <c r="AQ263" s="1">
        <v>9849</v>
      </c>
      <c r="AR263" s="1">
        <v>9880</v>
      </c>
      <c r="AS263" s="1">
        <v>9735</v>
      </c>
      <c r="AT263" s="1">
        <v>9990</v>
      </c>
      <c r="AU263" s="1">
        <v>9760</v>
      </c>
      <c r="AV263" s="1">
        <v>9919</v>
      </c>
      <c r="AW263" s="1">
        <v>9777</v>
      </c>
      <c r="AX263" s="1">
        <v>9596</v>
      </c>
      <c r="AY263" s="1">
        <v>9345</v>
      </c>
      <c r="AZ263" s="1">
        <v>9350</v>
      </c>
      <c r="BA263" s="1">
        <v>8904</v>
      </c>
      <c r="BB263" s="1">
        <v>8574</v>
      </c>
      <c r="BC263" s="1">
        <v>8704</v>
      </c>
      <c r="BD263" s="1">
        <v>9226</v>
      </c>
      <c r="BE263" s="1">
        <v>9670</v>
      </c>
      <c r="BF263" s="1">
        <v>9407</v>
      </c>
      <c r="BG263" s="1">
        <v>9937</v>
      </c>
      <c r="BH263" s="1">
        <v>10000</v>
      </c>
      <c r="BI263" s="1">
        <v>9930</v>
      </c>
      <c r="BJ263" s="1">
        <v>9794</v>
      </c>
      <c r="BK263" s="1">
        <v>10000</v>
      </c>
      <c r="BL263" s="1">
        <v>10000</v>
      </c>
    </row>
    <row r="264" spans="1:64">
      <c r="A264" s="77" t="s">
        <v>565</v>
      </c>
      <c r="B264" s="1" t="str">
        <f>銘柄管理!C264</f>
        <v>ジーエス・ユアサコーポ</v>
      </c>
      <c r="C264" s="1">
        <f>_xll.RssMarket("6674","始値")</f>
        <v>6668</v>
      </c>
      <c r="E264" s="1">
        <v>6668</v>
      </c>
      <c r="F264" s="1">
        <v>6319</v>
      </c>
      <c r="G264" s="1">
        <v>6380</v>
      </c>
      <c r="H264" s="1">
        <v>6397</v>
      </c>
      <c r="I264" s="1">
        <v>6112</v>
      </c>
      <c r="J264" s="1">
        <v>6769</v>
      </c>
      <c r="K264" s="1">
        <v>6933</v>
      </c>
      <c r="L264" s="1">
        <v>7113</v>
      </c>
      <c r="M264" s="1">
        <v>7500</v>
      </c>
      <c r="N264" s="1">
        <v>7202</v>
      </c>
      <c r="O264" s="1">
        <v>7000</v>
      </c>
      <c r="P264" s="1">
        <v>6700</v>
      </c>
      <c r="Q264" s="1">
        <v>6284</v>
      </c>
      <c r="R264" s="1">
        <v>6348</v>
      </c>
      <c r="S264" s="1">
        <v>6300</v>
      </c>
      <c r="T264" s="1">
        <v>6030</v>
      </c>
      <c r="U264" s="1">
        <v>6160</v>
      </c>
      <c r="V264" s="1">
        <v>6236</v>
      </c>
      <c r="W264" s="1">
        <v>6319</v>
      </c>
      <c r="X264" s="1">
        <v>6365</v>
      </c>
      <c r="Y264" s="1">
        <v>6368</v>
      </c>
      <c r="Z264" s="1">
        <v>6439</v>
      </c>
      <c r="AA264" s="1">
        <v>6604</v>
      </c>
      <c r="AB264" s="1">
        <v>6665</v>
      </c>
      <c r="AC264" s="1">
        <v>6750</v>
      </c>
      <c r="AD264" s="1">
        <v>6465</v>
      </c>
      <c r="AE264" s="1">
        <v>6533</v>
      </c>
      <c r="AF264" s="1">
        <v>6224</v>
      </c>
      <c r="AG264" s="1">
        <v>6081</v>
      </c>
      <c r="AH264" s="1">
        <v>6190</v>
      </c>
      <c r="AI264" s="1">
        <v>6280</v>
      </c>
      <c r="AJ264" s="1">
        <v>6300</v>
      </c>
      <c r="AK264" s="1">
        <v>6352</v>
      </c>
      <c r="AL264" s="1">
        <v>6521</v>
      </c>
      <c r="AM264" s="1">
        <v>6803</v>
      </c>
      <c r="AN264" s="1">
        <v>6787</v>
      </c>
      <c r="AO264" s="1">
        <v>6757</v>
      </c>
      <c r="AP264" s="1">
        <v>6620</v>
      </c>
      <c r="AQ264" s="1">
        <v>6797</v>
      </c>
      <c r="AR264" s="1">
        <v>6464</v>
      </c>
      <c r="AS264" s="1">
        <v>6287</v>
      </c>
      <c r="AT264" s="1">
        <v>6236</v>
      </c>
      <c r="AU264" s="1">
        <v>6176</v>
      </c>
      <c r="AV264" s="1">
        <v>6129</v>
      </c>
      <c r="AW264" s="1">
        <v>5900</v>
      </c>
      <c r="AX264" s="1">
        <v>5900</v>
      </c>
      <c r="AY264" s="1">
        <v>5750</v>
      </c>
      <c r="AZ264" s="1">
        <v>5836</v>
      </c>
      <c r="BA264" s="1">
        <v>5613</v>
      </c>
      <c r="BB264" s="1">
        <v>5291</v>
      </c>
      <c r="BC264" s="1">
        <v>5151</v>
      </c>
      <c r="BD264" s="1">
        <v>5090</v>
      </c>
      <c r="BE264" s="1">
        <v>5212</v>
      </c>
      <c r="BF264" s="1">
        <v>5215</v>
      </c>
      <c r="BG264" s="1">
        <v>5004</v>
      </c>
      <c r="BH264" s="1">
        <v>4831</v>
      </c>
      <c r="BI264" s="1">
        <v>5100</v>
      </c>
      <c r="BJ264" s="1">
        <v>5188</v>
      </c>
      <c r="BK264" s="1">
        <v>5238</v>
      </c>
      <c r="BL264" s="1">
        <v>5151</v>
      </c>
    </row>
    <row r="265" spans="1:64">
      <c r="A265" s="77" t="s">
        <v>566</v>
      </c>
      <c r="B265" s="1" t="str">
        <f>銘柄管理!C265</f>
        <v>ＦＤＫ</v>
      </c>
      <c r="C265" s="1">
        <f>_xll.RssMarket("6955","始値")</f>
        <v>502</v>
      </c>
      <c r="E265" s="1">
        <v>502</v>
      </c>
      <c r="F265" s="1">
        <v>478</v>
      </c>
      <c r="G265" s="1">
        <v>517</v>
      </c>
      <c r="H265" s="1">
        <v>515</v>
      </c>
      <c r="I265" s="1">
        <v>506</v>
      </c>
      <c r="J265" s="1">
        <v>551</v>
      </c>
      <c r="K265" s="1">
        <v>604</v>
      </c>
      <c r="L265" s="1">
        <v>495</v>
      </c>
      <c r="M265" s="1">
        <v>489</v>
      </c>
      <c r="N265" s="1">
        <v>469</v>
      </c>
      <c r="O265" s="1">
        <v>431</v>
      </c>
      <c r="P265" s="1">
        <v>451</v>
      </c>
      <c r="Q265" s="1">
        <v>432</v>
      </c>
      <c r="R265" s="1">
        <v>411</v>
      </c>
      <c r="S265" s="1">
        <v>413</v>
      </c>
      <c r="T265" s="1">
        <v>407</v>
      </c>
      <c r="U265" s="1">
        <v>414</v>
      </c>
      <c r="V265" s="1">
        <v>416</v>
      </c>
      <c r="W265" s="1">
        <v>416</v>
      </c>
      <c r="X265" s="1">
        <v>418</v>
      </c>
      <c r="Y265" s="1">
        <v>432</v>
      </c>
      <c r="Z265" s="1">
        <v>426</v>
      </c>
      <c r="AA265" s="1">
        <v>435</v>
      </c>
      <c r="AB265" s="1">
        <v>432</v>
      </c>
      <c r="AC265" s="1">
        <v>443</v>
      </c>
      <c r="AD265" s="1">
        <v>455</v>
      </c>
      <c r="AE265" s="1">
        <v>452</v>
      </c>
      <c r="AF265" s="1">
        <v>432</v>
      </c>
      <c r="AG265" s="1">
        <v>447</v>
      </c>
      <c r="AH265" s="1">
        <v>454</v>
      </c>
      <c r="AI265" s="1">
        <v>450</v>
      </c>
      <c r="AJ265" s="1">
        <v>451</v>
      </c>
      <c r="AK265" s="1">
        <v>448</v>
      </c>
      <c r="AL265" s="1">
        <v>450</v>
      </c>
      <c r="AM265" s="1">
        <v>457</v>
      </c>
      <c r="AN265" s="1">
        <v>453</v>
      </c>
      <c r="AO265" s="1">
        <v>458</v>
      </c>
      <c r="AP265" s="1">
        <v>452</v>
      </c>
      <c r="AQ265" s="1">
        <v>456</v>
      </c>
      <c r="AR265" s="1">
        <v>457</v>
      </c>
      <c r="AS265" s="1">
        <v>446</v>
      </c>
      <c r="AT265" s="1">
        <v>470</v>
      </c>
      <c r="AU265" s="1">
        <v>492</v>
      </c>
      <c r="AV265" s="1">
        <v>484</v>
      </c>
      <c r="AW265" s="1">
        <v>477</v>
      </c>
      <c r="AX265" s="1">
        <v>477</v>
      </c>
      <c r="AY265" s="1">
        <v>462</v>
      </c>
      <c r="AZ265" s="1">
        <v>478</v>
      </c>
      <c r="BA265" s="1">
        <v>480</v>
      </c>
      <c r="BB265" s="1">
        <v>469</v>
      </c>
      <c r="BC265" s="1">
        <v>475</v>
      </c>
      <c r="BD265" s="1">
        <v>486</v>
      </c>
      <c r="BE265" s="1">
        <v>491</v>
      </c>
      <c r="BF265" s="1">
        <v>484</v>
      </c>
      <c r="BG265" s="1">
        <v>485</v>
      </c>
      <c r="BH265" s="1">
        <v>493</v>
      </c>
      <c r="BI265" s="1">
        <v>493</v>
      </c>
      <c r="BJ265" s="1">
        <v>526</v>
      </c>
      <c r="BK265" s="1">
        <v>481</v>
      </c>
      <c r="BL265" s="1">
        <v>449</v>
      </c>
    </row>
    <row r="266" spans="1:64">
      <c r="A266" s="77" t="s">
        <v>567</v>
      </c>
      <c r="B266" s="1" t="str">
        <f>銘柄管理!C266</f>
        <v>インフォメティス</v>
      </c>
      <c r="C266" s="1">
        <f>_xll.RssMarket("281A","始値")</f>
        <v>605</v>
      </c>
      <c r="E266" s="1">
        <v>605</v>
      </c>
      <c r="F266" s="1">
        <v>644</v>
      </c>
      <c r="G266" s="1">
        <v>634</v>
      </c>
      <c r="H266" s="1">
        <v>547</v>
      </c>
      <c r="I266" s="1">
        <v>533</v>
      </c>
      <c r="J266" s="1">
        <v>555</v>
      </c>
      <c r="K266" s="1">
        <v>586</v>
      </c>
      <c r="L266" s="1">
        <v>642</v>
      </c>
      <c r="M266" s="1">
        <v>705</v>
      </c>
      <c r="N266" s="1">
        <v>699</v>
      </c>
      <c r="O266" s="1">
        <v>697</v>
      </c>
      <c r="P266" s="1">
        <v>834</v>
      </c>
      <c r="Q266" s="1">
        <v>835</v>
      </c>
      <c r="R266" s="1">
        <v>890</v>
      </c>
      <c r="S266" s="1">
        <v>848</v>
      </c>
      <c r="T266" s="1">
        <v>765</v>
      </c>
      <c r="U266" s="1">
        <v>783</v>
      </c>
      <c r="V266" s="1">
        <v>833</v>
      </c>
      <c r="W266" s="1">
        <v>823</v>
      </c>
      <c r="X266" s="1">
        <v>735</v>
      </c>
      <c r="Y266" s="1">
        <v>791</v>
      </c>
      <c r="Z266" s="1">
        <v>748</v>
      </c>
      <c r="AA266" s="1">
        <v>754</v>
      </c>
      <c r="AB266" s="1">
        <v>795</v>
      </c>
      <c r="AC266" s="1">
        <v>824</v>
      </c>
      <c r="AD266" s="1">
        <v>766</v>
      </c>
      <c r="AE266" s="1">
        <v>760</v>
      </c>
      <c r="AF266" s="1">
        <v>717</v>
      </c>
      <c r="AG266" s="1">
        <v>720</v>
      </c>
      <c r="AH266" s="1">
        <v>769</v>
      </c>
      <c r="AI266" s="1">
        <v>808</v>
      </c>
      <c r="AJ266" s="1">
        <v>800</v>
      </c>
      <c r="AK266" s="1">
        <v>792</v>
      </c>
      <c r="AL266" s="1">
        <v>880</v>
      </c>
      <c r="AM266" s="1">
        <v>958</v>
      </c>
      <c r="AN266" s="1">
        <v>803</v>
      </c>
      <c r="AO266" s="1">
        <v>742</v>
      </c>
      <c r="AP266" s="1">
        <v>765</v>
      </c>
      <c r="AQ266" s="1">
        <v>675</v>
      </c>
      <c r="AR266" s="1">
        <v>674</v>
      </c>
      <c r="AS266" s="1">
        <v>687</v>
      </c>
      <c r="AT266" s="1">
        <v>681</v>
      </c>
      <c r="AU266" s="1">
        <v>562</v>
      </c>
      <c r="AV266" s="1">
        <v>527</v>
      </c>
      <c r="AW266" s="1">
        <v>624</v>
      </c>
      <c r="AX266" s="1">
        <v>577</v>
      </c>
      <c r="AY266" s="1">
        <v>445</v>
      </c>
      <c r="AZ266" s="1">
        <v>454</v>
      </c>
      <c r="BA266" s="1">
        <v>465</v>
      </c>
      <c r="BB266" s="1">
        <v>475</v>
      </c>
      <c r="BC266" s="1">
        <v>448</v>
      </c>
      <c r="BD266" s="1">
        <v>487</v>
      </c>
      <c r="BE266" s="1">
        <v>530</v>
      </c>
      <c r="BF266" s="1">
        <v>671</v>
      </c>
      <c r="BG266" s="1">
        <v>600</v>
      </c>
      <c r="BH266" s="1">
        <v>590</v>
      </c>
      <c r="BI266" s="1">
        <v>587</v>
      </c>
      <c r="BJ266" s="1">
        <v>505</v>
      </c>
      <c r="BK266" s="1">
        <v>497</v>
      </c>
      <c r="BL266" s="1">
        <v>352</v>
      </c>
    </row>
    <row r="267" spans="1:64">
      <c r="A267" s="77" t="s">
        <v>568</v>
      </c>
      <c r="B267" s="1" t="str">
        <f>銘柄管理!C267</f>
        <v>日本ギア工業</v>
      </c>
      <c r="C267" s="1">
        <f>_xll.RssMarket("6356","始値")</f>
        <v>1420</v>
      </c>
      <c r="E267" s="1">
        <v>1420</v>
      </c>
      <c r="F267" s="1">
        <v>1445</v>
      </c>
      <c r="G267" s="1">
        <v>1437</v>
      </c>
      <c r="H267" s="1">
        <v>1468</v>
      </c>
      <c r="I267" s="1">
        <v>1365</v>
      </c>
      <c r="J267" s="1">
        <v>1526</v>
      </c>
      <c r="K267" s="1">
        <v>1506</v>
      </c>
      <c r="L267" s="1">
        <v>1531</v>
      </c>
      <c r="M267" s="1">
        <v>1488</v>
      </c>
      <c r="N267" s="1">
        <v>1477</v>
      </c>
      <c r="O267" s="1">
        <v>1481</v>
      </c>
      <c r="P267" s="1">
        <v>1707</v>
      </c>
      <c r="Q267" s="1">
        <v>1661</v>
      </c>
      <c r="R267" s="1">
        <v>1766</v>
      </c>
      <c r="S267" s="1">
        <v>1525</v>
      </c>
      <c r="T267" s="1">
        <v>1361</v>
      </c>
      <c r="U267" s="1">
        <v>1401</v>
      </c>
      <c r="V267" s="1">
        <v>1462</v>
      </c>
      <c r="W267" s="1">
        <v>1398</v>
      </c>
      <c r="X267" s="1">
        <v>1438</v>
      </c>
      <c r="Y267" s="1">
        <v>1406</v>
      </c>
      <c r="Z267" s="1">
        <v>1475</v>
      </c>
      <c r="AA267" s="1">
        <v>1580</v>
      </c>
      <c r="AB267" s="1">
        <v>1482</v>
      </c>
      <c r="AC267" s="1">
        <v>1495</v>
      </c>
      <c r="AD267" s="1">
        <v>1507</v>
      </c>
      <c r="AE267" s="1">
        <v>1574</v>
      </c>
      <c r="AF267" s="1">
        <v>1679</v>
      </c>
      <c r="AG267" s="1">
        <v>1628</v>
      </c>
      <c r="AH267" s="1">
        <v>1649</v>
      </c>
      <c r="AI267" s="1">
        <v>1486</v>
      </c>
      <c r="AJ267" s="1">
        <v>1450</v>
      </c>
      <c r="AK267" s="1">
        <v>1265</v>
      </c>
      <c r="AL267" s="1">
        <v>1320</v>
      </c>
      <c r="AM267" s="1">
        <v>1318</v>
      </c>
      <c r="AN267" s="1">
        <v>1328</v>
      </c>
      <c r="AO267" s="1">
        <v>1328</v>
      </c>
      <c r="AP267" s="1">
        <v>1293</v>
      </c>
      <c r="AQ267" s="1">
        <v>1318</v>
      </c>
      <c r="AR267" s="1">
        <v>1200</v>
      </c>
      <c r="AS267" s="1">
        <v>1284</v>
      </c>
      <c r="AT267" s="1">
        <v>1274</v>
      </c>
      <c r="AU267" s="1">
        <v>1219</v>
      </c>
      <c r="AV267" s="1">
        <v>1195</v>
      </c>
      <c r="AW267" s="1">
        <v>1213</v>
      </c>
      <c r="AX267" s="1">
        <v>1230</v>
      </c>
      <c r="AY267" s="1">
        <v>1296</v>
      </c>
      <c r="AZ267" s="1">
        <v>1368</v>
      </c>
      <c r="BA267" s="1">
        <v>1377</v>
      </c>
      <c r="BB267" s="1">
        <v>1375</v>
      </c>
      <c r="BC267" s="1">
        <v>1465</v>
      </c>
      <c r="BD267" s="1">
        <v>1584</v>
      </c>
      <c r="BE267" s="1">
        <v>1562</v>
      </c>
      <c r="BF267" s="1">
        <v>1567</v>
      </c>
      <c r="BG267" s="1">
        <v>1741</v>
      </c>
      <c r="BH267" s="1">
        <v>1843</v>
      </c>
      <c r="BI267" s="1">
        <v>1661</v>
      </c>
      <c r="BJ267" s="1">
        <v>1833</v>
      </c>
      <c r="BK267" s="1">
        <v>1935</v>
      </c>
      <c r="BL267" s="1">
        <v>1748</v>
      </c>
    </row>
    <row r="268" spans="1:64">
      <c r="A268" s="77" t="s">
        <v>569</v>
      </c>
      <c r="B268" s="1" t="str">
        <f>銘柄管理!C268</f>
        <v>助川電気工業</v>
      </c>
      <c r="C268" s="1">
        <f>_xll.RssMarket("7711","始値")</f>
        <v>5200</v>
      </c>
      <c r="E268" s="1">
        <v>5200</v>
      </c>
      <c r="F268" s="1">
        <v>4835</v>
      </c>
      <c r="G268" s="1">
        <v>4855</v>
      </c>
      <c r="H268" s="1">
        <v>4800</v>
      </c>
      <c r="I268" s="1">
        <v>4515</v>
      </c>
      <c r="J268" s="1">
        <v>4840</v>
      </c>
      <c r="K268" s="1">
        <v>5190</v>
      </c>
      <c r="L268" s="1">
        <v>5360</v>
      </c>
      <c r="M268" s="1">
        <v>5050</v>
      </c>
      <c r="N268" s="1">
        <v>5240</v>
      </c>
      <c r="O268" s="1">
        <v>5260</v>
      </c>
      <c r="P268" s="1">
        <v>5450</v>
      </c>
      <c r="Q268" s="1">
        <v>5490</v>
      </c>
      <c r="R268" s="1">
        <v>5980</v>
      </c>
      <c r="S268" s="1">
        <v>5350</v>
      </c>
      <c r="T268" s="1">
        <v>5080</v>
      </c>
      <c r="U268" s="1">
        <v>5120</v>
      </c>
      <c r="V268" s="1">
        <v>5130</v>
      </c>
      <c r="W268" s="1">
        <v>5380</v>
      </c>
      <c r="X268" s="1">
        <v>5410</v>
      </c>
      <c r="Y268" s="1">
        <v>5360</v>
      </c>
      <c r="Z268" s="1">
        <v>5650</v>
      </c>
      <c r="AA268" s="1">
        <v>5620</v>
      </c>
      <c r="AB268" s="1">
        <v>5800</v>
      </c>
      <c r="AC268" s="1">
        <v>6000</v>
      </c>
      <c r="AD268" s="1">
        <v>6040</v>
      </c>
      <c r="AE268" s="1">
        <v>6110</v>
      </c>
      <c r="AF268" s="1">
        <v>5960</v>
      </c>
      <c r="AG268" s="1">
        <v>6100</v>
      </c>
      <c r="AH268" s="1">
        <v>6180</v>
      </c>
      <c r="AI268" s="1">
        <v>6360</v>
      </c>
      <c r="AJ268" s="1">
        <v>6620</v>
      </c>
      <c r="AK268" s="1">
        <v>6480</v>
      </c>
      <c r="AL268" s="1">
        <v>6380</v>
      </c>
      <c r="AM268" s="1">
        <v>6320</v>
      </c>
      <c r="AN268" s="1">
        <v>6280</v>
      </c>
      <c r="AO268" s="1">
        <v>6290</v>
      </c>
      <c r="AP268" s="1">
        <v>6160</v>
      </c>
      <c r="AQ268" s="1">
        <v>6300</v>
      </c>
      <c r="AR268" s="1">
        <v>6340</v>
      </c>
      <c r="AS268" s="1">
        <v>6240</v>
      </c>
      <c r="AT268" s="1">
        <v>6470</v>
      </c>
      <c r="AU268" s="1">
        <v>6680</v>
      </c>
      <c r="AV268" s="1">
        <v>6400</v>
      </c>
      <c r="AW268" s="1">
        <v>6490</v>
      </c>
      <c r="AX268" s="1">
        <v>6600</v>
      </c>
      <c r="AY268" s="1">
        <v>6540</v>
      </c>
      <c r="AZ268" s="1">
        <v>6810</v>
      </c>
      <c r="BA268" s="1">
        <v>6620</v>
      </c>
      <c r="BB268" s="1">
        <v>6510</v>
      </c>
      <c r="BC268" s="1">
        <v>6400</v>
      </c>
      <c r="BD268" s="1">
        <v>6690</v>
      </c>
      <c r="BE268" s="1">
        <v>6970</v>
      </c>
      <c r="BF268" s="1">
        <v>6750</v>
      </c>
      <c r="BG268" s="1">
        <v>6840</v>
      </c>
      <c r="BH268" s="1">
        <v>6860</v>
      </c>
      <c r="BI268" s="1">
        <v>7250</v>
      </c>
      <c r="BJ268" s="1">
        <v>7130</v>
      </c>
      <c r="BK268" s="1">
        <v>7320</v>
      </c>
      <c r="BL268" s="1">
        <v>7270</v>
      </c>
    </row>
    <row r="269" spans="1:64">
      <c r="A269" s="77" t="s">
        <v>570</v>
      </c>
      <c r="B269" s="1" t="str">
        <f>銘柄管理!C269</f>
        <v>日機装</v>
      </c>
      <c r="C269" s="1">
        <f>_xll.RssMarket("6376","始値")</f>
        <v>3715</v>
      </c>
      <c r="E269" s="1">
        <v>3715</v>
      </c>
      <c r="F269" s="1">
        <v>3700</v>
      </c>
      <c r="G269" s="1">
        <v>3705</v>
      </c>
      <c r="H269" s="1">
        <v>3640</v>
      </c>
      <c r="I269" s="1">
        <v>3500</v>
      </c>
      <c r="J269" s="1">
        <v>3420</v>
      </c>
      <c r="K269" s="1">
        <v>3190</v>
      </c>
      <c r="L269" s="1">
        <v>3200</v>
      </c>
      <c r="M269" s="1">
        <v>3100</v>
      </c>
      <c r="N269" s="1">
        <v>3090</v>
      </c>
      <c r="O269" s="1">
        <v>3260</v>
      </c>
      <c r="P269" s="1">
        <v>3285</v>
      </c>
      <c r="Q269" s="1">
        <v>3235</v>
      </c>
      <c r="R269" s="1">
        <v>3500</v>
      </c>
      <c r="S269" s="1">
        <v>3275</v>
      </c>
      <c r="T269" s="1">
        <v>3070</v>
      </c>
      <c r="U269" s="1">
        <v>3115</v>
      </c>
      <c r="V269" s="1">
        <v>2925</v>
      </c>
      <c r="W269" s="1">
        <v>3100</v>
      </c>
      <c r="X269" s="1">
        <v>2940</v>
      </c>
      <c r="Y269" s="1">
        <v>2716</v>
      </c>
      <c r="Z269" s="1">
        <v>2662</v>
      </c>
      <c r="AA269" s="1">
        <v>2617</v>
      </c>
      <c r="AB269" s="1">
        <v>2691</v>
      </c>
      <c r="AC269" s="1">
        <v>2670</v>
      </c>
      <c r="AD269" s="1">
        <v>2617</v>
      </c>
      <c r="AE269" s="1">
        <v>2684</v>
      </c>
      <c r="AF269" s="1">
        <v>2660</v>
      </c>
      <c r="AG269" s="1">
        <v>2608</v>
      </c>
      <c r="AH269" s="1">
        <v>2572</v>
      </c>
      <c r="AI269" s="1">
        <v>2645</v>
      </c>
      <c r="AJ269" s="1">
        <v>2595</v>
      </c>
      <c r="AK269" s="1">
        <v>2548</v>
      </c>
      <c r="AL269" s="1">
        <v>2551</v>
      </c>
      <c r="AM269" s="1">
        <v>2657</v>
      </c>
      <c r="AN269" s="1">
        <v>2648</v>
      </c>
      <c r="AO269" s="1">
        <v>2720</v>
      </c>
      <c r="AP269" s="1">
        <v>2774</v>
      </c>
      <c r="AQ269" s="1">
        <v>2866</v>
      </c>
      <c r="AR269" s="1">
        <v>2875</v>
      </c>
      <c r="AS269" s="1">
        <v>2820</v>
      </c>
      <c r="AT269" s="1">
        <v>2800</v>
      </c>
      <c r="AU269" s="1">
        <v>2736</v>
      </c>
      <c r="AV269" s="1">
        <v>2764</v>
      </c>
      <c r="AW269" s="1">
        <v>2700</v>
      </c>
      <c r="AX269" s="1">
        <v>2669</v>
      </c>
      <c r="AY269" s="1">
        <v>2610</v>
      </c>
      <c r="AZ269" s="1">
        <v>2692</v>
      </c>
      <c r="BA269" s="1">
        <v>2614</v>
      </c>
      <c r="BB269" s="1">
        <v>2387</v>
      </c>
      <c r="BC269" s="1">
        <v>2284</v>
      </c>
      <c r="BD269" s="1">
        <v>2450</v>
      </c>
      <c r="BE269" s="1">
        <v>2320</v>
      </c>
      <c r="BF269" s="1">
        <v>2284</v>
      </c>
      <c r="BG269" s="1">
        <v>2305</v>
      </c>
      <c r="BH269" s="1">
        <v>2249</v>
      </c>
      <c r="BI269" s="1">
        <v>2378</v>
      </c>
      <c r="BJ269" s="1">
        <v>2406</v>
      </c>
      <c r="BK269" s="1">
        <v>2446</v>
      </c>
      <c r="BL269" s="1">
        <v>2316</v>
      </c>
    </row>
    <row r="270" spans="1:64">
      <c r="A270" s="77" t="s">
        <v>571</v>
      </c>
      <c r="B270" s="1" t="str">
        <f>銘柄管理!C270</f>
        <v>明海グループ</v>
      </c>
      <c r="C270" s="1">
        <f>_xll.RssMarket("9115","始値")</f>
        <v>826</v>
      </c>
      <c r="E270" s="1">
        <v>826</v>
      </c>
      <c r="F270" s="1">
        <v>824</v>
      </c>
      <c r="G270" s="1">
        <v>850</v>
      </c>
      <c r="H270" s="1">
        <v>904</v>
      </c>
      <c r="I270" s="1">
        <v>919</v>
      </c>
      <c r="J270" s="1">
        <v>940</v>
      </c>
      <c r="K270" s="1">
        <v>985</v>
      </c>
      <c r="L270" s="1">
        <v>999</v>
      </c>
      <c r="M270" s="1">
        <v>1066</v>
      </c>
      <c r="N270" s="1">
        <v>1039</v>
      </c>
      <c r="O270" s="1">
        <v>1143</v>
      </c>
      <c r="P270" s="1">
        <v>1161</v>
      </c>
      <c r="Q270" s="1">
        <v>1146</v>
      </c>
      <c r="R270" s="1">
        <v>1111</v>
      </c>
      <c r="S270" s="1">
        <v>1096</v>
      </c>
      <c r="T270" s="1">
        <v>1146</v>
      </c>
      <c r="U270" s="1">
        <v>1201</v>
      </c>
      <c r="V270" s="1">
        <v>1202</v>
      </c>
      <c r="W270" s="1">
        <v>1191</v>
      </c>
      <c r="X270" s="1">
        <v>1178</v>
      </c>
      <c r="Y270" s="1">
        <v>1216</v>
      </c>
      <c r="Z270" s="1">
        <v>1272</v>
      </c>
      <c r="AA270" s="1">
        <v>1242</v>
      </c>
      <c r="AB270" s="1">
        <v>1303</v>
      </c>
      <c r="AC270" s="1">
        <v>1309</v>
      </c>
      <c r="AD270" s="1">
        <v>1250</v>
      </c>
      <c r="AE270" s="1">
        <v>1240</v>
      </c>
      <c r="AF270" s="1">
        <v>1182</v>
      </c>
      <c r="AG270" s="1">
        <v>1175</v>
      </c>
      <c r="AH270" s="1">
        <v>1188</v>
      </c>
      <c r="AI270" s="1">
        <v>1206</v>
      </c>
      <c r="AJ270" s="1">
        <v>1253</v>
      </c>
      <c r="AK270" s="1">
        <v>1282</v>
      </c>
      <c r="AL270" s="1">
        <v>1236</v>
      </c>
      <c r="AM270" s="1">
        <v>1294</v>
      </c>
      <c r="AN270" s="1">
        <v>1289</v>
      </c>
      <c r="AO270" s="1">
        <v>1282</v>
      </c>
      <c r="AP270" s="1">
        <v>1340</v>
      </c>
      <c r="AQ270" s="1">
        <v>1345</v>
      </c>
      <c r="AR270" s="1">
        <v>1299</v>
      </c>
      <c r="AS270" s="1">
        <v>1259</v>
      </c>
      <c r="AT270" s="1">
        <v>1217</v>
      </c>
      <c r="AU270" s="1">
        <v>1322</v>
      </c>
      <c r="AV270" s="1">
        <v>1230</v>
      </c>
      <c r="AW270" s="1">
        <v>1322</v>
      </c>
      <c r="AX270" s="1">
        <v>1285</v>
      </c>
      <c r="AY270" s="1">
        <v>1322</v>
      </c>
      <c r="AZ270" s="1">
        <v>1570</v>
      </c>
      <c r="BA270" s="1">
        <v>1485</v>
      </c>
      <c r="BB270" s="1">
        <v>1541</v>
      </c>
      <c r="BC270" s="1">
        <v>1690</v>
      </c>
      <c r="BD270" s="1">
        <v>1411</v>
      </c>
      <c r="BE270" s="1">
        <v>1280</v>
      </c>
      <c r="BF270" s="1">
        <v>1267</v>
      </c>
      <c r="BG270" s="1">
        <v>1125</v>
      </c>
      <c r="BH270" s="1">
        <v>965</v>
      </c>
      <c r="BI270" s="1">
        <v>878</v>
      </c>
      <c r="BJ270" s="1">
        <v>802</v>
      </c>
      <c r="BK270" s="1">
        <v>839</v>
      </c>
      <c r="BL270" s="1">
        <v>837</v>
      </c>
    </row>
    <row r="271" spans="1:64">
      <c r="A271" s="77" t="s">
        <v>572</v>
      </c>
      <c r="B271" s="1" t="str">
        <f>銘柄管理!C271</f>
        <v>三菱製紙</v>
      </c>
      <c r="C271" s="1">
        <f>_xll.RssMarket("3864","始値")</f>
        <v>1076</v>
      </c>
      <c r="E271" s="1">
        <v>1076</v>
      </c>
      <c r="F271" s="1">
        <v>1091</v>
      </c>
      <c r="G271" s="1">
        <v>1074</v>
      </c>
      <c r="H271" s="1">
        <v>1062</v>
      </c>
      <c r="I271" s="1">
        <v>1067</v>
      </c>
      <c r="J271" s="1">
        <v>1063</v>
      </c>
      <c r="K271" s="1">
        <v>1047</v>
      </c>
      <c r="L271" s="1">
        <v>1053</v>
      </c>
      <c r="M271" s="1">
        <v>1060</v>
      </c>
      <c r="N271" s="1">
        <v>1048</v>
      </c>
      <c r="O271" s="1">
        <v>1054</v>
      </c>
      <c r="P271" s="1">
        <v>1137</v>
      </c>
      <c r="Q271" s="1">
        <v>1102</v>
      </c>
      <c r="R271" s="1">
        <v>1097</v>
      </c>
      <c r="S271" s="1">
        <v>1099</v>
      </c>
      <c r="T271" s="1">
        <v>1090</v>
      </c>
      <c r="U271" s="1">
        <v>1060</v>
      </c>
      <c r="V271" s="1">
        <v>1020</v>
      </c>
      <c r="W271" s="1">
        <v>1046</v>
      </c>
      <c r="X271" s="1">
        <v>993</v>
      </c>
      <c r="Y271" s="1">
        <v>958</v>
      </c>
      <c r="Z271" s="1">
        <v>902</v>
      </c>
      <c r="AA271" s="1">
        <v>931</v>
      </c>
      <c r="AB271" s="1">
        <v>937</v>
      </c>
      <c r="AC271" s="1">
        <v>936</v>
      </c>
      <c r="AD271" s="1">
        <v>937</v>
      </c>
      <c r="AE271" s="1">
        <v>940</v>
      </c>
      <c r="AF271" s="1">
        <v>929</v>
      </c>
      <c r="AG271" s="1">
        <v>940</v>
      </c>
      <c r="AH271" s="1">
        <v>945</v>
      </c>
      <c r="AI271" s="1">
        <v>960</v>
      </c>
      <c r="AJ271" s="1">
        <v>951</v>
      </c>
      <c r="AK271" s="1">
        <v>961</v>
      </c>
      <c r="AL271" s="1">
        <v>985</v>
      </c>
      <c r="AM271" s="1">
        <v>973</v>
      </c>
      <c r="AN271" s="1">
        <v>990</v>
      </c>
      <c r="AO271" s="1">
        <v>974</v>
      </c>
      <c r="AP271" s="1">
        <v>956</v>
      </c>
      <c r="AQ271" s="1">
        <v>925</v>
      </c>
      <c r="AR271" s="1">
        <v>923</v>
      </c>
      <c r="AS271" s="1">
        <v>892</v>
      </c>
      <c r="AT271" s="1">
        <v>910</v>
      </c>
      <c r="AU271" s="1">
        <v>894</v>
      </c>
      <c r="AV271" s="1">
        <v>881</v>
      </c>
      <c r="AW271" s="1">
        <v>857</v>
      </c>
      <c r="AX271" s="1">
        <v>850</v>
      </c>
      <c r="AY271" s="1">
        <v>859</v>
      </c>
      <c r="AZ271" s="1">
        <v>847</v>
      </c>
      <c r="BA271" s="1">
        <v>836</v>
      </c>
      <c r="BB271" s="1">
        <v>806</v>
      </c>
      <c r="BC271" s="1">
        <v>791</v>
      </c>
      <c r="BD271" s="1">
        <v>812</v>
      </c>
      <c r="BE271" s="1">
        <v>818</v>
      </c>
      <c r="BF271" s="1">
        <v>818</v>
      </c>
      <c r="BG271" s="1">
        <v>810</v>
      </c>
      <c r="BH271" s="1">
        <v>803</v>
      </c>
      <c r="BI271" s="1">
        <v>840</v>
      </c>
      <c r="BJ271" s="1">
        <v>839</v>
      </c>
      <c r="BK271" s="1">
        <v>839</v>
      </c>
      <c r="BL271" s="1">
        <v>829</v>
      </c>
    </row>
    <row r="272" spans="1:64">
      <c r="A272" s="77" t="s">
        <v>573</v>
      </c>
      <c r="B272" s="1" t="str">
        <f>銘柄管理!C272</f>
        <v>日本ケミコン</v>
      </c>
      <c r="C272" s="1">
        <f>_xll.RssMarket("6997","始値")</f>
        <v>4480</v>
      </c>
      <c r="E272" s="1">
        <v>4480</v>
      </c>
      <c r="F272" s="1">
        <v>4720</v>
      </c>
      <c r="G272" s="1">
        <v>4360</v>
      </c>
      <c r="H272" s="1">
        <v>4250</v>
      </c>
      <c r="I272" s="1">
        <v>3995</v>
      </c>
      <c r="J272" s="1">
        <v>4355</v>
      </c>
      <c r="K272" s="1">
        <v>4490</v>
      </c>
      <c r="L272" s="1">
        <v>4525</v>
      </c>
      <c r="M272" s="1">
        <v>4570</v>
      </c>
      <c r="N272" s="1">
        <v>4790</v>
      </c>
      <c r="O272" s="1">
        <v>5650</v>
      </c>
      <c r="P272" s="1">
        <v>4800</v>
      </c>
      <c r="Q272" s="1">
        <v>3725</v>
      </c>
      <c r="R272" s="1">
        <v>4180</v>
      </c>
      <c r="S272" s="1">
        <v>3600</v>
      </c>
      <c r="T272" s="1">
        <v>2973</v>
      </c>
      <c r="U272" s="1">
        <v>3045</v>
      </c>
      <c r="V272" s="1">
        <v>3030</v>
      </c>
      <c r="W272" s="1">
        <v>2894</v>
      </c>
      <c r="X272" s="1">
        <v>2995</v>
      </c>
      <c r="Y272" s="1">
        <v>3485</v>
      </c>
      <c r="Z272" s="1">
        <v>3250</v>
      </c>
      <c r="AA272" s="1">
        <v>3140</v>
      </c>
      <c r="AB272" s="1">
        <v>3235</v>
      </c>
      <c r="AC272" s="1">
        <v>3230</v>
      </c>
      <c r="AD272" s="1">
        <v>2919</v>
      </c>
      <c r="AE272" s="1">
        <v>2751</v>
      </c>
      <c r="AF272" s="1">
        <v>2610</v>
      </c>
      <c r="AG272" s="1">
        <v>2412</v>
      </c>
      <c r="AH272" s="1">
        <v>2299</v>
      </c>
      <c r="AI272" s="1">
        <v>2304</v>
      </c>
      <c r="AJ272" s="1">
        <v>2256</v>
      </c>
      <c r="AK272" s="1">
        <v>2451</v>
      </c>
      <c r="AL272" s="1">
        <v>2346</v>
      </c>
      <c r="AM272" s="1">
        <v>2400</v>
      </c>
      <c r="AN272" s="1">
        <v>2215</v>
      </c>
      <c r="AO272" s="1">
        <v>2218</v>
      </c>
      <c r="AP272" s="1">
        <v>2082</v>
      </c>
      <c r="AQ272" s="1">
        <v>1974</v>
      </c>
      <c r="AR272" s="1">
        <v>1780</v>
      </c>
      <c r="AS272" s="1">
        <v>1650</v>
      </c>
      <c r="AT272" s="1">
        <v>1664</v>
      </c>
      <c r="AU272" s="1">
        <v>1650</v>
      </c>
      <c r="AV272" s="1">
        <v>1543</v>
      </c>
      <c r="AW272" s="1">
        <v>1494</v>
      </c>
      <c r="AX272" s="1">
        <v>1463</v>
      </c>
      <c r="AY272" s="1">
        <v>1471</v>
      </c>
      <c r="AZ272" s="1">
        <v>1499</v>
      </c>
      <c r="BA272" s="1">
        <v>1475</v>
      </c>
      <c r="BB272" s="1">
        <v>1411</v>
      </c>
      <c r="BC272" s="1">
        <v>1454</v>
      </c>
      <c r="BD272" s="1">
        <v>1420</v>
      </c>
      <c r="BE272" s="1">
        <v>1470</v>
      </c>
      <c r="BF272" s="1">
        <v>1460</v>
      </c>
      <c r="BG272" s="1">
        <v>1435</v>
      </c>
      <c r="BH272" s="1">
        <v>1428</v>
      </c>
      <c r="BI272" s="1">
        <v>1531</v>
      </c>
      <c r="BJ272" s="1">
        <v>1584</v>
      </c>
      <c r="BK272" s="1">
        <v>1574</v>
      </c>
      <c r="BL272" s="1">
        <v>1495</v>
      </c>
    </row>
    <row r="273" spans="1:64">
      <c r="A273" s="77" t="s">
        <v>574</v>
      </c>
      <c r="B273" s="1" t="str">
        <f>銘柄管理!C273</f>
        <v>ＨＵグループＨＤ</v>
      </c>
      <c r="C273" s="1">
        <f>_xll.RssMarket("4544","始値")</f>
        <v>3251</v>
      </c>
      <c r="E273" s="1">
        <v>3251</v>
      </c>
      <c r="F273" s="1">
        <v>3238</v>
      </c>
      <c r="G273" s="1">
        <v>3379</v>
      </c>
      <c r="H273" s="1">
        <v>3436</v>
      </c>
      <c r="I273" s="1">
        <v>3465</v>
      </c>
      <c r="J273" s="1">
        <v>3442</v>
      </c>
      <c r="K273" s="1">
        <v>3293</v>
      </c>
      <c r="L273" s="1">
        <v>3333</v>
      </c>
      <c r="M273" s="1">
        <v>3283</v>
      </c>
      <c r="N273" s="1">
        <v>3121</v>
      </c>
      <c r="O273" s="1">
        <v>3156</v>
      </c>
      <c r="P273" s="1">
        <v>3146</v>
      </c>
      <c r="Q273" s="1">
        <v>3156</v>
      </c>
      <c r="R273" s="1">
        <v>3144</v>
      </c>
      <c r="S273" s="1">
        <v>3171</v>
      </c>
      <c r="T273" s="1">
        <v>3168</v>
      </c>
      <c r="U273" s="1">
        <v>3225</v>
      </c>
      <c r="V273" s="1">
        <v>3249</v>
      </c>
      <c r="W273" s="1">
        <v>3198</v>
      </c>
      <c r="X273" s="1">
        <v>3204</v>
      </c>
      <c r="Y273" s="1">
        <v>3139</v>
      </c>
      <c r="Z273" s="1">
        <v>3136</v>
      </c>
      <c r="AA273" s="1">
        <v>3100</v>
      </c>
      <c r="AB273" s="1">
        <v>3141</v>
      </c>
      <c r="AC273" s="1">
        <v>3074</v>
      </c>
      <c r="AD273" s="1">
        <v>3178</v>
      </c>
      <c r="AE273" s="1">
        <v>3112</v>
      </c>
      <c r="AF273" s="1">
        <v>3081</v>
      </c>
      <c r="AG273" s="1">
        <v>3100</v>
      </c>
      <c r="AH273" s="1">
        <v>3281</v>
      </c>
      <c r="AI273" s="1">
        <v>3205</v>
      </c>
      <c r="AJ273" s="1">
        <v>3160</v>
      </c>
      <c r="AK273" s="1">
        <v>3140</v>
      </c>
      <c r="AL273" s="1">
        <v>3125</v>
      </c>
      <c r="AM273" s="1">
        <v>3161</v>
      </c>
      <c r="AN273" s="1">
        <v>3146</v>
      </c>
      <c r="AO273" s="1">
        <v>3182</v>
      </c>
      <c r="AP273" s="1">
        <v>3188</v>
      </c>
      <c r="AQ273" s="1">
        <v>3165</v>
      </c>
      <c r="AR273" s="1">
        <v>3143</v>
      </c>
      <c r="AS273" s="1">
        <v>3098</v>
      </c>
      <c r="AT273" s="1">
        <v>3208</v>
      </c>
      <c r="AU273" s="1">
        <v>3221</v>
      </c>
      <c r="AV273" s="1">
        <v>3295</v>
      </c>
      <c r="AW273" s="1">
        <v>3260</v>
      </c>
      <c r="AX273" s="1">
        <v>3244</v>
      </c>
      <c r="AY273" s="1">
        <v>3232</v>
      </c>
      <c r="AZ273" s="1">
        <v>3237</v>
      </c>
      <c r="BA273" s="1">
        <v>3228</v>
      </c>
      <c r="BB273" s="1">
        <v>3228</v>
      </c>
      <c r="BC273" s="1">
        <v>3189</v>
      </c>
      <c r="BD273" s="1">
        <v>3218</v>
      </c>
      <c r="BE273" s="1">
        <v>3127</v>
      </c>
      <c r="BF273" s="1">
        <v>3075</v>
      </c>
      <c r="BG273" s="1">
        <v>3028</v>
      </c>
      <c r="BH273" s="1">
        <v>2950</v>
      </c>
      <c r="BI273" s="1">
        <v>3119</v>
      </c>
      <c r="BJ273" s="1">
        <v>3112</v>
      </c>
      <c r="BK273" s="1">
        <v>3132</v>
      </c>
      <c r="BL273" s="1">
        <v>3090</v>
      </c>
    </row>
    <row r="274" spans="1:64">
      <c r="A274" s="77" t="s">
        <v>575</v>
      </c>
      <c r="B274" s="1" t="str">
        <f>銘柄管理!C274</f>
        <v>東亜ディーケーケー</v>
      </c>
      <c r="C274" s="1">
        <f>_xll.RssMarket("6848","始値")</f>
        <v>856</v>
      </c>
      <c r="E274" s="1">
        <v>856</v>
      </c>
      <c r="F274" s="1">
        <v>859</v>
      </c>
      <c r="G274" s="1">
        <v>853</v>
      </c>
      <c r="H274" s="1">
        <v>877</v>
      </c>
      <c r="I274" s="1">
        <v>848</v>
      </c>
      <c r="J274" s="1">
        <v>850</v>
      </c>
      <c r="K274" s="1">
        <v>852</v>
      </c>
      <c r="L274" s="1">
        <v>851</v>
      </c>
      <c r="M274" s="1">
        <v>861</v>
      </c>
      <c r="N274" s="1">
        <v>869</v>
      </c>
      <c r="O274" s="1">
        <v>856</v>
      </c>
      <c r="P274" s="1">
        <v>862</v>
      </c>
      <c r="Q274" s="1">
        <v>865</v>
      </c>
      <c r="R274" s="1">
        <v>859</v>
      </c>
      <c r="S274" s="1">
        <v>865</v>
      </c>
      <c r="T274" s="1">
        <v>850</v>
      </c>
      <c r="U274" s="1">
        <v>875</v>
      </c>
      <c r="V274" s="1">
        <v>877</v>
      </c>
      <c r="W274" s="1">
        <v>870</v>
      </c>
      <c r="X274" s="1">
        <v>871</v>
      </c>
      <c r="Y274" s="1">
        <v>877</v>
      </c>
      <c r="Z274" s="1">
        <v>869</v>
      </c>
      <c r="AA274" s="1">
        <v>880</v>
      </c>
      <c r="AB274" s="1">
        <v>883</v>
      </c>
      <c r="AC274" s="1">
        <v>874</v>
      </c>
      <c r="AD274" s="1">
        <v>869</v>
      </c>
      <c r="AE274" s="1">
        <v>865</v>
      </c>
      <c r="AF274" s="1">
        <v>876</v>
      </c>
      <c r="AG274" s="1">
        <v>870</v>
      </c>
      <c r="AH274" s="1">
        <v>880</v>
      </c>
      <c r="AI274" s="1">
        <v>874</v>
      </c>
      <c r="AJ274" s="1">
        <v>883</v>
      </c>
      <c r="AK274" s="1">
        <v>884</v>
      </c>
      <c r="AL274" s="1">
        <v>880</v>
      </c>
      <c r="AM274" s="1">
        <v>884</v>
      </c>
      <c r="AN274" s="1">
        <v>872</v>
      </c>
      <c r="AO274" s="1">
        <v>871</v>
      </c>
      <c r="AP274" s="1">
        <v>875</v>
      </c>
      <c r="AQ274" s="1">
        <v>875</v>
      </c>
      <c r="AR274" s="1">
        <v>872</v>
      </c>
      <c r="AS274" s="1">
        <v>882</v>
      </c>
      <c r="AT274" s="1">
        <v>888</v>
      </c>
      <c r="AU274" s="1">
        <v>880</v>
      </c>
      <c r="AV274" s="1">
        <v>879</v>
      </c>
      <c r="AW274" s="1">
        <v>881</v>
      </c>
      <c r="AX274" s="1">
        <v>891</v>
      </c>
      <c r="AY274" s="1">
        <v>887</v>
      </c>
      <c r="AZ274" s="1">
        <v>887</v>
      </c>
      <c r="BA274" s="1">
        <v>890</v>
      </c>
      <c r="BB274" s="1">
        <v>900</v>
      </c>
      <c r="BC274" s="1">
        <v>898</v>
      </c>
      <c r="BD274" s="1">
        <v>899</v>
      </c>
      <c r="BE274" s="1">
        <v>883</v>
      </c>
      <c r="BF274" s="1">
        <v>896</v>
      </c>
      <c r="BG274" s="1">
        <v>902</v>
      </c>
      <c r="BH274" s="1">
        <v>923</v>
      </c>
      <c r="BI274" s="1">
        <v>916</v>
      </c>
      <c r="BJ274" s="1">
        <v>919</v>
      </c>
      <c r="BK274" s="1">
        <v>919</v>
      </c>
      <c r="BL274" s="1">
        <v>911</v>
      </c>
    </row>
    <row r="275" spans="1:64">
      <c r="A275" s="77" t="s">
        <v>576</v>
      </c>
      <c r="B275" s="1" t="str">
        <f>銘柄管理!C275</f>
        <v>大紀アルミニウム</v>
      </c>
      <c r="C275" s="1">
        <f>_xll.RssMarket("5702","始値")</f>
        <v>1745</v>
      </c>
      <c r="E275" s="1">
        <v>1745</v>
      </c>
      <c r="F275" s="1">
        <v>1798</v>
      </c>
      <c r="G275" s="1">
        <v>1877</v>
      </c>
      <c r="H275" s="1">
        <v>1850</v>
      </c>
      <c r="I275" s="1">
        <v>1800</v>
      </c>
      <c r="J275" s="1">
        <v>1823</v>
      </c>
      <c r="K275" s="1">
        <v>1885</v>
      </c>
      <c r="L275" s="1">
        <v>1957</v>
      </c>
      <c r="M275" s="1">
        <v>2020</v>
      </c>
      <c r="N275" s="1">
        <v>1903</v>
      </c>
      <c r="O275" s="1">
        <v>1993</v>
      </c>
      <c r="P275" s="1">
        <v>1971</v>
      </c>
      <c r="Q275" s="1">
        <v>2070</v>
      </c>
      <c r="R275" s="1">
        <v>1931</v>
      </c>
      <c r="S275" s="1">
        <v>1895</v>
      </c>
      <c r="T275" s="1">
        <v>1823</v>
      </c>
      <c r="U275" s="1">
        <v>1800</v>
      </c>
      <c r="V275" s="1">
        <v>1802</v>
      </c>
      <c r="W275" s="1">
        <v>1820</v>
      </c>
      <c r="X275" s="1">
        <v>1853</v>
      </c>
      <c r="Y275" s="1">
        <v>1590</v>
      </c>
      <c r="Z275" s="1">
        <v>1569</v>
      </c>
      <c r="AA275" s="1">
        <v>1612</v>
      </c>
      <c r="AB275" s="1">
        <v>1613</v>
      </c>
      <c r="AC275" s="1">
        <v>1550</v>
      </c>
      <c r="AD275" s="1">
        <v>1531</v>
      </c>
      <c r="AE275" s="1">
        <v>1485</v>
      </c>
      <c r="AF275" s="1">
        <v>1461</v>
      </c>
      <c r="AG275" s="1">
        <v>1470</v>
      </c>
      <c r="AH275" s="1">
        <v>1440</v>
      </c>
      <c r="AI275" s="1">
        <v>1454</v>
      </c>
      <c r="AJ275" s="1">
        <v>1475</v>
      </c>
      <c r="AK275" s="1">
        <v>1491</v>
      </c>
      <c r="AL275" s="1">
        <v>1530</v>
      </c>
      <c r="AM275" s="1">
        <v>1518</v>
      </c>
      <c r="AN275" s="1">
        <v>1555</v>
      </c>
      <c r="AO275" s="1">
        <v>1575</v>
      </c>
      <c r="AP275" s="1">
        <v>1595</v>
      </c>
      <c r="AQ275" s="1">
        <v>1590</v>
      </c>
      <c r="AR275" s="1">
        <v>1550</v>
      </c>
      <c r="AS275" s="1">
        <v>1580</v>
      </c>
      <c r="AT275" s="1">
        <v>1559</v>
      </c>
      <c r="AU275" s="1">
        <v>1520</v>
      </c>
      <c r="AV275" s="1">
        <v>1500</v>
      </c>
      <c r="AW275" s="1">
        <v>1460</v>
      </c>
      <c r="AX275" s="1">
        <v>1441</v>
      </c>
      <c r="AY275" s="1">
        <v>1460</v>
      </c>
      <c r="AZ275" s="1">
        <v>1450</v>
      </c>
      <c r="BA275" s="1">
        <v>1500</v>
      </c>
      <c r="BB275" s="1">
        <v>1258</v>
      </c>
      <c r="BC275" s="1">
        <v>1285</v>
      </c>
      <c r="BD275" s="1">
        <v>1311</v>
      </c>
      <c r="BE275" s="1">
        <v>1295</v>
      </c>
      <c r="BF275" s="1">
        <v>1263</v>
      </c>
      <c r="BG275" s="1">
        <v>1250</v>
      </c>
      <c r="BH275" s="1">
        <v>1356</v>
      </c>
      <c r="BI275" s="1">
        <v>1360</v>
      </c>
      <c r="BJ275" s="1">
        <v>1363</v>
      </c>
      <c r="BK275" s="1">
        <v>1370</v>
      </c>
      <c r="BL275" s="1">
        <v>1346</v>
      </c>
    </row>
    <row r="276" spans="1:64">
      <c r="A276" s="77" t="s">
        <v>577</v>
      </c>
      <c r="B276" s="1" t="str">
        <f>銘柄管理!C276</f>
        <v>河合楽器</v>
      </c>
      <c r="C276" s="1">
        <f>_xll.RssMarket("7952","始値")</f>
        <v>3250</v>
      </c>
      <c r="E276" s="1">
        <v>3250</v>
      </c>
      <c r="F276" s="1">
        <v>3195</v>
      </c>
      <c r="G276" s="1">
        <v>3070</v>
      </c>
      <c r="H276" s="1">
        <v>3020</v>
      </c>
      <c r="I276" s="1">
        <v>3065</v>
      </c>
      <c r="J276" s="1">
        <v>3155</v>
      </c>
      <c r="K276" s="1">
        <v>3130</v>
      </c>
      <c r="L276" s="1">
        <v>3185</v>
      </c>
      <c r="M276" s="1">
        <v>3200</v>
      </c>
      <c r="N276" s="1">
        <v>3145</v>
      </c>
      <c r="O276" s="1">
        <v>3250</v>
      </c>
      <c r="P276" s="1">
        <v>3035</v>
      </c>
      <c r="Q276" s="1">
        <v>3020</v>
      </c>
      <c r="R276" s="1">
        <v>2991</v>
      </c>
      <c r="S276" s="1">
        <v>2993</v>
      </c>
      <c r="T276" s="1">
        <v>2937</v>
      </c>
      <c r="U276" s="1">
        <v>3100</v>
      </c>
      <c r="V276" s="1">
        <v>3135</v>
      </c>
      <c r="W276" s="1">
        <v>3125</v>
      </c>
      <c r="X276" s="1">
        <v>3075</v>
      </c>
      <c r="Y276" s="1">
        <v>2981</v>
      </c>
      <c r="Z276" s="1">
        <v>2940</v>
      </c>
      <c r="AA276" s="1">
        <v>2810</v>
      </c>
      <c r="AB276" s="1">
        <v>2719</v>
      </c>
      <c r="AC276" s="1">
        <v>2783</v>
      </c>
      <c r="AD276" s="1">
        <v>2810</v>
      </c>
      <c r="AE276" s="1">
        <v>2758</v>
      </c>
      <c r="AF276" s="1">
        <v>2800</v>
      </c>
      <c r="AG276" s="1">
        <v>2876</v>
      </c>
      <c r="AH276" s="1">
        <v>2834</v>
      </c>
      <c r="AI276" s="1">
        <v>2899</v>
      </c>
      <c r="AJ276" s="1">
        <v>3005</v>
      </c>
      <c r="AK276" s="1">
        <v>3065</v>
      </c>
      <c r="AL276" s="1">
        <v>3075</v>
      </c>
      <c r="AM276" s="1">
        <v>3050</v>
      </c>
      <c r="AN276" s="1">
        <v>3130</v>
      </c>
      <c r="AO276" s="1">
        <v>3070</v>
      </c>
      <c r="AP276" s="1">
        <v>3020</v>
      </c>
      <c r="AQ276" s="1">
        <v>3005</v>
      </c>
      <c r="AR276" s="1">
        <v>2995</v>
      </c>
      <c r="AS276" s="1">
        <v>2986</v>
      </c>
      <c r="AT276" s="1">
        <v>3000</v>
      </c>
      <c r="AU276" s="1">
        <v>3060</v>
      </c>
      <c r="AV276" s="1">
        <v>3000</v>
      </c>
      <c r="AW276" s="1">
        <v>3005</v>
      </c>
      <c r="AX276" s="1">
        <v>3000</v>
      </c>
      <c r="AY276" s="1">
        <v>2978</v>
      </c>
      <c r="AZ276" s="1">
        <v>2874</v>
      </c>
      <c r="BA276" s="1">
        <v>2734</v>
      </c>
      <c r="BB276" s="1">
        <v>2701</v>
      </c>
      <c r="BC276" s="1">
        <v>2800</v>
      </c>
      <c r="BD276" s="1">
        <v>2772</v>
      </c>
      <c r="BE276" s="1">
        <v>2778</v>
      </c>
      <c r="BF276" s="1">
        <v>2732</v>
      </c>
      <c r="BG276" s="1">
        <v>2702</v>
      </c>
      <c r="BH276" s="1">
        <v>2776</v>
      </c>
      <c r="BI276" s="1">
        <v>2805</v>
      </c>
      <c r="BJ276" s="1">
        <v>2788</v>
      </c>
      <c r="BK276" s="1">
        <v>2772</v>
      </c>
      <c r="BL276" s="1">
        <v>2764</v>
      </c>
    </row>
    <row r="277" spans="1:64">
      <c r="A277" s="77" t="s">
        <v>578</v>
      </c>
      <c r="B277" s="1" t="str">
        <f>銘柄管理!C277</f>
        <v>グンゼ</v>
      </c>
      <c r="C277" s="1">
        <f>_xll.RssMarket("3002","始値")</f>
        <v>3810</v>
      </c>
      <c r="E277" s="1">
        <v>3810</v>
      </c>
      <c r="F277" s="1">
        <v>3815</v>
      </c>
      <c r="G277" s="1">
        <v>3845</v>
      </c>
      <c r="H277" s="1">
        <v>3800</v>
      </c>
      <c r="I277" s="1">
        <v>3735</v>
      </c>
      <c r="J277" s="1">
        <v>3725</v>
      </c>
      <c r="K277" s="1">
        <v>3680</v>
      </c>
      <c r="L277" s="1">
        <v>3700</v>
      </c>
      <c r="M277" s="1">
        <v>3690</v>
      </c>
      <c r="N277" s="1">
        <v>3685</v>
      </c>
      <c r="O277" s="1">
        <v>3690</v>
      </c>
      <c r="P277" s="1">
        <v>3715</v>
      </c>
      <c r="Q277" s="1">
        <v>3700</v>
      </c>
      <c r="R277" s="1">
        <v>3670</v>
      </c>
      <c r="S277" s="1">
        <v>3655</v>
      </c>
      <c r="T277" s="1">
        <v>3695</v>
      </c>
      <c r="U277" s="1">
        <v>3670</v>
      </c>
      <c r="V277" s="1">
        <v>3715</v>
      </c>
      <c r="W277" s="1">
        <v>3725</v>
      </c>
      <c r="X277" s="1">
        <v>3740</v>
      </c>
      <c r="Y277" s="1">
        <v>3680</v>
      </c>
      <c r="Z277" s="1">
        <v>3580</v>
      </c>
      <c r="AA277" s="1">
        <v>3590</v>
      </c>
      <c r="AB277" s="1">
        <v>3625</v>
      </c>
      <c r="AC277" s="1">
        <v>3625</v>
      </c>
      <c r="AD277" s="1">
        <v>3630</v>
      </c>
      <c r="AE277" s="1">
        <v>3620</v>
      </c>
      <c r="AF277" s="1">
        <v>3600</v>
      </c>
      <c r="AG277" s="1">
        <v>3665</v>
      </c>
      <c r="AH277" s="1">
        <v>3680</v>
      </c>
      <c r="AI277" s="1">
        <v>3655</v>
      </c>
      <c r="AJ277" s="1">
        <v>3730</v>
      </c>
      <c r="AK277" s="1">
        <v>3730</v>
      </c>
      <c r="AL277" s="1">
        <v>3825</v>
      </c>
      <c r="AM277" s="1">
        <v>3950</v>
      </c>
      <c r="AN277" s="1">
        <v>3925</v>
      </c>
      <c r="AO277" s="1">
        <v>3920</v>
      </c>
      <c r="AP277" s="1">
        <v>3880</v>
      </c>
      <c r="AQ277" s="1">
        <v>3890</v>
      </c>
      <c r="AR277" s="1">
        <v>3900</v>
      </c>
      <c r="AS277" s="1">
        <v>3925</v>
      </c>
      <c r="AT277" s="1">
        <v>3970</v>
      </c>
      <c r="AU277" s="1">
        <v>3980</v>
      </c>
      <c r="AV277" s="1">
        <v>3930</v>
      </c>
      <c r="AW277" s="1">
        <v>3890</v>
      </c>
      <c r="AX277" s="1">
        <v>3815</v>
      </c>
      <c r="AY277" s="1">
        <v>3825</v>
      </c>
      <c r="AZ277" s="1">
        <v>3805</v>
      </c>
      <c r="BA277" s="1">
        <v>3795</v>
      </c>
      <c r="BB277" s="1">
        <v>3730</v>
      </c>
      <c r="BC277" s="1">
        <v>3720</v>
      </c>
      <c r="BD277" s="1">
        <v>4195</v>
      </c>
      <c r="BE277" s="1">
        <v>4190</v>
      </c>
      <c r="BF277" s="1">
        <v>4255</v>
      </c>
      <c r="BG277" s="1">
        <v>4170</v>
      </c>
      <c r="BH277" s="1">
        <v>4200</v>
      </c>
      <c r="BI277" s="1">
        <v>4320</v>
      </c>
      <c r="BJ277" s="1">
        <v>4320</v>
      </c>
      <c r="BK277" s="1">
        <v>4285</v>
      </c>
      <c r="BL277" s="1">
        <v>4280</v>
      </c>
    </row>
    <row r="278" spans="1:64">
      <c r="A278" s="77" t="s">
        <v>579</v>
      </c>
      <c r="B278" s="1" t="str">
        <f>銘柄管理!C278</f>
        <v>ゴールドクレスト</v>
      </c>
      <c r="C278" s="1">
        <f>_xll.RssMarket("8871","始値")</f>
        <v>3305</v>
      </c>
      <c r="E278" s="1">
        <v>3305</v>
      </c>
      <c r="F278" s="1">
        <v>3310</v>
      </c>
      <c r="G278" s="1">
        <v>3420</v>
      </c>
      <c r="H278" s="1">
        <v>3305</v>
      </c>
      <c r="I278" s="1">
        <v>3330</v>
      </c>
      <c r="J278" s="1">
        <v>3275</v>
      </c>
      <c r="K278" s="1">
        <v>3250</v>
      </c>
      <c r="L278" s="1">
        <v>3240</v>
      </c>
      <c r="M278" s="1">
        <v>3300</v>
      </c>
      <c r="N278" s="1">
        <v>3400</v>
      </c>
      <c r="O278" s="1">
        <v>3470</v>
      </c>
      <c r="P278" s="1">
        <v>3585</v>
      </c>
      <c r="Q278" s="1">
        <v>3540</v>
      </c>
      <c r="R278" s="1">
        <v>3600</v>
      </c>
      <c r="S278" s="1">
        <v>3505</v>
      </c>
      <c r="T278" s="1">
        <v>3585</v>
      </c>
      <c r="U278" s="1">
        <v>3600</v>
      </c>
      <c r="V278" s="1">
        <v>3660</v>
      </c>
      <c r="W278" s="1">
        <v>3675</v>
      </c>
      <c r="X278" s="1">
        <v>3705</v>
      </c>
      <c r="Y278" s="1">
        <v>3850</v>
      </c>
      <c r="Z278" s="1">
        <v>3285</v>
      </c>
      <c r="AA278" s="1">
        <v>3345</v>
      </c>
      <c r="AB278" s="1">
        <v>3320</v>
      </c>
      <c r="AC278" s="1">
        <v>3305</v>
      </c>
      <c r="AD278" s="1">
        <v>3335</v>
      </c>
      <c r="AE278" s="1">
        <v>3325</v>
      </c>
      <c r="AF278" s="1">
        <v>3325</v>
      </c>
      <c r="AG278" s="1">
        <v>3320</v>
      </c>
      <c r="AH278" s="1">
        <v>3335</v>
      </c>
      <c r="AI278" s="1">
        <v>3290</v>
      </c>
      <c r="AJ278" s="1">
        <v>3320</v>
      </c>
      <c r="AK278" s="1">
        <v>3290</v>
      </c>
      <c r="AL278" s="1">
        <v>3395</v>
      </c>
      <c r="AM278" s="1">
        <v>3440</v>
      </c>
      <c r="AN278" s="1">
        <v>3420</v>
      </c>
      <c r="AO278" s="1">
        <v>3465</v>
      </c>
      <c r="AP278" s="1">
        <v>3480</v>
      </c>
      <c r="AQ278" s="1">
        <v>3440</v>
      </c>
      <c r="AR278" s="1">
        <v>3500</v>
      </c>
      <c r="AS278" s="1">
        <v>3465</v>
      </c>
      <c r="AT278" s="1">
        <v>3500</v>
      </c>
      <c r="AU278" s="1">
        <v>3525</v>
      </c>
      <c r="AV278" s="1">
        <v>3585</v>
      </c>
      <c r="AW278" s="1">
        <v>3435</v>
      </c>
      <c r="AX278" s="1">
        <v>3445</v>
      </c>
      <c r="AY278" s="1">
        <v>3450</v>
      </c>
      <c r="AZ278" s="1">
        <v>3430</v>
      </c>
      <c r="BA278" s="1">
        <v>3380</v>
      </c>
      <c r="BB278" s="1">
        <v>3320</v>
      </c>
      <c r="BC278" s="1">
        <v>3260</v>
      </c>
      <c r="BD278" s="1">
        <v>3350</v>
      </c>
      <c r="BE278" s="1">
        <v>3320</v>
      </c>
      <c r="BF278" s="1">
        <v>3350</v>
      </c>
      <c r="BG278" s="1">
        <v>3320</v>
      </c>
      <c r="BH278" s="1">
        <v>3265</v>
      </c>
      <c r="BI278" s="1">
        <v>3320</v>
      </c>
      <c r="BJ278" s="1">
        <v>3330</v>
      </c>
      <c r="BK278" s="1">
        <v>3325</v>
      </c>
      <c r="BL278" s="1">
        <v>3305</v>
      </c>
    </row>
    <row r="279" spans="1:64">
      <c r="A279" s="77" t="s">
        <v>583</v>
      </c>
      <c r="B279" s="1" t="str">
        <f>銘柄管理!C279</f>
        <v>アバールデータ</v>
      </c>
      <c r="C279" s="1">
        <f>_xll.RssMarket("6918","始値")</f>
        <v>3265</v>
      </c>
      <c r="E279" s="1">
        <v>3265</v>
      </c>
      <c r="F279" s="1">
        <v>3240</v>
      </c>
      <c r="G279" s="1">
        <v>3185</v>
      </c>
      <c r="H279" s="1">
        <v>3095</v>
      </c>
      <c r="I279" s="1">
        <v>2890</v>
      </c>
      <c r="J279" s="1">
        <v>3000</v>
      </c>
      <c r="K279" s="1">
        <v>3075</v>
      </c>
      <c r="L279" s="1">
        <v>3285</v>
      </c>
      <c r="M279" s="1">
        <v>3260</v>
      </c>
      <c r="N279" s="1">
        <v>3430</v>
      </c>
      <c r="O279" s="1">
        <v>3530</v>
      </c>
      <c r="P279" s="1">
        <v>3500</v>
      </c>
      <c r="Q279" s="1">
        <v>3405</v>
      </c>
      <c r="R279" s="1">
        <v>3400</v>
      </c>
      <c r="S279" s="1">
        <v>3405</v>
      </c>
      <c r="T279" s="1">
        <v>3460</v>
      </c>
      <c r="U279" s="1">
        <v>3360</v>
      </c>
      <c r="V279" s="1">
        <v>3525</v>
      </c>
      <c r="W279" s="1">
        <v>3750</v>
      </c>
      <c r="X279" s="1">
        <v>3590</v>
      </c>
      <c r="Y279" s="1">
        <v>3465</v>
      </c>
      <c r="Z279" s="1">
        <v>3635</v>
      </c>
      <c r="AA279" s="1">
        <v>3600</v>
      </c>
      <c r="AB279" s="1">
        <v>3700</v>
      </c>
      <c r="AC279" s="1">
        <v>3375</v>
      </c>
      <c r="AD279" s="1">
        <v>3245</v>
      </c>
      <c r="AE279" s="1">
        <v>3175</v>
      </c>
      <c r="AF279" s="1">
        <v>2912</v>
      </c>
      <c r="AG279" s="1">
        <v>2891</v>
      </c>
      <c r="AH279" s="1">
        <v>2950</v>
      </c>
      <c r="AI279" s="1">
        <v>3025</v>
      </c>
      <c r="AJ279" s="1">
        <v>2986</v>
      </c>
      <c r="AK279" s="1">
        <v>3030</v>
      </c>
      <c r="AL279" s="1">
        <v>3055</v>
      </c>
      <c r="AM279" s="1">
        <v>2907</v>
      </c>
      <c r="AN279" s="1">
        <v>2851</v>
      </c>
      <c r="AO279" s="1">
        <v>2873</v>
      </c>
      <c r="AP279" s="1">
        <v>2819</v>
      </c>
      <c r="AQ279" s="1">
        <v>2896</v>
      </c>
      <c r="AR279" s="1">
        <v>2820</v>
      </c>
      <c r="AS279" s="1">
        <v>2777</v>
      </c>
      <c r="AT279" s="1">
        <v>2727</v>
      </c>
      <c r="AU279" s="1">
        <v>2685</v>
      </c>
      <c r="AV279" s="1">
        <v>2660</v>
      </c>
      <c r="AW279" s="1">
        <v>2603</v>
      </c>
      <c r="AX279" s="1">
        <v>2610</v>
      </c>
      <c r="AY279" s="1">
        <v>2600</v>
      </c>
      <c r="AZ279" s="1">
        <v>2670</v>
      </c>
      <c r="BA279" s="1">
        <v>2620</v>
      </c>
      <c r="BB279" s="1">
        <v>2601</v>
      </c>
      <c r="BC279" s="1">
        <v>2630</v>
      </c>
      <c r="BD279" s="1">
        <v>2778</v>
      </c>
      <c r="BE279" s="1">
        <v>2810</v>
      </c>
      <c r="BF279" s="1">
        <v>2749</v>
      </c>
      <c r="BG279" s="1">
        <v>2694</v>
      </c>
      <c r="BH279" s="1">
        <v>2715</v>
      </c>
      <c r="BI279" s="1">
        <v>2777</v>
      </c>
      <c r="BJ279" s="1">
        <v>2787</v>
      </c>
      <c r="BK279" s="1">
        <v>2808</v>
      </c>
      <c r="BL279" s="1">
        <v>2700</v>
      </c>
    </row>
    <row r="280" spans="1:64">
      <c r="A280" s="77" t="s">
        <v>580</v>
      </c>
      <c r="B280" s="1" t="str">
        <f>銘柄管理!C280</f>
        <v>ヨシタケ</v>
      </c>
      <c r="C280" s="1">
        <f>_xll.RssMarket("6488","始値")</f>
        <v>920</v>
      </c>
      <c r="E280" s="1">
        <v>920</v>
      </c>
      <c r="F280" s="1">
        <v>919</v>
      </c>
      <c r="G280" s="1">
        <v>915</v>
      </c>
      <c r="H280" s="1">
        <v>920</v>
      </c>
      <c r="I280" s="1">
        <v>931</v>
      </c>
      <c r="J280" s="1">
        <v>928</v>
      </c>
      <c r="K280" s="1">
        <v>939</v>
      </c>
      <c r="L280" s="1">
        <v>930</v>
      </c>
      <c r="M280" s="1">
        <v>932</v>
      </c>
      <c r="N280" s="1">
        <v>927</v>
      </c>
      <c r="O280" s="1">
        <v>930</v>
      </c>
      <c r="P280" s="1">
        <v>937</v>
      </c>
      <c r="Q280" s="1">
        <v>943</v>
      </c>
      <c r="R280" s="1">
        <v>960</v>
      </c>
      <c r="S280" s="1">
        <v>972</v>
      </c>
      <c r="T280" s="1">
        <v>970</v>
      </c>
      <c r="U280" s="1">
        <v>967</v>
      </c>
      <c r="V280" s="1">
        <v>966</v>
      </c>
      <c r="W280" s="1">
        <v>988</v>
      </c>
      <c r="X280" s="1">
        <v>995</v>
      </c>
      <c r="Y280" s="1">
        <v>939</v>
      </c>
      <c r="Z280" s="1">
        <v>931</v>
      </c>
      <c r="AA280" s="1">
        <v>940</v>
      </c>
      <c r="AB280" s="1">
        <v>935</v>
      </c>
      <c r="AC280" s="1">
        <v>935</v>
      </c>
      <c r="AD280" s="1">
        <v>932</v>
      </c>
      <c r="AE280" s="1">
        <v>943</v>
      </c>
      <c r="AF280" s="1">
        <v>944</v>
      </c>
      <c r="AG280" s="1">
        <v>935</v>
      </c>
      <c r="AH280" s="1">
        <v>933</v>
      </c>
      <c r="AI280" s="1">
        <v>940</v>
      </c>
      <c r="AJ280" s="1">
        <v>931</v>
      </c>
      <c r="AK280" s="1">
        <v>933</v>
      </c>
      <c r="AL280" s="1">
        <v>953</v>
      </c>
      <c r="AM280" s="1">
        <v>959</v>
      </c>
      <c r="AN280" s="1">
        <v>954</v>
      </c>
      <c r="AO280" s="1">
        <v>930</v>
      </c>
      <c r="AP280" s="1">
        <v>937</v>
      </c>
      <c r="AQ280" s="1">
        <v>944</v>
      </c>
      <c r="AR280" s="1">
        <v>945</v>
      </c>
      <c r="AS280" s="1">
        <v>942</v>
      </c>
      <c r="AT280" s="1">
        <v>948</v>
      </c>
      <c r="AU280" s="1">
        <v>938</v>
      </c>
      <c r="AV280" s="1">
        <v>933</v>
      </c>
      <c r="AW280" s="1">
        <v>938</v>
      </c>
      <c r="AX280" s="1">
        <v>940</v>
      </c>
      <c r="AY280" s="1">
        <v>930</v>
      </c>
      <c r="AZ280" s="1">
        <v>936</v>
      </c>
      <c r="BA280" s="1">
        <v>917</v>
      </c>
      <c r="BB280" s="1">
        <v>904</v>
      </c>
      <c r="BC280" s="1">
        <v>964</v>
      </c>
      <c r="BD280" s="1">
        <v>964</v>
      </c>
      <c r="BE280" s="1">
        <v>953</v>
      </c>
      <c r="BF280" s="1">
        <v>950</v>
      </c>
      <c r="BG280" s="1">
        <v>954</v>
      </c>
      <c r="BH280" s="1">
        <v>965</v>
      </c>
      <c r="BI280" s="1">
        <v>971</v>
      </c>
      <c r="BJ280" s="1">
        <v>972</v>
      </c>
      <c r="BK280" s="1">
        <v>975</v>
      </c>
      <c r="BL280" s="1">
        <v>975</v>
      </c>
    </row>
    <row r="281" spans="1:64">
      <c r="A281" s="77" t="s">
        <v>581</v>
      </c>
      <c r="B281" s="1" t="str">
        <f>銘柄管理!C281</f>
        <v>高島</v>
      </c>
      <c r="C281" s="1">
        <f>_xll.RssMarket("8007","始値")</f>
        <v>754</v>
      </c>
      <c r="E281" s="1">
        <v>754</v>
      </c>
      <c r="F281" s="1">
        <v>765</v>
      </c>
      <c r="G281" s="1">
        <v>748</v>
      </c>
      <c r="H281" s="1">
        <v>741</v>
      </c>
      <c r="I281" s="1">
        <v>740</v>
      </c>
      <c r="J281" s="1">
        <v>741</v>
      </c>
      <c r="K281" s="1">
        <v>727</v>
      </c>
      <c r="L281" s="1">
        <v>733</v>
      </c>
      <c r="M281" s="1">
        <v>731</v>
      </c>
      <c r="N281" s="1">
        <v>726</v>
      </c>
      <c r="O281" s="1">
        <v>727</v>
      </c>
      <c r="P281" s="1">
        <v>763</v>
      </c>
      <c r="Q281" s="1">
        <v>753</v>
      </c>
      <c r="R281" s="1">
        <v>754</v>
      </c>
      <c r="S281" s="1">
        <v>738</v>
      </c>
      <c r="T281" s="1">
        <v>745</v>
      </c>
      <c r="U281" s="1">
        <v>738</v>
      </c>
      <c r="V281" s="1">
        <v>744</v>
      </c>
      <c r="W281" s="1">
        <v>755</v>
      </c>
      <c r="X281" s="1">
        <v>770</v>
      </c>
      <c r="Y281" s="1">
        <v>770</v>
      </c>
      <c r="Z281" s="1">
        <v>696</v>
      </c>
      <c r="AA281" s="1">
        <v>767</v>
      </c>
      <c r="AB281" s="1">
        <v>774</v>
      </c>
      <c r="AC281" s="1">
        <v>780</v>
      </c>
      <c r="AD281" s="1">
        <v>789</v>
      </c>
      <c r="AE281" s="1">
        <v>794</v>
      </c>
      <c r="AF281" s="1">
        <v>788</v>
      </c>
      <c r="AG281" s="1">
        <v>799</v>
      </c>
      <c r="AH281" s="1">
        <v>775</v>
      </c>
      <c r="AI281" s="1">
        <v>770</v>
      </c>
      <c r="AJ281" s="1">
        <v>775</v>
      </c>
      <c r="AK281" s="1">
        <v>774</v>
      </c>
      <c r="AL281" s="1">
        <v>786</v>
      </c>
      <c r="AM281" s="1">
        <v>794</v>
      </c>
      <c r="AN281" s="1">
        <v>804</v>
      </c>
      <c r="AO281" s="1">
        <v>809</v>
      </c>
      <c r="AP281" s="1">
        <v>814</v>
      </c>
      <c r="AQ281" s="1">
        <v>819</v>
      </c>
      <c r="AR281" s="1">
        <v>813</v>
      </c>
      <c r="AS281" s="1">
        <v>814</v>
      </c>
      <c r="AT281" s="1">
        <v>826</v>
      </c>
      <c r="AU281" s="1">
        <v>832</v>
      </c>
      <c r="AV281" s="1">
        <v>826</v>
      </c>
      <c r="AW281" s="1">
        <v>827</v>
      </c>
      <c r="AX281" s="1">
        <v>817</v>
      </c>
      <c r="AY281" s="1">
        <v>818</v>
      </c>
      <c r="AZ281" s="1">
        <v>827</v>
      </c>
      <c r="BA281" s="1">
        <v>823</v>
      </c>
      <c r="BB281" s="1">
        <v>815</v>
      </c>
      <c r="BC281" s="1">
        <v>808</v>
      </c>
      <c r="BD281" s="1">
        <v>849</v>
      </c>
      <c r="BE281" s="1">
        <v>855</v>
      </c>
      <c r="BF281" s="1">
        <v>842</v>
      </c>
      <c r="BG281" s="1">
        <v>831</v>
      </c>
      <c r="BH281" s="1">
        <v>827</v>
      </c>
      <c r="BI281" s="1">
        <v>848</v>
      </c>
      <c r="BJ281" s="1">
        <v>848</v>
      </c>
      <c r="BK281" s="1">
        <v>838</v>
      </c>
      <c r="BL281" s="1">
        <v>845</v>
      </c>
    </row>
    <row r="282" spans="1:64">
      <c r="A282" s="77" t="s">
        <v>582</v>
      </c>
      <c r="B282" s="1" t="str">
        <f>銘柄管理!C282</f>
        <v>ニチバン</v>
      </c>
      <c r="C282" s="1">
        <f>_xll.RssMarket("4218","始値")</f>
        <v>1835</v>
      </c>
      <c r="E282" s="1">
        <v>1835</v>
      </c>
      <c r="F282" s="1">
        <v>1841</v>
      </c>
      <c r="G282" s="1">
        <v>1843</v>
      </c>
      <c r="H282" s="1">
        <v>1829</v>
      </c>
      <c r="I282" s="1">
        <v>1826</v>
      </c>
      <c r="J282" s="1">
        <v>1803</v>
      </c>
      <c r="K282" s="1">
        <v>1801</v>
      </c>
      <c r="L282" s="1">
        <v>1795</v>
      </c>
      <c r="M282" s="1">
        <v>1810</v>
      </c>
      <c r="N282" s="1">
        <v>1792</v>
      </c>
      <c r="O282" s="1">
        <v>1818</v>
      </c>
      <c r="P282" s="1">
        <v>1849</v>
      </c>
      <c r="Q282" s="1">
        <v>1857</v>
      </c>
      <c r="R282" s="1">
        <v>1875</v>
      </c>
      <c r="S282" s="1">
        <v>1874</v>
      </c>
      <c r="T282" s="1">
        <v>1863</v>
      </c>
      <c r="U282" s="1">
        <v>1880</v>
      </c>
      <c r="V282" s="1">
        <v>1878</v>
      </c>
      <c r="W282" s="1">
        <v>1894</v>
      </c>
      <c r="X282" s="1">
        <v>1910</v>
      </c>
      <c r="Y282" s="1">
        <v>1846</v>
      </c>
      <c r="Z282" s="1">
        <v>1823</v>
      </c>
      <c r="AA282" s="1">
        <v>1821</v>
      </c>
      <c r="AB282" s="1">
        <v>1825</v>
      </c>
      <c r="AC282" s="1">
        <v>1841</v>
      </c>
      <c r="AD282" s="1">
        <v>1845</v>
      </c>
      <c r="AE282" s="1">
        <v>1823</v>
      </c>
      <c r="AF282" s="1">
        <v>1825</v>
      </c>
      <c r="AG282" s="1">
        <v>1818</v>
      </c>
      <c r="AH282" s="1">
        <v>1822</v>
      </c>
      <c r="AI282" s="1">
        <v>1842</v>
      </c>
      <c r="AJ282" s="1">
        <v>1855</v>
      </c>
      <c r="AK282" s="1">
        <v>1874</v>
      </c>
      <c r="AL282" s="1">
        <v>1886</v>
      </c>
      <c r="AM282" s="1">
        <v>1898</v>
      </c>
      <c r="AN282" s="1">
        <v>1890</v>
      </c>
      <c r="AO282" s="1">
        <v>1889</v>
      </c>
      <c r="AP282" s="1">
        <v>1882</v>
      </c>
      <c r="AQ282" s="1">
        <v>1892</v>
      </c>
      <c r="AR282" s="1">
        <v>1891</v>
      </c>
      <c r="AS282" s="1">
        <v>1900</v>
      </c>
      <c r="AT282" s="1">
        <v>1910</v>
      </c>
      <c r="AU282" s="1">
        <v>1920</v>
      </c>
      <c r="AV282" s="1">
        <v>1900</v>
      </c>
      <c r="AW282" s="1">
        <v>1889</v>
      </c>
      <c r="AX282" s="1">
        <v>1889</v>
      </c>
      <c r="AY282" s="1">
        <v>1896</v>
      </c>
      <c r="AZ282" s="1">
        <v>1882</v>
      </c>
      <c r="BA282" s="1">
        <v>1871</v>
      </c>
      <c r="BB282" s="1">
        <v>1857</v>
      </c>
      <c r="BC282" s="1">
        <v>1911</v>
      </c>
      <c r="BD282" s="1">
        <v>1913</v>
      </c>
      <c r="BE282" s="1">
        <v>1903</v>
      </c>
      <c r="BF282" s="1">
        <v>1892</v>
      </c>
      <c r="BG282" s="1">
        <v>1890</v>
      </c>
      <c r="BH282" s="1">
        <v>1905</v>
      </c>
      <c r="BI282" s="1">
        <v>1902</v>
      </c>
      <c r="BJ282" s="1">
        <v>1905</v>
      </c>
      <c r="BK282" s="1">
        <v>1900</v>
      </c>
      <c r="BL282" s="1">
        <v>1897</v>
      </c>
    </row>
    <row r="283" spans="1:64">
      <c r="A283" s="77" t="s">
        <v>584</v>
      </c>
      <c r="B283" s="1" t="str">
        <f>銘柄管理!C283</f>
        <v>ＳＣＲＥＥＮホールディングス</v>
      </c>
      <c r="C283" s="1">
        <f>_xll.RssMarket("7735","始値")</f>
        <v>14600</v>
      </c>
      <c r="E283" s="1">
        <v>14600</v>
      </c>
      <c r="F283" s="1">
        <v>14870</v>
      </c>
      <c r="G283" s="1">
        <v>14760</v>
      </c>
      <c r="H283" s="1">
        <v>13805</v>
      </c>
      <c r="I283" s="1">
        <v>12500</v>
      </c>
      <c r="J283" s="1">
        <v>12690</v>
      </c>
      <c r="K283" s="1">
        <v>11370</v>
      </c>
      <c r="L283" s="1">
        <v>13035</v>
      </c>
      <c r="M283" s="1">
        <v>13250</v>
      </c>
      <c r="N283" s="1">
        <v>12815</v>
      </c>
      <c r="O283" s="1">
        <v>11140</v>
      </c>
      <c r="P283" s="1">
        <v>11230</v>
      </c>
      <c r="Q283" s="1">
        <v>11000</v>
      </c>
      <c r="R283" s="1">
        <v>11145</v>
      </c>
      <c r="S283" s="1">
        <v>10820</v>
      </c>
      <c r="T283" s="1">
        <v>10900</v>
      </c>
      <c r="U283" s="1">
        <v>10540</v>
      </c>
      <c r="V283" s="1">
        <v>10900</v>
      </c>
      <c r="W283" s="1">
        <v>11335</v>
      </c>
      <c r="X283" s="1">
        <v>12400</v>
      </c>
      <c r="Y283" s="1">
        <v>12350</v>
      </c>
      <c r="Z283" s="1">
        <v>11090</v>
      </c>
      <c r="AA283" s="1">
        <v>11325</v>
      </c>
      <c r="AB283" s="1">
        <v>11535</v>
      </c>
      <c r="AC283" s="1">
        <v>11080</v>
      </c>
      <c r="AD283" s="1">
        <v>11000</v>
      </c>
      <c r="AE283" s="1">
        <v>10470</v>
      </c>
      <c r="AF283" s="1">
        <v>10350</v>
      </c>
      <c r="AG283" s="1">
        <v>10590</v>
      </c>
      <c r="AH283" s="1">
        <v>10910</v>
      </c>
      <c r="AI283" s="1">
        <v>10390</v>
      </c>
      <c r="AJ283" s="1">
        <v>10715</v>
      </c>
      <c r="AK283" s="1">
        <v>10605</v>
      </c>
      <c r="AL283" s="1">
        <v>10750</v>
      </c>
      <c r="AM283" s="1">
        <v>10570</v>
      </c>
      <c r="AN283" s="1">
        <v>11085</v>
      </c>
      <c r="AO283" s="1">
        <v>10900</v>
      </c>
      <c r="AP283" s="1">
        <v>11365</v>
      </c>
      <c r="AQ283" s="1">
        <v>11060</v>
      </c>
      <c r="AR283" s="1">
        <v>10805</v>
      </c>
      <c r="AS283" s="1">
        <v>10410</v>
      </c>
      <c r="AT283" s="1">
        <v>10140</v>
      </c>
      <c r="AU283" s="1">
        <v>9885</v>
      </c>
      <c r="AV283" s="1">
        <v>9200</v>
      </c>
      <c r="AW283" s="1">
        <v>9295</v>
      </c>
      <c r="AX283" s="1">
        <v>9260</v>
      </c>
      <c r="AY283" s="1">
        <v>9570</v>
      </c>
      <c r="AZ283" s="1">
        <v>9390</v>
      </c>
      <c r="BA283" s="1">
        <v>8700</v>
      </c>
      <c r="BB283" s="1">
        <v>8884</v>
      </c>
      <c r="BC283" s="1">
        <v>9550</v>
      </c>
      <c r="BD283" s="1">
        <v>9967.5</v>
      </c>
      <c r="BE283" s="1">
        <v>9825</v>
      </c>
      <c r="BF283" s="1">
        <v>9820</v>
      </c>
      <c r="BG283" s="1">
        <v>9400</v>
      </c>
      <c r="BH283" s="1">
        <v>9755</v>
      </c>
      <c r="BI283" s="1">
        <v>9950</v>
      </c>
      <c r="BJ283" s="1">
        <v>9867.5</v>
      </c>
      <c r="BK283" s="1">
        <v>9387.5</v>
      </c>
      <c r="BL283" s="1">
        <v>9300</v>
      </c>
    </row>
    <row r="284" spans="1:64">
      <c r="A284" s="77" t="s">
        <v>585</v>
      </c>
      <c r="B284" s="1" t="str">
        <f>銘柄管理!C284</f>
        <v>データセクション</v>
      </c>
      <c r="C284" s="1">
        <f>_xll.RssMarket("3905","始値")</f>
        <v>5000</v>
      </c>
      <c r="E284" s="1">
        <v>5000</v>
      </c>
      <c r="F284" s="1">
        <v>4775</v>
      </c>
      <c r="G284" s="1">
        <v>4790</v>
      </c>
      <c r="H284" s="1">
        <v>4505</v>
      </c>
      <c r="I284" s="1">
        <v>4310</v>
      </c>
      <c r="J284" s="1">
        <v>4460</v>
      </c>
      <c r="K284" s="1">
        <v>4480</v>
      </c>
      <c r="L284" s="1">
        <v>5700</v>
      </c>
      <c r="M284" s="1">
        <v>5060</v>
      </c>
      <c r="N284" s="1">
        <v>4805</v>
      </c>
      <c r="O284" s="1">
        <v>5400</v>
      </c>
      <c r="P284" s="1">
        <v>4335</v>
      </c>
      <c r="Q284" s="1">
        <v>4760</v>
      </c>
      <c r="R284" s="1">
        <v>4800</v>
      </c>
      <c r="S284" s="1">
        <v>4240</v>
      </c>
      <c r="T284" s="1">
        <v>3500</v>
      </c>
      <c r="U284" s="1">
        <v>3135</v>
      </c>
      <c r="V284" s="1">
        <v>3345</v>
      </c>
      <c r="W284" s="1">
        <v>2843</v>
      </c>
      <c r="X284" s="1">
        <v>2213</v>
      </c>
      <c r="Y284" s="1">
        <v>2302</v>
      </c>
      <c r="Z284" s="1">
        <v>2193</v>
      </c>
      <c r="AA284" s="1">
        <v>2336</v>
      </c>
      <c r="AB284" s="1">
        <v>2060</v>
      </c>
      <c r="AC284" s="1">
        <v>1673</v>
      </c>
      <c r="AD284" s="1">
        <v>1524</v>
      </c>
      <c r="AE284" s="1">
        <v>1488</v>
      </c>
      <c r="AF284" s="1">
        <v>1500</v>
      </c>
      <c r="AG284" s="1">
        <v>1461</v>
      </c>
      <c r="AH284" s="1">
        <v>1467</v>
      </c>
      <c r="AI284" s="1">
        <v>1492</v>
      </c>
      <c r="AJ284" s="1">
        <v>1535</v>
      </c>
      <c r="AK284" s="1">
        <v>1551</v>
      </c>
      <c r="AL284" s="1">
        <v>1600</v>
      </c>
      <c r="AM284" s="1">
        <v>1562</v>
      </c>
      <c r="AN284" s="1">
        <v>1584</v>
      </c>
      <c r="AO284" s="1">
        <v>1520</v>
      </c>
      <c r="AP284" s="1">
        <v>1473</v>
      </c>
      <c r="AQ284" s="1">
        <v>1380</v>
      </c>
      <c r="AR284" s="1">
        <v>1346</v>
      </c>
      <c r="AS284" s="1">
        <v>1379</v>
      </c>
      <c r="AT284" s="1">
        <v>1375</v>
      </c>
      <c r="AU284" s="1">
        <v>1363</v>
      </c>
      <c r="AV284" s="1">
        <v>1304</v>
      </c>
      <c r="AW284" s="1">
        <v>1337</v>
      </c>
      <c r="AX284" s="1">
        <v>1361</v>
      </c>
      <c r="AY284" s="1">
        <v>1375</v>
      </c>
      <c r="AZ284" s="1">
        <v>1310</v>
      </c>
      <c r="BA284" s="1">
        <v>1297</v>
      </c>
      <c r="BB284" s="1">
        <v>1303</v>
      </c>
      <c r="BC284" s="1">
        <v>1380</v>
      </c>
      <c r="BD284" s="1">
        <v>1395</v>
      </c>
      <c r="BE284" s="1">
        <v>1336</v>
      </c>
      <c r="BF284" s="1">
        <v>1337</v>
      </c>
      <c r="BG284" s="1">
        <v>1402</v>
      </c>
      <c r="BH284" s="1">
        <v>1517</v>
      </c>
      <c r="BI284" s="1">
        <v>1552</v>
      </c>
      <c r="BJ284" s="1">
        <v>1630</v>
      </c>
      <c r="BK284" s="1">
        <v>1606</v>
      </c>
      <c r="BL284" s="1">
        <v>1650</v>
      </c>
    </row>
    <row r="285" spans="1:64">
      <c r="A285" s="77" t="s">
        <v>586</v>
      </c>
      <c r="B285" s="1" t="str">
        <f>銘柄管理!C285</f>
        <v>トリドールホールディングス</v>
      </c>
      <c r="C285" s="1">
        <f>_xll.RssMarket("3397","始値")</f>
        <v>3728</v>
      </c>
      <c r="E285" s="1">
        <v>3728</v>
      </c>
      <c r="F285" s="1">
        <v>3730</v>
      </c>
      <c r="G285" s="1">
        <v>3819</v>
      </c>
      <c r="H285" s="1">
        <v>3885</v>
      </c>
      <c r="I285" s="1">
        <v>3906</v>
      </c>
      <c r="J285" s="1">
        <v>3771</v>
      </c>
      <c r="K285" s="1">
        <v>3700</v>
      </c>
      <c r="L285" s="1">
        <v>3707</v>
      </c>
      <c r="M285" s="1">
        <v>3819</v>
      </c>
      <c r="N285" s="1">
        <v>3802</v>
      </c>
      <c r="O285" s="1">
        <v>3798</v>
      </c>
      <c r="P285" s="1">
        <v>3795</v>
      </c>
      <c r="Q285" s="1">
        <v>3756</v>
      </c>
      <c r="R285" s="1">
        <v>3661</v>
      </c>
      <c r="S285" s="1">
        <v>3860</v>
      </c>
      <c r="T285" s="1">
        <v>3800</v>
      </c>
      <c r="U285" s="1">
        <v>3889</v>
      </c>
      <c r="V285" s="1">
        <v>3862</v>
      </c>
      <c r="W285" s="1">
        <v>3799</v>
      </c>
      <c r="X285" s="1">
        <v>3799</v>
      </c>
      <c r="Y285" s="1">
        <v>3939</v>
      </c>
      <c r="Z285" s="1">
        <v>3980</v>
      </c>
      <c r="AA285" s="1">
        <v>3963</v>
      </c>
      <c r="AB285" s="1">
        <v>3950</v>
      </c>
      <c r="AC285" s="1">
        <v>3961</v>
      </c>
      <c r="AD285" s="1">
        <v>4025</v>
      </c>
      <c r="AE285" s="1">
        <v>3997</v>
      </c>
      <c r="AF285" s="1">
        <v>4039</v>
      </c>
      <c r="AG285" s="1">
        <v>4061</v>
      </c>
      <c r="AH285" s="1">
        <v>4055</v>
      </c>
      <c r="AI285" s="1">
        <v>4072</v>
      </c>
      <c r="AJ285" s="1">
        <v>4100</v>
      </c>
      <c r="AK285" s="1">
        <v>4121</v>
      </c>
      <c r="AL285" s="1">
        <v>4159</v>
      </c>
      <c r="AM285" s="1">
        <v>4212</v>
      </c>
      <c r="AN285" s="1">
        <v>4182</v>
      </c>
      <c r="AO285" s="1">
        <v>4197</v>
      </c>
      <c r="AP285" s="1">
        <v>4291</v>
      </c>
      <c r="AQ285" s="1">
        <v>4250</v>
      </c>
      <c r="AR285" s="1">
        <v>4251</v>
      </c>
      <c r="AS285" s="1">
        <v>4297</v>
      </c>
      <c r="AT285" s="1">
        <v>4356</v>
      </c>
      <c r="AU285" s="1">
        <v>4494</v>
      </c>
      <c r="AV285" s="1">
        <v>4540</v>
      </c>
      <c r="AW285" s="1">
        <v>4522</v>
      </c>
      <c r="AX285" s="1">
        <v>4541</v>
      </c>
      <c r="AY285" s="1">
        <v>4486</v>
      </c>
      <c r="AZ285" s="1">
        <v>4490</v>
      </c>
      <c r="BA285" s="1">
        <v>4357</v>
      </c>
      <c r="BB285" s="1">
        <v>4346</v>
      </c>
      <c r="BC285" s="1">
        <v>4291</v>
      </c>
      <c r="BD285" s="1">
        <v>4398</v>
      </c>
      <c r="BE285" s="1">
        <v>4394</v>
      </c>
      <c r="BF285" s="1">
        <v>4396</v>
      </c>
      <c r="BG285" s="1">
        <v>4350</v>
      </c>
      <c r="BH285" s="1">
        <v>4343</v>
      </c>
      <c r="BI285" s="1">
        <v>4342</v>
      </c>
      <c r="BJ285" s="1">
        <v>4325</v>
      </c>
      <c r="BK285" s="1">
        <v>4298</v>
      </c>
      <c r="BL285" s="1">
        <v>4305</v>
      </c>
    </row>
    <row r="286" spans="1:64">
      <c r="A286" s="77" t="s">
        <v>587</v>
      </c>
      <c r="B286" s="1" t="str">
        <f>銘柄管理!C286</f>
        <v>ＳＵＢＡＲＵ</v>
      </c>
      <c r="C286" s="1">
        <f>_xll.RssMarket("7270","始値")</f>
        <v>2570</v>
      </c>
      <c r="E286" s="1">
        <v>2570</v>
      </c>
      <c r="F286" s="1">
        <v>2520</v>
      </c>
      <c r="G286" s="1">
        <v>2512.5</v>
      </c>
      <c r="H286" s="1">
        <v>2518.5</v>
      </c>
      <c r="I286" s="1">
        <v>2485.5</v>
      </c>
      <c r="J286" s="1">
        <v>2573</v>
      </c>
      <c r="K286" s="1">
        <v>2462</v>
      </c>
      <c r="L286" s="1">
        <v>2487</v>
      </c>
      <c r="M286" s="1">
        <v>2453</v>
      </c>
      <c r="N286" s="1">
        <v>2440</v>
      </c>
      <c r="O286" s="1">
        <v>2366</v>
      </c>
      <c r="P286" s="1">
        <v>2450</v>
      </c>
      <c r="Q286" s="1">
        <v>2475.5</v>
      </c>
      <c r="R286" s="1">
        <v>2446</v>
      </c>
      <c r="S286" s="1">
        <v>2482.5</v>
      </c>
      <c r="T286" s="1">
        <v>2480</v>
      </c>
      <c r="U286" s="1">
        <v>2453</v>
      </c>
      <c r="V286" s="1">
        <v>2460</v>
      </c>
      <c r="W286" s="1">
        <v>2360</v>
      </c>
      <c r="X286" s="1">
        <v>2417.5</v>
      </c>
      <c r="Y286" s="1">
        <v>2446</v>
      </c>
      <c r="Z286" s="1">
        <v>2346.5</v>
      </c>
      <c r="AA286" s="1">
        <v>2290.5</v>
      </c>
      <c r="AB286" s="1">
        <v>2279.5</v>
      </c>
      <c r="AC286" s="1">
        <v>2330</v>
      </c>
      <c r="AD286" s="1">
        <v>2373.5</v>
      </c>
      <c r="AE286" s="1">
        <v>2371.5</v>
      </c>
      <c r="AF286" s="1">
        <v>2335</v>
      </c>
      <c r="AG286" s="1">
        <v>2371</v>
      </c>
      <c r="AH286" s="1">
        <v>2490</v>
      </c>
      <c r="AI286" s="1">
        <v>2440</v>
      </c>
      <c r="AJ286" s="1">
        <v>2494</v>
      </c>
      <c r="AK286" s="1">
        <v>2498</v>
      </c>
      <c r="AL286" s="1">
        <v>2530.5</v>
      </c>
      <c r="AM286" s="1">
        <v>2549</v>
      </c>
      <c r="AN286" s="1">
        <v>2576</v>
      </c>
      <c r="AO286" s="1">
        <v>2534.5</v>
      </c>
      <c r="AP286" s="1">
        <v>2556</v>
      </c>
      <c r="AQ286" s="1">
        <v>2530</v>
      </c>
      <c r="AR286" s="1">
        <v>2538</v>
      </c>
      <c r="AS286" s="1">
        <v>2511</v>
      </c>
      <c r="AT286" s="1">
        <v>2533.5</v>
      </c>
      <c r="AU286" s="1">
        <v>2582</v>
      </c>
      <c r="AV286" s="1">
        <v>2579</v>
      </c>
      <c r="AW286" s="1">
        <v>2506</v>
      </c>
      <c r="AX286" s="1">
        <v>2544.5</v>
      </c>
      <c r="AY286" s="1">
        <v>2528</v>
      </c>
      <c r="AZ286" s="1">
        <v>2578</v>
      </c>
      <c r="BA286" s="1">
        <v>2569</v>
      </c>
      <c r="BB286" s="1">
        <v>2490</v>
      </c>
      <c r="BC286" s="1">
        <v>2451.5</v>
      </c>
      <c r="BD286" s="1">
        <v>2570</v>
      </c>
      <c r="BE286" s="1">
        <v>2585.5</v>
      </c>
      <c r="BF286" s="1">
        <v>2626.5</v>
      </c>
      <c r="BG286" s="1">
        <v>2546.5</v>
      </c>
      <c r="BH286" s="1">
        <v>2480</v>
      </c>
      <c r="BI286" s="1">
        <v>2569</v>
      </c>
      <c r="BJ286" s="1">
        <v>2590.5</v>
      </c>
      <c r="BK286" s="1">
        <v>2563.5</v>
      </c>
      <c r="BL286" s="1">
        <v>2600</v>
      </c>
    </row>
    <row r="287" spans="1:64">
      <c r="A287" s="77" t="s">
        <v>588</v>
      </c>
      <c r="B287" s="1" t="str">
        <f>銘柄管理!C287</f>
        <v>サン電子</v>
      </c>
      <c r="C287" s="1">
        <f>_xll.RssMarket("6736","始値")</f>
        <v>9250</v>
      </c>
      <c r="E287" s="1">
        <v>9250</v>
      </c>
      <c r="F287" s="1">
        <v>9170</v>
      </c>
      <c r="G287" s="1">
        <v>8840</v>
      </c>
      <c r="H287" s="1">
        <v>8880</v>
      </c>
      <c r="I287" s="1">
        <v>8970</v>
      </c>
      <c r="J287" s="1">
        <v>8600</v>
      </c>
      <c r="K287" s="1">
        <v>8670</v>
      </c>
      <c r="L287" s="1">
        <v>9090</v>
      </c>
      <c r="M287" s="1">
        <v>9250</v>
      </c>
      <c r="N287" s="1">
        <v>9500</v>
      </c>
      <c r="O287" s="1">
        <v>9230</v>
      </c>
      <c r="P287" s="1">
        <v>9100</v>
      </c>
      <c r="Q287" s="1">
        <v>9320</v>
      </c>
      <c r="R287" s="1">
        <v>9330</v>
      </c>
      <c r="S287" s="1">
        <v>9420</v>
      </c>
      <c r="T287" s="1">
        <v>8850</v>
      </c>
      <c r="U287" s="1">
        <v>8940</v>
      </c>
      <c r="V287" s="1">
        <v>9680</v>
      </c>
      <c r="W287" s="1">
        <v>9160</v>
      </c>
      <c r="X287" s="1">
        <v>8760</v>
      </c>
      <c r="Y287" s="1">
        <v>8500</v>
      </c>
      <c r="Z287" s="1">
        <v>8480</v>
      </c>
      <c r="AA287" s="1">
        <v>8920</v>
      </c>
      <c r="AB287" s="1">
        <v>8890</v>
      </c>
      <c r="AC287" s="1">
        <v>8700</v>
      </c>
      <c r="AD287" s="1">
        <v>8610</v>
      </c>
      <c r="AE287" s="1">
        <v>8520</v>
      </c>
      <c r="AF287" s="1">
        <v>8300</v>
      </c>
      <c r="AG287" s="1">
        <v>8190</v>
      </c>
      <c r="AH287" s="1">
        <v>8130</v>
      </c>
      <c r="AI287" s="1">
        <v>7980</v>
      </c>
      <c r="AJ287" s="1">
        <v>8240</v>
      </c>
      <c r="AK287" s="1">
        <v>7950</v>
      </c>
      <c r="AL287" s="1">
        <v>8040</v>
      </c>
      <c r="AM287" s="1">
        <v>8010</v>
      </c>
      <c r="AN287" s="1">
        <v>8160</v>
      </c>
      <c r="AO287" s="1">
        <v>7990</v>
      </c>
      <c r="AP287" s="1">
        <v>7320</v>
      </c>
      <c r="AQ287" s="1">
        <v>7760</v>
      </c>
      <c r="AR287" s="1">
        <v>8110</v>
      </c>
      <c r="AS287" s="1">
        <v>8850</v>
      </c>
      <c r="AT287" s="1">
        <v>9090</v>
      </c>
      <c r="AU287" s="1">
        <v>8510</v>
      </c>
      <c r="AV287" s="1">
        <v>8470</v>
      </c>
      <c r="AW287" s="1">
        <v>8510</v>
      </c>
      <c r="AX287" s="1">
        <v>8390</v>
      </c>
      <c r="AY287" s="1">
        <v>8530</v>
      </c>
      <c r="AZ287" s="1">
        <v>8280</v>
      </c>
      <c r="BA287" s="1">
        <v>8190</v>
      </c>
      <c r="BB287" s="1">
        <v>8140</v>
      </c>
      <c r="BC287" s="1">
        <v>8480</v>
      </c>
      <c r="BD287" s="1">
        <v>8120</v>
      </c>
      <c r="BE287" s="1">
        <v>7830</v>
      </c>
      <c r="BF287" s="1">
        <v>7800</v>
      </c>
      <c r="BG287" s="1">
        <v>7460</v>
      </c>
      <c r="BH287" s="1">
        <v>7820</v>
      </c>
      <c r="BI287" s="1">
        <v>7750</v>
      </c>
      <c r="BJ287" s="1">
        <v>7800</v>
      </c>
      <c r="BK287" s="1">
        <v>7700</v>
      </c>
      <c r="BL287" s="1">
        <v>7420</v>
      </c>
    </row>
    <row r="288" spans="1:64">
      <c r="A288" s="77" t="s">
        <v>589</v>
      </c>
      <c r="B288" s="1" t="str">
        <f>銘柄管理!C288</f>
        <v>紀文食品</v>
      </c>
      <c r="C288" s="1">
        <f>_xll.RssMarket("2933","始値")</f>
        <v>1050</v>
      </c>
      <c r="E288" s="1">
        <v>1050</v>
      </c>
      <c r="F288" s="1">
        <v>1044</v>
      </c>
      <c r="G288" s="1">
        <v>1045</v>
      </c>
      <c r="H288" s="1">
        <v>1048</v>
      </c>
      <c r="I288" s="1">
        <v>1044</v>
      </c>
      <c r="J288" s="1">
        <v>1038</v>
      </c>
      <c r="K288" s="1">
        <v>1028</v>
      </c>
      <c r="L288" s="1">
        <v>1023</v>
      </c>
      <c r="M288" s="1">
        <v>1017</v>
      </c>
      <c r="N288" s="1">
        <v>1027</v>
      </c>
      <c r="O288" s="1">
        <v>1043</v>
      </c>
      <c r="P288" s="1">
        <v>1036</v>
      </c>
      <c r="Q288" s="1">
        <v>1035</v>
      </c>
      <c r="R288" s="1">
        <v>1037</v>
      </c>
      <c r="S288" s="1">
        <v>1046</v>
      </c>
      <c r="T288" s="1">
        <v>1048</v>
      </c>
      <c r="U288" s="1">
        <v>1044</v>
      </c>
      <c r="V288" s="1">
        <v>1043</v>
      </c>
      <c r="W288" s="1">
        <v>1048</v>
      </c>
      <c r="X288" s="1">
        <v>1030</v>
      </c>
      <c r="Y288" s="1">
        <v>1030</v>
      </c>
      <c r="Z288" s="1">
        <v>1033</v>
      </c>
      <c r="AA288" s="1">
        <v>1025</v>
      </c>
      <c r="AB288" s="1">
        <v>1025</v>
      </c>
      <c r="AC288" s="1">
        <v>1032</v>
      </c>
      <c r="AD288" s="1">
        <v>1034</v>
      </c>
      <c r="AE288" s="1">
        <v>1041</v>
      </c>
      <c r="AF288" s="1">
        <v>1025</v>
      </c>
      <c r="AG288" s="1">
        <v>1025</v>
      </c>
      <c r="AH288" s="1">
        <v>1030</v>
      </c>
      <c r="AI288" s="1">
        <v>1044</v>
      </c>
      <c r="AJ288" s="1">
        <v>1040</v>
      </c>
      <c r="AK288" s="1">
        <v>1051</v>
      </c>
      <c r="AL288" s="1">
        <v>1065</v>
      </c>
      <c r="AM288" s="1">
        <v>1065</v>
      </c>
      <c r="AN288" s="1">
        <v>1061</v>
      </c>
      <c r="AO288" s="1">
        <v>1058</v>
      </c>
      <c r="AP288" s="1">
        <v>1051</v>
      </c>
      <c r="AQ288" s="1">
        <v>1057</v>
      </c>
      <c r="AR288" s="1">
        <v>1058</v>
      </c>
      <c r="AS288" s="1">
        <v>1064</v>
      </c>
      <c r="AT288" s="1">
        <v>1065</v>
      </c>
      <c r="AU288" s="1">
        <v>1070</v>
      </c>
      <c r="AV288" s="1">
        <v>1065</v>
      </c>
      <c r="AW288" s="1">
        <v>1056</v>
      </c>
      <c r="AX288" s="1">
        <v>1050</v>
      </c>
      <c r="AY288" s="1">
        <v>1056</v>
      </c>
      <c r="AZ288" s="1">
        <v>1040</v>
      </c>
      <c r="BA288" s="1">
        <v>1035</v>
      </c>
      <c r="BB288" s="1">
        <v>1031</v>
      </c>
      <c r="BC288" s="1">
        <v>1050</v>
      </c>
      <c r="BD288" s="1">
        <v>1055</v>
      </c>
      <c r="BE288" s="1">
        <v>1046</v>
      </c>
      <c r="BF288" s="1">
        <v>1030</v>
      </c>
      <c r="BG288" s="1">
        <v>1038</v>
      </c>
      <c r="BH288" s="1">
        <v>1045</v>
      </c>
      <c r="BI288" s="1">
        <v>1038</v>
      </c>
      <c r="BJ288" s="1">
        <v>1035</v>
      </c>
      <c r="BK288" s="1">
        <v>1033</v>
      </c>
      <c r="BL288" s="1">
        <v>1034</v>
      </c>
    </row>
    <row r="289" spans="1:64">
      <c r="A289" s="77" t="s">
        <v>590</v>
      </c>
      <c r="B289" s="1" t="str">
        <f>銘柄管理!C289</f>
        <v>関東電化</v>
      </c>
      <c r="C289" s="1">
        <f>_xll.RssMarket("4047","始値")</f>
        <v>3750</v>
      </c>
      <c r="E289" s="1">
        <v>3750</v>
      </c>
      <c r="F289" s="1">
        <v>3745</v>
      </c>
      <c r="G289" s="1">
        <v>4030</v>
      </c>
      <c r="H289" s="1">
        <v>4090</v>
      </c>
      <c r="I289" s="1">
        <v>3665</v>
      </c>
      <c r="J289" s="1">
        <v>4050</v>
      </c>
      <c r="K289" s="1">
        <v>3675</v>
      </c>
      <c r="L289" s="1">
        <v>4195</v>
      </c>
      <c r="M289" s="1">
        <v>3705</v>
      </c>
      <c r="N289" s="1">
        <v>3740</v>
      </c>
      <c r="O289" s="1">
        <v>3440</v>
      </c>
      <c r="P289" s="1">
        <v>3605</v>
      </c>
      <c r="Q289" s="1">
        <v>3260</v>
      </c>
      <c r="R289" s="1">
        <v>3540</v>
      </c>
      <c r="S289" s="1">
        <v>3135</v>
      </c>
      <c r="T289" s="1">
        <v>2894</v>
      </c>
      <c r="U289" s="1">
        <v>2750</v>
      </c>
      <c r="V289" s="1">
        <v>2677</v>
      </c>
      <c r="W289" s="1">
        <v>2750</v>
      </c>
      <c r="X289" s="1">
        <v>2550</v>
      </c>
      <c r="Y289" s="1">
        <v>2125</v>
      </c>
      <c r="Z289" s="1">
        <v>2133</v>
      </c>
      <c r="AA289" s="1">
        <v>1975</v>
      </c>
      <c r="AB289" s="1">
        <v>1964</v>
      </c>
      <c r="AC289" s="1">
        <v>1899</v>
      </c>
      <c r="AD289" s="1">
        <v>1800</v>
      </c>
      <c r="AE289" s="1">
        <v>1802</v>
      </c>
      <c r="AF289" s="1">
        <v>1683</v>
      </c>
      <c r="AG289" s="1">
        <v>1660</v>
      </c>
      <c r="AH289" s="1">
        <v>1680</v>
      </c>
      <c r="AI289" s="1">
        <v>1660</v>
      </c>
      <c r="AJ289" s="1">
        <v>1632</v>
      </c>
      <c r="AK289" s="1">
        <v>1650</v>
      </c>
      <c r="AL289" s="1">
        <v>1671</v>
      </c>
      <c r="AM289" s="1">
        <v>1646</v>
      </c>
      <c r="AN289" s="1">
        <v>1625</v>
      </c>
      <c r="AO289" s="1">
        <v>1646</v>
      </c>
      <c r="AP289" s="1">
        <v>1654</v>
      </c>
      <c r="AQ289" s="1">
        <v>1740</v>
      </c>
      <c r="AR289" s="1">
        <v>1666</v>
      </c>
      <c r="AS289" s="1">
        <v>1610</v>
      </c>
      <c r="AT289" s="1">
        <v>1587</v>
      </c>
      <c r="AU289" s="1">
        <v>1602</v>
      </c>
      <c r="AV289" s="1">
        <v>1502</v>
      </c>
      <c r="AW289" s="1">
        <v>1408</v>
      </c>
      <c r="AX289" s="1">
        <v>1343</v>
      </c>
      <c r="AY289" s="1">
        <v>1388</v>
      </c>
      <c r="AZ289" s="1">
        <v>1420</v>
      </c>
      <c r="BA289" s="1">
        <v>1407</v>
      </c>
      <c r="BB289" s="1">
        <v>1359</v>
      </c>
      <c r="BC289" s="1">
        <v>1389</v>
      </c>
      <c r="BD289" s="1">
        <v>1484</v>
      </c>
      <c r="BE289" s="1">
        <v>1510</v>
      </c>
      <c r="BF289" s="1">
        <v>1451</v>
      </c>
      <c r="BG289" s="1">
        <v>1413</v>
      </c>
      <c r="BH289" s="1">
        <v>1393</v>
      </c>
      <c r="BI289" s="1">
        <v>1508</v>
      </c>
      <c r="BJ289" s="1">
        <v>1518</v>
      </c>
      <c r="BK289" s="1">
        <v>1583</v>
      </c>
      <c r="BL289" s="1">
        <v>1539</v>
      </c>
    </row>
    <row r="290" spans="1:64">
      <c r="A290" s="77" t="s">
        <v>591</v>
      </c>
      <c r="B290" s="1" t="str">
        <f>銘柄管理!C290</f>
        <v>ＹＵＳＨＩＮ</v>
      </c>
      <c r="C290" s="1">
        <f>_xll.RssMarket("6482","始値")</f>
        <v>714</v>
      </c>
      <c r="E290" s="1">
        <v>714</v>
      </c>
      <c r="F290" s="1">
        <v>697</v>
      </c>
      <c r="G290" s="1">
        <v>687</v>
      </c>
      <c r="H290" s="1">
        <v>677</v>
      </c>
      <c r="I290" s="1">
        <v>667</v>
      </c>
      <c r="J290" s="1">
        <v>680</v>
      </c>
      <c r="K290" s="1">
        <v>667</v>
      </c>
      <c r="L290" s="1">
        <v>671</v>
      </c>
      <c r="M290" s="1">
        <v>653</v>
      </c>
      <c r="N290" s="1">
        <v>638</v>
      </c>
      <c r="O290" s="1">
        <v>658</v>
      </c>
      <c r="P290" s="1">
        <v>672</v>
      </c>
      <c r="Q290" s="1">
        <v>664</v>
      </c>
      <c r="R290" s="1">
        <v>666</v>
      </c>
      <c r="S290" s="1">
        <v>722</v>
      </c>
      <c r="T290" s="1">
        <v>703</v>
      </c>
      <c r="U290" s="1">
        <v>714</v>
      </c>
      <c r="V290" s="1">
        <v>708</v>
      </c>
      <c r="W290" s="1">
        <v>720</v>
      </c>
      <c r="X290" s="1">
        <v>730</v>
      </c>
      <c r="Y290" s="1">
        <v>755</v>
      </c>
      <c r="Z290" s="1">
        <v>725</v>
      </c>
      <c r="AA290" s="1">
        <v>724</v>
      </c>
      <c r="AB290" s="1">
        <v>713</v>
      </c>
      <c r="AC290" s="1">
        <v>693</v>
      </c>
      <c r="AD290" s="1">
        <v>680</v>
      </c>
      <c r="AE290" s="1">
        <v>685</v>
      </c>
      <c r="AF290" s="1">
        <v>664</v>
      </c>
      <c r="AG290" s="1">
        <v>659</v>
      </c>
      <c r="AH290" s="1">
        <v>662</v>
      </c>
      <c r="AI290" s="1">
        <v>656</v>
      </c>
      <c r="AJ290" s="1">
        <v>667</v>
      </c>
      <c r="AK290" s="1">
        <v>670</v>
      </c>
      <c r="AL290" s="1">
        <v>675</v>
      </c>
      <c r="AM290" s="1">
        <v>678</v>
      </c>
      <c r="AN290" s="1">
        <v>673</v>
      </c>
      <c r="AO290" s="1">
        <v>678</v>
      </c>
      <c r="AP290" s="1">
        <v>685</v>
      </c>
      <c r="AQ290" s="1">
        <v>689</v>
      </c>
      <c r="AR290" s="1">
        <v>678</v>
      </c>
      <c r="AS290" s="1">
        <v>679</v>
      </c>
      <c r="AT290" s="1">
        <v>686</v>
      </c>
      <c r="AU290" s="1">
        <v>698</v>
      </c>
      <c r="AV290" s="1">
        <v>699</v>
      </c>
      <c r="AW290" s="1">
        <v>680</v>
      </c>
      <c r="AX290" s="1">
        <v>671</v>
      </c>
      <c r="AY290" s="1">
        <v>672</v>
      </c>
      <c r="AZ290" s="1">
        <v>678</v>
      </c>
      <c r="BA290" s="1">
        <v>674</v>
      </c>
      <c r="BB290" s="1">
        <v>653</v>
      </c>
      <c r="BC290" s="1">
        <v>672</v>
      </c>
      <c r="BD290" s="1">
        <v>684</v>
      </c>
      <c r="BE290" s="1">
        <v>697</v>
      </c>
      <c r="BF290" s="1">
        <v>689</v>
      </c>
      <c r="BG290" s="1">
        <v>679</v>
      </c>
      <c r="BH290" s="1">
        <v>650</v>
      </c>
      <c r="BI290" s="1">
        <v>708</v>
      </c>
      <c r="BJ290" s="1">
        <v>720</v>
      </c>
      <c r="BK290" s="1">
        <v>701</v>
      </c>
      <c r="BL290" s="1">
        <v>712</v>
      </c>
    </row>
    <row r="291" spans="1:64">
      <c r="A291" s="77" t="s">
        <v>592</v>
      </c>
      <c r="B291" s="1" t="str">
        <f>銘柄管理!C291</f>
        <v>電気興業</v>
      </c>
      <c r="C291" s="1">
        <f>_xll.RssMarket("6706","始値")</f>
        <v>3160</v>
      </c>
      <c r="E291" s="1">
        <v>3160</v>
      </c>
      <c r="F291" s="1">
        <v>3275</v>
      </c>
      <c r="G291" s="1">
        <v>3250</v>
      </c>
      <c r="H291" s="1">
        <v>3200</v>
      </c>
      <c r="I291" s="1">
        <v>3290</v>
      </c>
      <c r="J291" s="1">
        <v>3350</v>
      </c>
      <c r="K291" s="1">
        <v>3360</v>
      </c>
      <c r="L291" s="1">
        <v>3455</v>
      </c>
      <c r="M291" s="1">
        <v>3470</v>
      </c>
      <c r="N291" s="1">
        <v>3485</v>
      </c>
      <c r="O291" s="1">
        <v>3515</v>
      </c>
      <c r="P291" s="1">
        <v>3525</v>
      </c>
      <c r="Q291" s="1">
        <v>3435</v>
      </c>
      <c r="R291" s="1">
        <v>3495</v>
      </c>
      <c r="S291" s="1">
        <v>3455</v>
      </c>
      <c r="T291" s="1">
        <v>3430</v>
      </c>
      <c r="U291" s="1">
        <v>3440</v>
      </c>
      <c r="V291" s="1">
        <v>3430</v>
      </c>
      <c r="W291" s="1">
        <v>3490</v>
      </c>
      <c r="X291" s="1">
        <v>3390</v>
      </c>
      <c r="Y291" s="1">
        <v>3500</v>
      </c>
      <c r="Z291" s="1">
        <v>3485</v>
      </c>
      <c r="AA291" s="1">
        <v>3500</v>
      </c>
      <c r="AB291" s="1">
        <v>3495</v>
      </c>
      <c r="AC291" s="1">
        <v>3455</v>
      </c>
      <c r="AD291" s="1">
        <v>3390</v>
      </c>
      <c r="AE291" s="1">
        <v>3380</v>
      </c>
      <c r="AF291" s="1">
        <v>3305</v>
      </c>
      <c r="AG291" s="1">
        <v>3280</v>
      </c>
      <c r="AH291" s="1">
        <v>3295</v>
      </c>
      <c r="AI291" s="1">
        <v>3325</v>
      </c>
      <c r="AJ291" s="1">
        <v>3325</v>
      </c>
      <c r="AK291" s="1">
        <v>3275</v>
      </c>
      <c r="AL291" s="1">
        <v>3275</v>
      </c>
      <c r="AM291" s="1">
        <v>3300</v>
      </c>
      <c r="AN291" s="1">
        <v>3275</v>
      </c>
      <c r="AO291" s="1">
        <v>3285</v>
      </c>
      <c r="AP291" s="1">
        <v>3305</v>
      </c>
      <c r="AQ291" s="1">
        <v>3250</v>
      </c>
      <c r="AR291" s="1">
        <v>3200</v>
      </c>
      <c r="AS291" s="1">
        <v>3080</v>
      </c>
      <c r="AT291" s="1">
        <v>3095</v>
      </c>
      <c r="AU291" s="1">
        <v>3130</v>
      </c>
      <c r="AV291" s="1">
        <v>3125</v>
      </c>
      <c r="AW291" s="1">
        <v>3050</v>
      </c>
      <c r="AX291" s="1">
        <v>3090</v>
      </c>
      <c r="AY291" s="1">
        <v>3085</v>
      </c>
      <c r="AZ291" s="1">
        <v>3095</v>
      </c>
      <c r="BA291" s="1">
        <v>3030</v>
      </c>
      <c r="BB291" s="1">
        <v>2977</v>
      </c>
      <c r="BC291" s="1">
        <v>2970</v>
      </c>
      <c r="BD291" s="1">
        <v>3045</v>
      </c>
      <c r="BE291" s="1">
        <v>3120</v>
      </c>
      <c r="BF291" s="1">
        <v>3090</v>
      </c>
      <c r="BG291" s="1">
        <v>3100</v>
      </c>
      <c r="BH291" s="1">
        <v>3005</v>
      </c>
      <c r="BI291" s="1">
        <v>3150</v>
      </c>
      <c r="BJ291" s="1">
        <v>3175</v>
      </c>
      <c r="BK291" s="1">
        <v>3225</v>
      </c>
      <c r="BL291" s="1">
        <v>3150</v>
      </c>
    </row>
    <row r="292" spans="1:64">
      <c r="A292" s="77" t="s">
        <v>593</v>
      </c>
      <c r="B292" s="1" t="str">
        <f>銘柄管理!C292</f>
        <v>新光商事</v>
      </c>
      <c r="C292" s="1">
        <f>_xll.RssMarket("8141","始値")</f>
        <v>1581</v>
      </c>
      <c r="E292" s="1">
        <v>1581</v>
      </c>
      <c r="F292" s="1">
        <v>1579</v>
      </c>
      <c r="G292" s="1">
        <v>1580</v>
      </c>
      <c r="H292" s="1">
        <v>1583</v>
      </c>
      <c r="I292" s="1">
        <v>1578</v>
      </c>
      <c r="J292" s="1">
        <v>1581</v>
      </c>
      <c r="K292" s="1">
        <v>1585</v>
      </c>
      <c r="L292" s="1">
        <v>1580</v>
      </c>
      <c r="M292" s="1">
        <v>1578</v>
      </c>
      <c r="N292" s="1">
        <v>1576</v>
      </c>
      <c r="O292" s="1">
        <v>1577</v>
      </c>
      <c r="P292" s="1">
        <v>1583</v>
      </c>
      <c r="Q292" s="1">
        <v>1600</v>
      </c>
      <c r="R292" s="1">
        <v>1610</v>
      </c>
      <c r="S292" s="1">
        <v>1603</v>
      </c>
      <c r="T292" s="1">
        <v>1604</v>
      </c>
      <c r="U292" s="1">
        <v>1604</v>
      </c>
      <c r="V292" s="1">
        <v>1611</v>
      </c>
      <c r="W292" s="1">
        <v>1537</v>
      </c>
      <c r="X292" s="1">
        <v>1576</v>
      </c>
      <c r="Y292" s="1">
        <v>1618</v>
      </c>
      <c r="Z292" s="1">
        <v>1660</v>
      </c>
      <c r="AA292" s="1">
        <v>1732</v>
      </c>
      <c r="AB292" s="1">
        <v>1710</v>
      </c>
      <c r="AC292" s="1">
        <v>1686</v>
      </c>
      <c r="AD292" s="1">
        <v>1615</v>
      </c>
      <c r="AE292" s="1">
        <v>1605</v>
      </c>
      <c r="AF292" s="1">
        <v>1558</v>
      </c>
      <c r="AG292" s="1">
        <v>1538</v>
      </c>
      <c r="AH292" s="1">
        <v>1529</v>
      </c>
      <c r="AI292" s="1">
        <v>1599</v>
      </c>
      <c r="AJ292" s="1">
        <v>1556</v>
      </c>
      <c r="AK292" s="1">
        <v>1554</v>
      </c>
      <c r="AL292" s="1">
        <v>1500</v>
      </c>
      <c r="AM292" s="1">
        <v>1465</v>
      </c>
      <c r="AN292" s="1">
        <v>1443</v>
      </c>
      <c r="AO292" s="1">
        <v>1368</v>
      </c>
      <c r="AP292" s="1">
        <v>1470</v>
      </c>
      <c r="AQ292" s="1">
        <v>1433</v>
      </c>
      <c r="AR292" s="1">
        <v>1410</v>
      </c>
      <c r="AS292" s="1">
        <v>1372</v>
      </c>
      <c r="AT292" s="1">
        <v>1380</v>
      </c>
      <c r="AU292" s="1">
        <v>1310</v>
      </c>
      <c r="AV292" s="1">
        <v>1300</v>
      </c>
      <c r="AW292" s="1">
        <v>1300</v>
      </c>
      <c r="AX292" s="1">
        <v>1266</v>
      </c>
      <c r="AY292" s="1">
        <v>1277</v>
      </c>
      <c r="AZ292" s="1">
        <v>1259</v>
      </c>
      <c r="BA292" s="1">
        <v>1229</v>
      </c>
      <c r="BB292" s="1">
        <v>1184</v>
      </c>
      <c r="BC292" s="1">
        <v>1220</v>
      </c>
      <c r="BD292" s="1">
        <v>1117</v>
      </c>
      <c r="BE292" s="1">
        <v>1100</v>
      </c>
      <c r="BF292" s="1">
        <v>1090</v>
      </c>
      <c r="BG292" s="1">
        <v>1095</v>
      </c>
      <c r="BH292" s="1">
        <v>1110</v>
      </c>
      <c r="BI292" s="1">
        <v>1106</v>
      </c>
      <c r="BJ292" s="1">
        <v>1086</v>
      </c>
      <c r="BK292" s="1">
        <v>1080</v>
      </c>
      <c r="BL292" s="1">
        <v>1069</v>
      </c>
    </row>
    <row r="293" spans="1:64">
      <c r="A293" s="77" t="s">
        <v>594</v>
      </c>
      <c r="B293" s="1" t="str">
        <f>銘柄管理!C293</f>
        <v>山形銀行</v>
      </c>
      <c r="C293" s="1">
        <f>_xll.RssMarket("8344","始値")</f>
        <v>3580</v>
      </c>
      <c r="E293" s="1">
        <v>3580</v>
      </c>
      <c r="F293" s="1">
        <v>3545</v>
      </c>
      <c r="G293" s="1">
        <v>3550</v>
      </c>
      <c r="H293" s="1">
        <v>3405</v>
      </c>
      <c r="I293" s="1">
        <v>3350</v>
      </c>
      <c r="J293" s="1">
        <v>3200</v>
      </c>
      <c r="K293" s="1">
        <v>2982</v>
      </c>
      <c r="L293" s="1">
        <v>3075</v>
      </c>
      <c r="M293" s="1">
        <v>2963</v>
      </c>
      <c r="N293" s="1">
        <v>3055</v>
      </c>
      <c r="O293" s="1">
        <v>3020</v>
      </c>
      <c r="P293" s="1">
        <v>3125</v>
      </c>
      <c r="Q293" s="1">
        <v>3080</v>
      </c>
      <c r="R293" s="1">
        <v>3070</v>
      </c>
      <c r="S293" s="1">
        <v>3025</v>
      </c>
      <c r="T293" s="1">
        <v>3080</v>
      </c>
      <c r="U293" s="1">
        <v>3050</v>
      </c>
      <c r="V293" s="1">
        <v>2955</v>
      </c>
      <c r="W293" s="1">
        <v>2904</v>
      </c>
      <c r="X293" s="1">
        <v>2755</v>
      </c>
      <c r="Y293" s="1">
        <v>2650</v>
      </c>
      <c r="Z293" s="1">
        <v>2615</v>
      </c>
      <c r="AA293" s="1">
        <v>2543</v>
      </c>
      <c r="AB293" s="1">
        <v>2576</v>
      </c>
      <c r="AC293" s="1">
        <v>2514</v>
      </c>
      <c r="AD293" s="1">
        <v>2558</v>
      </c>
      <c r="AE293" s="1">
        <v>2603</v>
      </c>
      <c r="AF293" s="1">
        <v>2537</v>
      </c>
      <c r="AG293" s="1">
        <v>2485</v>
      </c>
      <c r="AH293" s="1">
        <v>2417</v>
      </c>
      <c r="AI293" s="1">
        <v>2391</v>
      </c>
      <c r="AJ293" s="1">
        <v>2476</v>
      </c>
      <c r="AK293" s="1">
        <v>2513</v>
      </c>
      <c r="AL293" s="1">
        <v>2611</v>
      </c>
      <c r="AM293" s="1">
        <v>2733</v>
      </c>
      <c r="AN293" s="1">
        <v>2794</v>
      </c>
      <c r="AO293" s="1">
        <v>2789</v>
      </c>
      <c r="AP293" s="1">
        <v>2752</v>
      </c>
      <c r="AQ293" s="1">
        <v>2720</v>
      </c>
      <c r="AR293" s="1">
        <v>2702</v>
      </c>
      <c r="AS293" s="1">
        <v>2628</v>
      </c>
      <c r="AT293" s="1">
        <v>2700</v>
      </c>
      <c r="AU293" s="1">
        <v>2675</v>
      </c>
      <c r="AV293" s="1">
        <v>2691</v>
      </c>
      <c r="AW293" s="1">
        <v>2560</v>
      </c>
      <c r="AX293" s="1">
        <v>2512</v>
      </c>
      <c r="AY293" s="1">
        <v>2539</v>
      </c>
      <c r="AZ293" s="1">
        <v>2550</v>
      </c>
      <c r="BA293" s="1">
        <v>2473</v>
      </c>
      <c r="BB293" s="1">
        <v>2350</v>
      </c>
      <c r="BC293" s="1">
        <v>2348</v>
      </c>
      <c r="BD293" s="1">
        <v>2454</v>
      </c>
      <c r="BE293" s="1">
        <v>2520</v>
      </c>
      <c r="BF293" s="1">
        <v>2472</v>
      </c>
      <c r="BG293" s="1">
        <v>2370</v>
      </c>
      <c r="BH293" s="1">
        <v>2290</v>
      </c>
      <c r="BI293" s="1">
        <v>2402</v>
      </c>
      <c r="BJ293" s="1">
        <v>2441</v>
      </c>
      <c r="BK293" s="1">
        <v>2434</v>
      </c>
      <c r="BL293" s="1">
        <v>2390</v>
      </c>
    </row>
    <row r="294" spans="1:64">
      <c r="A294" s="77" t="s">
        <v>595</v>
      </c>
      <c r="B294" s="1" t="str">
        <f>銘柄管理!C294</f>
        <v>小野建</v>
      </c>
      <c r="C294" s="1">
        <f>_xll.RssMarket("7414","始値")</f>
        <v>1330</v>
      </c>
      <c r="E294" s="1">
        <v>1330</v>
      </c>
      <c r="F294" s="1">
        <v>1320</v>
      </c>
      <c r="G294" s="1">
        <v>1325</v>
      </c>
      <c r="H294" s="1">
        <v>1314</v>
      </c>
      <c r="I294" s="1">
        <v>1311</v>
      </c>
      <c r="J294" s="1">
        <v>1303</v>
      </c>
      <c r="K294" s="1">
        <v>1325</v>
      </c>
      <c r="L294" s="1">
        <v>1319</v>
      </c>
      <c r="M294" s="1">
        <v>1310</v>
      </c>
      <c r="N294" s="1">
        <v>1299</v>
      </c>
      <c r="O294" s="1">
        <v>1312</v>
      </c>
      <c r="P294" s="1">
        <v>1345</v>
      </c>
      <c r="Q294" s="1">
        <v>1340</v>
      </c>
      <c r="R294" s="1">
        <v>1333</v>
      </c>
      <c r="S294" s="1">
        <v>1325</v>
      </c>
      <c r="T294" s="1">
        <v>1330</v>
      </c>
      <c r="U294" s="1">
        <v>1349</v>
      </c>
      <c r="V294" s="1">
        <v>1348</v>
      </c>
      <c r="W294" s="1">
        <v>1377</v>
      </c>
      <c r="X294" s="1">
        <v>1444</v>
      </c>
      <c r="Y294" s="1">
        <v>1446</v>
      </c>
      <c r="Z294" s="1">
        <v>1440</v>
      </c>
      <c r="AA294" s="1">
        <v>1435</v>
      </c>
      <c r="AB294" s="1">
        <v>1423</v>
      </c>
      <c r="AC294" s="1">
        <v>1442</v>
      </c>
      <c r="AD294" s="1">
        <v>1415</v>
      </c>
      <c r="AE294" s="1">
        <v>1394</v>
      </c>
      <c r="AF294" s="1">
        <v>1394</v>
      </c>
      <c r="AG294" s="1">
        <v>1380</v>
      </c>
      <c r="AH294" s="1">
        <v>1387</v>
      </c>
      <c r="AI294" s="1">
        <v>1374</v>
      </c>
      <c r="AJ294" s="1">
        <v>1385</v>
      </c>
      <c r="AK294" s="1">
        <v>1395</v>
      </c>
      <c r="AL294" s="1">
        <v>1410</v>
      </c>
      <c r="AM294" s="1">
        <v>1403</v>
      </c>
      <c r="AN294" s="1">
        <v>1400</v>
      </c>
      <c r="AO294" s="1">
        <v>1414</v>
      </c>
      <c r="AP294" s="1">
        <v>1415</v>
      </c>
      <c r="AQ294" s="1">
        <v>1418</v>
      </c>
      <c r="AR294" s="1">
        <v>1412</v>
      </c>
      <c r="AS294" s="1">
        <v>1421</v>
      </c>
      <c r="AT294" s="1">
        <v>1430</v>
      </c>
      <c r="AU294" s="1">
        <v>1437</v>
      </c>
      <c r="AV294" s="1">
        <v>1398</v>
      </c>
      <c r="AW294" s="1">
        <v>1395</v>
      </c>
      <c r="AX294" s="1">
        <v>1393</v>
      </c>
      <c r="AY294" s="1">
        <v>1410</v>
      </c>
      <c r="AZ294" s="1">
        <v>1402</v>
      </c>
      <c r="BA294" s="1">
        <v>1386</v>
      </c>
      <c r="BB294" s="1">
        <v>1355</v>
      </c>
      <c r="BC294" s="1">
        <v>1434</v>
      </c>
      <c r="BD294" s="1">
        <v>1447</v>
      </c>
      <c r="BE294" s="1">
        <v>1435</v>
      </c>
      <c r="BF294" s="1">
        <v>1408</v>
      </c>
      <c r="BG294" s="1">
        <v>1408</v>
      </c>
      <c r="BH294" s="1">
        <v>1425</v>
      </c>
      <c r="BI294" s="1">
        <v>1425</v>
      </c>
      <c r="BJ294" s="1">
        <v>1415</v>
      </c>
      <c r="BK294" s="1">
        <v>1420</v>
      </c>
      <c r="BL294" s="1">
        <v>1420</v>
      </c>
    </row>
    <row r="295" spans="1:64">
      <c r="A295" s="77" t="s">
        <v>596</v>
      </c>
      <c r="B295" s="1" t="str">
        <f>銘柄管理!C295</f>
        <v>ＣＫＤ</v>
      </c>
      <c r="C295" s="1">
        <f>_xll.RssMarket("6407","始値")</f>
        <v>7400</v>
      </c>
      <c r="E295" s="1">
        <v>7400</v>
      </c>
      <c r="F295" s="1">
        <v>7470</v>
      </c>
      <c r="G295" s="1">
        <v>7190</v>
      </c>
      <c r="H295" s="1">
        <v>6540</v>
      </c>
      <c r="I295" s="1">
        <v>5890</v>
      </c>
      <c r="J295" s="1">
        <v>6080</v>
      </c>
      <c r="K295" s="1">
        <v>5680</v>
      </c>
      <c r="L295" s="1">
        <v>6300</v>
      </c>
      <c r="M295" s="1">
        <v>6460</v>
      </c>
      <c r="N295" s="1">
        <v>6410</v>
      </c>
      <c r="O295" s="1">
        <v>6320</v>
      </c>
      <c r="P295" s="1">
        <v>6730</v>
      </c>
      <c r="Q295" s="1">
        <v>6460</v>
      </c>
      <c r="R295" s="1">
        <v>6990</v>
      </c>
      <c r="S295" s="1">
        <v>6740</v>
      </c>
      <c r="T295" s="1">
        <v>6960</v>
      </c>
      <c r="U295" s="1">
        <v>6020</v>
      </c>
      <c r="V295" s="1">
        <v>6000</v>
      </c>
      <c r="W295" s="1">
        <v>6030</v>
      </c>
      <c r="X295" s="1">
        <v>6120</v>
      </c>
      <c r="Y295" s="1">
        <v>7300</v>
      </c>
      <c r="Z295" s="1">
        <v>6970</v>
      </c>
      <c r="AA295" s="1">
        <v>6770</v>
      </c>
      <c r="AB295" s="1">
        <v>6880</v>
      </c>
      <c r="AC295" s="1">
        <v>6770</v>
      </c>
      <c r="AD295" s="1">
        <v>6270</v>
      </c>
      <c r="AE295" s="1">
        <v>6830</v>
      </c>
      <c r="AF295" s="1">
        <v>6040</v>
      </c>
      <c r="AG295" s="1">
        <v>5870</v>
      </c>
      <c r="AH295" s="1">
        <v>5790</v>
      </c>
      <c r="AI295" s="1">
        <v>5500</v>
      </c>
      <c r="AJ295" s="1">
        <v>5450</v>
      </c>
      <c r="AK295" s="1">
        <v>5750</v>
      </c>
      <c r="AL295" s="1">
        <v>5710</v>
      </c>
      <c r="AM295" s="1">
        <v>5660</v>
      </c>
      <c r="AN295" s="1">
        <v>5610</v>
      </c>
      <c r="AO295" s="1">
        <v>5670</v>
      </c>
      <c r="AP295" s="1">
        <v>5550</v>
      </c>
      <c r="AQ295" s="1">
        <v>5830</v>
      </c>
      <c r="AR295" s="1">
        <v>5750</v>
      </c>
      <c r="AS295" s="1">
        <v>5540</v>
      </c>
      <c r="AT295" s="1">
        <v>5420</v>
      </c>
      <c r="AU295" s="1">
        <v>5080</v>
      </c>
      <c r="AV295" s="1">
        <v>5200</v>
      </c>
      <c r="AW295" s="1">
        <v>4920</v>
      </c>
      <c r="AX295" s="1">
        <v>4965</v>
      </c>
      <c r="AY295" s="1">
        <v>4800</v>
      </c>
      <c r="AZ295" s="1">
        <v>4830</v>
      </c>
      <c r="BA295" s="1">
        <v>4670</v>
      </c>
      <c r="BB295" s="1">
        <v>4110</v>
      </c>
      <c r="BC295" s="1">
        <v>4110</v>
      </c>
      <c r="BD295" s="1">
        <v>4365</v>
      </c>
      <c r="BE295" s="1">
        <v>4685</v>
      </c>
      <c r="BF295" s="1">
        <v>4890</v>
      </c>
      <c r="BG295" s="1">
        <v>4350</v>
      </c>
      <c r="BH295" s="1">
        <v>4195</v>
      </c>
      <c r="BI295" s="1">
        <v>4570</v>
      </c>
      <c r="BJ295" s="1">
        <v>4500</v>
      </c>
      <c r="BK295" s="1">
        <v>4515</v>
      </c>
      <c r="BL295" s="1">
        <v>4340</v>
      </c>
    </row>
    <row r="296" spans="1:64">
      <c r="A296" s="77" t="s">
        <v>597</v>
      </c>
      <c r="B296" s="1" t="str">
        <f>銘柄管理!C296</f>
        <v>ベルトラ</v>
      </c>
      <c r="C296" s="1">
        <f>_xll.RssMarket("7048","始値")</f>
        <v>124</v>
      </c>
      <c r="E296" s="1">
        <v>124</v>
      </c>
      <c r="F296" s="1">
        <v>127</v>
      </c>
      <c r="G296" s="1">
        <v>121</v>
      </c>
      <c r="H296" s="1">
        <v>116</v>
      </c>
      <c r="I296" s="1">
        <v>120</v>
      </c>
      <c r="J296" s="1">
        <v>122</v>
      </c>
      <c r="K296" s="1">
        <v>128</v>
      </c>
      <c r="L296" s="1">
        <v>133</v>
      </c>
      <c r="M296" s="1">
        <v>127</v>
      </c>
      <c r="N296" s="1">
        <v>130</v>
      </c>
      <c r="O296" s="1">
        <v>129</v>
      </c>
      <c r="P296" s="1">
        <v>130</v>
      </c>
      <c r="Q296" s="1">
        <v>133</v>
      </c>
      <c r="R296" s="1">
        <v>136</v>
      </c>
      <c r="S296" s="1">
        <v>143</v>
      </c>
      <c r="T296" s="1">
        <v>142</v>
      </c>
      <c r="U296" s="1">
        <v>144</v>
      </c>
      <c r="V296" s="1">
        <v>147</v>
      </c>
      <c r="W296" s="1">
        <v>145</v>
      </c>
      <c r="X296" s="1">
        <v>145</v>
      </c>
      <c r="Y296" s="1">
        <v>154</v>
      </c>
      <c r="Z296" s="1">
        <v>161</v>
      </c>
      <c r="AA296" s="1">
        <v>164</v>
      </c>
      <c r="AB296" s="1">
        <v>162</v>
      </c>
      <c r="AC296" s="1">
        <v>165</v>
      </c>
      <c r="AD296" s="1">
        <v>162</v>
      </c>
      <c r="AE296" s="1">
        <v>163</v>
      </c>
      <c r="AF296" s="1">
        <v>160</v>
      </c>
      <c r="AG296" s="1">
        <v>162</v>
      </c>
      <c r="AH296" s="1">
        <v>165</v>
      </c>
      <c r="AI296" s="1">
        <v>163</v>
      </c>
      <c r="AJ296" s="1">
        <v>166</v>
      </c>
      <c r="AK296" s="1">
        <v>171</v>
      </c>
      <c r="AL296" s="1">
        <v>178</v>
      </c>
      <c r="AM296" s="1">
        <v>186</v>
      </c>
      <c r="AN296" s="1">
        <v>190</v>
      </c>
      <c r="AO296" s="1">
        <v>189</v>
      </c>
      <c r="AP296" s="1">
        <v>178</v>
      </c>
      <c r="AQ296" s="1">
        <v>176</v>
      </c>
      <c r="AR296" s="1">
        <v>175</v>
      </c>
      <c r="AS296" s="1">
        <v>171</v>
      </c>
      <c r="AT296" s="1">
        <v>178</v>
      </c>
      <c r="AU296" s="1">
        <v>190</v>
      </c>
      <c r="AV296" s="1">
        <v>182</v>
      </c>
      <c r="AW296" s="1">
        <v>179</v>
      </c>
      <c r="AX296" s="1">
        <v>178</v>
      </c>
      <c r="AY296" s="1">
        <v>179</v>
      </c>
      <c r="AZ296" s="1">
        <v>183</v>
      </c>
      <c r="BA296" s="1">
        <v>177</v>
      </c>
      <c r="BB296" s="1">
        <v>172</v>
      </c>
      <c r="BC296" s="1">
        <v>173</v>
      </c>
      <c r="BD296" s="1">
        <v>175</v>
      </c>
      <c r="BE296" s="1">
        <v>185</v>
      </c>
      <c r="BF296" s="1">
        <v>183</v>
      </c>
      <c r="BG296" s="1">
        <v>179</v>
      </c>
      <c r="BH296" s="1">
        <v>177</v>
      </c>
      <c r="BI296" s="1">
        <v>188</v>
      </c>
      <c r="BJ296" s="1">
        <v>188</v>
      </c>
      <c r="BK296" s="1">
        <v>188</v>
      </c>
      <c r="BL296" s="1">
        <v>185</v>
      </c>
    </row>
    <row r="297" spans="1:64">
      <c r="A297" s="77" t="s">
        <v>598</v>
      </c>
      <c r="B297" s="1" t="str">
        <f>銘柄管理!C297</f>
        <v>長谷工コーポレーシヨン</v>
      </c>
      <c r="C297" s="1">
        <f>_xll.RssMarket("1808","始値")</f>
        <v>2730</v>
      </c>
      <c r="E297" s="1">
        <v>2730</v>
      </c>
      <c r="F297" s="1">
        <v>2708.5</v>
      </c>
      <c r="G297" s="1">
        <v>2700</v>
      </c>
      <c r="H297" s="1">
        <v>2766.5</v>
      </c>
      <c r="I297" s="1">
        <v>2745</v>
      </c>
      <c r="J297" s="1">
        <v>2707.5</v>
      </c>
      <c r="K297" s="1">
        <v>2645.5</v>
      </c>
      <c r="L297" s="1">
        <v>2643</v>
      </c>
      <c r="M297" s="1">
        <v>2599.5</v>
      </c>
      <c r="N297" s="1">
        <v>2620</v>
      </c>
      <c r="O297" s="1">
        <v>2624</v>
      </c>
      <c r="P297" s="1">
        <v>2700</v>
      </c>
      <c r="Q297" s="1">
        <v>2717</v>
      </c>
      <c r="R297" s="1">
        <v>2693</v>
      </c>
      <c r="S297" s="1">
        <v>2679</v>
      </c>
      <c r="T297" s="1">
        <v>2730</v>
      </c>
      <c r="U297" s="1">
        <v>2715</v>
      </c>
      <c r="V297" s="1">
        <v>2790</v>
      </c>
      <c r="W297" s="1">
        <v>2840</v>
      </c>
      <c r="X297" s="1">
        <v>2881</v>
      </c>
      <c r="Y297" s="1">
        <v>2695</v>
      </c>
      <c r="Z297" s="1">
        <v>2790</v>
      </c>
      <c r="AA297" s="1">
        <v>2808.5</v>
      </c>
      <c r="AB297" s="1">
        <v>2771</v>
      </c>
      <c r="AC297" s="1">
        <v>2745</v>
      </c>
      <c r="AD297" s="1">
        <v>2757</v>
      </c>
      <c r="AE297" s="1">
        <v>2743.5</v>
      </c>
      <c r="AF297" s="1">
        <v>2700.5</v>
      </c>
      <c r="AG297" s="1">
        <v>2778</v>
      </c>
      <c r="AH297" s="1">
        <v>2750</v>
      </c>
      <c r="AI297" s="1">
        <v>2670</v>
      </c>
      <c r="AJ297" s="1">
        <v>2713.5</v>
      </c>
      <c r="AK297" s="1">
        <v>2724.5</v>
      </c>
      <c r="AL297" s="1">
        <v>2749</v>
      </c>
      <c r="AM297" s="1">
        <v>2815</v>
      </c>
      <c r="AN297" s="1">
        <v>2766.5</v>
      </c>
      <c r="AO297" s="1">
        <v>2761.5</v>
      </c>
      <c r="AP297" s="1">
        <v>2760</v>
      </c>
      <c r="AQ297" s="1">
        <v>2736.5</v>
      </c>
      <c r="AR297" s="1">
        <v>2866.5</v>
      </c>
      <c r="AS297" s="1">
        <v>2890</v>
      </c>
      <c r="AT297" s="1">
        <v>2922</v>
      </c>
      <c r="AU297" s="1">
        <v>2999</v>
      </c>
      <c r="AV297" s="1">
        <v>2988.5</v>
      </c>
      <c r="AW297" s="1">
        <v>2923</v>
      </c>
      <c r="AX297" s="1">
        <v>2917.5</v>
      </c>
      <c r="AY297" s="1">
        <v>2956.5</v>
      </c>
      <c r="AZ297" s="1">
        <v>2991.5</v>
      </c>
      <c r="BA297" s="1">
        <v>2935.5</v>
      </c>
      <c r="BB297" s="1">
        <v>2867</v>
      </c>
      <c r="BC297" s="1">
        <v>2840</v>
      </c>
      <c r="BD297" s="1">
        <v>2999.5</v>
      </c>
      <c r="BE297" s="1">
        <v>2985</v>
      </c>
      <c r="BF297" s="1">
        <v>2970</v>
      </c>
      <c r="BG297" s="1">
        <v>2910</v>
      </c>
      <c r="BH297" s="1">
        <v>2880</v>
      </c>
      <c r="BI297" s="1">
        <v>2982.5</v>
      </c>
      <c r="BJ297" s="1">
        <v>3022</v>
      </c>
      <c r="BK297" s="1">
        <v>3013</v>
      </c>
      <c r="BL297" s="1">
        <v>3010</v>
      </c>
    </row>
    <row r="298" spans="1:64">
      <c r="A298" s="77" t="s">
        <v>770</v>
      </c>
      <c r="B298" s="1" t="str">
        <f>銘柄管理!C298</f>
        <v>ＵＢＥ</v>
      </c>
      <c r="C298" s="1">
        <f>_xll.RssMarket("4208","始値")</f>
        <v>3197</v>
      </c>
      <c r="E298" s="1">
        <v>3197</v>
      </c>
      <c r="F298" s="1">
        <v>3240</v>
      </c>
      <c r="G298" s="1">
        <v>3125</v>
      </c>
      <c r="H298" s="1">
        <v>3036</v>
      </c>
      <c r="I298" s="1">
        <v>2993</v>
      </c>
      <c r="J298" s="1">
        <v>2973.5</v>
      </c>
      <c r="K298" s="1">
        <v>2905</v>
      </c>
      <c r="L298" s="1">
        <v>2939</v>
      </c>
      <c r="M298" s="1">
        <v>2992</v>
      </c>
      <c r="N298" s="1">
        <v>2964.5</v>
      </c>
      <c r="O298" s="1">
        <v>2900.5</v>
      </c>
      <c r="P298" s="1">
        <v>2950</v>
      </c>
      <c r="Q298" s="1">
        <v>2980</v>
      </c>
      <c r="R298" s="1">
        <v>3030</v>
      </c>
      <c r="S298" s="1">
        <v>3000</v>
      </c>
      <c r="T298" s="1">
        <v>3045</v>
      </c>
      <c r="U298" s="1">
        <v>2940.5</v>
      </c>
      <c r="V298" s="1">
        <v>2688</v>
      </c>
      <c r="W298" s="1">
        <v>2424.5</v>
      </c>
      <c r="X298" s="1">
        <v>2416.5</v>
      </c>
      <c r="Y298" s="1">
        <v>2450</v>
      </c>
      <c r="Z298" s="1">
        <v>2478</v>
      </c>
      <c r="AA298" s="1">
        <v>2338</v>
      </c>
      <c r="AB298" s="1">
        <v>2357</v>
      </c>
      <c r="AC298" s="1">
        <v>2386.5</v>
      </c>
      <c r="AD298" s="1">
        <v>2395</v>
      </c>
      <c r="AE298" s="1">
        <v>2403</v>
      </c>
      <c r="AF298" s="1">
        <v>2360</v>
      </c>
      <c r="AG298" s="1">
        <v>2344</v>
      </c>
      <c r="AH298" s="1">
        <v>2368</v>
      </c>
      <c r="AI298" s="1">
        <v>2351</v>
      </c>
      <c r="AJ298" s="1">
        <v>2367</v>
      </c>
      <c r="AK298" s="1">
        <v>2363</v>
      </c>
      <c r="AL298" s="1">
        <v>2409</v>
      </c>
      <c r="AM298" s="1">
        <v>2425</v>
      </c>
      <c r="AN298" s="1">
        <v>2444.5</v>
      </c>
      <c r="AO298" s="1">
        <v>2438</v>
      </c>
      <c r="AP298" s="1">
        <v>2425.5</v>
      </c>
      <c r="AQ298" s="1">
        <v>2411</v>
      </c>
      <c r="AR298" s="1">
        <v>2424.5</v>
      </c>
      <c r="AS298" s="1">
        <v>2434</v>
      </c>
      <c r="AT298" s="1">
        <v>2473.5</v>
      </c>
      <c r="AU298" s="1">
        <v>2518</v>
      </c>
      <c r="AV298" s="1">
        <v>2527</v>
      </c>
      <c r="AW298" s="1">
        <v>2451</v>
      </c>
      <c r="AX298" s="1">
        <v>2478</v>
      </c>
      <c r="AY298" s="1">
        <v>2454.5</v>
      </c>
      <c r="AZ298" s="1">
        <v>2502</v>
      </c>
      <c r="BA298" s="1">
        <v>2481</v>
      </c>
      <c r="BB298" s="1">
        <v>2430</v>
      </c>
      <c r="BC298" s="1">
        <v>2393</v>
      </c>
      <c r="BD298" s="1">
        <v>2520</v>
      </c>
      <c r="BE298" s="1">
        <v>2538</v>
      </c>
      <c r="BF298" s="1">
        <v>2535</v>
      </c>
      <c r="BG298" s="1">
        <v>2490</v>
      </c>
      <c r="BH298" s="1">
        <v>2440</v>
      </c>
      <c r="BI298" s="1">
        <v>2551</v>
      </c>
      <c r="BJ298" s="1">
        <v>2562</v>
      </c>
      <c r="BK298" s="1">
        <v>2543</v>
      </c>
      <c r="BL298" s="1">
        <v>2533</v>
      </c>
    </row>
    <row r="299" spans="1:64">
      <c r="A299" s="77" t="s">
        <v>772</v>
      </c>
      <c r="B299" s="1" t="str">
        <f>銘柄管理!C299</f>
        <v>アストロスケールホールディンク</v>
      </c>
      <c r="C299" s="1">
        <f>_xll.RssMarket("186A","始値")</f>
        <v>1450</v>
      </c>
      <c r="E299" s="1">
        <v>1450</v>
      </c>
      <c r="F299" s="1">
        <v>1465</v>
      </c>
      <c r="G299" s="1">
        <v>1676</v>
      </c>
      <c r="H299" s="1">
        <v>1956</v>
      </c>
      <c r="I299" s="1">
        <v>1710</v>
      </c>
      <c r="J299" s="1">
        <v>1806</v>
      </c>
      <c r="K299" s="1">
        <v>1922</v>
      </c>
      <c r="L299" s="1">
        <v>2085</v>
      </c>
      <c r="M299" s="1">
        <v>1955</v>
      </c>
      <c r="N299" s="1">
        <v>2195</v>
      </c>
      <c r="O299" s="1">
        <v>2101</v>
      </c>
      <c r="P299" s="1">
        <v>2868</v>
      </c>
      <c r="Q299" s="1">
        <v>2644</v>
      </c>
      <c r="R299" s="1">
        <v>3000</v>
      </c>
      <c r="S299" s="1">
        <v>2639</v>
      </c>
      <c r="T299" s="1">
        <v>1992</v>
      </c>
      <c r="U299" s="1">
        <v>2050</v>
      </c>
      <c r="V299" s="1">
        <v>2065</v>
      </c>
      <c r="W299" s="1">
        <v>1932</v>
      </c>
      <c r="X299" s="1">
        <v>2100</v>
      </c>
      <c r="Y299" s="1">
        <v>1900</v>
      </c>
      <c r="Z299" s="1">
        <v>1864</v>
      </c>
      <c r="AA299" s="1">
        <v>1737</v>
      </c>
      <c r="AB299" s="1">
        <v>1796</v>
      </c>
      <c r="AC299" s="1">
        <v>1730</v>
      </c>
      <c r="AD299" s="1">
        <v>1413</v>
      </c>
      <c r="AE299" s="1">
        <v>1373</v>
      </c>
      <c r="AF299" s="1">
        <v>1263</v>
      </c>
      <c r="AG299" s="1">
        <v>1282</v>
      </c>
      <c r="AH299" s="1">
        <v>1221</v>
      </c>
      <c r="AI299" s="1">
        <v>1317</v>
      </c>
      <c r="AJ299" s="1">
        <v>1400</v>
      </c>
      <c r="AK299" s="1">
        <v>1454</v>
      </c>
      <c r="AL299" s="1">
        <v>1458</v>
      </c>
      <c r="AM299" s="1">
        <v>1489</v>
      </c>
      <c r="AN299" s="1">
        <v>1366</v>
      </c>
      <c r="AO299" s="1">
        <v>1410</v>
      </c>
      <c r="AP299" s="1">
        <v>1365</v>
      </c>
      <c r="AQ299" s="1">
        <v>1403</v>
      </c>
      <c r="AR299" s="1">
        <v>1363</v>
      </c>
      <c r="AS299" s="1">
        <v>1301</v>
      </c>
      <c r="AT299" s="1">
        <v>1250</v>
      </c>
      <c r="AU299" s="1">
        <v>1180</v>
      </c>
      <c r="AV299" s="1">
        <v>1118</v>
      </c>
      <c r="AW299" s="1">
        <v>1081</v>
      </c>
      <c r="AX299" s="1">
        <v>1041</v>
      </c>
      <c r="AY299" s="1">
        <v>1071</v>
      </c>
      <c r="AZ299" s="1">
        <v>1013</v>
      </c>
      <c r="BA299" s="1">
        <v>919</v>
      </c>
      <c r="BB299" s="1">
        <v>900</v>
      </c>
      <c r="BC299" s="1">
        <v>929</v>
      </c>
      <c r="BD299" s="1">
        <v>985</v>
      </c>
      <c r="BE299" s="1">
        <v>1043</v>
      </c>
      <c r="BF299" s="1">
        <v>1011</v>
      </c>
      <c r="BG299" s="1">
        <v>1030</v>
      </c>
      <c r="BH299" s="1">
        <v>1038</v>
      </c>
      <c r="BI299" s="1">
        <v>1192</v>
      </c>
      <c r="BJ299" s="1">
        <v>1165</v>
      </c>
      <c r="BK299" s="1">
        <v>1112</v>
      </c>
      <c r="BL299" s="1">
        <v>1083</v>
      </c>
    </row>
    <row r="300" spans="1:64">
      <c r="A300" s="77" t="s">
        <v>773</v>
      </c>
      <c r="B300" s="1" t="str">
        <f>銘柄管理!C300</f>
        <v>浜松ホトニクス</v>
      </c>
      <c r="C300" s="1">
        <f>_xll.RssMarket("6965","始値")</f>
        <v>2634.5</v>
      </c>
      <c r="E300" s="1">
        <v>2634.5</v>
      </c>
      <c r="F300" s="1">
        <v>2653</v>
      </c>
      <c r="G300" s="1">
        <v>2565.5</v>
      </c>
      <c r="H300" s="1">
        <v>2487.5</v>
      </c>
      <c r="I300" s="1">
        <v>2288</v>
      </c>
      <c r="J300" s="1">
        <v>2502</v>
      </c>
      <c r="K300" s="1">
        <v>2614</v>
      </c>
      <c r="L300" s="1">
        <v>2891.5</v>
      </c>
      <c r="M300" s="1">
        <v>2827.5</v>
      </c>
      <c r="N300" s="1">
        <v>2879</v>
      </c>
      <c r="O300" s="1">
        <v>2854.5</v>
      </c>
      <c r="P300" s="1">
        <v>2873</v>
      </c>
      <c r="Q300" s="1">
        <v>2686.5</v>
      </c>
      <c r="R300" s="1">
        <v>2937</v>
      </c>
      <c r="S300" s="1">
        <v>2995</v>
      </c>
      <c r="T300" s="1">
        <v>2731.5</v>
      </c>
      <c r="U300" s="1">
        <v>2703</v>
      </c>
      <c r="V300" s="1">
        <v>2637.5</v>
      </c>
      <c r="W300" s="1">
        <v>2785</v>
      </c>
      <c r="X300" s="1">
        <v>2756.5</v>
      </c>
      <c r="Y300" s="1">
        <v>2600</v>
      </c>
      <c r="Z300" s="1">
        <v>2173</v>
      </c>
      <c r="AA300" s="1">
        <v>2110</v>
      </c>
      <c r="AB300" s="1">
        <v>2192</v>
      </c>
      <c r="AC300" s="1">
        <v>2243</v>
      </c>
      <c r="AD300" s="1">
        <v>2119</v>
      </c>
      <c r="AE300" s="1">
        <v>2041</v>
      </c>
      <c r="AF300" s="1">
        <v>2019</v>
      </c>
      <c r="AG300" s="1">
        <v>2002.5</v>
      </c>
      <c r="AH300" s="1">
        <v>2036</v>
      </c>
      <c r="AI300" s="1">
        <v>1949</v>
      </c>
      <c r="AJ300" s="1">
        <v>1941</v>
      </c>
      <c r="AK300" s="1">
        <v>1946</v>
      </c>
      <c r="AL300" s="1">
        <v>1947</v>
      </c>
      <c r="AM300" s="1">
        <v>1955</v>
      </c>
      <c r="AN300" s="1">
        <v>1934.5</v>
      </c>
      <c r="AO300" s="1">
        <v>1990</v>
      </c>
      <c r="AP300" s="1">
        <v>1910</v>
      </c>
      <c r="AQ300" s="1">
        <v>1953.5</v>
      </c>
      <c r="AR300" s="1">
        <v>1970</v>
      </c>
      <c r="AS300" s="1">
        <v>1921</v>
      </c>
      <c r="AT300" s="1">
        <v>1954</v>
      </c>
      <c r="AU300" s="1">
        <v>1950</v>
      </c>
      <c r="AV300" s="1">
        <v>1905</v>
      </c>
      <c r="AW300" s="1">
        <v>1860</v>
      </c>
      <c r="AX300" s="1">
        <v>1878</v>
      </c>
      <c r="AY300" s="1">
        <v>1863</v>
      </c>
      <c r="AZ300" s="1">
        <v>1880</v>
      </c>
      <c r="BA300" s="1">
        <v>1840</v>
      </c>
      <c r="BB300" s="1">
        <v>1783</v>
      </c>
      <c r="BC300" s="1">
        <v>1810</v>
      </c>
      <c r="BD300" s="1">
        <v>1962</v>
      </c>
      <c r="BE300" s="1">
        <v>2000</v>
      </c>
      <c r="BF300" s="1">
        <v>1924</v>
      </c>
      <c r="BG300" s="1">
        <v>1830</v>
      </c>
      <c r="BH300" s="1">
        <v>1820.5</v>
      </c>
      <c r="BI300" s="1">
        <v>1919</v>
      </c>
      <c r="BJ300" s="1">
        <v>1997</v>
      </c>
      <c r="BK300" s="1">
        <v>2100</v>
      </c>
      <c r="BL300" s="1">
        <v>2071.5</v>
      </c>
    </row>
    <row r="301" spans="1:64">
      <c r="A301" s="77" t="s">
        <v>793</v>
      </c>
      <c r="B301" s="1" t="str">
        <f>銘柄管理!C301</f>
        <v>三菱化工機</v>
      </c>
      <c r="C301" s="1">
        <f>_xll.RssMarket("6331","始値")</f>
        <v>3900</v>
      </c>
      <c r="E301" s="1">
        <v>3900</v>
      </c>
      <c r="F301" s="1">
        <v>3840</v>
      </c>
      <c r="G301" s="1">
        <v>3795</v>
      </c>
      <c r="H301" s="1">
        <v>3680</v>
      </c>
      <c r="I301" s="1">
        <v>3555</v>
      </c>
      <c r="J301" s="1">
        <v>3500</v>
      </c>
      <c r="K301" s="1">
        <v>3470</v>
      </c>
      <c r="L301" s="1">
        <v>3465</v>
      </c>
      <c r="M301" s="1">
        <v>3655</v>
      </c>
      <c r="N301" s="1">
        <v>3455</v>
      </c>
      <c r="O301" s="1">
        <v>3450</v>
      </c>
      <c r="P301" s="1">
        <v>3690</v>
      </c>
      <c r="Q301" s="1">
        <v>3650</v>
      </c>
      <c r="R301" s="1">
        <v>3790</v>
      </c>
      <c r="S301" s="1">
        <v>3425</v>
      </c>
      <c r="T301" s="1">
        <v>3550</v>
      </c>
      <c r="U301" s="1">
        <v>3485</v>
      </c>
      <c r="V301" s="1">
        <v>3585</v>
      </c>
      <c r="W301" s="1">
        <v>3840</v>
      </c>
      <c r="X301" s="1">
        <v>3600</v>
      </c>
      <c r="Y301" s="1">
        <v>3375</v>
      </c>
      <c r="Z301" s="1">
        <v>3380</v>
      </c>
      <c r="AA301" s="1">
        <v>3295</v>
      </c>
      <c r="AB301" s="1">
        <v>3320</v>
      </c>
      <c r="AC301" s="1">
        <v>3260</v>
      </c>
      <c r="AD301" s="1">
        <v>3265</v>
      </c>
      <c r="AE301" s="1">
        <v>3330</v>
      </c>
      <c r="AF301" s="1">
        <v>3220</v>
      </c>
      <c r="AG301" s="1">
        <v>3190</v>
      </c>
      <c r="AH301" s="1">
        <v>3260</v>
      </c>
      <c r="AI301" s="1">
        <v>3205</v>
      </c>
      <c r="AJ301" s="1">
        <v>3160</v>
      </c>
      <c r="AK301" s="1">
        <v>3050</v>
      </c>
      <c r="AL301" s="1">
        <v>3030</v>
      </c>
      <c r="AM301" s="1">
        <v>3045</v>
      </c>
      <c r="AN301" s="1">
        <v>3055</v>
      </c>
      <c r="AO301" s="1">
        <v>3060</v>
      </c>
      <c r="AP301" s="1">
        <v>3045</v>
      </c>
      <c r="AQ301" s="1">
        <v>3150</v>
      </c>
      <c r="AR301" s="1">
        <v>3130</v>
      </c>
      <c r="AS301" s="1">
        <v>3150</v>
      </c>
      <c r="AT301" s="1">
        <v>3205</v>
      </c>
      <c r="AU301" s="1">
        <v>3235</v>
      </c>
      <c r="AV301" s="1">
        <v>3215</v>
      </c>
      <c r="AW301" s="1">
        <v>3075</v>
      </c>
      <c r="AX301" s="1">
        <v>3055</v>
      </c>
      <c r="AY301" s="1">
        <v>3080</v>
      </c>
      <c r="AZ301" s="1">
        <v>3150</v>
      </c>
      <c r="BA301" s="1">
        <v>3100</v>
      </c>
      <c r="BB301" s="1">
        <v>2909</v>
      </c>
      <c r="BC301" s="1">
        <v>2935</v>
      </c>
      <c r="BD301" s="1">
        <v>3120</v>
      </c>
      <c r="BE301" s="1">
        <v>3215</v>
      </c>
      <c r="BF301" s="1">
        <v>3195</v>
      </c>
      <c r="BG301" s="1">
        <v>3180</v>
      </c>
      <c r="BH301" s="1">
        <v>3110</v>
      </c>
      <c r="BI301" s="1">
        <v>3370</v>
      </c>
      <c r="BJ301" s="1">
        <v>3315</v>
      </c>
      <c r="BK301" s="1">
        <v>3280</v>
      </c>
      <c r="BL301" s="1">
        <v>3230</v>
      </c>
    </row>
    <row r="302" spans="1:64">
      <c r="A302" s="77" t="s">
        <v>795</v>
      </c>
      <c r="B302" s="1" t="str">
        <f>銘柄管理!C302</f>
        <v>ＨＯＹＡ</v>
      </c>
      <c r="C302" s="1">
        <f>_xll.RssMarket("7741","始値")</f>
        <v>27025</v>
      </c>
      <c r="E302" s="1">
        <v>27025</v>
      </c>
      <c r="F302" s="1">
        <v>26590</v>
      </c>
      <c r="G302" s="1">
        <v>26945</v>
      </c>
      <c r="H302" s="1">
        <v>26420</v>
      </c>
      <c r="I302" s="1">
        <v>25300</v>
      </c>
      <c r="J302" s="1">
        <v>25420</v>
      </c>
      <c r="K302" s="1">
        <v>25400</v>
      </c>
      <c r="L302" s="1">
        <v>26290</v>
      </c>
      <c r="M302" s="1">
        <v>27480</v>
      </c>
      <c r="N302" s="1">
        <v>26500</v>
      </c>
      <c r="O302" s="1">
        <v>26175</v>
      </c>
      <c r="P302" s="1">
        <v>27020</v>
      </c>
      <c r="Q302" s="1">
        <v>27080</v>
      </c>
      <c r="R302" s="1">
        <v>27220</v>
      </c>
      <c r="S302" s="1">
        <v>26055</v>
      </c>
      <c r="T302" s="1">
        <v>26620</v>
      </c>
      <c r="U302" s="1">
        <v>26900</v>
      </c>
      <c r="V302" s="1">
        <v>26945</v>
      </c>
      <c r="W302" s="1">
        <v>27700</v>
      </c>
      <c r="X302" s="1">
        <v>27900</v>
      </c>
      <c r="Y302" s="1">
        <v>27740</v>
      </c>
      <c r="Z302" s="1">
        <v>27870</v>
      </c>
      <c r="AA302" s="1">
        <v>27370</v>
      </c>
      <c r="AB302" s="1">
        <v>27270</v>
      </c>
      <c r="AC302" s="1">
        <v>27360</v>
      </c>
      <c r="AD302" s="1">
        <v>27410</v>
      </c>
      <c r="AE302" s="1">
        <v>28275</v>
      </c>
      <c r="AF302" s="1">
        <v>29200</v>
      </c>
      <c r="AG302" s="1">
        <v>29130</v>
      </c>
      <c r="AH302" s="1">
        <v>29320</v>
      </c>
      <c r="AI302" s="1">
        <v>28900</v>
      </c>
      <c r="AJ302" s="1">
        <v>28310</v>
      </c>
      <c r="AK302" s="1">
        <v>28590</v>
      </c>
      <c r="AL302" s="1">
        <v>29090</v>
      </c>
      <c r="AM302" s="1">
        <v>29465</v>
      </c>
      <c r="AN302" s="1">
        <v>29495</v>
      </c>
      <c r="AO302" s="1">
        <v>29495</v>
      </c>
      <c r="AP302" s="1">
        <v>29770</v>
      </c>
      <c r="AQ302" s="1">
        <v>29770</v>
      </c>
      <c r="AR302" s="1">
        <v>29670</v>
      </c>
      <c r="AS302" s="1">
        <v>29265</v>
      </c>
      <c r="AT302" s="1">
        <v>28985</v>
      </c>
      <c r="AU302" s="1">
        <v>28955</v>
      </c>
      <c r="AV302" s="1">
        <v>29255</v>
      </c>
      <c r="AW302" s="1">
        <v>28275</v>
      </c>
      <c r="AX302" s="1">
        <v>27700</v>
      </c>
      <c r="AY302" s="1">
        <v>27610</v>
      </c>
      <c r="AZ302" s="1">
        <v>27975</v>
      </c>
      <c r="BA302" s="1">
        <v>27310</v>
      </c>
      <c r="BB302" s="1">
        <v>26525</v>
      </c>
      <c r="BC302" s="1">
        <v>26165</v>
      </c>
      <c r="BD302" s="1">
        <v>27600</v>
      </c>
      <c r="BE302" s="1">
        <v>28200</v>
      </c>
      <c r="BF302" s="1">
        <v>28665</v>
      </c>
      <c r="BG302" s="1">
        <v>28500</v>
      </c>
      <c r="BH302" s="1">
        <v>27300</v>
      </c>
      <c r="BI302" s="1">
        <v>27705</v>
      </c>
      <c r="BJ302" s="1">
        <v>27800</v>
      </c>
      <c r="BK302" s="1">
        <v>28040</v>
      </c>
      <c r="BL302" s="1">
        <v>27490</v>
      </c>
    </row>
    <row r="303" spans="1:64">
      <c r="A303" s="78"/>
    </row>
    <row r="304" spans="1:64">
      <c r="A304" s="78"/>
    </row>
    <row r="305" spans="1:1">
      <c r="A305" s="78"/>
    </row>
    <row r="306" spans="1:1">
      <c r="A306" s="78"/>
    </row>
    <row r="307" spans="1:1">
      <c r="A307" s="78"/>
    </row>
    <row r="308" spans="1:1">
      <c r="A308" s="78"/>
    </row>
    <row r="309" spans="1:1">
      <c r="A309" s="78"/>
    </row>
    <row r="310" spans="1:1">
      <c r="A310" s="78"/>
    </row>
    <row r="311" spans="1:1">
      <c r="A311" s="78"/>
    </row>
    <row r="312" spans="1:1">
      <c r="A312" s="78"/>
    </row>
    <row r="313" spans="1:1">
      <c r="A313" s="78"/>
    </row>
    <row r="314" spans="1:1">
      <c r="A314" s="78"/>
    </row>
    <row r="315" spans="1:1">
      <c r="A315" s="78"/>
    </row>
    <row r="316" spans="1:1">
      <c r="A316" s="78"/>
    </row>
    <row r="317" spans="1:1">
      <c r="A317" s="78"/>
    </row>
    <row r="318" spans="1:1">
      <c r="A318" s="78"/>
    </row>
    <row r="319" spans="1:1">
      <c r="A319" s="78"/>
    </row>
    <row r="320" spans="1:1">
      <c r="A320" s="78"/>
    </row>
    <row r="321" spans="1:1">
      <c r="A321" s="78"/>
    </row>
    <row r="322" spans="1:1">
      <c r="A322" s="78"/>
    </row>
    <row r="323" spans="1:1">
      <c r="A323" s="78"/>
    </row>
    <row r="324" spans="1:1">
      <c r="A324" s="78"/>
    </row>
    <row r="325" spans="1:1">
      <c r="A325" s="78"/>
    </row>
    <row r="326" spans="1:1">
      <c r="A326" s="78"/>
    </row>
    <row r="327" spans="1:1">
      <c r="A327" s="78"/>
    </row>
    <row r="328" spans="1:1">
      <c r="A328" s="78"/>
    </row>
    <row r="329" spans="1:1">
      <c r="A329" s="78"/>
    </row>
    <row r="330" spans="1:1">
      <c r="A330" s="78"/>
    </row>
    <row r="331" spans="1:1">
      <c r="A331" s="78"/>
    </row>
    <row r="332" spans="1:1">
      <c r="A332" s="78"/>
    </row>
    <row r="333" spans="1:1">
      <c r="A333" s="78"/>
    </row>
    <row r="334" spans="1:1">
      <c r="A334" s="78"/>
    </row>
    <row r="335" spans="1:1">
      <c r="A335" s="78"/>
    </row>
    <row r="336" spans="1:1">
      <c r="A336" s="78"/>
    </row>
    <row r="337" spans="1:1">
      <c r="A337" s="78"/>
    </row>
    <row r="338" spans="1:1">
      <c r="A338" s="78"/>
    </row>
    <row r="339" spans="1:1">
      <c r="A339" s="78"/>
    </row>
    <row r="340" spans="1:1">
      <c r="A340" s="78"/>
    </row>
    <row r="341" spans="1:1">
      <c r="A341" s="78"/>
    </row>
    <row r="342" spans="1:1">
      <c r="A342" s="78"/>
    </row>
    <row r="343" spans="1:1">
      <c r="A343" s="78"/>
    </row>
    <row r="344" spans="1:1">
      <c r="A344" s="78"/>
    </row>
    <row r="345" spans="1:1">
      <c r="A345" s="78"/>
    </row>
    <row r="346" spans="1:1">
      <c r="A346" s="78"/>
    </row>
    <row r="347" spans="1:1">
      <c r="A347" s="78"/>
    </row>
    <row r="348" spans="1:1">
      <c r="A348" s="78"/>
    </row>
    <row r="349" spans="1:1">
      <c r="A349" s="78"/>
    </row>
    <row r="350" spans="1:1">
      <c r="A350" s="78"/>
    </row>
    <row r="351" spans="1:1">
      <c r="A351" s="78"/>
    </row>
    <row r="352" spans="1:1">
      <c r="A352" s="78"/>
    </row>
    <row r="353" spans="1:1">
      <c r="A353" s="78"/>
    </row>
    <row r="354" spans="1:1">
      <c r="A354" s="78"/>
    </row>
    <row r="355" spans="1:1">
      <c r="A355" s="78"/>
    </row>
    <row r="356" spans="1:1">
      <c r="A356" s="78"/>
    </row>
    <row r="357" spans="1:1">
      <c r="A357" s="78"/>
    </row>
    <row r="358" spans="1:1">
      <c r="A358" s="78"/>
    </row>
    <row r="359" spans="1:1">
      <c r="A359" s="78"/>
    </row>
    <row r="360" spans="1:1">
      <c r="A360" s="78"/>
    </row>
    <row r="361" spans="1:1">
      <c r="A361" s="78"/>
    </row>
    <row r="362" spans="1:1">
      <c r="A362" s="78"/>
    </row>
    <row r="363" spans="1:1">
      <c r="A363" s="78"/>
    </row>
    <row r="364" spans="1:1">
      <c r="A364" s="78"/>
    </row>
    <row r="365" spans="1:1">
      <c r="A365" s="78"/>
    </row>
    <row r="366" spans="1:1">
      <c r="A366" s="78"/>
    </row>
    <row r="367" spans="1:1">
      <c r="A367" s="78"/>
    </row>
    <row r="368" spans="1:1">
      <c r="A368" s="78"/>
    </row>
    <row r="369" spans="1:1">
      <c r="A369" s="78"/>
    </row>
    <row r="370" spans="1:1">
      <c r="A370" s="78"/>
    </row>
    <row r="371" spans="1:1">
      <c r="A371" s="78"/>
    </row>
    <row r="372" spans="1:1">
      <c r="A372" s="78"/>
    </row>
    <row r="373" spans="1:1">
      <c r="A373" s="78"/>
    </row>
    <row r="374" spans="1:1">
      <c r="A374" s="78"/>
    </row>
    <row r="375" spans="1:1">
      <c r="A375" s="78"/>
    </row>
    <row r="376" spans="1:1">
      <c r="A376" s="78"/>
    </row>
    <row r="377" spans="1:1">
      <c r="A377" s="78"/>
    </row>
    <row r="378" spans="1:1">
      <c r="A378" s="78"/>
    </row>
    <row r="379" spans="1:1">
      <c r="A379" s="78"/>
    </row>
    <row r="380" spans="1:1">
      <c r="A380" s="78"/>
    </row>
    <row r="381" spans="1:1">
      <c r="A381" s="78"/>
    </row>
    <row r="382" spans="1:1">
      <c r="A382" s="78"/>
    </row>
    <row r="383" spans="1:1">
      <c r="A383" s="78"/>
    </row>
    <row r="384" spans="1:1">
      <c r="A384" s="78"/>
    </row>
    <row r="385" spans="1:1">
      <c r="A385" s="78"/>
    </row>
    <row r="386" spans="1:1">
      <c r="A386" s="78"/>
    </row>
    <row r="387" spans="1:1">
      <c r="A387" s="78"/>
    </row>
    <row r="388" spans="1:1">
      <c r="A388" s="78"/>
    </row>
    <row r="389" spans="1:1">
      <c r="A389" s="78"/>
    </row>
    <row r="390" spans="1:1">
      <c r="A390" s="78"/>
    </row>
    <row r="391" spans="1:1">
      <c r="A391" s="78"/>
    </row>
    <row r="392" spans="1:1">
      <c r="A392" s="78"/>
    </row>
    <row r="393" spans="1:1">
      <c r="A393" s="78"/>
    </row>
    <row r="394" spans="1:1">
      <c r="A394" s="78"/>
    </row>
    <row r="395" spans="1:1">
      <c r="A395" s="78"/>
    </row>
    <row r="396" spans="1:1">
      <c r="A396" s="78"/>
    </row>
    <row r="397" spans="1:1">
      <c r="A397" s="78"/>
    </row>
    <row r="398" spans="1:1">
      <c r="A398" s="78"/>
    </row>
    <row r="399" spans="1:1">
      <c r="A399" s="78"/>
    </row>
    <row r="400" spans="1:1">
      <c r="A400" s="78"/>
    </row>
    <row r="401" spans="1:1">
      <c r="A401" s="78"/>
    </row>
    <row r="402" spans="1:1">
      <c r="A402" s="78"/>
    </row>
    <row r="403" spans="1:1">
      <c r="A403" s="78"/>
    </row>
    <row r="404" spans="1:1">
      <c r="A404" s="78"/>
    </row>
    <row r="405" spans="1:1">
      <c r="A405" s="78"/>
    </row>
    <row r="406" spans="1:1">
      <c r="A406" s="78"/>
    </row>
    <row r="407" spans="1:1">
      <c r="A407" s="78"/>
    </row>
    <row r="408" spans="1:1">
      <c r="A408" s="78"/>
    </row>
    <row r="409" spans="1:1">
      <c r="A409" s="78"/>
    </row>
    <row r="410" spans="1:1">
      <c r="A410" s="78"/>
    </row>
    <row r="411" spans="1:1">
      <c r="A411" s="78"/>
    </row>
    <row r="412" spans="1:1">
      <c r="A412" s="78"/>
    </row>
    <row r="413" spans="1:1">
      <c r="A413" s="78"/>
    </row>
    <row r="414" spans="1:1">
      <c r="A414" s="78"/>
    </row>
    <row r="415" spans="1:1">
      <c r="A415" s="78"/>
    </row>
    <row r="416" spans="1:1">
      <c r="A416" s="78"/>
    </row>
    <row r="417" spans="1:1">
      <c r="A417" s="78"/>
    </row>
    <row r="418" spans="1:1">
      <c r="A418" s="78"/>
    </row>
    <row r="419" spans="1:1">
      <c r="A419" s="78"/>
    </row>
    <row r="420" spans="1:1">
      <c r="A420" s="78"/>
    </row>
    <row r="421" spans="1:1">
      <c r="A421" s="78"/>
    </row>
    <row r="422" spans="1:1">
      <c r="A422" s="78"/>
    </row>
    <row r="423" spans="1:1">
      <c r="A423" s="78"/>
    </row>
    <row r="424" spans="1:1">
      <c r="A424" s="78"/>
    </row>
    <row r="425" spans="1:1">
      <c r="A425" s="78"/>
    </row>
    <row r="426" spans="1:1">
      <c r="A426" s="78"/>
    </row>
    <row r="427" spans="1:1">
      <c r="A427" s="78"/>
    </row>
    <row r="428" spans="1:1">
      <c r="A428" s="78"/>
    </row>
    <row r="429" spans="1:1">
      <c r="A429" s="78"/>
    </row>
    <row r="430" spans="1:1">
      <c r="A430" s="78"/>
    </row>
    <row r="431" spans="1:1">
      <c r="A431" s="78"/>
    </row>
    <row r="432" spans="1:1">
      <c r="A432" s="78"/>
    </row>
    <row r="433" spans="1:1">
      <c r="A433" s="78"/>
    </row>
    <row r="434" spans="1:1">
      <c r="A434" s="78"/>
    </row>
    <row r="435" spans="1:1">
      <c r="A435" s="78"/>
    </row>
    <row r="436" spans="1:1">
      <c r="A436" s="78"/>
    </row>
    <row r="437" spans="1:1">
      <c r="A437" s="78"/>
    </row>
    <row r="438" spans="1:1">
      <c r="A438" s="78"/>
    </row>
    <row r="439" spans="1:1">
      <c r="A439" s="78"/>
    </row>
    <row r="440" spans="1:1">
      <c r="A440" s="78"/>
    </row>
    <row r="441" spans="1:1">
      <c r="A441" s="78"/>
    </row>
    <row r="442" spans="1:1">
      <c r="A442" s="78"/>
    </row>
    <row r="443" spans="1:1">
      <c r="A443" s="78"/>
    </row>
    <row r="444" spans="1:1">
      <c r="A444" s="78"/>
    </row>
    <row r="445" spans="1:1">
      <c r="A445" s="78"/>
    </row>
    <row r="446" spans="1:1">
      <c r="A446" s="78"/>
    </row>
    <row r="447" spans="1:1">
      <c r="A447" s="78"/>
    </row>
    <row r="448" spans="1:1">
      <c r="A448" s="78"/>
    </row>
    <row r="449" spans="1:1">
      <c r="A449" s="78"/>
    </row>
    <row r="450" spans="1:1">
      <c r="A450" s="78"/>
    </row>
    <row r="451" spans="1:1">
      <c r="A451" s="78"/>
    </row>
    <row r="452" spans="1:1">
      <c r="A452" s="78"/>
    </row>
    <row r="453" spans="1:1">
      <c r="A453" s="78"/>
    </row>
    <row r="454" spans="1:1">
      <c r="A454" s="78"/>
    </row>
    <row r="455" spans="1:1">
      <c r="A455" s="78"/>
    </row>
    <row r="456" spans="1:1">
      <c r="A456" s="78"/>
    </row>
    <row r="457" spans="1:1">
      <c r="A457" s="78"/>
    </row>
    <row r="458" spans="1:1">
      <c r="A458" s="78"/>
    </row>
    <row r="459" spans="1:1">
      <c r="A459" s="78"/>
    </row>
    <row r="460" spans="1:1">
      <c r="A460" s="78"/>
    </row>
    <row r="461" spans="1:1">
      <c r="A461" s="78"/>
    </row>
    <row r="462" spans="1:1">
      <c r="A462" s="78"/>
    </row>
    <row r="463" spans="1:1">
      <c r="A463" s="78"/>
    </row>
    <row r="464" spans="1:1">
      <c r="A464" s="78"/>
    </row>
    <row r="465" spans="1:1">
      <c r="A465" s="78"/>
    </row>
    <row r="466" spans="1:1">
      <c r="A466" s="78"/>
    </row>
    <row r="467" spans="1:1">
      <c r="A467" s="78"/>
    </row>
    <row r="468" spans="1:1">
      <c r="A468" s="78"/>
    </row>
    <row r="469" spans="1:1">
      <c r="A469" s="78"/>
    </row>
    <row r="470" spans="1:1">
      <c r="A470" s="78"/>
    </row>
    <row r="471" spans="1:1">
      <c r="A471" s="78"/>
    </row>
    <row r="472" spans="1:1">
      <c r="A472" s="78"/>
    </row>
    <row r="473" spans="1:1">
      <c r="A473" s="78"/>
    </row>
    <row r="474" spans="1:1">
      <c r="A474" s="78"/>
    </row>
    <row r="475" spans="1:1">
      <c r="A475" s="78"/>
    </row>
    <row r="476" spans="1:1">
      <c r="A476" s="78"/>
    </row>
    <row r="477" spans="1:1">
      <c r="A477" s="78"/>
    </row>
    <row r="478" spans="1:1">
      <c r="A478" s="78"/>
    </row>
    <row r="479" spans="1:1">
      <c r="A479" s="78"/>
    </row>
    <row r="480" spans="1:1">
      <c r="A480" s="78"/>
    </row>
    <row r="481" spans="1:1">
      <c r="A481" s="78"/>
    </row>
    <row r="482" spans="1:1">
      <c r="A482" s="78"/>
    </row>
    <row r="483" spans="1:1">
      <c r="A483" s="78"/>
    </row>
    <row r="484" spans="1:1">
      <c r="A484" s="78"/>
    </row>
    <row r="485" spans="1:1">
      <c r="A485" s="78"/>
    </row>
    <row r="486" spans="1:1">
      <c r="A486" s="78"/>
    </row>
    <row r="487" spans="1:1">
      <c r="A487" s="78"/>
    </row>
    <row r="488" spans="1:1">
      <c r="A488" s="78"/>
    </row>
    <row r="489" spans="1:1">
      <c r="A489" s="78"/>
    </row>
    <row r="490" spans="1:1">
      <c r="A490" s="78"/>
    </row>
    <row r="491" spans="1:1">
      <c r="A491" s="78"/>
    </row>
    <row r="492" spans="1:1">
      <c r="A492" s="78"/>
    </row>
    <row r="493" spans="1:1">
      <c r="A493" s="78"/>
    </row>
    <row r="494" spans="1:1">
      <c r="A494" s="78"/>
    </row>
    <row r="495" spans="1:1">
      <c r="A495" s="78"/>
    </row>
    <row r="496" spans="1:1">
      <c r="A496" s="78"/>
    </row>
    <row r="497" spans="1:1">
      <c r="A497" s="78"/>
    </row>
    <row r="498" spans="1:1">
      <c r="A498" s="78"/>
    </row>
    <row r="499" spans="1:1">
      <c r="A499" s="78"/>
    </row>
    <row r="500" spans="1:1">
      <c r="A500" s="78"/>
    </row>
    <row r="501" spans="1:1">
      <c r="A501" s="78"/>
    </row>
    <row r="502" spans="1:1">
      <c r="A502" s="78"/>
    </row>
    <row r="503" spans="1:1">
      <c r="A503" s="78"/>
    </row>
    <row r="504" spans="1:1">
      <c r="A504" s="78"/>
    </row>
    <row r="505" spans="1:1">
      <c r="A505" s="78"/>
    </row>
  </sheetData>
  <sheetProtection algorithmName="SHA-512" hashValue="UJgjPgr5gazGPBvHr4oHPC7dcZ1qWc7xqNJmUZZZKCdxfuyQA5PgATCD0w5gBIH6H+JReQdqe5hFC/iXQKMlzg==" saltValue="yDs83Az/Ha1ZVqAhVDq5vQ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5" sqref="C5"/>
    </sheetView>
  </sheetViews>
  <sheetFormatPr defaultRowHeight="13.5"/>
  <cols>
    <col min="1" max="1" width="9" style="1" customWidth="1"/>
    <col min="2" max="2" width="18" style="1" customWidth="1"/>
    <col min="3" max="4" width="10" style="1" customWidth="1"/>
    <col min="5" max="5" width="9.375" style="1" bestFit="1" customWidth="1"/>
    <col min="6" max="6" width="8" style="1" bestFit="1" customWidth="1"/>
    <col min="7" max="7" width="9.375" style="1" bestFit="1" customWidth="1"/>
    <col min="8" max="8" width="9.25" style="1" bestFit="1" customWidth="1"/>
    <col min="9" max="9" width="9.5" style="1" bestFit="1" customWidth="1"/>
    <col min="10" max="11" width="9.25" style="1" bestFit="1" customWidth="1"/>
    <col min="12" max="13" width="9.5" style="1" bestFit="1" customWidth="1"/>
    <col min="14" max="15" width="9.25" style="1" bestFit="1" customWidth="1"/>
    <col min="16" max="16" width="9.5" style="1" bestFit="1" customWidth="1"/>
    <col min="17" max="17" width="9.25" style="1" bestFit="1" customWidth="1"/>
    <col min="18" max="18" width="9.5" style="1" bestFit="1" customWidth="1"/>
    <col min="19" max="19" width="9.25" style="1" bestFit="1" customWidth="1"/>
    <col min="20" max="34" width="9.5" style="1" bestFit="1" customWidth="1"/>
    <col min="35" max="35" width="9.375" style="1" bestFit="1" customWidth="1"/>
    <col min="36" max="64" width="7" style="1" customWidth="1"/>
    <col min="65" max="16384" width="9" style="1"/>
  </cols>
  <sheetData>
    <row r="1" spans="1:64" ht="30" customHeight="1">
      <c r="A1" s="549" t="s">
        <v>41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199" t="s">
        <v>2</v>
      </c>
      <c r="B2" s="199" t="s">
        <v>3</v>
      </c>
      <c r="C2" s="199" t="s">
        <v>42</v>
      </c>
      <c r="D2" s="199" t="s">
        <v>39</v>
      </c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15.95" customHeight="1">
      <c r="A5" s="27" t="str">
        <f>IF(銘柄管理!B5="","",銘柄管理!B5)</f>
        <v>TOPX</v>
      </c>
      <c r="B5" s="28">
        <f>IF(銘柄管理!C5="","",銘柄管理!C5)</f>
        <v>4013.23</v>
      </c>
      <c r="C5" s="29" cm="1">
        <f t="array" ref="C5">_xll.RssIndexMarket("TOPX", "高値")</f>
        <v>4035.32</v>
      </c>
      <c r="D5" s="30">
        <f>IF(OR(C5=0,E5=0),"",C5-E5)</f>
        <v>0</v>
      </c>
      <c r="E5" s="31">
        <v>4035.32</v>
      </c>
      <c r="F5" s="31">
        <v>4008.81</v>
      </c>
      <c r="G5" s="31">
        <v>4032.39</v>
      </c>
      <c r="H5" s="31">
        <v>3924.34</v>
      </c>
      <c r="I5" s="31">
        <v>3836.12</v>
      </c>
      <c r="J5" s="31">
        <v>3894.24</v>
      </c>
      <c r="K5" s="31">
        <v>3923.62</v>
      </c>
      <c r="L5" s="31">
        <v>3966.32</v>
      </c>
      <c r="M5" s="31">
        <v>3970.82</v>
      </c>
      <c r="N5" s="31">
        <v>4015.72</v>
      </c>
      <c r="O5" s="31">
        <v>3924.26</v>
      </c>
      <c r="P5" s="31">
        <v>3984.58</v>
      </c>
      <c r="Q5" s="31">
        <v>3915.5</v>
      </c>
      <c r="R5" s="31">
        <v>3971.77</v>
      </c>
      <c r="S5" s="31">
        <v>3953.89</v>
      </c>
      <c r="T5" s="31">
        <v>3905.13</v>
      </c>
      <c r="U5" s="31">
        <v>3878.24</v>
      </c>
      <c r="V5" s="31">
        <v>3852.29</v>
      </c>
      <c r="W5" s="31">
        <v>3877.84</v>
      </c>
      <c r="X5" s="31">
        <v>3870.65</v>
      </c>
      <c r="Y5" s="31">
        <v>3927.98</v>
      </c>
      <c r="Z5" s="31">
        <v>3919.72</v>
      </c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3"/>
    </row>
    <row r="6" spans="1:64" ht="15.95" customHeight="1">
      <c r="A6" s="68" t="s">
        <v>263</v>
      </c>
      <c r="B6" s="28" t="s">
        <v>477</v>
      </c>
      <c r="C6" s="42">
        <f>_xll.RssMarket("5706","高値")</f>
        <v>48750</v>
      </c>
      <c r="D6" s="41">
        <f t="shared" ref="D6:D69" si="0">C6-E6</f>
        <v>0</v>
      </c>
      <c r="E6" s="35">
        <v>48750</v>
      </c>
      <c r="F6" s="35">
        <v>46950</v>
      </c>
      <c r="G6" s="35">
        <v>44240</v>
      </c>
      <c r="H6" s="35">
        <v>37840</v>
      </c>
      <c r="I6" s="35">
        <v>39110</v>
      </c>
      <c r="J6" s="35">
        <v>41930</v>
      </c>
      <c r="K6" s="35">
        <v>45130</v>
      </c>
      <c r="L6" s="35">
        <v>47390</v>
      </c>
      <c r="M6" s="35">
        <v>50870</v>
      </c>
      <c r="N6" s="35">
        <v>53290</v>
      </c>
      <c r="O6" s="35">
        <v>51920</v>
      </c>
      <c r="P6" s="35">
        <v>51140</v>
      </c>
      <c r="Q6" s="35">
        <v>57700</v>
      </c>
      <c r="R6" s="35">
        <v>53990</v>
      </c>
      <c r="S6" s="35">
        <v>50610</v>
      </c>
      <c r="T6" s="35">
        <v>48130</v>
      </c>
      <c r="U6" s="35">
        <v>45110</v>
      </c>
      <c r="V6" s="35">
        <v>48200</v>
      </c>
      <c r="W6" s="35">
        <v>49590</v>
      </c>
      <c r="X6" s="35">
        <v>51200</v>
      </c>
      <c r="Y6" s="35">
        <v>53340</v>
      </c>
      <c r="Z6" s="35">
        <v>55860</v>
      </c>
      <c r="AA6" s="35">
        <v>52970</v>
      </c>
      <c r="AB6" s="35">
        <v>53200</v>
      </c>
      <c r="AC6" s="35">
        <v>50000</v>
      </c>
      <c r="AD6" s="35">
        <v>48060</v>
      </c>
      <c r="AE6" s="35">
        <v>42950</v>
      </c>
      <c r="AF6" s="35">
        <v>42880</v>
      </c>
      <c r="AG6" s="35">
        <v>41670</v>
      </c>
      <c r="AH6" s="35">
        <v>40050</v>
      </c>
      <c r="AI6" s="35">
        <v>39290</v>
      </c>
      <c r="AJ6" s="35">
        <v>39060</v>
      </c>
      <c r="AK6" s="35">
        <v>38570</v>
      </c>
      <c r="AL6" s="35">
        <v>37550</v>
      </c>
      <c r="AM6" s="35">
        <v>36650</v>
      </c>
      <c r="AN6" s="35">
        <v>37600</v>
      </c>
      <c r="AO6" s="35">
        <v>38050</v>
      </c>
      <c r="AP6" s="36">
        <v>39830</v>
      </c>
      <c r="AQ6" s="37">
        <v>38730</v>
      </c>
      <c r="AR6" s="32">
        <v>36980</v>
      </c>
      <c r="AS6" s="32">
        <v>37200</v>
      </c>
      <c r="AT6" s="32">
        <v>35200</v>
      </c>
      <c r="AU6" s="32">
        <v>35330</v>
      </c>
      <c r="AV6" s="32">
        <v>31840</v>
      </c>
      <c r="AW6" s="32">
        <v>32400</v>
      </c>
      <c r="AX6" s="32">
        <v>31640</v>
      </c>
      <c r="AY6" s="32">
        <v>31640</v>
      </c>
      <c r="AZ6" s="32">
        <v>30730</v>
      </c>
      <c r="BA6" s="32">
        <v>28785</v>
      </c>
      <c r="BB6" s="32">
        <v>29805</v>
      </c>
      <c r="BC6" s="32">
        <v>31490</v>
      </c>
      <c r="BD6" s="32">
        <v>32390</v>
      </c>
      <c r="BE6" s="32">
        <v>32690</v>
      </c>
      <c r="BF6" s="32">
        <v>31040</v>
      </c>
      <c r="BG6" s="32">
        <v>29235</v>
      </c>
      <c r="BH6" s="32">
        <v>32040</v>
      </c>
      <c r="BI6" s="32">
        <v>32500</v>
      </c>
      <c r="BJ6" s="32">
        <v>33130</v>
      </c>
      <c r="BK6" s="32">
        <v>32490</v>
      </c>
      <c r="BL6" s="33">
        <v>32400</v>
      </c>
    </row>
    <row r="7" spans="1:64" ht="15.95" customHeight="1">
      <c r="A7" s="68" t="s">
        <v>264</v>
      </c>
      <c r="B7" s="28" t="s">
        <v>83</v>
      </c>
      <c r="C7" s="42">
        <f>_xll.RssMarket("5423","高値")</f>
        <v>1788</v>
      </c>
      <c r="D7" s="41">
        <f t="shared" si="0"/>
        <v>0</v>
      </c>
      <c r="E7" s="35">
        <v>1788</v>
      </c>
      <c r="F7" s="35">
        <v>1750</v>
      </c>
      <c r="G7" s="35">
        <v>1760</v>
      </c>
      <c r="H7" s="35">
        <v>1750</v>
      </c>
      <c r="I7" s="35">
        <v>1690</v>
      </c>
      <c r="J7" s="35">
        <v>1684</v>
      </c>
      <c r="K7" s="35">
        <v>1735</v>
      </c>
      <c r="L7" s="35">
        <v>1703</v>
      </c>
      <c r="M7" s="35">
        <v>1727</v>
      </c>
      <c r="N7" s="35">
        <v>1719</v>
      </c>
      <c r="O7" s="35">
        <v>1704</v>
      </c>
      <c r="P7" s="35">
        <v>1758</v>
      </c>
      <c r="Q7" s="35">
        <v>1714</v>
      </c>
      <c r="R7" s="35">
        <v>1727</v>
      </c>
      <c r="S7" s="35">
        <v>1732</v>
      </c>
      <c r="T7" s="35">
        <v>1755</v>
      </c>
      <c r="U7" s="35">
        <v>1775</v>
      </c>
      <c r="V7" s="35">
        <v>1758</v>
      </c>
      <c r="W7" s="35">
        <v>1814</v>
      </c>
      <c r="X7" s="35">
        <v>1821</v>
      </c>
      <c r="Y7" s="35">
        <v>1887</v>
      </c>
      <c r="Z7" s="35">
        <v>1850</v>
      </c>
      <c r="AA7" s="35">
        <v>1724</v>
      </c>
      <c r="AB7" s="35">
        <v>1700</v>
      </c>
      <c r="AC7" s="35">
        <v>1678</v>
      </c>
      <c r="AD7" s="35">
        <v>1710</v>
      </c>
      <c r="AE7" s="35">
        <v>1707</v>
      </c>
      <c r="AF7" s="35">
        <v>1697</v>
      </c>
      <c r="AG7" s="35">
        <v>1713</v>
      </c>
      <c r="AH7" s="35">
        <v>1706</v>
      </c>
      <c r="AI7" s="35">
        <v>1750</v>
      </c>
      <c r="AJ7" s="35">
        <v>1802</v>
      </c>
      <c r="AK7" s="35">
        <v>1804</v>
      </c>
      <c r="AL7" s="35">
        <v>1840</v>
      </c>
      <c r="AM7" s="35">
        <v>1862</v>
      </c>
      <c r="AN7" s="35">
        <v>1813</v>
      </c>
      <c r="AO7" s="35">
        <v>1799</v>
      </c>
      <c r="AP7" s="36">
        <v>1793</v>
      </c>
      <c r="AQ7" s="37">
        <v>1740</v>
      </c>
      <c r="AR7" s="32">
        <v>1755</v>
      </c>
      <c r="AS7" s="32">
        <v>1745</v>
      </c>
      <c r="AT7" s="32">
        <v>1794</v>
      </c>
      <c r="AU7" s="32">
        <v>1823</v>
      </c>
      <c r="AV7" s="32">
        <v>1839</v>
      </c>
      <c r="AW7" s="32">
        <v>1887</v>
      </c>
      <c r="AX7" s="32">
        <v>1922</v>
      </c>
      <c r="AY7" s="32">
        <v>1973</v>
      </c>
      <c r="AZ7" s="32">
        <v>1649</v>
      </c>
      <c r="BA7" s="32">
        <v>1630</v>
      </c>
      <c r="BB7" s="32">
        <v>1643</v>
      </c>
      <c r="BC7" s="32">
        <v>1636</v>
      </c>
      <c r="BD7" s="32">
        <v>1659</v>
      </c>
      <c r="BE7" s="32">
        <v>1641</v>
      </c>
      <c r="BF7" s="32">
        <v>1622</v>
      </c>
      <c r="BG7" s="32">
        <v>1603</v>
      </c>
      <c r="BH7" s="32">
        <v>1604</v>
      </c>
      <c r="BI7" s="32">
        <v>1644</v>
      </c>
      <c r="BJ7" s="32">
        <v>1650</v>
      </c>
      <c r="BK7" s="32">
        <v>1638</v>
      </c>
      <c r="BL7" s="33">
        <v>1620</v>
      </c>
    </row>
    <row r="8" spans="1:64" ht="15.95" customHeight="1">
      <c r="A8" s="68" t="s">
        <v>265</v>
      </c>
      <c r="B8" s="28" t="s">
        <v>84</v>
      </c>
      <c r="C8" s="42">
        <f>_xll.RssMarket("5713","高値")</f>
        <v>9255</v>
      </c>
      <c r="D8" s="41">
        <f t="shared" si="0"/>
        <v>0</v>
      </c>
      <c r="E8" s="38">
        <v>9255</v>
      </c>
      <c r="F8" s="38">
        <v>9340</v>
      </c>
      <c r="G8" s="38">
        <v>9244</v>
      </c>
      <c r="H8" s="38">
        <v>8674</v>
      </c>
      <c r="I8" s="38">
        <v>7796</v>
      </c>
      <c r="J8" s="38">
        <v>8026</v>
      </c>
      <c r="K8" s="38">
        <v>8211</v>
      </c>
      <c r="L8" s="38">
        <v>8792</v>
      </c>
      <c r="M8" s="38">
        <v>8929</v>
      </c>
      <c r="N8" s="38">
        <v>9382</v>
      </c>
      <c r="O8" s="38">
        <v>8880</v>
      </c>
      <c r="P8" s="38">
        <v>9222</v>
      </c>
      <c r="Q8" s="38">
        <v>9450</v>
      </c>
      <c r="R8" s="38">
        <v>10360</v>
      </c>
      <c r="S8" s="38">
        <v>9940</v>
      </c>
      <c r="T8" s="38">
        <v>9636</v>
      </c>
      <c r="U8" s="38">
        <v>9387</v>
      </c>
      <c r="V8" s="38">
        <v>9201</v>
      </c>
      <c r="W8" s="38">
        <v>9558</v>
      </c>
      <c r="X8" s="38">
        <v>10010</v>
      </c>
      <c r="Y8" s="38">
        <v>11180</v>
      </c>
      <c r="Z8" s="38">
        <v>11140</v>
      </c>
      <c r="AA8" s="38">
        <v>11145</v>
      </c>
      <c r="AB8" s="38">
        <v>10995</v>
      </c>
      <c r="AC8" s="38">
        <v>10765</v>
      </c>
      <c r="AD8" s="38">
        <v>10615</v>
      </c>
      <c r="AE8" s="38">
        <v>10140</v>
      </c>
      <c r="AF8" s="38">
        <v>9629</v>
      </c>
      <c r="AG8" s="38">
        <v>9474</v>
      </c>
      <c r="AH8" s="38">
        <v>9989</v>
      </c>
      <c r="AI8" s="38">
        <v>9864</v>
      </c>
      <c r="AJ8" s="38">
        <v>10315</v>
      </c>
      <c r="AK8" s="38">
        <v>10050</v>
      </c>
      <c r="AL8" s="38">
        <v>10290</v>
      </c>
      <c r="AM8" s="38">
        <v>10215</v>
      </c>
      <c r="AN8" s="38">
        <v>10780</v>
      </c>
      <c r="AO8" s="38">
        <v>11050</v>
      </c>
      <c r="AP8" s="36">
        <v>11150</v>
      </c>
      <c r="AQ8" s="37">
        <v>10415</v>
      </c>
      <c r="AR8" s="32">
        <v>10180</v>
      </c>
      <c r="AS8" s="32">
        <v>10085</v>
      </c>
      <c r="AT8" s="32">
        <v>10255</v>
      </c>
      <c r="AU8" s="32">
        <v>10380</v>
      </c>
      <c r="AV8" s="32">
        <v>9610</v>
      </c>
      <c r="AW8" s="32">
        <v>9627</v>
      </c>
      <c r="AX8" s="32">
        <v>9736</v>
      </c>
      <c r="AY8" s="32">
        <v>9986</v>
      </c>
      <c r="AZ8" s="32">
        <v>9647</v>
      </c>
      <c r="BA8" s="32">
        <v>9212</v>
      </c>
      <c r="BB8" s="32">
        <v>9310</v>
      </c>
      <c r="BC8" s="32">
        <v>9483</v>
      </c>
      <c r="BD8" s="32">
        <v>9345</v>
      </c>
      <c r="BE8" s="32">
        <v>9315</v>
      </c>
      <c r="BF8" s="32">
        <v>9019</v>
      </c>
      <c r="BG8" s="32">
        <v>8638</v>
      </c>
      <c r="BH8" s="32">
        <v>9445</v>
      </c>
      <c r="BI8" s="32">
        <v>10065</v>
      </c>
      <c r="BJ8" s="32">
        <v>9879</v>
      </c>
      <c r="BK8" s="32">
        <v>9779</v>
      </c>
      <c r="BL8" s="33">
        <v>10195</v>
      </c>
    </row>
    <row r="9" spans="1:64" ht="15.95" customHeight="1">
      <c r="A9" s="68" t="s">
        <v>266</v>
      </c>
      <c r="B9" s="28" t="s">
        <v>85</v>
      </c>
      <c r="C9" s="42">
        <f>_xll.RssMarket("5711","高値")</f>
        <v>4965</v>
      </c>
      <c r="D9" s="41">
        <f t="shared" si="0"/>
        <v>0</v>
      </c>
      <c r="E9" s="32">
        <v>4965</v>
      </c>
      <c r="F9" s="32">
        <v>5050</v>
      </c>
      <c r="G9" s="32">
        <v>5007</v>
      </c>
      <c r="H9" s="39">
        <v>4648</v>
      </c>
      <c r="I9" s="36">
        <v>4443</v>
      </c>
      <c r="J9" s="36">
        <v>4592</v>
      </c>
      <c r="K9" s="36">
        <v>4750</v>
      </c>
      <c r="L9" s="36">
        <v>4957</v>
      </c>
      <c r="M9" s="36">
        <v>5074</v>
      </c>
      <c r="N9" s="36">
        <v>5298</v>
      </c>
      <c r="O9" s="36">
        <v>5066</v>
      </c>
      <c r="P9" s="36">
        <v>5263</v>
      </c>
      <c r="Q9" s="36">
        <v>5224</v>
      </c>
      <c r="R9" s="36">
        <v>5565</v>
      </c>
      <c r="S9" s="36">
        <v>5280</v>
      </c>
      <c r="T9" s="36">
        <v>5142</v>
      </c>
      <c r="U9" s="36">
        <v>4946</v>
      </c>
      <c r="V9" s="36">
        <v>4879</v>
      </c>
      <c r="W9" s="36">
        <v>5050</v>
      </c>
      <c r="X9" s="36">
        <v>5264</v>
      </c>
      <c r="Y9" s="36">
        <v>5516</v>
      </c>
      <c r="Z9" s="36">
        <v>5646</v>
      </c>
      <c r="AA9" s="36">
        <v>6113</v>
      </c>
      <c r="AB9" s="36">
        <v>5838</v>
      </c>
      <c r="AC9" s="36">
        <v>5698</v>
      </c>
      <c r="AD9" s="36">
        <v>5562</v>
      </c>
      <c r="AE9" s="36">
        <v>5353</v>
      </c>
      <c r="AF9" s="36">
        <v>5153</v>
      </c>
      <c r="AG9" s="36">
        <v>5092</v>
      </c>
      <c r="AH9" s="36">
        <v>5227</v>
      </c>
      <c r="AI9" s="36">
        <v>5328</v>
      </c>
      <c r="AJ9" s="36">
        <v>5435</v>
      </c>
      <c r="AK9" s="36">
        <v>5460</v>
      </c>
      <c r="AL9" s="36">
        <v>5581</v>
      </c>
      <c r="AM9" s="36">
        <v>5595</v>
      </c>
      <c r="AN9" s="36">
        <v>5739</v>
      </c>
      <c r="AO9" s="36">
        <v>5784</v>
      </c>
      <c r="AP9" s="36">
        <v>5795</v>
      </c>
      <c r="AQ9" s="37">
        <v>5742</v>
      </c>
      <c r="AR9" s="32">
        <v>5580</v>
      </c>
      <c r="AS9" s="32">
        <v>5615</v>
      </c>
      <c r="AT9" s="32">
        <v>5640</v>
      </c>
      <c r="AU9" s="32">
        <v>5637</v>
      </c>
      <c r="AV9" s="32">
        <v>5240</v>
      </c>
      <c r="AW9" s="32">
        <v>5255</v>
      </c>
      <c r="AX9" s="32">
        <v>5225</v>
      </c>
      <c r="AY9" s="32">
        <v>5330</v>
      </c>
      <c r="AZ9" s="32">
        <v>5186</v>
      </c>
      <c r="BA9" s="32">
        <v>4918</v>
      </c>
      <c r="BB9" s="32">
        <v>4970</v>
      </c>
      <c r="BC9" s="32">
        <v>5144</v>
      </c>
      <c r="BD9" s="32">
        <v>5260</v>
      </c>
      <c r="BE9" s="32">
        <v>5265</v>
      </c>
      <c r="BF9" s="32">
        <v>5042</v>
      </c>
      <c r="BG9" s="32">
        <v>4908</v>
      </c>
      <c r="BH9" s="32">
        <v>5449</v>
      </c>
      <c r="BI9" s="32">
        <v>5603</v>
      </c>
      <c r="BJ9" s="32">
        <v>5020</v>
      </c>
      <c r="BK9" s="32">
        <v>4998</v>
      </c>
      <c r="BL9" s="33">
        <v>5107</v>
      </c>
    </row>
    <row r="10" spans="1:64" ht="15.95" customHeight="1">
      <c r="A10" s="68" t="s">
        <v>267</v>
      </c>
      <c r="B10" s="28" t="s">
        <v>86</v>
      </c>
      <c r="C10" s="42">
        <f>_xll.RssMarket("5714","高値")</f>
        <v>9927</v>
      </c>
      <c r="D10" s="41">
        <f t="shared" si="0"/>
        <v>0</v>
      </c>
      <c r="E10" s="32">
        <v>9927</v>
      </c>
      <c r="F10" s="32">
        <v>9915</v>
      </c>
      <c r="G10" s="32">
        <v>9919</v>
      </c>
      <c r="H10" s="32">
        <v>9464</v>
      </c>
      <c r="I10" s="32">
        <v>8955</v>
      </c>
      <c r="J10" s="32">
        <v>9159</v>
      </c>
      <c r="K10" s="32">
        <v>9718</v>
      </c>
      <c r="L10" s="32">
        <v>10105</v>
      </c>
      <c r="M10" s="32">
        <v>10180</v>
      </c>
      <c r="N10" s="32">
        <v>10570</v>
      </c>
      <c r="O10" s="32">
        <v>10275</v>
      </c>
      <c r="P10" s="32">
        <v>10700</v>
      </c>
      <c r="Q10" s="32">
        <v>10805</v>
      </c>
      <c r="R10" s="32">
        <v>11170</v>
      </c>
      <c r="S10" s="32">
        <v>11090</v>
      </c>
      <c r="T10" s="32">
        <v>10485</v>
      </c>
      <c r="U10" s="32">
        <v>10355</v>
      </c>
      <c r="V10" s="32">
        <v>10235</v>
      </c>
      <c r="W10" s="32">
        <v>11125</v>
      </c>
      <c r="X10" s="32">
        <v>11550</v>
      </c>
      <c r="Y10" s="32">
        <v>12380</v>
      </c>
      <c r="Z10" s="32">
        <v>10555</v>
      </c>
      <c r="AA10" s="32">
        <v>10685</v>
      </c>
      <c r="AB10" s="32">
        <v>10640</v>
      </c>
      <c r="AC10" s="32">
        <v>10565</v>
      </c>
      <c r="AD10" s="32">
        <v>10180</v>
      </c>
      <c r="AE10" s="32">
        <v>9878</v>
      </c>
      <c r="AF10" s="32">
        <v>9574</v>
      </c>
      <c r="AG10" s="32">
        <v>9566</v>
      </c>
      <c r="AH10" s="32">
        <v>9740</v>
      </c>
      <c r="AI10" s="32">
        <v>9653</v>
      </c>
      <c r="AJ10" s="32">
        <v>9742</v>
      </c>
      <c r="AK10" s="32">
        <v>9903</v>
      </c>
      <c r="AL10" s="32">
        <v>9827</v>
      </c>
      <c r="AM10" s="32">
        <v>9998</v>
      </c>
      <c r="AN10" s="32">
        <v>10040</v>
      </c>
      <c r="AO10" s="32">
        <v>10215</v>
      </c>
      <c r="AP10" s="32">
        <v>10385</v>
      </c>
      <c r="AQ10" s="32">
        <v>10295</v>
      </c>
      <c r="AR10" s="32">
        <v>10060</v>
      </c>
      <c r="AS10" s="32">
        <v>9791</v>
      </c>
      <c r="AT10" s="32">
        <v>9900</v>
      </c>
      <c r="AU10" s="32">
        <v>9952</v>
      </c>
      <c r="AV10" s="32">
        <v>9891</v>
      </c>
      <c r="AW10" s="32">
        <v>9309</v>
      </c>
      <c r="AX10" s="32">
        <v>9255</v>
      </c>
      <c r="AY10" s="32">
        <v>9196</v>
      </c>
      <c r="AZ10" s="32">
        <v>9478</v>
      </c>
      <c r="BA10" s="32">
        <v>9271</v>
      </c>
      <c r="BB10" s="32">
        <v>8912</v>
      </c>
      <c r="BC10" s="32">
        <v>8964</v>
      </c>
      <c r="BD10" s="32">
        <v>9435</v>
      </c>
      <c r="BE10" s="32">
        <v>9515</v>
      </c>
      <c r="BF10" s="32">
        <v>9394</v>
      </c>
      <c r="BG10" s="32">
        <v>9084</v>
      </c>
      <c r="BH10" s="32">
        <v>8800</v>
      </c>
      <c r="BI10" s="32">
        <v>9678</v>
      </c>
      <c r="BJ10" s="32">
        <v>10070</v>
      </c>
      <c r="BK10" s="32">
        <v>9770</v>
      </c>
      <c r="BL10" s="33">
        <v>9758</v>
      </c>
    </row>
    <row r="11" spans="1:64" ht="15.95" customHeight="1">
      <c r="A11" s="68" t="s">
        <v>268</v>
      </c>
      <c r="B11" s="28" t="s">
        <v>87</v>
      </c>
      <c r="C11" s="42">
        <f>_xll.RssMarket("6701","高値")</f>
        <v>3891</v>
      </c>
      <c r="D11" s="41">
        <f t="shared" si="0"/>
        <v>0</v>
      </c>
      <c r="E11" s="32">
        <v>3891</v>
      </c>
      <c r="F11" s="32">
        <v>3860</v>
      </c>
      <c r="G11" s="32">
        <v>3930</v>
      </c>
      <c r="H11" s="32">
        <v>4027</v>
      </c>
      <c r="I11" s="32">
        <v>4107</v>
      </c>
      <c r="J11" s="32">
        <v>4080</v>
      </c>
      <c r="K11" s="32">
        <v>4236</v>
      </c>
      <c r="L11" s="32">
        <v>4315</v>
      </c>
      <c r="M11" s="32">
        <v>4292</v>
      </c>
      <c r="N11" s="32">
        <v>4314</v>
      </c>
      <c r="O11" s="32">
        <v>4470</v>
      </c>
      <c r="P11" s="32">
        <v>4277</v>
      </c>
      <c r="Q11" s="32">
        <v>4201</v>
      </c>
      <c r="R11" s="32">
        <v>4154</v>
      </c>
      <c r="S11" s="32">
        <v>4143</v>
      </c>
      <c r="T11" s="32">
        <v>4155</v>
      </c>
      <c r="U11" s="32">
        <v>4245</v>
      </c>
      <c r="V11" s="32">
        <v>4312</v>
      </c>
      <c r="W11" s="32">
        <v>4372</v>
      </c>
      <c r="X11" s="32">
        <v>4184</v>
      </c>
      <c r="Y11" s="32">
        <v>4142</v>
      </c>
      <c r="Z11" s="32">
        <v>4115</v>
      </c>
      <c r="AA11" s="32">
        <v>4359</v>
      </c>
      <c r="AB11" s="32">
        <v>4172</v>
      </c>
      <c r="AC11" s="32">
        <v>4246</v>
      </c>
      <c r="AD11" s="32">
        <v>4110</v>
      </c>
      <c r="AE11" s="32">
        <v>4092</v>
      </c>
      <c r="AF11" s="32">
        <v>4202</v>
      </c>
      <c r="AG11" s="32">
        <v>4707</v>
      </c>
      <c r="AH11" s="32">
        <v>4613</v>
      </c>
      <c r="AI11" s="32">
        <v>4448</v>
      </c>
      <c r="AJ11" s="32">
        <v>4530</v>
      </c>
      <c r="AK11" s="32">
        <v>4493</v>
      </c>
      <c r="AL11" s="32">
        <v>4358</v>
      </c>
      <c r="AM11" s="32">
        <v>4430</v>
      </c>
      <c r="AN11" s="32">
        <v>4447</v>
      </c>
      <c r="AO11" s="32">
        <v>4323</v>
      </c>
      <c r="AP11" s="32">
        <v>4173</v>
      </c>
      <c r="AQ11" s="32">
        <v>3931</v>
      </c>
      <c r="AR11" s="32">
        <v>3981</v>
      </c>
      <c r="AS11" s="32">
        <v>4143</v>
      </c>
      <c r="AT11" s="32">
        <v>4197</v>
      </c>
      <c r="AU11" s="32">
        <v>4086</v>
      </c>
      <c r="AV11" s="32">
        <v>4072</v>
      </c>
      <c r="AW11" s="32">
        <v>4086</v>
      </c>
      <c r="AX11" s="32">
        <v>4086</v>
      </c>
      <c r="AY11" s="32">
        <v>4098</v>
      </c>
      <c r="AZ11" s="32">
        <v>4098</v>
      </c>
      <c r="BA11" s="32">
        <v>4025</v>
      </c>
      <c r="BB11" s="32">
        <v>4025</v>
      </c>
      <c r="BC11" s="32">
        <v>4025</v>
      </c>
      <c r="BD11" s="32">
        <v>3912</v>
      </c>
      <c r="BE11" s="32">
        <v>3912</v>
      </c>
      <c r="BF11" s="32">
        <v>3912</v>
      </c>
      <c r="BG11" s="32">
        <v>3808</v>
      </c>
      <c r="BH11" s="32">
        <v>3808</v>
      </c>
      <c r="BI11" s="32">
        <v>3808</v>
      </c>
      <c r="BJ11" s="32">
        <v>4002</v>
      </c>
      <c r="BK11" s="32">
        <v>4002</v>
      </c>
      <c r="BL11" s="33">
        <v>4002</v>
      </c>
    </row>
    <row r="12" spans="1:64" ht="15.95" customHeight="1">
      <c r="A12" s="68" t="s">
        <v>269</v>
      </c>
      <c r="B12" s="28" t="s">
        <v>88</v>
      </c>
      <c r="C12" s="42">
        <f>_xll.RssMarket("1605","高値")</f>
        <v>3428</v>
      </c>
      <c r="D12" s="41">
        <f t="shared" si="0"/>
        <v>0</v>
      </c>
      <c r="E12" s="32">
        <v>3428</v>
      </c>
      <c r="F12" s="32">
        <v>3475</v>
      </c>
      <c r="G12" s="32">
        <v>3636</v>
      </c>
      <c r="H12" s="32">
        <v>3588</v>
      </c>
      <c r="I12" s="32">
        <v>3649</v>
      </c>
      <c r="J12" s="32">
        <v>3553</v>
      </c>
      <c r="K12" s="32">
        <v>3690</v>
      </c>
      <c r="L12" s="32">
        <v>3726</v>
      </c>
      <c r="M12" s="32">
        <v>3660</v>
      </c>
      <c r="N12" s="32">
        <v>3732</v>
      </c>
      <c r="O12" s="32">
        <v>3597</v>
      </c>
      <c r="P12" s="32">
        <v>3643</v>
      </c>
      <c r="Q12" s="32">
        <v>3722</v>
      </c>
      <c r="R12" s="32">
        <v>3727</v>
      </c>
      <c r="S12" s="32">
        <v>3791</v>
      </c>
      <c r="T12" s="32">
        <v>3849</v>
      </c>
      <c r="U12" s="32">
        <v>3934</v>
      </c>
      <c r="V12" s="32">
        <v>4026</v>
      </c>
      <c r="W12" s="32">
        <v>4049</v>
      </c>
      <c r="X12" s="32">
        <v>4002</v>
      </c>
      <c r="Y12" s="32">
        <v>3921</v>
      </c>
      <c r="Z12" s="32">
        <v>4007</v>
      </c>
      <c r="AA12" s="32">
        <v>3988</v>
      </c>
      <c r="AB12" s="32">
        <v>3910</v>
      </c>
      <c r="AC12" s="32">
        <v>3820</v>
      </c>
      <c r="AD12" s="32">
        <v>3912</v>
      </c>
      <c r="AE12" s="32">
        <v>4165</v>
      </c>
      <c r="AF12" s="32">
        <v>4180</v>
      </c>
      <c r="AG12" s="32">
        <v>4123</v>
      </c>
      <c r="AH12" s="32">
        <v>3984</v>
      </c>
      <c r="AI12" s="32">
        <v>4098</v>
      </c>
      <c r="AJ12" s="32">
        <v>3988</v>
      </c>
      <c r="AK12" s="32">
        <v>3912</v>
      </c>
      <c r="AL12" s="32">
        <v>3885</v>
      </c>
      <c r="AM12" s="32">
        <v>3959</v>
      </c>
      <c r="AN12" s="32">
        <v>4029</v>
      </c>
      <c r="AO12" s="32">
        <v>4063</v>
      </c>
      <c r="AP12" s="32">
        <v>4133</v>
      </c>
      <c r="AQ12" s="32">
        <v>4232</v>
      </c>
      <c r="AR12" s="32">
        <v>4388</v>
      </c>
      <c r="AS12" s="32">
        <v>4259</v>
      </c>
      <c r="AT12" s="32">
        <v>4279</v>
      </c>
      <c r="AU12" s="32">
        <v>4306</v>
      </c>
      <c r="AV12" s="32">
        <v>4634</v>
      </c>
      <c r="AW12" s="32">
        <v>4773</v>
      </c>
      <c r="AX12" s="32">
        <v>4680</v>
      </c>
      <c r="AY12" s="32">
        <v>4705</v>
      </c>
      <c r="AZ12" s="32">
        <v>4725</v>
      </c>
      <c r="BA12" s="32">
        <v>4932</v>
      </c>
      <c r="BB12" s="32">
        <v>4955</v>
      </c>
      <c r="BC12" s="32">
        <v>4900</v>
      </c>
      <c r="BD12" s="32">
        <v>4695</v>
      </c>
      <c r="BE12" s="32">
        <v>4624</v>
      </c>
      <c r="BF12" s="32">
        <v>4617</v>
      </c>
      <c r="BG12" s="32">
        <v>4607</v>
      </c>
      <c r="BH12" s="32">
        <v>4801</v>
      </c>
      <c r="BI12" s="32">
        <v>4720</v>
      </c>
      <c r="BJ12" s="32">
        <v>4575</v>
      </c>
      <c r="BK12" s="32">
        <v>4450</v>
      </c>
      <c r="BL12" s="33">
        <v>4435</v>
      </c>
    </row>
    <row r="13" spans="1:64" ht="15.95" customHeight="1">
      <c r="A13" s="68" t="s">
        <v>270</v>
      </c>
      <c r="B13" s="28" t="s">
        <v>89</v>
      </c>
      <c r="C13" s="42">
        <f>_xll.RssMarket("5703","高値")</f>
        <v>3065</v>
      </c>
      <c r="D13" s="41">
        <f t="shared" si="0"/>
        <v>0</v>
      </c>
      <c r="E13" s="32">
        <v>3065</v>
      </c>
      <c r="F13" s="32">
        <v>3085</v>
      </c>
      <c r="G13" s="32">
        <v>3130</v>
      </c>
      <c r="H13" s="32">
        <v>3105</v>
      </c>
      <c r="I13" s="32">
        <v>3005</v>
      </c>
      <c r="J13" s="32">
        <v>3140</v>
      </c>
      <c r="K13" s="32">
        <v>3205</v>
      </c>
      <c r="L13" s="32">
        <v>3255</v>
      </c>
      <c r="M13" s="32">
        <v>3275</v>
      </c>
      <c r="N13" s="32">
        <v>3290</v>
      </c>
      <c r="O13" s="32">
        <v>3190</v>
      </c>
      <c r="P13" s="32">
        <v>3270</v>
      </c>
      <c r="Q13" s="32">
        <v>3195</v>
      </c>
      <c r="R13" s="32">
        <v>3325</v>
      </c>
      <c r="S13" s="32">
        <v>3330</v>
      </c>
      <c r="T13" s="32">
        <v>3140</v>
      </c>
      <c r="U13" s="32">
        <v>3125</v>
      </c>
      <c r="V13" s="32">
        <v>3070</v>
      </c>
      <c r="W13" s="32">
        <v>3140</v>
      </c>
      <c r="X13" s="32">
        <v>3200</v>
      </c>
      <c r="Y13" s="32">
        <v>3260</v>
      </c>
      <c r="Z13" s="32">
        <v>3080</v>
      </c>
      <c r="AA13" s="32">
        <v>2965</v>
      </c>
      <c r="AB13" s="32">
        <v>2971</v>
      </c>
      <c r="AC13" s="32">
        <v>2966</v>
      </c>
      <c r="AD13" s="32">
        <v>2928</v>
      </c>
      <c r="AE13" s="32">
        <v>2939</v>
      </c>
      <c r="AF13" s="32">
        <v>2834</v>
      </c>
      <c r="AG13" s="32">
        <v>2854</v>
      </c>
      <c r="AH13" s="32">
        <v>2880</v>
      </c>
      <c r="AI13" s="32">
        <v>2909</v>
      </c>
      <c r="AJ13" s="32">
        <v>2879</v>
      </c>
      <c r="AK13" s="32">
        <v>2918</v>
      </c>
      <c r="AL13" s="32">
        <v>2939</v>
      </c>
      <c r="AM13" s="32">
        <v>3025</v>
      </c>
      <c r="AN13" s="32">
        <v>3005</v>
      </c>
      <c r="AO13" s="32">
        <v>3035</v>
      </c>
      <c r="AP13" s="32">
        <v>3050</v>
      </c>
      <c r="AQ13" s="32">
        <v>3090</v>
      </c>
      <c r="AR13" s="32">
        <v>3095</v>
      </c>
      <c r="AS13" s="32">
        <v>3030</v>
      </c>
      <c r="AT13" s="32">
        <v>3000</v>
      </c>
      <c r="AU13" s="32">
        <v>2988</v>
      </c>
      <c r="AV13" s="32">
        <v>2993</v>
      </c>
      <c r="AW13" s="32">
        <v>2900</v>
      </c>
      <c r="AX13" s="32">
        <v>2916</v>
      </c>
      <c r="AY13" s="32">
        <v>2879</v>
      </c>
      <c r="AZ13" s="32">
        <v>2917</v>
      </c>
      <c r="BA13" s="32">
        <v>2880</v>
      </c>
      <c r="BB13" s="32">
        <v>2794</v>
      </c>
      <c r="BC13" s="32">
        <v>2663</v>
      </c>
      <c r="BD13" s="32">
        <v>2732</v>
      </c>
      <c r="BE13" s="32">
        <v>2761</v>
      </c>
      <c r="BF13" s="32">
        <v>2746</v>
      </c>
      <c r="BG13" s="32">
        <v>2666</v>
      </c>
      <c r="BH13" s="32">
        <v>2590</v>
      </c>
      <c r="BI13" s="32">
        <v>2799</v>
      </c>
      <c r="BJ13" s="32">
        <v>2911</v>
      </c>
      <c r="BK13" s="32">
        <v>2846</v>
      </c>
      <c r="BL13" s="33">
        <v>2844</v>
      </c>
    </row>
    <row r="14" spans="1:64" ht="15.95" customHeight="1">
      <c r="A14" s="68" t="s">
        <v>271</v>
      </c>
      <c r="B14" s="28" t="s">
        <v>90</v>
      </c>
      <c r="C14" s="42">
        <f>_xll.RssMarket("8002","高値")</f>
        <v>5019</v>
      </c>
      <c r="D14" s="41">
        <f t="shared" si="0"/>
        <v>0</v>
      </c>
      <c r="E14" s="32">
        <v>5019</v>
      </c>
      <c r="F14" s="32">
        <v>5058</v>
      </c>
      <c r="G14" s="32">
        <v>5174</v>
      </c>
      <c r="H14" s="32">
        <v>4951</v>
      </c>
      <c r="I14" s="32">
        <v>4825</v>
      </c>
      <c r="J14" s="32">
        <v>4880</v>
      </c>
      <c r="K14" s="32">
        <v>4996</v>
      </c>
      <c r="L14" s="32">
        <v>5089</v>
      </c>
      <c r="M14" s="32">
        <v>5065</v>
      </c>
      <c r="N14" s="32">
        <v>5039</v>
      </c>
      <c r="O14" s="32">
        <v>4940</v>
      </c>
      <c r="P14" s="32">
        <v>5259</v>
      </c>
      <c r="Q14" s="32">
        <v>5264</v>
      </c>
      <c r="R14" s="32">
        <v>5411</v>
      </c>
      <c r="S14" s="32">
        <v>5367</v>
      </c>
      <c r="T14" s="32">
        <v>5356</v>
      </c>
      <c r="U14" s="32">
        <v>5477</v>
      </c>
      <c r="V14" s="32">
        <v>5486</v>
      </c>
      <c r="W14" s="32">
        <v>5725</v>
      </c>
      <c r="X14" s="32">
        <v>5849</v>
      </c>
      <c r="Y14" s="32">
        <v>6078</v>
      </c>
      <c r="Z14" s="32">
        <v>5928</v>
      </c>
      <c r="AA14" s="32">
        <v>5818</v>
      </c>
      <c r="AB14" s="32">
        <v>5608</v>
      </c>
      <c r="AC14" s="32">
        <v>5509</v>
      </c>
      <c r="AD14" s="32">
        <v>5535</v>
      </c>
      <c r="AE14" s="32">
        <v>5749</v>
      </c>
      <c r="AF14" s="32">
        <v>6160</v>
      </c>
      <c r="AG14" s="32">
        <v>6099</v>
      </c>
      <c r="AH14" s="32">
        <v>6106</v>
      </c>
      <c r="AI14" s="32">
        <v>5966</v>
      </c>
      <c r="AJ14" s="32">
        <v>6075</v>
      </c>
      <c r="AK14" s="32">
        <v>5986</v>
      </c>
      <c r="AL14" s="32">
        <v>5961</v>
      </c>
      <c r="AM14" s="32">
        <v>6020</v>
      </c>
      <c r="AN14" s="32">
        <v>5973</v>
      </c>
      <c r="AO14" s="32">
        <v>6040</v>
      </c>
      <c r="AP14" s="32">
        <v>6049</v>
      </c>
      <c r="AQ14" s="32">
        <v>6018</v>
      </c>
      <c r="AR14" s="32">
        <v>6033</v>
      </c>
      <c r="AS14" s="32">
        <v>6010</v>
      </c>
      <c r="AT14" s="32">
        <v>6071</v>
      </c>
      <c r="AU14" s="32">
        <v>6180</v>
      </c>
      <c r="AV14" s="32">
        <v>6230</v>
      </c>
      <c r="AW14" s="32">
        <v>5972</v>
      </c>
      <c r="AX14" s="32">
        <v>6019</v>
      </c>
      <c r="AY14" s="32">
        <v>6027</v>
      </c>
      <c r="AZ14" s="32">
        <v>6108</v>
      </c>
      <c r="BA14" s="32">
        <v>5993</v>
      </c>
      <c r="BB14" s="32">
        <v>5740</v>
      </c>
      <c r="BC14" s="32">
        <v>5766</v>
      </c>
      <c r="BD14" s="32">
        <v>5764</v>
      </c>
      <c r="BE14" s="32">
        <v>5732</v>
      </c>
      <c r="BF14" s="32">
        <v>5629</v>
      </c>
      <c r="BG14" s="32">
        <v>5376</v>
      </c>
      <c r="BH14" s="32">
        <v>5268</v>
      </c>
      <c r="BI14" s="32">
        <v>5700</v>
      </c>
      <c r="BJ14" s="32">
        <v>5894</v>
      </c>
      <c r="BK14" s="32">
        <v>5783</v>
      </c>
      <c r="BL14" s="33">
        <v>5675</v>
      </c>
    </row>
    <row r="15" spans="1:64" ht="15.95" customHeight="1">
      <c r="A15" s="68" t="s">
        <v>272</v>
      </c>
      <c r="B15" s="28" t="s">
        <v>91</v>
      </c>
      <c r="C15" s="42">
        <f>_xll.RssMarket("5021","高値")</f>
        <v>3693</v>
      </c>
      <c r="D15" s="41">
        <f t="shared" si="0"/>
        <v>0</v>
      </c>
      <c r="E15" s="32">
        <v>3693</v>
      </c>
      <c r="F15" s="32">
        <v>3699</v>
      </c>
      <c r="G15" s="32">
        <v>3707</v>
      </c>
      <c r="H15" s="32">
        <v>3584</v>
      </c>
      <c r="I15" s="32">
        <v>3540</v>
      </c>
      <c r="J15" s="32">
        <v>3500</v>
      </c>
      <c r="K15" s="32">
        <v>3592</v>
      </c>
      <c r="L15" s="32">
        <v>3688</v>
      </c>
      <c r="M15" s="32">
        <v>3790</v>
      </c>
      <c r="N15" s="32">
        <v>3835</v>
      </c>
      <c r="O15" s="32">
        <v>3746</v>
      </c>
      <c r="P15" s="32">
        <v>3789</v>
      </c>
      <c r="Q15" s="32">
        <v>3729</v>
      </c>
      <c r="R15" s="32">
        <v>3686</v>
      </c>
      <c r="S15" s="32">
        <v>3772</v>
      </c>
      <c r="T15" s="32">
        <v>3717</v>
      </c>
      <c r="U15" s="32">
        <v>3766</v>
      </c>
      <c r="V15" s="32">
        <v>3788</v>
      </c>
      <c r="W15" s="32">
        <v>3799</v>
      </c>
      <c r="X15" s="32">
        <v>3870</v>
      </c>
      <c r="Y15" s="32">
        <v>3885</v>
      </c>
      <c r="Z15" s="32">
        <v>3893</v>
      </c>
      <c r="AA15" s="32">
        <v>3916</v>
      </c>
      <c r="AB15" s="32">
        <v>4001</v>
      </c>
      <c r="AC15" s="32">
        <v>4016</v>
      </c>
      <c r="AD15" s="32">
        <v>3975</v>
      </c>
      <c r="AE15" s="32">
        <v>3951</v>
      </c>
      <c r="AF15" s="32">
        <v>3996</v>
      </c>
      <c r="AG15" s="32">
        <v>4011</v>
      </c>
      <c r="AH15" s="32">
        <v>3985</v>
      </c>
      <c r="AI15" s="32">
        <v>3946</v>
      </c>
      <c r="AJ15" s="32">
        <v>4038</v>
      </c>
      <c r="AK15" s="32">
        <v>4021</v>
      </c>
      <c r="AL15" s="32">
        <v>4236</v>
      </c>
      <c r="AM15" s="32">
        <v>4288</v>
      </c>
      <c r="AN15" s="32">
        <v>4316</v>
      </c>
      <c r="AO15" s="32">
        <v>4400</v>
      </c>
      <c r="AP15" s="32">
        <v>4406</v>
      </c>
      <c r="AQ15" s="32">
        <v>4393</v>
      </c>
      <c r="AR15" s="32">
        <v>4393</v>
      </c>
      <c r="AS15" s="32">
        <v>4467</v>
      </c>
      <c r="AT15" s="32">
        <v>4548</v>
      </c>
      <c r="AU15" s="32">
        <v>4580</v>
      </c>
      <c r="AV15" s="32">
        <v>4570</v>
      </c>
      <c r="AW15" s="32">
        <v>4566</v>
      </c>
      <c r="AX15" s="32">
        <v>4561</v>
      </c>
      <c r="AY15" s="32">
        <v>4530</v>
      </c>
      <c r="AZ15" s="32">
        <v>4579</v>
      </c>
      <c r="BA15" s="32">
        <v>4556</v>
      </c>
      <c r="BB15" s="32">
        <v>4578</v>
      </c>
      <c r="BC15" s="32">
        <v>4573</v>
      </c>
      <c r="BD15" s="32">
        <v>4622</v>
      </c>
      <c r="BE15" s="32">
        <v>4603</v>
      </c>
      <c r="BF15" s="32">
        <v>4650</v>
      </c>
      <c r="BG15" s="32">
        <v>4581</v>
      </c>
      <c r="BH15" s="32">
        <v>4540</v>
      </c>
      <c r="BI15" s="32">
        <v>4674</v>
      </c>
      <c r="BJ15" s="32">
        <v>4734</v>
      </c>
      <c r="BK15" s="32">
        <v>4582</v>
      </c>
      <c r="BL15" s="33">
        <v>4552</v>
      </c>
    </row>
    <row r="16" spans="1:64" ht="15.95" customHeight="1">
      <c r="A16" s="68" t="s">
        <v>273</v>
      </c>
      <c r="B16" s="28" t="s">
        <v>92</v>
      </c>
      <c r="C16" s="42">
        <f>_xll.RssMarket("8058","高値")</f>
        <v>4672</v>
      </c>
      <c r="D16" s="41">
        <f t="shared" si="0"/>
        <v>0</v>
      </c>
      <c r="E16" s="32">
        <v>4672</v>
      </c>
      <c r="F16" s="32">
        <v>4739</v>
      </c>
      <c r="G16" s="32">
        <v>4872</v>
      </c>
      <c r="H16" s="32">
        <v>4712</v>
      </c>
      <c r="I16" s="32">
        <v>4608</v>
      </c>
      <c r="J16" s="32">
        <v>4755</v>
      </c>
      <c r="K16" s="32">
        <v>4849</v>
      </c>
      <c r="L16" s="32">
        <v>4967</v>
      </c>
      <c r="M16" s="32">
        <v>4999</v>
      </c>
      <c r="N16" s="32">
        <v>5004</v>
      </c>
      <c r="O16" s="32">
        <v>5019</v>
      </c>
      <c r="P16" s="32">
        <v>5088</v>
      </c>
      <c r="Q16" s="32">
        <v>5144</v>
      </c>
      <c r="R16" s="32">
        <v>5217</v>
      </c>
      <c r="S16" s="32">
        <v>5419</v>
      </c>
      <c r="T16" s="32">
        <v>5450</v>
      </c>
      <c r="U16" s="32">
        <v>5510</v>
      </c>
      <c r="V16" s="32">
        <v>5582</v>
      </c>
      <c r="W16" s="32">
        <v>5604</v>
      </c>
      <c r="X16" s="32">
        <v>5800</v>
      </c>
      <c r="Y16" s="32">
        <v>6012</v>
      </c>
      <c r="Z16" s="32">
        <v>5939</v>
      </c>
      <c r="AA16" s="32">
        <v>5935</v>
      </c>
      <c r="AB16" s="32">
        <v>5508</v>
      </c>
      <c r="AC16" s="32">
        <v>5317</v>
      </c>
      <c r="AD16" s="32">
        <v>5350</v>
      </c>
      <c r="AE16" s="32">
        <v>5411</v>
      </c>
      <c r="AF16" s="32">
        <v>5445</v>
      </c>
      <c r="AG16" s="32">
        <v>4990</v>
      </c>
      <c r="AH16" s="32">
        <v>4928</v>
      </c>
      <c r="AI16" s="32">
        <v>4849</v>
      </c>
      <c r="AJ16" s="32">
        <v>4980</v>
      </c>
      <c r="AK16" s="32">
        <v>4828</v>
      </c>
      <c r="AL16" s="32">
        <v>4840</v>
      </c>
      <c r="AM16" s="32">
        <v>4914</v>
      </c>
      <c r="AN16" s="32">
        <v>5016</v>
      </c>
      <c r="AO16" s="32">
        <v>5080</v>
      </c>
      <c r="AP16" s="32">
        <v>5099</v>
      </c>
      <c r="AQ16" s="32">
        <v>5239</v>
      </c>
      <c r="AR16" s="32">
        <v>5330</v>
      </c>
      <c r="AS16" s="32">
        <v>5433</v>
      </c>
      <c r="AT16" s="32">
        <v>5449</v>
      </c>
      <c r="AU16" s="32">
        <v>5516</v>
      </c>
      <c r="AV16" s="32">
        <v>5651</v>
      </c>
      <c r="AW16" s="32">
        <v>5488</v>
      </c>
      <c r="AX16" s="32">
        <v>5476</v>
      </c>
      <c r="AY16" s="32">
        <v>5490</v>
      </c>
      <c r="AZ16" s="32">
        <v>5639</v>
      </c>
      <c r="BA16" s="32">
        <v>5495</v>
      </c>
      <c r="BB16" s="32">
        <v>5585</v>
      </c>
      <c r="BC16" s="32">
        <v>5726</v>
      </c>
      <c r="BD16" s="32">
        <v>5787</v>
      </c>
      <c r="BE16" s="32">
        <v>5660</v>
      </c>
      <c r="BF16" s="32">
        <v>5612</v>
      </c>
      <c r="BG16" s="32">
        <v>5461</v>
      </c>
      <c r="BH16" s="32">
        <v>5301</v>
      </c>
      <c r="BI16" s="32">
        <v>5593</v>
      </c>
      <c r="BJ16" s="32">
        <v>5755</v>
      </c>
      <c r="BK16" s="32">
        <v>5404</v>
      </c>
      <c r="BL16" s="33">
        <v>5315</v>
      </c>
    </row>
    <row r="17" spans="1:64" ht="15.95" customHeight="1">
      <c r="A17" s="68" t="s">
        <v>274</v>
      </c>
      <c r="B17" s="28" t="s">
        <v>93</v>
      </c>
      <c r="C17" s="42">
        <f>_xll.RssMarket("5333","高値")</f>
        <v>6974</v>
      </c>
      <c r="D17" s="41">
        <f t="shared" si="0"/>
        <v>0</v>
      </c>
      <c r="E17" s="32">
        <v>6974</v>
      </c>
      <c r="F17" s="32">
        <v>6807</v>
      </c>
      <c r="G17" s="32">
        <v>6640</v>
      </c>
      <c r="H17" s="32">
        <v>6347</v>
      </c>
      <c r="I17" s="32">
        <v>5962</v>
      </c>
      <c r="J17" s="32">
        <v>6198</v>
      </c>
      <c r="K17" s="32">
        <v>6185</v>
      </c>
      <c r="L17" s="32">
        <v>6615</v>
      </c>
      <c r="M17" s="32">
        <v>6431</v>
      </c>
      <c r="N17" s="32">
        <v>6538</v>
      </c>
      <c r="O17" s="32">
        <v>6350</v>
      </c>
      <c r="P17" s="32">
        <v>6395</v>
      </c>
      <c r="Q17" s="32">
        <v>6143</v>
      </c>
      <c r="R17" s="32">
        <v>6483</v>
      </c>
      <c r="S17" s="32">
        <v>6260</v>
      </c>
      <c r="T17" s="32">
        <v>5912</v>
      </c>
      <c r="U17" s="32">
        <v>5742</v>
      </c>
      <c r="V17" s="32">
        <v>5485</v>
      </c>
      <c r="W17" s="32">
        <v>5678</v>
      </c>
      <c r="X17" s="32">
        <v>5755</v>
      </c>
      <c r="Y17" s="32">
        <v>5892</v>
      </c>
      <c r="Z17" s="32">
        <v>5838</v>
      </c>
      <c r="AA17" s="32">
        <v>5749</v>
      </c>
      <c r="AB17" s="32">
        <v>5707</v>
      </c>
      <c r="AC17" s="32">
        <v>5604</v>
      </c>
      <c r="AD17" s="32">
        <v>5415</v>
      </c>
      <c r="AE17" s="32">
        <v>5420</v>
      </c>
      <c r="AF17" s="32">
        <v>5142</v>
      </c>
      <c r="AG17" s="32">
        <v>5035</v>
      </c>
      <c r="AH17" s="32">
        <v>4680</v>
      </c>
      <c r="AI17" s="32">
        <v>4670</v>
      </c>
      <c r="AJ17" s="32">
        <v>4470</v>
      </c>
      <c r="AK17" s="32">
        <v>4459</v>
      </c>
      <c r="AL17" s="32">
        <v>4528</v>
      </c>
      <c r="AM17" s="32">
        <v>4595</v>
      </c>
      <c r="AN17" s="32">
        <v>4569</v>
      </c>
      <c r="AO17" s="32">
        <v>4537</v>
      </c>
      <c r="AP17" s="32">
        <v>4586</v>
      </c>
      <c r="AQ17" s="32">
        <v>4553</v>
      </c>
      <c r="AR17" s="32">
        <v>4465</v>
      </c>
      <c r="AS17" s="32">
        <v>4474</v>
      </c>
      <c r="AT17" s="32">
        <v>4491</v>
      </c>
      <c r="AU17" s="32">
        <v>4453</v>
      </c>
      <c r="AV17" s="32">
        <v>4400</v>
      </c>
      <c r="AW17" s="32">
        <v>4167</v>
      </c>
      <c r="AX17" s="32">
        <v>4183</v>
      </c>
      <c r="AY17" s="32">
        <v>4141</v>
      </c>
      <c r="AZ17" s="32">
        <v>4244</v>
      </c>
      <c r="BA17" s="32">
        <v>4206</v>
      </c>
      <c r="BB17" s="32">
        <v>4061</v>
      </c>
      <c r="BC17" s="32">
        <v>4014</v>
      </c>
      <c r="BD17" s="32">
        <v>4164</v>
      </c>
      <c r="BE17" s="32">
        <v>4184</v>
      </c>
      <c r="BF17" s="32">
        <v>4172</v>
      </c>
      <c r="BG17" s="32">
        <v>3957</v>
      </c>
      <c r="BH17" s="32">
        <v>3823</v>
      </c>
      <c r="BI17" s="32">
        <v>4043</v>
      </c>
      <c r="BJ17" s="32">
        <v>4180</v>
      </c>
      <c r="BK17" s="32">
        <v>4137</v>
      </c>
      <c r="BL17" s="33">
        <v>4066</v>
      </c>
    </row>
    <row r="18" spans="1:64" ht="15.95" customHeight="1">
      <c r="A18" s="68" t="s">
        <v>275</v>
      </c>
      <c r="B18" s="28" t="s">
        <v>94</v>
      </c>
      <c r="C18" s="42">
        <f>_xll.RssMarket("1662","高値")</f>
        <v>1660</v>
      </c>
      <c r="D18" s="41">
        <f t="shared" si="0"/>
        <v>0</v>
      </c>
      <c r="E18" s="32">
        <v>1660</v>
      </c>
      <c r="F18" s="32">
        <v>1663</v>
      </c>
      <c r="G18" s="32">
        <v>1697</v>
      </c>
      <c r="H18" s="32">
        <v>1662</v>
      </c>
      <c r="I18" s="32">
        <v>1718</v>
      </c>
      <c r="J18" s="32">
        <v>1733</v>
      </c>
      <c r="K18" s="32">
        <v>1749</v>
      </c>
      <c r="L18" s="32">
        <v>1769</v>
      </c>
      <c r="M18" s="32">
        <v>1749</v>
      </c>
      <c r="N18" s="32">
        <v>1798</v>
      </c>
      <c r="O18" s="32">
        <v>1808</v>
      </c>
      <c r="P18" s="32">
        <v>1837</v>
      </c>
      <c r="Q18" s="32">
        <v>1887</v>
      </c>
      <c r="R18" s="32">
        <v>1894</v>
      </c>
      <c r="S18" s="32">
        <v>1895</v>
      </c>
      <c r="T18" s="32">
        <v>1921</v>
      </c>
      <c r="U18" s="32">
        <v>1927</v>
      </c>
      <c r="V18" s="32">
        <v>2046</v>
      </c>
      <c r="W18" s="32">
        <v>1998</v>
      </c>
      <c r="X18" s="32">
        <v>1989</v>
      </c>
      <c r="Y18" s="32">
        <v>2001</v>
      </c>
      <c r="Z18" s="32">
        <v>2012</v>
      </c>
      <c r="AA18" s="32">
        <v>2248</v>
      </c>
      <c r="AB18" s="32">
        <v>2211</v>
      </c>
      <c r="AC18" s="32">
        <v>2196</v>
      </c>
      <c r="AD18" s="32">
        <v>2165</v>
      </c>
      <c r="AE18" s="32">
        <v>2127</v>
      </c>
      <c r="AF18" s="32">
        <v>2254</v>
      </c>
      <c r="AG18" s="32">
        <v>2339</v>
      </c>
      <c r="AH18" s="32">
        <v>2295</v>
      </c>
      <c r="AI18" s="32">
        <v>2230</v>
      </c>
      <c r="AJ18" s="32">
        <v>2303</v>
      </c>
      <c r="AK18" s="32">
        <v>2323</v>
      </c>
      <c r="AL18" s="32">
        <v>2217</v>
      </c>
      <c r="AM18" s="32">
        <v>2176</v>
      </c>
      <c r="AN18" s="32">
        <v>2265</v>
      </c>
      <c r="AO18" s="32">
        <v>2426</v>
      </c>
      <c r="AP18" s="32">
        <v>2419</v>
      </c>
      <c r="AQ18" s="32">
        <v>2458</v>
      </c>
      <c r="AR18" s="32">
        <v>2512</v>
      </c>
      <c r="AS18" s="32">
        <v>2529</v>
      </c>
      <c r="AT18" s="32">
        <v>2525</v>
      </c>
      <c r="AU18" s="32">
        <v>2525</v>
      </c>
      <c r="AV18" s="32">
        <v>2504</v>
      </c>
      <c r="AW18" s="32">
        <v>2609</v>
      </c>
      <c r="AX18" s="32">
        <v>2580</v>
      </c>
      <c r="AY18" s="32">
        <v>2580</v>
      </c>
      <c r="AZ18" s="32">
        <v>2589</v>
      </c>
      <c r="BA18" s="32">
        <v>2625</v>
      </c>
      <c r="BB18" s="32">
        <v>2716</v>
      </c>
      <c r="BC18" s="32">
        <v>2716</v>
      </c>
      <c r="BD18" s="32">
        <v>2665</v>
      </c>
      <c r="BE18" s="32">
        <v>2612</v>
      </c>
      <c r="BF18" s="32">
        <v>2602</v>
      </c>
      <c r="BG18" s="32">
        <v>2573</v>
      </c>
      <c r="BH18" s="32">
        <v>2627</v>
      </c>
      <c r="BI18" s="32">
        <v>2785</v>
      </c>
      <c r="BJ18" s="32">
        <v>2819</v>
      </c>
      <c r="BK18" s="32">
        <v>2687</v>
      </c>
      <c r="BL18" s="33">
        <v>2647</v>
      </c>
    </row>
    <row r="19" spans="1:64" ht="15.95" customHeight="1">
      <c r="A19" s="68" t="s">
        <v>276</v>
      </c>
      <c r="B19" s="28" t="s">
        <v>95</v>
      </c>
      <c r="C19" s="42">
        <f>_xll.RssMarket("8411","高値")</f>
        <v>8120</v>
      </c>
      <c r="D19" s="41">
        <f t="shared" si="0"/>
        <v>0</v>
      </c>
      <c r="E19" s="32">
        <v>8120</v>
      </c>
      <c r="F19" s="32">
        <v>7845</v>
      </c>
      <c r="G19" s="32">
        <v>7958</v>
      </c>
      <c r="H19" s="32">
        <v>7706</v>
      </c>
      <c r="I19" s="32">
        <v>7479</v>
      </c>
      <c r="J19" s="32">
        <v>7855</v>
      </c>
      <c r="K19" s="32">
        <v>7686</v>
      </c>
      <c r="L19" s="32">
        <v>7966</v>
      </c>
      <c r="M19" s="32">
        <v>7796</v>
      </c>
      <c r="N19" s="32">
        <v>7687</v>
      </c>
      <c r="O19" s="32">
        <v>7346</v>
      </c>
      <c r="P19" s="32">
        <v>7286</v>
      </c>
      <c r="Q19" s="32">
        <v>7140</v>
      </c>
      <c r="R19" s="32">
        <v>7313</v>
      </c>
      <c r="S19" s="32">
        <v>7396</v>
      </c>
      <c r="T19" s="32">
        <v>7528</v>
      </c>
      <c r="U19" s="32">
        <v>7413</v>
      </c>
      <c r="V19" s="32">
        <v>7130</v>
      </c>
      <c r="W19" s="32">
        <v>6908</v>
      </c>
      <c r="X19" s="32">
        <v>6583</v>
      </c>
      <c r="Y19" s="32">
        <v>7132</v>
      </c>
      <c r="Z19" s="32">
        <v>7124</v>
      </c>
      <c r="AA19" s="32">
        <v>7074</v>
      </c>
      <c r="AB19" s="32">
        <v>7006</v>
      </c>
      <c r="AC19" s="32">
        <v>6968</v>
      </c>
      <c r="AD19" s="32">
        <v>6807</v>
      </c>
      <c r="AE19" s="32">
        <v>6980</v>
      </c>
      <c r="AF19" s="32">
        <v>6731</v>
      </c>
      <c r="AG19" s="32">
        <v>6919</v>
      </c>
      <c r="AH19" s="32">
        <v>6966</v>
      </c>
      <c r="AI19" s="32">
        <v>6663</v>
      </c>
      <c r="AJ19" s="32">
        <v>6556</v>
      </c>
      <c r="AK19" s="32">
        <v>6601</v>
      </c>
      <c r="AL19" s="32">
        <v>6664</v>
      </c>
      <c r="AM19" s="32">
        <v>6775</v>
      </c>
      <c r="AN19" s="32">
        <v>6888</v>
      </c>
      <c r="AO19" s="32">
        <v>6863</v>
      </c>
      <c r="AP19" s="32">
        <v>7029</v>
      </c>
      <c r="AQ19" s="32">
        <v>7059</v>
      </c>
      <c r="AR19" s="32">
        <v>6858</v>
      </c>
      <c r="AS19" s="32">
        <v>6851</v>
      </c>
      <c r="AT19" s="32">
        <v>6809</v>
      </c>
      <c r="AU19" s="32">
        <v>6938</v>
      </c>
      <c r="AV19" s="32">
        <v>6950</v>
      </c>
      <c r="AW19" s="32">
        <v>6584</v>
      </c>
      <c r="AX19" s="32">
        <v>6549</v>
      </c>
      <c r="AY19" s="32">
        <v>6558</v>
      </c>
      <c r="AZ19" s="32">
        <v>6713</v>
      </c>
      <c r="BA19" s="32">
        <v>6630</v>
      </c>
      <c r="BB19" s="32">
        <v>6297</v>
      </c>
      <c r="BC19" s="32">
        <v>6158</v>
      </c>
      <c r="BD19" s="32">
        <v>6402</v>
      </c>
      <c r="BE19" s="32">
        <v>6497</v>
      </c>
      <c r="BF19" s="32">
        <v>6484</v>
      </c>
      <c r="BG19" s="32">
        <v>6193</v>
      </c>
      <c r="BH19" s="32">
        <v>5973</v>
      </c>
      <c r="BI19" s="32">
        <v>6226</v>
      </c>
      <c r="BJ19" s="32">
        <v>6343</v>
      </c>
      <c r="BK19" s="32">
        <v>6260</v>
      </c>
      <c r="BL19" s="33">
        <v>6125</v>
      </c>
    </row>
    <row r="20" spans="1:64" ht="15.95" customHeight="1">
      <c r="A20" s="68" t="s">
        <v>277</v>
      </c>
      <c r="B20" s="28" t="s">
        <v>96</v>
      </c>
      <c r="C20" s="42">
        <f>_xll.RssMarket("5541","高値")</f>
        <v>2316</v>
      </c>
      <c r="D20" s="41">
        <f t="shared" si="0"/>
        <v>0</v>
      </c>
      <c r="E20" s="32">
        <v>2316</v>
      </c>
      <c r="F20" s="32">
        <v>2330</v>
      </c>
      <c r="G20" s="32">
        <v>2339</v>
      </c>
      <c r="H20" s="32">
        <v>2193</v>
      </c>
      <c r="I20" s="32">
        <v>2110</v>
      </c>
      <c r="J20" s="32">
        <v>2159</v>
      </c>
      <c r="K20" s="32">
        <v>2232</v>
      </c>
      <c r="L20" s="32">
        <v>2304</v>
      </c>
      <c r="M20" s="32">
        <v>2310</v>
      </c>
      <c r="N20" s="32">
        <v>2348</v>
      </c>
      <c r="O20" s="32">
        <v>2256</v>
      </c>
      <c r="P20" s="32">
        <v>2362</v>
      </c>
      <c r="Q20" s="32">
        <v>2278</v>
      </c>
      <c r="R20" s="32">
        <v>2388</v>
      </c>
      <c r="S20" s="32">
        <v>2247</v>
      </c>
      <c r="T20" s="32">
        <v>2180</v>
      </c>
      <c r="U20" s="32">
        <v>2181</v>
      </c>
      <c r="V20" s="32">
        <v>2203</v>
      </c>
      <c r="W20" s="32">
        <v>2254</v>
      </c>
      <c r="X20" s="32">
        <v>2403</v>
      </c>
      <c r="Y20" s="32">
        <v>2475</v>
      </c>
      <c r="Z20" s="32">
        <v>2477</v>
      </c>
      <c r="AA20" s="32">
        <v>2548</v>
      </c>
      <c r="AB20" s="32">
        <v>2678</v>
      </c>
      <c r="AC20" s="32">
        <v>2653</v>
      </c>
      <c r="AD20" s="32">
        <v>2669</v>
      </c>
      <c r="AE20" s="32">
        <v>2632</v>
      </c>
      <c r="AF20" s="32">
        <v>2559</v>
      </c>
      <c r="AG20" s="32">
        <v>2680</v>
      </c>
      <c r="AH20" s="32">
        <v>2444</v>
      </c>
      <c r="AI20" s="32">
        <v>2488</v>
      </c>
      <c r="AJ20" s="32">
        <v>2535</v>
      </c>
      <c r="AK20" s="32">
        <v>2519</v>
      </c>
      <c r="AL20" s="32">
        <v>2574</v>
      </c>
      <c r="AM20" s="32">
        <v>2597</v>
      </c>
      <c r="AN20" s="32">
        <v>2650</v>
      </c>
      <c r="AO20" s="32">
        <v>2734</v>
      </c>
      <c r="AP20" s="32">
        <v>2738</v>
      </c>
      <c r="AQ20" s="32">
        <v>2695</v>
      </c>
      <c r="AR20" s="32">
        <v>2675</v>
      </c>
      <c r="AS20" s="32">
        <v>2719</v>
      </c>
      <c r="AT20" s="32">
        <v>2808</v>
      </c>
      <c r="AU20" s="32">
        <v>2839</v>
      </c>
      <c r="AV20" s="32">
        <v>2694</v>
      </c>
      <c r="AW20" s="32">
        <v>2805</v>
      </c>
      <c r="AX20" s="32">
        <v>2718</v>
      </c>
      <c r="AY20" s="32">
        <v>2800</v>
      </c>
      <c r="AZ20" s="32">
        <v>2764</v>
      </c>
      <c r="BA20" s="32">
        <v>2711</v>
      </c>
      <c r="BB20" s="32">
        <v>2725</v>
      </c>
      <c r="BC20" s="32">
        <v>2849</v>
      </c>
      <c r="BD20" s="32">
        <v>2830</v>
      </c>
      <c r="BE20" s="32">
        <v>2886</v>
      </c>
      <c r="BF20" s="32">
        <v>2830</v>
      </c>
      <c r="BG20" s="32">
        <v>2780</v>
      </c>
      <c r="BH20" s="32">
        <v>3175</v>
      </c>
      <c r="BI20" s="32">
        <v>3140</v>
      </c>
      <c r="BJ20" s="32">
        <v>3125</v>
      </c>
      <c r="BK20" s="32">
        <v>3115</v>
      </c>
      <c r="BL20" s="33">
        <v>3220</v>
      </c>
    </row>
    <row r="21" spans="1:64" ht="15.95" customHeight="1">
      <c r="A21" s="68" t="s">
        <v>278</v>
      </c>
      <c r="B21" s="28" t="s">
        <v>97</v>
      </c>
      <c r="C21" s="42">
        <f>_xll.RssMarket("5332","高値")</f>
        <v>8297</v>
      </c>
      <c r="D21" s="41">
        <f t="shared" si="0"/>
        <v>0</v>
      </c>
      <c r="E21" s="32">
        <v>8297</v>
      </c>
      <c r="F21" s="32">
        <v>8362</v>
      </c>
      <c r="G21" s="32">
        <v>8241</v>
      </c>
      <c r="H21" s="32">
        <v>7799</v>
      </c>
      <c r="I21" s="32">
        <v>7511</v>
      </c>
      <c r="J21" s="32">
        <v>7609</v>
      </c>
      <c r="K21" s="32">
        <v>7709</v>
      </c>
      <c r="L21" s="32">
        <v>8185</v>
      </c>
      <c r="M21" s="32">
        <v>8332</v>
      </c>
      <c r="N21" s="32">
        <v>8049</v>
      </c>
      <c r="O21" s="32">
        <v>7442</v>
      </c>
      <c r="P21" s="32">
        <v>7799</v>
      </c>
      <c r="Q21" s="32">
        <v>7410</v>
      </c>
      <c r="R21" s="32">
        <v>7486</v>
      </c>
      <c r="S21" s="32">
        <v>7086</v>
      </c>
      <c r="T21" s="32">
        <v>6873</v>
      </c>
      <c r="U21" s="32">
        <v>6698</v>
      </c>
      <c r="V21" s="32">
        <v>6625</v>
      </c>
      <c r="W21" s="32">
        <v>6928</v>
      </c>
      <c r="X21" s="32">
        <v>7171</v>
      </c>
      <c r="Y21" s="32">
        <v>7380</v>
      </c>
      <c r="Z21" s="32">
        <v>7289</v>
      </c>
      <c r="AA21" s="32">
        <v>6970</v>
      </c>
      <c r="AB21" s="32">
        <v>7270</v>
      </c>
      <c r="AC21" s="32">
        <v>7290</v>
      </c>
      <c r="AD21" s="32">
        <v>7104</v>
      </c>
      <c r="AE21" s="32">
        <v>7011</v>
      </c>
      <c r="AF21" s="32">
        <v>6425</v>
      </c>
      <c r="AG21" s="32">
        <v>5497</v>
      </c>
      <c r="AH21" s="32">
        <v>5440</v>
      </c>
      <c r="AI21" s="32">
        <v>5459</v>
      </c>
      <c r="AJ21" s="32">
        <v>5375</v>
      </c>
      <c r="AK21" s="32">
        <v>5260</v>
      </c>
      <c r="AL21" s="32">
        <v>5360</v>
      </c>
      <c r="AM21" s="32">
        <v>5524</v>
      </c>
      <c r="AN21" s="32">
        <v>5630</v>
      </c>
      <c r="AO21" s="32">
        <v>5596</v>
      </c>
      <c r="AP21" s="32">
        <v>5765</v>
      </c>
      <c r="AQ21" s="32">
        <v>5611</v>
      </c>
      <c r="AR21" s="32">
        <v>5565</v>
      </c>
      <c r="AS21" s="32">
        <v>5763</v>
      </c>
      <c r="AT21" s="32">
        <v>5794</v>
      </c>
      <c r="AU21" s="32">
        <v>5779</v>
      </c>
      <c r="AV21" s="32">
        <v>5722</v>
      </c>
      <c r="AW21" s="32">
        <v>5475</v>
      </c>
      <c r="AX21" s="32">
        <v>5303</v>
      </c>
      <c r="AY21" s="32">
        <v>5252</v>
      </c>
      <c r="AZ21" s="32">
        <v>5383</v>
      </c>
      <c r="BA21" s="32">
        <v>5297</v>
      </c>
      <c r="BB21" s="32">
        <v>5221</v>
      </c>
      <c r="BC21" s="32">
        <v>5297</v>
      </c>
      <c r="BD21" s="32">
        <v>5490</v>
      </c>
      <c r="BE21" s="32">
        <v>5946</v>
      </c>
      <c r="BF21" s="32">
        <v>5945</v>
      </c>
      <c r="BG21" s="32">
        <v>5692</v>
      </c>
      <c r="BH21" s="32">
        <v>5588</v>
      </c>
      <c r="BI21" s="32">
        <v>5763</v>
      </c>
      <c r="BJ21" s="32">
        <v>5941</v>
      </c>
      <c r="BK21" s="32">
        <v>5891</v>
      </c>
      <c r="BL21" s="33">
        <v>5822</v>
      </c>
    </row>
    <row r="22" spans="1:64" ht="15.95" customHeight="1">
      <c r="A22" s="68" t="s">
        <v>279</v>
      </c>
      <c r="B22" s="28" t="s">
        <v>98</v>
      </c>
      <c r="C22" s="42">
        <f>_xll.RssMarket("8725","高値")</f>
        <v>4689</v>
      </c>
      <c r="D22" s="41">
        <f t="shared" si="0"/>
        <v>0</v>
      </c>
      <c r="E22" s="32">
        <v>4689</v>
      </c>
      <c r="F22" s="32">
        <v>4626</v>
      </c>
      <c r="G22" s="32">
        <v>4742</v>
      </c>
      <c r="H22" s="32">
        <v>4676</v>
      </c>
      <c r="I22" s="32">
        <v>4590</v>
      </c>
      <c r="J22" s="32">
        <v>4706</v>
      </c>
      <c r="K22" s="32">
        <v>4402</v>
      </c>
      <c r="L22" s="32">
        <v>4394</v>
      </c>
      <c r="M22" s="32">
        <v>4284</v>
      </c>
      <c r="N22" s="32">
        <v>4365</v>
      </c>
      <c r="O22" s="32">
        <v>4298</v>
      </c>
      <c r="P22" s="32">
        <v>4333</v>
      </c>
      <c r="Q22" s="32">
        <v>4288</v>
      </c>
      <c r="R22" s="32">
        <v>4295</v>
      </c>
      <c r="S22" s="32">
        <v>4245</v>
      </c>
      <c r="T22" s="32">
        <v>4341</v>
      </c>
      <c r="U22" s="32">
        <v>4475</v>
      </c>
      <c r="V22" s="32">
        <v>4522</v>
      </c>
      <c r="W22" s="32">
        <v>4536</v>
      </c>
      <c r="X22" s="32">
        <v>4491</v>
      </c>
      <c r="Y22" s="32">
        <v>4437</v>
      </c>
      <c r="Z22" s="32">
        <v>4427</v>
      </c>
      <c r="AA22" s="32">
        <v>4415</v>
      </c>
      <c r="AB22" s="32">
        <v>4285</v>
      </c>
      <c r="AC22" s="32">
        <v>4032</v>
      </c>
      <c r="AD22" s="32">
        <v>4013</v>
      </c>
      <c r="AE22" s="32">
        <v>4044</v>
      </c>
      <c r="AF22" s="32">
        <v>4004</v>
      </c>
      <c r="AG22" s="32">
        <v>4034</v>
      </c>
      <c r="AH22" s="32">
        <v>4028</v>
      </c>
      <c r="AI22" s="32">
        <v>3939</v>
      </c>
      <c r="AJ22" s="32">
        <v>4001</v>
      </c>
      <c r="AK22" s="32">
        <v>3979</v>
      </c>
      <c r="AL22" s="32">
        <v>4036</v>
      </c>
      <c r="AM22" s="32">
        <v>4057</v>
      </c>
      <c r="AN22" s="32">
        <v>4102</v>
      </c>
      <c r="AO22" s="32">
        <v>4134</v>
      </c>
      <c r="AP22" s="32">
        <v>4134</v>
      </c>
      <c r="AQ22" s="32">
        <v>4090</v>
      </c>
      <c r="AR22" s="32">
        <v>4112</v>
      </c>
      <c r="AS22" s="32">
        <v>4099</v>
      </c>
      <c r="AT22" s="32">
        <v>4123</v>
      </c>
      <c r="AU22" s="32">
        <v>4167</v>
      </c>
      <c r="AV22" s="32">
        <v>4245</v>
      </c>
      <c r="AW22" s="32">
        <v>4149</v>
      </c>
      <c r="AX22" s="32">
        <v>4150</v>
      </c>
      <c r="AY22" s="32">
        <v>4143</v>
      </c>
      <c r="AZ22" s="32">
        <v>4224</v>
      </c>
      <c r="BA22" s="32">
        <v>4207</v>
      </c>
      <c r="BB22" s="32">
        <v>4134</v>
      </c>
      <c r="BC22" s="32">
        <v>4049</v>
      </c>
      <c r="BD22" s="32">
        <v>4240</v>
      </c>
      <c r="BE22" s="32">
        <v>4220</v>
      </c>
      <c r="BF22" s="32">
        <v>4247</v>
      </c>
      <c r="BG22" s="32">
        <v>4093</v>
      </c>
      <c r="BH22" s="32">
        <v>3955</v>
      </c>
      <c r="BI22" s="32">
        <v>4093</v>
      </c>
      <c r="BJ22" s="32">
        <v>4151</v>
      </c>
      <c r="BK22" s="32">
        <v>4057</v>
      </c>
      <c r="BL22" s="33">
        <v>4056</v>
      </c>
    </row>
    <row r="23" spans="1:64" ht="15.95" customHeight="1">
      <c r="A23" s="68" t="s">
        <v>280</v>
      </c>
      <c r="B23" s="28" t="s">
        <v>99</v>
      </c>
      <c r="C23" s="42">
        <f>_xll.RssMarket("8795","高値")</f>
        <v>5017</v>
      </c>
      <c r="D23" s="41">
        <f t="shared" si="0"/>
        <v>0</v>
      </c>
      <c r="E23" s="32">
        <v>5017</v>
      </c>
      <c r="F23" s="32">
        <v>4914</v>
      </c>
      <c r="G23" s="32">
        <v>4900</v>
      </c>
      <c r="H23" s="32">
        <v>4755</v>
      </c>
      <c r="I23" s="32">
        <v>4786</v>
      </c>
      <c r="J23" s="32">
        <v>4981</v>
      </c>
      <c r="K23" s="32">
        <v>4482</v>
      </c>
      <c r="L23" s="32">
        <v>4475</v>
      </c>
      <c r="M23" s="32">
        <v>4231</v>
      </c>
      <c r="N23" s="32">
        <v>4258</v>
      </c>
      <c r="O23" s="32">
        <v>4253</v>
      </c>
      <c r="P23" s="32">
        <v>4224</v>
      </c>
      <c r="Q23" s="32">
        <v>4135</v>
      </c>
      <c r="R23" s="32">
        <v>4159</v>
      </c>
      <c r="S23" s="32">
        <v>4148</v>
      </c>
      <c r="T23" s="32">
        <v>4154</v>
      </c>
      <c r="U23" s="32">
        <v>4168</v>
      </c>
      <c r="V23" s="32">
        <v>4230</v>
      </c>
      <c r="W23" s="32">
        <v>4204</v>
      </c>
      <c r="X23" s="32">
        <v>4046</v>
      </c>
      <c r="Y23" s="32">
        <v>4058</v>
      </c>
      <c r="Z23" s="32">
        <v>4002</v>
      </c>
      <c r="AA23" s="32">
        <v>4040</v>
      </c>
      <c r="AB23" s="32">
        <v>4035</v>
      </c>
      <c r="AC23" s="32">
        <v>3986</v>
      </c>
      <c r="AD23" s="32">
        <v>3939</v>
      </c>
      <c r="AE23" s="32">
        <v>3945</v>
      </c>
      <c r="AF23" s="32">
        <v>3789</v>
      </c>
      <c r="AG23" s="32">
        <v>3792</v>
      </c>
      <c r="AH23" s="32">
        <v>3794</v>
      </c>
      <c r="AI23" s="32">
        <v>3676</v>
      </c>
      <c r="AJ23" s="32">
        <v>3741</v>
      </c>
      <c r="AK23" s="32">
        <v>3728</v>
      </c>
      <c r="AL23" s="32">
        <v>3809</v>
      </c>
      <c r="AM23" s="32">
        <v>3925</v>
      </c>
      <c r="AN23" s="32">
        <v>4040</v>
      </c>
      <c r="AO23" s="32">
        <v>4082</v>
      </c>
      <c r="AP23" s="32">
        <v>4083</v>
      </c>
      <c r="AQ23" s="32">
        <v>4135</v>
      </c>
      <c r="AR23" s="32">
        <v>4095</v>
      </c>
      <c r="AS23" s="32">
        <v>4050</v>
      </c>
      <c r="AT23" s="32">
        <v>4065</v>
      </c>
      <c r="AU23" s="32">
        <v>4162</v>
      </c>
      <c r="AV23" s="32">
        <v>4170</v>
      </c>
      <c r="AW23" s="32">
        <v>3986</v>
      </c>
      <c r="AX23" s="32">
        <v>4100</v>
      </c>
      <c r="AY23" s="32">
        <v>4168</v>
      </c>
      <c r="AZ23" s="32">
        <v>4239</v>
      </c>
      <c r="BA23" s="32">
        <v>4234</v>
      </c>
      <c r="BB23" s="32">
        <v>4046</v>
      </c>
      <c r="BC23" s="32">
        <v>3903</v>
      </c>
      <c r="BD23" s="32">
        <v>4020</v>
      </c>
      <c r="BE23" s="32">
        <v>3995</v>
      </c>
      <c r="BF23" s="32">
        <v>3968</v>
      </c>
      <c r="BG23" s="32">
        <v>3777</v>
      </c>
      <c r="BH23" s="32">
        <v>3655</v>
      </c>
      <c r="BI23" s="32">
        <v>3805</v>
      </c>
      <c r="BJ23" s="32">
        <v>3840</v>
      </c>
      <c r="BK23" s="32">
        <v>3787</v>
      </c>
      <c r="BL23" s="33">
        <v>3735</v>
      </c>
    </row>
    <row r="24" spans="1:64" ht="15.95" customHeight="1">
      <c r="A24" s="68" t="s">
        <v>281</v>
      </c>
      <c r="B24" s="28" t="s">
        <v>100</v>
      </c>
      <c r="C24" s="42">
        <f>_xll.RssMarket("5019","高値")</f>
        <v>1293</v>
      </c>
      <c r="D24" s="41">
        <f t="shared" si="0"/>
        <v>0</v>
      </c>
      <c r="E24" s="32">
        <v>1293</v>
      </c>
      <c r="F24" s="32">
        <v>1320</v>
      </c>
      <c r="G24" s="32">
        <v>1362.5</v>
      </c>
      <c r="H24" s="32">
        <v>1365</v>
      </c>
      <c r="I24" s="32">
        <v>1369.5</v>
      </c>
      <c r="J24" s="32">
        <v>1342.5</v>
      </c>
      <c r="K24" s="32">
        <v>1377.5</v>
      </c>
      <c r="L24" s="32">
        <v>1413</v>
      </c>
      <c r="M24" s="32">
        <v>1409</v>
      </c>
      <c r="N24" s="32">
        <v>1415</v>
      </c>
      <c r="O24" s="32">
        <v>1368</v>
      </c>
      <c r="P24" s="32">
        <v>1398.5</v>
      </c>
      <c r="Q24" s="32">
        <v>1322</v>
      </c>
      <c r="R24" s="32">
        <v>1329.5</v>
      </c>
      <c r="S24" s="32">
        <v>1341.5</v>
      </c>
      <c r="T24" s="32">
        <v>1338.5</v>
      </c>
      <c r="U24" s="32">
        <v>1371.5</v>
      </c>
      <c r="V24" s="32">
        <v>1393.5</v>
      </c>
      <c r="W24" s="32">
        <v>1394.5</v>
      </c>
      <c r="X24" s="32">
        <v>1446</v>
      </c>
      <c r="Y24" s="32">
        <v>1447.5</v>
      </c>
      <c r="Z24" s="32">
        <v>1425.5</v>
      </c>
      <c r="AA24" s="32">
        <v>1406</v>
      </c>
      <c r="AB24" s="32">
        <v>1409.5</v>
      </c>
      <c r="AC24" s="32">
        <v>1365.5</v>
      </c>
      <c r="AD24" s="32">
        <v>1374.5</v>
      </c>
      <c r="AE24" s="32">
        <v>1385</v>
      </c>
      <c r="AF24" s="32">
        <v>1370</v>
      </c>
      <c r="AG24" s="32">
        <v>1380</v>
      </c>
      <c r="AH24" s="32">
        <v>1350.5</v>
      </c>
      <c r="AI24" s="32">
        <v>1334.5</v>
      </c>
      <c r="AJ24" s="32">
        <v>1360</v>
      </c>
      <c r="AK24" s="32">
        <v>1352.5</v>
      </c>
      <c r="AL24" s="32">
        <v>1421.5</v>
      </c>
      <c r="AM24" s="32">
        <v>1450</v>
      </c>
      <c r="AN24" s="32">
        <v>1492.5</v>
      </c>
      <c r="AO24" s="32">
        <v>1516.5</v>
      </c>
      <c r="AP24" s="32">
        <v>1524.5</v>
      </c>
      <c r="AQ24" s="32">
        <v>1539</v>
      </c>
      <c r="AR24" s="32">
        <v>1545.5</v>
      </c>
      <c r="AS24" s="32">
        <v>1580.5</v>
      </c>
      <c r="AT24" s="32">
        <v>1576.5</v>
      </c>
      <c r="AU24" s="32">
        <v>1602.5</v>
      </c>
      <c r="AV24" s="32">
        <v>1669</v>
      </c>
      <c r="AW24" s="32">
        <v>1671</v>
      </c>
      <c r="AX24" s="32">
        <v>1649</v>
      </c>
      <c r="AY24" s="32">
        <v>1596.5</v>
      </c>
      <c r="AZ24" s="32">
        <v>1603.5</v>
      </c>
      <c r="BA24" s="32">
        <v>1598</v>
      </c>
      <c r="BB24" s="32">
        <v>1579</v>
      </c>
      <c r="BC24" s="32">
        <v>1562</v>
      </c>
      <c r="BD24" s="32">
        <v>1557.5</v>
      </c>
      <c r="BE24" s="32">
        <v>1528</v>
      </c>
      <c r="BF24" s="32">
        <v>1517</v>
      </c>
      <c r="BG24" s="32">
        <v>1476</v>
      </c>
      <c r="BH24" s="32">
        <v>1431</v>
      </c>
      <c r="BI24" s="32">
        <v>1525</v>
      </c>
      <c r="BJ24" s="32">
        <v>1543</v>
      </c>
      <c r="BK24" s="32">
        <v>1487</v>
      </c>
      <c r="BL24" s="33">
        <v>1474</v>
      </c>
    </row>
    <row r="25" spans="1:64" ht="15.95" customHeight="1">
      <c r="A25" s="68" t="s">
        <v>282</v>
      </c>
      <c r="B25" s="28" t="s">
        <v>101</v>
      </c>
      <c r="C25" s="42">
        <f>_xll.RssMarket("8053","高値")</f>
        <v>6645</v>
      </c>
      <c r="D25" s="41">
        <f t="shared" si="0"/>
        <v>0</v>
      </c>
      <c r="E25" s="32">
        <v>6645</v>
      </c>
      <c r="F25" s="32">
        <v>6565</v>
      </c>
      <c r="G25" s="32">
        <v>6640</v>
      </c>
      <c r="H25" s="32">
        <v>6325</v>
      </c>
      <c r="I25" s="32">
        <v>6264</v>
      </c>
      <c r="J25" s="32">
        <v>6566</v>
      </c>
      <c r="K25" s="32">
        <v>6780</v>
      </c>
      <c r="L25" s="32">
        <v>6886</v>
      </c>
      <c r="M25" s="32">
        <v>6847</v>
      </c>
      <c r="N25" s="32">
        <v>6962</v>
      </c>
      <c r="O25" s="32">
        <v>6898</v>
      </c>
      <c r="P25" s="32">
        <v>7251</v>
      </c>
      <c r="Q25" s="32">
        <v>7142</v>
      </c>
      <c r="R25" s="32">
        <v>7350</v>
      </c>
      <c r="S25" s="32">
        <v>7361</v>
      </c>
      <c r="T25" s="32">
        <v>7168</v>
      </c>
      <c r="U25" s="32">
        <v>7187</v>
      </c>
      <c r="V25" s="32">
        <v>7255</v>
      </c>
      <c r="W25" s="32">
        <v>7349</v>
      </c>
      <c r="X25" s="32">
        <v>7554</v>
      </c>
      <c r="Y25" s="32">
        <v>7726</v>
      </c>
      <c r="Z25" s="32">
        <v>7671</v>
      </c>
      <c r="AA25" s="32">
        <v>7775</v>
      </c>
      <c r="AB25" s="32">
        <v>7509</v>
      </c>
      <c r="AC25" s="32">
        <v>7347</v>
      </c>
      <c r="AD25" s="32">
        <v>7447</v>
      </c>
      <c r="AE25" s="32">
        <v>7556</v>
      </c>
      <c r="AF25" s="32">
        <v>6840</v>
      </c>
      <c r="AG25" s="32">
        <v>5840</v>
      </c>
      <c r="AH25" s="32">
        <v>5822</v>
      </c>
      <c r="AI25" s="32">
        <v>5739</v>
      </c>
      <c r="AJ25" s="32">
        <v>5887</v>
      </c>
      <c r="AK25" s="32">
        <v>5836</v>
      </c>
      <c r="AL25" s="32">
        <v>5929</v>
      </c>
      <c r="AM25" s="32">
        <v>6032</v>
      </c>
      <c r="AN25" s="32">
        <v>6083</v>
      </c>
      <c r="AO25" s="32">
        <v>6088</v>
      </c>
      <c r="AP25" s="32">
        <v>6149</v>
      </c>
      <c r="AQ25" s="32">
        <v>6130</v>
      </c>
      <c r="AR25" s="32">
        <v>6162</v>
      </c>
      <c r="AS25" s="32">
        <v>6138</v>
      </c>
      <c r="AT25" s="32">
        <v>6269</v>
      </c>
      <c r="AU25" s="32">
        <v>6352</v>
      </c>
      <c r="AV25" s="32">
        <v>6345</v>
      </c>
      <c r="AW25" s="32">
        <v>6071</v>
      </c>
      <c r="AX25" s="32">
        <v>6047</v>
      </c>
      <c r="AY25" s="32">
        <v>6099</v>
      </c>
      <c r="AZ25" s="32">
        <v>6285</v>
      </c>
      <c r="BA25" s="32">
        <v>6189</v>
      </c>
      <c r="BB25" s="32">
        <v>5903</v>
      </c>
      <c r="BC25" s="32">
        <v>5880</v>
      </c>
      <c r="BD25" s="32">
        <v>5991</v>
      </c>
      <c r="BE25" s="32">
        <v>5932</v>
      </c>
      <c r="BF25" s="32">
        <v>5879</v>
      </c>
      <c r="BG25" s="32">
        <v>5702</v>
      </c>
      <c r="BH25" s="32">
        <v>5541</v>
      </c>
      <c r="BI25" s="32">
        <v>5830</v>
      </c>
      <c r="BJ25" s="32">
        <v>6046</v>
      </c>
      <c r="BK25" s="32">
        <v>5812</v>
      </c>
      <c r="BL25" s="33">
        <v>5681</v>
      </c>
    </row>
    <row r="26" spans="1:64" ht="15.95" customHeight="1">
      <c r="A26" s="68" t="s">
        <v>283</v>
      </c>
      <c r="B26" s="28" t="s">
        <v>102</v>
      </c>
      <c r="C26" s="42">
        <f>_xll.RssMarket("8591","高値")</f>
        <v>6417</v>
      </c>
      <c r="D26" s="41">
        <f t="shared" si="0"/>
        <v>0</v>
      </c>
      <c r="E26" s="32">
        <v>6417</v>
      </c>
      <c r="F26" s="32">
        <v>6305</v>
      </c>
      <c r="G26" s="32">
        <v>6239</v>
      </c>
      <c r="H26" s="32">
        <v>6150</v>
      </c>
      <c r="I26" s="32">
        <v>6080</v>
      </c>
      <c r="J26" s="32">
        <v>6335</v>
      </c>
      <c r="K26" s="32">
        <v>6180</v>
      </c>
      <c r="L26" s="32">
        <v>6305</v>
      </c>
      <c r="M26" s="32">
        <v>6367</v>
      </c>
      <c r="N26" s="32">
        <v>6368</v>
      </c>
      <c r="O26" s="32">
        <v>6220</v>
      </c>
      <c r="P26" s="32">
        <v>6309</v>
      </c>
      <c r="Q26" s="32">
        <v>6153</v>
      </c>
      <c r="R26" s="32">
        <v>6378</v>
      </c>
      <c r="S26" s="32">
        <v>6308</v>
      </c>
      <c r="T26" s="32">
        <v>6282</v>
      </c>
      <c r="U26" s="32">
        <v>6348</v>
      </c>
      <c r="V26" s="32">
        <v>6109</v>
      </c>
      <c r="W26" s="32">
        <v>5950</v>
      </c>
      <c r="X26" s="32">
        <v>5939</v>
      </c>
      <c r="Y26" s="32">
        <v>5817</v>
      </c>
      <c r="Z26" s="32">
        <v>5970</v>
      </c>
      <c r="AA26" s="32">
        <v>6060</v>
      </c>
      <c r="AB26" s="32">
        <v>6049</v>
      </c>
      <c r="AC26" s="32">
        <v>5520</v>
      </c>
      <c r="AD26" s="32">
        <v>5330</v>
      </c>
      <c r="AE26" s="32">
        <v>5314</v>
      </c>
      <c r="AF26" s="32">
        <v>5231</v>
      </c>
      <c r="AG26" s="32">
        <v>5275</v>
      </c>
      <c r="AH26" s="32">
        <v>5462</v>
      </c>
      <c r="AI26" s="32">
        <v>4883</v>
      </c>
      <c r="AJ26" s="32">
        <v>4885</v>
      </c>
      <c r="AK26" s="32">
        <v>4894</v>
      </c>
      <c r="AL26" s="32">
        <v>4980</v>
      </c>
      <c r="AM26" s="32">
        <v>5051</v>
      </c>
      <c r="AN26" s="32">
        <v>5084</v>
      </c>
      <c r="AO26" s="32">
        <v>5047</v>
      </c>
      <c r="AP26" s="32">
        <v>5093</v>
      </c>
      <c r="AQ26" s="32">
        <v>5092</v>
      </c>
      <c r="AR26" s="32">
        <v>5014</v>
      </c>
      <c r="AS26" s="32">
        <v>4891</v>
      </c>
      <c r="AT26" s="32">
        <v>4910</v>
      </c>
      <c r="AU26" s="32">
        <v>4939</v>
      </c>
      <c r="AV26" s="32">
        <v>4928</v>
      </c>
      <c r="AW26" s="32">
        <v>4762</v>
      </c>
      <c r="AX26" s="32">
        <v>4730</v>
      </c>
      <c r="AY26" s="32">
        <v>4737</v>
      </c>
      <c r="AZ26" s="32">
        <v>4825</v>
      </c>
      <c r="BA26" s="32">
        <v>4775</v>
      </c>
      <c r="BB26" s="32">
        <v>4710</v>
      </c>
      <c r="BC26" s="32">
        <v>4640</v>
      </c>
      <c r="BD26" s="32">
        <v>4803</v>
      </c>
      <c r="BE26" s="32">
        <v>4812</v>
      </c>
      <c r="BF26" s="32">
        <v>4823</v>
      </c>
      <c r="BG26" s="32">
        <v>4698</v>
      </c>
      <c r="BH26" s="32">
        <v>4658</v>
      </c>
      <c r="BI26" s="32">
        <v>4798</v>
      </c>
      <c r="BJ26" s="32">
        <v>4910</v>
      </c>
      <c r="BK26" s="32">
        <v>4854</v>
      </c>
      <c r="BL26" s="33">
        <v>4825</v>
      </c>
    </row>
    <row r="27" spans="1:64" ht="15.95" customHeight="1">
      <c r="A27" s="68" t="s">
        <v>284</v>
      </c>
      <c r="B27" s="28" t="s">
        <v>103</v>
      </c>
      <c r="C27" s="42">
        <f>_xll.RssMarket("3401","高値")</f>
        <v>1675</v>
      </c>
      <c r="D27" s="41">
        <f t="shared" si="0"/>
        <v>0</v>
      </c>
      <c r="E27" s="32">
        <v>1675</v>
      </c>
      <c r="F27" s="32">
        <v>1645.5</v>
      </c>
      <c r="G27" s="32">
        <v>1683.5</v>
      </c>
      <c r="H27" s="32">
        <v>1656.5</v>
      </c>
      <c r="I27" s="32">
        <v>1614.5</v>
      </c>
      <c r="J27" s="32">
        <v>1634</v>
      </c>
      <c r="K27" s="32">
        <v>1618</v>
      </c>
      <c r="L27" s="32">
        <v>1636.5</v>
      </c>
      <c r="M27" s="32">
        <v>1640.5</v>
      </c>
      <c r="N27" s="32">
        <v>1649</v>
      </c>
      <c r="O27" s="32">
        <v>1625</v>
      </c>
      <c r="P27" s="32">
        <v>1656.5</v>
      </c>
      <c r="Q27" s="32">
        <v>1616.5</v>
      </c>
      <c r="R27" s="32">
        <v>1658</v>
      </c>
      <c r="S27" s="32">
        <v>1667</v>
      </c>
      <c r="T27" s="32">
        <v>1605</v>
      </c>
      <c r="U27" s="32">
        <v>1635</v>
      </c>
      <c r="V27" s="32">
        <v>1641</v>
      </c>
      <c r="W27" s="32">
        <v>1669</v>
      </c>
      <c r="X27" s="32">
        <v>1677.5</v>
      </c>
      <c r="Y27" s="32">
        <v>1706</v>
      </c>
      <c r="Z27" s="32">
        <v>1773</v>
      </c>
      <c r="AA27" s="32">
        <v>1742</v>
      </c>
      <c r="AB27" s="32">
        <v>1713</v>
      </c>
      <c r="AC27" s="32">
        <v>1706</v>
      </c>
      <c r="AD27" s="32">
        <v>1608</v>
      </c>
      <c r="AE27" s="32">
        <v>1612.5</v>
      </c>
      <c r="AF27" s="32">
        <v>1574</v>
      </c>
      <c r="AG27" s="32">
        <v>4910</v>
      </c>
      <c r="AH27" s="32">
        <v>1610</v>
      </c>
      <c r="AI27" s="32">
        <v>4854</v>
      </c>
      <c r="AJ27" s="32">
        <v>1593</v>
      </c>
      <c r="AK27" s="32">
        <v>4825</v>
      </c>
      <c r="AL27" s="32">
        <v>1558.5</v>
      </c>
      <c r="AM27" s="32">
        <v>4806</v>
      </c>
      <c r="AN27" s="32">
        <v>1577</v>
      </c>
      <c r="AO27" s="32">
        <v>4906</v>
      </c>
      <c r="AP27" s="32">
        <v>1590.5</v>
      </c>
      <c r="AQ27" s="32">
        <v>5045</v>
      </c>
      <c r="AR27" s="32">
        <v>1610</v>
      </c>
      <c r="AS27" s="32">
        <v>5014</v>
      </c>
      <c r="AT27" s="32">
        <v>1578</v>
      </c>
      <c r="AU27" s="32">
        <v>4943</v>
      </c>
      <c r="AV27" s="32">
        <v>1567</v>
      </c>
      <c r="AW27" s="32">
        <v>5080</v>
      </c>
      <c r="AX27" s="32">
        <v>1656.5</v>
      </c>
      <c r="AY27" s="32">
        <v>5129</v>
      </c>
      <c r="AZ27" s="32">
        <v>1702</v>
      </c>
      <c r="BA27" s="32">
        <v>5025</v>
      </c>
      <c r="BB27" s="32">
        <v>1655.5</v>
      </c>
      <c r="BC27" s="32">
        <v>5360</v>
      </c>
      <c r="BD27" s="32">
        <v>1742.5</v>
      </c>
      <c r="BE27" s="32">
        <v>5463</v>
      </c>
      <c r="BF27" s="32">
        <v>1734</v>
      </c>
      <c r="BG27" s="32">
        <v>5566</v>
      </c>
      <c r="BH27" s="32">
        <v>1736.5</v>
      </c>
      <c r="BI27" s="32">
        <v>5570</v>
      </c>
      <c r="BJ27" s="32">
        <v>1718.5</v>
      </c>
      <c r="BK27" s="32">
        <v>5510</v>
      </c>
      <c r="BL27" s="33">
        <v>1711.5</v>
      </c>
    </row>
    <row r="28" spans="1:64" ht="15.95" customHeight="1">
      <c r="A28" s="68" t="s">
        <v>285</v>
      </c>
      <c r="B28" s="28" t="s">
        <v>104</v>
      </c>
      <c r="C28" s="42">
        <f>_xll.RssMarket("3436","高値")</f>
        <v>4212</v>
      </c>
      <c r="D28" s="41">
        <f t="shared" si="0"/>
        <v>0</v>
      </c>
      <c r="E28" s="32">
        <v>4212</v>
      </c>
      <c r="F28" s="32">
        <v>4434</v>
      </c>
      <c r="G28" s="32">
        <v>4353</v>
      </c>
      <c r="H28" s="32">
        <v>3807</v>
      </c>
      <c r="I28" s="32">
        <v>3473</v>
      </c>
      <c r="J28" s="32">
        <v>3274</v>
      </c>
      <c r="K28" s="32">
        <v>3758</v>
      </c>
      <c r="L28" s="32">
        <v>4156</v>
      </c>
      <c r="M28" s="32">
        <v>4481</v>
      </c>
      <c r="N28" s="32">
        <v>4564</v>
      </c>
      <c r="O28" s="32">
        <v>4371</v>
      </c>
      <c r="P28" s="32">
        <v>4047</v>
      </c>
      <c r="Q28" s="32">
        <v>3530</v>
      </c>
      <c r="R28" s="32">
        <v>3440</v>
      </c>
      <c r="S28" s="32">
        <v>3518</v>
      </c>
      <c r="T28" s="32">
        <v>3326</v>
      </c>
      <c r="U28" s="32">
        <v>3127</v>
      </c>
      <c r="V28" s="32">
        <v>3103</v>
      </c>
      <c r="W28" s="32">
        <v>3040</v>
      </c>
      <c r="X28" s="32">
        <v>3168</v>
      </c>
      <c r="Y28" s="32">
        <v>3322</v>
      </c>
      <c r="Z28" s="32">
        <v>3859</v>
      </c>
      <c r="AA28" s="32">
        <v>3557</v>
      </c>
      <c r="AB28" s="32">
        <v>3765</v>
      </c>
      <c r="AC28" s="32">
        <v>3662</v>
      </c>
      <c r="AD28" s="32">
        <v>3688</v>
      </c>
      <c r="AE28" s="32">
        <v>3033</v>
      </c>
      <c r="AF28" s="32">
        <v>2571</v>
      </c>
      <c r="AG28" s="32">
        <v>2797</v>
      </c>
      <c r="AH28" s="32">
        <v>2416</v>
      </c>
      <c r="AI28" s="32">
        <v>2379.5</v>
      </c>
      <c r="AJ28" s="32">
        <v>2267</v>
      </c>
      <c r="AK28" s="32">
        <v>2234.5</v>
      </c>
      <c r="AL28" s="32">
        <v>2331</v>
      </c>
      <c r="AM28" s="32">
        <v>2232.5</v>
      </c>
      <c r="AN28" s="32">
        <v>2141.5</v>
      </c>
      <c r="AO28" s="32">
        <v>2306</v>
      </c>
      <c r="AP28" s="32">
        <v>2450.5</v>
      </c>
      <c r="AQ28" s="32">
        <v>2267.5</v>
      </c>
      <c r="AR28" s="32">
        <v>2225</v>
      </c>
      <c r="AS28" s="32">
        <v>2193.5</v>
      </c>
      <c r="AT28" s="32">
        <v>2077.5</v>
      </c>
      <c r="AU28" s="32">
        <v>1964</v>
      </c>
      <c r="AV28" s="32">
        <v>1907.5</v>
      </c>
      <c r="AW28" s="32">
        <v>1818.5</v>
      </c>
      <c r="AX28" s="32">
        <v>1771</v>
      </c>
      <c r="AY28" s="32">
        <v>1803</v>
      </c>
      <c r="AZ28" s="32">
        <v>1797.5</v>
      </c>
      <c r="BA28" s="32">
        <v>1748.5</v>
      </c>
      <c r="BB28" s="32">
        <v>1732</v>
      </c>
      <c r="BC28" s="32">
        <v>1782</v>
      </c>
      <c r="BD28" s="32">
        <v>1875</v>
      </c>
      <c r="BE28" s="32">
        <v>1868.5</v>
      </c>
      <c r="BF28" s="32">
        <v>1775</v>
      </c>
      <c r="BG28" s="32">
        <v>1720</v>
      </c>
      <c r="BH28" s="32">
        <v>1654.5</v>
      </c>
      <c r="BI28" s="32">
        <v>1724</v>
      </c>
      <c r="BJ28" s="32">
        <v>1780</v>
      </c>
      <c r="BK28" s="32">
        <v>1701</v>
      </c>
      <c r="BL28" s="33">
        <v>1627</v>
      </c>
    </row>
    <row r="29" spans="1:64" ht="15.95" customHeight="1">
      <c r="A29" s="68" t="s">
        <v>286</v>
      </c>
      <c r="B29" s="28" t="s">
        <v>105</v>
      </c>
      <c r="C29" s="42">
        <f>_xll.RssMarket("5020","高値")</f>
        <v>1259</v>
      </c>
      <c r="D29" s="41">
        <f t="shared" si="0"/>
        <v>0</v>
      </c>
      <c r="E29" s="32">
        <v>1259</v>
      </c>
      <c r="F29" s="32">
        <v>1247</v>
      </c>
      <c r="G29" s="32">
        <v>1278</v>
      </c>
      <c r="H29" s="32">
        <v>1241</v>
      </c>
      <c r="I29" s="32">
        <v>1232.5</v>
      </c>
      <c r="J29" s="32">
        <v>1221.5</v>
      </c>
      <c r="K29" s="32">
        <v>1260</v>
      </c>
      <c r="L29" s="32">
        <v>1305</v>
      </c>
      <c r="M29" s="32">
        <v>1319</v>
      </c>
      <c r="N29" s="32">
        <v>1341.5</v>
      </c>
      <c r="O29" s="32">
        <v>1292.5</v>
      </c>
      <c r="P29" s="32">
        <v>1305.5</v>
      </c>
      <c r="Q29" s="32">
        <v>1300.5</v>
      </c>
      <c r="R29" s="32">
        <v>1310.5</v>
      </c>
      <c r="S29" s="32">
        <v>1322</v>
      </c>
      <c r="T29" s="32">
        <v>1306.5</v>
      </c>
      <c r="U29" s="32">
        <v>1321</v>
      </c>
      <c r="V29" s="32">
        <v>1361</v>
      </c>
      <c r="W29" s="32">
        <v>1370</v>
      </c>
      <c r="X29" s="32">
        <v>1397.5</v>
      </c>
      <c r="Y29" s="32">
        <v>1390</v>
      </c>
      <c r="Z29" s="32">
        <v>1380</v>
      </c>
      <c r="AA29" s="32">
        <v>1374</v>
      </c>
      <c r="AB29" s="32">
        <v>1384</v>
      </c>
      <c r="AC29" s="32">
        <v>1317</v>
      </c>
      <c r="AD29" s="32">
        <v>1295</v>
      </c>
      <c r="AE29" s="32">
        <v>1342</v>
      </c>
      <c r="AF29" s="32">
        <v>1325.5</v>
      </c>
      <c r="AG29" s="32">
        <v>1329.5</v>
      </c>
      <c r="AH29" s="32">
        <v>1307.5</v>
      </c>
      <c r="AI29" s="32">
        <v>1294</v>
      </c>
      <c r="AJ29" s="32">
        <v>1318</v>
      </c>
      <c r="AK29" s="32">
        <v>1314.5</v>
      </c>
      <c r="AL29" s="32">
        <v>1330</v>
      </c>
      <c r="AM29" s="32">
        <v>1359</v>
      </c>
      <c r="AN29" s="32">
        <v>1376</v>
      </c>
      <c r="AO29" s="32">
        <v>1413</v>
      </c>
      <c r="AP29" s="32">
        <v>1423.5</v>
      </c>
      <c r="AQ29" s="32">
        <v>1441.5</v>
      </c>
      <c r="AR29" s="32">
        <v>1435.5</v>
      </c>
      <c r="AS29" s="32">
        <v>1458</v>
      </c>
      <c r="AT29" s="32">
        <v>1464.5</v>
      </c>
      <c r="AU29" s="32">
        <v>1483.5</v>
      </c>
      <c r="AV29" s="32">
        <v>1519</v>
      </c>
      <c r="AW29" s="32">
        <v>1483.5</v>
      </c>
      <c r="AX29" s="32">
        <v>1490</v>
      </c>
      <c r="AY29" s="32">
        <v>1464.5</v>
      </c>
      <c r="AZ29" s="32">
        <v>1515</v>
      </c>
      <c r="BA29" s="32">
        <v>1497</v>
      </c>
      <c r="BB29" s="32">
        <v>1441</v>
      </c>
      <c r="BC29" s="32">
        <v>1445</v>
      </c>
      <c r="BD29" s="32">
        <v>1437.5</v>
      </c>
      <c r="BE29" s="32">
        <v>1408</v>
      </c>
      <c r="BF29" s="32">
        <v>1403.5</v>
      </c>
      <c r="BG29" s="32">
        <v>1354</v>
      </c>
      <c r="BH29" s="32">
        <v>1307.5</v>
      </c>
      <c r="BI29" s="32">
        <v>1415.5</v>
      </c>
      <c r="BJ29" s="32">
        <v>1450</v>
      </c>
      <c r="BK29" s="32">
        <v>1369.5</v>
      </c>
      <c r="BL29" s="33">
        <v>1377</v>
      </c>
    </row>
    <row r="30" spans="1:64" ht="15.95" customHeight="1">
      <c r="A30" s="68" t="s">
        <v>287</v>
      </c>
      <c r="B30" s="28" t="s">
        <v>106</v>
      </c>
      <c r="C30" s="42">
        <f>_xll.RssMarket("6254","高値")</f>
        <v>4990</v>
      </c>
      <c r="D30" s="41">
        <f t="shared" si="0"/>
        <v>0</v>
      </c>
      <c r="E30" s="32">
        <v>4990</v>
      </c>
      <c r="F30" s="32">
        <v>4655</v>
      </c>
      <c r="G30" s="32">
        <v>4845</v>
      </c>
      <c r="H30" s="32">
        <v>4395</v>
      </c>
      <c r="I30" s="32">
        <v>3970</v>
      </c>
      <c r="J30" s="32">
        <v>4225</v>
      </c>
      <c r="K30" s="32">
        <v>4115</v>
      </c>
      <c r="L30" s="32">
        <v>4385</v>
      </c>
      <c r="M30" s="32">
        <v>4515</v>
      </c>
      <c r="N30" s="32">
        <v>4555</v>
      </c>
      <c r="O30" s="32">
        <v>4545</v>
      </c>
      <c r="P30" s="32">
        <v>4850</v>
      </c>
      <c r="Q30" s="32">
        <v>4865</v>
      </c>
      <c r="R30" s="32">
        <v>5250</v>
      </c>
      <c r="S30" s="32">
        <v>5290</v>
      </c>
      <c r="T30" s="32">
        <v>5140</v>
      </c>
      <c r="U30" s="32">
        <v>4725</v>
      </c>
      <c r="V30" s="32">
        <v>4665</v>
      </c>
      <c r="W30" s="32">
        <v>4910</v>
      </c>
      <c r="X30" s="32">
        <v>5110</v>
      </c>
      <c r="Y30" s="32">
        <v>5060</v>
      </c>
      <c r="Z30" s="32">
        <v>4470</v>
      </c>
      <c r="AA30" s="32">
        <v>4440</v>
      </c>
      <c r="AB30" s="32">
        <v>4695</v>
      </c>
      <c r="AC30" s="32">
        <v>4675</v>
      </c>
      <c r="AD30" s="32">
        <v>4520</v>
      </c>
      <c r="AE30" s="32">
        <v>4115</v>
      </c>
      <c r="AF30" s="32">
        <v>3715</v>
      </c>
      <c r="AG30" s="32">
        <v>3760</v>
      </c>
      <c r="AH30" s="32">
        <v>3765</v>
      </c>
      <c r="AI30" s="32">
        <v>3790</v>
      </c>
      <c r="AJ30" s="32">
        <v>3770</v>
      </c>
      <c r="AK30" s="32">
        <v>3775</v>
      </c>
      <c r="AL30" s="32">
        <v>3845</v>
      </c>
      <c r="AM30" s="32">
        <v>3915</v>
      </c>
      <c r="AN30" s="32">
        <v>3895</v>
      </c>
      <c r="AO30" s="32">
        <v>3760</v>
      </c>
      <c r="AP30" s="32">
        <v>3770</v>
      </c>
      <c r="AQ30" s="32">
        <v>3695</v>
      </c>
      <c r="AR30" s="32">
        <v>3735</v>
      </c>
      <c r="AS30" s="32">
        <v>3645</v>
      </c>
      <c r="AT30" s="32">
        <v>3645</v>
      </c>
      <c r="AU30" s="32">
        <v>3455</v>
      </c>
      <c r="AV30" s="32">
        <v>3430</v>
      </c>
      <c r="AW30" s="32">
        <v>3240</v>
      </c>
      <c r="AX30" s="32">
        <v>3225</v>
      </c>
      <c r="AY30" s="32">
        <v>3300</v>
      </c>
      <c r="AZ30" s="32">
        <v>3365</v>
      </c>
      <c r="BA30" s="32">
        <v>3300</v>
      </c>
      <c r="BB30" s="32">
        <v>3265</v>
      </c>
      <c r="BC30" s="32">
        <v>3140</v>
      </c>
      <c r="BD30" s="32">
        <v>3260</v>
      </c>
      <c r="BE30" s="32">
        <v>3300</v>
      </c>
      <c r="BF30" s="32">
        <v>2908</v>
      </c>
      <c r="BG30" s="32">
        <v>2762</v>
      </c>
      <c r="BH30" s="32">
        <v>2723</v>
      </c>
      <c r="BI30" s="32">
        <v>2984</v>
      </c>
      <c r="BJ30" s="32">
        <v>3050</v>
      </c>
      <c r="BK30" s="32">
        <v>2970</v>
      </c>
      <c r="BL30" s="33">
        <v>2945</v>
      </c>
    </row>
    <row r="31" spans="1:64" ht="15.95" customHeight="1">
      <c r="A31" s="68" t="s">
        <v>288</v>
      </c>
      <c r="B31" s="28" t="s">
        <v>107</v>
      </c>
      <c r="C31" s="42">
        <f>_xll.RssMarket("8309","高値")</f>
        <v>6081</v>
      </c>
      <c r="D31" s="41">
        <f t="shared" si="0"/>
        <v>0</v>
      </c>
      <c r="E31" s="32">
        <v>6081</v>
      </c>
      <c r="F31" s="32">
        <v>5999</v>
      </c>
      <c r="G31" s="32">
        <v>6169</v>
      </c>
      <c r="H31" s="32">
        <v>6016</v>
      </c>
      <c r="I31" s="32">
        <v>5937</v>
      </c>
      <c r="J31" s="32">
        <v>6096</v>
      </c>
      <c r="K31" s="32">
        <v>5847</v>
      </c>
      <c r="L31" s="32">
        <v>5947</v>
      </c>
      <c r="M31" s="32">
        <v>5806</v>
      </c>
      <c r="N31" s="32">
        <v>5722</v>
      </c>
      <c r="O31" s="32">
        <v>5556</v>
      </c>
      <c r="P31" s="32">
        <v>5650</v>
      </c>
      <c r="Q31" s="32">
        <v>5599</v>
      </c>
      <c r="R31" s="32">
        <v>5690</v>
      </c>
      <c r="S31" s="32">
        <v>5661</v>
      </c>
      <c r="T31" s="32">
        <v>5711</v>
      </c>
      <c r="U31" s="32">
        <v>5781</v>
      </c>
      <c r="V31" s="32">
        <v>5807</v>
      </c>
      <c r="W31" s="32">
        <v>5715</v>
      </c>
      <c r="X31" s="32">
        <v>5638</v>
      </c>
      <c r="Y31" s="32">
        <v>5655</v>
      </c>
      <c r="Z31" s="32">
        <v>5682</v>
      </c>
      <c r="AA31" s="32">
        <v>5661</v>
      </c>
      <c r="AB31" s="32">
        <v>5623</v>
      </c>
      <c r="AC31" s="32">
        <v>5510</v>
      </c>
      <c r="AD31" s="32">
        <v>5484</v>
      </c>
      <c r="AE31" s="32">
        <v>5607</v>
      </c>
      <c r="AF31" s="32">
        <v>5357</v>
      </c>
      <c r="AG31" s="32">
        <v>5252</v>
      </c>
      <c r="AH31" s="32">
        <v>5329</v>
      </c>
      <c r="AI31" s="32">
        <v>5149</v>
      </c>
      <c r="AJ31" s="32">
        <v>5147</v>
      </c>
      <c r="AK31" s="32">
        <v>5172</v>
      </c>
      <c r="AL31" s="32">
        <v>5199</v>
      </c>
      <c r="AM31" s="32">
        <v>5300</v>
      </c>
      <c r="AN31" s="32">
        <v>5419</v>
      </c>
      <c r="AO31" s="32">
        <v>5468</v>
      </c>
      <c r="AP31" s="32">
        <v>5507</v>
      </c>
      <c r="AQ31" s="32">
        <v>5475</v>
      </c>
      <c r="AR31" s="32">
        <v>5422</v>
      </c>
      <c r="AS31" s="32">
        <v>5380</v>
      </c>
      <c r="AT31" s="32">
        <v>5363</v>
      </c>
      <c r="AU31" s="32">
        <v>5428</v>
      </c>
      <c r="AV31" s="32">
        <v>5382</v>
      </c>
      <c r="AW31" s="32">
        <v>5200</v>
      </c>
      <c r="AX31" s="32">
        <v>5164</v>
      </c>
      <c r="AY31" s="32">
        <v>5153</v>
      </c>
      <c r="AZ31" s="32">
        <v>5270</v>
      </c>
      <c r="BA31" s="32">
        <v>5184</v>
      </c>
      <c r="BB31" s="32">
        <v>5043</v>
      </c>
      <c r="BC31" s="32">
        <v>4956</v>
      </c>
      <c r="BD31" s="32">
        <v>5141</v>
      </c>
      <c r="BE31" s="32">
        <v>5166</v>
      </c>
      <c r="BF31" s="32">
        <v>5153</v>
      </c>
      <c r="BG31" s="32">
        <v>5008</v>
      </c>
      <c r="BH31" s="32">
        <v>4890</v>
      </c>
      <c r="BI31" s="32">
        <v>5081</v>
      </c>
      <c r="BJ31" s="32">
        <v>5134</v>
      </c>
      <c r="BK31" s="32">
        <v>5002</v>
      </c>
      <c r="BL31" s="33">
        <v>4972</v>
      </c>
    </row>
    <row r="32" spans="1:64" ht="15.95" customHeight="1">
      <c r="A32" s="68" t="s">
        <v>289</v>
      </c>
      <c r="B32" s="28" t="s">
        <v>108</v>
      </c>
      <c r="C32" s="42">
        <f>_xll.RssMarket("3863","高値")</f>
        <v>1259</v>
      </c>
      <c r="D32" s="41">
        <f t="shared" si="0"/>
        <v>0</v>
      </c>
      <c r="E32" s="32">
        <v>1259</v>
      </c>
      <c r="F32" s="32">
        <v>1253</v>
      </c>
      <c r="G32" s="32">
        <v>1249</v>
      </c>
      <c r="H32" s="32">
        <v>1227</v>
      </c>
      <c r="I32" s="32">
        <v>1219</v>
      </c>
      <c r="J32" s="32">
        <v>1239</v>
      </c>
      <c r="K32" s="32">
        <v>1270</v>
      </c>
      <c r="L32" s="32">
        <v>1262</v>
      </c>
      <c r="M32" s="32">
        <v>1213</v>
      </c>
      <c r="N32" s="32">
        <v>1236</v>
      </c>
      <c r="O32" s="32">
        <v>1235</v>
      </c>
      <c r="P32" s="32">
        <v>1361</v>
      </c>
      <c r="Q32" s="32">
        <v>1379</v>
      </c>
      <c r="R32" s="32">
        <v>1406</v>
      </c>
      <c r="S32" s="32">
        <v>1389</v>
      </c>
      <c r="T32" s="32">
        <v>1384</v>
      </c>
      <c r="U32" s="32">
        <v>1426</v>
      </c>
      <c r="V32" s="32">
        <v>1420</v>
      </c>
      <c r="W32" s="32">
        <v>1512</v>
      </c>
      <c r="X32" s="32">
        <v>1490</v>
      </c>
      <c r="Y32" s="32">
        <v>1550</v>
      </c>
      <c r="Z32" s="32">
        <v>1487</v>
      </c>
      <c r="AA32" s="32">
        <v>1612</v>
      </c>
      <c r="AB32" s="32">
        <v>1513</v>
      </c>
      <c r="AC32" s="32">
        <v>1484</v>
      </c>
      <c r="AD32" s="32">
        <v>1460</v>
      </c>
      <c r="AE32" s="32">
        <v>1432</v>
      </c>
      <c r="AF32" s="32">
        <v>1374</v>
      </c>
      <c r="AG32" s="32">
        <v>1334</v>
      </c>
      <c r="AH32" s="32">
        <v>1305</v>
      </c>
      <c r="AI32" s="32">
        <v>1437</v>
      </c>
      <c r="AJ32" s="32">
        <v>1446</v>
      </c>
      <c r="AK32" s="32">
        <v>1455</v>
      </c>
      <c r="AL32" s="32">
        <v>1526</v>
      </c>
      <c r="AM32" s="32">
        <v>1500</v>
      </c>
      <c r="AN32" s="32">
        <v>1472</v>
      </c>
      <c r="AO32" s="32">
        <v>1443</v>
      </c>
      <c r="AP32" s="32">
        <v>1407</v>
      </c>
      <c r="AQ32" s="32">
        <v>1370</v>
      </c>
      <c r="AR32" s="32">
        <v>1339</v>
      </c>
      <c r="AS32" s="32">
        <v>1336</v>
      </c>
      <c r="AT32" s="32">
        <v>1327</v>
      </c>
      <c r="AU32" s="32">
        <v>1340</v>
      </c>
      <c r="AV32" s="32">
        <v>1317</v>
      </c>
      <c r="AW32" s="32">
        <v>1319</v>
      </c>
      <c r="AX32" s="32">
        <v>1296</v>
      </c>
      <c r="AY32" s="32">
        <v>1309</v>
      </c>
      <c r="AZ32" s="32">
        <v>1296</v>
      </c>
      <c r="BA32" s="32">
        <v>1294</v>
      </c>
      <c r="BB32" s="32">
        <v>1292</v>
      </c>
      <c r="BC32" s="32">
        <v>1278</v>
      </c>
      <c r="BD32" s="32">
        <v>1280</v>
      </c>
      <c r="BE32" s="32">
        <v>1256</v>
      </c>
      <c r="BF32" s="32">
        <v>1223</v>
      </c>
      <c r="BG32" s="32">
        <v>1206</v>
      </c>
      <c r="BH32" s="32">
        <v>1189</v>
      </c>
      <c r="BI32" s="32">
        <v>1261</v>
      </c>
      <c r="BJ32" s="32">
        <v>1292</v>
      </c>
      <c r="BK32" s="32">
        <v>1289</v>
      </c>
      <c r="BL32" s="33">
        <v>1276</v>
      </c>
    </row>
    <row r="33" spans="1:64" ht="15.95" customHeight="1">
      <c r="A33" s="68" t="s">
        <v>290</v>
      </c>
      <c r="B33" s="28" t="s">
        <v>109</v>
      </c>
      <c r="C33" s="42">
        <f>_xll.RssMarket("8601","高値")</f>
        <v>1625.5</v>
      </c>
      <c r="D33" s="41">
        <f t="shared" si="0"/>
        <v>0</v>
      </c>
      <c r="E33" s="32">
        <v>1625.5</v>
      </c>
      <c r="F33" s="32">
        <v>1607</v>
      </c>
      <c r="G33" s="32">
        <v>1626</v>
      </c>
      <c r="H33" s="32">
        <v>1575</v>
      </c>
      <c r="I33" s="32">
        <v>1548.5</v>
      </c>
      <c r="J33" s="32">
        <v>1606</v>
      </c>
      <c r="K33" s="32">
        <v>1554</v>
      </c>
      <c r="L33" s="32">
        <v>1566.5</v>
      </c>
      <c r="M33" s="32">
        <v>1560</v>
      </c>
      <c r="N33" s="32">
        <v>1542.5</v>
      </c>
      <c r="O33" s="32">
        <v>1503.5</v>
      </c>
      <c r="P33" s="32">
        <v>1501.5</v>
      </c>
      <c r="Q33" s="32">
        <v>1475</v>
      </c>
      <c r="R33" s="32">
        <v>1481.5</v>
      </c>
      <c r="S33" s="32">
        <v>1498.5</v>
      </c>
      <c r="T33" s="32">
        <v>1511.5</v>
      </c>
      <c r="U33" s="32">
        <v>1522.5</v>
      </c>
      <c r="V33" s="32">
        <v>1507</v>
      </c>
      <c r="W33" s="32">
        <v>1509.5</v>
      </c>
      <c r="X33" s="32">
        <v>1486.5</v>
      </c>
      <c r="Y33" s="32">
        <v>1502</v>
      </c>
      <c r="Z33" s="32">
        <v>1505</v>
      </c>
      <c r="AA33" s="32">
        <v>1498</v>
      </c>
      <c r="AB33" s="32">
        <v>1469.5</v>
      </c>
      <c r="AC33" s="32">
        <v>1489</v>
      </c>
      <c r="AD33" s="32">
        <v>1518.5</v>
      </c>
      <c r="AE33" s="32">
        <v>1463</v>
      </c>
      <c r="AF33" s="32">
        <v>1467.5</v>
      </c>
      <c r="AG33" s="32">
        <v>1473.5</v>
      </c>
      <c r="AH33" s="32">
        <v>1526.5</v>
      </c>
      <c r="AI33" s="32">
        <v>1512.5</v>
      </c>
      <c r="AJ33" s="32">
        <v>1514.5</v>
      </c>
      <c r="AK33" s="32">
        <v>1525</v>
      </c>
      <c r="AL33" s="32">
        <v>1536</v>
      </c>
      <c r="AM33" s="32">
        <v>1537</v>
      </c>
      <c r="AN33" s="32">
        <v>1553.5</v>
      </c>
      <c r="AO33" s="32">
        <v>1599</v>
      </c>
      <c r="AP33" s="32">
        <v>1583.5</v>
      </c>
      <c r="AQ33" s="32">
        <v>1572</v>
      </c>
      <c r="AR33" s="32">
        <v>1549.5</v>
      </c>
      <c r="AS33" s="32">
        <v>1556</v>
      </c>
      <c r="AT33" s="32">
        <v>1579</v>
      </c>
      <c r="AU33" s="32">
        <v>1585</v>
      </c>
      <c r="AV33" s="32">
        <v>1520.5</v>
      </c>
      <c r="AW33" s="32">
        <v>1532.5</v>
      </c>
      <c r="AX33" s="32">
        <v>1536.5</v>
      </c>
      <c r="AY33" s="32">
        <v>1551.5</v>
      </c>
      <c r="AZ33" s="32">
        <v>1533.5</v>
      </c>
      <c r="BA33" s="32">
        <v>1527.5</v>
      </c>
      <c r="BB33" s="32">
        <v>1514</v>
      </c>
      <c r="BC33" s="32">
        <v>1584.5</v>
      </c>
      <c r="BD33" s="32">
        <v>1582</v>
      </c>
      <c r="BE33" s="32">
        <v>1564.5</v>
      </c>
      <c r="BF33" s="32">
        <v>1504</v>
      </c>
      <c r="BG33" s="32">
        <v>1480.5</v>
      </c>
      <c r="BH33" s="32">
        <v>1488.5</v>
      </c>
      <c r="BI33" s="32">
        <v>1510</v>
      </c>
      <c r="BJ33" s="32">
        <v>1470.5</v>
      </c>
      <c r="BK33" s="32">
        <v>1444</v>
      </c>
      <c r="BL33" s="33">
        <v>1447</v>
      </c>
    </row>
    <row r="34" spans="1:64" ht="15.95" customHeight="1">
      <c r="A34" s="68" t="s">
        <v>291</v>
      </c>
      <c r="B34" s="28" t="s">
        <v>110</v>
      </c>
      <c r="C34" s="42">
        <f>_xll.RssMarket("5233","高値")</f>
        <v>4447</v>
      </c>
      <c r="D34" s="41">
        <f t="shared" si="0"/>
        <v>0</v>
      </c>
      <c r="E34" s="32">
        <v>4447</v>
      </c>
      <c r="F34" s="32">
        <v>4457</v>
      </c>
      <c r="G34" s="32">
        <v>4455</v>
      </c>
      <c r="H34" s="32">
        <v>4205</v>
      </c>
      <c r="I34" s="32">
        <v>4108</v>
      </c>
      <c r="J34" s="32">
        <v>4187</v>
      </c>
      <c r="K34" s="32">
        <v>4304</v>
      </c>
      <c r="L34" s="32">
        <v>4424</v>
      </c>
      <c r="M34" s="32">
        <v>4448</v>
      </c>
      <c r="N34" s="32">
        <v>4488</v>
      </c>
      <c r="O34" s="32">
        <v>4418</v>
      </c>
      <c r="P34" s="32">
        <v>4657</v>
      </c>
      <c r="Q34" s="32">
        <v>4374</v>
      </c>
      <c r="R34" s="32">
        <v>4274</v>
      </c>
      <c r="S34" s="32">
        <v>4156</v>
      </c>
      <c r="T34" s="32">
        <v>4180</v>
      </c>
      <c r="U34" s="32">
        <v>4106</v>
      </c>
      <c r="V34" s="32">
        <v>3988</v>
      </c>
      <c r="W34" s="32">
        <v>3942</v>
      </c>
      <c r="X34" s="32">
        <v>3959</v>
      </c>
      <c r="Y34" s="32">
        <v>4167</v>
      </c>
      <c r="Z34" s="32">
        <v>4276</v>
      </c>
      <c r="AA34" s="32">
        <v>4217</v>
      </c>
      <c r="AB34" s="32">
        <v>3899</v>
      </c>
      <c r="AC34" s="32">
        <v>3651</v>
      </c>
      <c r="AD34" s="32">
        <v>3730</v>
      </c>
      <c r="AE34" s="32">
        <v>3706</v>
      </c>
      <c r="AF34" s="32">
        <v>3596</v>
      </c>
      <c r="AG34" s="32">
        <v>3608</v>
      </c>
      <c r="AH34" s="32">
        <v>3666</v>
      </c>
      <c r="AI34" s="32">
        <v>3645</v>
      </c>
      <c r="AJ34" s="32">
        <v>3586</v>
      </c>
      <c r="AK34" s="32">
        <v>3589</v>
      </c>
      <c r="AL34" s="32">
        <v>3684</v>
      </c>
      <c r="AM34" s="32">
        <v>3718</v>
      </c>
      <c r="AN34" s="32">
        <v>3737</v>
      </c>
      <c r="AO34" s="32">
        <v>3710</v>
      </c>
      <c r="AP34" s="32">
        <v>3730</v>
      </c>
      <c r="AQ34" s="32">
        <v>3729</v>
      </c>
      <c r="AR34" s="32">
        <v>3774</v>
      </c>
      <c r="AS34" s="32">
        <v>3756</v>
      </c>
      <c r="AT34" s="32">
        <v>3733</v>
      </c>
      <c r="AU34" s="32">
        <v>3782</v>
      </c>
      <c r="AV34" s="32">
        <v>3778</v>
      </c>
      <c r="AW34" s="32">
        <v>3592</v>
      </c>
      <c r="AX34" s="32">
        <v>3569</v>
      </c>
      <c r="AY34" s="32">
        <v>3570</v>
      </c>
      <c r="AZ34" s="32">
        <v>3657</v>
      </c>
      <c r="BA34" s="32">
        <v>3622</v>
      </c>
      <c r="BB34" s="32">
        <v>3528</v>
      </c>
      <c r="BC34" s="32">
        <v>3483</v>
      </c>
      <c r="BD34" s="32">
        <v>3568</v>
      </c>
      <c r="BE34" s="32">
        <v>3600</v>
      </c>
      <c r="BF34" s="32">
        <v>3599</v>
      </c>
      <c r="BG34" s="32">
        <v>3481</v>
      </c>
      <c r="BH34" s="32">
        <v>3355</v>
      </c>
      <c r="BI34" s="32">
        <v>3639</v>
      </c>
      <c r="BJ34" s="32">
        <v>3769</v>
      </c>
      <c r="BK34" s="32">
        <v>3763</v>
      </c>
      <c r="BL34" s="33">
        <v>3721</v>
      </c>
    </row>
    <row r="35" spans="1:64" ht="15.95" customHeight="1">
      <c r="A35" s="68" t="s">
        <v>292</v>
      </c>
      <c r="B35" s="28" t="s">
        <v>111</v>
      </c>
      <c r="C35" s="42">
        <f>_xll.RssMarket("8308","高値")</f>
        <v>2232.5</v>
      </c>
      <c r="D35" s="41">
        <f t="shared" si="0"/>
        <v>0</v>
      </c>
      <c r="E35" s="32">
        <v>2232.5</v>
      </c>
      <c r="F35" s="32">
        <v>2171</v>
      </c>
      <c r="G35" s="32">
        <v>2277.5</v>
      </c>
      <c r="H35" s="32">
        <v>2197</v>
      </c>
      <c r="I35" s="32">
        <v>2144.5</v>
      </c>
      <c r="J35" s="32">
        <v>2198.5</v>
      </c>
      <c r="K35" s="32">
        <v>2099</v>
      </c>
      <c r="L35" s="32">
        <v>2178</v>
      </c>
      <c r="M35" s="32">
        <v>2143</v>
      </c>
      <c r="N35" s="32">
        <v>2090.5</v>
      </c>
      <c r="O35" s="32">
        <v>2033.5</v>
      </c>
      <c r="P35" s="32">
        <v>2092</v>
      </c>
      <c r="Q35" s="32">
        <v>2050</v>
      </c>
      <c r="R35" s="32">
        <v>2065.5</v>
      </c>
      <c r="S35" s="32">
        <v>2147.5</v>
      </c>
      <c r="T35" s="32">
        <v>2154</v>
      </c>
      <c r="U35" s="32">
        <v>2158.5</v>
      </c>
      <c r="V35" s="32">
        <v>2131</v>
      </c>
      <c r="W35" s="32">
        <v>2086</v>
      </c>
      <c r="X35" s="32">
        <v>2074</v>
      </c>
      <c r="Y35" s="32">
        <v>2105</v>
      </c>
      <c r="Z35" s="32">
        <v>2061</v>
      </c>
      <c r="AA35" s="32">
        <v>2077.5</v>
      </c>
      <c r="AB35" s="32">
        <v>2054</v>
      </c>
      <c r="AC35" s="32">
        <v>2008</v>
      </c>
      <c r="AD35" s="32">
        <v>1984.5</v>
      </c>
      <c r="AE35" s="32">
        <v>2037</v>
      </c>
      <c r="AF35" s="32">
        <v>1958</v>
      </c>
      <c r="AG35" s="32">
        <v>1947.5</v>
      </c>
      <c r="AH35" s="32">
        <v>2006</v>
      </c>
      <c r="AI35" s="32">
        <v>1857</v>
      </c>
      <c r="AJ35" s="32">
        <v>1854</v>
      </c>
      <c r="AK35" s="32">
        <v>1838</v>
      </c>
      <c r="AL35" s="32">
        <v>1907</v>
      </c>
      <c r="AM35" s="32">
        <v>1963</v>
      </c>
      <c r="AN35" s="32">
        <v>2009.5</v>
      </c>
      <c r="AO35" s="32">
        <v>1966</v>
      </c>
      <c r="AP35" s="32">
        <v>1966</v>
      </c>
      <c r="AQ35" s="32">
        <v>1947</v>
      </c>
      <c r="AR35" s="32">
        <v>1911.5</v>
      </c>
      <c r="AS35" s="32">
        <v>1909</v>
      </c>
      <c r="AT35" s="32">
        <v>1915.5</v>
      </c>
      <c r="AU35" s="32">
        <v>1938</v>
      </c>
      <c r="AV35" s="32">
        <v>1983.5</v>
      </c>
      <c r="AW35" s="32">
        <v>1894</v>
      </c>
      <c r="AX35" s="32">
        <v>1881.5</v>
      </c>
      <c r="AY35" s="32">
        <v>1844.5</v>
      </c>
      <c r="AZ35" s="32">
        <v>1909.5</v>
      </c>
      <c r="BA35" s="32">
        <v>1872</v>
      </c>
      <c r="BB35" s="32">
        <v>1781</v>
      </c>
      <c r="BC35" s="32">
        <v>1749</v>
      </c>
      <c r="BD35" s="32">
        <v>1834</v>
      </c>
      <c r="BE35" s="32">
        <v>1858</v>
      </c>
      <c r="BF35" s="32">
        <v>1855.5</v>
      </c>
      <c r="BG35" s="32">
        <v>1777</v>
      </c>
      <c r="BH35" s="32">
        <v>1713.5</v>
      </c>
      <c r="BI35" s="32">
        <v>1788</v>
      </c>
      <c r="BJ35" s="32">
        <v>1808</v>
      </c>
      <c r="BK35" s="32">
        <v>1774</v>
      </c>
      <c r="BL35" s="33">
        <v>1757</v>
      </c>
    </row>
    <row r="36" spans="1:64" ht="15.95" customHeight="1">
      <c r="A36" s="68" t="s">
        <v>293</v>
      </c>
      <c r="B36" s="28" t="s">
        <v>112</v>
      </c>
      <c r="C36" s="42">
        <f>_xll.RssMarket("5938","高値")</f>
        <v>1743.5</v>
      </c>
      <c r="D36" s="41">
        <f t="shared" si="0"/>
        <v>0</v>
      </c>
      <c r="E36" s="32">
        <v>1743.5</v>
      </c>
      <c r="F36" s="32">
        <v>1739.5</v>
      </c>
      <c r="G36" s="32">
        <v>1746.5</v>
      </c>
      <c r="H36" s="32">
        <v>1745</v>
      </c>
      <c r="I36" s="32">
        <v>1732.5</v>
      </c>
      <c r="J36" s="32">
        <v>1740</v>
      </c>
      <c r="K36" s="32">
        <v>1724</v>
      </c>
      <c r="L36" s="32">
        <v>1717</v>
      </c>
      <c r="M36" s="32">
        <v>1715</v>
      </c>
      <c r="N36" s="32">
        <v>1706.5</v>
      </c>
      <c r="O36" s="32">
        <v>1688</v>
      </c>
      <c r="P36" s="32">
        <v>1708</v>
      </c>
      <c r="Q36" s="32">
        <v>1696</v>
      </c>
      <c r="R36" s="32">
        <v>1681.5</v>
      </c>
      <c r="S36" s="32">
        <v>1663.5</v>
      </c>
      <c r="T36" s="32">
        <v>1649</v>
      </c>
      <c r="U36" s="32">
        <v>1651</v>
      </c>
      <c r="V36" s="32">
        <v>1650</v>
      </c>
      <c r="W36" s="32">
        <v>1661.5</v>
      </c>
      <c r="X36" s="32">
        <v>1682</v>
      </c>
      <c r="Y36" s="32">
        <v>1673.5</v>
      </c>
      <c r="Z36" s="32">
        <v>1670</v>
      </c>
      <c r="AA36" s="32">
        <v>1688</v>
      </c>
      <c r="AB36" s="32">
        <v>1694</v>
      </c>
      <c r="AC36" s="32">
        <v>1703</v>
      </c>
      <c r="AD36" s="32">
        <v>1701.5</v>
      </c>
      <c r="AE36" s="32">
        <v>1689.5</v>
      </c>
      <c r="AF36" s="32">
        <v>1670</v>
      </c>
      <c r="AG36" s="32">
        <v>1627.5</v>
      </c>
      <c r="AH36" s="32">
        <v>1628</v>
      </c>
      <c r="AI36" s="32">
        <v>1610.5</v>
      </c>
      <c r="AJ36" s="32">
        <v>1626</v>
      </c>
      <c r="AK36" s="32">
        <v>1623.5</v>
      </c>
      <c r="AL36" s="32">
        <v>1636</v>
      </c>
      <c r="AM36" s="32">
        <v>1654.5</v>
      </c>
      <c r="AN36" s="32">
        <v>1644.5</v>
      </c>
      <c r="AO36" s="32">
        <v>1627.5</v>
      </c>
      <c r="AP36" s="32">
        <v>1645.5</v>
      </c>
      <c r="AQ36" s="32">
        <v>1623.5</v>
      </c>
      <c r="AR36" s="32">
        <v>1619.5</v>
      </c>
      <c r="AS36" s="32">
        <v>1663.5</v>
      </c>
      <c r="AT36" s="32">
        <v>1672.5</v>
      </c>
      <c r="AU36" s="32">
        <v>1686.5</v>
      </c>
      <c r="AV36" s="32">
        <v>1676.5</v>
      </c>
      <c r="AW36" s="32">
        <v>1655</v>
      </c>
      <c r="AX36" s="32">
        <v>1647</v>
      </c>
      <c r="AY36" s="32">
        <v>1647.5</v>
      </c>
      <c r="AZ36" s="32">
        <v>1669.5</v>
      </c>
      <c r="BA36" s="32">
        <v>1651</v>
      </c>
      <c r="BB36" s="32">
        <v>1641.5</v>
      </c>
      <c r="BC36" s="32">
        <v>1630</v>
      </c>
      <c r="BD36" s="32">
        <v>1708</v>
      </c>
      <c r="BE36" s="32">
        <v>1705</v>
      </c>
      <c r="BF36" s="32">
        <v>1693.5</v>
      </c>
      <c r="BG36" s="32">
        <v>1664</v>
      </c>
      <c r="BH36" s="32">
        <v>1667</v>
      </c>
      <c r="BI36" s="32">
        <v>1712</v>
      </c>
      <c r="BJ36" s="32">
        <v>1723.5</v>
      </c>
      <c r="BK36" s="32">
        <v>1704.5</v>
      </c>
      <c r="BL36" s="33">
        <v>1707</v>
      </c>
    </row>
    <row r="37" spans="1:64" ht="15.95" customHeight="1">
      <c r="A37" s="68" t="s">
        <v>294</v>
      </c>
      <c r="B37" s="28" t="s">
        <v>113</v>
      </c>
      <c r="C37" s="42">
        <f>_xll.RssMarket("8570","高値")</f>
        <v>1519</v>
      </c>
      <c r="D37" s="41">
        <f t="shared" si="0"/>
        <v>0</v>
      </c>
      <c r="E37" s="32">
        <v>1519</v>
      </c>
      <c r="F37" s="32">
        <v>1511</v>
      </c>
      <c r="G37" s="32">
        <v>1531.5</v>
      </c>
      <c r="H37" s="32">
        <v>1518.5</v>
      </c>
      <c r="I37" s="32">
        <v>1510</v>
      </c>
      <c r="J37" s="32">
        <v>1514.5</v>
      </c>
      <c r="K37" s="32">
        <v>1478</v>
      </c>
      <c r="L37" s="32">
        <v>1474.5</v>
      </c>
      <c r="M37" s="32">
        <v>1467.5</v>
      </c>
      <c r="N37" s="32">
        <v>1460</v>
      </c>
      <c r="O37" s="32">
        <v>1539.5</v>
      </c>
      <c r="P37" s="32">
        <v>1545</v>
      </c>
      <c r="Q37" s="32">
        <v>1551.5</v>
      </c>
      <c r="R37" s="32">
        <v>1562.5</v>
      </c>
      <c r="S37" s="32">
        <v>1594.5</v>
      </c>
      <c r="T37" s="32">
        <v>1619</v>
      </c>
      <c r="U37" s="32">
        <v>1590</v>
      </c>
      <c r="V37" s="32">
        <v>1595</v>
      </c>
      <c r="W37" s="32">
        <v>1595.5</v>
      </c>
      <c r="X37" s="32">
        <v>1569</v>
      </c>
      <c r="Y37" s="32">
        <v>1566.5</v>
      </c>
      <c r="Z37" s="32">
        <v>1567.5</v>
      </c>
      <c r="AA37" s="32">
        <v>1565</v>
      </c>
      <c r="AB37" s="32">
        <v>1535.5</v>
      </c>
      <c r="AC37" s="32">
        <v>1540</v>
      </c>
      <c r="AD37" s="32">
        <v>1575</v>
      </c>
      <c r="AE37" s="32">
        <v>1561.5</v>
      </c>
      <c r="AF37" s="32">
        <v>1561.5</v>
      </c>
      <c r="AG37" s="32">
        <v>1561.5</v>
      </c>
      <c r="AH37" s="32">
        <v>1549.5</v>
      </c>
      <c r="AI37" s="32">
        <v>1565</v>
      </c>
      <c r="AJ37" s="32">
        <v>1562.5</v>
      </c>
      <c r="AK37" s="32">
        <v>1560.5</v>
      </c>
      <c r="AL37" s="32">
        <v>1571</v>
      </c>
      <c r="AM37" s="32">
        <v>1573</v>
      </c>
      <c r="AN37" s="32">
        <v>1609.5</v>
      </c>
      <c r="AO37" s="32">
        <v>1650</v>
      </c>
      <c r="AP37" s="32">
        <v>1631</v>
      </c>
      <c r="AQ37" s="32">
        <v>1625</v>
      </c>
      <c r="AR37" s="32">
        <v>1596.5</v>
      </c>
      <c r="AS37" s="32">
        <v>1558</v>
      </c>
      <c r="AT37" s="32">
        <v>1545</v>
      </c>
      <c r="AU37" s="32">
        <v>1678.5</v>
      </c>
      <c r="AV37" s="32">
        <v>1635.5</v>
      </c>
      <c r="AW37" s="32">
        <v>1622</v>
      </c>
      <c r="AX37" s="32">
        <v>1618.5</v>
      </c>
      <c r="AY37" s="32">
        <v>1626</v>
      </c>
      <c r="AZ37" s="32">
        <v>1605</v>
      </c>
      <c r="BA37" s="32">
        <v>1587.5</v>
      </c>
      <c r="BB37" s="32">
        <v>1555.5</v>
      </c>
      <c r="BC37" s="32">
        <v>1587</v>
      </c>
      <c r="BD37" s="32">
        <v>1596.5</v>
      </c>
      <c r="BE37" s="32">
        <v>1611.5</v>
      </c>
      <c r="BF37" s="32">
        <v>1580</v>
      </c>
      <c r="BG37" s="32">
        <v>1554</v>
      </c>
      <c r="BH37" s="32">
        <v>1594</v>
      </c>
      <c r="BI37" s="32">
        <v>1613.5</v>
      </c>
      <c r="BJ37" s="32">
        <v>1589.5</v>
      </c>
      <c r="BK37" s="32">
        <v>1583</v>
      </c>
      <c r="BL37" s="33">
        <v>1581.5</v>
      </c>
    </row>
    <row r="38" spans="1:64" ht="15.95" customHeight="1">
      <c r="A38" s="68" t="s">
        <v>295</v>
      </c>
      <c r="B38" s="28" t="s">
        <v>114</v>
      </c>
      <c r="C38" s="42">
        <f>_xll.RssMarket("5406","高値")</f>
        <v>1995</v>
      </c>
      <c r="D38" s="41">
        <f t="shared" si="0"/>
        <v>0</v>
      </c>
      <c r="E38" s="32">
        <v>1995</v>
      </c>
      <c r="F38" s="32">
        <v>2003</v>
      </c>
      <c r="G38" s="32">
        <v>2001</v>
      </c>
      <c r="H38" s="32">
        <v>1966.5</v>
      </c>
      <c r="I38" s="32">
        <v>1901</v>
      </c>
      <c r="J38" s="32">
        <v>1923</v>
      </c>
      <c r="K38" s="32">
        <v>1932</v>
      </c>
      <c r="L38" s="32">
        <v>1963</v>
      </c>
      <c r="M38" s="32">
        <v>1971.5</v>
      </c>
      <c r="N38" s="32">
        <v>1987</v>
      </c>
      <c r="O38" s="32">
        <v>1959.5</v>
      </c>
      <c r="P38" s="32">
        <v>2002.5</v>
      </c>
      <c r="Q38" s="32">
        <v>1987.5</v>
      </c>
      <c r="R38" s="32">
        <v>2018.5</v>
      </c>
      <c r="S38" s="32">
        <v>1969</v>
      </c>
      <c r="T38" s="32">
        <v>1966.5</v>
      </c>
      <c r="U38" s="32">
        <v>1936</v>
      </c>
      <c r="V38" s="32">
        <v>1917.5</v>
      </c>
      <c r="W38" s="32">
        <v>1929</v>
      </c>
      <c r="X38" s="32">
        <v>1955.5</v>
      </c>
      <c r="Y38" s="32">
        <v>1979</v>
      </c>
      <c r="Z38" s="32">
        <v>1985.5</v>
      </c>
      <c r="AA38" s="32">
        <v>1996.5</v>
      </c>
      <c r="AB38" s="32">
        <v>2024</v>
      </c>
      <c r="AC38" s="32">
        <v>2052</v>
      </c>
      <c r="AD38" s="32">
        <v>1967</v>
      </c>
      <c r="AE38" s="32">
        <v>2008</v>
      </c>
      <c r="AF38" s="32">
        <v>1950</v>
      </c>
      <c r="AG38" s="32">
        <v>1934</v>
      </c>
      <c r="AH38" s="32">
        <v>1898.5</v>
      </c>
      <c r="AI38" s="32">
        <v>1874.5</v>
      </c>
      <c r="AJ38" s="32">
        <v>1858</v>
      </c>
      <c r="AK38" s="32">
        <v>1870</v>
      </c>
      <c r="AL38" s="32">
        <v>1901.5</v>
      </c>
      <c r="AM38" s="32">
        <v>1939</v>
      </c>
      <c r="AN38" s="32">
        <v>1946.5</v>
      </c>
      <c r="AO38" s="32">
        <v>1943</v>
      </c>
      <c r="AP38" s="32">
        <v>1954.5</v>
      </c>
      <c r="AQ38" s="32">
        <v>1955</v>
      </c>
      <c r="AR38" s="32">
        <v>1969</v>
      </c>
      <c r="AS38" s="32">
        <v>1953</v>
      </c>
      <c r="AT38" s="32">
        <v>1981</v>
      </c>
      <c r="AU38" s="32">
        <v>1981</v>
      </c>
      <c r="AV38" s="32">
        <v>1992</v>
      </c>
      <c r="AW38" s="32">
        <v>1948.5</v>
      </c>
      <c r="AX38" s="32">
        <v>1954.5</v>
      </c>
      <c r="AY38" s="32">
        <v>1961</v>
      </c>
      <c r="AZ38" s="32">
        <v>1981</v>
      </c>
      <c r="BA38" s="32">
        <v>1959.5</v>
      </c>
      <c r="BB38" s="32">
        <v>1915.5</v>
      </c>
      <c r="BC38" s="32">
        <v>1887.5</v>
      </c>
      <c r="BD38" s="32">
        <v>1972</v>
      </c>
      <c r="BE38" s="32">
        <v>1978</v>
      </c>
      <c r="BF38" s="32">
        <v>2008.5</v>
      </c>
      <c r="BG38" s="32">
        <v>1995.5</v>
      </c>
      <c r="BH38" s="32">
        <v>1989</v>
      </c>
      <c r="BI38" s="32">
        <v>2028.5</v>
      </c>
      <c r="BJ38" s="32">
        <v>2052</v>
      </c>
      <c r="BK38" s="32">
        <v>2039</v>
      </c>
      <c r="BL38" s="33">
        <v>2017.5</v>
      </c>
    </row>
    <row r="39" spans="1:64" ht="15.95" customHeight="1">
      <c r="A39" s="68" t="s">
        <v>296</v>
      </c>
      <c r="B39" s="28" t="s">
        <v>115</v>
      </c>
      <c r="C39" s="42">
        <f>_xll.RssMarket("8593","高値")</f>
        <v>1338</v>
      </c>
      <c r="D39" s="41">
        <f t="shared" si="0"/>
        <v>0</v>
      </c>
      <c r="E39" s="32">
        <v>1338</v>
      </c>
      <c r="F39" s="32">
        <v>1332.5</v>
      </c>
      <c r="G39" s="32">
        <v>1347.5</v>
      </c>
      <c r="H39" s="32">
        <v>1324</v>
      </c>
      <c r="I39" s="32">
        <v>1326.5</v>
      </c>
      <c r="J39" s="32">
        <v>1335</v>
      </c>
      <c r="K39" s="32">
        <v>1298.5</v>
      </c>
      <c r="L39" s="32">
        <v>1289.5</v>
      </c>
      <c r="M39" s="32">
        <v>1271.5</v>
      </c>
      <c r="N39" s="32">
        <v>1271</v>
      </c>
      <c r="O39" s="32">
        <v>1270</v>
      </c>
      <c r="P39" s="32">
        <v>1328</v>
      </c>
      <c r="Q39" s="32">
        <v>1314.5</v>
      </c>
      <c r="R39" s="32">
        <v>1341</v>
      </c>
      <c r="S39" s="32">
        <v>1328.5</v>
      </c>
      <c r="T39" s="32">
        <v>1331</v>
      </c>
      <c r="U39" s="32">
        <v>1363.5</v>
      </c>
      <c r="V39" s="32">
        <v>1354.5</v>
      </c>
      <c r="W39" s="32">
        <v>1357.5</v>
      </c>
      <c r="X39" s="32">
        <v>1383.5</v>
      </c>
      <c r="Y39" s="32">
        <v>1436.5</v>
      </c>
      <c r="Z39" s="32">
        <v>1435</v>
      </c>
      <c r="AA39" s="32">
        <v>1446.5</v>
      </c>
      <c r="AB39" s="32">
        <v>1445</v>
      </c>
      <c r="AC39" s="32">
        <v>1414.5</v>
      </c>
      <c r="AD39" s="32">
        <v>1412</v>
      </c>
      <c r="AE39" s="32">
        <v>1420</v>
      </c>
      <c r="AF39" s="32">
        <v>1411</v>
      </c>
      <c r="AG39" s="32">
        <v>1435</v>
      </c>
      <c r="AH39" s="32">
        <v>1443</v>
      </c>
      <c r="AI39" s="32">
        <v>1421</v>
      </c>
      <c r="AJ39" s="32">
        <v>1419</v>
      </c>
      <c r="AK39" s="32">
        <v>1414.5</v>
      </c>
      <c r="AL39" s="32">
        <v>1438</v>
      </c>
      <c r="AM39" s="32">
        <v>1461</v>
      </c>
      <c r="AN39" s="32">
        <v>1474.5</v>
      </c>
      <c r="AO39" s="32">
        <v>1473.5</v>
      </c>
      <c r="AP39" s="32">
        <v>1478</v>
      </c>
      <c r="AQ39" s="32">
        <v>1473.5</v>
      </c>
      <c r="AR39" s="32">
        <v>1477</v>
      </c>
      <c r="AS39" s="32">
        <v>1480.5</v>
      </c>
      <c r="AT39" s="32">
        <v>1488.5</v>
      </c>
      <c r="AU39" s="32">
        <v>1516.5</v>
      </c>
      <c r="AV39" s="32">
        <v>1516.5</v>
      </c>
      <c r="AW39" s="32">
        <v>1499.5</v>
      </c>
      <c r="AX39" s="32">
        <v>1486</v>
      </c>
      <c r="AY39" s="32">
        <v>1475.5</v>
      </c>
      <c r="AZ39" s="32">
        <v>1482</v>
      </c>
      <c r="BA39" s="32">
        <v>1440.5</v>
      </c>
      <c r="BB39" s="32">
        <v>1425.5</v>
      </c>
      <c r="BC39" s="32">
        <v>1419</v>
      </c>
      <c r="BD39" s="32">
        <v>1453.5</v>
      </c>
      <c r="BE39" s="32">
        <v>1460</v>
      </c>
      <c r="BF39" s="32">
        <v>1453</v>
      </c>
      <c r="BG39" s="32">
        <v>1425</v>
      </c>
      <c r="BH39" s="32">
        <v>1413</v>
      </c>
      <c r="BI39" s="32">
        <v>1450</v>
      </c>
      <c r="BJ39" s="32">
        <v>1463.5</v>
      </c>
      <c r="BK39" s="32">
        <v>1434</v>
      </c>
      <c r="BL39" s="33">
        <v>1423.5</v>
      </c>
    </row>
    <row r="40" spans="1:64" ht="15.95" customHeight="1">
      <c r="A40" s="68" t="s">
        <v>297</v>
      </c>
      <c r="B40" s="28" t="s">
        <v>116</v>
      </c>
      <c r="C40" s="42">
        <f>_xll.RssMarket("8604","高値")</f>
        <v>1478</v>
      </c>
      <c r="D40" s="41">
        <f t="shared" si="0"/>
        <v>0</v>
      </c>
      <c r="E40" s="32">
        <v>1478</v>
      </c>
      <c r="F40" s="32">
        <v>1416.5</v>
      </c>
      <c r="G40" s="32">
        <v>1425</v>
      </c>
      <c r="H40" s="32">
        <v>1376</v>
      </c>
      <c r="I40" s="32">
        <v>1365</v>
      </c>
      <c r="J40" s="32">
        <v>1419</v>
      </c>
      <c r="K40" s="32">
        <v>1359.5</v>
      </c>
      <c r="L40" s="32">
        <v>1386.5</v>
      </c>
      <c r="M40" s="32">
        <v>1359.5</v>
      </c>
      <c r="N40" s="32">
        <v>1354.5</v>
      </c>
      <c r="O40" s="32">
        <v>1324</v>
      </c>
      <c r="P40" s="32">
        <v>1307.5</v>
      </c>
      <c r="Q40" s="32">
        <v>1256</v>
      </c>
      <c r="R40" s="32">
        <v>1263.5</v>
      </c>
      <c r="S40" s="32">
        <v>1295</v>
      </c>
      <c r="T40" s="32">
        <v>1312</v>
      </c>
      <c r="U40" s="32">
        <v>1298.5</v>
      </c>
      <c r="V40" s="32">
        <v>1278</v>
      </c>
      <c r="W40" s="32">
        <v>1282</v>
      </c>
      <c r="X40" s="32">
        <v>1273</v>
      </c>
      <c r="Y40" s="32">
        <v>1287.5</v>
      </c>
      <c r="Z40" s="32">
        <v>1275</v>
      </c>
      <c r="AA40" s="32">
        <v>1239</v>
      </c>
      <c r="AB40" s="32">
        <v>1233</v>
      </c>
      <c r="AC40" s="32">
        <v>1246</v>
      </c>
      <c r="AD40" s="32">
        <v>1265.5</v>
      </c>
      <c r="AE40" s="32">
        <v>1251</v>
      </c>
      <c r="AF40" s="32">
        <v>1260</v>
      </c>
      <c r="AG40" s="32">
        <v>1275</v>
      </c>
      <c r="AH40" s="32">
        <v>1251.5</v>
      </c>
      <c r="AI40" s="32">
        <v>1330.5</v>
      </c>
      <c r="AJ40" s="32">
        <v>1347.5</v>
      </c>
      <c r="AK40" s="32">
        <v>1348.5</v>
      </c>
      <c r="AL40" s="32">
        <v>1352</v>
      </c>
      <c r="AM40" s="32">
        <v>1349</v>
      </c>
      <c r="AN40" s="32">
        <v>1365</v>
      </c>
      <c r="AO40" s="32">
        <v>1436.5</v>
      </c>
      <c r="AP40" s="32">
        <v>1372.5</v>
      </c>
      <c r="AQ40" s="32">
        <v>1332.5</v>
      </c>
      <c r="AR40" s="32">
        <v>1314</v>
      </c>
      <c r="AS40" s="32">
        <v>1323</v>
      </c>
      <c r="AT40" s="32">
        <v>1337</v>
      </c>
      <c r="AU40" s="32">
        <v>1338.5</v>
      </c>
      <c r="AV40" s="32">
        <v>1284.5</v>
      </c>
      <c r="AW40" s="32">
        <v>1275.5</v>
      </c>
      <c r="AX40" s="32">
        <v>1278</v>
      </c>
      <c r="AY40" s="32">
        <v>1301</v>
      </c>
      <c r="AZ40" s="32">
        <v>1285</v>
      </c>
      <c r="BA40" s="32">
        <v>1232.5</v>
      </c>
      <c r="BB40" s="32">
        <v>1208</v>
      </c>
      <c r="BC40" s="32">
        <v>1269</v>
      </c>
      <c r="BD40" s="32">
        <v>1276.5</v>
      </c>
      <c r="BE40" s="32">
        <v>1284.5</v>
      </c>
      <c r="BF40" s="32">
        <v>1245.5</v>
      </c>
      <c r="BG40" s="32">
        <v>1226.5</v>
      </c>
      <c r="BH40" s="32">
        <v>1227.5</v>
      </c>
      <c r="BI40" s="32">
        <v>1244</v>
      </c>
      <c r="BJ40" s="32">
        <v>1204.5</v>
      </c>
      <c r="BK40" s="32">
        <v>1193.5</v>
      </c>
      <c r="BL40" s="33">
        <v>1201</v>
      </c>
    </row>
    <row r="41" spans="1:64" ht="15.95" customHeight="1">
      <c r="A41" s="68" t="s">
        <v>298</v>
      </c>
      <c r="B41" s="28" t="s">
        <v>117</v>
      </c>
      <c r="C41" s="42">
        <f>_xll.RssMarket("3861","高値")</f>
        <v>805.9</v>
      </c>
      <c r="D41" s="41">
        <f t="shared" si="0"/>
        <v>0</v>
      </c>
      <c r="E41" s="32">
        <v>805.9</v>
      </c>
      <c r="F41" s="32">
        <v>800</v>
      </c>
      <c r="G41" s="32">
        <v>812.3</v>
      </c>
      <c r="H41" s="32">
        <v>794.4</v>
      </c>
      <c r="I41" s="32">
        <v>787.7</v>
      </c>
      <c r="J41" s="32">
        <v>792</v>
      </c>
      <c r="K41" s="32">
        <v>785.8</v>
      </c>
      <c r="L41" s="32">
        <v>787.9</v>
      </c>
      <c r="M41" s="32">
        <v>784</v>
      </c>
      <c r="N41" s="32">
        <v>783.9</v>
      </c>
      <c r="O41" s="32">
        <v>771</v>
      </c>
      <c r="P41" s="32">
        <v>789.9</v>
      </c>
      <c r="Q41" s="32">
        <v>797.7</v>
      </c>
      <c r="R41" s="32">
        <v>786.3</v>
      </c>
      <c r="S41" s="32">
        <v>783.6</v>
      </c>
      <c r="T41" s="32">
        <v>796</v>
      </c>
      <c r="U41" s="32">
        <v>821</v>
      </c>
      <c r="V41" s="32">
        <v>820</v>
      </c>
      <c r="W41" s="32">
        <v>829.6</v>
      </c>
      <c r="X41" s="32">
        <v>853.7</v>
      </c>
      <c r="Y41" s="32">
        <v>858</v>
      </c>
      <c r="Z41" s="32">
        <v>849.5</v>
      </c>
      <c r="AA41" s="32">
        <v>844.6</v>
      </c>
      <c r="AB41" s="32">
        <v>835</v>
      </c>
      <c r="AC41" s="32">
        <v>831.8</v>
      </c>
      <c r="AD41" s="32">
        <v>844</v>
      </c>
      <c r="AE41" s="32">
        <v>839.2</v>
      </c>
      <c r="AF41" s="32">
        <v>829.3</v>
      </c>
      <c r="AG41" s="32">
        <v>825.9</v>
      </c>
      <c r="AH41" s="32">
        <v>825.8</v>
      </c>
      <c r="AI41" s="32">
        <v>826.5</v>
      </c>
      <c r="AJ41" s="32">
        <v>826.8</v>
      </c>
      <c r="AK41" s="32">
        <v>826.8</v>
      </c>
      <c r="AL41" s="32">
        <v>843.3</v>
      </c>
      <c r="AM41" s="32">
        <v>845</v>
      </c>
      <c r="AN41" s="32">
        <v>852.1</v>
      </c>
      <c r="AO41" s="32">
        <v>852.7</v>
      </c>
      <c r="AP41" s="32">
        <v>855.5</v>
      </c>
      <c r="AQ41" s="32">
        <v>854.3</v>
      </c>
      <c r="AR41" s="32">
        <v>857.4</v>
      </c>
      <c r="AS41" s="32">
        <v>856</v>
      </c>
      <c r="AT41" s="32">
        <v>854.3</v>
      </c>
      <c r="AU41" s="32">
        <v>869.8</v>
      </c>
      <c r="AV41" s="32">
        <v>863.2</v>
      </c>
      <c r="AW41" s="32">
        <v>858.1</v>
      </c>
      <c r="AX41" s="32">
        <v>857.8</v>
      </c>
      <c r="AY41" s="32">
        <v>856.1</v>
      </c>
      <c r="AZ41" s="32">
        <v>867.5</v>
      </c>
      <c r="BA41" s="32">
        <v>860.8</v>
      </c>
      <c r="BB41" s="32">
        <v>855.2</v>
      </c>
      <c r="BC41" s="32">
        <v>840.8</v>
      </c>
      <c r="BD41" s="32">
        <v>875</v>
      </c>
      <c r="BE41" s="32">
        <v>864.3</v>
      </c>
      <c r="BF41" s="32">
        <v>887</v>
      </c>
      <c r="BG41" s="32">
        <v>872.9</v>
      </c>
      <c r="BH41" s="32">
        <v>865</v>
      </c>
      <c r="BI41" s="32">
        <v>908</v>
      </c>
      <c r="BJ41" s="32">
        <v>917.1</v>
      </c>
      <c r="BK41" s="32">
        <v>915</v>
      </c>
      <c r="BL41" s="33">
        <v>910</v>
      </c>
    </row>
    <row r="42" spans="1:64" ht="15.95" customHeight="1">
      <c r="A42" s="68" t="s">
        <v>299</v>
      </c>
      <c r="B42" s="28" t="s">
        <v>118</v>
      </c>
      <c r="C42" s="42">
        <f>_xll.RssMarket("5947","高値")</f>
        <v>3465</v>
      </c>
      <c r="D42" s="41">
        <f t="shared" si="0"/>
        <v>0</v>
      </c>
      <c r="E42" s="32">
        <v>3465</v>
      </c>
      <c r="F42" s="32">
        <v>3441</v>
      </c>
      <c r="G42" s="32">
        <v>3527</v>
      </c>
      <c r="H42" s="32">
        <v>3560</v>
      </c>
      <c r="I42" s="32">
        <v>3542</v>
      </c>
      <c r="J42" s="32">
        <v>3598</v>
      </c>
      <c r="K42" s="32">
        <v>3523</v>
      </c>
      <c r="L42" s="32">
        <v>3512</v>
      </c>
      <c r="M42" s="32">
        <v>3432</v>
      </c>
      <c r="N42" s="32">
        <v>3392</v>
      </c>
      <c r="O42" s="32">
        <v>3344</v>
      </c>
      <c r="P42" s="32">
        <v>3433</v>
      </c>
      <c r="Q42" s="32">
        <v>3462</v>
      </c>
      <c r="R42" s="32">
        <v>3470</v>
      </c>
      <c r="S42" s="32">
        <v>3502</v>
      </c>
      <c r="T42" s="32">
        <v>3558</v>
      </c>
      <c r="U42" s="32">
        <v>3609</v>
      </c>
      <c r="V42" s="32">
        <v>3569</v>
      </c>
      <c r="W42" s="32">
        <v>3596</v>
      </c>
      <c r="X42" s="32">
        <v>3492</v>
      </c>
      <c r="Y42" s="32">
        <v>3462</v>
      </c>
      <c r="Z42" s="32">
        <v>3404</v>
      </c>
      <c r="AA42" s="32">
        <v>3461</v>
      </c>
      <c r="AB42" s="32">
        <v>3761</v>
      </c>
      <c r="AC42" s="32">
        <v>3603</v>
      </c>
      <c r="AD42" s="32">
        <v>3700</v>
      </c>
      <c r="AE42" s="32">
        <v>3750</v>
      </c>
      <c r="AF42" s="32">
        <v>3615</v>
      </c>
      <c r="AG42" s="32">
        <v>3562</v>
      </c>
      <c r="AH42" s="32">
        <v>3606</v>
      </c>
      <c r="AI42" s="32">
        <v>3549</v>
      </c>
      <c r="AJ42" s="32">
        <v>3526</v>
      </c>
      <c r="AK42" s="32">
        <v>3518</v>
      </c>
      <c r="AL42" s="32">
        <v>3527</v>
      </c>
      <c r="AM42" s="32">
        <v>3534</v>
      </c>
      <c r="AN42" s="32">
        <v>3572</v>
      </c>
      <c r="AO42" s="32">
        <v>3555</v>
      </c>
      <c r="AP42" s="32">
        <v>3606</v>
      </c>
      <c r="AQ42" s="32">
        <v>3605</v>
      </c>
      <c r="AR42" s="32">
        <v>3680</v>
      </c>
      <c r="AS42" s="32">
        <v>3748</v>
      </c>
      <c r="AT42" s="32">
        <v>3768</v>
      </c>
      <c r="AU42" s="32">
        <v>3774</v>
      </c>
      <c r="AV42" s="32">
        <v>3761</v>
      </c>
      <c r="AW42" s="32">
        <v>3700</v>
      </c>
      <c r="AX42" s="32">
        <v>3701</v>
      </c>
      <c r="AY42" s="32">
        <v>3679</v>
      </c>
      <c r="AZ42" s="32">
        <v>3765</v>
      </c>
      <c r="BA42" s="32">
        <v>3749</v>
      </c>
      <c r="BB42" s="32">
        <v>3687</v>
      </c>
      <c r="BC42" s="32">
        <v>3667</v>
      </c>
      <c r="BD42" s="32">
        <v>3768</v>
      </c>
      <c r="BE42" s="32">
        <v>3753</v>
      </c>
      <c r="BF42" s="32">
        <v>3766</v>
      </c>
      <c r="BG42" s="32">
        <v>3708</v>
      </c>
      <c r="BH42" s="32">
        <v>3662</v>
      </c>
      <c r="BI42" s="32">
        <v>3787</v>
      </c>
      <c r="BJ42" s="32">
        <v>3828</v>
      </c>
      <c r="BK42" s="32">
        <v>3787</v>
      </c>
      <c r="BL42" s="33">
        <v>3830</v>
      </c>
    </row>
    <row r="43" spans="1:64" ht="15.95" customHeight="1">
      <c r="A43" s="68" t="s">
        <v>300</v>
      </c>
      <c r="B43" s="28" t="s">
        <v>119</v>
      </c>
      <c r="C43" s="42">
        <f>_xll.RssMarket("8750","高値")</f>
        <v>1834</v>
      </c>
      <c r="D43" s="41">
        <f t="shared" si="0"/>
        <v>0</v>
      </c>
      <c r="E43" s="32">
        <v>1834</v>
      </c>
      <c r="F43" s="32">
        <v>1789.5</v>
      </c>
      <c r="G43" s="32">
        <v>1816</v>
      </c>
      <c r="H43" s="32">
        <v>1777</v>
      </c>
      <c r="I43" s="32">
        <v>1747.5</v>
      </c>
      <c r="J43" s="32">
        <v>1787</v>
      </c>
      <c r="K43" s="32">
        <v>1667.5</v>
      </c>
      <c r="L43" s="32">
        <v>1714.5</v>
      </c>
      <c r="M43" s="32">
        <v>1654</v>
      </c>
      <c r="N43" s="32">
        <v>1655</v>
      </c>
      <c r="O43" s="32">
        <v>1626.5</v>
      </c>
      <c r="P43" s="32">
        <v>1648.5</v>
      </c>
      <c r="Q43" s="32">
        <v>1653</v>
      </c>
      <c r="R43" s="32">
        <v>1675</v>
      </c>
      <c r="S43" s="32">
        <v>1691.5</v>
      </c>
      <c r="T43" s="32">
        <v>1675.5</v>
      </c>
      <c r="U43" s="32">
        <v>1695.5</v>
      </c>
      <c r="V43" s="32">
        <v>1678</v>
      </c>
      <c r="W43" s="32">
        <v>1676</v>
      </c>
      <c r="X43" s="32">
        <v>1670</v>
      </c>
      <c r="Y43" s="32">
        <v>1618</v>
      </c>
      <c r="Z43" s="32">
        <v>1501.5</v>
      </c>
      <c r="AA43" s="32">
        <v>1510.5</v>
      </c>
      <c r="AB43" s="32">
        <v>1501.5</v>
      </c>
      <c r="AC43" s="32">
        <v>1466.5</v>
      </c>
      <c r="AD43" s="32">
        <v>1459.5</v>
      </c>
      <c r="AE43" s="32">
        <v>1472</v>
      </c>
      <c r="AF43" s="32">
        <v>1426</v>
      </c>
      <c r="AG43" s="32">
        <v>1441</v>
      </c>
      <c r="AH43" s="32">
        <v>1444</v>
      </c>
      <c r="AI43" s="32">
        <v>1406.5</v>
      </c>
      <c r="AJ43" s="32">
        <v>1424</v>
      </c>
      <c r="AK43" s="32">
        <v>1424.5</v>
      </c>
      <c r="AL43" s="32">
        <v>1440.5</v>
      </c>
      <c r="AM43" s="32">
        <v>1467</v>
      </c>
      <c r="AN43" s="32">
        <v>1484</v>
      </c>
      <c r="AO43" s="32">
        <v>1495.5</v>
      </c>
      <c r="AP43" s="32">
        <v>1516</v>
      </c>
      <c r="AQ43" s="32">
        <v>1500</v>
      </c>
      <c r="AR43" s="32">
        <v>1503</v>
      </c>
      <c r="AS43" s="32">
        <v>1493.5</v>
      </c>
      <c r="AT43" s="32">
        <v>1502</v>
      </c>
      <c r="AU43" s="32">
        <v>1530.5</v>
      </c>
      <c r="AV43" s="32">
        <v>1542</v>
      </c>
      <c r="AW43" s="32">
        <v>1484.5</v>
      </c>
      <c r="AX43" s="32">
        <v>1467.5</v>
      </c>
      <c r="AY43" s="32">
        <v>1491.5</v>
      </c>
      <c r="AZ43" s="32">
        <v>1507.5</v>
      </c>
      <c r="BA43" s="32">
        <v>1507.5</v>
      </c>
      <c r="BB43" s="32">
        <v>1458</v>
      </c>
      <c r="BC43" s="32">
        <v>1424</v>
      </c>
      <c r="BD43" s="32">
        <v>1460</v>
      </c>
      <c r="BE43" s="32">
        <v>1457.5</v>
      </c>
      <c r="BF43" s="32">
        <v>1455</v>
      </c>
      <c r="BG43" s="32">
        <v>1427</v>
      </c>
      <c r="BH43" s="32">
        <v>1373</v>
      </c>
      <c r="BI43" s="32">
        <v>1469</v>
      </c>
      <c r="BJ43" s="32">
        <v>1469.5</v>
      </c>
      <c r="BK43" s="32">
        <v>1457</v>
      </c>
      <c r="BL43" s="33">
        <v>1435</v>
      </c>
    </row>
    <row r="44" spans="1:64" ht="15.95" customHeight="1">
      <c r="A44" s="68" t="s">
        <v>301</v>
      </c>
      <c r="B44" s="28" t="s">
        <v>120</v>
      </c>
      <c r="C44" s="42">
        <f>_xll.RssMarket("3402","高値")</f>
        <v>1190.5</v>
      </c>
      <c r="D44" s="41">
        <f t="shared" si="0"/>
        <v>0</v>
      </c>
      <c r="E44" s="32">
        <v>1190.5</v>
      </c>
      <c r="F44" s="32">
        <v>1198</v>
      </c>
      <c r="G44" s="32">
        <v>1207</v>
      </c>
      <c r="H44" s="32">
        <v>1152.5</v>
      </c>
      <c r="I44" s="32">
        <v>1122.5</v>
      </c>
      <c r="J44" s="32">
        <v>1113</v>
      </c>
      <c r="K44" s="32">
        <v>1119</v>
      </c>
      <c r="L44" s="32">
        <v>1124.5</v>
      </c>
      <c r="M44" s="32">
        <v>1147</v>
      </c>
      <c r="N44" s="32">
        <v>1182.5</v>
      </c>
      <c r="O44" s="32">
        <v>1135</v>
      </c>
      <c r="P44" s="32">
        <v>1198.5</v>
      </c>
      <c r="Q44" s="32">
        <v>1159.5</v>
      </c>
      <c r="R44" s="32">
        <v>1174.5</v>
      </c>
      <c r="S44" s="32">
        <v>1156.5</v>
      </c>
      <c r="T44" s="32">
        <v>1096</v>
      </c>
      <c r="U44" s="32">
        <v>1103.5</v>
      </c>
      <c r="V44" s="32">
        <v>1081.5</v>
      </c>
      <c r="W44" s="32">
        <v>1102.5</v>
      </c>
      <c r="X44" s="32">
        <v>1139.5</v>
      </c>
      <c r="Y44" s="32">
        <v>1173</v>
      </c>
      <c r="Z44" s="32">
        <v>1202</v>
      </c>
      <c r="AA44" s="32">
        <v>1224.5</v>
      </c>
      <c r="AB44" s="32">
        <v>1147.5</v>
      </c>
      <c r="AC44" s="32">
        <v>1142.5</v>
      </c>
      <c r="AD44" s="32">
        <v>1142</v>
      </c>
      <c r="AE44" s="32">
        <v>1146</v>
      </c>
      <c r="AF44" s="32">
        <v>1123</v>
      </c>
      <c r="AG44" s="32">
        <v>1125</v>
      </c>
      <c r="AH44" s="32">
        <v>1140.5</v>
      </c>
      <c r="AI44" s="32">
        <v>1122</v>
      </c>
      <c r="AJ44" s="32">
        <v>1126</v>
      </c>
      <c r="AK44" s="32">
        <v>1121</v>
      </c>
      <c r="AL44" s="32">
        <v>1138.5</v>
      </c>
      <c r="AM44" s="32">
        <v>1159.5</v>
      </c>
      <c r="AN44" s="32">
        <v>1160.5</v>
      </c>
      <c r="AO44" s="32">
        <v>1169.5</v>
      </c>
      <c r="AP44" s="32">
        <v>1175.5</v>
      </c>
      <c r="AQ44" s="32">
        <v>1163</v>
      </c>
      <c r="AR44" s="32">
        <v>1162.5</v>
      </c>
      <c r="AS44" s="32">
        <v>1175.5</v>
      </c>
      <c r="AT44" s="32">
        <v>1191.5</v>
      </c>
      <c r="AU44" s="32">
        <v>1188.5</v>
      </c>
      <c r="AV44" s="32">
        <v>1186.5</v>
      </c>
      <c r="AW44" s="32">
        <v>1138.5</v>
      </c>
      <c r="AX44" s="32">
        <v>1147.5</v>
      </c>
      <c r="AY44" s="32">
        <v>1136</v>
      </c>
      <c r="AZ44" s="32">
        <v>1175</v>
      </c>
      <c r="BA44" s="32">
        <v>1155</v>
      </c>
      <c r="BB44" s="32">
        <v>1127.5</v>
      </c>
      <c r="BC44" s="32">
        <v>1097</v>
      </c>
      <c r="BD44" s="32">
        <v>1128</v>
      </c>
      <c r="BE44" s="32">
        <v>1143</v>
      </c>
      <c r="BF44" s="32">
        <v>1122</v>
      </c>
      <c r="BG44" s="32">
        <v>1086</v>
      </c>
      <c r="BH44" s="32">
        <v>1064</v>
      </c>
      <c r="BI44" s="32">
        <v>1111.5</v>
      </c>
      <c r="BJ44" s="32">
        <v>1139.5</v>
      </c>
      <c r="BK44" s="32">
        <v>1133.5</v>
      </c>
      <c r="BL44" s="33">
        <v>1132.5</v>
      </c>
    </row>
    <row r="45" spans="1:64" ht="15.95" customHeight="1">
      <c r="A45" s="68" t="s">
        <v>302</v>
      </c>
      <c r="B45" s="28" t="s">
        <v>121</v>
      </c>
      <c r="C45" s="42">
        <f>_xll.RssMarket("8306","高値")</f>
        <v>3312</v>
      </c>
      <c r="D45" s="41">
        <f t="shared" si="0"/>
        <v>0</v>
      </c>
      <c r="E45" s="32">
        <v>3312</v>
      </c>
      <c r="F45" s="32">
        <v>3236</v>
      </c>
      <c r="G45" s="32">
        <v>3327</v>
      </c>
      <c r="H45" s="32">
        <v>3205</v>
      </c>
      <c r="I45" s="32">
        <v>3148</v>
      </c>
      <c r="J45" s="32">
        <v>3305</v>
      </c>
      <c r="K45" s="32">
        <v>3217</v>
      </c>
      <c r="L45" s="32">
        <v>3273</v>
      </c>
      <c r="M45" s="32">
        <v>3208</v>
      </c>
      <c r="N45" s="32">
        <v>3149</v>
      </c>
      <c r="O45" s="32">
        <v>3047</v>
      </c>
      <c r="P45" s="32">
        <v>3034</v>
      </c>
      <c r="Q45" s="32">
        <v>3011</v>
      </c>
      <c r="R45" s="32">
        <v>3066</v>
      </c>
      <c r="S45" s="32">
        <v>3095</v>
      </c>
      <c r="T45" s="32">
        <v>3140</v>
      </c>
      <c r="U45" s="32">
        <v>3148</v>
      </c>
      <c r="V45" s="32">
        <v>3170</v>
      </c>
      <c r="W45" s="32">
        <v>3110</v>
      </c>
      <c r="X45" s="32">
        <v>3063</v>
      </c>
      <c r="Y45" s="32">
        <v>2951.5</v>
      </c>
      <c r="Z45" s="32">
        <v>2923.5</v>
      </c>
      <c r="AA45" s="32">
        <v>2939</v>
      </c>
      <c r="AB45" s="32">
        <v>2899</v>
      </c>
      <c r="AC45" s="32">
        <v>2856.5</v>
      </c>
      <c r="AD45" s="32">
        <v>2827.5</v>
      </c>
      <c r="AE45" s="32">
        <v>2891.5</v>
      </c>
      <c r="AF45" s="32">
        <v>2813</v>
      </c>
      <c r="AG45" s="32">
        <v>2868</v>
      </c>
      <c r="AH45" s="32">
        <v>2886</v>
      </c>
      <c r="AI45" s="32">
        <v>2796.5</v>
      </c>
      <c r="AJ45" s="32">
        <v>2783</v>
      </c>
      <c r="AK45" s="32">
        <v>2807.5</v>
      </c>
      <c r="AL45" s="32">
        <v>2824</v>
      </c>
      <c r="AM45" s="32">
        <v>2880.5</v>
      </c>
      <c r="AN45" s="32">
        <v>2894.5</v>
      </c>
      <c r="AO45" s="32">
        <v>2926</v>
      </c>
      <c r="AP45" s="32">
        <v>2966.5</v>
      </c>
      <c r="AQ45" s="32">
        <v>2919</v>
      </c>
      <c r="AR45" s="32">
        <v>2889.5</v>
      </c>
      <c r="AS45" s="32">
        <v>2891.5</v>
      </c>
      <c r="AT45" s="32">
        <v>2882.5</v>
      </c>
      <c r="AU45" s="32">
        <v>2903</v>
      </c>
      <c r="AV45" s="32">
        <v>2932.5</v>
      </c>
      <c r="AW45" s="32">
        <v>2827</v>
      </c>
      <c r="AX45" s="32">
        <v>2815.5</v>
      </c>
      <c r="AY45" s="32">
        <v>2790</v>
      </c>
      <c r="AZ45" s="32">
        <v>2844</v>
      </c>
      <c r="BA45" s="32">
        <v>2813.5</v>
      </c>
      <c r="BB45" s="32">
        <v>2683</v>
      </c>
      <c r="BC45" s="32">
        <v>2632</v>
      </c>
      <c r="BD45" s="32">
        <v>2723.5</v>
      </c>
      <c r="BE45" s="32">
        <v>2740</v>
      </c>
      <c r="BF45" s="32">
        <v>2733</v>
      </c>
      <c r="BG45" s="32">
        <v>2644.5</v>
      </c>
      <c r="BH45" s="32">
        <v>2578</v>
      </c>
      <c r="BI45" s="32">
        <v>2716.5</v>
      </c>
      <c r="BJ45" s="32">
        <v>2736</v>
      </c>
      <c r="BK45" s="32">
        <v>2695</v>
      </c>
      <c r="BL45" s="33">
        <v>2643</v>
      </c>
    </row>
    <row r="46" spans="1:64" ht="15.95" customHeight="1">
      <c r="A46" s="68" t="s">
        <v>303</v>
      </c>
      <c r="B46" s="28" t="s">
        <v>122</v>
      </c>
      <c r="C46" s="42">
        <f>_xll.RssMarket("5401","高値")</f>
        <v>566.29999999999995</v>
      </c>
      <c r="D46" s="41">
        <f t="shared" si="0"/>
        <v>0</v>
      </c>
      <c r="E46" s="32">
        <v>566.29999999999995</v>
      </c>
      <c r="F46" s="32">
        <v>574.20000000000005</v>
      </c>
      <c r="G46" s="32">
        <v>575.5</v>
      </c>
      <c r="H46" s="32">
        <v>554.4</v>
      </c>
      <c r="I46" s="32">
        <v>538</v>
      </c>
      <c r="J46" s="32">
        <v>543.4</v>
      </c>
      <c r="K46" s="32">
        <v>544.79999999999995</v>
      </c>
      <c r="L46" s="32">
        <v>551.4</v>
      </c>
      <c r="M46" s="32">
        <v>545</v>
      </c>
      <c r="N46" s="32">
        <v>550.5</v>
      </c>
      <c r="O46" s="32">
        <v>544.79999999999995</v>
      </c>
      <c r="P46" s="32">
        <v>575.79999999999995</v>
      </c>
      <c r="Q46" s="32">
        <v>567.29999999999995</v>
      </c>
      <c r="R46" s="32">
        <v>567.79999999999995</v>
      </c>
      <c r="S46" s="32">
        <v>560.6</v>
      </c>
      <c r="T46" s="32">
        <v>556.20000000000005</v>
      </c>
      <c r="U46" s="32">
        <v>548.79999999999995</v>
      </c>
      <c r="V46" s="32">
        <v>550</v>
      </c>
      <c r="W46" s="32">
        <v>553.29999999999995</v>
      </c>
      <c r="X46" s="32">
        <v>560.20000000000005</v>
      </c>
      <c r="Y46" s="32">
        <v>562.79999999999995</v>
      </c>
      <c r="Z46" s="32">
        <v>570.79999999999995</v>
      </c>
      <c r="AA46" s="32">
        <v>560.9</v>
      </c>
      <c r="AB46" s="32">
        <v>569.70000000000005</v>
      </c>
      <c r="AC46" s="32">
        <v>580</v>
      </c>
      <c r="AD46" s="32">
        <v>583.29999999999995</v>
      </c>
      <c r="AE46" s="32">
        <v>572.70000000000005</v>
      </c>
      <c r="AF46" s="32">
        <v>576.5</v>
      </c>
      <c r="AG46" s="32">
        <v>579.1</v>
      </c>
      <c r="AH46" s="32">
        <v>580</v>
      </c>
      <c r="AI46" s="32">
        <v>581.29999999999995</v>
      </c>
      <c r="AJ46" s="32">
        <v>590.20000000000005</v>
      </c>
      <c r="AK46" s="32">
        <v>593.29999999999995</v>
      </c>
      <c r="AL46" s="32">
        <v>598.4</v>
      </c>
      <c r="AM46" s="32">
        <v>599.79999999999995</v>
      </c>
      <c r="AN46" s="32">
        <v>596.9</v>
      </c>
      <c r="AO46" s="32">
        <v>600.20000000000005</v>
      </c>
      <c r="AP46" s="32">
        <v>600.9</v>
      </c>
      <c r="AQ46" s="32">
        <v>601.9</v>
      </c>
      <c r="AR46" s="32">
        <v>600.5</v>
      </c>
      <c r="AS46" s="32">
        <v>606.29999999999995</v>
      </c>
      <c r="AT46" s="32">
        <v>605.9</v>
      </c>
      <c r="AU46" s="32">
        <v>602.70000000000005</v>
      </c>
      <c r="AV46" s="32">
        <v>592.1</v>
      </c>
      <c r="AW46" s="32">
        <v>590.79999999999995</v>
      </c>
      <c r="AX46" s="32">
        <v>591.5</v>
      </c>
      <c r="AY46" s="32">
        <v>597.4</v>
      </c>
      <c r="AZ46" s="32">
        <v>592</v>
      </c>
      <c r="BA46" s="32">
        <v>584.20000000000005</v>
      </c>
      <c r="BB46" s="32">
        <v>579</v>
      </c>
      <c r="BC46" s="32">
        <v>601.70000000000005</v>
      </c>
      <c r="BD46" s="32">
        <v>601.70000000000005</v>
      </c>
      <c r="BE46" s="32">
        <v>599.6</v>
      </c>
      <c r="BF46" s="32">
        <v>597.70000000000005</v>
      </c>
      <c r="BG46" s="32">
        <v>588.5</v>
      </c>
      <c r="BH46" s="32">
        <v>603.29999999999995</v>
      </c>
      <c r="BI46" s="32">
        <v>607.4</v>
      </c>
      <c r="BJ46" s="32">
        <v>597.5</v>
      </c>
      <c r="BK46" s="32">
        <v>591.79999999999995</v>
      </c>
      <c r="BL46" s="33">
        <v>601.20000000000005</v>
      </c>
    </row>
    <row r="47" spans="1:64" ht="15.95" customHeight="1">
      <c r="A47" s="68" t="s">
        <v>304</v>
      </c>
      <c r="B47" s="28" t="s">
        <v>123</v>
      </c>
      <c r="C47" s="42">
        <f>_xll.RssMarket("8572","高値")</f>
        <v>453.7</v>
      </c>
      <c r="D47" s="41">
        <f t="shared" si="0"/>
        <v>0</v>
      </c>
      <c r="E47" s="32">
        <v>453.7</v>
      </c>
      <c r="F47" s="32">
        <v>453.9</v>
      </c>
      <c r="G47" s="32">
        <v>462.1</v>
      </c>
      <c r="H47" s="32">
        <v>452.6</v>
      </c>
      <c r="I47" s="32">
        <v>451</v>
      </c>
      <c r="J47" s="32">
        <v>453.5</v>
      </c>
      <c r="K47" s="32">
        <v>446.2</v>
      </c>
      <c r="L47" s="32">
        <v>453.6</v>
      </c>
      <c r="M47" s="32">
        <v>447.8</v>
      </c>
      <c r="N47" s="32">
        <v>452.5</v>
      </c>
      <c r="O47" s="32">
        <v>453.3</v>
      </c>
      <c r="P47" s="32">
        <v>474.4</v>
      </c>
      <c r="Q47" s="32">
        <v>468.7</v>
      </c>
      <c r="R47" s="32">
        <v>470.6</v>
      </c>
      <c r="S47" s="32">
        <v>467</v>
      </c>
      <c r="T47" s="32">
        <v>470.9</v>
      </c>
      <c r="U47" s="32">
        <v>473.6</v>
      </c>
      <c r="V47" s="32">
        <v>467.3</v>
      </c>
      <c r="W47" s="32">
        <v>466.8</v>
      </c>
      <c r="X47" s="32">
        <v>469.1</v>
      </c>
      <c r="Y47" s="32">
        <v>464.6</v>
      </c>
      <c r="Z47" s="32">
        <v>461.3</v>
      </c>
      <c r="AA47" s="32">
        <v>470.1</v>
      </c>
      <c r="AB47" s="32">
        <v>494.3</v>
      </c>
      <c r="AC47" s="32">
        <v>495.2</v>
      </c>
      <c r="AD47" s="32">
        <v>496</v>
      </c>
      <c r="AE47" s="32">
        <v>499</v>
      </c>
      <c r="AF47" s="32">
        <v>497.9</v>
      </c>
      <c r="AG47" s="32">
        <v>501.8</v>
      </c>
      <c r="AH47" s="32">
        <v>504.5</v>
      </c>
      <c r="AI47" s="32">
        <v>504.1</v>
      </c>
      <c r="AJ47" s="32">
        <v>504</v>
      </c>
      <c r="AK47" s="32">
        <v>513.79999999999995</v>
      </c>
      <c r="AL47" s="32">
        <v>521.9</v>
      </c>
      <c r="AM47" s="32">
        <v>519.79999999999995</v>
      </c>
      <c r="AN47" s="32">
        <v>489.3</v>
      </c>
      <c r="AO47" s="32">
        <v>485</v>
      </c>
      <c r="AP47" s="32">
        <v>484.6</v>
      </c>
      <c r="AQ47" s="32">
        <v>482</v>
      </c>
      <c r="AR47" s="32">
        <v>478.7</v>
      </c>
      <c r="AS47" s="32">
        <v>472.8</v>
      </c>
      <c r="AT47" s="32">
        <v>475.9</v>
      </c>
      <c r="AU47" s="32">
        <v>481.2</v>
      </c>
      <c r="AV47" s="32">
        <v>485.4</v>
      </c>
      <c r="AW47" s="32">
        <v>478.1</v>
      </c>
      <c r="AX47" s="32">
        <v>476.5</v>
      </c>
      <c r="AY47" s="32">
        <v>474.7</v>
      </c>
      <c r="AZ47" s="32">
        <v>479.5</v>
      </c>
      <c r="BA47" s="32">
        <v>474.2</v>
      </c>
      <c r="BB47" s="32">
        <v>467.2</v>
      </c>
      <c r="BC47" s="32">
        <v>459.3</v>
      </c>
      <c r="BD47" s="32">
        <v>479.9</v>
      </c>
      <c r="BE47" s="32">
        <v>481.4</v>
      </c>
      <c r="BF47" s="32">
        <v>483.7</v>
      </c>
      <c r="BG47" s="32">
        <v>477</v>
      </c>
      <c r="BH47" s="32">
        <v>474.7</v>
      </c>
      <c r="BI47" s="32">
        <v>482.8</v>
      </c>
      <c r="BJ47" s="32">
        <v>486.4</v>
      </c>
      <c r="BK47" s="32">
        <v>481.1</v>
      </c>
      <c r="BL47" s="33">
        <v>479</v>
      </c>
    </row>
    <row r="48" spans="1:64" ht="15.95" customHeight="1">
      <c r="A48" s="68" t="s">
        <v>305</v>
      </c>
      <c r="B48" s="28" t="s">
        <v>124</v>
      </c>
      <c r="C48" s="42">
        <f>_xll.RssMarket("3941","高値")</f>
        <v>1429</v>
      </c>
      <c r="D48" s="41">
        <f t="shared" si="0"/>
        <v>0</v>
      </c>
      <c r="E48" s="32">
        <v>1429</v>
      </c>
      <c r="F48" s="32">
        <v>1421</v>
      </c>
      <c r="G48" s="32">
        <v>1420.5</v>
      </c>
      <c r="H48" s="32">
        <v>1392.5</v>
      </c>
      <c r="I48" s="32">
        <v>1375</v>
      </c>
      <c r="J48" s="32">
        <v>1416</v>
      </c>
      <c r="K48" s="32">
        <v>1377.5</v>
      </c>
      <c r="L48" s="32">
        <v>1406.5</v>
      </c>
      <c r="M48" s="32">
        <v>1393</v>
      </c>
      <c r="N48" s="32">
        <v>1412.5</v>
      </c>
      <c r="O48" s="32">
        <v>1400</v>
      </c>
      <c r="P48" s="32">
        <v>1463.5</v>
      </c>
      <c r="Q48" s="32">
        <v>1432</v>
      </c>
      <c r="R48" s="32">
        <v>1428.5</v>
      </c>
      <c r="S48" s="32">
        <v>1403.5</v>
      </c>
      <c r="T48" s="32">
        <v>1412.5</v>
      </c>
      <c r="U48" s="32">
        <v>1416.5</v>
      </c>
      <c r="V48" s="32">
        <v>1409</v>
      </c>
      <c r="W48" s="32">
        <v>1430</v>
      </c>
      <c r="X48" s="32">
        <v>1411</v>
      </c>
      <c r="Y48" s="32">
        <v>1430.5</v>
      </c>
      <c r="Z48" s="32">
        <v>1402</v>
      </c>
      <c r="AA48" s="32">
        <v>1263.5</v>
      </c>
      <c r="AB48" s="32">
        <v>1246.5</v>
      </c>
      <c r="AC48" s="32">
        <v>1261.5</v>
      </c>
      <c r="AD48" s="32">
        <v>1245</v>
      </c>
      <c r="AE48" s="32">
        <v>1247</v>
      </c>
      <c r="AF48" s="32">
        <v>1240</v>
      </c>
      <c r="AG48" s="32">
        <v>1249</v>
      </c>
      <c r="AH48" s="32">
        <v>1273</v>
      </c>
      <c r="AI48" s="32">
        <v>1351</v>
      </c>
      <c r="AJ48" s="32">
        <v>1287</v>
      </c>
      <c r="AK48" s="32">
        <v>1290.5</v>
      </c>
      <c r="AL48" s="32">
        <v>1317</v>
      </c>
      <c r="AM48" s="32">
        <v>1315.5</v>
      </c>
      <c r="AN48" s="32">
        <v>1269</v>
      </c>
      <c r="AO48" s="32">
        <v>1276</v>
      </c>
      <c r="AP48" s="32">
        <v>1283.5</v>
      </c>
      <c r="AQ48" s="32">
        <v>1274.5</v>
      </c>
      <c r="AR48" s="32">
        <v>1271.5</v>
      </c>
      <c r="AS48" s="32">
        <v>1277</v>
      </c>
      <c r="AT48" s="32">
        <v>1294.5</v>
      </c>
      <c r="AU48" s="32">
        <v>1299.5</v>
      </c>
      <c r="AV48" s="32">
        <v>1294.5</v>
      </c>
      <c r="AW48" s="32">
        <v>1265</v>
      </c>
      <c r="AX48" s="32">
        <v>1258</v>
      </c>
      <c r="AY48" s="32">
        <v>1273.5</v>
      </c>
      <c r="AZ48" s="32">
        <v>1297.5</v>
      </c>
      <c r="BA48" s="32">
        <v>1304</v>
      </c>
      <c r="BB48" s="32">
        <v>1275.5</v>
      </c>
      <c r="BC48" s="32">
        <v>1254</v>
      </c>
      <c r="BD48" s="32">
        <v>1299.5</v>
      </c>
      <c r="BE48" s="32">
        <v>1302.5</v>
      </c>
      <c r="BF48" s="32">
        <v>1284.5</v>
      </c>
      <c r="BG48" s="32">
        <v>1256.5</v>
      </c>
      <c r="BH48" s="32">
        <v>1247</v>
      </c>
      <c r="BI48" s="32">
        <v>1342.5</v>
      </c>
      <c r="BJ48" s="32">
        <v>1390.5</v>
      </c>
      <c r="BK48" s="32">
        <v>1358</v>
      </c>
      <c r="BL48" s="33">
        <v>1357</v>
      </c>
    </row>
    <row r="49" spans="1:64" ht="15.95" customHeight="1">
      <c r="A49" s="68" t="s">
        <v>306</v>
      </c>
      <c r="B49" s="28" t="s">
        <v>125</v>
      </c>
      <c r="C49" s="42">
        <f>_xll.RssMarket("5929","高値")</f>
        <v>3779</v>
      </c>
      <c r="D49" s="41">
        <f t="shared" si="0"/>
        <v>0</v>
      </c>
      <c r="E49" s="32">
        <v>3779</v>
      </c>
      <c r="F49" s="32">
        <v>3747</v>
      </c>
      <c r="G49" s="32">
        <v>3768</v>
      </c>
      <c r="H49" s="32">
        <v>3655</v>
      </c>
      <c r="I49" s="32">
        <v>3646</v>
      </c>
      <c r="J49" s="32">
        <v>3672</v>
      </c>
      <c r="K49" s="32">
        <v>3709</v>
      </c>
      <c r="L49" s="32">
        <v>3592</v>
      </c>
      <c r="M49" s="32">
        <v>3513</v>
      </c>
      <c r="N49" s="32">
        <v>3425</v>
      </c>
      <c r="O49" s="32">
        <v>3553</v>
      </c>
      <c r="P49" s="32">
        <v>3685</v>
      </c>
      <c r="Q49" s="32">
        <v>3549</v>
      </c>
      <c r="R49" s="32">
        <v>3405</v>
      </c>
      <c r="S49" s="32">
        <v>3336</v>
      </c>
      <c r="T49" s="32">
        <v>3339</v>
      </c>
      <c r="U49" s="32">
        <v>3393</v>
      </c>
      <c r="V49" s="32">
        <v>3397</v>
      </c>
      <c r="W49" s="32">
        <v>3389</v>
      </c>
      <c r="X49" s="32">
        <v>3575</v>
      </c>
      <c r="Y49" s="32">
        <v>3664</v>
      </c>
      <c r="Z49" s="32">
        <v>3728</v>
      </c>
      <c r="AA49" s="32">
        <v>3552</v>
      </c>
      <c r="AB49" s="32">
        <v>3612</v>
      </c>
      <c r="AC49" s="32">
        <v>3627</v>
      </c>
      <c r="AD49" s="32">
        <v>3661</v>
      </c>
      <c r="AE49" s="32">
        <v>3648</v>
      </c>
      <c r="AF49" s="32">
        <v>3617</v>
      </c>
      <c r="AG49" s="32">
        <v>3587</v>
      </c>
      <c r="AH49" s="32">
        <v>3676</v>
      </c>
      <c r="AI49" s="32">
        <v>3616</v>
      </c>
      <c r="AJ49" s="32">
        <v>3651</v>
      </c>
      <c r="AK49" s="32">
        <v>3651</v>
      </c>
      <c r="AL49" s="32">
        <v>3676</v>
      </c>
      <c r="AM49" s="32">
        <v>3707</v>
      </c>
      <c r="AN49" s="32">
        <v>3664</v>
      </c>
      <c r="AO49" s="32">
        <v>3666</v>
      </c>
      <c r="AP49" s="32">
        <v>3735</v>
      </c>
      <c r="AQ49" s="32">
        <v>3774</v>
      </c>
      <c r="AR49" s="32">
        <v>3755</v>
      </c>
      <c r="AS49" s="32">
        <v>3704</v>
      </c>
      <c r="AT49" s="32">
        <v>3740</v>
      </c>
      <c r="AU49" s="32">
        <v>3774</v>
      </c>
      <c r="AV49" s="32">
        <v>3747</v>
      </c>
      <c r="AW49" s="32">
        <v>3618</v>
      </c>
      <c r="AX49" s="32">
        <v>3577</v>
      </c>
      <c r="AY49" s="32">
        <v>3590</v>
      </c>
      <c r="AZ49" s="32">
        <v>3691</v>
      </c>
      <c r="BA49" s="32">
        <v>3648</v>
      </c>
      <c r="BB49" s="32">
        <v>3585</v>
      </c>
      <c r="BC49" s="32">
        <v>3565</v>
      </c>
      <c r="BD49" s="32">
        <v>3721</v>
      </c>
      <c r="BE49" s="32">
        <v>3713</v>
      </c>
      <c r="BF49" s="32">
        <v>3727</v>
      </c>
      <c r="BG49" s="32">
        <v>3621</v>
      </c>
      <c r="BH49" s="32">
        <v>3560</v>
      </c>
      <c r="BI49" s="32">
        <v>3706</v>
      </c>
      <c r="BJ49" s="32">
        <v>3759</v>
      </c>
      <c r="BK49" s="32">
        <v>3783</v>
      </c>
      <c r="BL49" s="33">
        <v>3752</v>
      </c>
    </row>
    <row r="50" spans="1:64" ht="15.95" customHeight="1">
      <c r="A50" s="68" t="s">
        <v>307</v>
      </c>
      <c r="B50" s="28" t="s">
        <v>126</v>
      </c>
      <c r="C50" s="42">
        <f>_xll.RssMarket("8316","高値")</f>
        <v>6578</v>
      </c>
      <c r="D50" s="41">
        <f t="shared" si="0"/>
        <v>0</v>
      </c>
      <c r="E50" s="32">
        <v>6578</v>
      </c>
      <c r="F50" s="32">
        <v>6481</v>
      </c>
      <c r="G50" s="32">
        <v>6725</v>
      </c>
      <c r="H50" s="32">
        <v>6439</v>
      </c>
      <c r="I50" s="32">
        <v>6233</v>
      </c>
      <c r="J50" s="32">
        <v>6385</v>
      </c>
      <c r="K50" s="32">
        <v>6185</v>
      </c>
      <c r="L50" s="32">
        <v>6408</v>
      </c>
      <c r="M50" s="32">
        <v>6218</v>
      </c>
      <c r="N50" s="32">
        <v>6156</v>
      </c>
      <c r="O50" s="32">
        <v>5951</v>
      </c>
      <c r="P50" s="32">
        <v>5944</v>
      </c>
      <c r="Q50" s="32">
        <v>5939</v>
      </c>
      <c r="R50" s="32">
        <v>6030</v>
      </c>
      <c r="S50" s="32">
        <v>6086</v>
      </c>
      <c r="T50" s="32">
        <v>6083</v>
      </c>
      <c r="U50" s="32">
        <v>6183</v>
      </c>
      <c r="V50" s="32">
        <v>6109</v>
      </c>
      <c r="W50" s="32">
        <v>5974</v>
      </c>
      <c r="X50" s="32">
        <v>5817</v>
      </c>
      <c r="Y50" s="32">
        <v>5814</v>
      </c>
      <c r="Z50" s="32">
        <v>5804</v>
      </c>
      <c r="AA50" s="32">
        <v>5889</v>
      </c>
      <c r="AB50" s="32">
        <v>5795</v>
      </c>
      <c r="AC50" s="32">
        <v>5669</v>
      </c>
      <c r="AD50" s="32">
        <v>5605</v>
      </c>
      <c r="AE50" s="32">
        <v>5730</v>
      </c>
      <c r="AF50" s="32">
        <v>5562</v>
      </c>
      <c r="AG50" s="32">
        <v>5609</v>
      </c>
      <c r="AH50" s="32">
        <v>5667</v>
      </c>
      <c r="AI50" s="32">
        <v>5421</v>
      </c>
      <c r="AJ50" s="32">
        <v>5389</v>
      </c>
      <c r="AK50" s="32">
        <v>5428</v>
      </c>
      <c r="AL50" s="32">
        <v>5483</v>
      </c>
      <c r="AM50" s="32">
        <v>5590</v>
      </c>
      <c r="AN50" s="32">
        <v>5640</v>
      </c>
      <c r="AO50" s="32">
        <v>5662</v>
      </c>
      <c r="AP50" s="32">
        <v>5738</v>
      </c>
      <c r="AQ50" s="32">
        <v>5699</v>
      </c>
      <c r="AR50" s="32">
        <v>5630</v>
      </c>
      <c r="AS50" s="32">
        <v>5641</v>
      </c>
      <c r="AT50" s="32">
        <v>5602</v>
      </c>
      <c r="AU50" s="32">
        <v>5676</v>
      </c>
      <c r="AV50" s="32">
        <v>5705</v>
      </c>
      <c r="AW50" s="32">
        <v>5480</v>
      </c>
      <c r="AX50" s="32">
        <v>5444</v>
      </c>
      <c r="AY50" s="32">
        <v>5458</v>
      </c>
      <c r="AZ50" s="32">
        <v>5556</v>
      </c>
      <c r="BA50" s="32">
        <v>5475</v>
      </c>
      <c r="BB50" s="32">
        <v>5196</v>
      </c>
      <c r="BC50" s="32">
        <v>5060</v>
      </c>
      <c r="BD50" s="32">
        <v>5285</v>
      </c>
      <c r="BE50" s="32">
        <v>5337</v>
      </c>
      <c r="BF50" s="32">
        <v>5372</v>
      </c>
      <c r="BG50" s="32">
        <v>5148</v>
      </c>
      <c r="BH50" s="32">
        <v>5030</v>
      </c>
      <c r="BI50" s="32">
        <v>5208</v>
      </c>
      <c r="BJ50" s="32">
        <v>5267</v>
      </c>
      <c r="BK50" s="32">
        <v>5220</v>
      </c>
      <c r="BL50" s="33">
        <v>5129</v>
      </c>
    </row>
    <row r="51" spans="1:64" ht="15.95" customHeight="1">
      <c r="A51" s="68" t="s">
        <v>308</v>
      </c>
      <c r="B51" s="28" t="s">
        <v>127</v>
      </c>
      <c r="C51" s="42">
        <f>_xll.RssMarket("5449","高値")</f>
        <v>2401</v>
      </c>
      <c r="D51" s="41">
        <f t="shared" si="0"/>
        <v>0</v>
      </c>
      <c r="E51" s="32">
        <v>2401</v>
      </c>
      <c r="F51" s="32">
        <v>2421</v>
      </c>
      <c r="G51" s="32">
        <v>2441</v>
      </c>
      <c r="H51" s="32">
        <v>2377</v>
      </c>
      <c r="I51" s="32">
        <v>2322</v>
      </c>
      <c r="J51" s="32">
        <v>2365</v>
      </c>
      <c r="K51" s="32">
        <v>2317</v>
      </c>
      <c r="L51" s="32">
        <v>2416</v>
      </c>
      <c r="M51" s="32">
        <v>2376</v>
      </c>
      <c r="N51" s="32">
        <v>2458</v>
      </c>
      <c r="O51" s="32">
        <v>2399</v>
      </c>
      <c r="P51" s="32">
        <v>2669</v>
      </c>
      <c r="Q51" s="32">
        <v>2680</v>
      </c>
      <c r="R51" s="32">
        <v>2508</v>
      </c>
      <c r="S51" s="32">
        <v>2407</v>
      </c>
      <c r="T51" s="32">
        <v>2388</v>
      </c>
      <c r="U51" s="32">
        <v>2287</v>
      </c>
      <c r="V51" s="32">
        <v>2293</v>
      </c>
      <c r="W51" s="32">
        <v>2372</v>
      </c>
      <c r="X51" s="32">
        <v>2393</v>
      </c>
      <c r="Y51" s="32">
        <v>2430</v>
      </c>
      <c r="Z51" s="32">
        <v>2454</v>
      </c>
      <c r="AA51" s="32">
        <v>2606</v>
      </c>
      <c r="AB51" s="32">
        <v>2586</v>
      </c>
      <c r="AC51" s="32">
        <v>2610</v>
      </c>
      <c r="AD51" s="32">
        <v>2622</v>
      </c>
      <c r="AE51" s="32">
        <v>2539</v>
      </c>
      <c r="AF51" s="32">
        <v>2485</v>
      </c>
      <c r="AG51" s="32">
        <v>2477</v>
      </c>
      <c r="AH51" s="32">
        <v>2376</v>
      </c>
      <c r="AI51" s="32">
        <v>2329</v>
      </c>
      <c r="AJ51" s="32">
        <v>2370</v>
      </c>
      <c r="AK51" s="32">
        <v>2410</v>
      </c>
      <c r="AL51" s="32">
        <v>2453</v>
      </c>
      <c r="AM51" s="32">
        <v>2458</v>
      </c>
      <c r="AN51" s="32">
        <v>2437</v>
      </c>
      <c r="AO51" s="32">
        <v>2461</v>
      </c>
      <c r="AP51" s="32">
        <v>2484</v>
      </c>
      <c r="AQ51" s="32">
        <v>2465</v>
      </c>
      <c r="AR51" s="32">
        <v>2462</v>
      </c>
      <c r="AS51" s="32">
        <v>2648</v>
      </c>
      <c r="AT51" s="32">
        <v>2718</v>
      </c>
      <c r="AU51" s="32">
        <v>2726</v>
      </c>
      <c r="AV51" s="32">
        <v>2714</v>
      </c>
      <c r="AW51" s="32">
        <v>2745</v>
      </c>
      <c r="AX51" s="32">
        <v>2740</v>
      </c>
      <c r="AY51" s="32">
        <v>2756</v>
      </c>
      <c r="AZ51" s="32">
        <v>2768</v>
      </c>
      <c r="BA51" s="32">
        <v>2754</v>
      </c>
      <c r="BB51" s="32">
        <v>2761</v>
      </c>
      <c r="BC51" s="32">
        <v>2743</v>
      </c>
      <c r="BD51" s="32">
        <v>2703</v>
      </c>
      <c r="BE51" s="32">
        <v>2759</v>
      </c>
      <c r="BF51" s="32">
        <v>2705</v>
      </c>
      <c r="BG51" s="32">
        <v>2685</v>
      </c>
      <c r="BH51" s="32">
        <v>2717</v>
      </c>
      <c r="BI51" s="32">
        <v>2694</v>
      </c>
      <c r="BJ51" s="32">
        <v>2644</v>
      </c>
      <c r="BK51" s="32">
        <v>2653</v>
      </c>
      <c r="BL51" s="33">
        <v>2635</v>
      </c>
    </row>
    <row r="52" spans="1:64" ht="15.95" customHeight="1">
      <c r="A52" s="68" t="s">
        <v>309</v>
      </c>
      <c r="B52" s="28" t="s">
        <v>128</v>
      </c>
      <c r="C52" s="42">
        <f>_xll.RssMarket("8766","高値")</f>
        <v>7421</v>
      </c>
      <c r="D52" s="41">
        <f t="shared" si="0"/>
        <v>0</v>
      </c>
      <c r="E52" s="32">
        <v>7421</v>
      </c>
      <c r="F52" s="32">
        <v>7293</v>
      </c>
      <c r="G52" s="32">
        <v>7469</v>
      </c>
      <c r="H52" s="32">
        <v>7454</v>
      </c>
      <c r="I52" s="32">
        <v>7487</v>
      </c>
      <c r="J52" s="32">
        <v>7557</v>
      </c>
      <c r="K52" s="32">
        <v>7232</v>
      </c>
      <c r="L52" s="32">
        <v>7068</v>
      </c>
      <c r="M52" s="32">
        <v>7000</v>
      </c>
      <c r="N52" s="32">
        <v>7167</v>
      </c>
      <c r="O52" s="32">
        <v>7130</v>
      </c>
      <c r="P52" s="32">
        <v>7216</v>
      </c>
      <c r="Q52" s="32">
        <v>7324</v>
      </c>
      <c r="R52" s="32">
        <v>7443</v>
      </c>
      <c r="S52" s="32">
        <v>7469</v>
      </c>
      <c r="T52" s="32">
        <v>7610</v>
      </c>
      <c r="U52" s="32">
        <v>7987</v>
      </c>
      <c r="V52" s="32">
        <v>8038</v>
      </c>
      <c r="W52" s="32">
        <v>7962</v>
      </c>
      <c r="X52" s="32">
        <v>7769</v>
      </c>
      <c r="Y52" s="32">
        <v>7687</v>
      </c>
      <c r="Z52" s="32">
        <v>7416</v>
      </c>
      <c r="AA52" s="32">
        <v>7402</v>
      </c>
      <c r="AB52" s="32">
        <v>7282</v>
      </c>
      <c r="AC52" s="32">
        <v>7198</v>
      </c>
      <c r="AD52" s="32">
        <v>7195</v>
      </c>
      <c r="AE52" s="32">
        <v>7337</v>
      </c>
      <c r="AF52" s="32">
        <v>7148</v>
      </c>
      <c r="AG52" s="32">
        <v>7300</v>
      </c>
      <c r="AH52" s="32">
        <v>7344</v>
      </c>
      <c r="AI52" s="32">
        <v>7220</v>
      </c>
      <c r="AJ52" s="32">
        <v>7227</v>
      </c>
      <c r="AK52" s="32">
        <v>7100</v>
      </c>
      <c r="AL52" s="32">
        <v>7267</v>
      </c>
      <c r="AM52" s="32">
        <v>7310</v>
      </c>
      <c r="AN52" s="32">
        <v>7221</v>
      </c>
      <c r="AO52" s="32">
        <v>7003</v>
      </c>
      <c r="AP52" s="32">
        <v>6984</v>
      </c>
      <c r="AQ52" s="32">
        <v>6963</v>
      </c>
      <c r="AR52" s="32">
        <v>7068</v>
      </c>
      <c r="AS52" s="32">
        <v>7099</v>
      </c>
      <c r="AT52" s="32">
        <v>7220</v>
      </c>
      <c r="AU52" s="32">
        <v>7422</v>
      </c>
      <c r="AV52" s="32">
        <v>7580</v>
      </c>
      <c r="AW52" s="32">
        <v>7448</v>
      </c>
      <c r="AX52" s="32">
        <v>7379</v>
      </c>
      <c r="AY52" s="32">
        <v>7349</v>
      </c>
      <c r="AZ52" s="32">
        <v>7515</v>
      </c>
      <c r="BA52" s="32">
        <v>7527</v>
      </c>
      <c r="BB52" s="32">
        <v>7578</v>
      </c>
      <c r="BC52" s="32">
        <v>7370</v>
      </c>
      <c r="BD52" s="32">
        <v>7575</v>
      </c>
      <c r="BE52" s="32">
        <v>7870</v>
      </c>
      <c r="BF52" s="32">
        <v>7857</v>
      </c>
      <c r="BG52" s="32">
        <v>6857</v>
      </c>
      <c r="BH52" s="32">
        <v>5907</v>
      </c>
      <c r="BI52" s="32">
        <v>6095</v>
      </c>
      <c r="BJ52" s="32">
        <v>6087</v>
      </c>
      <c r="BK52" s="32">
        <v>6012</v>
      </c>
      <c r="BL52" s="33">
        <v>5940</v>
      </c>
    </row>
    <row r="53" spans="1:64" ht="15.95" customHeight="1">
      <c r="A53" s="68" t="s">
        <v>310</v>
      </c>
      <c r="B53" s="28" t="s">
        <v>129</v>
      </c>
      <c r="C53" s="42">
        <f>_xll.RssMarket("5201","高値")</f>
        <v>7421</v>
      </c>
      <c r="D53" s="41">
        <f t="shared" si="0"/>
        <v>0</v>
      </c>
      <c r="E53" s="32">
        <v>7421</v>
      </c>
      <c r="F53" s="32">
        <v>7500</v>
      </c>
      <c r="G53" s="32">
        <v>7407</v>
      </c>
      <c r="H53" s="32">
        <v>7148</v>
      </c>
      <c r="I53" s="32">
        <v>7004</v>
      </c>
      <c r="J53" s="32">
        <v>7157</v>
      </c>
      <c r="K53" s="32">
        <v>7471</v>
      </c>
      <c r="L53" s="32">
        <v>8069</v>
      </c>
      <c r="M53" s="32">
        <v>8218</v>
      </c>
      <c r="N53" s="32">
        <v>8315</v>
      </c>
      <c r="O53" s="32">
        <v>7686</v>
      </c>
      <c r="P53" s="32">
        <v>6980</v>
      </c>
      <c r="Q53" s="32">
        <v>7259</v>
      </c>
      <c r="R53" s="32">
        <v>6784</v>
      </c>
      <c r="S53" s="32">
        <v>6545</v>
      </c>
      <c r="T53" s="32">
        <v>6254</v>
      </c>
      <c r="U53" s="32">
        <v>6265</v>
      </c>
      <c r="V53" s="32">
        <v>6395</v>
      </c>
      <c r="W53" s="32">
        <v>6031</v>
      </c>
      <c r="X53" s="32">
        <v>6132</v>
      </c>
      <c r="Y53" s="32">
        <v>6155</v>
      </c>
      <c r="Z53" s="32">
        <v>6098</v>
      </c>
      <c r="AA53" s="32">
        <v>6270</v>
      </c>
      <c r="AB53" s="32">
        <v>5636</v>
      </c>
      <c r="AC53" s="32">
        <v>5668</v>
      </c>
      <c r="AD53" s="32">
        <v>5733</v>
      </c>
      <c r="AE53" s="32">
        <v>5607</v>
      </c>
      <c r="AF53" s="32">
        <v>5667</v>
      </c>
      <c r="AG53" s="32">
        <v>5754</v>
      </c>
      <c r="AH53" s="32">
        <v>5700</v>
      </c>
      <c r="AI53" s="32">
        <v>5730</v>
      </c>
      <c r="AJ53" s="32">
        <v>5664</v>
      </c>
      <c r="AK53" s="32">
        <v>5779</v>
      </c>
      <c r="AL53" s="32">
        <v>5818</v>
      </c>
      <c r="AM53" s="32">
        <v>5796</v>
      </c>
      <c r="AN53" s="32">
        <v>5740</v>
      </c>
      <c r="AO53" s="32">
        <v>5774</v>
      </c>
      <c r="AP53" s="32">
        <v>5695</v>
      </c>
      <c r="AQ53" s="32">
        <v>5782</v>
      </c>
      <c r="AR53" s="32">
        <v>5784</v>
      </c>
      <c r="AS53" s="32">
        <v>5922</v>
      </c>
      <c r="AT53" s="32">
        <v>5976</v>
      </c>
      <c r="AU53" s="32">
        <v>5954</v>
      </c>
      <c r="AV53" s="32">
        <v>5625</v>
      </c>
      <c r="AW53" s="32">
        <v>5617</v>
      </c>
      <c r="AX53" s="32">
        <v>5680</v>
      </c>
      <c r="AY53" s="32">
        <v>5812</v>
      </c>
      <c r="AZ53" s="32">
        <v>5735</v>
      </c>
      <c r="BA53" s="32">
        <v>5520</v>
      </c>
      <c r="BB53" s="32">
        <v>5445</v>
      </c>
      <c r="BC53" s="32">
        <v>5612</v>
      </c>
      <c r="BD53" s="32">
        <v>5709</v>
      </c>
      <c r="BE53" s="32">
        <v>5654</v>
      </c>
      <c r="BF53" s="32">
        <v>5498</v>
      </c>
      <c r="BG53" s="32">
        <v>5443</v>
      </c>
      <c r="BH53" s="32">
        <v>5663</v>
      </c>
      <c r="BI53" s="32">
        <v>5806</v>
      </c>
      <c r="BJ53" s="32">
        <v>5753</v>
      </c>
      <c r="BK53" s="32">
        <v>5751</v>
      </c>
      <c r="BL53" s="33">
        <v>5899</v>
      </c>
    </row>
    <row r="54" spans="1:64" ht="15.95" customHeight="1">
      <c r="A54" s="68" t="s">
        <v>311</v>
      </c>
      <c r="B54" s="28" t="s">
        <v>130</v>
      </c>
      <c r="C54" s="42">
        <f>_xll.RssMarket("8630","高値")</f>
        <v>6406</v>
      </c>
      <c r="D54" s="41">
        <f t="shared" si="0"/>
        <v>0</v>
      </c>
      <c r="E54" s="32">
        <v>6406</v>
      </c>
      <c r="F54" s="32">
        <v>6274</v>
      </c>
      <c r="G54" s="32">
        <v>6361</v>
      </c>
      <c r="H54" s="32">
        <v>6191</v>
      </c>
      <c r="I54" s="32">
        <v>6249</v>
      </c>
      <c r="J54" s="32">
        <v>6332</v>
      </c>
      <c r="K54" s="32">
        <v>6031</v>
      </c>
      <c r="L54" s="32">
        <v>5956</v>
      </c>
      <c r="M54" s="32">
        <v>5849</v>
      </c>
      <c r="N54" s="32">
        <v>5957</v>
      </c>
      <c r="O54" s="32">
        <v>5986</v>
      </c>
      <c r="P54" s="32">
        <v>5958</v>
      </c>
      <c r="Q54" s="32">
        <v>5943</v>
      </c>
      <c r="R54" s="32">
        <v>5935</v>
      </c>
      <c r="S54" s="32">
        <v>5625</v>
      </c>
      <c r="T54" s="32">
        <v>5764</v>
      </c>
      <c r="U54" s="32">
        <v>5896</v>
      </c>
      <c r="V54" s="32">
        <v>6435</v>
      </c>
      <c r="W54" s="32">
        <v>6161</v>
      </c>
      <c r="X54" s="32">
        <v>6125</v>
      </c>
      <c r="Y54" s="32">
        <v>6050</v>
      </c>
      <c r="Z54" s="32">
        <v>6129</v>
      </c>
      <c r="AA54" s="32">
        <v>5946</v>
      </c>
      <c r="AB54" s="32">
        <v>5834</v>
      </c>
      <c r="AC54" s="32">
        <v>5900</v>
      </c>
      <c r="AD54" s="32">
        <v>5926</v>
      </c>
      <c r="AE54" s="32">
        <v>5744</v>
      </c>
      <c r="AF54" s="32">
        <v>5798</v>
      </c>
      <c r="AG54" s="32">
        <v>5815</v>
      </c>
      <c r="AH54" s="32">
        <v>5766</v>
      </c>
      <c r="AI54" s="32">
        <v>5892</v>
      </c>
      <c r="AJ54" s="32">
        <v>5858</v>
      </c>
      <c r="AK54" s="32">
        <v>5948</v>
      </c>
      <c r="AL54" s="32">
        <v>5955</v>
      </c>
      <c r="AM54" s="32">
        <v>5947</v>
      </c>
      <c r="AN54" s="32">
        <v>5988</v>
      </c>
      <c r="AO54" s="32">
        <v>5995</v>
      </c>
      <c r="AP54" s="32">
        <v>5990</v>
      </c>
      <c r="AQ54" s="32">
        <v>6022</v>
      </c>
      <c r="AR54" s="32">
        <v>5982</v>
      </c>
      <c r="AS54" s="32">
        <v>6050</v>
      </c>
      <c r="AT54" s="32">
        <v>6103</v>
      </c>
      <c r="AU54" s="32">
        <v>6296</v>
      </c>
      <c r="AV54" s="32">
        <v>6126</v>
      </c>
      <c r="AW54" s="32">
        <v>6088</v>
      </c>
      <c r="AX54" s="32">
        <v>6102</v>
      </c>
      <c r="AY54" s="32">
        <v>6259</v>
      </c>
      <c r="AZ54" s="32">
        <v>6262</v>
      </c>
      <c r="BA54" s="32">
        <v>6190</v>
      </c>
      <c r="BB54" s="32">
        <v>6002</v>
      </c>
      <c r="BC54" s="32">
        <v>6184</v>
      </c>
      <c r="BD54" s="32">
        <v>6165</v>
      </c>
      <c r="BE54" s="32">
        <v>6153</v>
      </c>
      <c r="BF54" s="32">
        <v>5908</v>
      </c>
      <c r="BG54" s="32">
        <v>5733</v>
      </c>
      <c r="BH54" s="32">
        <v>5901</v>
      </c>
      <c r="BI54" s="32">
        <v>6029</v>
      </c>
      <c r="BJ54" s="32">
        <v>5922</v>
      </c>
      <c r="BK54" s="32">
        <v>5885</v>
      </c>
      <c r="BL54" s="33">
        <v>5832</v>
      </c>
    </row>
    <row r="55" spans="1:64" ht="15.95" customHeight="1">
      <c r="A55" s="68" t="s">
        <v>312</v>
      </c>
      <c r="B55" s="28" t="s">
        <v>131</v>
      </c>
      <c r="C55" s="42">
        <f>_xll.RssMarket("5901","高値")</f>
        <v>4088</v>
      </c>
      <c r="D55" s="41">
        <f t="shared" si="0"/>
        <v>0</v>
      </c>
      <c r="E55" s="32">
        <v>4088</v>
      </c>
      <c r="F55" s="32">
        <v>4035</v>
      </c>
      <c r="G55" s="32">
        <v>4047</v>
      </c>
      <c r="H55" s="32">
        <v>3938</v>
      </c>
      <c r="I55" s="32">
        <v>3859</v>
      </c>
      <c r="J55" s="32">
        <v>3891</v>
      </c>
      <c r="K55" s="32">
        <v>3912</v>
      </c>
      <c r="L55" s="32">
        <v>3827</v>
      </c>
      <c r="M55" s="32">
        <v>3875</v>
      </c>
      <c r="N55" s="32">
        <v>3912</v>
      </c>
      <c r="O55" s="32">
        <v>3920</v>
      </c>
      <c r="P55" s="32">
        <v>4010</v>
      </c>
      <c r="Q55" s="32">
        <v>3948</v>
      </c>
      <c r="R55" s="32">
        <v>3973</v>
      </c>
      <c r="S55" s="32">
        <v>4043</v>
      </c>
      <c r="T55" s="32">
        <v>4369</v>
      </c>
      <c r="U55" s="32">
        <v>4404</v>
      </c>
      <c r="V55" s="32">
        <v>4097</v>
      </c>
      <c r="W55" s="32">
        <v>4022</v>
      </c>
      <c r="X55" s="32">
        <v>3930</v>
      </c>
      <c r="Y55" s="32">
        <v>3730</v>
      </c>
      <c r="Z55" s="32">
        <v>3472</v>
      </c>
      <c r="AA55" s="32">
        <v>3508</v>
      </c>
      <c r="AB55" s="32">
        <v>3428</v>
      </c>
      <c r="AC55" s="32">
        <v>3532</v>
      </c>
      <c r="AD55" s="32">
        <v>3651</v>
      </c>
      <c r="AE55" s="32">
        <v>3607</v>
      </c>
      <c r="AF55" s="32">
        <v>3520</v>
      </c>
      <c r="AG55" s="32">
        <v>3258</v>
      </c>
      <c r="AH55" s="32">
        <v>3210</v>
      </c>
      <c r="AI55" s="32">
        <v>3220</v>
      </c>
      <c r="AJ55" s="32">
        <v>3242</v>
      </c>
      <c r="AK55" s="32">
        <v>3264</v>
      </c>
      <c r="AL55" s="32">
        <v>3382</v>
      </c>
      <c r="AM55" s="32">
        <v>3420</v>
      </c>
      <c r="AN55" s="32">
        <v>3406</v>
      </c>
      <c r="AO55" s="32">
        <v>3385</v>
      </c>
      <c r="AP55" s="32">
        <v>3450</v>
      </c>
      <c r="AQ55" s="32">
        <v>3429</v>
      </c>
      <c r="AR55" s="32">
        <v>3438</v>
      </c>
      <c r="AS55" s="32">
        <v>3469</v>
      </c>
      <c r="AT55" s="32">
        <v>3519</v>
      </c>
      <c r="AU55" s="32">
        <v>3590</v>
      </c>
      <c r="AV55" s="32">
        <v>3579</v>
      </c>
      <c r="AW55" s="32">
        <v>3481</v>
      </c>
      <c r="AX55" s="32">
        <v>3482</v>
      </c>
      <c r="AY55" s="32">
        <v>3529</v>
      </c>
      <c r="AZ55" s="32">
        <v>3677</v>
      </c>
      <c r="BA55" s="32">
        <v>3633</v>
      </c>
      <c r="BB55" s="32">
        <v>3573</v>
      </c>
      <c r="BC55" s="32">
        <v>3535</v>
      </c>
      <c r="BD55" s="32">
        <v>3703</v>
      </c>
      <c r="BE55" s="32">
        <v>3734</v>
      </c>
      <c r="BF55" s="32">
        <v>3754</v>
      </c>
      <c r="BG55" s="32">
        <v>3665</v>
      </c>
      <c r="BH55" s="32">
        <v>3636</v>
      </c>
      <c r="BI55" s="32">
        <v>3830</v>
      </c>
      <c r="BJ55" s="32">
        <v>3930</v>
      </c>
      <c r="BK55" s="32">
        <v>3929</v>
      </c>
      <c r="BL55" s="33">
        <v>3862</v>
      </c>
    </row>
    <row r="56" spans="1:64" ht="15.95" customHeight="1">
      <c r="A56" s="68" t="s">
        <v>313</v>
      </c>
      <c r="B56" s="28" t="s">
        <v>132</v>
      </c>
      <c r="C56" s="42">
        <f>_xll.RssMarket("9412","高値")</f>
        <v>3420</v>
      </c>
      <c r="D56" s="41">
        <f t="shared" si="0"/>
        <v>0</v>
      </c>
      <c r="E56" s="32">
        <v>3420</v>
      </c>
      <c r="F56" s="32">
        <v>3345</v>
      </c>
      <c r="G56" s="32">
        <v>3425</v>
      </c>
      <c r="H56" s="32">
        <v>3505</v>
      </c>
      <c r="I56" s="32">
        <v>3245</v>
      </c>
      <c r="J56" s="32">
        <v>3230</v>
      </c>
      <c r="K56" s="32">
        <v>3585</v>
      </c>
      <c r="L56" s="32">
        <v>3670</v>
      </c>
      <c r="M56" s="32">
        <v>3470</v>
      </c>
      <c r="N56" s="32">
        <v>3785</v>
      </c>
      <c r="O56" s="32">
        <v>3910</v>
      </c>
      <c r="P56" s="32">
        <v>4600</v>
      </c>
      <c r="Q56" s="32">
        <v>4540</v>
      </c>
      <c r="R56" s="32">
        <v>4720</v>
      </c>
      <c r="S56" s="32">
        <v>4530</v>
      </c>
      <c r="T56" s="32">
        <v>4325</v>
      </c>
      <c r="U56" s="32">
        <v>4430</v>
      </c>
      <c r="V56" s="32">
        <v>4240</v>
      </c>
      <c r="W56" s="32">
        <v>4185</v>
      </c>
      <c r="X56" s="32">
        <v>4310</v>
      </c>
      <c r="Y56" s="32">
        <v>4345</v>
      </c>
      <c r="Z56" s="32">
        <v>4335</v>
      </c>
      <c r="AA56" s="32">
        <v>4220</v>
      </c>
      <c r="AB56" s="32">
        <v>4030</v>
      </c>
      <c r="AC56" s="32">
        <v>3840</v>
      </c>
      <c r="AD56" s="32">
        <v>3715</v>
      </c>
      <c r="AE56" s="32">
        <v>3620</v>
      </c>
      <c r="AF56" s="32">
        <v>3650</v>
      </c>
      <c r="AG56" s="32">
        <v>3530</v>
      </c>
      <c r="AH56" s="32">
        <v>3380</v>
      </c>
      <c r="AI56" s="32">
        <v>3220</v>
      </c>
      <c r="AJ56" s="32">
        <v>3305</v>
      </c>
      <c r="AK56" s="32">
        <v>3200</v>
      </c>
      <c r="AL56" s="32">
        <v>3335</v>
      </c>
      <c r="AM56" s="32">
        <v>3420</v>
      </c>
      <c r="AN56" s="32">
        <v>3385</v>
      </c>
      <c r="AO56" s="32">
        <v>3385</v>
      </c>
      <c r="AP56" s="32">
        <v>3265</v>
      </c>
      <c r="AQ56" s="32">
        <v>3255</v>
      </c>
      <c r="AR56" s="32">
        <v>3175</v>
      </c>
      <c r="AS56" s="32">
        <v>3040</v>
      </c>
      <c r="AT56" s="32">
        <v>3155</v>
      </c>
      <c r="AU56" s="32">
        <v>3185</v>
      </c>
      <c r="AV56" s="32">
        <v>3165</v>
      </c>
      <c r="AW56" s="32">
        <v>3105</v>
      </c>
      <c r="AX56" s="32">
        <v>3125</v>
      </c>
      <c r="AY56" s="32">
        <v>3085</v>
      </c>
      <c r="AZ56" s="32">
        <v>3105</v>
      </c>
      <c r="BA56" s="32">
        <v>3045</v>
      </c>
      <c r="BB56" s="32">
        <v>2968</v>
      </c>
      <c r="BC56" s="32">
        <v>2957</v>
      </c>
      <c r="BD56" s="32">
        <v>3080</v>
      </c>
      <c r="BE56" s="32">
        <v>3110</v>
      </c>
      <c r="BF56" s="32">
        <v>3095</v>
      </c>
      <c r="BG56" s="32">
        <v>2928</v>
      </c>
      <c r="BH56" s="32">
        <v>2786</v>
      </c>
      <c r="BI56" s="32">
        <v>2855</v>
      </c>
      <c r="BJ56" s="32">
        <v>2900</v>
      </c>
      <c r="BK56" s="32">
        <v>2999</v>
      </c>
      <c r="BL56" s="33">
        <v>3195</v>
      </c>
    </row>
    <row r="57" spans="1:64" ht="15.95" customHeight="1">
      <c r="A57" s="68" t="s">
        <v>314</v>
      </c>
      <c r="B57" s="28" t="s">
        <v>133</v>
      </c>
      <c r="C57" s="42">
        <f>_xll.RssMarket("6203","高値")</f>
        <v>1679</v>
      </c>
      <c r="D57" s="41">
        <f t="shared" si="0"/>
        <v>0</v>
      </c>
      <c r="E57" s="32">
        <v>1679</v>
      </c>
      <c r="F57" s="32">
        <v>1592</v>
      </c>
      <c r="G57" s="32">
        <v>1620</v>
      </c>
      <c r="H57" s="32">
        <v>1648</v>
      </c>
      <c r="I57" s="32">
        <v>1651</v>
      </c>
      <c r="J57" s="32">
        <v>1810</v>
      </c>
      <c r="K57" s="32">
        <v>1838</v>
      </c>
      <c r="L57" s="32">
        <v>1839</v>
      </c>
      <c r="M57" s="32">
        <v>1874</v>
      </c>
      <c r="N57" s="32">
        <v>1949</v>
      </c>
      <c r="O57" s="32">
        <v>1993</v>
      </c>
      <c r="P57" s="32">
        <v>2012</v>
      </c>
      <c r="Q57" s="32">
        <v>1670</v>
      </c>
      <c r="R57" s="32">
        <v>1410</v>
      </c>
      <c r="S57" s="32">
        <v>1384</v>
      </c>
      <c r="T57" s="32">
        <v>1364</v>
      </c>
      <c r="U57" s="32">
        <v>1343</v>
      </c>
      <c r="V57" s="32">
        <v>1312</v>
      </c>
      <c r="W57" s="32">
        <v>1361</v>
      </c>
      <c r="X57" s="32">
        <v>1392</v>
      </c>
      <c r="Y57" s="32">
        <v>1446</v>
      </c>
      <c r="Z57" s="32">
        <v>1431</v>
      </c>
      <c r="AA57" s="32">
        <v>1463</v>
      </c>
      <c r="AB57" s="32">
        <v>1546</v>
      </c>
      <c r="AC57" s="32">
        <v>1557</v>
      </c>
      <c r="AD57" s="32">
        <v>1510</v>
      </c>
      <c r="AE57" s="32">
        <v>1577</v>
      </c>
      <c r="AF57" s="32">
        <v>1540</v>
      </c>
      <c r="AG57" s="32">
        <v>1565</v>
      </c>
      <c r="AH57" s="32">
        <v>1588</v>
      </c>
      <c r="AI57" s="32">
        <v>1545</v>
      </c>
      <c r="AJ57" s="32">
        <v>1522</v>
      </c>
      <c r="AK57" s="32">
        <v>1606</v>
      </c>
      <c r="AL57" s="32">
        <v>1545</v>
      </c>
      <c r="AM57" s="32">
        <v>1434</v>
      </c>
      <c r="AN57" s="32">
        <v>1390</v>
      </c>
      <c r="AO57" s="32">
        <v>1376</v>
      </c>
      <c r="AP57" s="32">
        <v>1388</v>
      </c>
      <c r="AQ57" s="32">
        <v>1468</v>
      </c>
      <c r="AR57" s="32">
        <v>1489</v>
      </c>
      <c r="AS57" s="32">
        <v>1514</v>
      </c>
      <c r="AT57" s="32">
        <v>1515</v>
      </c>
      <c r="AU57" s="32">
        <v>1596</v>
      </c>
      <c r="AV57" s="32">
        <v>1587</v>
      </c>
      <c r="AW57" s="32">
        <v>1540</v>
      </c>
      <c r="AX57" s="32">
        <v>1550</v>
      </c>
      <c r="AY57" s="32">
        <v>1540</v>
      </c>
      <c r="AZ57" s="32">
        <v>1562</v>
      </c>
      <c r="BA57" s="32">
        <v>1494</v>
      </c>
      <c r="BB57" s="32">
        <v>1459</v>
      </c>
      <c r="BC57" s="32">
        <v>1480</v>
      </c>
      <c r="BD57" s="32">
        <v>1557</v>
      </c>
      <c r="BE57" s="32">
        <v>1595</v>
      </c>
      <c r="BF57" s="32">
        <v>1582</v>
      </c>
      <c r="BG57" s="32">
        <v>1542</v>
      </c>
      <c r="BH57" s="32">
        <v>1529</v>
      </c>
      <c r="BI57" s="32">
        <v>1644</v>
      </c>
      <c r="BJ57" s="32">
        <v>1680</v>
      </c>
      <c r="BK57" s="32">
        <v>1710</v>
      </c>
      <c r="BL57" s="33">
        <v>1741</v>
      </c>
    </row>
    <row r="58" spans="1:64" ht="15.95" customHeight="1">
      <c r="A58" s="68" t="s">
        <v>315</v>
      </c>
      <c r="B58" s="28" t="s">
        <v>134</v>
      </c>
      <c r="C58" s="42">
        <f>_xll.RssMarket("4676","高値")</f>
        <v>4063</v>
      </c>
      <c r="D58" s="41">
        <f t="shared" si="0"/>
        <v>0</v>
      </c>
      <c r="E58" s="32">
        <v>4063</v>
      </c>
      <c r="F58" s="32">
        <v>4080</v>
      </c>
      <c r="G58" s="32">
        <v>4152</v>
      </c>
      <c r="H58" s="32">
        <v>4097</v>
      </c>
      <c r="I58" s="32">
        <v>4118</v>
      </c>
      <c r="J58" s="32">
        <v>4164</v>
      </c>
      <c r="K58" s="32">
        <v>4185</v>
      </c>
      <c r="L58" s="32">
        <v>4272</v>
      </c>
      <c r="M58" s="32">
        <v>3874</v>
      </c>
      <c r="N58" s="32">
        <v>3867</v>
      </c>
      <c r="O58" s="32">
        <v>3923</v>
      </c>
      <c r="P58" s="32">
        <v>3784</v>
      </c>
      <c r="Q58" s="32">
        <v>3782</v>
      </c>
      <c r="R58" s="32">
        <v>3754</v>
      </c>
      <c r="S58" s="32">
        <v>3781</v>
      </c>
      <c r="T58" s="32">
        <v>3845</v>
      </c>
      <c r="U58" s="32">
        <v>3860</v>
      </c>
      <c r="V58" s="32">
        <v>3842</v>
      </c>
      <c r="W58" s="32">
        <v>3811</v>
      </c>
      <c r="X58" s="32">
        <v>3832</v>
      </c>
      <c r="Y58" s="32">
        <v>3822</v>
      </c>
      <c r="Z58" s="32">
        <v>3872</v>
      </c>
      <c r="AA58" s="32">
        <v>3915</v>
      </c>
      <c r="AB58" s="32">
        <v>3995</v>
      </c>
      <c r="AC58" s="32">
        <v>3977</v>
      </c>
      <c r="AD58" s="32">
        <v>3994</v>
      </c>
      <c r="AE58" s="32">
        <v>3984</v>
      </c>
      <c r="AF58" s="32">
        <v>3929</v>
      </c>
      <c r="AG58" s="32">
        <v>3867</v>
      </c>
      <c r="AH58" s="32">
        <v>3956</v>
      </c>
      <c r="AI58" s="32">
        <v>4004</v>
      </c>
      <c r="AJ58" s="32">
        <v>4064</v>
      </c>
      <c r="AK58" s="32">
        <v>4034</v>
      </c>
      <c r="AL58" s="32">
        <v>4014</v>
      </c>
      <c r="AM58" s="32">
        <v>4065</v>
      </c>
      <c r="AN58" s="32">
        <v>4132</v>
      </c>
      <c r="AO58" s="32">
        <v>3951</v>
      </c>
      <c r="AP58" s="32">
        <v>4214</v>
      </c>
      <c r="AQ58" s="32">
        <v>4266</v>
      </c>
      <c r="AR58" s="32">
        <v>4239</v>
      </c>
      <c r="AS58" s="32">
        <v>4256</v>
      </c>
      <c r="AT58" s="32">
        <v>4305</v>
      </c>
      <c r="AU58" s="32">
        <v>4343</v>
      </c>
      <c r="AV58" s="32">
        <v>4444</v>
      </c>
      <c r="AW58" s="32">
        <v>4466</v>
      </c>
      <c r="AX58" s="32">
        <v>4322</v>
      </c>
      <c r="AY58" s="32">
        <v>4185</v>
      </c>
      <c r="AZ58" s="32">
        <v>4169</v>
      </c>
      <c r="BA58" s="32">
        <v>4140</v>
      </c>
      <c r="BB58" s="32">
        <v>4129</v>
      </c>
      <c r="BC58" s="32">
        <v>4105</v>
      </c>
      <c r="BD58" s="32">
        <v>4200</v>
      </c>
      <c r="BE58" s="32">
        <v>4091</v>
      </c>
      <c r="BF58" s="32">
        <v>4038</v>
      </c>
      <c r="BG58" s="32">
        <v>3992</v>
      </c>
      <c r="BH58" s="32">
        <v>4033</v>
      </c>
      <c r="BI58" s="32">
        <v>3893</v>
      </c>
      <c r="BJ58" s="32">
        <v>3872</v>
      </c>
      <c r="BK58" s="32">
        <v>3812</v>
      </c>
      <c r="BL58" s="33">
        <v>3799</v>
      </c>
    </row>
    <row r="59" spans="1:64" ht="15.95" customHeight="1">
      <c r="A59" s="68" t="s">
        <v>316</v>
      </c>
      <c r="B59" s="28" t="s">
        <v>135</v>
      </c>
      <c r="C59" s="42">
        <f>_xll.RssMarket("1961","高値")</f>
        <v>2700</v>
      </c>
      <c r="D59" s="41">
        <f t="shared" si="0"/>
        <v>0</v>
      </c>
      <c r="E59" s="32">
        <v>2700</v>
      </c>
      <c r="F59" s="32">
        <v>2626</v>
      </c>
      <c r="G59" s="32">
        <v>2673</v>
      </c>
      <c r="H59" s="32">
        <v>2520</v>
      </c>
      <c r="I59" s="32">
        <v>2473</v>
      </c>
      <c r="J59" s="32">
        <v>2575</v>
      </c>
      <c r="K59" s="32">
        <v>2325</v>
      </c>
      <c r="L59" s="32">
        <v>2349</v>
      </c>
      <c r="M59" s="32">
        <v>2302</v>
      </c>
      <c r="N59" s="32">
        <v>2180</v>
      </c>
      <c r="O59" s="32">
        <v>2205</v>
      </c>
      <c r="P59" s="32">
        <v>2367</v>
      </c>
      <c r="Q59" s="32">
        <v>2287</v>
      </c>
      <c r="R59" s="32">
        <v>2386</v>
      </c>
      <c r="S59" s="32">
        <v>2259</v>
      </c>
      <c r="T59" s="32">
        <v>2215</v>
      </c>
      <c r="U59" s="32">
        <v>2274</v>
      </c>
      <c r="V59" s="32">
        <v>2378</v>
      </c>
      <c r="W59" s="32">
        <v>2438</v>
      </c>
      <c r="X59" s="32">
        <v>2539</v>
      </c>
      <c r="Y59" s="32">
        <v>2719</v>
      </c>
      <c r="Z59" s="32">
        <v>2687</v>
      </c>
      <c r="AA59" s="32">
        <v>2670</v>
      </c>
      <c r="AB59" s="32">
        <v>2730</v>
      </c>
      <c r="AC59" s="32">
        <v>2625</v>
      </c>
      <c r="AD59" s="32">
        <v>2557</v>
      </c>
      <c r="AE59" s="32">
        <v>2610</v>
      </c>
      <c r="AF59" s="32">
        <v>2458</v>
      </c>
      <c r="AG59" s="32">
        <v>2439</v>
      </c>
      <c r="AH59" s="32">
        <v>2428</v>
      </c>
      <c r="AI59" s="32">
        <v>2376</v>
      </c>
      <c r="AJ59" s="32">
        <v>2333</v>
      </c>
      <c r="AK59" s="32">
        <v>2283</v>
      </c>
      <c r="AL59" s="32">
        <v>2369</v>
      </c>
      <c r="AM59" s="32">
        <v>2403</v>
      </c>
      <c r="AN59" s="32">
        <v>2433</v>
      </c>
      <c r="AO59" s="32">
        <v>2433</v>
      </c>
      <c r="AP59" s="32">
        <v>2473</v>
      </c>
      <c r="AQ59" s="32">
        <v>2673</v>
      </c>
      <c r="AR59" s="32">
        <v>2776</v>
      </c>
      <c r="AS59" s="32">
        <v>2783</v>
      </c>
      <c r="AT59" s="32">
        <v>2756</v>
      </c>
      <c r="AU59" s="32">
        <v>2686</v>
      </c>
      <c r="AV59" s="32">
        <v>2583</v>
      </c>
      <c r="AW59" s="32">
        <v>2483</v>
      </c>
      <c r="AX59" s="32">
        <v>2469</v>
      </c>
      <c r="AY59" s="32">
        <v>2439</v>
      </c>
      <c r="AZ59" s="32">
        <v>2463</v>
      </c>
      <c r="BA59" s="32">
        <v>2379</v>
      </c>
      <c r="BB59" s="32">
        <v>2263</v>
      </c>
      <c r="BC59" s="32">
        <v>2253</v>
      </c>
      <c r="BD59" s="32">
        <v>2333</v>
      </c>
      <c r="BE59" s="32">
        <v>2339</v>
      </c>
      <c r="BF59" s="32">
        <v>2339</v>
      </c>
      <c r="BG59" s="32">
        <v>2253</v>
      </c>
      <c r="BH59" s="32">
        <v>2203</v>
      </c>
      <c r="BI59" s="32">
        <v>2293</v>
      </c>
      <c r="BJ59" s="32">
        <v>2333</v>
      </c>
      <c r="BK59" s="32">
        <v>2236</v>
      </c>
      <c r="BL59" s="33">
        <v>2236</v>
      </c>
    </row>
    <row r="60" spans="1:64" ht="15.95" customHeight="1">
      <c r="A60" s="68" t="s">
        <v>317</v>
      </c>
      <c r="B60" s="28" t="s">
        <v>136</v>
      </c>
      <c r="C60" s="42">
        <f>_xll.RssMarket("3107","高値")</f>
        <v>3441</v>
      </c>
      <c r="D60" s="41">
        <f t="shared" si="0"/>
        <v>0</v>
      </c>
      <c r="E60" s="32">
        <v>3441</v>
      </c>
      <c r="F60" s="32">
        <v>3488</v>
      </c>
      <c r="G60" s="32">
        <v>3483</v>
      </c>
      <c r="H60" s="32">
        <v>3500</v>
      </c>
      <c r="I60" s="32">
        <v>3495</v>
      </c>
      <c r="J60" s="32">
        <v>3480</v>
      </c>
      <c r="K60" s="32">
        <v>3550</v>
      </c>
      <c r="L60" s="32">
        <v>3520</v>
      </c>
      <c r="M60" s="32">
        <v>3588</v>
      </c>
      <c r="N60" s="32">
        <v>3605</v>
      </c>
      <c r="O60" s="32">
        <v>3622</v>
      </c>
      <c r="P60" s="32">
        <v>3490</v>
      </c>
      <c r="Q60" s="32">
        <v>3402</v>
      </c>
      <c r="R60" s="32">
        <v>3393</v>
      </c>
      <c r="S60" s="32">
        <v>3511</v>
      </c>
      <c r="T60" s="32">
        <v>3540</v>
      </c>
      <c r="U60" s="32">
        <v>3568</v>
      </c>
      <c r="V60" s="32">
        <v>3594</v>
      </c>
      <c r="W60" s="32">
        <v>3591</v>
      </c>
      <c r="X60" s="32">
        <v>3574</v>
      </c>
      <c r="Y60" s="32">
        <v>3482</v>
      </c>
      <c r="Z60" s="32">
        <v>3485</v>
      </c>
      <c r="AA60" s="32">
        <v>3430</v>
      </c>
      <c r="AB60" s="32">
        <v>3455</v>
      </c>
      <c r="AC60" s="32">
        <v>3473</v>
      </c>
      <c r="AD60" s="32">
        <v>3427</v>
      </c>
      <c r="AE60" s="32">
        <v>3335</v>
      </c>
      <c r="AF60" s="32">
        <v>3206</v>
      </c>
      <c r="AG60" s="32">
        <v>3225</v>
      </c>
      <c r="AH60" s="32">
        <v>3246</v>
      </c>
      <c r="AI60" s="32">
        <v>3178</v>
      </c>
      <c r="AJ60" s="32">
        <v>3144</v>
      </c>
      <c r="AK60" s="32">
        <v>3119</v>
      </c>
      <c r="AL60" s="32">
        <v>3122</v>
      </c>
      <c r="AM60" s="32">
        <v>3124</v>
      </c>
      <c r="AN60" s="32">
        <v>3180</v>
      </c>
      <c r="AO60" s="32">
        <v>3188</v>
      </c>
      <c r="AP60" s="32">
        <v>3219</v>
      </c>
      <c r="AQ60" s="32">
        <v>3196</v>
      </c>
      <c r="AR60" s="32">
        <v>3187</v>
      </c>
      <c r="AS60" s="32">
        <v>3129</v>
      </c>
      <c r="AT60" s="32">
        <v>3201</v>
      </c>
      <c r="AU60" s="32">
        <v>3250</v>
      </c>
      <c r="AV60" s="32">
        <v>3326</v>
      </c>
      <c r="AW60" s="32">
        <v>3234</v>
      </c>
      <c r="AX60" s="32">
        <v>3209</v>
      </c>
      <c r="AY60" s="32">
        <v>3194</v>
      </c>
      <c r="AZ60" s="32">
        <v>3253</v>
      </c>
      <c r="BA60" s="32">
        <v>3193</v>
      </c>
      <c r="BB60" s="32">
        <v>3116</v>
      </c>
      <c r="BC60" s="32">
        <v>3070</v>
      </c>
      <c r="BD60" s="32">
        <v>3082</v>
      </c>
      <c r="BE60" s="32">
        <v>3027</v>
      </c>
      <c r="BF60" s="32">
        <v>3028</v>
      </c>
      <c r="BG60" s="32">
        <v>2958.5</v>
      </c>
      <c r="BH60" s="32">
        <v>2921.5</v>
      </c>
      <c r="BI60" s="32">
        <v>3008</v>
      </c>
      <c r="BJ60" s="32">
        <v>3025</v>
      </c>
      <c r="BK60" s="32">
        <v>2989.5</v>
      </c>
      <c r="BL60" s="33">
        <v>2940.5</v>
      </c>
    </row>
    <row r="61" spans="1:64" ht="15.95" customHeight="1">
      <c r="A61" s="68" t="s">
        <v>318</v>
      </c>
      <c r="B61" s="28" t="s">
        <v>137</v>
      </c>
      <c r="C61" s="42">
        <f>_xll.RssMarket("4045","高値")</f>
        <v>1768.5</v>
      </c>
      <c r="D61" s="41">
        <f t="shared" si="0"/>
        <v>0</v>
      </c>
      <c r="E61" s="32">
        <v>1768.5</v>
      </c>
      <c r="F61" s="32">
        <v>1770</v>
      </c>
      <c r="G61" s="32">
        <v>1780</v>
      </c>
      <c r="H61" s="32">
        <v>1741.5</v>
      </c>
      <c r="I61" s="32">
        <v>1709</v>
      </c>
      <c r="J61" s="32">
        <v>1713.5</v>
      </c>
      <c r="K61" s="32">
        <v>1726</v>
      </c>
      <c r="L61" s="32">
        <v>1758</v>
      </c>
      <c r="M61" s="32">
        <v>1752.5</v>
      </c>
      <c r="N61" s="32">
        <v>1768</v>
      </c>
      <c r="O61" s="32">
        <v>1742.5</v>
      </c>
      <c r="P61" s="32">
        <v>1782.5</v>
      </c>
      <c r="Q61" s="32">
        <v>1748</v>
      </c>
      <c r="R61" s="32">
        <v>1749</v>
      </c>
      <c r="S61" s="32">
        <v>1745</v>
      </c>
      <c r="T61" s="32">
        <v>1719</v>
      </c>
      <c r="U61" s="32">
        <v>1724</v>
      </c>
      <c r="V61" s="32">
        <v>1711</v>
      </c>
      <c r="W61" s="32">
        <v>1765</v>
      </c>
      <c r="X61" s="32">
        <v>1753.5</v>
      </c>
      <c r="Y61" s="32">
        <v>1765</v>
      </c>
      <c r="Z61" s="32">
        <v>1769</v>
      </c>
      <c r="AA61" s="32">
        <v>1747.5</v>
      </c>
      <c r="AB61" s="32">
        <v>1745</v>
      </c>
      <c r="AC61" s="32">
        <v>1731.5</v>
      </c>
      <c r="AD61" s="32">
        <v>1735.5</v>
      </c>
      <c r="AE61" s="32">
        <v>1767</v>
      </c>
      <c r="AF61" s="32">
        <v>1727</v>
      </c>
      <c r="AG61" s="32">
        <v>1702.5</v>
      </c>
      <c r="AH61" s="32">
        <v>1747</v>
      </c>
      <c r="AI61" s="32">
        <v>1744</v>
      </c>
      <c r="AJ61" s="32">
        <v>1799</v>
      </c>
      <c r="AK61" s="32">
        <v>1804</v>
      </c>
      <c r="AL61" s="32">
        <v>1802</v>
      </c>
      <c r="AM61" s="32">
        <v>1801.5</v>
      </c>
      <c r="AN61" s="32">
        <v>1812</v>
      </c>
      <c r="AO61" s="32">
        <v>1809.5</v>
      </c>
      <c r="AP61" s="32">
        <v>1808</v>
      </c>
      <c r="AQ61" s="32">
        <v>1804</v>
      </c>
      <c r="AR61" s="32">
        <v>1789</v>
      </c>
      <c r="AS61" s="32">
        <v>1793</v>
      </c>
      <c r="AT61" s="32">
        <v>1801</v>
      </c>
      <c r="AU61" s="32">
        <v>1803.5</v>
      </c>
      <c r="AV61" s="32">
        <v>1814</v>
      </c>
      <c r="AW61" s="32">
        <v>1759.5</v>
      </c>
      <c r="AX61" s="32">
        <v>1746.5</v>
      </c>
      <c r="AY61" s="32">
        <v>1747.5</v>
      </c>
      <c r="AZ61" s="32">
        <v>1773.5</v>
      </c>
      <c r="BA61" s="32">
        <v>1760</v>
      </c>
      <c r="BB61" s="32">
        <v>1734</v>
      </c>
      <c r="BC61" s="32">
        <v>1719</v>
      </c>
      <c r="BD61" s="32">
        <v>1739.5</v>
      </c>
      <c r="BE61" s="32">
        <v>1738.5</v>
      </c>
      <c r="BF61" s="32">
        <v>1742</v>
      </c>
      <c r="BG61" s="32">
        <v>1702</v>
      </c>
      <c r="BH61" s="32">
        <v>1670</v>
      </c>
      <c r="BI61" s="32">
        <v>1746.5</v>
      </c>
      <c r="BJ61" s="32">
        <v>1780.5</v>
      </c>
      <c r="BK61" s="32">
        <v>1759</v>
      </c>
      <c r="BL61" s="33">
        <v>1750</v>
      </c>
    </row>
    <row r="62" spans="1:64" ht="15.95" customHeight="1">
      <c r="A62" s="68" t="s">
        <v>319</v>
      </c>
      <c r="B62" s="28" t="s">
        <v>138</v>
      </c>
      <c r="C62" s="42">
        <f>_xll.RssMarket("5857","高値")</f>
        <v>3320</v>
      </c>
      <c r="D62" s="41">
        <f t="shared" si="0"/>
        <v>0</v>
      </c>
      <c r="E62" s="32">
        <v>3320</v>
      </c>
      <c r="F62" s="32">
        <v>3245</v>
      </c>
      <c r="G62" s="32">
        <v>3240</v>
      </c>
      <c r="H62" s="32">
        <v>3065</v>
      </c>
      <c r="I62" s="32">
        <v>2941</v>
      </c>
      <c r="J62" s="32">
        <v>3065</v>
      </c>
      <c r="K62" s="32">
        <v>3115</v>
      </c>
      <c r="L62" s="32">
        <v>3210</v>
      </c>
      <c r="M62" s="32">
        <v>3215</v>
      </c>
      <c r="N62" s="32">
        <v>3305</v>
      </c>
      <c r="O62" s="32">
        <v>3285</v>
      </c>
      <c r="P62" s="32">
        <v>3400</v>
      </c>
      <c r="Q62" s="32">
        <v>3325</v>
      </c>
      <c r="R62" s="32">
        <v>3490</v>
      </c>
      <c r="S62" s="32">
        <v>3630</v>
      </c>
      <c r="T62" s="32">
        <v>3560</v>
      </c>
      <c r="U62" s="32">
        <v>3510</v>
      </c>
      <c r="V62" s="32">
        <v>3575</v>
      </c>
      <c r="W62" s="32">
        <v>3780</v>
      </c>
      <c r="X62" s="32">
        <v>3870</v>
      </c>
      <c r="Y62" s="32">
        <v>4110</v>
      </c>
      <c r="Z62" s="32">
        <v>4070</v>
      </c>
      <c r="AA62" s="32">
        <v>4060</v>
      </c>
      <c r="AB62" s="32">
        <v>3970</v>
      </c>
      <c r="AC62" s="32">
        <v>4130</v>
      </c>
      <c r="AD62" s="32">
        <v>4105</v>
      </c>
      <c r="AE62" s="32">
        <v>4030</v>
      </c>
      <c r="AF62" s="32">
        <v>3575</v>
      </c>
      <c r="AG62" s="32">
        <v>3600</v>
      </c>
      <c r="AH62" s="32">
        <v>3685</v>
      </c>
      <c r="AI62" s="32">
        <v>3675</v>
      </c>
      <c r="AJ62" s="32">
        <v>3710</v>
      </c>
      <c r="AK62" s="32">
        <v>3790</v>
      </c>
      <c r="AL62" s="32">
        <v>3935</v>
      </c>
      <c r="AM62" s="32">
        <v>4045</v>
      </c>
      <c r="AN62" s="32">
        <v>3835</v>
      </c>
      <c r="AO62" s="32">
        <v>3865</v>
      </c>
      <c r="AP62" s="32">
        <v>3875</v>
      </c>
      <c r="AQ62" s="32">
        <v>3870</v>
      </c>
      <c r="AR62" s="32">
        <v>3780</v>
      </c>
      <c r="AS62" s="32">
        <v>3720</v>
      </c>
      <c r="AT62" s="32">
        <v>3805</v>
      </c>
      <c r="AU62" s="32">
        <v>3790</v>
      </c>
      <c r="AV62" s="32">
        <v>3805</v>
      </c>
      <c r="AW62" s="32">
        <v>3620</v>
      </c>
      <c r="AX62" s="32">
        <v>3610</v>
      </c>
      <c r="AY62" s="32">
        <v>3615</v>
      </c>
      <c r="AZ62" s="32">
        <v>3700</v>
      </c>
      <c r="BA62" s="32">
        <v>3535</v>
      </c>
      <c r="BB62" s="32">
        <v>3445</v>
      </c>
      <c r="BC62" s="32">
        <v>3425</v>
      </c>
      <c r="BD62" s="32">
        <v>3600</v>
      </c>
      <c r="BE62" s="32">
        <v>3610</v>
      </c>
      <c r="BF62" s="32">
        <v>3620</v>
      </c>
      <c r="BG62" s="32">
        <v>3485</v>
      </c>
      <c r="BH62" s="32">
        <v>3425</v>
      </c>
      <c r="BI62" s="32">
        <v>3720</v>
      </c>
      <c r="BJ62" s="32">
        <v>3870</v>
      </c>
      <c r="BK62" s="32">
        <v>3765</v>
      </c>
      <c r="BL62" s="33">
        <v>3795</v>
      </c>
    </row>
    <row r="63" spans="1:64" ht="15.95" customHeight="1">
      <c r="A63" s="68" t="s">
        <v>320</v>
      </c>
      <c r="B63" s="28" t="s">
        <v>139</v>
      </c>
      <c r="C63" s="42">
        <f>_xll.RssMarket("8281","高値")</f>
        <v>1065</v>
      </c>
      <c r="D63" s="41">
        <f t="shared" si="0"/>
        <v>0</v>
      </c>
      <c r="E63" s="32">
        <v>1065</v>
      </c>
      <c r="F63" s="32">
        <v>1069</v>
      </c>
      <c r="G63" s="32">
        <v>1080</v>
      </c>
      <c r="H63" s="32">
        <v>1072</v>
      </c>
      <c r="I63" s="32">
        <v>1073</v>
      </c>
      <c r="J63" s="32">
        <v>1067</v>
      </c>
      <c r="K63" s="32">
        <v>1038</v>
      </c>
      <c r="L63" s="32">
        <v>1028</v>
      </c>
      <c r="M63" s="32">
        <v>1019</v>
      </c>
      <c r="N63" s="32">
        <v>1042</v>
      </c>
      <c r="O63" s="32">
        <v>1039</v>
      </c>
      <c r="P63" s="32">
        <v>1072</v>
      </c>
      <c r="Q63" s="32">
        <v>1057</v>
      </c>
      <c r="R63" s="32">
        <v>1049</v>
      </c>
      <c r="S63" s="32">
        <v>1055</v>
      </c>
      <c r="T63" s="32">
        <v>1059</v>
      </c>
      <c r="U63" s="32">
        <v>1064</v>
      </c>
      <c r="V63" s="32">
        <v>1059</v>
      </c>
      <c r="W63" s="32">
        <v>1050</v>
      </c>
      <c r="X63" s="32">
        <v>1028</v>
      </c>
      <c r="Y63" s="32">
        <v>1039</v>
      </c>
      <c r="Z63" s="32">
        <v>966</v>
      </c>
      <c r="AA63" s="32">
        <v>973</v>
      </c>
      <c r="AB63" s="32">
        <v>966</v>
      </c>
      <c r="AC63" s="32">
        <v>973</v>
      </c>
      <c r="AD63" s="32">
        <v>993</v>
      </c>
      <c r="AE63" s="32">
        <v>996</v>
      </c>
      <c r="AF63" s="32">
        <v>999</v>
      </c>
      <c r="AG63" s="32">
        <v>999</v>
      </c>
      <c r="AH63" s="32">
        <v>998</v>
      </c>
      <c r="AI63" s="32">
        <v>1002</v>
      </c>
      <c r="AJ63" s="32">
        <v>1005</v>
      </c>
      <c r="AK63" s="32">
        <v>1026</v>
      </c>
      <c r="AL63" s="32">
        <v>1037</v>
      </c>
      <c r="AM63" s="32">
        <v>1032</v>
      </c>
      <c r="AN63" s="32">
        <v>1024</v>
      </c>
      <c r="AO63" s="32">
        <v>1028</v>
      </c>
      <c r="AP63" s="32">
        <v>1023</v>
      </c>
      <c r="AQ63" s="32">
        <v>1018</v>
      </c>
      <c r="AR63" s="32">
        <v>1013</v>
      </c>
      <c r="AS63" s="32">
        <v>1029</v>
      </c>
      <c r="AT63" s="32">
        <v>1045</v>
      </c>
      <c r="AU63" s="32">
        <v>1044</v>
      </c>
      <c r="AV63" s="32">
        <v>1035</v>
      </c>
      <c r="AW63" s="32">
        <v>1022</v>
      </c>
      <c r="AX63" s="32">
        <v>1021</v>
      </c>
      <c r="AY63" s="32">
        <v>1021</v>
      </c>
      <c r="AZ63" s="32">
        <v>1013</v>
      </c>
      <c r="BA63" s="32">
        <v>1004</v>
      </c>
      <c r="BB63" s="32">
        <v>990</v>
      </c>
      <c r="BC63" s="32">
        <v>1027</v>
      </c>
      <c r="BD63" s="32">
        <v>1020</v>
      </c>
      <c r="BE63" s="32">
        <v>1016</v>
      </c>
      <c r="BF63" s="32">
        <v>1007</v>
      </c>
      <c r="BG63" s="32">
        <v>1008</v>
      </c>
      <c r="BH63" s="32">
        <v>1042</v>
      </c>
      <c r="BI63" s="32">
        <v>1053</v>
      </c>
      <c r="BJ63" s="32">
        <v>1048</v>
      </c>
      <c r="BK63" s="32">
        <v>1041</v>
      </c>
      <c r="BL63" s="33">
        <v>1049</v>
      </c>
    </row>
    <row r="64" spans="1:64" ht="15.95" customHeight="1">
      <c r="A64" s="68" t="s">
        <v>321</v>
      </c>
      <c r="B64" s="28" t="s">
        <v>140</v>
      </c>
      <c r="C64" s="42">
        <f>_xll.RssMarket("4540","高値")</f>
        <v>3784</v>
      </c>
      <c r="D64" s="41">
        <f t="shared" si="0"/>
        <v>0</v>
      </c>
      <c r="E64" s="32">
        <v>3784</v>
      </c>
      <c r="F64" s="32">
        <v>3764</v>
      </c>
      <c r="G64" s="32">
        <v>3757</v>
      </c>
      <c r="H64" s="32">
        <v>3763</v>
      </c>
      <c r="I64" s="32">
        <v>3777</v>
      </c>
      <c r="J64" s="32">
        <v>3758</v>
      </c>
      <c r="K64" s="32">
        <v>3752</v>
      </c>
      <c r="L64" s="32">
        <v>3771</v>
      </c>
      <c r="M64" s="32">
        <v>3760</v>
      </c>
      <c r="N64" s="32">
        <v>3739</v>
      </c>
      <c r="O64" s="32">
        <v>3743</v>
      </c>
      <c r="P64" s="32">
        <v>3857</v>
      </c>
      <c r="Q64" s="32">
        <v>3860</v>
      </c>
      <c r="R64" s="32">
        <v>3861</v>
      </c>
      <c r="S64" s="32">
        <v>3795</v>
      </c>
      <c r="T64" s="32">
        <v>3888</v>
      </c>
      <c r="U64" s="32">
        <v>3982</v>
      </c>
      <c r="V64" s="32">
        <v>4015</v>
      </c>
      <c r="W64" s="32">
        <v>3934</v>
      </c>
      <c r="X64" s="32">
        <v>3837</v>
      </c>
      <c r="Y64" s="32">
        <v>3819</v>
      </c>
      <c r="Z64" s="32">
        <v>3789</v>
      </c>
      <c r="AA64" s="32">
        <v>3719</v>
      </c>
      <c r="AB64" s="32">
        <v>3565</v>
      </c>
      <c r="AC64" s="32">
        <v>3588</v>
      </c>
      <c r="AD64" s="32">
        <v>3641</v>
      </c>
      <c r="AE64" s="32">
        <v>3644</v>
      </c>
      <c r="AF64" s="32">
        <v>3653</v>
      </c>
      <c r="AG64" s="32">
        <v>3681</v>
      </c>
      <c r="AH64" s="32">
        <v>3728</v>
      </c>
      <c r="AI64" s="32">
        <v>3717</v>
      </c>
      <c r="AJ64" s="32">
        <v>3703</v>
      </c>
      <c r="AK64" s="32">
        <v>3700</v>
      </c>
      <c r="AL64" s="32">
        <v>3722</v>
      </c>
      <c r="AM64" s="32">
        <v>3750</v>
      </c>
      <c r="AN64" s="32">
        <v>3791</v>
      </c>
      <c r="AO64" s="32">
        <v>3780</v>
      </c>
      <c r="AP64" s="32">
        <v>3807</v>
      </c>
      <c r="AQ64" s="32">
        <v>3782</v>
      </c>
      <c r="AR64" s="32">
        <v>3790</v>
      </c>
      <c r="AS64" s="32">
        <v>3792</v>
      </c>
      <c r="AT64" s="32">
        <v>3834</v>
      </c>
      <c r="AU64" s="32">
        <v>3870</v>
      </c>
      <c r="AV64" s="32">
        <v>3898</v>
      </c>
      <c r="AW64" s="32">
        <v>3866</v>
      </c>
      <c r="AX64" s="32">
        <v>3860</v>
      </c>
      <c r="AY64" s="32">
        <v>3868</v>
      </c>
      <c r="AZ64" s="32">
        <v>3870</v>
      </c>
      <c r="BA64" s="32">
        <v>3835</v>
      </c>
      <c r="BB64" s="32">
        <v>3790</v>
      </c>
      <c r="BC64" s="32">
        <v>3756</v>
      </c>
      <c r="BD64" s="32">
        <v>3890</v>
      </c>
      <c r="BE64" s="32">
        <v>3854</v>
      </c>
      <c r="BF64" s="32">
        <v>3847</v>
      </c>
      <c r="BG64" s="32">
        <v>3798</v>
      </c>
      <c r="BH64" s="32">
        <v>3776</v>
      </c>
      <c r="BI64" s="32">
        <v>3840</v>
      </c>
      <c r="BJ64" s="32">
        <v>3862</v>
      </c>
      <c r="BK64" s="32">
        <v>3843</v>
      </c>
      <c r="BL64" s="33">
        <v>3854</v>
      </c>
    </row>
    <row r="65" spans="1:64" ht="15.95" customHeight="1">
      <c r="A65" s="68" t="s">
        <v>322</v>
      </c>
      <c r="B65" s="28" t="s">
        <v>141</v>
      </c>
      <c r="C65" s="42">
        <f>_xll.RssMarket("9984","高値")</f>
        <v>6948</v>
      </c>
      <c r="D65" s="41">
        <f t="shared" si="0"/>
        <v>0</v>
      </c>
      <c r="E65" s="32">
        <v>6948</v>
      </c>
      <c r="F65" s="32">
        <v>7188</v>
      </c>
      <c r="G65" s="32">
        <v>7327</v>
      </c>
      <c r="H65" s="32">
        <v>6797</v>
      </c>
      <c r="I65" s="32">
        <v>6529</v>
      </c>
      <c r="J65" s="32">
        <v>6730</v>
      </c>
      <c r="K65" s="32">
        <v>7022</v>
      </c>
      <c r="L65" s="32">
        <v>7583</v>
      </c>
      <c r="M65" s="32">
        <v>8099</v>
      </c>
      <c r="N65" s="32">
        <v>8800</v>
      </c>
      <c r="O65" s="32">
        <v>9074</v>
      </c>
      <c r="P65" s="32">
        <v>7710</v>
      </c>
      <c r="Q65" s="32">
        <v>7220</v>
      </c>
      <c r="R65" s="32">
        <v>8038</v>
      </c>
      <c r="S65" s="32">
        <v>7276</v>
      </c>
      <c r="T65" s="32">
        <v>6881</v>
      </c>
      <c r="U65" s="32">
        <v>6039</v>
      </c>
      <c r="V65" s="32">
        <v>5349</v>
      </c>
      <c r="W65" s="32">
        <v>5777</v>
      </c>
      <c r="X65" s="32">
        <v>5720</v>
      </c>
      <c r="Y65" s="32">
        <v>6020</v>
      </c>
      <c r="Z65" s="32">
        <v>6204</v>
      </c>
      <c r="AA65" s="32">
        <v>6084</v>
      </c>
      <c r="AB65" s="32">
        <v>6008</v>
      </c>
      <c r="AC65" s="32">
        <v>6292</v>
      </c>
      <c r="AD65" s="32">
        <v>6242</v>
      </c>
      <c r="AE65" s="32">
        <v>6424</v>
      </c>
      <c r="AF65" s="32">
        <v>5466</v>
      </c>
      <c r="AG65" s="32">
        <v>5399</v>
      </c>
      <c r="AH65" s="32">
        <v>5751</v>
      </c>
      <c r="AI65" s="32">
        <v>6121</v>
      </c>
      <c r="AJ65" s="32">
        <v>6000</v>
      </c>
      <c r="AK65" s="32">
        <v>6160</v>
      </c>
      <c r="AL65" s="32">
        <v>5727</v>
      </c>
      <c r="AM65" s="32">
        <v>5187</v>
      </c>
      <c r="AN65" s="32">
        <v>4818</v>
      </c>
      <c r="AO65" s="32">
        <v>4689</v>
      </c>
      <c r="AP65" s="32">
        <v>4772</v>
      </c>
      <c r="AQ65" s="32">
        <v>4525</v>
      </c>
      <c r="AR65" s="32">
        <v>4263</v>
      </c>
      <c r="AS65" s="32">
        <v>3767</v>
      </c>
      <c r="AT65" s="32">
        <v>3820</v>
      </c>
      <c r="AU65" s="32">
        <v>3823</v>
      </c>
      <c r="AV65" s="32">
        <v>3854</v>
      </c>
      <c r="AW65" s="32">
        <v>3686</v>
      </c>
      <c r="AX65" s="32">
        <v>3697</v>
      </c>
      <c r="AY65" s="32">
        <v>3676</v>
      </c>
      <c r="AZ65" s="32">
        <v>3982</v>
      </c>
      <c r="BA65" s="32">
        <v>3840</v>
      </c>
      <c r="BB65" s="32">
        <v>3683</v>
      </c>
      <c r="BC65" s="32">
        <v>3718</v>
      </c>
      <c r="BD65" s="32">
        <v>4010</v>
      </c>
      <c r="BE65" s="32">
        <v>4088</v>
      </c>
      <c r="BF65" s="32">
        <v>3860</v>
      </c>
      <c r="BG65" s="32">
        <v>3620</v>
      </c>
      <c r="BH65" s="32">
        <v>3553</v>
      </c>
      <c r="BI65" s="32">
        <v>3647</v>
      </c>
      <c r="BJ65" s="32">
        <v>3780</v>
      </c>
      <c r="BK65" s="32">
        <v>3666</v>
      </c>
      <c r="BL65" s="33">
        <v>3688</v>
      </c>
    </row>
    <row r="66" spans="1:64" ht="15.95" customHeight="1">
      <c r="A66" s="68" t="s">
        <v>323</v>
      </c>
      <c r="B66" s="28" t="s">
        <v>51</v>
      </c>
      <c r="C66" s="40">
        <f>_xll.RssMarket("4063","高値")</f>
        <v>7595</v>
      </c>
      <c r="D66" s="41">
        <f t="shared" si="0"/>
        <v>0</v>
      </c>
      <c r="E66" s="32">
        <v>7595</v>
      </c>
      <c r="F66" s="32">
        <v>7589</v>
      </c>
      <c r="G66" s="32">
        <v>7567</v>
      </c>
      <c r="H66" s="32">
        <v>7218</v>
      </c>
      <c r="I66" s="32">
        <v>6858</v>
      </c>
      <c r="J66" s="32">
        <v>6830</v>
      </c>
      <c r="K66" s="32">
        <v>7056</v>
      </c>
      <c r="L66" s="32">
        <v>7539</v>
      </c>
      <c r="M66" s="32">
        <v>7730</v>
      </c>
      <c r="N66" s="32">
        <v>7818</v>
      </c>
      <c r="O66" s="32">
        <v>7600</v>
      </c>
      <c r="P66" s="32">
        <v>7904</v>
      </c>
      <c r="Q66" s="32">
        <v>7480</v>
      </c>
      <c r="R66" s="32">
        <v>7572</v>
      </c>
      <c r="S66" s="32">
        <v>7194</v>
      </c>
      <c r="T66" s="32">
        <v>7065</v>
      </c>
      <c r="U66" s="32">
        <v>7014</v>
      </c>
      <c r="V66" s="32">
        <v>6975</v>
      </c>
      <c r="W66" s="32">
        <v>7071</v>
      </c>
      <c r="X66" s="32">
        <v>7157</v>
      </c>
      <c r="Y66" s="32">
        <v>7464</v>
      </c>
      <c r="Z66" s="32">
        <v>7593</v>
      </c>
      <c r="AA66" s="32">
        <v>7466</v>
      </c>
      <c r="AB66" s="32">
        <v>7604</v>
      </c>
      <c r="AC66" s="32">
        <v>7668</v>
      </c>
      <c r="AD66" s="32">
        <v>7653</v>
      </c>
      <c r="AE66" s="32">
        <v>7883</v>
      </c>
      <c r="AF66" s="32">
        <v>7285</v>
      </c>
      <c r="AG66" s="32">
        <v>7351</v>
      </c>
      <c r="AH66" s="32">
        <v>7082</v>
      </c>
      <c r="AI66" s="32">
        <v>7018</v>
      </c>
      <c r="AJ66" s="32">
        <v>6847</v>
      </c>
      <c r="AK66" s="32">
        <v>6784</v>
      </c>
      <c r="AL66" s="32">
        <v>6742</v>
      </c>
      <c r="AM66" s="32">
        <v>6912</v>
      </c>
      <c r="AN66" s="32">
        <v>6886</v>
      </c>
      <c r="AO66" s="32">
        <v>6996</v>
      </c>
      <c r="AP66" s="32">
        <v>6944</v>
      </c>
      <c r="AQ66" s="32">
        <v>6863</v>
      </c>
      <c r="AR66" s="32">
        <v>6696</v>
      </c>
      <c r="AS66" s="32">
        <v>6694</v>
      </c>
      <c r="AT66" s="32">
        <v>6614</v>
      </c>
      <c r="AU66" s="32">
        <v>6558</v>
      </c>
      <c r="AV66" s="32">
        <v>6733</v>
      </c>
      <c r="AW66" s="32">
        <v>6652</v>
      </c>
      <c r="AX66" s="32">
        <v>6613</v>
      </c>
      <c r="AY66" s="32">
        <v>6471</v>
      </c>
      <c r="AZ66" s="32">
        <v>6545</v>
      </c>
      <c r="BA66" s="32">
        <v>6505</v>
      </c>
      <c r="BB66" s="32">
        <v>6390</v>
      </c>
      <c r="BC66" s="32">
        <v>6219</v>
      </c>
      <c r="BD66" s="32">
        <v>6245</v>
      </c>
      <c r="BE66" s="32">
        <v>6384</v>
      </c>
      <c r="BF66" s="32">
        <v>6404</v>
      </c>
      <c r="BG66" s="32">
        <v>6297</v>
      </c>
      <c r="BH66" s="32">
        <v>6116</v>
      </c>
      <c r="BI66" s="32">
        <v>6641</v>
      </c>
      <c r="BJ66" s="32">
        <v>6740</v>
      </c>
      <c r="BK66" s="32">
        <v>6675</v>
      </c>
      <c r="BL66" s="33">
        <v>6570</v>
      </c>
    </row>
    <row r="67" spans="1:64" ht="15.95" customHeight="1">
      <c r="A67" s="68" t="s">
        <v>324</v>
      </c>
      <c r="B67" s="28" t="s">
        <v>54</v>
      </c>
      <c r="C67" s="42">
        <f>_xll.RssMarket("4536","高値")</f>
        <v>1935.5</v>
      </c>
      <c r="D67" s="41">
        <f t="shared" si="0"/>
        <v>0</v>
      </c>
      <c r="E67" s="32">
        <v>1935.5</v>
      </c>
      <c r="F67" s="32">
        <v>1940</v>
      </c>
      <c r="G67" s="32">
        <v>1950</v>
      </c>
      <c r="H67" s="32">
        <v>1937.5</v>
      </c>
      <c r="I67" s="32">
        <v>1954</v>
      </c>
      <c r="J67" s="32">
        <v>1983</v>
      </c>
      <c r="K67" s="32">
        <v>2043</v>
      </c>
      <c r="L67" s="32">
        <v>1952</v>
      </c>
      <c r="M67" s="32">
        <v>1881</v>
      </c>
      <c r="N67" s="32">
        <v>1872</v>
      </c>
      <c r="O67" s="32">
        <v>1886.5</v>
      </c>
      <c r="P67" s="32">
        <v>1939</v>
      </c>
      <c r="Q67" s="32">
        <v>1918.5</v>
      </c>
      <c r="R67" s="32">
        <v>1941</v>
      </c>
      <c r="S67" s="32">
        <v>1969.5</v>
      </c>
      <c r="T67" s="32">
        <v>1927.5</v>
      </c>
      <c r="U67" s="32">
        <v>1934.5</v>
      </c>
      <c r="V67" s="32">
        <v>1959.5</v>
      </c>
      <c r="W67" s="32">
        <v>1898.5</v>
      </c>
      <c r="X67" s="32">
        <v>1869.5</v>
      </c>
      <c r="Y67" s="32">
        <v>1879.5</v>
      </c>
      <c r="Z67" s="32">
        <v>1909</v>
      </c>
      <c r="AA67" s="32">
        <v>1815</v>
      </c>
      <c r="AB67" s="32">
        <v>1622</v>
      </c>
      <c r="AC67" s="32">
        <v>1629.5</v>
      </c>
      <c r="AD67" s="32">
        <v>1628</v>
      </c>
      <c r="AE67" s="32">
        <v>1646.5</v>
      </c>
      <c r="AF67" s="32">
        <v>1649</v>
      </c>
      <c r="AG67" s="32">
        <v>1637</v>
      </c>
      <c r="AH67" s="32">
        <v>1652</v>
      </c>
      <c r="AI67" s="32">
        <v>1673.5</v>
      </c>
      <c r="AJ67" s="32">
        <v>1695.5</v>
      </c>
      <c r="AK67" s="32">
        <v>1675.5</v>
      </c>
      <c r="AL67" s="32">
        <v>1723.5</v>
      </c>
      <c r="AM67" s="32">
        <v>1740</v>
      </c>
      <c r="AN67" s="32">
        <v>1798</v>
      </c>
      <c r="AO67" s="32">
        <v>1802.5</v>
      </c>
      <c r="AP67" s="32">
        <v>1816.5</v>
      </c>
      <c r="AQ67" s="32">
        <v>1809.5</v>
      </c>
      <c r="AR67" s="32">
        <v>1818.5</v>
      </c>
      <c r="AS67" s="32">
        <v>1827.5</v>
      </c>
      <c r="AT67" s="32">
        <v>1894</v>
      </c>
      <c r="AU67" s="32">
        <v>1937.5</v>
      </c>
      <c r="AV67" s="32">
        <v>1939</v>
      </c>
      <c r="AW67" s="32">
        <v>1891.5</v>
      </c>
      <c r="AX67" s="32">
        <v>1884</v>
      </c>
      <c r="AY67" s="32">
        <v>1833</v>
      </c>
      <c r="AZ67" s="32">
        <v>1857.5</v>
      </c>
      <c r="BA67" s="32">
        <v>1849.5</v>
      </c>
      <c r="BB67" s="32">
        <v>1793</v>
      </c>
      <c r="BC67" s="32">
        <v>1776.5</v>
      </c>
      <c r="BD67" s="32">
        <v>1792</v>
      </c>
      <c r="BE67" s="32">
        <v>1762</v>
      </c>
      <c r="BF67" s="32">
        <v>1747</v>
      </c>
      <c r="BG67" s="32">
        <v>1719</v>
      </c>
      <c r="BH67" s="32">
        <v>1672</v>
      </c>
      <c r="BI67" s="32">
        <v>1704</v>
      </c>
      <c r="BJ67" s="32">
        <v>1696</v>
      </c>
      <c r="BK67" s="32">
        <v>1694.5</v>
      </c>
      <c r="BL67" s="33">
        <v>1666</v>
      </c>
    </row>
    <row r="68" spans="1:64" ht="15.95" customHeight="1">
      <c r="A68" s="68" t="s">
        <v>325</v>
      </c>
      <c r="B68" s="28" t="s">
        <v>52</v>
      </c>
      <c r="C68" s="42">
        <f>_xll.RssMarket("6503","高値")</f>
        <v>5925</v>
      </c>
      <c r="D68" s="41">
        <f t="shared" si="0"/>
        <v>0</v>
      </c>
      <c r="E68" s="32">
        <v>5925</v>
      </c>
      <c r="F68" s="32">
        <v>6009</v>
      </c>
      <c r="G68" s="32">
        <v>5903</v>
      </c>
      <c r="H68" s="32">
        <v>5661</v>
      </c>
      <c r="I68" s="32">
        <v>5446</v>
      </c>
      <c r="J68" s="32">
        <v>5767</v>
      </c>
      <c r="K68" s="32">
        <v>5707</v>
      </c>
      <c r="L68" s="32">
        <v>6043</v>
      </c>
      <c r="M68" s="32">
        <v>6084</v>
      </c>
      <c r="N68" s="32">
        <v>6177</v>
      </c>
      <c r="O68" s="32">
        <v>6133</v>
      </c>
      <c r="P68" s="32">
        <v>6641</v>
      </c>
      <c r="Q68" s="32">
        <v>6565</v>
      </c>
      <c r="R68" s="32">
        <v>6686</v>
      </c>
      <c r="S68" s="32">
        <v>6614</v>
      </c>
      <c r="T68" s="32">
        <v>6359</v>
      </c>
      <c r="U68" s="32">
        <v>6124</v>
      </c>
      <c r="V68" s="32">
        <v>5895</v>
      </c>
      <c r="W68" s="32">
        <v>6330</v>
      </c>
      <c r="X68" s="32">
        <v>6394</v>
      </c>
      <c r="Y68" s="32">
        <v>6662</v>
      </c>
      <c r="Z68" s="32">
        <v>6512</v>
      </c>
      <c r="AA68" s="32">
        <v>6495</v>
      </c>
      <c r="AB68" s="32">
        <v>6667</v>
      </c>
      <c r="AC68" s="32">
        <v>6615</v>
      </c>
      <c r="AD68" s="32">
        <v>6591</v>
      </c>
      <c r="AE68" s="32">
        <v>6636</v>
      </c>
      <c r="AF68" s="32">
        <v>6330</v>
      </c>
      <c r="AG68" s="32">
        <v>6490</v>
      </c>
      <c r="AH68" s="32">
        <v>6231</v>
      </c>
      <c r="AI68" s="32">
        <v>6129</v>
      </c>
      <c r="AJ68" s="32">
        <v>6010</v>
      </c>
      <c r="AK68" s="32">
        <v>5905</v>
      </c>
      <c r="AL68" s="32">
        <v>5938</v>
      </c>
      <c r="AM68" s="32">
        <v>6160</v>
      </c>
      <c r="AN68" s="32">
        <v>6107</v>
      </c>
      <c r="AO68" s="32">
        <v>5944</v>
      </c>
      <c r="AP68" s="32">
        <v>5981</v>
      </c>
      <c r="AQ68" s="32">
        <v>5998</v>
      </c>
      <c r="AR68" s="32">
        <v>5921</v>
      </c>
      <c r="AS68" s="32">
        <v>5867</v>
      </c>
      <c r="AT68" s="32">
        <v>5853</v>
      </c>
      <c r="AU68" s="32">
        <v>5710</v>
      </c>
      <c r="AV68" s="32">
        <v>5648</v>
      </c>
      <c r="AW68" s="32">
        <v>5391</v>
      </c>
      <c r="AX68" s="32">
        <v>5406</v>
      </c>
      <c r="AY68" s="32">
        <v>5377</v>
      </c>
      <c r="AZ68" s="32">
        <v>5465</v>
      </c>
      <c r="BA68" s="32">
        <v>5337</v>
      </c>
      <c r="BB68" s="32">
        <v>5101</v>
      </c>
      <c r="BC68" s="32">
        <v>5081</v>
      </c>
      <c r="BD68" s="32">
        <v>5415</v>
      </c>
      <c r="BE68" s="32">
        <v>5709</v>
      </c>
      <c r="BF68" s="32">
        <v>5557</v>
      </c>
      <c r="BG68" s="32">
        <v>5319</v>
      </c>
      <c r="BH68" s="32">
        <v>5237</v>
      </c>
      <c r="BI68" s="32">
        <v>5597</v>
      </c>
      <c r="BJ68" s="32">
        <v>5664</v>
      </c>
      <c r="BK68" s="32">
        <v>5516</v>
      </c>
      <c r="BL68" s="33">
        <v>5470</v>
      </c>
    </row>
    <row r="69" spans="1:64" ht="15.95" customHeight="1">
      <c r="A69" s="68" t="s">
        <v>326</v>
      </c>
      <c r="B69" s="28" t="s">
        <v>55</v>
      </c>
      <c r="C69" s="42">
        <f>_xll.RssMarket("4980","高値")</f>
        <v>4694</v>
      </c>
      <c r="D69" s="41">
        <f t="shared" si="0"/>
        <v>0</v>
      </c>
      <c r="E69" s="32">
        <v>4694</v>
      </c>
      <c r="F69" s="32">
        <v>4609</v>
      </c>
      <c r="G69" s="32">
        <v>4316</v>
      </c>
      <c r="H69" s="32">
        <v>4122</v>
      </c>
      <c r="I69" s="32">
        <v>3813</v>
      </c>
      <c r="J69" s="32">
        <v>3968</v>
      </c>
      <c r="K69" s="32">
        <v>4070</v>
      </c>
      <c r="L69" s="32">
        <v>4432</v>
      </c>
      <c r="M69" s="32">
        <v>4525</v>
      </c>
      <c r="N69" s="32">
        <v>4859</v>
      </c>
      <c r="O69" s="32">
        <v>4560</v>
      </c>
      <c r="P69" s="32">
        <v>4133</v>
      </c>
      <c r="Q69" s="32">
        <v>4214</v>
      </c>
      <c r="R69" s="32">
        <v>4290</v>
      </c>
      <c r="S69" s="32">
        <v>4473</v>
      </c>
      <c r="T69" s="32">
        <v>4313</v>
      </c>
      <c r="U69" s="32">
        <v>4236</v>
      </c>
      <c r="V69" s="32">
        <v>4062</v>
      </c>
      <c r="W69" s="32">
        <v>4217</v>
      </c>
      <c r="X69" s="32">
        <v>4486</v>
      </c>
      <c r="Y69" s="32">
        <v>3849</v>
      </c>
      <c r="Z69" s="32">
        <v>3149</v>
      </c>
      <c r="AA69" s="32">
        <v>2682.5</v>
      </c>
      <c r="AB69" s="32">
        <v>2755</v>
      </c>
      <c r="AC69" s="32">
        <v>2800</v>
      </c>
      <c r="AD69" s="32">
        <v>2739</v>
      </c>
      <c r="AE69" s="32">
        <v>2657</v>
      </c>
      <c r="AF69" s="32">
        <v>2508.5</v>
      </c>
      <c r="AG69" s="32">
        <v>2478.5</v>
      </c>
      <c r="AH69" s="32">
        <v>2516.5</v>
      </c>
      <c r="AI69" s="32">
        <v>2540.5</v>
      </c>
      <c r="AJ69" s="32">
        <v>2458</v>
      </c>
      <c r="AK69" s="32">
        <v>2487.5</v>
      </c>
      <c r="AL69" s="32">
        <v>2481</v>
      </c>
      <c r="AM69" s="32">
        <v>2484</v>
      </c>
      <c r="AN69" s="32">
        <v>2484</v>
      </c>
      <c r="AO69" s="32">
        <v>2473</v>
      </c>
      <c r="AP69" s="32">
        <v>2427.5</v>
      </c>
      <c r="AQ69" s="32">
        <v>2442</v>
      </c>
      <c r="AR69" s="32">
        <v>2408</v>
      </c>
      <c r="AS69" s="32">
        <v>2390</v>
      </c>
      <c r="AT69" s="32">
        <v>2400</v>
      </c>
      <c r="AU69" s="32">
        <v>2355</v>
      </c>
      <c r="AV69" s="32">
        <v>2365</v>
      </c>
      <c r="AW69" s="32">
        <v>2239.5</v>
      </c>
      <c r="AX69" s="32">
        <v>2227.5</v>
      </c>
      <c r="AY69" s="32">
        <v>2199.5</v>
      </c>
      <c r="AZ69" s="32">
        <v>2252</v>
      </c>
      <c r="BA69" s="32">
        <v>2243</v>
      </c>
      <c r="BB69" s="32">
        <v>2155</v>
      </c>
      <c r="BC69" s="32">
        <v>2139</v>
      </c>
      <c r="BD69" s="32">
        <v>2280</v>
      </c>
      <c r="BE69" s="32">
        <v>2288</v>
      </c>
      <c r="BF69" s="32">
        <v>2273</v>
      </c>
      <c r="BG69" s="32">
        <v>2229</v>
      </c>
      <c r="BH69" s="32">
        <v>2197.5</v>
      </c>
      <c r="BI69" s="32">
        <v>2359</v>
      </c>
      <c r="BJ69" s="32">
        <v>2387</v>
      </c>
      <c r="BK69" s="32">
        <v>2451.5</v>
      </c>
      <c r="BL69" s="33">
        <v>2413.5</v>
      </c>
    </row>
    <row r="70" spans="1:64" ht="15.95" customHeight="1">
      <c r="A70" s="68" t="s">
        <v>327</v>
      </c>
      <c r="B70" s="28" t="s">
        <v>56</v>
      </c>
      <c r="C70" s="42">
        <f>_xll.RssMarket("9424","高値")</f>
        <v>117</v>
      </c>
      <c r="D70" s="41">
        <f t="shared" ref="D70:D133" si="1">C70-E70</f>
        <v>0</v>
      </c>
      <c r="E70" s="32">
        <v>117</v>
      </c>
      <c r="F70" s="32">
        <v>115</v>
      </c>
      <c r="G70" s="32">
        <v>114</v>
      </c>
      <c r="H70" s="32">
        <v>115</v>
      </c>
      <c r="I70" s="32">
        <v>119</v>
      </c>
      <c r="J70" s="32">
        <v>116</v>
      </c>
      <c r="K70" s="32">
        <v>117</v>
      </c>
      <c r="L70" s="32">
        <v>114</v>
      </c>
      <c r="M70" s="32">
        <v>117</v>
      </c>
      <c r="N70" s="32">
        <v>125</v>
      </c>
      <c r="O70" s="32">
        <v>124</v>
      </c>
      <c r="P70" s="32">
        <v>125</v>
      </c>
      <c r="Q70" s="32">
        <v>126</v>
      </c>
      <c r="R70" s="32">
        <v>127</v>
      </c>
      <c r="S70" s="32">
        <v>126</v>
      </c>
      <c r="T70" s="32">
        <v>128</v>
      </c>
      <c r="U70" s="32">
        <v>129</v>
      </c>
      <c r="V70" s="32">
        <v>131</v>
      </c>
      <c r="W70" s="32">
        <v>127</v>
      </c>
      <c r="X70" s="32">
        <v>126</v>
      </c>
      <c r="Y70" s="32">
        <v>125</v>
      </c>
      <c r="Z70" s="32">
        <v>126</v>
      </c>
      <c r="AA70" s="32">
        <v>127</v>
      </c>
      <c r="AB70" s="32">
        <v>128</v>
      </c>
      <c r="AC70" s="32">
        <v>131</v>
      </c>
      <c r="AD70" s="32">
        <v>132</v>
      </c>
      <c r="AE70" s="32">
        <v>131</v>
      </c>
      <c r="AF70" s="32">
        <v>133</v>
      </c>
      <c r="AG70" s="32">
        <v>132</v>
      </c>
      <c r="AH70" s="32">
        <v>131</v>
      </c>
      <c r="AI70" s="32">
        <v>126</v>
      </c>
      <c r="AJ70" s="32">
        <v>127</v>
      </c>
      <c r="AK70" s="32">
        <v>130</v>
      </c>
      <c r="AL70" s="32">
        <v>132</v>
      </c>
      <c r="AM70" s="32">
        <v>131</v>
      </c>
      <c r="AN70" s="32">
        <v>130</v>
      </c>
      <c r="AO70" s="32">
        <v>130</v>
      </c>
      <c r="AP70" s="32">
        <v>131</v>
      </c>
      <c r="AQ70" s="32">
        <v>133</v>
      </c>
      <c r="AR70" s="32">
        <v>132</v>
      </c>
      <c r="AS70" s="32">
        <v>131</v>
      </c>
      <c r="AT70" s="32">
        <v>131</v>
      </c>
      <c r="AU70" s="32">
        <v>133</v>
      </c>
      <c r="AV70" s="32">
        <v>133</v>
      </c>
      <c r="AW70" s="32">
        <v>133</v>
      </c>
      <c r="AX70" s="32">
        <v>130</v>
      </c>
      <c r="AY70" s="32">
        <v>128</v>
      </c>
      <c r="AZ70" s="32">
        <v>134</v>
      </c>
      <c r="BA70" s="32">
        <v>134</v>
      </c>
      <c r="BB70" s="32">
        <v>132</v>
      </c>
      <c r="BC70" s="32">
        <v>131</v>
      </c>
      <c r="BD70" s="32">
        <v>131</v>
      </c>
      <c r="BE70" s="32">
        <v>134</v>
      </c>
      <c r="BF70" s="32">
        <v>139</v>
      </c>
      <c r="BG70" s="32">
        <v>138</v>
      </c>
      <c r="BH70" s="32">
        <v>134</v>
      </c>
      <c r="BI70" s="32">
        <v>138</v>
      </c>
      <c r="BJ70" s="32">
        <v>139</v>
      </c>
      <c r="BK70" s="32">
        <v>132</v>
      </c>
      <c r="BL70" s="33">
        <v>135</v>
      </c>
    </row>
    <row r="71" spans="1:64" ht="15.95" customHeight="1">
      <c r="A71" s="68" t="s">
        <v>328</v>
      </c>
      <c r="B71" s="28" t="s">
        <v>57</v>
      </c>
      <c r="C71" s="42">
        <f>_xll.RssMarket("3854","高値")</f>
        <v>2206</v>
      </c>
      <c r="D71" s="41">
        <f t="shared" si="1"/>
        <v>0</v>
      </c>
      <c r="E71" s="32">
        <v>2206</v>
      </c>
      <c r="F71" s="32">
        <v>2221</v>
      </c>
      <c r="G71" s="32">
        <v>2261</v>
      </c>
      <c r="H71" s="32">
        <v>2320</v>
      </c>
      <c r="I71" s="32">
        <v>2414</v>
      </c>
      <c r="J71" s="32">
        <v>2465</v>
      </c>
      <c r="K71" s="32">
        <v>2524</v>
      </c>
      <c r="L71" s="32">
        <v>2550</v>
      </c>
      <c r="M71" s="32">
        <v>2588</v>
      </c>
      <c r="N71" s="32">
        <v>2653</v>
      </c>
      <c r="O71" s="32">
        <v>2640</v>
      </c>
      <c r="P71" s="32">
        <v>2635</v>
      </c>
      <c r="Q71" s="32">
        <v>2580</v>
      </c>
      <c r="R71" s="32">
        <v>2525</v>
      </c>
      <c r="S71" s="32">
        <v>2615</v>
      </c>
      <c r="T71" s="32">
        <v>2575</v>
      </c>
      <c r="U71" s="32">
        <v>2484</v>
      </c>
      <c r="V71" s="32">
        <v>2467</v>
      </c>
      <c r="W71" s="32">
        <v>2475</v>
      </c>
      <c r="X71" s="32">
        <v>2423</v>
      </c>
      <c r="Y71" s="32">
        <v>2359</v>
      </c>
      <c r="Z71" s="32">
        <v>2380</v>
      </c>
      <c r="AA71" s="32">
        <v>2396</v>
      </c>
      <c r="AB71" s="32">
        <v>2400</v>
      </c>
      <c r="AC71" s="32">
        <v>2434</v>
      </c>
      <c r="AD71" s="32">
        <v>2430</v>
      </c>
      <c r="AE71" s="32">
        <v>2384</v>
      </c>
      <c r="AF71" s="32">
        <v>2365</v>
      </c>
      <c r="AG71" s="32">
        <v>2397</v>
      </c>
      <c r="AH71" s="32">
        <v>2422</v>
      </c>
      <c r="AI71" s="32">
        <v>2422</v>
      </c>
      <c r="AJ71" s="32">
        <v>2427</v>
      </c>
      <c r="AK71" s="32">
        <v>2471</v>
      </c>
      <c r="AL71" s="32">
        <v>2476</v>
      </c>
      <c r="AM71" s="32">
        <v>2481</v>
      </c>
      <c r="AN71" s="32">
        <v>2460</v>
      </c>
      <c r="AO71" s="32">
        <v>2447</v>
      </c>
      <c r="AP71" s="32">
        <v>2471</v>
      </c>
      <c r="AQ71" s="32">
        <v>2428</v>
      </c>
      <c r="AR71" s="32">
        <v>2421</v>
      </c>
      <c r="AS71" s="32">
        <v>2360</v>
      </c>
      <c r="AT71" s="32">
        <v>2434</v>
      </c>
      <c r="AU71" s="32">
        <v>2432</v>
      </c>
      <c r="AV71" s="32">
        <v>2459</v>
      </c>
      <c r="AW71" s="32">
        <v>2438</v>
      </c>
      <c r="AX71" s="32">
        <v>2440</v>
      </c>
      <c r="AY71" s="32">
        <v>2409</v>
      </c>
      <c r="AZ71" s="32">
        <v>2431</v>
      </c>
      <c r="BA71" s="32">
        <v>2427</v>
      </c>
      <c r="BB71" s="32">
        <v>2421</v>
      </c>
      <c r="BC71" s="32">
        <v>2397</v>
      </c>
      <c r="BD71" s="32">
        <v>2427</v>
      </c>
      <c r="BE71" s="32">
        <v>2400</v>
      </c>
      <c r="BF71" s="32">
        <v>2437</v>
      </c>
      <c r="BG71" s="32">
        <v>2388</v>
      </c>
      <c r="BH71" s="32">
        <v>2348</v>
      </c>
      <c r="BI71" s="32">
        <v>2400</v>
      </c>
      <c r="BJ71" s="32">
        <v>2410</v>
      </c>
      <c r="BK71" s="32">
        <v>2431</v>
      </c>
      <c r="BL71" s="33">
        <v>2420</v>
      </c>
    </row>
    <row r="72" spans="1:64" ht="15.95" customHeight="1">
      <c r="A72" s="68" t="s">
        <v>329</v>
      </c>
      <c r="B72" s="28" t="s">
        <v>58</v>
      </c>
      <c r="C72" s="42">
        <f>_xll.RssMarket("6027","高値")</f>
        <v>2174</v>
      </c>
      <c r="D72" s="41">
        <f t="shared" si="1"/>
        <v>0</v>
      </c>
      <c r="E72" s="32">
        <v>2174</v>
      </c>
      <c r="F72" s="32">
        <v>2130</v>
      </c>
      <c r="G72" s="32">
        <v>2157</v>
      </c>
      <c r="H72" s="32">
        <v>2192</v>
      </c>
      <c r="I72" s="32">
        <v>2154</v>
      </c>
      <c r="J72" s="32">
        <v>2192</v>
      </c>
      <c r="K72" s="32">
        <v>2258</v>
      </c>
      <c r="L72" s="32">
        <v>2307</v>
      </c>
      <c r="M72" s="32">
        <v>2262</v>
      </c>
      <c r="N72" s="32">
        <v>2295</v>
      </c>
      <c r="O72" s="32">
        <v>2384</v>
      </c>
      <c r="P72" s="32">
        <v>2460</v>
      </c>
      <c r="Q72" s="32">
        <v>2461</v>
      </c>
      <c r="R72" s="32">
        <v>2501</v>
      </c>
      <c r="S72" s="32">
        <v>2578</v>
      </c>
      <c r="T72" s="32">
        <v>2590</v>
      </c>
      <c r="U72" s="32">
        <v>2615</v>
      </c>
      <c r="V72" s="32">
        <v>2766</v>
      </c>
      <c r="W72" s="32">
        <v>2836</v>
      </c>
      <c r="X72" s="32">
        <v>2798</v>
      </c>
      <c r="Y72" s="32">
        <v>2745</v>
      </c>
      <c r="Z72" s="32">
        <v>2777</v>
      </c>
      <c r="AA72" s="32">
        <v>2750</v>
      </c>
      <c r="AB72" s="32">
        <v>2726</v>
      </c>
      <c r="AC72" s="32">
        <v>2788</v>
      </c>
      <c r="AD72" s="32">
        <v>2758</v>
      </c>
      <c r="AE72" s="32">
        <v>2677</v>
      </c>
      <c r="AF72" s="32">
        <v>2528</v>
      </c>
      <c r="AG72" s="32">
        <v>2500</v>
      </c>
      <c r="AH72" s="32">
        <v>2499</v>
      </c>
      <c r="AI72" s="32">
        <v>2494</v>
      </c>
      <c r="AJ72" s="32">
        <v>2552</v>
      </c>
      <c r="AK72" s="32">
        <v>2617</v>
      </c>
      <c r="AL72" s="32">
        <v>2630</v>
      </c>
      <c r="AM72" s="32">
        <v>2609</v>
      </c>
      <c r="AN72" s="32">
        <v>2586</v>
      </c>
      <c r="AO72" s="32">
        <v>2653</v>
      </c>
      <c r="AP72" s="32">
        <v>2750</v>
      </c>
      <c r="AQ72" s="32">
        <v>2734</v>
      </c>
      <c r="AR72" s="32">
        <v>2625</v>
      </c>
      <c r="AS72" s="32">
        <v>2578</v>
      </c>
      <c r="AT72" s="32">
        <v>2795</v>
      </c>
      <c r="AU72" s="32">
        <v>2842</v>
      </c>
      <c r="AV72" s="32">
        <v>2958</v>
      </c>
      <c r="AW72" s="32">
        <v>2911</v>
      </c>
      <c r="AX72" s="32">
        <v>2885</v>
      </c>
      <c r="AY72" s="32">
        <v>2889</v>
      </c>
      <c r="AZ72" s="32">
        <v>2938</v>
      </c>
      <c r="BA72" s="32">
        <v>2955</v>
      </c>
      <c r="BB72" s="32">
        <v>2873</v>
      </c>
      <c r="BC72" s="32">
        <v>2845</v>
      </c>
      <c r="BD72" s="32">
        <v>2987</v>
      </c>
      <c r="BE72" s="32">
        <v>2904</v>
      </c>
      <c r="BF72" s="32">
        <v>2889</v>
      </c>
      <c r="BG72" s="32">
        <v>2860</v>
      </c>
      <c r="BH72" s="32">
        <v>2790</v>
      </c>
      <c r="BI72" s="32">
        <v>2850</v>
      </c>
      <c r="BJ72" s="32">
        <v>2850</v>
      </c>
      <c r="BK72" s="32">
        <v>2813</v>
      </c>
      <c r="BL72" s="33">
        <v>2820</v>
      </c>
    </row>
    <row r="73" spans="1:64" ht="15.95" customHeight="1">
      <c r="A73" s="68" t="s">
        <v>330</v>
      </c>
      <c r="B73" s="28" t="s">
        <v>59</v>
      </c>
      <c r="C73" s="42">
        <f>_xll.RssMarket("7806","高値")</f>
        <v>7410</v>
      </c>
      <c r="D73" s="41">
        <f t="shared" si="1"/>
        <v>0</v>
      </c>
      <c r="E73" s="32">
        <v>7410</v>
      </c>
      <c r="F73" s="32">
        <v>7260</v>
      </c>
      <c r="G73" s="32">
        <v>7110</v>
      </c>
      <c r="H73" s="32">
        <v>7350</v>
      </c>
      <c r="I73" s="32">
        <v>7200</v>
      </c>
      <c r="J73" s="32">
        <v>7140</v>
      </c>
      <c r="K73" s="32">
        <v>6860</v>
      </c>
      <c r="L73" s="32">
        <v>7020</v>
      </c>
      <c r="M73" s="32">
        <v>7170</v>
      </c>
      <c r="N73" s="32">
        <v>7260</v>
      </c>
      <c r="O73" s="32">
        <v>7500</v>
      </c>
      <c r="P73" s="32">
        <v>7600</v>
      </c>
      <c r="Q73" s="32">
        <v>7490</v>
      </c>
      <c r="R73" s="32">
        <v>7310</v>
      </c>
      <c r="S73" s="32">
        <v>6390</v>
      </c>
      <c r="T73" s="32">
        <v>6420</v>
      </c>
      <c r="U73" s="32">
        <v>6560</v>
      </c>
      <c r="V73" s="32">
        <v>6790</v>
      </c>
      <c r="W73" s="32">
        <v>6650</v>
      </c>
      <c r="X73" s="32">
        <v>6720</v>
      </c>
      <c r="Y73" s="32">
        <v>7200</v>
      </c>
      <c r="Z73" s="32">
        <v>7310</v>
      </c>
      <c r="AA73" s="32">
        <v>6930</v>
      </c>
      <c r="AB73" s="32">
        <v>6820</v>
      </c>
      <c r="AC73" s="32">
        <v>6530</v>
      </c>
      <c r="AD73" s="32">
        <v>6400</v>
      </c>
      <c r="AE73" s="32">
        <v>6360</v>
      </c>
      <c r="AF73" s="32">
        <v>6120</v>
      </c>
      <c r="AG73" s="32">
        <v>5890</v>
      </c>
      <c r="AH73" s="32">
        <v>5990</v>
      </c>
      <c r="AI73" s="32">
        <v>6210</v>
      </c>
      <c r="AJ73" s="32">
        <v>6380</v>
      </c>
      <c r="AK73" s="32">
        <v>6600</v>
      </c>
      <c r="AL73" s="32">
        <v>6600</v>
      </c>
      <c r="AM73" s="32">
        <v>6700</v>
      </c>
      <c r="AN73" s="32">
        <v>6700</v>
      </c>
      <c r="AO73" s="32">
        <v>6620</v>
      </c>
      <c r="AP73" s="32">
        <v>6490</v>
      </c>
      <c r="AQ73" s="32">
        <v>6580</v>
      </c>
      <c r="AR73" s="32">
        <v>6350</v>
      </c>
      <c r="AS73" s="32">
        <v>6180</v>
      </c>
      <c r="AT73" s="32">
        <v>6100</v>
      </c>
      <c r="AU73" s="32">
        <v>6220</v>
      </c>
      <c r="AV73" s="32">
        <v>6350</v>
      </c>
      <c r="AW73" s="32">
        <v>6200</v>
      </c>
      <c r="AX73" s="32">
        <v>6320</v>
      </c>
      <c r="AY73" s="32">
        <v>6490</v>
      </c>
      <c r="AZ73" s="32">
        <v>6490</v>
      </c>
      <c r="BA73" s="32">
        <v>6380</v>
      </c>
      <c r="BB73" s="32">
        <v>6360</v>
      </c>
      <c r="BC73" s="32">
        <v>6280</v>
      </c>
      <c r="BD73" s="32">
        <v>6500</v>
      </c>
      <c r="BE73" s="32">
        <v>6220</v>
      </c>
      <c r="BF73" s="32">
        <v>6190</v>
      </c>
      <c r="BG73" s="32">
        <v>5980</v>
      </c>
      <c r="BH73" s="32">
        <v>6030</v>
      </c>
      <c r="BI73" s="32">
        <v>6380</v>
      </c>
      <c r="BJ73" s="32">
        <v>6410</v>
      </c>
      <c r="BK73" s="32">
        <v>6290</v>
      </c>
      <c r="BL73" s="33">
        <v>6330</v>
      </c>
    </row>
    <row r="74" spans="1:64" ht="15.95" customHeight="1">
      <c r="A74" s="68" t="s">
        <v>331</v>
      </c>
      <c r="B74" s="28" t="s">
        <v>60</v>
      </c>
      <c r="C74" s="42">
        <f>_xll.RssMarket("9202","高値")</f>
        <v>3076</v>
      </c>
      <c r="D74" s="41">
        <f t="shared" si="1"/>
        <v>0</v>
      </c>
      <c r="E74" s="32">
        <v>3076</v>
      </c>
      <c r="F74" s="32">
        <v>3043</v>
      </c>
      <c r="G74" s="32">
        <v>3013</v>
      </c>
      <c r="H74" s="32">
        <v>2842</v>
      </c>
      <c r="I74" s="32">
        <v>2810</v>
      </c>
      <c r="J74" s="32">
        <v>2823</v>
      </c>
      <c r="K74" s="32">
        <v>2868.5</v>
      </c>
      <c r="L74" s="32">
        <v>2858</v>
      </c>
      <c r="M74" s="32">
        <v>2837</v>
      </c>
      <c r="N74" s="32">
        <v>2850</v>
      </c>
      <c r="O74" s="32">
        <v>2891</v>
      </c>
      <c r="P74" s="32">
        <v>3022</v>
      </c>
      <c r="Q74" s="32">
        <v>2921</v>
      </c>
      <c r="R74" s="32">
        <v>2892</v>
      </c>
      <c r="S74" s="32">
        <v>2883</v>
      </c>
      <c r="T74" s="32">
        <v>2804.5</v>
      </c>
      <c r="U74" s="32">
        <v>2796</v>
      </c>
      <c r="V74" s="32">
        <v>2759</v>
      </c>
      <c r="W74" s="32">
        <v>2762.5</v>
      </c>
      <c r="X74" s="32">
        <v>2779</v>
      </c>
      <c r="Y74" s="32">
        <v>2772</v>
      </c>
      <c r="Z74" s="32">
        <v>2793.5</v>
      </c>
      <c r="AA74" s="32">
        <v>2821</v>
      </c>
      <c r="AB74" s="32">
        <v>2817.5</v>
      </c>
      <c r="AC74" s="32">
        <v>2851.5</v>
      </c>
      <c r="AD74" s="32">
        <v>2876</v>
      </c>
      <c r="AE74" s="32">
        <v>2853</v>
      </c>
      <c r="AF74" s="32">
        <v>2720</v>
      </c>
      <c r="AG74" s="32">
        <v>2651</v>
      </c>
      <c r="AH74" s="32">
        <v>2646.5</v>
      </c>
      <c r="AI74" s="32">
        <v>2700.5</v>
      </c>
      <c r="AJ74" s="32">
        <v>2729.5</v>
      </c>
      <c r="AK74" s="32">
        <v>2805</v>
      </c>
      <c r="AL74" s="32">
        <v>2847.5</v>
      </c>
      <c r="AM74" s="32">
        <v>2881</v>
      </c>
      <c r="AN74" s="32">
        <v>2884.5</v>
      </c>
      <c r="AO74" s="32">
        <v>2861</v>
      </c>
      <c r="AP74" s="32">
        <v>2899.5</v>
      </c>
      <c r="AQ74" s="32">
        <v>2898</v>
      </c>
      <c r="AR74" s="32">
        <v>2882.5</v>
      </c>
      <c r="AS74" s="32">
        <v>2891</v>
      </c>
      <c r="AT74" s="32">
        <v>2909</v>
      </c>
      <c r="AU74" s="32">
        <v>2964.5</v>
      </c>
      <c r="AV74" s="32">
        <v>3008</v>
      </c>
      <c r="AW74" s="32">
        <v>2939.5</v>
      </c>
      <c r="AX74" s="32">
        <v>2954</v>
      </c>
      <c r="AY74" s="32">
        <v>2943</v>
      </c>
      <c r="AZ74" s="32">
        <v>2976</v>
      </c>
      <c r="BA74" s="32">
        <v>2910.5</v>
      </c>
      <c r="BB74" s="32">
        <v>2867</v>
      </c>
      <c r="BC74" s="32">
        <v>2873</v>
      </c>
      <c r="BD74" s="32">
        <v>3007</v>
      </c>
      <c r="BE74" s="32">
        <v>2990</v>
      </c>
      <c r="BF74" s="32">
        <v>2991</v>
      </c>
      <c r="BG74" s="32">
        <v>2951</v>
      </c>
      <c r="BH74" s="32">
        <v>2891.5</v>
      </c>
      <c r="BI74" s="32">
        <v>2989</v>
      </c>
      <c r="BJ74" s="32">
        <v>3030</v>
      </c>
      <c r="BK74" s="32">
        <v>2968.5</v>
      </c>
      <c r="BL74" s="33">
        <v>2950</v>
      </c>
    </row>
    <row r="75" spans="1:64" ht="15.95" customHeight="1">
      <c r="A75" s="68" t="s">
        <v>332</v>
      </c>
      <c r="B75" s="28" t="s">
        <v>61</v>
      </c>
      <c r="C75" s="42">
        <f>_xll.RssMarket("7846","高値")</f>
        <v>5009</v>
      </c>
      <c r="D75" s="41">
        <f t="shared" si="1"/>
        <v>0</v>
      </c>
      <c r="E75" s="32">
        <v>5009</v>
      </c>
      <c r="F75" s="32">
        <v>4973</v>
      </c>
      <c r="G75" s="32">
        <v>4946</v>
      </c>
      <c r="H75" s="32">
        <v>4914</v>
      </c>
      <c r="I75" s="32">
        <v>4963</v>
      </c>
      <c r="J75" s="32">
        <v>4955</v>
      </c>
      <c r="K75" s="32">
        <v>4907</v>
      </c>
      <c r="L75" s="32">
        <v>4868</v>
      </c>
      <c r="M75" s="32">
        <v>4940</v>
      </c>
      <c r="N75" s="32">
        <v>4884</v>
      </c>
      <c r="O75" s="32">
        <v>4994</v>
      </c>
      <c r="P75" s="32">
        <v>4947</v>
      </c>
      <c r="Q75" s="32">
        <v>4938</v>
      </c>
      <c r="R75" s="32">
        <v>4948</v>
      </c>
      <c r="S75" s="32">
        <v>4968</v>
      </c>
      <c r="T75" s="32">
        <v>4981</v>
      </c>
      <c r="U75" s="32">
        <v>4879</v>
      </c>
      <c r="V75" s="32">
        <v>4803</v>
      </c>
      <c r="W75" s="32">
        <v>4673</v>
      </c>
      <c r="X75" s="32">
        <v>4664</v>
      </c>
      <c r="Y75" s="32">
        <v>4586</v>
      </c>
      <c r="Z75" s="32">
        <v>4569</v>
      </c>
      <c r="AA75" s="32">
        <v>4674</v>
      </c>
      <c r="AB75" s="32">
        <v>4823</v>
      </c>
      <c r="AC75" s="32">
        <v>4832</v>
      </c>
      <c r="AD75" s="32">
        <v>4891</v>
      </c>
      <c r="AE75" s="32">
        <v>4818</v>
      </c>
      <c r="AF75" s="32">
        <v>4816</v>
      </c>
      <c r="AG75" s="32">
        <v>4843</v>
      </c>
      <c r="AH75" s="32">
        <v>4827</v>
      </c>
      <c r="AI75" s="32">
        <v>4847</v>
      </c>
      <c r="AJ75" s="32">
        <v>4812</v>
      </c>
      <c r="AK75" s="32">
        <v>4836</v>
      </c>
      <c r="AL75" s="32">
        <v>4830</v>
      </c>
      <c r="AM75" s="32">
        <v>4870</v>
      </c>
      <c r="AN75" s="32">
        <v>4865</v>
      </c>
      <c r="AO75" s="32">
        <v>4893</v>
      </c>
      <c r="AP75" s="32">
        <v>4869</v>
      </c>
      <c r="AQ75" s="32">
        <v>4890</v>
      </c>
      <c r="AR75" s="32">
        <v>4912</v>
      </c>
      <c r="AS75" s="32">
        <v>4990</v>
      </c>
      <c r="AT75" s="32">
        <v>5020</v>
      </c>
      <c r="AU75" s="32">
        <v>4980</v>
      </c>
      <c r="AV75" s="32">
        <v>4956</v>
      </c>
      <c r="AW75" s="32">
        <v>4913</v>
      </c>
      <c r="AX75" s="32">
        <v>4869</v>
      </c>
      <c r="AY75" s="32">
        <v>4936</v>
      </c>
      <c r="AZ75" s="32">
        <v>4883</v>
      </c>
      <c r="BA75" s="32">
        <v>4715</v>
      </c>
      <c r="BB75" s="32">
        <v>4717</v>
      </c>
      <c r="BC75" s="32">
        <v>4815</v>
      </c>
      <c r="BD75" s="32">
        <v>4836</v>
      </c>
      <c r="BE75" s="32">
        <v>4815</v>
      </c>
      <c r="BF75" s="32">
        <v>4743</v>
      </c>
      <c r="BG75" s="32">
        <v>4608</v>
      </c>
      <c r="BH75" s="32">
        <v>4661</v>
      </c>
      <c r="BI75" s="32">
        <v>4618</v>
      </c>
      <c r="BJ75" s="32">
        <v>4566</v>
      </c>
      <c r="BK75" s="32">
        <v>4530</v>
      </c>
      <c r="BL75" s="33">
        <v>4573</v>
      </c>
    </row>
    <row r="76" spans="1:64" ht="15.95" customHeight="1">
      <c r="A76" s="68" t="s">
        <v>333</v>
      </c>
      <c r="B76" s="28" t="s">
        <v>53</v>
      </c>
      <c r="C76" s="42">
        <f>_xll.RssMarket("2802","高値")</f>
        <v>5350</v>
      </c>
      <c r="D76" s="41">
        <f t="shared" si="1"/>
        <v>0</v>
      </c>
      <c r="E76" s="32">
        <v>5350</v>
      </c>
      <c r="F76" s="32">
        <v>5175</v>
      </c>
      <c r="G76" s="32">
        <v>5501</v>
      </c>
      <c r="H76" s="32">
        <v>5257</v>
      </c>
      <c r="I76" s="32">
        <v>5203</v>
      </c>
      <c r="J76" s="32">
        <v>4865</v>
      </c>
      <c r="K76" s="32">
        <v>4907</v>
      </c>
      <c r="L76" s="32">
        <v>5070</v>
      </c>
      <c r="M76" s="32">
        <v>5194</v>
      </c>
      <c r="N76" s="32">
        <v>5298</v>
      </c>
      <c r="O76" s="32">
        <v>5351</v>
      </c>
      <c r="P76" s="32">
        <v>5204</v>
      </c>
      <c r="Q76" s="32">
        <v>5275</v>
      </c>
      <c r="R76" s="32">
        <v>5425</v>
      </c>
      <c r="S76" s="32">
        <v>5505</v>
      </c>
      <c r="T76" s="32">
        <v>5332</v>
      </c>
      <c r="U76" s="32">
        <v>5328</v>
      </c>
      <c r="V76" s="32">
        <v>5296</v>
      </c>
      <c r="W76" s="32">
        <v>5330</v>
      </c>
      <c r="X76" s="32">
        <v>5311</v>
      </c>
      <c r="Y76" s="32">
        <v>5580</v>
      </c>
      <c r="Z76" s="32">
        <v>5716</v>
      </c>
      <c r="AA76" s="32">
        <v>5590</v>
      </c>
      <c r="AB76" s="32">
        <v>5739</v>
      </c>
      <c r="AC76" s="32">
        <v>5652</v>
      </c>
      <c r="AD76" s="32">
        <v>5030</v>
      </c>
      <c r="AE76" s="32">
        <v>5070</v>
      </c>
      <c r="AF76" s="32">
        <v>4936</v>
      </c>
      <c r="AG76" s="32">
        <v>5090</v>
      </c>
      <c r="AH76" s="32">
        <v>4813</v>
      </c>
      <c r="AI76" s="32">
        <v>4823</v>
      </c>
      <c r="AJ76" s="32">
        <v>4877</v>
      </c>
      <c r="AK76" s="32">
        <v>4672</v>
      </c>
      <c r="AL76" s="32">
        <v>4715</v>
      </c>
      <c r="AM76" s="32">
        <v>4730</v>
      </c>
      <c r="AN76" s="32">
        <v>4640</v>
      </c>
      <c r="AO76" s="32">
        <v>4682</v>
      </c>
      <c r="AP76" s="32">
        <v>4712</v>
      </c>
      <c r="AQ76" s="32">
        <v>4683</v>
      </c>
      <c r="AR76" s="32">
        <v>4692</v>
      </c>
      <c r="AS76" s="32">
        <v>4655</v>
      </c>
      <c r="AT76" s="32">
        <v>4724</v>
      </c>
      <c r="AU76" s="32">
        <v>4811</v>
      </c>
      <c r="AV76" s="32">
        <v>4814</v>
      </c>
      <c r="AW76" s="32">
        <v>4674</v>
      </c>
      <c r="AX76" s="32">
        <v>4697</v>
      </c>
      <c r="AY76" s="32">
        <v>4714</v>
      </c>
      <c r="AZ76" s="32">
        <v>4683</v>
      </c>
      <c r="BA76" s="32">
        <v>4622</v>
      </c>
      <c r="BB76" s="32">
        <v>4562</v>
      </c>
      <c r="BC76" s="32">
        <v>4447</v>
      </c>
      <c r="BD76" s="32">
        <v>4549</v>
      </c>
      <c r="BE76" s="32">
        <v>4517</v>
      </c>
      <c r="BF76" s="32">
        <v>4481</v>
      </c>
      <c r="BG76" s="32">
        <v>4317</v>
      </c>
      <c r="BH76" s="32">
        <v>4243</v>
      </c>
      <c r="BI76" s="32">
        <v>4445</v>
      </c>
      <c r="BJ76" s="32">
        <v>4577</v>
      </c>
      <c r="BK76" s="32">
        <v>4554</v>
      </c>
      <c r="BL76" s="33">
        <v>4478</v>
      </c>
    </row>
    <row r="77" spans="1:64" ht="15.95" customHeight="1">
      <c r="A77" s="68" t="s">
        <v>334</v>
      </c>
      <c r="B77" s="28" t="s">
        <v>62</v>
      </c>
      <c r="C77" s="42">
        <f>_xll.RssMarket("7203","高値")</f>
        <v>2863.5</v>
      </c>
      <c r="D77" s="41">
        <f t="shared" si="1"/>
        <v>0</v>
      </c>
      <c r="E77" s="32">
        <v>2863.5</v>
      </c>
      <c r="F77" s="32">
        <v>2894</v>
      </c>
      <c r="G77" s="32">
        <v>2934.5</v>
      </c>
      <c r="H77" s="32">
        <v>2798.5</v>
      </c>
      <c r="I77" s="32">
        <v>2782.5</v>
      </c>
      <c r="J77" s="32">
        <v>2840.5</v>
      </c>
      <c r="K77" s="32">
        <v>2862</v>
      </c>
      <c r="L77" s="32">
        <v>2885.5</v>
      </c>
      <c r="M77" s="32">
        <v>2879.5</v>
      </c>
      <c r="N77" s="32">
        <v>2920</v>
      </c>
      <c r="O77" s="32">
        <v>2863.5</v>
      </c>
      <c r="P77" s="32">
        <v>3082</v>
      </c>
      <c r="Q77" s="32">
        <v>3072</v>
      </c>
      <c r="R77" s="32">
        <v>3039</v>
      </c>
      <c r="S77" s="32">
        <v>3108</v>
      </c>
      <c r="T77" s="32">
        <v>3022</v>
      </c>
      <c r="U77" s="32">
        <v>3027</v>
      </c>
      <c r="V77" s="32">
        <v>2979</v>
      </c>
      <c r="W77" s="32">
        <v>3013</v>
      </c>
      <c r="X77" s="32">
        <v>3086</v>
      </c>
      <c r="Y77" s="32">
        <v>3010</v>
      </c>
      <c r="Z77" s="32">
        <v>2945</v>
      </c>
      <c r="AA77" s="32">
        <v>2886.5</v>
      </c>
      <c r="AB77" s="32">
        <v>2888</v>
      </c>
      <c r="AC77" s="32">
        <v>3088</v>
      </c>
      <c r="AD77" s="32">
        <v>3047</v>
      </c>
      <c r="AE77" s="32">
        <v>3022</v>
      </c>
      <c r="AF77" s="32">
        <v>3071</v>
      </c>
      <c r="AG77" s="32">
        <v>3135</v>
      </c>
      <c r="AH77" s="32">
        <v>3133</v>
      </c>
      <c r="AI77" s="32">
        <v>3205</v>
      </c>
      <c r="AJ77" s="32">
        <v>3235</v>
      </c>
      <c r="AK77" s="32">
        <v>3356</v>
      </c>
      <c r="AL77" s="32">
        <v>3413</v>
      </c>
      <c r="AM77" s="32">
        <v>3400</v>
      </c>
      <c r="AN77" s="32">
        <v>3468</v>
      </c>
      <c r="AO77" s="32">
        <v>3386</v>
      </c>
      <c r="AP77" s="32">
        <v>3355</v>
      </c>
      <c r="AQ77" s="32">
        <v>3337</v>
      </c>
      <c r="AR77" s="32">
        <v>3363</v>
      </c>
      <c r="AS77" s="32">
        <v>3399</v>
      </c>
      <c r="AT77" s="32">
        <v>3418</v>
      </c>
      <c r="AU77" s="32">
        <v>3264</v>
      </c>
      <c r="AV77" s="32">
        <v>3297</v>
      </c>
      <c r="AW77" s="32">
        <v>3316</v>
      </c>
      <c r="AX77" s="32">
        <v>3384</v>
      </c>
      <c r="AY77" s="32">
        <v>3311</v>
      </c>
      <c r="AZ77" s="32">
        <v>3252</v>
      </c>
      <c r="BA77" s="32">
        <v>3237</v>
      </c>
      <c r="BB77" s="32">
        <v>3434</v>
      </c>
      <c r="BC77" s="32">
        <v>3388</v>
      </c>
      <c r="BD77" s="32">
        <v>3420</v>
      </c>
      <c r="BE77" s="32">
        <v>3336</v>
      </c>
      <c r="BF77" s="32">
        <v>3280</v>
      </c>
      <c r="BG77" s="32">
        <v>3374</v>
      </c>
      <c r="BH77" s="32">
        <v>3424</v>
      </c>
      <c r="BI77" s="32">
        <v>3394</v>
      </c>
      <c r="BJ77" s="32">
        <v>3380</v>
      </c>
      <c r="BK77" s="32">
        <v>3432</v>
      </c>
      <c r="BL77" s="33">
        <v>3511</v>
      </c>
    </row>
    <row r="78" spans="1:64" ht="15.95" customHeight="1">
      <c r="A78" s="68" t="s">
        <v>335</v>
      </c>
      <c r="B78" s="28" t="s">
        <v>63</v>
      </c>
      <c r="C78" s="42">
        <f>_xll.RssMarket("6954","高値")</f>
        <v>7515</v>
      </c>
      <c r="D78" s="41">
        <f t="shared" si="1"/>
        <v>0</v>
      </c>
      <c r="E78" s="32">
        <v>7515</v>
      </c>
      <c r="F78" s="32">
        <v>7490</v>
      </c>
      <c r="G78" s="32">
        <v>7353</v>
      </c>
      <c r="H78" s="32">
        <v>7122</v>
      </c>
      <c r="I78" s="32">
        <v>6778</v>
      </c>
      <c r="J78" s="32">
        <v>6997</v>
      </c>
      <c r="K78" s="32">
        <v>7248</v>
      </c>
      <c r="L78" s="32">
        <v>7690</v>
      </c>
      <c r="M78" s="32">
        <v>7922</v>
      </c>
      <c r="N78" s="32">
        <v>8080</v>
      </c>
      <c r="O78" s="32">
        <v>8010</v>
      </c>
      <c r="P78" s="32">
        <v>8149</v>
      </c>
      <c r="Q78" s="32">
        <v>8100</v>
      </c>
      <c r="R78" s="32">
        <v>8703</v>
      </c>
      <c r="S78" s="32">
        <v>8562</v>
      </c>
      <c r="T78" s="32">
        <v>8278</v>
      </c>
      <c r="U78" s="32">
        <v>7741</v>
      </c>
      <c r="V78" s="32">
        <v>7650</v>
      </c>
      <c r="W78" s="32">
        <v>8015</v>
      </c>
      <c r="X78" s="32">
        <v>8439</v>
      </c>
      <c r="Y78" s="32">
        <v>8720</v>
      </c>
      <c r="Z78" s="32">
        <v>8880</v>
      </c>
      <c r="AA78" s="32">
        <v>7680</v>
      </c>
      <c r="AB78" s="32">
        <v>7852</v>
      </c>
      <c r="AC78" s="32">
        <v>7639</v>
      </c>
      <c r="AD78" s="32">
        <v>7654</v>
      </c>
      <c r="AE78" s="32">
        <v>7300</v>
      </c>
      <c r="AF78" s="32">
        <v>6918</v>
      </c>
      <c r="AG78" s="32">
        <v>6957</v>
      </c>
      <c r="AH78" s="32">
        <v>7270</v>
      </c>
      <c r="AI78" s="32">
        <v>7256</v>
      </c>
      <c r="AJ78" s="32">
        <v>6367</v>
      </c>
      <c r="AK78" s="32">
        <v>6467</v>
      </c>
      <c r="AL78" s="32">
        <v>6552</v>
      </c>
      <c r="AM78" s="32">
        <v>6575</v>
      </c>
      <c r="AN78" s="32">
        <v>6564</v>
      </c>
      <c r="AO78" s="32">
        <v>6331</v>
      </c>
      <c r="AP78" s="32">
        <v>6364</v>
      </c>
      <c r="AQ78" s="32">
        <v>6280</v>
      </c>
      <c r="AR78" s="32">
        <v>6301</v>
      </c>
      <c r="AS78" s="32">
        <v>6271</v>
      </c>
      <c r="AT78" s="32">
        <v>6303</v>
      </c>
      <c r="AU78" s="32">
        <v>6029</v>
      </c>
      <c r="AV78" s="32">
        <v>5924</v>
      </c>
      <c r="AW78" s="32">
        <v>5525</v>
      </c>
      <c r="AX78" s="32">
        <v>5576</v>
      </c>
      <c r="AY78" s="32">
        <v>5571</v>
      </c>
      <c r="AZ78" s="32">
        <v>5802</v>
      </c>
      <c r="BA78" s="32">
        <v>5732</v>
      </c>
      <c r="BB78" s="32">
        <v>5493</v>
      </c>
      <c r="BC78" s="32">
        <v>5486</v>
      </c>
      <c r="BD78" s="32">
        <v>5788</v>
      </c>
      <c r="BE78" s="32">
        <v>5961</v>
      </c>
      <c r="BF78" s="32">
        <v>5993</v>
      </c>
      <c r="BG78" s="32">
        <v>5854</v>
      </c>
      <c r="BH78" s="32">
        <v>5694</v>
      </c>
      <c r="BI78" s="32">
        <v>6005</v>
      </c>
      <c r="BJ78" s="32">
        <v>6180</v>
      </c>
      <c r="BK78" s="32">
        <v>6124</v>
      </c>
      <c r="BL78" s="33">
        <v>6066</v>
      </c>
    </row>
    <row r="79" spans="1:64" ht="15.95" customHeight="1">
      <c r="A79" s="68" t="s">
        <v>336</v>
      </c>
      <c r="B79" s="28" t="s">
        <v>64</v>
      </c>
      <c r="C79" s="42">
        <f>_xll.RssMarket("6479","高値")</f>
        <v>4720</v>
      </c>
      <c r="D79" s="41">
        <f t="shared" si="1"/>
        <v>0</v>
      </c>
      <c r="E79" s="32">
        <v>4720</v>
      </c>
      <c r="F79" s="32">
        <v>4723</v>
      </c>
      <c r="G79" s="32">
        <v>4532</v>
      </c>
      <c r="H79" s="32">
        <v>4477</v>
      </c>
      <c r="I79" s="32">
        <v>4338</v>
      </c>
      <c r="J79" s="32">
        <v>4640</v>
      </c>
      <c r="K79" s="32">
        <v>4733</v>
      </c>
      <c r="L79" s="32">
        <v>5088</v>
      </c>
      <c r="M79" s="32">
        <v>5005</v>
      </c>
      <c r="N79" s="32">
        <v>4967</v>
      </c>
      <c r="O79" s="32">
        <v>4740</v>
      </c>
      <c r="P79" s="32">
        <v>4617</v>
      </c>
      <c r="Q79" s="32">
        <v>4328</v>
      </c>
      <c r="R79" s="32">
        <v>4393</v>
      </c>
      <c r="S79" s="32">
        <v>4246</v>
      </c>
      <c r="T79" s="32">
        <v>4057</v>
      </c>
      <c r="U79" s="32">
        <v>3944</v>
      </c>
      <c r="V79" s="32">
        <v>3898</v>
      </c>
      <c r="W79" s="32">
        <v>3882</v>
      </c>
      <c r="X79" s="32">
        <v>3990</v>
      </c>
      <c r="Y79" s="32">
        <v>4087</v>
      </c>
      <c r="Z79" s="32">
        <v>4088</v>
      </c>
      <c r="AA79" s="32">
        <v>3915</v>
      </c>
      <c r="AB79" s="32">
        <v>3604</v>
      </c>
      <c r="AC79" s="32">
        <v>3458</v>
      </c>
      <c r="AD79" s="32">
        <v>3384</v>
      </c>
      <c r="AE79" s="32">
        <v>3319</v>
      </c>
      <c r="AF79" s="32">
        <v>3152</v>
      </c>
      <c r="AG79" s="32">
        <v>3150</v>
      </c>
      <c r="AH79" s="32">
        <v>3124</v>
      </c>
      <c r="AI79" s="32">
        <v>3150</v>
      </c>
      <c r="AJ79" s="32">
        <v>3100</v>
      </c>
      <c r="AK79" s="32">
        <v>3130</v>
      </c>
      <c r="AL79" s="32">
        <v>3149</v>
      </c>
      <c r="AM79" s="32">
        <v>3135</v>
      </c>
      <c r="AN79" s="32">
        <v>3120</v>
      </c>
      <c r="AO79" s="32">
        <v>3009</v>
      </c>
      <c r="AP79" s="32">
        <v>3033</v>
      </c>
      <c r="AQ79" s="32">
        <v>2898.5</v>
      </c>
      <c r="AR79" s="32">
        <v>2918.5</v>
      </c>
      <c r="AS79" s="32">
        <v>2905.5</v>
      </c>
      <c r="AT79" s="32">
        <v>2883</v>
      </c>
      <c r="AU79" s="32">
        <v>2784.5</v>
      </c>
      <c r="AV79" s="32">
        <v>2797</v>
      </c>
      <c r="AW79" s="32">
        <v>2647.5</v>
      </c>
      <c r="AX79" s="32">
        <v>2633.5</v>
      </c>
      <c r="AY79" s="32">
        <v>2631.5</v>
      </c>
      <c r="AZ79" s="32">
        <v>2714.5</v>
      </c>
      <c r="BA79" s="32">
        <v>2685</v>
      </c>
      <c r="BB79" s="32">
        <v>2618.5</v>
      </c>
      <c r="BC79" s="32">
        <v>2615.5</v>
      </c>
      <c r="BD79" s="32">
        <v>2727</v>
      </c>
      <c r="BE79" s="32">
        <v>2773.5</v>
      </c>
      <c r="BF79" s="32">
        <v>2732</v>
      </c>
      <c r="BG79" s="32">
        <v>2660.5</v>
      </c>
      <c r="BH79" s="32">
        <v>2578</v>
      </c>
      <c r="BI79" s="32">
        <v>2740</v>
      </c>
      <c r="BJ79" s="32">
        <v>2805</v>
      </c>
      <c r="BK79" s="32">
        <v>2760.5</v>
      </c>
      <c r="BL79" s="33">
        <v>2760</v>
      </c>
    </row>
    <row r="80" spans="1:64" ht="15.95" customHeight="1">
      <c r="A80" s="68" t="s">
        <v>337</v>
      </c>
      <c r="B80" s="28" t="s">
        <v>65</v>
      </c>
      <c r="C80" s="42">
        <f>_xll.RssMarket("1833","高値")</f>
        <v>5790</v>
      </c>
      <c r="D80" s="41">
        <f t="shared" si="1"/>
        <v>0</v>
      </c>
      <c r="E80" s="32">
        <v>5790</v>
      </c>
      <c r="F80" s="32">
        <v>5870</v>
      </c>
      <c r="G80" s="32">
        <v>5700</v>
      </c>
      <c r="H80" s="32">
        <v>5590</v>
      </c>
      <c r="I80" s="32">
        <v>5580</v>
      </c>
      <c r="J80" s="32">
        <v>5560</v>
      </c>
      <c r="K80" s="32">
        <v>5630</v>
      </c>
      <c r="L80" s="32">
        <v>5560</v>
      </c>
      <c r="M80" s="32">
        <v>5600</v>
      </c>
      <c r="N80" s="32">
        <v>5570</v>
      </c>
      <c r="O80" s="32">
        <v>5630</v>
      </c>
      <c r="P80" s="32">
        <v>5660</v>
      </c>
      <c r="Q80" s="32">
        <v>5620</v>
      </c>
      <c r="R80" s="32">
        <v>5610</v>
      </c>
      <c r="S80" s="32">
        <v>5700</v>
      </c>
      <c r="T80" s="32">
        <v>5730</v>
      </c>
      <c r="U80" s="32">
        <v>5820</v>
      </c>
      <c r="V80" s="32">
        <v>5790</v>
      </c>
      <c r="W80" s="32">
        <v>6070</v>
      </c>
      <c r="X80" s="32">
        <v>6160</v>
      </c>
      <c r="Y80" s="32">
        <v>6340</v>
      </c>
      <c r="Z80" s="32">
        <v>6400</v>
      </c>
      <c r="AA80" s="32">
        <v>6280</v>
      </c>
      <c r="AB80" s="32">
        <v>6180</v>
      </c>
      <c r="AC80" s="32">
        <v>6290</v>
      </c>
      <c r="AD80" s="32">
        <v>6180</v>
      </c>
      <c r="AE80" s="32">
        <v>6160</v>
      </c>
      <c r="AF80" s="32">
        <v>6140</v>
      </c>
      <c r="AG80" s="32">
        <v>6010</v>
      </c>
      <c r="AH80" s="32">
        <v>6150</v>
      </c>
      <c r="AI80" s="32">
        <v>6090</v>
      </c>
      <c r="AJ80" s="32">
        <v>6090</v>
      </c>
      <c r="AK80" s="32">
        <v>6150</v>
      </c>
      <c r="AL80" s="32">
        <v>6170</v>
      </c>
      <c r="AM80" s="32">
        <v>6210</v>
      </c>
      <c r="AN80" s="32">
        <v>6270</v>
      </c>
      <c r="AO80" s="32">
        <v>6340</v>
      </c>
      <c r="AP80" s="32">
        <v>6290</v>
      </c>
      <c r="AQ80" s="32">
        <v>6360</v>
      </c>
      <c r="AR80" s="32">
        <v>6440</v>
      </c>
      <c r="AS80" s="32">
        <v>6550</v>
      </c>
      <c r="AT80" s="32">
        <v>6540</v>
      </c>
      <c r="AU80" s="32">
        <v>6420</v>
      </c>
      <c r="AV80" s="32">
        <v>6470</v>
      </c>
      <c r="AW80" s="32">
        <v>6530</v>
      </c>
      <c r="AX80" s="32">
        <v>6640</v>
      </c>
      <c r="AY80" s="32">
        <v>6560</v>
      </c>
      <c r="AZ80" s="32">
        <v>6390</v>
      </c>
      <c r="BA80" s="32">
        <v>6360</v>
      </c>
      <c r="BB80" s="32">
        <v>6570</v>
      </c>
      <c r="BC80" s="32">
        <v>6680</v>
      </c>
      <c r="BD80" s="32">
        <v>6700</v>
      </c>
      <c r="BE80" s="32">
        <v>6510</v>
      </c>
      <c r="BF80" s="32">
        <v>6410</v>
      </c>
      <c r="BG80" s="32">
        <v>6660</v>
      </c>
      <c r="BH80" s="32">
        <v>6750</v>
      </c>
      <c r="BI80" s="32">
        <v>6630</v>
      </c>
      <c r="BJ80" s="32">
        <v>6580</v>
      </c>
      <c r="BK80" s="32">
        <v>6610</v>
      </c>
      <c r="BL80" s="33">
        <v>6690</v>
      </c>
    </row>
    <row r="81" spans="1:64" ht="15.95" customHeight="1">
      <c r="A81" s="68" t="s">
        <v>338</v>
      </c>
      <c r="B81" s="28" t="s">
        <v>142</v>
      </c>
      <c r="C81" s="42">
        <f>_xll.RssMarket("6841","高値")</f>
        <v>5413</v>
      </c>
      <c r="D81" s="41">
        <f t="shared" si="1"/>
        <v>0</v>
      </c>
      <c r="E81" s="32">
        <v>5413</v>
      </c>
      <c r="F81" s="32">
        <v>5271</v>
      </c>
      <c r="G81" s="32">
        <v>5195</v>
      </c>
      <c r="H81" s="32">
        <v>5191</v>
      </c>
      <c r="I81" s="32">
        <v>4809</v>
      </c>
      <c r="J81" s="32">
        <v>4930</v>
      </c>
      <c r="K81" s="32">
        <v>5129</v>
      </c>
      <c r="L81" s="32">
        <v>5347</v>
      </c>
      <c r="M81" s="32">
        <v>5388</v>
      </c>
      <c r="N81" s="32">
        <v>5412</v>
      </c>
      <c r="O81" s="32">
        <v>5174</v>
      </c>
      <c r="P81" s="32">
        <v>5052</v>
      </c>
      <c r="Q81" s="32">
        <v>4939</v>
      </c>
      <c r="R81" s="32">
        <v>4980</v>
      </c>
      <c r="S81" s="32">
        <v>5045</v>
      </c>
      <c r="T81" s="32">
        <v>4907</v>
      </c>
      <c r="U81" s="32">
        <v>4841</v>
      </c>
      <c r="V81" s="32">
        <v>4746</v>
      </c>
      <c r="W81" s="32">
        <v>4936</v>
      </c>
      <c r="X81" s="32">
        <v>5000</v>
      </c>
      <c r="Y81" s="32">
        <v>5174</v>
      </c>
      <c r="Z81" s="32">
        <v>5403</v>
      </c>
      <c r="AA81" s="32">
        <v>5283</v>
      </c>
      <c r="AB81" s="32">
        <v>5339</v>
      </c>
      <c r="AC81" s="32">
        <v>5371</v>
      </c>
      <c r="AD81" s="32">
        <v>5446</v>
      </c>
      <c r="AE81" s="32">
        <v>5796</v>
      </c>
      <c r="AF81" s="32">
        <v>5500</v>
      </c>
      <c r="AG81" s="32">
        <v>5508</v>
      </c>
      <c r="AH81" s="32">
        <v>5493</v>
      </c>
      <c r="AI81" s="32">
        <v>5507</v>
      </c>
      <c r="AJ81" s="32">
        <v>5332</v>
      </c>
      <c r="AK81" s="32">
        <v>5432</v>
      </c>
      <c r="AL81" s="32">
        <v>5578</v>
      </c>
      <c r="AM81" s="32">
        <v>5669</v>
      </c>
      <c r="AN81" s="32">
        <v>5518</v>
      </c>
      <c r="AO81" s="32">
        <v>5518</v>
      </c>
      <c r="AP81" s="32">
        <v>5469</v>
      </c>
      <c r="AQ81" s="32">
        <v>5622</v>
      </c>
      <c r="AR81" s="32">
        <v>5726</v>
      </c>
      <c r="AS81" s="32">
        <v>5635</v>
      </c>
      <c r="AT81" s="32">
        <v>5697</v>
      </c>
      <c r="AU81" s="32">
        <v>5698</v>
      </c>
      <c r="AV81" s="32">
        <v>5434</v>
      </c>
      <c r="AW81" s="32">
        <v>5025</v>
      </c>
      <c r="AX81" s="32">
        <v>5001</v>
      </c>
      <c r="AY81" s="32">
        <v>5045</v>
      </c>
      <c r="AZ81" s="32">
        <v>5160</v>
      </c>
      <c r="BA81" s="32">
        <v>5054</v>
      </c>
      <c r="BB81" s="32">
        <v>4921</v>
      </c>
      <c r="BC81" s="32">
        <v>4864</v>
      </c>
      <c r="BD81" s="32">
        <v>5097</v>
      </c>
      <c r="BE81" s="32">
        <v>5230</v>
      </c>
      <c r="BF81" s="32">
        <v>5183</v>
      </c>
      <c r="BG81" s="32">
        <v>5054</v>
      </c>
      <c r="BH81" s="32">
        <v>5008</v>
      </c>
      <c r="BI81" s="32">
        <v>5566</v>
      </c>
      <c r="BJ81" s="32">
        <v>5613</v>
      </c>
      <c r="BK81" s="32">
        <v>5588</v>
      </c>
      <c r="BL81" s="33">
        <v>5595</v>
      </c>
    </row>
    <row r="82" spans="1:64" ht="15.95" customHeight="1">
      <c r="A82" s="68" t="s">
        <v>339</v>
      </c>
      <c r="B82" s="28" t="s">
        <v>143</v>
      </c>
      <c r="C82" s="42">
        <f>_xll.RssMarket("7167","高値")</f>
        <v>1446.5</v>
      </c>
      <c r="D82" s="41">
        <f t="shared" si="1"/>
        <v>0</v>
      </c>
      <c r="E82" s="32">
        <v>1446.5</v>
      </c>
      <c r="F82" s="32">
        <v>1417</v>
      </c>
      <c r="G82" s="32">
        <v>1456.5</v>
      </c>
      <c r="H82" s="32">
        <v>1423</v>
      </c>
      <c r="I82" s="32">
        <v>1380</v>
      </c>
      <c r="J82" s="32">
        <v>1423.5</v>
      </c>
      <c r="K82" s="32">
        <v>1357</v>
      </c>
      <c r="L82" s="32">
        <v>1376</v>
      </c>
      <c r="M82" s="32">
        <v>1359</v>
      </c>
      <c r="N82" s="32">
        <v>1343.5</v>
      </c>
      <c r="O82" s="32">
        <v>1325.5</v>
      </c>
      <c r="P82" s="32">
        <v>1369.5</v>
      </c>
      <c r="Q82" s="32">
        <v>1374</v>
      </c>
      <c r="R82" s="32">
        <v>1386.5</v>
      </c>
      <c r="S82" s="32">
        <v>1406.5</v>
      </c>
      <c r="T82" s="32">
        <v>1429</v>
      </c>
      <c r="U82" s="32">
        <v>1433.5</v>
      </c>
      <c r="V82" s="32">
        <v>1406</v>
      </c>
      <c r="W82" s="32">
        <v>1393.5</v>
      </c>
      <c r="X82" s="32">
        <v>1390</v>
      </c>
      <c r="Y82" s="32">
        <v>1403</v>
      </c>
      <c r="Z82" s="32">
        <v>1386</v>
      </c>
      <c r="AA82" s="32">
        <v>1399.5</v>
      </c>
      <c r="AB82" s="32">
        <v>1369</v>
      </c>
      <c r="AC82" s="32">
        <v>1341.5</v>
      </c>
      <c r="AD82" s="32">
        <v>1326.5</v>
      </c>
      <c r="AE82" s="32">
        <v>1361</v>
      </c>
      <c r="AF82" s="32">
        <v>1309</v>
      </c>
      <c r="AG82" s="32">
        <v>1300</v>
      </c>
      <c r="AH82" s="32">
        <v>1319.5</v>
      </c>
      <c r="AI82" s="32">
        <v>1238.5</v>
      </c>
      <c r="AJ82" s="32">
        <v>1235.5</v>
      </c>
      <c r="AK82" s="32">
        <v>1241.5</v>
      </c>
      <c r="AL82" s="32">
        <v>1284.5</v>
      </c>
      <c r="AM82" s="32">
        <v>1321</v>
      </c>
      <c r="AN82" s="32">
        <v>1357</v>
      </c>
      <c r="AO82" s="32">
        <v>1363.5</v>
      </c>
      <c r="AP82" s="32">
        <v>1370.5</v>
      </c>
      <c r="AQ82" s="32">
        <v>1376.5</v>
      </c>
      <c r="AR82" s="32">
        <v>1353</v>
      </c>
      <c r="AS82" s="32">
        <v>1360.5</v>
      </c>
      <c r="AT82" s="32">
        <v>1381</v>
      </c>
      <c r="AU82" s="32">
        <v>1363.5</v>
      </c>
      <c r="AV82" s="32">
        <v>1399</v>
      </c>
      <c r="AW82" s="32">
        <v>1326</v>
      </c>
      <c r="AX82" s="32">
        <v>1306.5</v>
      </c>
      <c r="AY82" s="32">
        <v>1299</v>
      </c>
      <c r="AZ82" s="32">
        <v>1340</v>
      </c>
      <c r="BA82" s="32">
        <v>1308</v>
      </c>
      <c r="BB82" s="32">
        <v>1234.5</v>
      </c>
      <c r="BC82" s="32">
        <v>1223.5</v>
      </c>
      <c r="BD82" s="32">
        <v>1268</v>
      </c>
      <c r="BE82" s="32">
        <v>1257</v>
      </c>
      <c r="BF82" s="32">
        <v>1255.5</v>
      </c>
      <c r="BG82" s="32">
        <v>1225</v>
      </c>
      <c r="BH82" s="32">
        <v>1169</v>
      </c>
      <c r="BI82" s="32">
        <v>1214</v>
      </c>
      <c r="BJ82" s="32">
        <v>1232</v>
      </c>
      <c r="BK82" s="32">
        <v>1203</v>
      </c>
      <c r="BL82" s="33">
        <v>1185.5</v>
      </c>
    </row>
    <row r="83" spans="1:64" ht="15.95" customHeight="1">
      <c r="A83" s="68" t="s">
        <v>340</v>
      </c>
      <c r="B83" s="28" t="s">
        <v>144</v>
      </c>
      <c r="C83" s="42">
        <f>_xll.RssMarket("1925","高値")</f>
        <v>4435</v>
      </c>
      <c r="D83" s="41">
        <f t="shared" si="1"/>
        <v>0</v>
      </c>
      <c r="E83" s="32">
        <v>4435</v>
      </c>
      <c r="F83" s="32">
        <v>4373</v>
      </c>
      <c r="G83" s="32">
        <v>4422</v>
      </c>
      <c r="H83" s="32">
        <v>4345</v>
      </c>
      <c r="I83" s="32">
        <v>4374</v>
      </c>
      <c r="J83" s="32">
        <v>4381</v>
      </c>
      <c r="K83" s="32">
        <v>4262</v>
      </c>
      <c r="L83" s="32">
        <v>4270</v>
      </c>
      <c r="M83" s="32">
        <v>4276</v>
      </c>
      <c r="N83" s="32">
        <v>4287</v>
      </c>
      <c r="O83" s="32">
        <v>4194</v>
      </c>
      <c r="P83" s="32">
        <v>4421</v>
      </c>
      <c r="Q83" s="32">
        <v>4429</v>
      </c>
      <c r="R83" s="32">
        <v>4434</v>
      </c>
      <c r="S83" s="32">
        <v>4489</v>
      </c>
      <c r="T83" s="32">
        <v>4472</v>
      </c>
      <c r="U83" s="32">
        <v>4548</v>
      </c>
      <c r="V83" s="32">
        <v>4582</v>
      </c>
      <c r="W83" s="32">
        <v>4576</v>
      </c>
      <c r="X83" s="32">
        <v>4551</v>
      </c>
      <c r="Y83" s="32">
        <v>4570</v>
      </c>
      <c r="Z83" s="32">
        <v>4693</v>
      </c>
      <c r="AA83" s="32">
        <v>4831</v>
      </c>
      <c r="AB83" s="32">
        <v>4809</v>
      </c>
      <c r="AC83" s="32">
        <v>4800</v>
      </c>
      <c r="AD83" s="32">
        <v>4835</v>
      </c>
      <c r="AE83" s="32">
        <v>4825</v>
      </c>
      <c r="AF83" s="32">
        <v>4795</v>
      </c>
      <c r="AG83" s="32">
        <v>4828</v>
      </c>
      <c r="AH83" s="32">
        <v>4884</v>
      </c>
      <c r="AI83" s="32">
        <v>4799</v>
      </c>
      <c r="AJ83" s="32">
        <v>4823</v>
      </c>
      <c r="AK83" s="32">
        <v>4851</v>
      </c>
      <c r="AL83" s="32">
        <v>4899</v>
      </c>
      <c r="AM83" s="32">
        <v>4929</v>
      </c>
      <c r="AN83" s="32">
        <v>4914</v>
      </c>
      <c r="AO83" s="32">
        <v>4916</v>
      </c>
      <c r="AP83" s="32">
        <v>4949</v>
      </c>
      <c r="AQ83" s="32">
        <v>4939</v>
      </c>
      <c r="AR83" s="32">
        <v>4938</v>
      </c>
      <c r="AS83" s="32">
        <v>4973</v>
      </c>
      <c r="AT83" s="32">
        <v>5009</v>
      </c>
      <c r="AU83" s="32">
        <v>5098</v>
      </c>
      <c r="AV83" s="32">
        <v>5070</v>
      </c>
      <c r="AW83" s="32">
        <v>5022</v>
      </c>
      <c r="AX83" s="32">
        <v>5042</v>
      </c>
      <c r="AY83" s="32">
        <v>5038</v>
      </c>
      <c r="AZ83" s="32">
        <v>5069</v>
      </c>
      <c r="BA83" s="32">
        <v>5002</v>
      </c>
      <c r="BB83" s="32">
        <v>4977</v>
      </c>
      <c r="BC83" s="32">
        <v>4974</v>
      </c>
      <c r="BD83" s="32">
        <v>5073</v>
      </c>
      <c r="BE83" s="32">
        <v>5086</v>
      </c>
      <c r="BF83" s="32">
        <v>5185</v>
      </c>
      <c r="BG83" s="32">
        <v>5105</v>
      </c>
      <c r="BH83" s="32">
        <v>5136</v>
      </c>
      <c r="BI83" s="32">
        <v>5245</v>
      </c>
      <c r="BJ83" s="32">
        <v>5276</v>
      </c>
      <c r="BK83" s="32">
        <v>5246</v>
      </c>
      <c r="BL83" s="33">
        <v>5237</v>
      </c>
    </row>
    <row r="84" spans="1:64" ht="15.95" customHeight="1">
      <c r="A84" s="68" t="s">
        <v>341</v>
      </c>
      <c r="B84" s="28" t="s">
        <v>145</v>
      </c>
      <c r="C84" s="42">
        <f>_xll.RssMarket("5411","高値")</f>
        <v>1653</v>
      </c>
      <c r="D84" s="41">
        <f t="shared" si="1"/>
        <v>0</v>
      </c>
      <c r="E84" s="32">
        <v>1653</v>
      </c>
      <c r="F84" s="32">
        <v>1659</v>
      </c>
      <c r="G84" s="32">
        <v>1653.5</v>
      </c>
      <c r="H84" s="32">
        <v>1622.5</v>
      </c>
      <c r="I84" s="32">
        <v>1577.5</v>
      </c>
      <c r="J84" s="32">
        <v>1587</v>
      </c>
      <c r="K84" s="32">
        <v>1623</v>
      </c>
      <c r="L84" s="32">
        <v>1620</v>
      </c>
      <c r="M84" s="32">
        <v>1610</v>
      </c>
      <c r="N84" s="32">
        <v>1612</v>
      </c>
      <c r="O84" s="32">
        <v>1618</v>
      </c>
      <c r="P84" s="32">
        <v>1723.5</v>
      </c>
      <c r="Q84" s="32">
        <v>1687</v>
      </c>
      <c r="R84" s="32">
        <v>1686</v>
      </c>
      <c r="S84" s="32">
        <v>1654</v>
      </c>
      <c r="T84" s="32">
        <v>1661.5</v>
      </c>
      <c r="U84" s="32">
        <v>1664.5</v>
      </c>
      <c r="V84" s="32">
        <v>1672.5</v>
      </c>
      <c r="W84" s="32">
        <v>1684</v>
      </c>
      <c r="X84" s="32">
        <v>1674.5</v>
      </c>
      <c r="Y84" s="32">
        <v>1707.5</v>
      </c>
      <c r="Z84" s="32">
        <v>1724.5</v>
      </c>
      <c r="AA84" s="32">
        <v>1731</v>
      </c>
      <c r="AB84" s="32">
        <v>1705.5</v>
      </c>
      <c r="AC84" s="32">
        <v>1747</v>
      </c>
      <c r="AD84" s="32">
        <v>1814.5</v>
      </c>
      <c r="AE84" s="32">
        <v>1747</v>
      </c>
      <c r="AF84" s="32">
        <v>1723.5</v>
      </c>
      <c r="AG84" s="32">
        <v>1718.5</v>
      </c>
      <c r="AH84" s="32">
        <v>1700.5</v>
      </c>
      <c r="AI84" s="32">
        <v>1691.5</v>
      </c>
      <c r="AJ84" s="32">
        <v>1707</v>
      </c>
      <c r="AK84" s="32">
        <v>1731</v>
      </c>
      <c r="AL84" s="32">
        <v>1746</v>
      </c>
      <c r="AM84" s="32">
        <v>1767</v>
      </c>
      <c r="AN84" s="32">
        <v>1807.5</v>
      </c>
      <c r="AO84" s="32">
        <v>1824</v>
      </c>
      <c r="AP84" s="32">
        <v>1830</v>
      </c>
      <c r="AQ84" s="32">
        <v>1838.5</v>
      </c>
      <c r="AR84" s="32">
        <v>1859.5</v>
      </c>
      <c r="AS84" s="32">
        <v>1867.5</v>
      </c>
      <c r="AT84" s="32">
        <v>1877.5</v>
      </c>
      <c r="AU84" s="32">
        <v>1890</v>
      </c>
      <c r="AV84" s="32">
        <v>1894</v>
      </c>
      <c r="AW84" s="32">
        <v>1844</v>
      </c>
      <c r="AX84" s="32">
        <v>1856.5</v>
      </c>
      <c r="AY84" s="32">
        <v>1863.5</v>
      </c>
      <c r="AZ84" s="32">
        <v>1881</v>
      </c>
      <c r="BA84" s="32">
        <v>1873</v>
      </c>
      <c r="BB84" s="32">
        <v>1850.5</v>
      </c>
      <c r="BC84" s="32">
        <v>1830</v>
      </c>
      <c r="BD84" s="32">
        <v>1901</v>
      </c>
      <c r="BE84" s="32">
        <v>1907.5</v>
      </c>
      <c r="BF84" s="32">
        <v>1937.5</v>
      </c>
      <c r="BG84" s="32">
        <v>1913</v>
      </c>
      <c r="BH84" s="32">
        <v>1879</v>
      </c>
      <c r="BI84" s="32">
        <v>1928.5</v>
      </c>
      <c r="BJ84" s="32">
        <v>1949.5</v>
      </c>
      <c r="BK84" s="32">
        <v>1917</v>
      </c>
      <c r="BL84" s="33">
        <v>1911.5</v>
      </c>
    </row>
    <row r="85" spans="1:64" ht="15.95" customHeight="1">
      <c r="A85" s="68" t="s">
        <v>342</v>
      </c>
      <c r="B85" s="28" t="s">
        <v>146</v>
      </c>
      <c r="C85" s="42">
        <f>_xll.RssMarket("7182","高値")</f>
        <v>3235</v>
      </c>
      <c r="D85" s="41">
        <f t="shared" si="1"/>
        <v>0</v>
      </c>
      <c r="E85" s="32">
        <v>3235</v>
      </c>
      <c r="F85" s="32">
        <v>3183</v>
      </c>
      <c r="G85" s="32">
        <v>3308</v>
      </c>
      <c r="H85" s="32">
        <v>3255</v>
      </c>
      <c r="I85" s="32">
        <v>3113</v>
      </c>
      <c r="J85" s="32">
        <v>3248</v>
      </c>
      <c r="K85" s="32">
        <v>3145</v>
      </c>
      <c r="L85" s="32">
        <v>3277</v>
      </c>
      <c r="M85" s="32">
        <v>3234</v>
      </c>
      <c r="N85" s="32">
        <v>3175</v>
      </c>
      <c r="O85" s="32">
        <v>3066</v>
      </c>
      <c r="P85" s="32">
        <v>3072</v>
      </c>
      <c r="Q85" s="32">
        <v>2977</v>
      </c>
      <c r="R85" s="32">
        <v>3033</v>
      </c>
      <c r="S85" s="32">
        <v>3137</v>
      </c>
      <c r="T85" s="32">
        <v>3200</v>
      </c>
      <c r="U85" s="32">
        <v>3208</v>
      </c>
      <c r="V85" s="32">
        <v>3165</v>
      </c>
      <c r="W85" s="32">
        <v>3060</v>
      </c>
      <c r="X85" s="32">
        <v>2990</v>
      </c>
      <c r="Y85" s="32">
        <v>2861.5</v>
      </c>
      <c r="Z85" s="32">
        <v>2864</v>
      </c>
      <c r="AA85" s="32">
        <v>2876.5</v>
      </c>
      <c r="AB85" s="32">
        <v>2876</v>
      </c>
      <c r="AC85" s="32">
        <v>2797</v>
      </c>
      <c r="AD85" s="32">
        <v>2770</v>
      </c>
      <c r="AE85" s="32">
        <v>2823.5</v>
      </c>
      <c r="AF85" s="32">
        <v>2704.5</v>
      </c>
      <c r="AG85" s="32">
        <v>2699</v>
      </c>
      <c r="AH85" s="32">
        <v>2696.5</v>
      </c>
      <c r="AI85" s="32">
        <v>2549.5</v>
      </c>
      <c r="AJ85" s="32">
        <v>2535</v>
      </c>
      <c r="AK85" s="32">
        <v>2558.5</v>
      </c>
      <c r="AL85" s="32">
        <v>2611</v>
      </c>
      <c r="AM85" s="32">
        <v>2710</v>
      </c>
      <c r="AN85" s="32">
        <v>2759</v>
      </c>
      <c r="AO85" s="32">
        <v>2798.5</v>
      </c>
      <c r="AP85" s="32">
        <v>2811</v>
      </c>
      <c r="AQ85" s="32">
        <v>2787.5</v>
      </c>
      <c r="AR85" s="32">
        <v>2751</v>
      </c>
      <c r="AS85" s="32">
        <v>2749.5</v>
      </c>
      <c r="AT85" s="32">
        <v>2747</v>
      </c>
      <c r="AU85" s="32">
        <v>2816.5</v>
      </c>
      <c r="AV85" s="32">
        <v>2808.5</v>
      </c>
      <c r="AW85" s="32">
        <v>2690.5</v>
      </c>
      <c r="AX85" s="32">
        <v>2698.5</v>
      </c>
      <c r="AY85" s="32">
        <v>2654</v>
      </c>
      <c r="AZ85" s="32">
        <v>2752</v>
      </c>
      <c r="BA85" s="32">
        <v>2717</v>
      </c>
      <c r="BB85" s="32">
        <v>2559.5</v>
      </c>
      <c r="BC85" s="32">
        <v>2519</v>
      </c>
      <c r="BD85" s="32">
        <v>2653</v>
      </c>
      <c r="BE85" s="32">
        <v>2678</v>
      </c>
      <c r="BF85" s="32">
        <v>2678</v>
      </c>
      <c r="BG85" s="32">
        <v>2585</v>
      </c>
      <c r="BH85" s="32">
        <v>2511</v>
      </c>
      <c r="BI85" s="32">
        <v>2632.5</v>
      </c>
      <c r="BJ85" s="32">
        <v>2687</v>
      </c>
      <c r="BK85" s="32">
        <v>2635</v>
      </c>
      <c r="BL85" s="33">
        <v>2616.5</v>
      </c>
    </row>
    <row r="86" spans="1:64" ht="15.95" customHeight="1">
      <c r="A86" s="68" t="s">
        <v>343</v>
      </c>
      <c r="B86" s="28" t="s">
        <v>147</v>
      </c>
      <c r="C86" s="42">
        <f>_xll.RssMarket("1963","高値")</f>
        <v>2806.5</v>
      </c>
      <c r="D86" s="41">
        <f t="shared" si="1"/>
        <v>0</v>
      </c>
      <c r="E86" s="32">
        <v>2806.5</v>
      </c>
      <c r="F86" s="32">
        <v>2704.5</v>
      </c>
      <c r="G86" s="32">
        <v>2825</v>
      </c>
      <c r="H86" s="32">
        <v>2584</v>
      </c>
      <c r="I86" s="32">
        <v>2494</v>
      </c>
      <c r="J86" s="32">
        <v>2576</v>
      </c>
      <c r="K86" s="32">
        <v>2601.5</v>
      </c>
      <c r="L86" s="32">
        <v>2664</v>
      </c>
      <c r="M86" s="32">
        <v>2647</v>
      </c>
      <c r="N86" s="32">
        <v>2683</v>
      </c>
      <c r="O86" s="32">
        <v>2654.5</v>
      </c>
      <c r="P86" s="32">
        <v>2753</v>
      </c>
      <c r="Q86" s="32">
        <v>2858</v>
      </c>
      <c r="R86" s="32">
        <v>2873.5</v>
      </c>
      <c r="S86" s="32">
        <v>2927.5</v>
      </c>
      <c r="T86" s="32">
        <v>2832.5</v>
      </c>
      <c r="U86" s="32">
        <v>2745</v>
      </c>
      <c r="V86" s="32">
        <v>2711.5</v>
      </c>
      <c r="W86" s="32">
        <v>2655.5</v>
      </c>
      <c r="X86" s="32">
        <v>2699</v>
      </c>
      <c r="Y86" s="32">
        <v>2809</v>
      </c>
      <c r="Z86" s="32">
        <v>2452</v>
      </c>
      <c r="AA86" s="32">
        <v>2472.5</v>
      </c>
      <c r="AB86" s="32">
        <v>2489.5</v>
      </c>
      <c r="AC86" s="32">
        <v>2555</v>
      </c>
      <c r="AD86" s="32">
        <v>2518</v>
      </c>
      <c r="AE86" s="32">
        <v>2484.5</v>
      </c>
      <c r="AF86" s="32">
        <v>2413</v>
      </c>
      <c r="AG86" s="32">
        <v>2448</v>
      </c>
      <c r="AH86" s="32">
        <v>2468</v>
      </c>
      <c r="AI86" s="32">
        <v>2405</v>
      </c>
      <c r="AJ86" s="32">
        <v>2410</v>
      </c>
      <c r="AK86" s="32">
        <v>2368</v>
      </c>
      <c r="AL86" s="32">
        <v>2372.5</v>
      </c>
      <c r="AM86" s="32">
        <v>2439</v>
      </c>
      <c r="AN86" s="32">
        <v>2531.5</v>
      </c>
      <c r="AO86" s="32">
        <v>2557</v>
      </c>
      <c r="AP86" s="32">
        <v>2575.5</v>
      </c>
      <c r="AQ86" s="32">
        <v>2692</v>
      </c>
      <c r="AR86" s="32">
        <v>2724</v>
      </c>
      <c r="AS86" s="32">
        <v>2807.5</v>
      </c>
      <c r="AT86" s="32">
        <v>2850</v>
      </c>
      <c r="AU86" s="32">
        <v>2862</v>
      </c>
      <c r="AV86" s="32">
        <v>2727</v>
      </c>
      <c r="AW86" s="32">
        <v>2594</v>
      </c>
      <c r="AX86" s="32">
        <v>2583</v>
      </c>
      <c r="AY86" s="32">
        <v>2581</v>
      </c>
      <c r="AZ86" s="32">
        <v>2607.5</v>
      </c>
      <c r="BA86" s="32">
        <v>2483.5</v>
      </c>
      <c r="BB86" s="32">
        <v>2356.5</v>
      </c>
      <c r="BC86" s="32">
        <v>2316</v>
      </c>
      <c r="BD86" s="32">
        <v>2213</v>
      </c>
      <c r="BE86" s="32">
        <v>2240</v>
      </c>
      <c r="BF86" s="32">
        <v>2239</v>
      </c>
      <c r="BG86" s="32">
        <v>2136</v>
      </c>
      <c r="BH86" s="32">
        <v>2056.5</v>
      </c>
      <c r="BI86" s="32">
        <v>2220</v>
      </c>
      <c r="BJ86" s="32">
        <v>2273</v>
      </c>
      <c r="BK86" s="32">
        <v>2122</v>
      </c>
      <c r="BL86" s="33">
        <v>2116</v>
      </c>
    </row>
    <row r="87" spans="1:64" ht="15.95" customHeight="1">
      <c r="A87" s="68" t="s">
        <v>344</v>
      </c>
      <c r="B87" s="28" t="s">
        <v>148</v>
      </c>
      <c r="C87" s="42">
        <f>_xll.RssMarket("2914","高値")</f>
        <v>6160</v>
      </c>
      <c r="D87" s="41">
        <f t="shared" si="1"/>
        <v>0</v>
      </c>
      <c r="E87" s="32">
        <v>6160</v>
      </c>
      <c r="F87" s="32">
        <v>6099</v>
      </c>
      <c r="G87" s="32">
        <v>6215</v>
      </c>
      <c r="H87" s="32">
        <v>6363</v>
      </c>
      <c r="I87" s="32">
        <v>6338</v>
      </c>
      <c r="J87" s="32">
        <v>6164</v>
      </c>
      <c r="K87" s="32">
        <v>6135</v>
      </c>
      <c r="L87" s="32">
        <v>6067</v>
      </c>
      <c r="M87" s="32">
        <v>6109</v>
      </c>
      <c r="N87" s="32">
        <v>6154</v>
      </c>
      <c r="O87" s="32">
        <v>6161</v>
      </c>
      <c r="P87" s="32">
        <v>6200</v>
      </c>
      <c r="Q87" s="32">
        <v>6201</v>
      </c>
      <c r="R87" s="32">
        <v>6121</v>
      </c>
      <c r="S87" s="32">
        <v>6134</v>
      </c>
      <c r="T87" s="32">
        <v>6231</v>
      </c>
      <c r="U87" s="32">
        <v>6359</v>
      </c>
      <c r="V87" s="32">
        <v>6455</v>
      </c>
      <c r="W87" s="32">
        <v>6474</v>
      </c>
      <c r="X87" s="32">
        <v>6396</v>
      </c>
      <c r="Y87" s="32">
        <v>6315</v>
      </c>
      <c r="Z87" s="32">
        <v>6278</v>
      </c>
      <c r="AA87" s="32">
        <v>6214</v>
      </c>
      <c r="AB87" s="32">
        <v>6136</v>
      </c>
      <c r="AC87" s="32">
        <v>6164</v>
      </c>
      <c r="AD87" s="32">
        <v>5863</v>
      </c>
      <c r="AE87" s="32">
        <v>5964</v>
      </c>
      <c r="AF87" s="32">
        <v>5905</v>
      </c>
      <c r="AG87" s="32">
        <v>5865</v>
      </c>
      <c r="AH87" s="32">
        <v>5788</v>
      </c>
      <c r="AI87" s="32">
        <v>5821</v>
      </c>
      <c r="AJ87" s="32">
        <v>5907</v>
      </c>
      <c r="AK87" s="32">
        <v>5866</v>
      </c>
      <c r="AL87" s="32">
        <v>5719</v>
      </c>
      <c r="AM87" s="32">
        <v>5808</v>
      </c>
      <c r="AN87" s="32">
        <v>5835</v>
      </c>
      <c r="AO87" s="32">
        <v>5853</v>
      </c>
      <c r="AP87" s="32">
        <v>5880</v>
      </c>
      <c r="AQ87" s="32">
        <v>5918</v>
      </c>
      <c r="AR87" s="32">
        <v>5961</v>
      </c>
      <c r="AS87" s="32">
        <v>6048</v>
      </c>
      <c r="AT87" s="32">
        <v>6047</v>
      </c>
      <c r="AU87" s="32">
        <v>6106</v>
      </c>
      <c r="AV87" s="32">
        <v>6175</v>
      </c>
      <c r="AW87" s="32">
        <v>6165</v>
      </c>
      <c r="AX87" s="32">
        <v>6121</v>
      </c>
      <c r="AY87" s="32">
        <v>6139</v>
      </c>
      <c r="AZ87" s="32">
        <v>6094</v>
      </c>
      <c r="BA87" s="32">
        <v>6079</v>
      </c>
      <c r="BB87" s="32">
        <v>6068</v>
      </c>
      <c r="BC87" s="32">
        <v>6075</v>
      </c>
      <c r="BD87" s="32">
        <v>5998</v>
      </c>
      <c r="BE87" s="32">
        <v>5983</v>
      </c>
      <c r="BF87" s="32">
        <v>5973</v>
      </c>
      <c r="BG87" s="32">
        <v>5833</v>
      </c>
      <c r="BH87" s="32">
        <v>5787</v>
      </c>
      <c r="BI87" s="32">
        <v>5884</v>
      </c>
      <c r="BJ87" s="32">
        <v>5976</v>
      </c>
      <c r="BK87" s="32">
        <v>5895</v>
      </c>
      <c r="BL87" s="33">
        <v>5829</v>
      </c>
    </row>
    <row r="88" spans="1:64" ht="15.95" customHeight="1">
      <c r="A88" s="68" t="s">
        <v>345</v>
      </c>
      <c r="B88" s="28" t="s">
        <v>149</v>
      </c>
      <c r="C88" s="42">
        <f>_xll.RssMarket("3003","高値")</f>
        <v>1733</v>
      </c>
      <c r="D88" s="41">
        <f t="shared" si="1"/>
        <v>0</v>
      </c>
      <c r="E88" s="32">
        <v>1733</v>
      </c>
      <c r="F88" s="32">
        <v>1734.5</v>
      </c>
      <c r="G88" s="32">
        <v>1758</v>
      </c>
      <c r="H88" s="32">
        <v>1739.5</v>
      </c>
      <c r="I88" s="32">
        <v>1744</v>
      </c>
      <c r="J88" s="32">
        <v>1736.5</v>
      </c>
      <c r="K88" s="32">
        <v>1677</v>
      </c>
      <c r="L88" s="32">
        <v>1670.5</v>
      </c>
      <c r="M88" s="32">
        <v>1651.5</v>
      </c>
      <c r="N88" s="32">
        <v>1662</v>
      </c>
      <c r="O88" s="32">
        <v>1652.5</v>
      </c>
      <c r="P88" s="32">
        <v>1709</v>
      </c>
      <c r="Q88" s="32">
        <v>1670</v>
      </c>
      <c r="R88" s="32">
        <v>1687.5</v>
      </c>
      <c r="S88" s="32">
        <v>1679</v>
      </c>
      <c r="T88" s="32">
        <v>1667.5</v>
      </c>
      <c r="U88" s="32">
        <v>1744.5</v>
      </c>
      <c r="V88" s="32">
        <v>1748</v>
      </c>
      <c r="W88" s="32">
        <v>1750</v>
      </c>
      <c r="X88" s="32">
        <v>1767</v>
      </c>
      <c r="Y88" s="32">
        <v>1777.5</v>
      </c>
      <c r="Z88" s="32">
        <v>1789.5</v>
      </c>
      <c r="AA88" s="32">
        <v>1813.5</v>
      </c>
      <c r="AB88" s="32">
        <v>1808.5</v>
      </c>
      <c r="AC88" s="32">
        <v>1805</v>
      </c>
      <c r="AD88" s="32">
        <v>1815</v>
      </c>
      <c r="AE88" s="32">
        <v>1829.5</v>
      </c>
      <c r="AF88" s="32">
        <v>1804</v>
      </c>
      <c r="AG88" s="32">
        <v>1784</v>
      </c>
      <c r="AH88" s="32">
        <v>1827</v>
      </c>
      <c r="AI88" s="32">
        <v>1856</v>
      </c>
      <c r="AJ88" s="32">
        <v>1835.5</v>
      </c>
      <c r="AK88" s="32">
        <v>1831</v>
      </c>
      <c r="AL88" s="32">
        <v>1860</v>
      </c>
      <c r="AM88" s="32">
        <v>1899.5</v>
      </c>
      <c r="AN88" s="32">
        <v>1904.5</v>
      </c>
      <c r="AO88" s="32">
        <v>1904</v>
      </c>
      <c r="AP88" s="32">
        <v>1902.5</v>
      </c>
      <c r="AQ88" s="32">
        <v>1918</v>
      </c>
      <c r="AR88" s="32">
        <v>1904.5</v>
      </c>
      <c r="AS88" s="32">
        <v>1888.5</v>
      </c>
      <c r="AT88" s="32">
        <v>1896</v>
      </c>
      <c r="AU88" s="32">
        <v>1940</v>
      </c>
      <c r="AV88" s="32">
        <v>1948</v>
      </c>
      <c r="AW88" s="32">
        <v>1905.5</v>
      </c>
      <c r="AX88" s="32">
        <v>1891.5</v>
      </c>
      <c r="AY88" s="32">
        <v>1889.5</v>
      </c>
      <c r="AZ88" s="32">
        <v>1924</v>
      </c>
      <c r="BA88" s="32">
        <v>1875.5</v>
      </c>
      <c r="BB88" s="32">
        <v>1861</v>
      </c>
      <c r="BC88" s="32">
        <v>1845</v>
      </c>
      <c r="BD88" s="32">
        <v>1869.5</v>
      </c>
      <c r="BE88" s="32">
        <v>1869.5</v>
      </c>
      <c r="BF88" s="32">
        <v>1880</v>
      </c>
      <c r="BG88" s="32">
        <v>1848.5</v>
      </c>
      <c r="BH88" s="32">
        <v>1829</v>
      </c>
      <c r="BI88" s="32">
        <v>1912.5</v>
      </c>
      <c r="BJ88" s="32">
        <v>1917</v>
      </c>
      <c r="BK88" s="32">
        <v>1901</v>
      </c>
      <c r="BL88" s="33">
        <v>1884.5</v>
      </c>
    </row>
    <row r="89" spans="1:64" ht="15.95" customHeight="1">
      <c r="A89" s="68" t="s">
        <v>346</v>
      </c>
      <c r="B89" s="28" t="s">
        <v>150</v>
      </c>
      <c r="C89" s="42">
        <f>_xll.RssMarket("5892","高値")</f>
        <v>2214</v>
      </c>
      <c r="D89" s="41">
        <f t="shared" si="1"/>
        <v>0</v>
      </c>
      <c r="E89" s="32">
        <v>2214</v>
      </c>
      <c r="F89" s="32">
        <v>2040</v>
      </c>
      <c r="G89" s="32">
        <v>2020</v>
      </c>
      <c r="H89" s="32">
        <v>2121</v>
      </c>
      <c r="I89" s="32">
        <v>2160</v>
      </c>
      <c r="J89" s="32">
        <v>2260</v>
      </c>
      <c r="K89" s="32">
        <v>2328</v>
      </c>
      <c r="L89" s="32">
        <v>2420</v>
      </c>
      <c r="M89" s="32">
        <v>2227</v>
      </c>
      <c r="N89" s="32">
        <v>2156</v>
      </c>
      <c r="O89" s="32">
        <v>2181</v>
      </c>
      <c r="P89" s="32">
        <v>2350</v>
      </c>
      <c r="Q89" s="32">
        <v>2378</v>
      </c>
      <c r="R89" s="32">
        <v>2541</v>
      </c>
      <c r="S89" s="32">
        <v>2476</v>
      </c>
      <c r="T89" s="32">
        <v>2469</v>
      </c>
      <c r="U89" s="32">
        <v>2549</v>
      </c>
      <c r="V89" s="32">
        <v>2677</v>
      </c>
      <c r="W89" s="32">
        <v>2733</v>
      </c>
      <c r="X89" s="32">
        <v>2640</v>
      </c>
      <c r="Y89" s="32">
        <v>2384</v>
      </c>
      <c r="Z89" s="32">
        <v>2093</v>
      </c>
      <c r="AA89" s="32">
        <v>2115</v>
      </c>
      <c r="AB89" s="32">
        <v>1948</v>
      </c>
      <c r="AC89" s="32">
        <v>1970</v>
      </c>
      <c r="AD89" s="32">
        <v>2042</v>
      </c>
      <c r="AE89" s="32">
        <v>2001</v>
      </c>
      <c r="AF89" s="32">
        <v>2028</v>
      </c>
      <c r="AG89" s="32">
        <v>1989</v>
      </c>
      <c r="AH89" s="32">
        <v>2042</v>
      </c>
      <c r="AI89" s="32">
        <v>2090</v>
      </c>
      <c r="AJ89" s="32">
        <v>2100</v>
      </c>
      <c r="AK89" s="32">
        <v>2187</v>
      </c>
      <c r="AL89" s="32">
        <v>2221</v>
      </c>
      <c r="AM89" s="32">
        <v>2277</v>
      </c>
      <c r="AN89" s="32">
        <v>2254</v>
      </c>
      <c r="AO89" s="32">
        <v>2230</v>
      </c>
      <c r="AP89" s="32">
        <v>2291</v>
      </c>
      <c r="AQ89" s="32">
        <v>2348</v>
      </c>
      <c r="AR89" s="32">
        <v>2392</v>
      </c>
      <c r="AS89" s="32">
        <v>2211</v>
      </c>
      <c r="AT89" s="32">
        <v>2216</v>
      </c>
      <c r="AU89" s="32">
        <v>2217</v>
      </c>
      <c r="AV89" s="32">
        <v>2182</v>
      </c>
      <c r="AW89" s="32">
        <v>2111</v>
      </c>
      <c r="AX89" s="32">
        <v>2049</v>
      </c>
      <c r="AY89" s="32">
        <v>2080</v>
      </c>
      <c r="AZ89" s="32">
        <v>2098</v>
      </c>
      <c r="BA89" s="32">
        <v>2128</v>
      </c>
      <c r="BB89" s="32">
        <v>2080</v>
      </c>
      <c r="BC89" s="32">
        <v>2011</v>
      </c>
      <c r="BD89" s="32">
        <v>2088</v>
      </c>
      <c r="BE89" s="32">
        <v>2091</v>
      </c>
      <c r="BF89" s="32">
        <v>2114</v>
      </c>
      <c r="BG89" s="32">
        <v>2073</v>
      </c>
      <c r="BH89" s="32">
        <v>2044</v>
      </c>
      <c r="BI89" s="32">
        <v>2194</v>
      </c>
      <c r="BJ89" s="32">
        <v>2310</v>
      </c>
      <c r="BK89" s="32">
        <v>2279</v>
      </c>
      <c r="BL89" s="33">
        <v>2306</v>
      </c>
    </row>
    <row r="90" spans="1:64" ht="15.95" customHeight="1">
      <c r="A90" s="68" t="s">
        <v>347</v>
      </c>
      <c r="B90" s="28" t="s">
        <v>151</v>
      </c>
      <c r="C90" s="42">
        <f>_xll.RssMarket("6323","高値")</f>
        <v>4580</v>
      </c>
      <c r="D90" s="41">
        <f t="shared" si="1"/>
        <v>0</v>
      </c>
      <c r="E90" s="32">
        <v>4580</v>
      </c>
      <c r="F90" s="32">
        <v>4555</v>
      </c>
      <c r="G90" s="32">
        <v>4519</v>
      </c>
      <c r="H90" s="32">
        <v>4219</v>
      </c>
      <c r="I90" s="32">
        <v>3872</v>
      </c>
      <c r="J90" s="32">
        <v>4019</v>
      </c>
      <c r="K90" s="32">
        <v>4084</v>
      </c>
      <c r="L90" s="32">
        <v>4289</v>
      </c>
      <c r="M90" s="32">
        <v>4590</v>
      </c>
      <c r="N90" s="32">
        <v>4314</v>
      </c>
      <c r="O90" s="32">
        <v>3835</v>
      </c>
      <c r="P90" s="32">
        <v>4097</v>
      </c>
      <c r="Q90" s="32">
        <v>3989</v>
      </c>
      <c r="R90" s="32">
        <v>4068</v>
      </c>
      <c r="S90" s="32">
        <v>4114</v>
      </c>
      <c r="T90" s="32">
        <v>3922</v>
      </c>
      <c r="U90" s="32">
        <v>3807</v>
      </c>
      <c r="V90" s="32">
        <v>3625</v>
      </c>
      <c r="W90" s="32">
        <v>3713</v>
      </c>
      <c r="X90" s="32">
        <v>3816</v>
      </c>
      <c r="Y90" s="32">
        <v>4157</v>
      </c>
      <c r="Z90" s="32">
        <v>4127</v>
      </c>
      <c r="AA90" s="32">
        <v>3986</v>
      </c>
      <c r="AB90" s="32">
        <v>4210</v>
      </c>
      <c r="AC90" s="32">
        <v>4098</v>
      </c>
      <c r="AD90" s="32">
        <v>4024</v>
      </c>
      <c r="AE90" s="32">
        <v>3987</v>
      </c>
      <c r="AF90" s="32">
        <v>3816</v>
      </c>
      <c r="AG90" s="32">
        <v>3810</v>
      </c>
      <c r="AH90" s="32">
        <v>3944</v>
      </c>
      <c r="AI90" s="32">
        <v>4000</v>
      </c>
      <c r="AJ90" s="32">
        <v>3690</v>
      </c>
      <c r="AK90" s="32">
        <v>3736</v>
      </c>
      <c r="AL90" s="32">
        <v>3699</v>
      </c>
      <c r="AM90" s="32">
        <v>3784</v>
      </c>
      <c r="AN90" s="32">
        <v>3769</v>
      </c>
      <c r="AO90" s="32">
        <v>3782</v>
      </c>
      <c r="AP90" s="32">
        <v>3878</v>
      </c>
      <c r="AQ90" s="32">
        <v>4028</v>
      </c>
      <c r="AR90" s="32">
        <v>4090</v>
      </c>
      <c r="AS90" s="32">
        <v>4127</v>
      </c>
      <c r="AT90" s="32">
        <v>3969</v>
      </c>
      <c r="AU90" s="32">
        <v>3288</v>
      </c>
      <c r="AV90" s="32">
        <v>3228</v>
      </c>
      <c r="AW90" s="32">
        <v>2904</v>
      </c>
      <c r="AX90" s="32">
        <v>2929</v>
      </c>
      <c r="AY90" s="32">
        <v>2727</v>
      </c>
      <c r="AZ90" s="32">
        <v>2779.5</v>
      </c>
      <c r="BA90" s="32">
        <v>2748</v>
      </c>
      <c r="BB90" s="32">
        <v>2617</v>
      </c>
      <c r="BC90" s="32">
        <v>2578.5</v>
      </c>
      <c r="BD90" s="32">
        <v>2722</v>
      </c>
      <c r="BE90" s="32">
        <v>2844.5</v>
      </c>
      <c r="BF90" s="32">
        <v>2879</v>
      </c>
      <c r="BG90" s="32">
        <v>2761</v>
      </c>
      <c r="BH90" s="32">
        <v>2707.5</v>
      </c>
      <c r="BI90" s="32">
        <v>2868.5</v>
      </c>
      <c r="BJ90" s="32">
        <v>2894</v>
      </c>
      <c r="BK90" s="32">
        <v>2916</v>
      </c>
      <c r="BL90" s="33">
        <v>2940.5</v>
      </c>
    </row>
    <row r="91" spans="1:64" ht="15.95" customHeight="1">
      <c r="A91" s="68" t="s">
        <v>348</v>
      </c>
      <c r="B91" s="28" t="s">
        <v>152</v>
      </c>
      <c r="C91" s="42">
        <f>_xll.RssMarket("6501","高値")</f>
        <v>4736</v>
      </c>
      <c r="D91" s="41">
        <f t="shared" si="1"/>
        <v>0</v>
      </c>
      <c r="E91" s="32">
        <v>4736</v>
      </c>
      <c r="F91" s="32">
        <v>4798</v>
      </c>
      <c r="G91" s="32">
        <v>4828</v>
      </c>
      <c r="H91" s="32">
        <v>4740</v>
      </c>
      <c r="I91" s="32">
        <v>4679</v>
      </c>
      <c r="J91" s="32">
        <v>4924</v>
      </c>
      <c r="K91" s="32">
        <v>5148</v>
      </c>
      <c r="L91" s="32">
        <v>5369</v>
      </c>
      <c r="M91" s="32">
        <v>5215</v>
      </c>
      <c r="N91" s="32">
        <v>5375</v>
      </c>
      <c r="O91" s="32">
        <v>5140</v>
      </c>
      <c r="P91" s="32">
        <v>5375</v>
      </c>
      <c r="Q91" s="32">
        <v>5194</v>
      </c>
      <c r="R91" s="32">
        <v>5108</v>
      </c>
      <c r="S91" s="32">
        <v>5102</v>
      </c>
      <c r="T91" s="32">
        <v>5153</v>
      </c>
      <c r="U91" s="32">
        <v>5123</v>
      </c>
      <c r="V91" s="32">
        <v>4934</v>
      </c>
      <c r="W91" s="32">
        <v>5019</v>
      </c>
      <c r="X91" s="32">
        <v>4818</v>
      </c>
      <c r="Y91" s="32">
        <v>4845</v>
      </c>
      <c r="Z91" s="32">
        <v>4736</v>
      </c>
      <c r="AA91" s="32">
        <v>4844</v>
      </c>
      <c r="AB91" s="32">
        <v>4959</v>
      </c>
      <c r="AC91" s="32">
        <v>5012</v>
      </c>
      <c r="AD91" s="32">
        <v>4973</v>
      </c>
      <c r="AE91" s="32">
        <v>4981</v>
      </c>
      <c r="AF91" s="32">
        <v>4861</v>
      </c>
      <c r="AG91" s="32">
        <v>5018</v>
      </c>
      <c r="AH91" s="32">
        <v>5202</v>
      </c>
      <c r="AI91" s="32">
        <v>5422</v>
      </c>
      <c r="AJ91" s="32">
        <v>5235</v>
      </c>
      <c r="AK91" s="32">
        <v>5298</v>
      </c>
      <c r="AL91" s="32">
        <v>5138</v>
      </c>
      <c r="AM91" s="32">
        <v>5189</v>
      </c>
      <c r="AN91" s="32">
        <v>5257</v>
      </c>
      <c r="AO91" s="32">
        <v>5210</v>
      </c>
      <c r="AP91" s="32">
        <v>5274</v>
      </c>
      <c r="AQ91" s="32">
        <v>5233</v>
      </c>
      <c r="AR91" s="32">
        <v>4957</v>
      </c>
      <c r="AS91" s="32">
        <v>4945</v>
      </c>
      <c r="AT91" s="32">
        <v>4859</v>
      </c>
      <c r="AU91" s="32">
        <v>4946</v>
      </c>
      <c r="AV91" s="32">
        <v>4955</v>
      </c>
      <c r="AW91" s="32">
        <v>4787</v>
      </c>
      <c r="AX91" s="32">
        <v>4811</v>
      </c>
      <c r="AY91" s="32">
        <v>4840</v>
      </c>
      <c r="AZ91" s="32">
        <v>4844</v>
      </c>
      <c r="BA91" s="32">
        <v>4752</v>
      </c>
      <c r="BB91" s="32">
        <v>4580</v>
      </c>
      <c r="BC91" s="32">
        <v>4541</v>
      </c>
      <c r="BD91" s="32">
        <v>4763</v>
      </c>
      <c r="BE91" s="32">
        <v>4862</v>
      </c>
      <c r="BF91" s="32">
        <v>4906</v>
      </c>
      <c r="BG91" s="32">
        <v>4917</v>
      </c>
      <c r="BH91" s="32">
        <v>4844</v>
      </c>
      <c r="BI91" s="32">
        <v>4907</v>
      </c>
      <c r="BJ91" s="32">
        <v>4887</v>
      </c>
      <c r="BK91" s="32">
        <v>4910</v>
      </c>
      <c r="BL91" s="33">
        <v>4876</v>
      </c>
    </row>
    <row r="92" spans="1:64" ht="15.95" customHeight="1">
      <c r="A92" s="68" t="s">
        <v>349</v>
      </c>
      <c r="B92" s="28" t="s">
        <v>153</v>
      </c>
      <c r="C92" s="42">
        <f>_xll.RssMarket("6134","高値")</f>
        <v>8377</v>
      </c>
      <c r="D92" s="41">
        <f t="shared" si="1"/>
        <v>0</v>
      </c>
      <c r="E92" s="32">
        <v>8377</v>
      </c>
      <c r="F92" s="32">
        <v>8382</v>
      </c>
      <c r="G92" s="32">
        <v>8324</v>
      </c>
      <c r="H92" s="32">
        <v>7848</v>
      </c>
      <c r="I92" s="32">
        <v>7494</v>
      </c>
      <c r="J92" s="32">
        <v>7600</v>
      </c>
      <c r="K92" s="32">
        <v>7291</v>
      </c>
      <c r="L92" s="32">
        <v>7835</v>
      </c>
      <c r="M92" s="32">
        <v>7860</v>
      </c>
      <c r="N92" s="32">
        <v>8205</v>
      </c>
      <c r="O92" s="32">
        <v>8063</v>
      </c>
      <c r="P92" s="32">
        <v>8256</v>
      </c>
      <c r="Q92" s="32">
        <v>8008</v>
      </c>
      <c r="R92" s="32">
        <v>8449</v>
      </c>
      <c r="S92" s="32">
        <v>8530</v>
      </c>
      <c r="T92" s="32">
        <v>8073</v>
      </c>
      <c r="U92" s="32">
        <v>7899</v>
      </c>
      <c r="V92" s="32">
        <v>7653</v>
      </c>
      <c r="W92" s="32">
        <v>7923</v>
      </c>
      <c r="X92" s="32">
        <v>8146</v>
      </c>
      <c r="Y92" s="32">
        <v>8701</v>
      </c>
      <c r="Z92" s="32">
        <v>7538</v>
      </c>
      <c r="AA92" s="32">
        <v>7030</v>
      </c>
      <c r="AB92" s="32">
        <v>6987</v>
      </c>
      <c r="AC92" s="32">
        <v>6799</v>
      </c>
      <c r="AD92" s="32">
        <v>6635</v>
      </c>
      <c r="AE92" s="32">
        <v>6346</v>
      </c>
      <c r="AF92" s="32">
        <v>6134</v>
      </c>
      <c r="AG92" s="32">
        <v>6084</v>
      </c>
      <c r="AH92" s="32">
        <v>6063</v>
      </c>
      <c r="AI92" s="32">
        <v>6083</v>
      </c>
      <c r="AJ92" s="32">
        <v>5912</v>
      </c>
      <c r="AK92" s="32">
        <v>5931</v>
      </c>
      <c r="AL92" s="32">
        <v>5988</v>
      </c>
      <c r="AM92" s="32">
        <v>5980</v>
      </c>
      <c r="AN92" s="32">
        <v>5809</v>
      </c>
      <c r="AO92" s="32">
        <v>5806</v>
      </c>
      <c r="AP92" s="32">
        <v>5867</v>
      </c>
      <c r="AQ92" s="32">
        <v>5933</v>
      </c>
      <c r="AR92" s="32">
        <v>5810</v>
      </c>
      <c r="AS92" s="32">
        <v>5525</v>
      </c>
      <c r="AT92" s="32">
        <v>5508</v>
      </c>
      <c r="AU92" s="32">
        <v>5364</v>
      </c>
      <c r="AV92" s="32">
        <v>5342</v>
      </c>
      <c r="AW92" s="32">
        <v>4972</v>
      </c>
      <c r="AX92" s="32">
        <v>4994</v>
      </c>
      <c r="AY92" s="32">
        <v>4961</v>
      </c>
      <c r="AZ92" s="32">
        <v>5074</v>
      </c>
      <c r="BA92" s="32">
        <v>5013</v>
      </c>
      <c r="BB92" s="32">
        <v>4776</v>
      </c>
      <c r="BC92" s="32">
        <v>4766</v>
      </c>
      <c r="BD92" s="32">
        <v>5054</v>
      </c>
      <c r="BE92" s="32">
        <v>5265</v>
      </c>
      <c r="BF92" s="32">
        <v>5255</v>
      </c>
      <c r="BG92" s="32">
        <v>5085</v>
      </c>
      <c r="BH92" s="32">
        <v>4950</v>
      </c>
      <c r="BI92" s="32">
        <v>5251</v>
      </c>
      <c r="BJ92" s="32">
        <v>5373</v>
      </c>
      <c r="BK92" s="32">
        <v>5421</v>
      </c>
      <c r="BL92" s="33">
        <v>5325</v>
      </c>
    </row>
    <row r="93" spans="1:64" ht="15.95" customHeight="1">
      <c r="A93" s="68" t="s">
        <v>350</v>
      </c>
      <c r="B93" s="28" t="s">
        <v>154</v>
      </c>
      <c r="C93" s="42">
        <f>_xll.RssMarket("7746","高値")</f>
        <v>857</v>
      </c>
      <c r="D93" s="41">
        <f t="shared" si="1"/>
        <v>0</v>
      </c>
      <c r="E93" s="32">
        <v>857</v>
      </c>
      <c r="F93" s="32">
        <v>897</v>
      </c>
      <c r="G93" s="32">
        <v>856</v>
      </c>
      <c r="H93" s="32">
        <v>745</v>
      </c>
      <c r="I93" s="32">
        <v>782</v>
      </c>
      <c r="J93" s="32">
        <v>729</v>
      </c>
      <c r="K93" s="32">
        <v>769</v>
      </c>
      <c r="L93" s="32">
        <v>793</v>
      </c>
      <c r="M93" s="32">
        <v>786</v>
      </c>
      <c r="N93" s="32">
        <v>815</v>
      </c>
      <c r="O93" s="32">
        <v>803</v>
      </c>
      <c r="P93" s="32">
        <v>900</v>
      </c>
      <c r="Q93" s="32">
        <v>866</v>
      </c>
      <c r="R93" s="32">
        <v>909</v>
      </c>
      <c r="S93" s="32">
        <v>939</v>
      </c>
      <c r="T93" s="32">
        <v>918</v>
      </c>
      <c r="U93" s="32">
        <v>1034</v>
      </c>
      <c r="V93" s="32">
        <v>1090</v>
      </c>
      <c r="W93" s="32">
        <v>1054</v>
      </c>
      <c r="X93" s="32">
        <v>904</v>
      </c>
      <c r="Y93" s="32">
        <v>779</v>
      </c>
      <c r="Z93" s="32">
        <v>825</v>
      </c>
      <c r="AA93" s="32">
        <v>817</v>
      </c>
      <c r="AB93" s="32">
        <v>884</v>
      </c>
      <c r="AC93" s="32">
        <v>885</v>
      </c>
      <c r="AD93" s="32">
        <v>873</v>
      </c>
      <c r="AE93" s="32">
        <v>849</v>
      </c>
      <c r="AF93" s="32">
        <v>930</v>
      </c>
      <c r="AG93" s="32">
        <v>940</v>
      </c>
      <c r="AH93" s="32">
        <v>955</v>
      </c>
      <c r="AI93" s="32">
        <v>983</v>
      </c>
      <c r="AJ93" s="32">
        <v>1024</v>
      </c>
      <c r="AK93" s="32">
        <v>1008</v>
      </c>
      <c r="AL93" s="32">
        <v>1048</v>
      </c>
      <c r="AM93" s="32">
        <v>1082</v>
      </c>
      <c r="AN93" s="32">
        <v>962</v>
      </c>
      <c r="AO93" s="32">
        <v>1000</v>
      </c>
      <c r="AP93" s="32">
        <v>1003</v>
      </c>
      <c r="AQ93" s="32">
        <v>1003</v>
      </c>
      <c r="AR93" s="32">
        <v>1010</v>
      </c>
      <c r="AS93" s="32">
        <v>1062</v>
      </c>
      <c r="AT93" s="32">
        <v>1088</v>
      </c>
      <c r="AU93" s="32">
        <v>1149</v>
      </c>
      <c r="AV93" s="32">
        <v>1070</v>
      </c>
      <c r="AW93" s="32">
        <v>1019</v>
      </c>
      <c r="AX93" s="32">
        <v>1059</v>
      </c>
      <c r="AY93" s="32">
        <v>1127</v>
      </c>
      <c r="AZ93" s="32">
        <v>1170</v>
      </c>
      <c r="BA93" s="32">
        <v>1147</v>
      </c>
      <c r="BB93" s="32">
        <v>1080</v>
      </c>
      <c r="BC93" s="32">
        <v>967</v>
      </c>
      <c r="BD93" s="32">
        <v>1008</v>
      </c>
      <c r="BE93" s="32">
        <v>1025</v>
      </c>
      <c r="BF93" s="32">
        <v>1067</v>
      </c>
      <c r="BG93" s="32">
        <v>1150</v>
      </c>
      <c r="BH93" s="32">
        <v>1118</v>
      </c>
      <c r="BI93" s="32">
        <v>1140</v>
      </c>
      <c r="BJ93" s="32">
        <v>1190</v>
      </c>
      <c r="BK93" s="32">
        <v>1238</v>
      </c>
      <c r="BL93" s="33">
        <v>1034</v>
      </c>
    </row>
    <row r="94" spans="1:64" ht="15.95" customHeight="1">
      <c r="A94" s="68" t="s">
        <v>351</v>
      </c>
      <c r="B94" s="28" t="s">
        <v>155</v>
      </c>
      <c r="C94" s="42">
        <f>_xll.RssMarket("3407","高値")</f>
        <v>1790</v>
      </c>
      <c r="D94" s="41">
        <f t="shared" si="1"/>
        <v>0</v>
      </c>
      <c r="E94" s="32">
        <v>1790</v>
      </c>
      <c r="F94" s="32">
        <v>1768</v>
      </c>
      <c r="G94" s="32">
        <v>1834.5</v>
      </c>
      <c r="H94" s="32">
        <v>1812</v>
      </c>
      <c r="I94" s="32">
        <v>1770</v>
      </c>
      <c r="J94" s="32">
        <v>1785</v>
      </c>
      <c r="K94" s="32">
        <v>1803.5</v>
      </c>
      <c r="L94" s="32">
        <v>1787.5</v>
      </c>
      <c r="M94" s="32">
        <v>1783.5</v>
      </c>
      <c r="N94" s="32">
        <v>1773.5</v>
      </c>
      <c r="O94" s="32">
        <v>1802.5</v>
      </c>
      <c r="P94" s="32">
        <v>1760</v>
      </c>
      <c r="Q94" s="32">
        <v>1777.5</v>
      </c>
      <c r="R94" s="32">
        <v>1792</v>
      </c>
      <c r="S94" s="32">
        <v>1727</v>
      </c>
      <c r="T94" s="32">
        <v>1740</v>
      </c>
      <c r="U94" s="32">
        <v>1699</v>
      </c>
      <c r="V94" s="32">
        <v>1703.5</v>
      </c>
      <c r="W94" s="32">
        <v>1714</v>
      </c>
      <c r="X94" s="32">
        <v>1742</v>
      </c>
      <c r="Y94" s="32">
        <v>1758.5</v>
      </c>
      <c r="Z94" s="32">
        <v>1759.5</v>
      </c>
      <c r="AA94" s="32">
        <v>1664</v>
      </c>
      <c r="AB94" s="32">
        <v>1546.5</v>
      </c>
      <c r="AC94" s="32">
        <v>1543</v>
      </c>
      <c r="AD94" s="32">
        <v>1581</v>
      </c>
      <c r="AE94" s="32">
        <v>1527.5</v>
      </c>
      <c r="AF94" s="32">
        <v>1538</v>
      </c>
      <c r="AG94" s="32">
        <v>1549</v>
      </c>
      <c r="AH94" s="32">
        <v>1535.5</v>
      </c>
      <c r="AI94" s="32">
        <v>1545</v>
      </c>
      <c r="AJ94" s="32">
        <v>1533</v>
      </c>
      <c r="AK94" s="32">
        <v>1551.5</v>
      </c>
      <c r="AL94" s="32">
        <v>1578</v>
      </c>
      <c r="AM94" s="32">
        <v>1605.5</v>
      </c>
      <c r="AN94" s="32">
        <v>1618</v>
      </c>
      <c r="AO94" s="32">
        <v>1620</v>
      </c>
      <c r="AP94" s="32">
        <v>1630.5</v>
      </c>
      <c r="AQ94" s="32">
        <v>1635</v>
      </c>
      <c r="AR94" s="32">
        <v>1635</v>
      </c>
      <c r="AS94" s="32">
        <v>1658.5</v>
      </c>
      <c r="AT94" s="32">
        <v>1667.5</v>
      </c>
      <c r="AU94" s="32">
        <v>1658</v>
      </c>
      <c r="AV94" s="32">
        <v>1556.5</v>
      </c>
      <c r="AW94" s="32">
        <v>1565.5</v>
      </c>
      <c r="AX94" s="32">
        <v>1573</v>
      </c>
      <c r="AY94" s="32">
        <v>1602.5</v>
      </c>
      <c r="AZ94" s="32">
        <v>1596.5</v>
      </c>
      <c r="BA94" s="32">
        <v>1540.5</v>
      </c>
      <c r="BB94" s="32">
        <v>1508.5</v>
      </c>
      <c r="BC94" s="32">
        <v>1569.5</v>
      </c>
      <c r="BD94" s="32">
        <v>1582</v>
      </c>
      <c r="BE94" s="32">
        <v>1583</v>
      </c>
      <c r="BF94" s="32">
        <v>1534.5</v>
      </c>
      <c r="BG94" s="32">
        <v>1517</v>
      </c>
      <c r="BH94" s="32">
        <v>1581.5</v>
      </c>
      <c r="BI94" s="32">
        <v>1638</v>
      </c>
      <c r="BJ94" s="32">
        <v>1637</v>
      </c>
      <c r="BK94" s="32">
        <v>1605</v>
      </c>
      <c r="BL94" s="33">
        <v>1644.5</v>
      </c>
    </row>
    <row r="95" spans="1:64" ht="15.95" customHeight="1">
      <c r="A95" s="68" t="s">
        <v>352</v>
      </c>
      <c r="B95" s="28" t="s">
        <v>156</v>
      </c>
      <c r="C95" s="42">
        <f>_xll.RssMarket("4008","高値")</f>
        <v>1335</v>
      </c>
      <c r="D95" s="41">
        <f t="shared" si="1"/>
        <v>0</v>
      </c>
      <c r="E95" s="43">
        <v>1335</v>
      </c>
      <c r="F95" s="43">
        <v>1329</v>
      </c>
      <c r="G95" s="43">
        <v>1334</v>
      </c>
      <c r="H95" s="43">
        <v>1307</v>
      </c>
      <c r="I95" s="32">
        <v>1256</v>
      </c>
      <c r="J95" s="32">
        <v>1279</v>
      </c>
      <c r="K95" s="32">
        <v>1267</v>
      </c>
      <c r="L95" s="32">
        <v>1289</v>
      </c>
      <c r="M95" s="32">
        <v>1301</v>
      </c>
      <c r="N95" s="32">
        <v>1317</v>
      </c>
      <c r="O95" s="32">
        <v>1292</v>
      </c>
      <c r="P95" s="32">
        <v>1346</v>
      </c>
      <c r="Q95" s="32">
        <v>1326</v>
      </c>
      <c r="R95" s="32">
        <v>1319</v>
      </c>
      <c r="S95" s="32">
        <v>1307</v>
      </c>
      <c r="T95" s="32">
        <v>1286</v>
      </c>
      <c r="U95" s="32">
        <v>1256</v>
      </c>
      <c r="V95" s="32">
        <v>1223</v>
      </c>
      <c r="W95" s="32">
        <v>1255</v>
      </c>
      <c r="X95" s="32">
        <v>1283</v>
      </c>
      <c r="Y95" s="32">
        <v>1260</v>
      </c>
      <c r="Z95" s="32">
        <v>1266</v>
      </c>
      <c r="AA95" s="32">
        <v>1260</v>
      </c>
      <c r="AB95" s="32">
        <v>1250</v>
      </c>
      <c r="AC95" s="32">
        <v>1222</v>
      </c>
      <c r="AD95" s="32">
        <v>1215</v>
      </c>
      <c r="AE95" s="32">
        <v>1227</v>
      </c>
      <c r="AF95" s="32">
        <v>1201</v>
      </c>
      <c r="AG95" s="32">
        <v>1203</v>
      </c>
      <c r="AH95" s="32">
        <v>1207</v>
      </c>
      <c r="AI95" s="32">
        <v>1198</v>
      </c>
      <c r="AJ95" s="32">
        <v>1212</v>
      </c>
      <c r="AK95" s="32">
        <v>1200</v>
      </c>
      <c r="AL95" s="32">
        <v>1245</v>
      </c>
      <c r="AM95" s="32">
        <v>1277</v>
      </c>
      <c r="AN95" s="32">
        <v>1282</v>
      </c>
      <c r="AO95" s="32">
        <v>1279</v>
      </c>
      <c r="AP95" s="32">
        <v>1290</v>
      </c>
      <c r="AQ95" s="32">
        <v>1299</v>
      </c>
      <c r="AR95" s="32">
        <v>1276</v>
      </c>
      <c r="AS95" s="32">
        <v>1266</v>
      </c>
      <c r="AT95" s="32">
        <v>1265</v>
      </c>
      <c r="AU95" s="32">
        <v>1275</v>
      </c>
      <c r="AV95" s="32">
        <v>1270</v>
      </c>
      <c r="AW95" s="32">
        <v>1245</v>
      </c>
      <c r="AX95" s="32">
        <v>1252</v>
      </c>
      <c r="AY95" s="32">
        <v>1227</v>
      </c>
      <c r="AZ95" s="32">
        <v>1243</v>
      </c>
      <c r="BA95" s="32">
        <v>1233</v>
      </c>
      <c r="BB95" s="32">
        <v>1217</v>
      </c>
      <c r="BC95" s="32">
        <v>1228</v>
      </c>
      <c r="BD95" s="32">
        <v>1268</v>
      </c>
      <c r="BE95" s="32">
        <v>1278</v>
      </c>
      <c r="BF95" s="32">
        <v>1280</v>
      </c>
      <c r="BG95" s="32">
        <v>1252</v>
      </c>
      <c r="BH95" s="32">
        <v>1232</v>
      </c>
      <c r="BI95" s="32">
        <v>1320</v>
      </c>
      <c r="BJ95" s="32">
        <v>1336</v>
      </c>
      <c r="BK95" s="32">
        <v>1338</v>
      </c>
      <c r="BL95" s="33">
        <v>1332</v>
      </c>
    </row>
    <row r="96" spans="1:64" ht="15.95" customHeight="1">
      <c r="A96" s="68" t="s">
        <v>353</v>
      </c>
      <c r="B96" s="28" t="s">
        <v>157</v>
      </c>
      <c r="C96" s="42">
        <f>_xll.RssMarket("4062","高値")</f>
        <v>24080</v>
      </c>
      <c r="D96" s="41">
        <f t="shared" si="1"/>
        <v>0</v>
      </c>
      <c r="E96" s="37">
        <v>24080</v>
      </c>
      <c r="F96" s="37">
        <v>23640</v>
      </c>
      <c r="G96" s="32">
        <v>22800</v>
      </c>
      <c r="H96" s="32">
        <v>20050</v>
      </c>
      <c r="I96" s="32">
        <v>18410</v>
      </c>
      <c r="J96" s="32">
        <v>18375</v>
      </c>
      <c r="K96" s="32">
        <v>17550</v>
      </c>
      <c r="L96" s="32">
        <v>19165</v>
      </c>
      <c r="M96" s="32">
        <v>21865</v>
      </c>
      <c r="N96" s="32">
        <v>22430</v>
      </c>
      <c r="O96" s="32">
        <v>22670</v>
      </c>
      <c r="P96" s="32">
        <v>23000</v>
      </c>
      <c r="Q96" s="32">
        <v>20845</v>
      </c>
      <c r="R96" s="32">
        <v>21610</v>
      </c>
      <c r="S96" s="32">
        <v>21275</v>
      </c>
      <c r="T96" s="32">
        <v>19340</v>
      </c>
      <c r="U96" s="32">
        <v>18225</v>
      </c>
      <c r="V96" s="32">
        <v>15665</v>
      </c>
      <c r="W96" s="32">
        <v>16130</v>
      </c>
      <c r="X96" s="32">
        <v>15710</v>
      </c>
      <c r="Y96" s="32">
        <v>17435</v>
      </c>
      <c r="Z96" s="32">
        <v>18000</v>
      </c>
      <c r="AA96" s="32">
        <v>17270</v>
      </c>
      <c r="AB96" s="32">
        <v>18365</v>
      </c>
      <c r="AC96" s="32">
        <v>16080</v>
      </c>
      <c r="AD96" s="32">
        <v>15605</v>
      </c>
      <c r="AE96" s="32">
        <v>16375</v>
      </c>
      <c r="AF96" s="32">
        <v>13640</v>
      </c>
      <c r="AG96" s="32">
        <v>13870</v>
      </c>
      <c r="AH96" s="32">
        <v>12980</v>
      </c>
      <c r="AI96" s="32">
        <v>13130</v>
      </c>
      <c r="AJ96" s="32">
        <v>12830</v>
      </c>
      <c r="AK96" s="32">
        <v>11515</v>
      </c>
      <c r="AL96" s="32">
        <v>11200</v>
      </c>
      <c r="AM96" s="32">
        <v>10560</v>
      </c>
      <c r="AN96" s="32">
        <v>9624</v>
      </c>
      <c r="AO96" s="32">
        <v>9468</v>
      </c>
      <c r="AP96" s="32">
        <v>9648</v>
      </c>
      <c r="AQ96" s="32">
        <v>10110</v>
      </c>
      <c r="AR96" s="32">
        <v>9997</v>
      </c>
      <c r="AS96" s="32">
        <v>9929</v>
      </c>
      <c r="AT96" s="32">
        <v>10050</v>
      </c>
      <c r="AU96" s="32">
        <v>9980</v>
      </c>
      <c r="AV96" s="32">
        <v>9794</v>
      </c>
      <c r="AW96" s="32">
        <v>8898</v>
      </c>
      <c r="AX96" s="32">
        <v>8740</v>
      </c>
      <c r="AY96" s="32">
        <v>8227</v>
      </c>
      <c r="AZ96" s="32">
        <v>8206</v>
      </c>
      <c r="BA96" s="32">
        <v>8088</v>
      </c>
      <c r="BB96" s="32">
        <v>7745</v>
      </c>
      <c r="BC96" s="32">
        <v>7781</v>
      </c>
      <c r="BD96" s="32">
        <v>8324</v>
      </c>
      <c r="BE96" s="32">
        <v>8639</v>
      </c>
      <c r="BF96" s="32">
        <v>8498</v>
      </c>
      <c r="BG96" s="32">
        <v>8163</v>
      </c>
      <c r="BH96" s="32">
        <v>7909</v>
      </c>
      <c r="BI96" s="32">
        <v>8352</v>
      </c>
      <c r="BJ96" s="32">
        <v>8557</v>
      </c>
      <c r="BK96" s="32">
        <v>8617</v>
      </c>
      <c r="BL96" s="33">
        <v>8223</v>
      </c>
    </row>
    <row r="97" spans="1:64" ht="15.95" customHeight="1">
      <c r="A97" s="68" t="s">
        <v>354</v>
      </c>
      <c r="B97" s="28" t="s">
        <v>158</v>
      </c>
      <c r="C97" s="42">
        <f>_xll.RssMarket("4182","高値")</f>
        <v>5174</v>
      </c>
      <c r="D97" s="41">
        <f t="shared" si="1"/>
        <v>0</v>
      </c>
      <c r="E97" s="37">
        <v>5174</v>
      </c>
      <c r="F97" s="37">
        <v>5166</v>
      </c>
      <c r="G97" s="32">
        <v>5186</v>
      </c>
      <c r="H97" s="32">
        <v>5076</v>
      </c>
      <c r="I97" s="32">
        <v>4488</v>
      </c>
      <c r="J97" s="32">
        <v>4621</v>
      </c>
      <c r="K97" s="32">
        <v>4857</v>
      </c>
      <c r="L97" s="32">
        <v>5211</v>
      </c>
      <c r="M97" s="32">
        <v>5364</v>
      </c>
      <c r="N97" s="32">
        <v>5492</v>
      </c>
      <c r="O97" s="32">
        <v>5414</v>
      </c>
      <c r="P97" s="32">
        <v>5626</v>
      </c>
      <c r="Q97" s="32">
        <v>5453</v>
      </c>
      <c r="R97" s="32">
        <v>5521</v>
      </c>
      <c r="S97" s="32">
        <v>5392</v>
      </c>
      <c r="T97" s="32">
        <v>5147</v>
      </c>
      <c r="U97" s="32">
        <v>5081</v>
      </c>
      <c r="V97" s="32">
        <v>4660</v>
      </c>
      <c r="W97" s="32">
        <v>4668</v>
      </c>
      <c r="X97" s="32">
        <v>4656</v>
      </c>
      <c r="Y97" s="32">
        <v>4943</v>
      </c>
      <c r="Z97" s="32">
        <v>5237</v>
      </c>
      <c r="AA97" s="32">
        <v>4933</v>
      </c>
      <c r="AB97" s="32">
        <v>4945</v>
      </c>
      <c r="AC97" s="32">
        <v>4739</v>
      </c>
      <c r="AD97" s="32">
        <v>4643</v>
      </c>
      <c r="AE97" s="32">
        <v>4732</v>
      </c>
      <c r="AF97" s="32">
        <v>4433</v>
      </c>
      <c r="AG97" s="32">
        <v>4427</v>
      </c>
      <c r="AH97" s="32">
        <v>4410</v>
      </c>
      <c r="AI97" s="32">
        <v>4410</v>
      </c>
      <c r="AJ97" s="32">
        <v>4445</v>
      </c>
      <c r="AK97" s="32">
        <v>4363</v>
      </c>
      <c r="AL97" s="32">
        <v>4367</v>
      </c>
      <c r="AM97" s="32">
        <v>4389</v>
      </c>
      <c r="AN97" s="32">
        <v>4354</v>
      </c>
      <c r="AO97" s="32">
        <v>4249</v>
      </c>
      <c r="AP97" s="32">
        <v>4260</v>
      </c>
      <c r="AQ97" s="32">
        <v>4335</v>
      </c>
      <c r="AR97" s="32">
        <v>4268</v>
      </c>
      <c r="AS97" s="32">
        <v>4212</v>
      </c>
      <c r="AT97" s="32">
        <v>4244</v>
      </c>
      <c r="AU97" s="32">
        <v>4215</v>
      </c>
      <c r="AV97" s="32">
        <v>4306</v>
      </c>
      <c r="AW97" s="32">
        <v>3979</v>
      </c>
      <c r="AX97" s="32">
        <v>3937</v>
      </c>
      <c r="AY97" s="32">
        <v>3809</v>
      </c>
      <c r="AZ97" s="32">
        <v>3899</v>
      </c>
      <c r="BA97" s="32">
        <v>3869</v>
      </c>
      <c r="BB97" s="32">
        <v>3657</v>
      </c>
      <c r="BC97" s="32">
        <v>3685</v>
      </c>
      <c r="BD97" s="32">
        <v>3896</v>
      </c>
      <c r="BE97" s="32">
        <v>4128</v>
      </c>
      <c r="BF97" s="32">
        <v>4068</v>
      </c>
      <c r="BG97" s="32">
        <v>3969</v>
      </c>
      <c r="BH97" s="32">
        <v>3870</v>
      </c>
      <c r="BI97" s="32">
        <v>4073</v>
      </c>
      <c r="BJ97" s="32">
        <v>4247</v>
      </c>
      <c r="BK97" s="32">
        <v>4230</v>
      </c>
      <c r="BL97" s="33">
        <v>4148</v>
      </c>
    </row>
    <row r="98" spans="1:64" ht="15.95" customHeight="1">
      <c r="A98" s="68" t="s">
        <v>355</v>
      </c>
      <c r="B98" s="28" t="s">
        <v>159</v>
      </c>
      <c r="C98" s="42">
        <f>_xll.RssMarket("4188","高値")</f>
        <v>1140</v>
      </c>
      <c r="D98" s="41">
        <f t="shared" si="1"/>
        <v>0</v>
      </c>
      <c r="E98" s="37">
        <v>1140</v>
      </c>
      <c r="F98" s="37">
        <v>1119</v>
      </c>
      <c r="G98" s="32">
        <v>1147</v>
      </c>
      <c r="H98" s="32">
        <v>1099</v>
      </c>
      <c r="I98" s="32">
        <v>1038</v>
      </c>
      <c r="J98" s="32">
        <v>1032.5</v>
      </c>
      <c r="K98" s="32">
        <v>1055.5</v>
      </c>
      <c r="L98" s="32">
        <v>1069.5</v>
      </c>
      <c r="M98" s="32">
        <v>1112.5</v>
      </c>
      <c r="N98" s="32">
        <v>1112</v>
      </c>
      <c r="O98" s="32">
        <v>1091.5</v>
      </c>
      <c r="P98" s="32">
        <v>1163</v>
      </c>
      <c r="Q98" s="32">
        <v>1125</v>
      </c>
      <c r="R98" s="32">
        <v>1145</v>
      </c>
      <c r="S98" s="32">
        <v>1124</v>
      </c>
      <c r="T98" s="32">
        <v>1032.5</v>
      </c>
      <c r="U98" s="32">
        <v>1027</v>
      </c>
      <c r="V98" s="32">
        <v>1020</v>
      </c>
      <c r="W98" s="32">
        <v>1033</v>
      </c>
      <c r="X98" s="32">
        <v>1019</v>
      </c>
      <c r="Y98" s="32">
        <v>1025</v>
      </c>
      <c r="Z98" s="32">
        <v>1057</v>
      </c>
      <c r="AA98" s="32">
        <v>1074.5</v>
      </c>
      <c r="AB98" s="32">
        <v>942.6</v>
      </c>
      <c r="AC98" s="32">
        <v>930.2</v>
      </c>
      <c r="AD98" s="32">
        <v>929.6</v>
      </c>
      <c r="AE98" s="32">
        <v>947.5</v>
      </c>
      <c r="AF98" s="32">
        <v>915</v>
      </c>
      <c r="AG98" s="32">
        <v>917.9</v>
      </c>
      <c r="AH98" s="32">
        <v>925.2</v>
      </c>
      <c r="AI98" s="32">
        <v>922</v>
      </c>
      <c r="AJ98" s="32">
        <v>927.4</v>
      </c>
      <c r="AK98" s="32">
        <v>933</v>
      </c>
      <c r="AL98" s="32">
        <v>962.2</v>
      </c>
      <c r="AM98" s="32">
        <v>977.4</v>
      </c>
      <c r="AN98" s="32">
        <v>995.5</v>
      </c>
      <c r="AO98" s="32">
        <v>995.5</v>
      </c>
      <c r="AP98" s="32">
        <v>1006.5</v>
      </c>
      <c r="AQ98" s="32">
        <v>1006.5</v>
      </c>
      <c r="AR98" s="32">
        <v>988.6</v>
      </c>
      <c r="AS98" s="32">
        <v>991.8</v>
      </c>
      <c r="AT98" s="32">
        <v>1007</v>
      </c>
      <c r="AU98" s="32">
        <v>1015.5</v>
      </c>
      <c r="AV98" s="32">
        <v>1004.5</v>
      </c>
      <c r="AW98" s="32">
        <v>926.8</v>
      </c>
      <c r="AX98" s="32">
        <v>930.7</v>
      </c>
      <c r="AY98" s="32">
        <v>921.4</v>
      </c>
      <c r="AZ98" s="32">
        <v>957.5</v>
      </c>
      <c r="BA98" s="32">
        <v>946.1</v>
      </c>
      <c r="BB98" s="32">
        <v>917.2</v>
      </c>
      <c r="BC98" s="32">
        <v>906.3</v>
      </c>
      <c r="BD98" s="32">
        <v>946.8</v>
      </c>
      <c r="BE98" s="32">
        <v>947.7</v>
      </c>
      <c r="BF98" s="32">
        <v>943</v>
      </c>
      <c r="BG98" s="32">
        <v>910</v>
      </c>
      <c r="BH98" s="32">
        <v>870.2</v>
      </c>
      <c r="BI98" s="32">
        <v>918.1</v>
      </c>
      <c r="BJ98" s="32">
        <v>955.1</v>
      </c>
      <c r="BK98" s="32">
        <v>932.8</v>
      </c>
      <c r="BL98" s="33">
        <v>917.2</v>
      </c>
    </row>
    <row r="99" spans="1:64" ht="15.95" customHeight="1">
      <c r="A99" s="68" t="s">
        <v>356</v>
      </c>
      <c r="B99" s="28" t="s">
        <v>160</v>
      </c>
      <c r="C99" s="42">
        <f>_xll.RssMarket("4523","高値")</f>
        <v>3886</v>
      </c>
      <c r="D99" s="41">
        <f t="shared" si="1"/>
        <v>0</v>
      </c>
      <c r="E99" s="37">
        <v>3886</v>
      </c>
      <c r="F99" s="37">
        <v>3799</v>
      </c>
      <c r="G99" s="32">
        <v>3840</v>
      </c>
      <c r="H99" s="32">
        <v>3790</v>
      </c>
      <c r="I99" s="32">
        <v>3739</v>
      </c>
      <c r="J99" s="32">
        <v>3749</v>
      </c>
      <c r="K99" s="32">
        <v>3866</v>
      </c>
      <c r="L99" s="32">
        <v>3856</v>
      </c>
      <c r="M99" s="32">
        <v>3853</v>
      </c>
      <c r="N99" s="32">
        <v>3818</v>
      </c>
      <c r="O99" s="32">
        <v>3853</v>
      </c>
      <c r="P99" s="32">
        <v>3994</v>
      </c>
      <c r="Q99" s="32">
        <v>4057</v>
      </c>
      <c r="R99" s="32">
        <v>4068</v>
      </c>
      <c r="S99" s="32">
        <v>4178</v>
      </c>
      <c r="T99" s="32">
        <v>4249</v>
      </c>
      <c r="U99" s="32">
        <v>4298</v>
      </c>
      <c r="V99" s="32">
        <v>4470</v>
      </c>
      <c r="W99" s="32">
        <v>4512</v>
      </c>
      <c r="X99" s="32">
        <v>4529</v>
      </c>
      <c r="Y99" s="32">
        <v>4739</v>
      </c>
      <c r="Z99" s="32">
        <v>4748</v>
      </c>
      <c r="AA99" s="32">
        <v>4736</v>
      </c>
      <c r="AB99" s="32">
        <v>4737</v>
      </c>
      <c r="AC99" s="32">
        <v>4669</v>
      </c>
      <c r="AD99" s="32">
        <v>4761</v>
      </c>
      <c r="AE99" s="32">
        <v>4765</v>
      </c>
      <c r="AF99" s="32">
        <v>4694</v>
      </c>
      <c r="AG99" s="32">
        <v>4705</v>
      </c>
      <c r="AH99" s="32">
        <v>4635</v>
      </c>
      <c r="AI99" s="32">
        <v>4653</v>
      </c>
      <c r="AJ99" s="32">
        <v>4778</v>
      </c>
      <c r="AK99" s="32">
        <v>4821</v>
      </c>
      <c r="AL99" s="32">
        <v>4960</v>
      </c>
      <c r="AM99" s="32">
        <v>4901</v>
      </c>
      <c r="AN99" s="32">
        <v>4924</v>
      </c>
      <c r="AO99" s="32">
        <v>5033</v>
      </c>
      <c r="AP99" s="32">
        <v>5077</v>
      </c>
      <c r="AQ99" s="32">
        <v>5030</v>
      </c>
      <c r="AR99" s="32">
        <v>4955</v>
      </c>
      <c r="AS99" s="32">
        <v>4988</v>
      </c>
      <c r="AT99" s="32">
        <v>5165</v>
      </c>
      <c r="AU99" s="32">
        <v>5233</v>
      </c>
      <c r="AV99" s="32">
        <v>5229</v>
      </c>
      <c r="AW99" s="32">
        <v>5163</v>
      </c>
      <c r="AX99" s="32">
        <v>5172</v>
      </c>
      <c r="AY99" s="32">
        <v>5065</v>
      </c>
      <c r="AZ99" s="32">
        <v>5180</v>
      </c>
      <c r="BA99" s="32">
        <v>5115</v>
      </c>
      <c r="BB99" s="32">
        <v>4953</v>
      </c>
      <c r="BC99" s="32">
        <v>4880</v>
      </c>
      <c r="BD99" s="32">
        <v>4998</v>
      </c>
      <c r="BE99" s="32">
        <v>4930</v>
      </c>
      <c r="BF99" s="32">
        <v>4910</v>
      </c>
      <c r="BG99" s="32">
        <v>4809</v>
      </c>
      <c r="BH99" s="32">
        <v>4718</v>
      </c>
      <c r="BI99" s="32">
        <v>4873</v>
      </c>
      <c r="BJ99" s="32">
        <v>4948</v>
      </c>
      <c r="BK99" s="32">
        <v>4862</v>
      </c>
      <c r="BL99" s="33">
        <v>4819</v>
      </c>
    </row>
    <row r="100" spans="1:64" ht="15.95" customHeight="1">
      <c r="A100" s="68" t="s">
        <v>357</v>
      </c>
      <c r="B100" s="28" t="s">
        <v>161</v>
      </c>
      <c r="C100" s="42">
        <f>_xll.RssMarket("4528","高値")</f>
        <v>2277</v>
      </c>
      <c r="D100" s="41">
        <f t="shared" si="1"/>
        <v>0</v>
      </c>
      <c r="E100" s="37">
        <v>2277</v>
      </c>
      <c r="F100" s="37">
        <v>2289.5</v>
      </c>
      <c r="G100" s="32">
        <v>2310.5</v>
      </c>
      <c r="H100" s="32">
        <v>2246</v>
      </c>
      <c r="I100" s="32">
        <v>2232</v>
      </c>
      <c r="J100" s="32">
        <v>2273.5</v>
      </c>
      <c r="K100" s="32">
        <v>2234</v>
      </c>
      <c r="L100" s="32">
        <v>2228.5</v>
      </c>
      <c r="M100" s="32">
        <v>2204</v>
      </c>
      <c r="N100" s="32">
        <v>2297</v>
      </c>
      <c r="O100" s="32">
        <v>2419.5</v>
      </c>
      <c r="P100" s="32">
        <v>2407.5</v>
      </c>
      <c r="Q100" s="32">
        <v>2378</v>
      </c>
      <c r="R100" s="32">
        <v>2511</v>
      </c>
      <c r="S100" s="32">
        <v>2539</v>
      </c>
      <c r="T100" s="32">
        <v>2489</v>
      </c>
      <c r="U100" s="32">
        <v>2485.5</v>
      </c>
      <c r="V100" s="32">
        <v>2439.5</v>
      </c>
      <c r="W100" s="32">
        <v>2517</v>
      </c>
      <c r="X100" s="32">
        <v>2565</v>
      </c>
      <c r="Y100" s="32">
        <v>2573.5</v>
      </c>
      <c r="Z100" s="32">
        <v>2556.5</v>
      </c>
      <c r="AA100" s="32">
        <v>2509.5</v>
      </c>
      <c r="AB100" s="32">
        <v>2523.5</v>
      </c>
      <c r="AC100" s="32">
        <v>2480.5</v>
      </c>
      <c r="AD100" s="32">
        <v>2362</v>
      </c>
      <c r="AE100" s="32">
        <v>2328</v>
      </c>
      <c r="AF100" s="32">
        <v>2315</v>
      </c>
      <c r="AG100" s="32">
        <v>2316</v>
      </c>
      <c r="AH100" s="32">
        <v>2326.5</v>
      </c>
      <c r="AI100" s="32">
        <v>2350</v>
      </c>
      <c r="AJ100" s="32">
        <v>2319.5</v>
      </c>
      <c r="AK100" s="32">
        <v>2345</v>
      </c>
      <c r="AL100" s="32">
        <v>2413.5</v>
      </c>
      <c r="AM100" s="32">
        <v>2429.5</v>
      </c>
      <c r="AN100" s="32">
        <v>2468.5</v>
      </c>
      <c r="AO100" s="32">
        <v>2496</v>
      </c>
      <c r="AP100" s="32">
        <v>2495</v>
      </c>
      <c r="AQ100" s="32">
        <v>2516</v>
      </c>
      <c r="AR100" s="32">
        <v>2528</v>
      </c>
      <c r="AS100" s="32">
        <v>2565</v>
      </c>
      <c r="AT100" s="32">
        <v>2589</v>
      </c>
      <c r="AU100" s="32">
        <v>2604</v>
      </c>
      <c r="AV100" s="32">
        <v>2549</v>
      </c>
      <c r="AW100" s="32">
        <v>2565</v>
      </c>
      <c r="AX100" s="32">
        <v>2537</v>
      </c>
      <c r="AY100" s="32">
        <v>2599.5</v>
      </c>
      <c r="AZ100" s="32">
        <v>2579.5</v>
      </c>
      <c r="BA100" s="32">
        <v>2541</v>
      </c>
      <c r="BB100" s="32">
        <v>2519.5</v>
      </c>
      <c r="BC100" s="32">
        <v>2549</v>
      </c>
      <c r="BD100" s="32">
        <v>2507.5</v>
      </c>
      <c r="BE100" s="32">
        <v>2478.5</v>
      </c>
      <c r="BF100" s="32">
        <v>2396.5</v>
      </c>
      <c r="BG100" s="32">
        <v>2349.5</v>
      </c>
      <c r="BH100" s="32">
        <v>2396.5</v>
      </c>
      <c r="BI100" s="32">
        <v>2420</v>
      </c>
      <c r="BJ100" s="32">
        <v>2387.5</v>
      </c>
      <c r="BK100" s="32">
        <v>2354.5</v>
      </c>
      <c r="BL100" s="33">
        <v>2384.5</v>
      </c>
    </row>
    <row r="101" spans="1:64" ht="15.95" customHeight="1">
      <c r="A101" s="68" t="s">
        <v>358</v>
      </c>
      <c r="B101" s="28" t="s">
        <v>162</v>
      </c>
      <c r="C101" s="42">
        <f>_xll.RssMarket("4661","高値")</f>
        <v>2303.5</v>
      </c>
      <c r="D101" s="41">
        <f t="shared" si="1"/>
        <v>0</v>
      </c>
      <c r="E101" s="37">
        <v>2303.5</v>
      </c>
      <c r="F101" s="37">
        <v>2293.5</v>
      </c>
      <c r="G101" s="32">
        <v>2263.5</v>
      </c>
      <c r="H101" s="32">
        <v>2300</v>
      </c>
      <c r="I101" s="32">
        <v>2332</v>
      </c>
      <c r="J101" s="32">
        <v>2292.5</v>
      </c>
      <c r="K101" s="32">
        <v>2257.5</v>
      </c>
      <c r="L101" s="32">
        <v>2227.5</v>
      </c>
      <c r="M101" s="32">
        <v>2215.5</v>
      </c>
      <c r="N101" s="32">
        <v>2231.5</v>
      </c>
      <c r="O101" s="32">
        <v>2238</v>
      </c>
      <c r="P101" s="32">
        <v>2327</v>
      </c>
      <c r="Q101" s="32">
        <v>2259</v>
      </c>
      <c r="R101" s="32">
        <v>2200</v>
      </c>
      <c r="S101" s="32">
        <v>2141</v>
      </c>
      <c r="T101" s="32">
        <v>2149</v>
      </c>
      <c r="U101" s="32">
        <v>2202.5</v>
      </c>
      <c r="V101" s="32">
        <v>2245.5</v>
      </c>
      <c r="W101" s="32">
        <v>2232.5</v>
      </c>
      <c r="X101" s="32">
        <v>2188</v>
      </c>
      <c r="Y101" s="32">
        <v>2166</v>
      </c>
      <c r="Z101" s="32">
        <v>2171</v>
      </c>
      <c r="AA101" s="32">
        <v>2223</v>
      </c>
      <c r="AB101" s="32">
        <v>2211</v>
      </c>
      <c r="AC101" s="32">
        <v>2234.5</v>
      </c>
      <c r="AD101" s="32">
        <v>2274</v>
      </c>
      <c r="AE101" s="32">
        <v>2247.5</v>
      </c>
      <c r="AF101" s="32">
        <v>2232</v>
      </c>
      <c r="AG101" s="32">
        <v>2266.5</v>
      </c>
      <c r="AH101" s="32">
        <v>2434.5</v>
      </c>
      <c r="AI101" s="32">
        <v>2424</v>
      </c>
      <c r="AJ101" s="32">
        <v>2470</v>
      </c>
      <c r="AK101" s="32">
        <v>2576</v>
      </c>
      <c r="AL101" s="32">
        <v>2626.5</v>
      </c>
      <c r="AM101" s="32">
        <v>2654</v>
      </c>
      <c r="AN101" s="32">
        <v>2665</v>
      </c>
      <c r="AO101" s="32">
        <v>2658</v>
      </c>
      <c r="AP101" s="32">
        <v>2696</v>
      </c>
      <c r="AQ101" s="32">
        <v>2647.5</v>
      </c>
      <c r="AR101" s="32">
        <v>2615</v>
      </c>
      <c r="AS101" s="32">
        <v>2615</v>
      </c>
      <c r="AT101" s="32">
        <v>2616</v>
      </c>
      <c r="AU101" s="32">
        <v>2691.5</v>
      </c>
      <c r="AV101" s="32">
        <v>2687</v>
      </c>
      <c r="AW101" s="32">
        <v>2693.5</v>
      </c>
      <c r="AX101" s="32">
        <v>2730</v>
      </c>
      <c r="AY101" s="32">
        <v>2763</v>
      </c>
      <c r="AZ101" s="32">
        <v>2768.5</v>
      </c>
      <c r="BA101" s="32">
        <v>2738</v>
      </c>
      <c r="BB101" s="32">
        <v>2729.5</v>
      </c>
      <c r="BC101" s="32">
        <v>2669</v>
      </c>
      <c r="BD101" s="32">
        <v>2748</v>
      </c>
      <c r="BE101" s="32">
        <v>2704</v>
      </c>
      <c r="BF101" s="32">
        <v>2722</v>
      </c>
      <c r="BG101" s="32">
        <v>2703.5</v>
      </c>
      <c r="BH101" s="32">
        <v>2748</v>
      </c>
      <c r="BI101" s="32">
        <v>2799.5</v>
      </c>
      <c r="BJ101" s="32">
        <v>2847</v>
      </c>
      <c r="BK101" s="32">
        <v>2827</v>
      </c>
      <c r="BL101" s="33">
        <v>2813</v>
      </c>
    </row>
    <row r="102" spans="1:64" ht="15.95" customHeight="1">
      <c r="A102" s="68" t="s">
        <v>359</v>
      </c>
      <c r="B102" s="28" t="s">
        <v>163</v>
      </c>
      <c r="C102" s="42">
        <f>_xll.RssMarket("5802","高値")</f>
        <v>12415</v>
      </c>
      <c r="D102" s="41">
        <f t="shared" si="1"/>
        <v>0</v>
      </c>
      <c r="E102" s="37">
        <v>12415</v>
      </c>
      <c r="F102" s="37">
        <v>12605</v>
      </c>
      <c r="G102" s="32">
        <v>11640</v>
      </c>
      <c r="H102" s="32">
        <v>11280</v>
      </c>
      <c r="I102" s="32">
        <v>10470</v>
      </c>
      <c r="J102" s="32">
        <v>11585</v>
      </c>
      <c r="K102" s="32">
        <v>12395</v>
      </c>
      <c r="L102" s="32">
        <v>13300</v>
      </c>
      <c r="M102" s="32">
        <v>14135</v>
      </c>
      <c r="N102" s="32">
        <v>14850</v>
      </c>
      <c r="O102" s="32">
        <v>13340</v>
      </c>
      <c r="P102" s="32">
        <v>12585</v>
      </c>
      <c r="Q102" s="32">
        <v>12075</v>
      </c>
      <c r="R102" s="32">
        <v>12910</v>
      </c>
      <c r="S102" s="32">
        <v>12550</v>
      </c>
      <c r="T102" s="32">
        <v>11890</v>
      </c>
      <c r="U102" s="32">
        <v>10995</v>
      </c>
      <c r="V102" s="32">
        <v>10770</v>
      </c>
      <c r="W102" s="32">
        <v>11350</v>
      </c>
      <c r="X102" s="32">
        <v>11735</v>
      </c>
      <c r="Y102" s="32">
        <v>12425</v>
      </c>
      <c r="Z102" s="32">
        <v>13030</v>
      </c>
      <c r="AA102" s="32">
        <v>12845</v>
      </c>
      <c r="AB102" s="32">
        <v>12745</v>
      </c>
      <c r="AC102" s="32">
        <v>11670</v>
      </c>
      <c r="AD102" s="32">
        <v>11310</v>
      </c>
      <c r="AE102" s="32">
        <v>11345</v>
      </c>
      <c r="AF102" s="32">
        <v>10320</v>
      </c>
      <c r="AG102" s="32">
        <v>10270</v>
      </c>
      <c r="AH102" s="32">
        <v>10190</v>
      </c>
      <c r="AI102" s="32">
        <v>10190</v>
      </c>
      <c r="AJ102" s="32">
        <v>10405</v>
      </c>
      <c r="AK102" s="32">
        <v>10845</v>
      </c>
      <c r="AL102" s="32">
        <v>10760</v>
      </c>
      <c r="AM102" s="32">
        <v>10560</v>
      </c>
      <c r="AN102" s="32">
        <v>10315</v>
      </c>
      <c r="AO102" s="32">
        <v>10130</v>
      </c>
      <c r="AP102" s="32">
        <v>10150</v>
      </c>
      <c r="AQ102" s="32">
        <v>10380</v>
      </c>
      <c r="AR102" s="32">
        <v>10230</v>
      </c>
      <c r="AS102" s="32">
        <v>10835</v>
      </c>
      <c r="AT102" s="32">
        <v>10615</v>
      </c>
      <c r="AU102" s="32">
        <v>10570</v>
      </c>
      <c r="AV102" s="32">
        <v>10400</v>
      </c>
      <c r="AW102" s="32">
        <v>9557</v>
      </c>
      <c r="AX102" s="32">
        <v>9899</v>
      </c>
      <c r="AY102" s="32">
        <v>9650</v>
      </c>
      <c r="AZ102" s="32">
        <v>9555</v>
      </c>
      <c r="BA102" s="32">
        <v>9269</v>
      </c>
      <c r="BB102" s="32">
        <v>8829</v>
      </c>
      <c r="BC102" s="32">
        <v>9034</v>
      </c>
      <c r="BD102" s="32">
        <v>9565</v>
      </c>
      <c r="BE102" s="32">
        <v>10320</v>
      </c>
      <c r="BF102" s="32">
        <v>10310</v>
      </c>
      <c r="BG102" s="32">
        <v>9971</v>
      </c>
      <c r="BH102" s="32">
        <v>9362</v>
      </c>
      <c r="BI102" s="32">
        <v>10115</v>
      </c>
      <c r="BJ102" s="32">
        <v>10040</v>
      </c>
      <c r="BK102" s="32">
        <v>10300</v>
      </c>
      <c r="BL102" s="33">
        <v>10415</v>
      </c>
    </row>
    <row r="103" spans="1:64" ht="15.95" customHeight="1">
      <c r="A103" s="68" t="s">
        <v>360</v>
      </c>
      <c r="B103" s="28" t="s">
        <v>164</v>
      </c>
      <c r="C103" s="42">
        <f>_xll.RssMarket("5803","高値")</f>
        <v>4763</v>
      </c>
      <c r="D103" s="41">
        <f t="shared" si="1"/>
        <v>0</v>
      </c>
      <c r="E103" s="37">
        <v>4763</v>
      </c>
      <c r="F103" s="37">
        <v>4829</v>
      </c>
      <c r="G103" s="32">
        <v>4492</v>
      </c>
      <c r="H103" s="32">
        <v>4357</v>
      </c>
      <c r="I103" s="32">
        <v>4162</v>
      </c>
      <c r="J103" s="32">
        <v>4412</v>
      </c>
      <c r="K103" s="32">
        <v>4525</v>
      </c>
      <c r="L103" s="32">
        <v>4825</v>
      </c>
      <c r="M103" s="32">
        <v>4866</v>
      </c>
      <c r="N103" s="32">
        <v>5163</v>
      </c>
      <c r="O103" s="32">
        <v>4666</v>
      </c>
      <c r="P103" s="32">
        <v>5047</v>
      </c>
      <c r="Q103" s="32">
        <v>5196</v>
      </c>
      <c r="R103" s="32">
        <v>5555</v>
      </c>
      <c r="S103" s="32">
        <v>5550</v>
      </c>
      <c r="T103" s="32">
        <v>5031</v>
      </c>
      <c r="U103" s="32">
        <v>4662</v>
      </c>
      <c r="V103" s="32">
        <v>4516</v>
      </c>
      <c r="W103" s="32">
        <v>5639</v>
      </c>
      <c r="X103" s="32">
        <v>5969</v>
      </c>
      <c r="Y103" s="32">
        <v>6999</v>
      </c>
      <c r="Z103" s="32">
        <v>7933</v>
      </c>
      <c r="AA103" s="32">
        <v>7915</v>
      </c>
      <c r="AB103" s="32">
        <v>7770</v>
      </c>
      <c r="AC103" s="32">
        <v>6980</v>
      </c>
      <c r="AD103" s="32">
        <v>6582</v>
      </c>
      <c r="AE103" s="32">
        <v>6500</v>
      </c>
      <c r="AF103" s="32">
        <v>6027</v>
      </c>
      <c r="AG103" s="32">
        <v>6083</v>
      </c>
      <c r="AH103" s="32">
        <v>6321</v>
      </c>
      <c r="AI103" s="32">
        <v>6397</v>
      </c>
      <c r="AJ103" s="32">
        <v>6100</v>
      </c>
      <c r="AK103" s="32">
        <v>6218</v>
      </c>
      <c r="AL103" s="32">
        <v>5989</v>
      </c>
      <c r="AM103" s="32">
        <v>5889</v>
      </c>
      <c r="AN103" s="32">
        <v>5898</v>
      </c>
      <c r="AO103" s="32">
        <v>5987</v>
      </c>
      <c r="AP103" s="32">
        <v>5959</v>
      </c>
      <c r="AQ103" s="32">
        <v>6037</v>
      </c>
      <c r="AR103" s="32">
        <v>5985</v>
      </c>
      <c r="AS103" s="32">
        <v>6004</v>
      </c>
      <c r="AT103" s="32">
        <v>5644</v>
      </c>
      <c r="AU103" s="32">
        <v>5073</v>
      </c>
      <c r="AV103" s="32">
        <v>4888</v>
      </c>
      <c r="AW103" s="32">
        <v>4600</v>
      </c>
      <c r="AX103" s="32">
        <v>4732</v>
      </c>
      <c r="AY103" s="32">
        <v>4654</v>
      </c>
      <c r="AZ103" s="32">
        <v>4662</v>
      </c>
      <c r="BA103" s="32">
        <v>4470</v>
      </c>
      <c r="BB103" s="32">
        <v>4281</v>
      </c>
      <c r="BC103" s="32">
        <v>4526</v>
      </c>
      <c r="BD103" s="32">
        <v>4687.5</v>
      </c>
      <c r="BE103" s="32">
        <v>4847.5</v>
      </c>
      <c r="BF103" s="32">
        <v>4610.8</v>
      </c>
      <c r="BG103" s="32">
        <v>4323.3</v>
      </c>
      <c r="BH103" s="32">
        <v>4135.8</v>
      </c>
      <c r="BI103" s="32">
        <v>4338.3</v>
      </c>
      <c r="BJ103" s="32">
        <v>4285</v>
      </c>
      <c r="BK103" s="32">
        <v>4350</v>
      </c>
      <c r="BL103" s="33">
        <v>4450.8</v>
      </c>
    </row>
    <row r="104" spans="1:64" ht="15.95" customHeight="1">
      <c r="A104" s="68" t="s">
        <v>361</v>
      </c>
      <c r="B104" s="28" t="s">
        <v>165</v>
      </c>
      <c r="C104" s="42">
        <f>_xll.RssMarket("6178","高値")</f>
        <v>2279.5</v>
      </c>
      <c r="D104" s="41">
        <f t="shared" si="1"/>
        <v>0</v>
      </c>
      <c r="E104" s="37">
        <v>2279.5</v>
      </c>
      <c r="F104" s="37">
        <v>2264.5</v>
      </c>
      <c r="G104" s="32">
        <v>2344.5</v>
      </c>
      <c r="H104" s="32">
        <v>2361</v>
      </c>
      <c r="I104" s="32">
        <v>2252</v>
      </c>
      <c r="J104" s="32">
        <v>2246.5</v>
      </c>
      <c r="K104" s="32">
        <v>2147.5</v>
      </c>
      <c r="L104" s="32">
        <v>2177</v>
      </c>
      <c r="M104" s="32">
        <v>2145.5</v>
      </c>
      <c r="N104" s="32">
        <v>2125</v>
      </c>
      <c r="O104" s="32">
        <v>2074</v>
      </c>
      <c r="P104" s="32">
        <v>2075</v>
      </c>
      <c r="Q104" s="32">
        <v>2037.5</v>
      </c>
      <c r="R104" s="32">
        <v>2093</v>
      </c>
      <c r="S104" s="32">
        <v>2128</v>
      </c>
      <c r="T104" s="32">
        <v>2138.5</v>
      </c>
      <c r="U104" s="32">
        <v>2154.5</v>
      </c>
      <c r="V104" s="32">
        <v>2139.5</v>
      </c>
      <c r="W104" s="32">
        <v>2115.5</v>
      </c>
      <c r="X104" s="32">
        <v>2068</v>
      </c>
      <c r="Y104" s="32">
        <v>1981.5</v>
      </c>
      <c r="Z104" s="32">
        <v>1956.5</v>
      </c>
      <c r="AA104" s="32">
        <v>1944.5</v>
      </c>
      <c r="AB104" s="32">
        <v>1911</v>
      </c>
      <c r="AC104" s="32">
        <v>1871.5</v>
      </c>
      <c r="AD104" s="32">
        <v>1859.5</v>
      </c>
      <c r="AE104" s="32">
        <v>1871.5</v>
      </c>
      <c r="AF104" s="32">
        <v>1819</v>
      </c>
      <c r="AG104" s="32">
        <v>1829</v>
      </c>
      <c r="AH104" s="32">
        <v>1826.5</v>
      </c>
      <c r="AI104" s="32">
        <v>1773</v>
      </c>
      <c r="AJ104" s="32">
        <v>1789</v>
      </c>
      <c r="AK104" s="32">
        <v>1789</v>
      </c>
      <c r="AL104" s="32">
        <v>1821.5</v>
      </c>
      <c r="AM104" s="32">
        <v>1861</v>
      </c>
      <c r="AN104" s="32">
        <v>1885</v>
      </c>
      <c r="AO104" s="32">
        <v>1889.5</v>
      </c>
      <c r="AP104" s="32">
        <v>1903</v>
      </c>
      <c r="AQ104" s="32">
        <v>1878</v>
      </c>
      <c r="AR104" s="32">
        <v>1882</v>
      </c>
      <c r="AS104" s="32">
        <v>1867.5</v>
      </c>
      <c r="AT104" s="32">
        <v>1893.5</v>
      </c>
      <c r="AU104" s="32">
        <v>1918</v>
      </c>
      <c r="AV104" s="32">
        <v>1925</v>
      </c>
      <c r="AW104" s="32">
        <v>1874</v>
      </c>
      <c r="AX104" s="32">
        <v>1896.5</v>
      </c>
      <c r="AY104" s="32">
        <v>1845</v>
      </c>
      <c r="AZ104" s="32">
        <v>1891</v>
      </c>
      <c r="BA104" s="32">
        <v>1883.5</v>
      </c>
      <c r="BB104" s="32">
        <v>1837</v>
      </c>
      <c r="BC104" s="32">
        <v>1804</v>
      </c>
      <c r="BD104" s="32">
        <v>1869</v>
      </c>
      <c r="BE104" s="32">
        <v>1864</v>
      </c>
      <c r="BF104" s="32">
        <v>1873.5</v>
      </c>
      <c r="BG104" s="32">
        <v>1816</v>
      </c>
      <c r="BH104" s="32">
        <v>1777</v>
      </c>
      <c r="BI104" s="32">
        <v>1824</v>
      </c>
      <c r="BJ104" s="32">
        <v>1851.5</v>
      </c>
      <c r="BK104" s="32">
        <v>1808.5</v>
      </c>
      <c r="BL104" s="33">
        <v>1792</v>
      </c>
    </row>
    <row r="105" spans="1:64" ht="15.95" customHeight="1">
      <c r="A105" s="68" t="s">
        <v>362</v>
      </c>
      <c r="B105" s="28" t="s">
        <v>166</v>
      </c>
      <c r="C105" s="42">
        <f>_xll.RssMarket("6925","高値")</f>
        <v>4620</v>
      </c>
      <c r="D105" s="41">
        <f t="shared" si="1"/>
        <v>0</v>
      </c>
      <c r="E105" s="37">
        <v>4620</v>
      </c>
      <c r="F105" s="37">
        <v>4340</v>
      </c>
      <c r="G105" s="32">
        <v>4284</v>
      </c>
      <c r="H105" s="32">
        <v>4196</v>
      </c>
      <c r="I105" s="32">
        <v>3956</v>
      </c>
      <c r="J105" s="32">
        <v>4085</v>
      </c>
      <c r="K105" s="32">
        <v>4082</v>
      </c>
      <c r="L105" s="32">
        <v>4328</v>
      </c>
      <c r="M105" s="32">
        <v>4310</v>
      </c>
      <c r="N105" s="32">
        <v>4198</v>
      </c>
      <c r="O105" s="32">
        <v>4088</v>
      </c>
      <c r="P105" s="32">
        <v>4264</v>
      </c>
      <c r="Q105" s="32">
        <v>4220</v>
      </c>
      <c r="R105" s="32">
        <v>4275</v>
      </c>
      <c r="S105" s="32">
        <v>4270</v>
      </c>
      <c r="T105" s="32">
        <v>4104</v>
      </c>
      <c r="U105" s="32">
        <v>4072</v>
      </c>
      <c r="V105" s="32">
        <v>3938</v>
      </c>
      <c r="W105" s="32">
        <v>4204</v>
      </c>
      <c r="X105" s="32">
        <v>4416</v>
      </c>
      <c r="Y105" s="32">
        <v>4239</v>
      </c>
      <c r="Z105" s="32">
        <v>3591</v>
      </c>
      <c r="AA105" s="32">
        <v>3524</v>
      </c>
      <c r="AB105" s="32">
        <v>3530</v>
      </c>
      <c r="AC105" s="32">
        <v>3437</v>
      </c>
      <c r="AD105" s="32">
        <v>3390</v>
      </c>
      <c r="AE105" s="32">
        <v>3419</v>
      </c>
      <c r="AF105" s="32">
        <v>3205</v>
      </c>
      <c r="AG105" s="32">
        <v>3183</v>
      </c>
      <c r="AH105" s="32">
        <v>3135</v>
      </c>
      <c r="AI105" s="32">
        <v>3224</v>
      </c>
      <c r="AJ105" s="32">
        <v>3246</v>
      </c>
      <c r="AK105" s="32">
        <v>3162</v>
      </c>
      <c r="AL105" s="32">
        <v>3185</v>
      </c>
      <c r="AM105" s="32">
        <v>3234</v>
      </c>
      <c r="AN105" s="32">
        <v>3222</v>
      </c>
      <c r="AO105" s="32">
        <v>3321</v>
      </c>
      <c r="AP105" s="32">
        <v>3337</v>
      </c>
      <c r="AQ105" s="32">
        <v>3325</v>
      </c>
      <c r="AR105" s="32">
        <v>3301</v>
      </c>
      <c r="AS105" s="32">
        <v>3257</v>
      </c>
      <c r="AT105" s="32">
        <v>3270</v>
      </c>
      <c r="AU105" s="32">
        <v>3220</v>
      </c>
      <c r="AV105" s="32">
        <v>3178</v>
      </c>
      <c r="AW105" s="32">
        <v>3091</v>
      </c>
      <c r="AX105" s="32">
        <v>3091</v>
      </c>
      <c r="AY105" s="32">
        <v>3132</v>
      </c>
      <c r="AZ105" s="32">
        <v>3137</v>
      </c>
      <c r="BA105" s="32">
        <v>3065</v>
      </c>
      <c r="BB105" s="32">
        <v>2880.5</v>
      </c>
      <c r="BC105" s="32">
        <v>2844</v>
      </c>
      <c r="BD105" s="32">
        <v>2944</v>
      </c>
      <c r="BE105" s="32">
        <v>2978</v>
      </c>
      <c r="BF105" s="32">
        <v>2978.5</v>
      </c>
      <c r="BG105" s="32">
        <v>2905.5</v>
      </c>
      <c r="BH105" s="32">
        <v>2807.5</v>
      </c>
      <c r="BI105" s="32">
        <v>2898.5</v>
      </c>
      <c r="BJ105" s="32">
        <v>2925</v>
      </c>
      <c r="BK105" s="32">
        <v>2872.5</v>
      </c>
      <c r="BL105" s="33">
        <v>2864</v>
      </c>
    </row>
    <row r="106" spans="1:64" ht="15.95" customHeight="1">
      <c r="A106" s="68" t="s">
        <v>363</v>
      </c>
      <c r="B106" s="28" t="s">
        <v>167</v>
      </c>
      <c r="C106" s="42">
        <f>_xll.RssMarket("7021","高値")</f>
        <v>1810</v>
      </c>
      <c r="D106" s="41">
        <f t="shared" si="1"/>
        <v>0</v>
      </c>
      <c r="E106" s="37">
        <v>1810</v>
      </c>
      <c r="F106" s="37">
        <v>1809</v>
      </c>
      <c r="G106" s="32">
        <v>1826</v>
      </c>
      <c r="H106" s="32">
        <v>1805</v>
      </c>
      <c r="I106" s="32">
        <v>1812</v>
      </c>
      <c r="J106" s="32">
        <v>1809</v>
      </c>
      <c r="K106" s="32">
        <v>1770</v>
      </c>
      <c r="L106" s="32">
        <v>1811</v>
      </c>
      <c r="M106" s="32">
        <v>1770</v>
      </c>
      <c r="N106" s="32">
        <v>1827</v>
      </c>
      <c r="O106" s="32">
        <v>1803</v>
      </c>
      <c r="P106" s="32">
        <v>1854</v>
      </c>
      <c r="Q106" s="32">
        <v>1894</v>
      </c>
      <c r="R106" s="32">
        <v>1828</v>
      </c>
      <c r="S106" s="32">
        <v>1823</v>
      </c>
      <c r="T106" s="32">
        <v>1868</v>
      </c>
      <c r="U106" s="32">
        <v>1881</v>
      </c>
      <c r="V106" s="32">
        <v>1915</v>
      </c>
      <c r="W106" s="32">
        <v>1980</v>
      </c>
      <c r="X106" s="32">
        <v>2089</v>
      </c>
      <c r="Y106" s="32">
        <v>2193</v>
      </c>
      <c r="Z106" s="32">
        <v>2190</v>
      </c>
      <c r="AA106" s="32">
        <v>2188</v>
      </c>
      <c r="AB106" s="32">
        <v>2161</v>
      </c>
      <c r="AC106" s="32">
        <v>2170</v>
      </c>
      <c r="AD106" s="32">
        <v>2166</v>
      </c>
      <c r="AE106" s="32">
        <v>2175</v>
      </c>
      <c r="AF106" s="32">
        <v>2225</v>
      </c>
      <c r="AG106" s="32">
        <v>2230</v>
      </c>
      <c r="AH106" s="32">
        <v>2259</v>
      </c>
      <c r="AI106" s="32">
        <v>2294</v>
      </c>
      <c r="AJ106" s="32">
        <v>2299</v>
      </c>
      <c r="AK106" s="32">
        <v>2310</v>
      </c>
      <c r="AL106" s="32">
        <v>2364</v>
      </c>
      <c r="AM106" s="32">
        <v>2344</v>
      </c>
      <c r="AN106" s="32">
        <v>2374</v>
      </c>
      <c r="AO106" s="32">
        <v>2368</v>
      </c>
      <c r="AP106" s="32">
        <v>2365</v>
      </c>
      <c r="AQ106" s="32">
        <v>2350</v>
      </c>
      <c r="AR106" s="32">
        <v>2346</v>
      </c>
      <c r="AS106" s="32">
        <v>2324</v>
      </c>
      <c r="AT106" s="32">
        <v>2337</v>
      </c>
      <c r="AU106" s="32">
        <v>2325</v>
      </c>
      <c r="AV106" s="32">
        <v>2291</v>
      </c>
      <c r="AW106" s="32">
        <v>2305</v>
      </c>
      <c r="AX106" s="32">
        <v>2319</v>
      </c>
      <c r="AY106" s="32">
        <v>2299</v>
      </c>
      <c r="AZ106" s="32">
        <v>2265</v>
      </c>
      <c r="BA106" s="32">
        <v>2264</v>
      </c>
      <c r="BB106" s="32">
        <v>2219</v>
      </c>
      <c r="BC106" s="32">
        <v>2293</v>
      </c>
      <c r="BD106" s="32">
        <v>2276</v>
      </c>
      <c r="BE106" s="32">
        <v>2294</v>
      </c>
      <c r="BF106" s="32">
        <v>2288</v>
      </c>
      <c r="BG106" s="32">
        <v>2264</v>
      </c>
      <c r="BH106" s="32">
        <v>2284</v>
      </c>
      <c r="BI106" s="32">
        <v>2314</v>
      </c>
      <c r="BJ106" s="32">
        <v>2266</v>
      </c>
      <c r="BK106" s="32">
        <v>2252</v>
      </c>
      <c r="BL106" s="33">
        <v>2240</v>
      </c>
    </row>
    <row r="107" spans="1:64" ht="15.95" customHeight="1">
      <c r="A107" s="68" t="s">
        <v>364</v>
      </c>
      <c r="B107" s="28" t="s">
        <v>168</v>
      </c>
      <c r="C107" s="42">
        <f>_xll.RssMarket("7729","高値")</f>
        <v>19530</v>
      </c>
      <c r="D107" s="41">
        <f t="shared" si="1"/>
        <v>0</v>
      </c>
      <c r="E107" s="37">
        <v>19530</v>
      </c>
      <c r="F107" s="37">
        <v>19880</v>
      </c>
      <c r="G107" s="32">
        <v>19840</v>
      </c>
      <c r="H107" s="32">
        <v>19220</v>
      </c>
      <c r="I107" s="32">
        <v>17865</v>
      </c>
      <c r="J107" s="32">
        <v>18280</v>
      </c>
      <c r="K107" s="32">
        <v>16810</v>
      </c>
      <c r="L107" s="32">
        <v>18085</v>
      </c>
      <c r="M107" s="32">
        <v>18765</v>
      </c>
      <c r="N107" s="32">
        <v>17955</v>
      </c>
      <c r="O107" s="32">
        <v>16990</v>
      </c>
      <c r="P107" s="32">
        <v>17970</v>
      </c>
      <c r="Q107" s="32">
        <v>17740</v>
      </c>
      <c r="R107" s="32">
        <v>18310</v>
      </c>
      <c r="S107" s="32">
        <v>18455</v>
      </c>
      <c r="T107" s="32">
        <v>17080</v>
      </c>
      <c r="U107" s="32">
        <v>16665</v>
      </c>
      <c r="V107" s="32">
        <v>15905</v>
      </c>
      <c r="W107" s="32">
        <v>16445</v>
      </c>
      <c r="X107" s="32">
        <v>16590</v>
      </c>
      <c r="Y107" s="32">
        <v>18230</v>
      </c>
      <c r="Z107" s="32">
        <v>19320</v>
      </c>
      <c r="AA107" s="32">
        <v>19070</v>
      </c>
      <c r="AB107" s="32">
        <v>19365</v>
      </c>
      <c r="AC107" s="32">
        <v>19400</v>
      </c>
      <c r="AD107" s="32">
        <v>18765</v>
      </c>
      <c r="AE107" s="32">
        <v>18675</v>
      </c>
      <c r="AF107" s="32">
        <v>17430</v>
      </c>
      <c r="AG107" s="32">
        <v>17635</v>
      </c>
      <c r="AH107" s="32">
        <v>17675</v>
      </c>
      <c r="AI107" s="32">
        <v>17800</v>
      </c>
      <c r="AJ107" s="32">
        <v>17610</v>
      </c>
      <c r="AK107" s="32">
        <v>17295</v>
      </c>
      <c r="AL107" s="32">
        <v>16820</v>
      </c>
      <c r="AM107" s="32">
        <v>16720</v>
      </c>
      <c r="AN107" s="32">
        <v>16665</v>
      </c>
      <c r="AO107" s="32">
        <v>16900</v>
      </c>
      <c r="AP107" s="32">
        <v>16995</v>
      </c>
      <c r="AQ107" s="32">
        <v>16765</v>
      </c>
      <c r="AR107" s="32">
        <v>16315</v>
      </c>
      <c r="AS107" s="32">
        <v>15815</v>
      </c>
      <c r="AT107" s="32">
        <v>15925</v>
      </c>
      <c r="AU107" s="32">
        <v>15395</v>
      </c>
      <c r="AV107" s="32">
        <v>15260</v>
      </c>
      <c r="AW107" s="32">
        <v>14335</v>
      </c>
      <c r="AX107" s="32">
        <v>14465</v>
      </c>
      <c r="AY107" s="32">
        <v>14250</v>
      </c>
      <c r="AZ107" s="32">
        <v>14470</v>
      </c>
      <c r="BA107" s="32">
        <v>14165</v>
      </c>
      <c r="BB107" s="32">
        <v>13385</v>
      </c>
      <c r="BC107" s="32">
        <v>13510</v>
      </c>
      <c r="BD107" s="32">
        <v>14215</v>
      </c>
      <c r="BE107" s="32">
        <v>14705</v>
      </c>
      <c r="BF107" s="32">
        <v>14870</v>
      </c>
      <c r="BG107" s="32">
        <v>14385</v>
      </c>
      <c r="BH107" s="32">
        <v>13915</v>
      </c>
      <c r="BI107" s="32">
        <v>14680</v>
      </c>
      <c r="BJ107" s="32">
        <v>14875</v>
      </c>
      <c r="BK107" s="32">
        <v>15130</v>
      </c>
      <c r="BL107" s="33">
        <v>14800</v>
      </c>
    </row>
    <row r="108" spans="1:64" ht="15.95" customHeight="1">
      <c r="A108" s="68" t="s">
        <v>365</v>
      </c>
      <c r="B108" s="28" t="s">
        <v>169</v>
      </c>
      <c r="C108" s="42">
        <f>_xll.RssMarket("8424","高値")</f>
        <v>4333</v>
      </c>
      <c r="D108" s="41">
        <f t="shared" si="1"/>
        <v>0</v>
      </c>
      <c r="E108" s="37">
        <v>4333</v>
      </c>
      <c r="F108" s="37">
        <v>4300</v>
      </c>
      <c r="G108" s="32">
        <v>4347</v>
      </c>
      <c r="H108" s="32">
        <v>4299</v>
      </c>
      <c r="I108" s="32">
        <v>4318</v>
      </c>
      <c r="J108" s="32">
        <v>4338</v>
      </c>
      <c r="K108" s="32">
        <v>4192</v>
      </c>
      <c r="L108" s="32">
        <v>4170</v>
      </c>
      <c r="M108" s="32">
        <v>4097</v>
      </c>
      <c r="N108" s="32">
        <v>4107</v>
      </c>
      <c r="O108" s="32">
        <v>4081</v>
      </c>
      <c r="P108" s="32">
        <v>4254</v>
      </c>
      <c r="Q108" s="32">
        <v>4196</v>
      </c>
      <c r="R108" s="32">
        <v>4200</v>
      </c>
      <c r="S108" s="32">
        <v>4289</v>
      </c>
      <c r="T108" s="32">
        <v>4384</v>
      </c>
      <c r="U108" s="32">
        <v>4414</v>
      </c>
      <c r="V108" s="32">
        <v>4398</v>
      </c>
      <c r="W108" s="32">
        <v>4406</v>
      </c>
      <c r="X108" s="32">
        <v>4388</v>
      </c>
      <c r="Y108" s="32">
        <v>4396</v>
      </c>
      <c r="Z108" s="32">
        <v>4394</v>
      </c>
      <c r="AA108" s="32">
        <v>4397</v>
      </c>
      <c r="AB108" s="32">
        <v>4460</v>
      </c>
      <c r="AC108" s="32">
        <v>4317</v>
      </c>
      <c r="AD108" s="32">
        <v>4343</v>
      </c>
      <c r="AE108" s="32">
        <v>4344</v>
      </c>
      <c r="AF108" s="32">
        <v>4315</v>
      </c>
      <c r="AG108" s="32">
        <v>4337</v>
      </c>
      <c r="AH108" s="32">
        <v>4350</v>
      </c>
      <c r="AI108" s="32">
        <v>4294</v>
      </c>
      <c r="AJ108" s="32">
        <v>4286</v>
      </c>
      <c r="AK108" s="32">
        <v>4268</v>
      </c>
      <c r="AL108" s="32">
        <v>4282</v>
      </c>
      <c r="AM108" s="32">
        <v>4316</v>
      </c>
      <c r="AN108" s="32">
        <v>4367</v>
      </c>
      <c r="AO108" s="32">
        <v>4350</v>
      </c>
      <c r="AP108" s="32">
        <v>4383</v>
      </c>
      <c r="AQ108" s="32">
        <v>4357</v>
      </c>
      <c r="AR108" s="32">
        <v>4360</v>
      </c>
      <c r="AS108" s="32">
        <v>4382</v>
      </c>
      <c r="AT108" s="32">
        <v>4440</v>
      </c>
      <c r="AU108" s="32">
        <v>4505</v>
      </c>
      <c r="AV108" s="32">
        <v>4453</v>
      </c>
      <c r="AW108" s="32">
        <v>4402</v>
      </c>
      <c r="AX108" s="32">
        <v>4371</v>
      </c>
      <c r="AY108" s="32">
        <v>4388</v>
      </c>
      <c r="AZ108" s="32">
        <v>4391</v>
      </c>
      <c r="BA108" s="32">
        <v>4341</v>
      </c>
      <c r="BB108" s="32">
        <v>4338</v>
      </c>
      <c r="BC108" s="32">
        <v>4286</v>
      </c>
      <c r="BD108" s="32">
        <v>4433</v>
      </c>
      <c r="BE108" s="32">
        <v>4446</v>
      </c>
      <c r="BF108" s="32">
        <v>4447</v>
      </c>
      <c r="BG108" s="32">
        <v>4363</v>
      </c>
      <c r="BH108" s="32">
        <v>4363</v>
      </c>
      <c r="BI108" s="32">
        <v>4423</v>
      </c>
      <c r="BJ108" s="32">
        <v>4452</v>
      </c>
      <c r="BK108" s="32">
        <v>4449</v>
      </c>
      <c r="BL108" s="33">
        <v>4408</v>
      </c>
    </row>
    <row r="109" spans="1:64" ht="15.95" customHeight="1">
      <c r="A109" s="68" t="s">
        <v>366</v>
      </c>
      <c r="B109" s="28" t="s">
        <v>170</v>
      </c>
      <c r="C109" s="42">
        <f>_xll.RssMarket("9020","高値")</f>
        <v>3455</v>
      </c>
      <c r="D109" s="41">
        <f t="shared" si="1"/>
        <v>0</v>
      </c>
      <c r="E109" s="37">
        <v>3455</v>
      </c>
      <c r="F109" s="37">
        <v>3400</v>
      </c>
      <c r="G109" s="32">
        <v>3443</v>
      </c>
      <c r="H109" s="32">
        <v>3467</v>
      </c>
      <c r="I109" s="32">
        <v>3513</v>
      </c>
      <c r="J109" s="32">
        <v>3463</v>
      </c>
      <c r="K109" s="32">
        <v>3418</v>
      </c>
      <c r="L109" s="32">
        <v>3399</v>
      </c>
      <c r="M109" s="32">
        <v>3318</v>
      </c>
      <c r="N109" s="32">
        <v>3333</v>
      </c>
      <c r="O109" s="32">
        <v>3365</v>
      </c>
      <c r="P109" s="32">
        <v>3500</v>
      </c>
      <c r="Q109" s="32">
        <v>3531</v>
      </c>
      <c r="R109" s="32">
        <v>3535</v>
      </c>
      <c r="S109" s="32">
        <v>3597</v>
      </c>
      <c r="T109" s="32">
        <v>3670</v>
      </c>
      <c r="U109" s="32">
        <v>3844</v>
      </c>
      <c r="V109" s="32">
        <v>3819</v>
      </c>
      <c r="W109" s="32">
        <v>3796</v>
      </c>
      <c r="X109" s="32">
        <v>3773</v>
      </c>
      <c r="Y109" s="32">
        <v>3724</v>
      </c>
      <c r="Z109" s="32">
        <v>3802</v>
      </c>
      <c r="AA109" s="32">
        <v>3698</v>
      </c>
      <c r="AB109" s="32">
        <v>3690</v>
      </c>
      <c r="AC109" s="32">
        <v>3666</v>
      </c>
      <c r="AD109" s="32">
        <v>3709</v>
      </c>
      <c r="AE109" s="32">
        <v>3785</v>
      </c>
      <c r="AF109" s="32">
        <v>3451</v>
      </c>
      <c r="AG109" s="32">
        <v>3464</v>
      </c>
      <c r="AH109" s="32">
        <v>3461</v>
      </c>
      <c r="AI109" s="32">
        <v>3485</v>
      </c>
      <c r="AJ109" s="32">
        <v>3512</v>
      </c>
      <c r="AK109" s="32">
        <v>3545</v>
      </c>
      <c r="AL109" s="32">
        <v>3544</v>
      </c>
      <c r="AM109" s="32">
        <v>3535</v>
      </c>
      <c r="AN109" s="32">
        <v>3530</v>
      </c>
      <c r="AO109" s="32">
        <v>3590</v>
      </c>
      <c r="AP109" s="32">
        <v>3584</v>
      </c>
      <c r="AQ109" s="32">
        <v>3584</v>
      </c>
      <c r="AR109" s="32">
        <v>3635</v>
      </c>
      <c r="AS109" s="32">
        <v>3617</v>
      </c>
      <c r="AT109" s="32">
        <v>3634</v>
      </c>
      <c r="AU109" s="32">
        <v>3637</v>
      </c>
      <c r="AV109" s="32">
        <v>3612</v>
      </c>
      <c r="AW109" s="32">
        <v>3643</v>
      </c>
      <c r="AX109" s="32">
        <v>3657</v>
      </c>
      <c r="AY109" s="32">
        <v>3728</v>
      </c>
      <c r="AZ109" s="32">
        <v>3690</v>
      </c>
      <c r="BA109" s="32">
        <v>3683</v>
      </c>
      <c r="BB109" s="32">
        <v>3651</v>
      </c>
      <c r="BC109" s="32">
        <v>3699</v>
      </c>
      <c r="BD109" s="32">
        <v>3661</v>
      </c>
      <c r="BE109" s="32">
        <v>3640</v>
      </c>
      <c r="BF109" s="32">
        <v>3618</v>
      </c>
      <c r="BG109" s="32">
        <v>3611</v>
      </c>
      <c r="BH109" s="32">
        <v>3662</v>
      </c>
      <c r="BI109" s="32">
        <v>3759</v>
      </c>
      <c r="BJ109" s="32">
        <v>3780</v>
      </c>
      <c r="BK109" s="32">
        <v>3764</v>
      </c>
      <c r="BL109" s="33">
        <v>3807</v>
      </c>
    </row>
    <row r="110" spans="1:64" ht="15.95" customHeight="1">
      <c r="A110" s="68" t="s">
        <v>367</v>
      </c>
      <c r="B110" s="28" t="s">
        <v>171</v>
      </c>
      <c r="C110" s="42">
        <f>_xll.RssMarket("9069","高値")</f>
        <v>1952.5</v>
      </c>
      <c r="D110" s="41">
        <f t="shared" si="1"/>
        <v>0</v>
      </c>
      <c r="E110" s="37">
        <v>1952.5</v>
      </c>
      <c r="F110" s="37">
        <v>1956.5</v>
      </c>
      <c r="G110" s="32">
        <v>1993</v>
      </c>
      <c r="H110" s="32">
        <v>1956</v>
      </c>
      <c r="I110" s="32">
        <v>1961</v>
      </c>
      <c r="J110" s="32">
        <v>1965.5</v>
      </c>
      <c r="K110" s="32">
        <v>1959.5</v>
      </c>
      <c r="L110" s="32">
        <v>1930</v>
      </c>
      <c r="M110" s="32">
        <v>1912.5</v>
      </c>
      <c r="N110" s="32">
        <v>1925</v>
      </c>
      <c r="O110" s="32">
        <v>1902.5</v>
      </c>
      <c r="P110" s="32">
        <v>1942.5</v>
      </c>
      <c r="Q110" s="32">
        <v>1939</v>
      </c>
      <c r="R110" s="32">
        <v>1932</v>
      </c>
      <c r="S110" s="32">
        <v>1964</v>
      </c>
      <c r="T110" s="32">
        <v>2034</v>
      </c>
      <c r="U110" s="32">
        <v>2053</v>
      </c>
      <c r="V110" s="32">
        <v>2027</v>
      </c>
      <c r="W110" s="32">
        <v>2044.5</v>
      </c>
      <c r="X110" s="32">
        <v>2022.5</v>
      </c>
      <c r="Y110" s="32">
        <v>2056</v>
      </c>
      <c r="Z110" s="32">
        <v>2029</v>
      </c>
      <c r="AA110" s="32">
        <v>1864</v>
      </c>
      <c r="AB110" s="32">
        <v>1867</v>
      </c>
      <c r="AC110" s="32">
        <v>1868.5</v>
      </c>
      <c r="AD110" s="32">
        <v>1874</v>
      </c>
      <c r="AE110" s="32">
        <v>1884</v>
      </c>
      <c r="AF110" s="32">
        <v>1855.5</v>
      </c>
      <c r="AG110" s="32">
        <v>1861</v>
      </c>
      <c r="AH110" s="32">
        <v>1868</v>
      </c>
      <c r="AI110" s="32">
        <v>1840</v>
      </c>
      <c r="AJ110" s="32">
        <v>1887</v>
      </c>
      <c r="AK110" s="32">
        <v>1909</v>
      </c>
      <c r="AL110" s="32">
        <v>1915</v>
      </c>
      <c r="AM110" s="32">
        <v>1920</v>
      </c>
      <c r="AN110" s="32">
        <v>1908</v>
      </c>
      <c r="AO110" s="32">
        <v>1922.5</v>
      </c>
      <c r="AP110" s="32">
        <v>1924</v>
      </c>
      <c r="AQ110" s="32">
        <v>1927</v>
      </c>
      <c r="AR110" s="32">
        <v>1884.5</v>
      </c>
      <c r="AS110" s="32">
        <v>1898</v>
      </c>
      <c r="AT110" s="32">
        <v>1939</v>
      </c>
      <c r="AU110" s="32">
        <v>1933.5</v>
      </c>
      <c r="AV110" s="32">
        <v>1921.5</v>
      </c>
      <c r="AW110" s="32">
        <v>1875.5</v>
      </c>
      <c r="AX110" s="32">
        <v>1889</v>
      </c>
      <c r="AY110" s="32">
        <v>1891</v>
      </c>
      <c r="AZ110" s="32">
        <v>1912.5</v>
      </c>
      <c r="BA110" s="32">
        <v>1869.5</v>
      </c>
      <c r="BB110" s="32">
        <v>1813</v>
      </c>
      <c r="BC110" s="32">
        <v>1787.5</v>
      </c>
      <c r="BD110" s="32">
        <v>1823.5</v>
      </c>
      <c r="BE110" s="32">
        <v>1816</v>
      </c>
      <c r="BF110" s="32">
        <v>1822</v>
      </c>
      <c r="BG110" s="32">
        <v>1789.5</v>
      </c>
      <c r="BH110" s="32">
        <v>1754.5</v>
      </c>
      <c r="BI110" s="32">
        <v>1835</v>
      </c>
      <c r="BJ110" s="32">
        <v>1836.5</v>
      </c>
      <c r="BK110" s="32">
        <v>1809.5</v>
      </c>
      <c r="BL110" s="33">
        <v>1803.5</v>
      </c>
    </row>
    <row r="111" spans="1:64" ht="15.95" customHeight="1">
      <c r="A111" s="68" t="s">
        <v>368</v>
      </c>
      <c r="B111" s="28" t="s">
        <v>172</v>
      </c>
      <c r="C111" s="42">
        <f>_xll.RssMarket("9227","高値")</f>
        <v>896</v>
      </c>
      <c r="D111" s="41">
        <f t="shared" si="1"/>
        <v>0</v>
      </c>
      <c r="E111" s="37">
        <v>896</v>
      </c>
      <c r="F111" s="37">
        <v>906</v>
      </c>
      <c r="G111" s="32">
        <v>936</v>
      </c>
      <c r="H111" s="32">
        <v>890</v>
      </c>
      <c r="I111" s="32">
        <v>878</v>
      </c>
      <c r="J111" s="32">
        <v>920</v>
      </c>
      <c r="K111" s="32">
        <v>928</v>
      </c>
      <c r="L111" s="32">
        <v>944</v>
      </c>
      <c r="M111" s="32">
        <v>912</v>
      </c>
      <c r="N111" s="32">
        <v>940</v>
      </c>
      <c r="O111" s="32">
        <v>960</v>
      </c>
      <c r="P111" s="32">
        <v>1103</v>
      </c>
      <c r="Q111" s="32">
        <v>1268</v>
      </c>
      <c r="R111" s="32">
        <v>1415</v>
      </c>
      <c r="S111" s="32">
        <v>1093</v>
      </c>
      <c r="T111" s="32">
        <v>943</v>
      </c>
      <c r="U111" s="32">
        <v>806</v>
      </c>
      <c r="V111" s="32">
        <v>801</v>
      </c>
      <c r="W111" s="32">
        <v>857</v>
      </c>
      <c r="X111" s="32">
        <v>840</v>
      </c>
      <c r="Y111" s="32">
        <v>855</v>
      </c>
      <c r="Z111" s="32">
        <v>854</v>
      </c>
      <c r="AA111" s="32">
        <v>876</v>
      </c>
      <c r="AB111" s="32">
        <v>1007</v>
      </c>
      <c r="AC111" s="32">
        <v>1015</v>
      </c>
      <c r="AD111" s="32">
        <v>1019</v>
      </c>
      <c r="AE111" s="32">
        <v>1047</v>
      </c>
      <c r="AF111" s="32">
        <v>1044</v>
      </c>
      <c r="AG111" s="32">
        <v>1084</v>
      </c>
      <c r="AH111" s="32">
        <v>1125</v>
      </c>
      <c r="AI111" s="32">
        <v>1072</v>
      </c>
      <c r="AJ111" s="32">
        <v>1121</v>
      </c>
      <c r="AK111" s="32">
        <v>1165</v>
      </c>
      <c r="AL111" s="32">
        <v>1180</v>
      </c>
      <c r="AM111" s="32">
        <v>1315</v>
      </c>
      <c r="AN111" s="32">
        <v>1244</v>
      </c>
      <c r="AO111" s="32">
        <v>1064</v>
      </c>
      <c r="AP111" s="32">
        <v>1078</v>
      </c>
      <c r="AQ111" s="32">
        <v>1048</v>
      </c>
      <c r="AR111" s="32">
        <v>1034</v>
      </c>
      <c r="AS111" s="32">
        <v>1000</v>
      </c>
      <c r="AT111" s="32">
        <v>984</v>
      </c>
      <c r="AU111" s="32">
        <v>1000</v>
      </c>
      <c r="AV111" s="32">
        <v>1000</v>
      </c>
      <c r="AW111" s="32">
        <v>962</v>
      </c>
      <c r="AX111" s="32">
        <v>977</v>
      </c>
      <c r="AY111" s="32">
        <v>995</v>
      </c>
      <c r="AZ111" s="32">
        <v>1034</v>
      </c>
      <c r="BA111" s="32">
        <v>1022</v>
      </c>
      <c r="BB111" s="32">
        <v>1018</v>
      </c>
      <c r="BC111" s="32">
        <v>972</v>
      </c>
      <c r="BD111" s="32">
        <v>992</v>
      </c>
      <c r="BE111" s="32">
        <v>1029</v>
      </c>
      <c r="BF111" s="32">
        <v>1040</v>
      </c>
      <c r="BG111" s="32">
        <v>1027</v>
      </c>
      <c r="BH111" s="32">
        <v>1030</v>
      </c>
      <c r="BI111" s="32">
        <v>1180</v>
      </c>
      <c r="BJ111" s="32">
        <v>1144</v>
      </c>
      <c r="BK111" s="32">
        <v>1039</v>
      </c>
      <c r="BL111" s="33">
        <v>1075</v>
      </c>
    </row>
    <row r="112" spans="1:64" ht="15.95" customHeight="1">
      <c r="A112" s="68" t="s">
        <v>369</v>
      </c>
      <c r="B112" s="28" t="s">
        <v>173</v>
      </c>
      <c r="C112" s="42">
        <f>_xll.RssMarket("9348","高値")</f>
        <v>494</v>
      </c>
      <c r="D112" s="41">
        <f t="shared" si="1"/>
        <v>0</v>
      </c>
      <c r="E112" s="37">
        <v>494</v>
      </c>
      <c r="F112" s="37">
        <v>512</v>
      </c>
      <c r="G112" s="32">
        <v>550</v>
      </c>
      <c r="H112" s="32">
        <v>603</v>
      </c>
      <c r="I112" s="32">
        <v>581</v>
      </c>
      <c r="J112" s="32">
        <v>589</v>
      </c>
      <c r="K112" s="32">
        <v>611</v>
      </c>
      <c r="L112" s="32">
        <v>633</v>
      </c>
      <c r="M112" s="32">
        <v>584</v>
      </c>
      <c r="N112" s="32">
        <v>605</v>
      </c>
      <c r="O112" s="32">
        <v>589</v>
      </c>
      <c r="P112" s="32">
        <v>710</v>
      </c>
      <c r="Q112" s="32">
        <v>700</v>
      </c>
      <c r="R112" s="32">
        <v>690</v>
      </c>
      <c r="S112" s="32">
        <v>627</v>
      </c>
      <c r="T112" s="32">
        <v>584</v>
      </c>
      <c r="U112" s="32">
        <v>521</v>
      </c>
      <c r="V112" s="32">
        <v>536</v>
      </c>
      <c r="W112" s="32">
        <v>541</v>
      </c>
      <c r="X112" s="32">
        <v>506</v>
      </c>
      <c r="Y112" s="32">
        <v>522</v>
      </c>
      <c r="Z112" s="32">
        <v>518</v>
      </c>
      <c r="AA112" s="32">
        <v>498</v>
      </c>
      <c r="AB112" s="32">
        <v>511</v>
      </c>
      <c r="AC112" s="32">
        <v>520</v>
      </c>
      <c r="AD112" s="32">
        <v>504</v>
      </c>
      <c r="AE112" s="32">
        <v>489</v>
      </c>
      <c r="AF112" s="32">
        <v>475</v>
      </c>
      <c r="AG112" s="32">
        <v>477</v>
      </c>
      <c r="AH112" s="32">
        <v>481</v>
      </c>
      <c r="AI112" s="32">
        <v>482</v>
      </c>
      <c r="AJ112" s="32">
        <v>490</v>
      </c>
      <c r="AK112" s="32">
        <v>496</v>
      </c>
      <c r="AL112" s="32">
        <v>498</v>
      </c>
      <c r="AM112" s="32">
        <v>499</v>
      </c>
      <c r="AN112" s="32">
        <v>511</v>
      </c>
      <c r="AO112" s="32">
        <v>505</v>
      </c>
      <c r="AP112" s="32">
        <v>518</v>
      </c>
      <c r="AQ112" s="32">
        <v>522</v>
      </c>
      <c r="AR112" s="32">
        <v>514</v>
      </c>
      <c r="AS112" s="32">
        <v>521</v>
      </c>
      <c r="AT112" s="32">
        <v>529</v>
      </c>
      <c r="AU112" s="32">
        <v>467</v>
      </c>
      <c r="AV112" s="32">
        <v>457</v>
      </c>
      <c r="AW112" s="32">
        <v>436</v>
      </c>
      <c r="AX112" s="32">
        <v>442</v>
      </c>
      <c r="AY112" s="32">
        <v>478</v>
      </c>
      <c r="AZ112" s="32">
        <v>494</v>
      </c>
      <c r="BA112" s="32">
        <v>446</v>
      </c>
      <c r="BB112" s="32">
        <v>448</v>
      </c>
      <c r="BC112" s="32">
        <v>466</v>
      </c>
      <c r="BD112" s="32">
        <v>573</v>
      </c>
      <c r="BE112" s="32">
        <v>588</v>
      </c>
      <c r="BF112" s="32">
        <v>585</v>
      </c>
      <c r="BG112" s="32">
        <v>557</v>
      </c>
      <c r="BH112" s="32">
        <v>569</v>
      </c>
      <c r="BI112" s="32">
        <v>597</v>
      </c>
      <c r="BJ112" s="32">
        <v>605</v>
      </c>
      <c r="BK112" s="32">
        <v>598</v>
      </c>
      <c r="BL112" s="33">
        <v>585</v>
      </c>
    </row>
    <row r="113" spans="1:64" ht="15.95" customHeight="1">
      <c r="A113" s="68" t="s">
        <v>370</v>
      </c>
      <c r="B113" s="28" t="s">
        <v>174</v>
      </c>
      <c r="C113" s="42">
        <f>_xll.RssMarket("9449","高値")</f>
        <v>3128</v>
      </c>
      <c r="D113" s="41">
        <f t="shared" si="1"/>
        <v>0</v>
      </c>
      <c r="E113" s="37">
        <v>3128</v>
      </c>
      <c r="F113" s="37">
        <v>3101</v>
      </c>
      <c r="G113" s="32">
        <v>3137</v>
      </c>
      <c r="H113" s="32">
        <v>3145</v>
      </c>
      <c r="I113" s="32">
        <v>3180</v>
      </c>
      <c r="J113" s="32">
        <v>3208</v>
      </c>
      <c r="K113" s="32">
        <v>3196</v>
      </c>
      <c r="L113" s="32">
        <v>3274</v>
      </c>
      <c r="M113" s="32">
        <v>3332</v>
      </c>
      <c r="N113" s="32">
        <v>3315</v>
      </c>
      <c r="O113" s="32">
        <v>3370</v>
      </c>
      <c r="P113" s="32">
        <v>3416</v>
      </c>
      <c r="Q113" s="32">
        <v>3311</v>
      </c>
      <c r="R113" s="32">
        <v>3401</v>
      </c>
      <c r="S113" s="32">
        <v>3445</v>
      </c>
      <c r="T113" s="32">
        <v>3431</v>
      </c>
      <c r="U113" s="32">
        <v>3355</v>
      </c>
      <c r="V113" s="32">
        <v>3378</v>
      </c>
      <c r="W113" s="32">
        <v>3367</v>
      </c>
      <c r="X113" s="32">
        <v>3345</v>
      </c>
      <c r="Y113" s="32">
        <v>3154</v>
      </c>
      <c r="Z113" s="32">
        <v>3172</v>
      </c>
      <c r="AA113" s="32">
        <v>3205</v>
      </c>
      <c r="AB113" s="32">
        <v>3220</v>
      </c>
      <c r="AC113" s="32">
        <v>3216</v>
      </c>
      <c r="AD113" s="32">
        <v>3189</v>
      </c>
      <c r="AE113" s="32">
        <v>3124</v>
      </c>
      <c r="AF113" s="32">
        <v>3068</v>
      </c>
      <c r="AG113" s="32">
        <v>3086</v>
      </c>
      <c r="AH113" s="32">
        <v>3143</v>
      </c>
      <c r="AI113" s="32">
        <v>3157</v>
      </c>
      <c r="AJ113" s="32">
        <v>3166</v>
      </c>
      <c r="AK113" s="32">
        <v>3246</v>
      </c>
      <c r="AL113" s="32">
        <v>3343</v>
      </c>
      <c r="AM113" s="32">
        <v>3334</v>
      </c>
      <c r="AN113" s="32">
        <v>3287</v>
      </c>
      <c r="AO113" s="32">
        <v>3306</v>
      </c>
      <c r="AP113" s="32">
        <v>3302</v>
      </c>
      <c r="AQ113" s="32">
        <v>3099</v>
      </c>
      <c r="AR113" s="32">
        <v>3065</v>
      </c>
      <c r="AS113" s="32">
        <v>2980.5</v>
      </c>
      <c r="AT113" s="32">
        <v>3032</v>
      </c>
      <c r="AU113" s="32">
        <v>3122</v>
      </c>
      <c r="AV113" s="32">
        <v>3131</v>
      </c>
      <c r="AW113" s="32">
        <v>3071</v>
      </c>
      <c r="AX113" s="32">
        <v>3027</v>
      </c>
      <c r="AY113" s="32">
        <v>2998.5</v>
      </c>
      <c r="AZ113" s="32">
        <v>3013</v>
      </c>
      <c r="BA113" s="32">
        <v>2988</v>
      </c>
      <c r="BB113" s="32">
        <v>2913.5</v>
      </c>
      <c r="BC113" s="32">
        <v>2809</v>
      </c>
      <c r="BD113" s="32">
        <v>2893.5</v>
      </c>
      <c r="BE113" s="32">
        <v>2870.5</v>
      </c>
      <c r="BF113" s="32">
        <v>2876</v>
      </c>
      <c r="BG113" s="32">
        <v>2840.5</v>
      </c>
      <c r="BH113" s="32">
        <v>2789.5</v>
      </c>
      <c r="BI113" s="32">
        <v>2900.5</v>
      </c>
      <c r="BJ113" s="32">
        <v>2927.5</v>
      </c>
      <c r="BK113" s="32">
        <v>2864.5</v>
      </c>
      <c r="BL113" s="33">
        <v>2871</v>
      </c>
    </row>
    <row r="114" spans="1:64" ht="15.95" customHeight="1">
      <c r="A114" s="68" t="s">
        <v>371</v>
      </c>
      <c r="B114" s="28" t="s">
        <v>175</v>
      </c>
      <c r="C114" s="42">
        <f>_xll.RssMarket("9501","高値")</f>
        <v>523.5</v>
      </c>
      <c r="D114" s="41">
        <f t="shared" si="1"/>
        <v>0</v>
      </c>
      <c r="E114" s="37">
        <v>523.5</v>
      </c>
      <c r="F114" s="37">
        <v>530</v>
      </c>
      <c r="G114" s="32">
        <v>536.6</v>
      </c>
      <c r="H114" s="32">
        <v>511.6</v>
      </c>
      <c r="I114" s="32">
        <v>509.3</v>
      </c>
      <c r="J114" s="32">
        <v>524.20000000000005</v>
      </c>
      <c r="K114" s="32">
        <v>536.29999999999995</v>
      </c>
      <c r="L114" s="32">
        <v>555.6</v>
      </c>
      <c r="M114" s="32">
        <v>571.5</v>
      </c>
      <c r="N114" s="32">
        <v>580.70000000000005</v>
      </c>
      <c r="O114" s="32">
        <v>565.70000000000005</v>
      </c>
      <c r="P114" s="32">
        <v>573.4</v>
      </c>
      <c r="Q114" s="32">
        <v>570.5</v>
      </c>
      <c r="R114" s="32">
        <v>592.9</v>
      </c>
      <c r="S114" s="32">
        <v>573.9</v>
      </c>
      <c r="T114" s="32">
        <v>567.20000000000005</v>
      </c>
      <c r="U114" s="32">
        <v>561.79999999999995</v>
      </c>
      <c r="V114" s="32">
        <v>578</v>
      </c>
      <c r="W114" s="32">
        <v>592.9</v>
      </c>
      <c r="X114" s="32">
        <v>598.29999999999995</v>
      </c>
      <c r="Y114" s="32">
        <v>615.79999999999995</v>
      </c>
      <c r="Z114" s="32">
        <v>631.9</v>
      </c>
      <c r="AA114" s="32">
        <v>642.4</v>
      </c>
      <c r="AB114" s="32">
        <v>663</v>
      </c>
      <c r="AC114" s="32">
        <v>654.9</v>
      </c>
      <c r="AD114" s="32">
        <v>632.79999999999995</v>
      </c>
      <c r="AE114" s="32">
        <v>627.79999999999995</v>
      </c>
      <c r="AF114" s="32">
        <v>615.9</v>
      </c>
      <c r="AG114" s="32">
        <v>603.9</v>
      </c>
      <c r="AH114" s="32">
        <v>613.70000000000005</v>
      </c>
      <c r="AI114" s="32">
        <v>589.70000000000005</v>
      </c>
      <c r="AJ114" s="32">
        <v>593.4</v>
      </c>
      <c r="AK114" s="32">
        <v>623</v>
      </c>
      <c r="AL114" s="32">
        <v>629.9</v>
      </c>
      <c r="AM114" s="32">
        <v>618.29999999999995</v>
      </c>
      <c r="AN114" s="32">
        <v>622</v>
      </c>
      <c r="AO114" s="32">
        <v>644.29999999999995</v>
      </c>
      <c r="AP114" s="32">
        <v>639.9</v>
      </c>
      <c r="AQ114" s="32">
        <v>660.9</v>
      </c>
      <c r="AR114" s="32">
        <v>657.4</v>
      </c>
      <c r="AS114" s="32">
        <v>660</v>
      </c>
      <c r="AT114" s="32">
        <v>701.2</v>
      </c>
      <c r="AU114" s="32">
        <v>662.6</v>
      </c>
      <c r="AV114" s="32">
        <v>650.79999999999995</v>
      </c>
      <c r="AW114" s="32">
        <v>647</v>
      </c>
      <c r="AX114" s="32">
        <v>653.70000000000005</v>
      </c>
      <c r="AY114" s="32">
        <v>661</v>
      </c>
      <c r="AZ114" s="32">
        <v>677.6</v>
      </c>
      <c r="BA114" s="32">
        <v>661.3</v>
      </c>
      <c r="BB114" s="32">
        <v>654.9</v>
      </c>
      <c r="BC114" s="32">
        <v>639</v>
      </c>
      <c r="BD114" s="32">
        <v>638.4</v>
      </c>
      <c r="BE114" s="32">
        <v>640.1</v>
      </c>
      <c r="BF114" s="32">
        <v>649</v>
      </c>
      <c r="BG114" s="32">
        <v>637.6</v>
      </c>
      <c r="BH114" s="32">
        <v>655.9</v>
      </c>
      <c r="BI114" s="32">
        <v>697.9</v>
      </c>
      <c r="BJ114" s="32">
        <v>713.4</v>
      </c>
      <c r="BK114" s="32">
        <v>633.79999999999995</v>
      </c>
      <c r="BL114" s="33">
        <v>628</v>
      </c>
    </row>
    <row r="115" spans="1:64" ht="15.95" customHeight="1">
      <c r="A115" s="68" t="s">
        <v>372</v>
      </c>
      <c r="B115" s="28" t="s">
        <v>176</v>
      </c>
      <c r="C115" s="42">
        <f>_xll.RssMarket("9531","高値")</f>
        <v>6300</v>
      </c>
      <c r="D115" s="41">
        <f t="shared" si="1"/>
        <v>0</v>
      </c>
      <c r="E115" s="37">
        <v>6300</v>
      </c>
      <c r="F115" s="37">
        <v>6269</v>
      </c>
      <c r="G115" s="32">
        <v>6382</v>
      </c>
      <c r="H115" s="32">
        <v>6471</v>
      </c>
      <c r="I115" s="32">
        <v>6395</v>
      </c>
      <c r="J115" s="32">
        <v>6462</v>
      </c>
      <c r="K115" s="32">
        <v>6319</v>
      </c>
      <c r="L115" s="32">
        <v>6295</v>
      </c>
      <c r="M115" s="32">
        <v>6365</v>
      </c>
      <c r="N115" s="32">
        <v>6353</v>
      </c>
      <c r="O115" s="32">
        <v>6255</v>
      </c>
      <c r="P115" s="32">
        <v>6432</v>
      </c>
      <c r="Q115" s="32">
        <v>6481</v>
      </c>
      <c r="R115" s="32">
        <v>6536</v>
      </c>
      <c r="S115" s="32">
        <v>6600</v>
      </c>
      <c r="T115" s="32">
        <v>6698</v>
      </c>
      <c r="U115" s="32">
        <v>6724</v>
      </c>
      <c r="V115" s="32">
        <v>6825</v>
      </c>
      <c r="W115" s="32">
        <v>6765</v>
      </c>
      <c r="X115" s="32">
        <v>6832</v>
      </c>
      <c r="Y115" s="32">
        <v>6779</v>
      </c>
      <c r="Z115" s="32">
        <v>6640</v>
      </c>
      <c r="AA115" s="32">
        <v>6702</v>
      </c>
      <c r="AB115" s="32">
        <v>6795</v>
      </c>
      <c r="AC115" s="32">
        <v>6747</v>
      </c>
      <c r="AD115" s="32">
        <v>6786</v>
      </c>
      <c r="AE115" s="32">
        <v>6842</v>
      </c>
      <c r="AF115" s="32">
        <v>6753</v>
      </c>
      <c r="AG115" s="32">
        <v>6774</v>
      </c>
      <c r="AH115" s="32">
        <v>6979</v>
      </c>
      <c r="AI115" s="32">
        <v>6533</v>
      </c>
      <c r="AJ115" s="32">
        <v>6552</v>
      </c>
      <c r="AK115" s="32">
        <v>6489</v>
      </c>
      <c r="AL115" s="32">
        <v>6596</v>
      </c>
      <c r="AM115" s="32">
        <v>6667</v>
      </c>
      <c r="AN115" s="32">
        <v>6924</v>
      </c>
      <c r="AO115" s="32">
        <v>7128</v>
      </c>
      <c r="AP115" s="32">
        <v>7146</v>
      </c>
      <c r="AQ115" s="32">
        <v>7072</v>
      </c>
      <c r="AR115" s="32">
        <v>7085</v>
      </c>
      <c r="AS115" s="32">
        <v>7286</v>
      </c>
      <c r="AT115" s="32">
        <v>7406</v>
      </c>
      <c r="AU115" s="32">
        <v>7426</v>
      </c>
      <c r="AV115" s="32">
        <v>7519</v>
      </c>
      <c r="AW115" s="32">
        <v>7404</v>
      </c>
      <c r="AX115" s="32">
        <v>7371</v>
      </c>
      <c r="AY115" s="32">
        <v>7391</v>
      </c>
      <c r="AZ115" s="32">
        <v>7620</v>
      </c>
      <c r="BA115" s="32">
        <v>7645</v>
      </c>
      <c r="BB115" s="32">
        <v>7648</v>
      </c>
      <c r="BC115" s="32">
        <v>7841</v>
      </c>
      <c r="BD115" s="32">
        <v>7817</v>
      </c>
      <c r="BE115" s="32">
        <v>7636</v>
      </c>
      <c r="BF115" s="32">
        <v>7584</v>
      </c>
      <c r="BG115" s="32">
        <v>7267</v>
      </c>
      <c r="BH115" s="32">
        <v>7144</v>
      </c>
      <c r="BI115" s="32">
        <v>7644</v>
      </c>
      <c r="BJ115" s="32">
        <v>7687</v>
      </c>
      <c r="BK115" s="32">
        <v>7541</v>
      </c>
      <c r="BL115" s="33">
        <v>7620</v>
      </c>
    </row>
    <row r="116" spans="1:64" ht="15.95" customHeight="1">
      <c r="A116" s="68" t="s">
        <v>373</v>
      </c>
      <c r="B116" s="28" t="s">
        <v>177</v>
      </c>
      <c r="C116" s="42">
        <f>_xll.RssMarket("9882","高値")</f>
        <v>1757</v>
      </c>
      <c r="D116" s="41">
        <f t="shared" si="1"/>
        <v>0</v>
      </c>
      <c r="E116" s="37">
        <v>1757</v>
      </c>
      <c r="F116" s="37">
        <v>1744</v>
      </c>
      <c r="G116" s="32">
        <v>1748</v>
      </c>
      <c r="H116" s="32">
        <v>1728</v>
      </c>
      <c r="I116" s="32">
        <v>1733</v>
      </c>
      <c r="J116" s="32">
        <v>1692</v>
      </c>
      <c r="K116" s="32">
        <v>1675</v>
      </c>
      <c r="L116" s="32">
        <v>1687</v>
      </c>
      <c r="M116" s="32">
        <v>1688</v>
      </c>
      <c r="N116" s="32">
        <v>1640</v>
      </c>
      <c r="O116" s="32">
        <v>1663</v>
      </c>
      <c r="P116" s="32">
        <v>1637</v>
      </c>
      <c r="Q116" s="32">
        <v>1633</v>
      </c>
      <c r="R116" s="32">
        <v>1627</v>
      </c>
      <c r="S116" s="32">
        <v>1632</v>
      </c>
      <c r="T116" s="32">
        <v>1650</v>
      </c>
      <c r="U116" s="32">
        <v>1646</v>
      </c>
      <c r="V116" s="32">
        <v>1652</v>
      </c>
      <c r="W116" s="32">
        <v>1649</v>
      </c>
      <c r="X116" s="32">
        <v>1637</v>
      </c>
      <c r="Y116" s="32">
        <v>1629</v>
      </c>
      <c r="Z116" s="32">
        <v>1638</v>
      </c>
      <c r="AA116" s="32">
        <v>1670</v>
      </c>
      <c r="AB116" s="32">
        <v>1679</v>
      </c>
      <c r="AC116" s="32">
        <v>1510</v>
      </c>
      <c r="AD116" s="32">
        <v>1519</v>
      </c>
      <c r="AE116" s="32">
        <v>1513</v>
      </c>
      <c r="AF116" s="32">
        <v>1521</v>
      </c>
      <c r="AG116" s="32">
        <v>1515</v>
      </c>
      <c r="AH116" s="32">
        <v>1521</v>
      </c>
      <c r="AI116" s="32">
        <v>1525</v>
      </c>
      <c r="AJ116" s="32">
        <v>1534</v>
      </c>
      <c r="AK116" s="32">
        <v>1577</v>
      </c>
      <c r="AL116" s="32">
        <v>1579</v>
      </c>
      <c r="AM116" s="32">
        <v>1575</v>
      </c>
      <c r="AN116" s="32">
        <v>1564</v>
      </c>
      <c r="AO116" s="32">
        <v>1570</v>
      </c>
      <c r="AP116" s="32">
        <v>1585</v>
      </c>
      <c r="AQ116" s="32">
        <v>1580</v>
      </c>
      <c r="AR116" s="32">
        <v>1596</v>
      </c>
      <c r="AS116" s="32">
        <v>1612</v>
      </c>
      <c r="AT116" s="32">
        <v>1638</v>
      </c>
      <c r="AU116" s="32">
        <v>1635</v>
      </c>
      <c r="AV116" s="32">
        <v>1605</v>
      </c>
      <c r="AW116" s="32">
        <v>1572</v>
      </c>
      <c r="AX116" s="32">
        <v>1561</v>
      </c>
      <c r="AY116" s="32">
        <v>1582</v>
      </c>
      <c r="AZ116" s="32">
        <v>1573</v>
      </c>
      <c r="BA116" s="32">
        <v>1573</v>
      </c>
      <c r="BB116" s="32">
        <v>1540</v>
      </c>
      <c r="BC116" s="32">
        <v>1602</v>
      </c>
      <c r="BD116" s="32">
        <v>1590</v>
      </c>
      <c r="BE116" s="32">
        <v>1590</v>
      </c>
      <c r="BF116" s="32">
        <v>1558</v>
      </c>
      <c r="BG116" s="32">
        <v>1530</v>
      </c>
      <c r="BH116" s="32">
        <v>1589</v>
      </c>
      <c r="BI116" s="32">
        <v>1598</v>
      </c>
      <c r="BJ116" s="32">
        <v>1593</v>
      </c>
      <c r="BK116" s="32">
        <v>1592</v>
      </c>
      <c r="BL116" s="33">
        <v>1611</v>
      </c>
    </row>
    <row r="117" spans="1:64" ht="15.95" customHeight="1">
      <c r="A117" s="68" t="s">
        <v>374</v>
      </c>
      <c r="B117" s="28" t="s">
        <v>178</v>
      </c>
      <c r="C117" s="42">
        <f>_xll.RssMarket("5838","高値")</f>
        <v>5311</v>
      </c>
      <c r="D117" s="41">
        <f t="shared" si="1"/>
        <v>0</v>
      </c>
      <c r="E117" s="37">
        <v>5311</v>
      </c>
      <c r="F117" s="37">
        <v>5335</v>
      </c>
      <c r="G117" s="32">
        <v>5416</v>
      </c>
      <c r="H117" s="32">
        <v>5279</v>
      </c>
      <c r="I117" s="32">
        <v>5218</v>
      </c>
      <c r="J117" s="32">
        <v>5154</v>
      </c>
      <c r="K117" s="32">
        <v>4980</v>
      </c>
      <c r="L117" s="32">
        <v>5174</v>
      </c>
      <c r="M117" s="32">
        <v>5060</v>
      </c>
      <c r="N117" s="32">
        <v>4965</v>
      </c>
      <c r="O117" s="32">
        <v>4575</v>
      </c>
      <c r="P117" s="32">
        <v>4938</v>
      </c>
      <c r="Q117" s="32">
        <v>4907</v>
      </c>
      <c r="R117" s="32">
        <v>4965</v>
      </c>
      <c r="S117" s="32">
        <v>5110</v>
      </c>
      <c r="T117" s="32">
        <v>5350</v>
      </c>
      <c r="U117" s="32">
        <v>5642</v>
      </c>
      <c r="V117" s="32">
        <v>6896</v>
      </c>
      <c r="W117" s="32">
        <v>7026</v>
      </c>
      <c r="X117" s="32">
        <v>6665</v>
      </c>
      <c r="Y117" s="32">
        <v>6078</v>
      </c>
      <c r="Z117" s="32">
        <v>6204</v>
      </c>
      <c r="AA117" s="32">
        <v>6219</v>
      </c>
      <c r="AB117" s="32">
        <v>6422</v>
      </c>
      <c r="AC117" s="32">
        <v>6341</v>
      </c>
      <c r="AD117" s="32">
        <v>6327</v>
      </c>
      <c r="AE117" s="32">
        <v>6380</v>
      </c>
      <c r="AF117" s="32">
        <v>6345</v>
      </c>
      <c r="AG117" s="32">
        <v>6386</v>
      </c>
      <c r="AH117" s="32">
        <v>6439</v>
      </c>
      <c r="AI117" s="32">
        <v>6194</v>
      </c>
      <c r="AJ117" s="32">
        <v>6231</v>
      </c>
      <c r="AK117" s="32">
        <v>6290</v>
      </c>
      <c r="AL117" s="32">
        <v>6308</v>
      </c>
      <c r="AM117" s="32">
        <v>6490</v>
      </c>
      <c r="AN117" s="32">
        <v>6582</v>
      </c>
      <c r="AO117" s="32">
        <v>6746</v>
      </c>
      <c r="AP117" s="32">
        <v>6799</v>
      </c>
      <c r="AQ117" s="32">
        <v>6838</v>
      </c>
      <c r="AR117" s="32">
        <v>6880</v>
      </c>
      <c r="AS117" s="32">
        <v>6854</v>
      </c>
      <c r="AT117" s="32">
        <v>6865</v>
      </c>
      <c r="AU117" s="32">
        <v>6755</v>
      </c>
      <c r="AV117" s="32">
        <v>6559</v>
      </c>
      <c r="AW117" s="32">
        <v>6274</v>
      </c>
      <c r="AX117" s="32">
        <v>6146</v>
      </c>
      <c r="AY117" s="32">
        <v>6076</v>
      </c>
      <c r="AZ117" s="32">
        <v>6212</v>
      </c>
      <c r="BA117" s="32">
        <v>6119</v>
      </c>
      <c r="BB117" s="32">
        <v>5752</v>
      </c>
      <c r="BC117" s="32">
        <v>5960</v>
      </c>
      <c r="BD117" s="32">
        <v>6115</v>
      </c>
      <c r="BE117" s="32">
        <v>6221</v>
      </c>
      <c r="BF117" s="32">
        <v>6321</v>
      </c>
      <c r="BG117" s="32">
        <v>6205</v>
      </c>
      <c r="BH117" s="32">
        <v>6137</v>
      </c>
      <c r="BI117" s="32">
        <v>6265</v>
      </c>
      <c r="BJ117" s="32">
        <v>6297</v>
      </c>
      <c r="BK117" s="32">
        <v>6155</v>
      </c>
      <c r="BL117" s="33">
        <v>6208</v>
      </c>
    </row>
    <row r="118" spans="1:64" ht="15.95" customHeight="1">
      <c r="A118" s="68" t="s">
        <v>375</v>
      </c>
      <c r="B118" s="28" t="s">
        <v>179</v>
      </c>
      <c r="C118" s="42">
        <f>_xll.RssMarket("5844","高値")</f>
        <v>4733</v>
      </c>
      <c r="D118" s="41">
        <f t="shared" si="1"/>
        <v>0</v>
      </c>
      <c r="E118" s="37">
        <v>4733</v>
      </c>
      <c r="F118" s="37">
        <v>4669</v>
      </c>
      <c r="G118" s="32">
        <v>4583</v>
      </c>
      <c r="H118" s="32">
        <v>4529</v>
      </c>
      <c r="I118" s="32">
        <v>4498</v>
      </c>
      <c r="J118" s="32">
        <v>4755</v>
      </c>
      <c r="K118" s="32">
        <v>4612</v>
      </c>
      <c r="L118" s="32">
        <v>4694</v>
      </c>
      <c r="M118" s="32">
        <v>4527</v>
      </c>
      <c r="N118" s="32">
        <v>4396</v>
      </c>
      <c r="O118" s="32">
        <v>4384</v>
      </c>
      <c r="P118" s="32">
        <v>4484</v>
      </c>
      <c r="Q118" s="32">
        <v>4540</v>
      </c>
      <c r="R118" s="32">
        <v>4530</v>
      </c>
      <c r="S118" s="32">
        <v>4605</v>
      </c>
      <c r="T118" s="32">
        <v>4519</v>
      </c>
      <c r="U118" s="32">
        <v>4547</v>
      </c>
      <c r="V118" s="32">
        <v>4494</v>
      </c>
      <c r="W118" s="32">
        <v>4453</v>
      </c>
      <c r="X118" s="32">
        <v>4428</v>
      </c>
      <c r="Y118" s="32">
        <v>4534</v>
      </c>
      <c r="Z118" s="32">
        <v>4483</v>
      </c>
      <c r="AA118" s="32">
        <v>4491</v>
      </c>
      <c r="AB118" s="32">
        <v>4467</v>
      </c>
      <c r="AC118" s="32">
        <v>4441</v>
      </c>
      <c r="AD118" s="32">
        <v>4420</v>
      </c>
      <c r="AE118" s="32">
        <v>4521</v>
      </c>
      <c r="AF118" s="32">
        <v>4402</v>
      </c>
      <c r="AG118" s="32">
        <v>4344</v>
      </c>
      <c r="AH118" s="32">
        <v>4362</v>
      </c>
      <c r="AI118" s="32">
        <v>4231</v>
      </c>
      <c r="AJ118" s="32">
        <v>4327</v>
      </c>
      <c r="AK118" s="32">
        <v>4280</v>
      </c>
      <c r="AL118" s="32">
        <v>4367</v>
      </c>
      <c r="AM118" s="32">
        <v>4384</v>
      </c>
      <c r="AN118" s="32">
        <v>4459</v>
      </c>
      <c r="AO118" s="32">
        <v>4435</v>
      </c>
      <c r="AP118" s="32">
        <v>4467</v>
      </c>
      <c r="AQ118" s="32">
        <v>4421</v>
      </c>
      <c r="AR118" s="32">
        <v>4418</v>
      </c>
      <c r="AS118" s="32">
        <v>4387</v>
      </c>
      <c r="AT118" s="32">
        <v>4472</v>
      </c>
      <c r="AU118" s="32">
        <v>4506</v>
      </c>
      <c r="AV118" s="32">
        <v>4585</v>
      </c>
      <c r="AW118" s="32">
        <v>4450</v>
      </c>
      <c r="AX118" s="32">
        <v>4428</v>
      </c>
      <c r="AY118" s="32">
        <v>4352</v>
      </c>
      <c r="AZ118" s="32">
        <v>4447</v>
      </c>
      <c r="BA118" s="32">
        <v>4376</v>
      </c>
      <c r="BB118" s="32">
        <v>4245</v>
      </c>
      <c r="BC118" s="32">
        <v>4242</v>
      </c>
      <c r="BD118" s="32">
        <v>4513</v>
      </c>
      <c r="BE118" s="32">
        <v>4448</v>
      </c>
      <c r="BF118" s="32">
        <v>4422</v>
      </c>
      <c r="BG118" s="32">
        <v>4457</v>
      </c>
      <c r="BH118" s="32">
        <v>4370</v>
      </c>
      <c r="BI118" s="32">
        <v>4461</v>
      </c>
      <c r="BJ118" s="32">
        <v>4421</v>
      </c>
      <c r="BK118" s="32">
        <v>4417</v>
      </c>
      <c r="BL118" s="33">
        <v>4480</v>
      </c>
    </row>
    <row r="119" spans="1:64" ht="15.95" customHeight="1">
      <c r="A119" s="68" t="s">
        <v>376</v>
      </c>
      <c r="B119" s="28" t="s">
        <v>180</v>
      </c>
      <c r="C119" s="42">
        <f>_xll.RssMarket("9404","高値")</f>
        <v>2900</v>
      </c>
      <c r="D119" s="41">
        <f t="shared" si="1"/>
        <v>0</v>
      </c>
      <c r="E119" s="37">
        <v>2900</v>
      </c>
      <c r="F119" s="37">
        <v>2884</v>
      </c>
      <c r="G119" s="32">
        <v>2856.5</v>
      </c>
      <c r="H119" s="32">
        <v>2871.5</v>
      </c>
      <c r="I119" s="32">
        <v>2914.5</v>
      </c>
      <c r="J119" s="32">
        <v>2904.5</v>
      </c>
      <c r="K119" s="32">
        <v>2897</v>
      </c>
      <c r="L119" s="32">
        <v>2888</v>
      </c>
      <c r="M119" s="32">
        <v>2800</v>
      </c>
      <c r="N119" s="32">
        <v>2794</v>
      </c>
      <c r="O119" s="32">
        <v>2820</v>
      </c>
      <c r="P119" s="32">
        <v>2888.5</v>
      </c>
      <c r="Q119" s="32">
        <v>2883</v>
      </c>
      <c r="R119" s="32">
        <v>2887</v>
      </c>
      <c r="S119" s="32">
        <v>2919.5</v>
      </c>
      <c r="T119" s="32">
        <v>2933.5</v>
      </c>
      <c r="U119" s="32">
        <v>2983.5</v>
      </c>
      <c r="V119" s="32">
        <v>2982.5</v>
      </c>
      <c r="W119" s="32">
        <v>2959.5</v>
      </c>
      <c r="X119" s="32">
        <v>2949.5</v>
      </c>
      <c r="Y119" s="32">
        <v>2941</v>
      </c>
      <c r="Z119" s="32">
        <v>2944</v>
      </c>
      <c r="AA119" s="32">
        <v>2996.5</v>
      </c>
      <c r="AB119" s="32">
        <v>2957.5</v>
      </c>
      <c r="AC119" s="32">
        <v>2976.5</v>
      </c>
      <c r="AD119" s="32">
        <v>3019</v>
      </c>
      <c r="AE119" s="32">
        <v>3006</v>
      </c>
      <c r="AF119" s="32">
        <v>3005</v>
      </c>
      <c r="AG119" s="32">
        <v>2994.5</v>
      </c>
      <c r="AH119" s="32">
        <v>3045</v>
      </c>
      <c r="AI119" s="32">
        <v>3059</v>
      </c>
      <c r="AJ119" s="32">
        <v>2992.5</v>
      </c>
      <c r="AK119" s="32">
        <v>3058</v>
      </c>
      <c r="AL119" s="32">
        <v>3152</v>
      </c>
      <c r="AM119" s="32">
        <v>3177</v>
      </c>
      <c r="AN119" s="32">
        <v>3220</v>
      </c>
      <c r="AO119" s="32">
        <v>3202</v>
      </c>
      <c r="AP119" s="32">
        <v>3199</v>
      </c>
      <c r="AQ119" s="32">
        <v>3196</v>
      </c>
      <c r="AR119" s="32">
        <v>3174</v>
      </c>
      <c r="AS119" s="32">
        <v>3139</v>
      </c>
      <c r="AT119" s="32">
        <v>3175</v>
      </c>
      <c r="AU119" s="32">
        <v>3198</v>
      </c>
      <c r="AV119" s="32">
        <v>3194</v>
      </c>
      <c r="AW119" s="32">
        <v>3134</v>
      </c>
      <c r="AX119" s="32">
        <v>3123</v>
      </c>
      <c r="AY119" s="32">
        <v>3135</v>
      </c>
      <c r="AZ119" s="32">
        <v>3223</v>
      </c>
      <c r="BA119" s="32">
        <v>3226</v>
      </c>
      <c r="BB119" s="32">
        <v>3208</v>
      </c>
      <c r="BC119" s="32">
        <v>3178</v>
      </c>
      <c r="BD119" s="32">
        <v>3270</v>
      </c>
      <c r="BE119" s="32">
        <v>3220</v>
      </c>
      <c r="BF119" s="32">
        <v>3238</v>
      </c>
      <c r="BG119" s="32">
        <v>3188</v>
      </c>
      <c r="BH119" s="32">
        <v>3150</v>
      </c>
      <c r="BI119" s="32">
        <v>3170</v>
      </c>
      <c r="BJ119" s="32">
        <v>3213</v>
      </c>
      <c r="BK119" s="32">
        <v>3212</v>
      </c>
      <c r="BL119" s="33">
        <v>3235</v>
      </c>
    </row>
    <row r="120" spans="1:64" ht="15.95" customHeight="1">
      <c r="A120" s="68" t="s">
        <v>377</v>
      </c>
      <c r="B120" s="28" t="s">
        <v>181</v>
      </c>
      <c r="C120" s="42">
        <f>_xll.RssMarket("6744","高値")</f>
        <v>4230</v>
      </c>
      <c r="D120" s="41">
        <f t="shared" si="1"/>
        <v>0</v>
      </c>
      <c r="E120" s="37">
        <v>4230</v>
      </c>
      <c r="F120" s="37">
        <v>4225</v>
      </c>
      <c r="G120" s="32">
        <v>4330</v>
      </c>
      <c r="H120" s="32">
        <v>4275</v>
      </c>
      <c r="I120" s="32">
        <v>4290</v>
      </c>
      <c r="J120" s="32">
        <v>4385</v>
      </c>
      <c r="K120" s="32">
        <v>4420</v>
      </c>
      <c r="L120" s="32">
        <v>4590</v>
      </c>
      <c r="M120" s="32">
        <v>4725</v>
      </c>
      <c r="N120" s="32">
        <v>4685</v>
      </c>
      <c r="O120" s="32">
        <v>4940</v>
      </c>
      <c r="P120" s="32">
        <v>4840</v>
      </c>
      <c r="Q120" s="32">
        <v>5000</v>
      </c>
      <c r="R120" s="32">
        <v>4875</v>
      </c>
      <c r="S120" s="32">
        <v>4670</v>
      </c>
      <c r="T120" s="32">
        <v>4675</v>
      </c>
      <c r="U120" s="32">
        <v>4615</v>
      </c>
      <c r="V120" s="32">
        <v>4800</v>
      </c>
      <c r="W120" s="32">
        <v>4725</v>
      </c>
      <c r="X120" s="32">
        <v>4815</v>
      </c>
      <c r="Y120" s="32">
        <v>4600</v>
      </c>
      <c r="Z120" s="32">
        <v>4395</v>
      </c>
      <c r="AA120" s="32">
        <v>4450</v>
      </c>
      <c r="AB120" s="32">
        <v>4490</v>
      </c>
      <c r="AC120" s="32">
        <v>4360</v>
      </c>
      <c r="AD120" s="32">
        <v>4420</v>
      </c>
      <c r="AE120" s="32">
        <v>4325</v>
      </c>
      <c r="AF120" s="32">
        <v>4130</v>
      </c>
      <c r="AG120" s="32">
        <v>4055</v>
      </c>
      <c r="AH120" s="32">
        <v>4000</v>
      </c>
      <c r="AI120" s="32">
        <v>3965</v>
      </c>
      <c r="AJ120" s="32">
        <v>4000</v>
      </c>
      <c r="AK120" s="32">
        <v>4040</v>
      </c>
      <c r="AL120" s="32">
        <v>4115</v>
      </c>
      <c r="AM120" s="32">
        <v>4140</v>
      </c>
      <c r="AN120" s="32">
        <v>4210</v>
      </c>
      <c r="AO120" s="32">
        <v>4280</v>
      </c>
      <c r="AP120" s="32">
        <v>4440</v>
      </c>
      <c r="AQ120" s="32">
        <v>4440</v>
      </c>
      <c r="AR120" s="32">
        <v>4425</v>
      </c>
      <c r="AS120" s="32">
        <v>4430</v>
      </c>
      <c r="AT120" s="32">
        <v>4440</v>
      </c>
      <c r="AU120" s="32">
        <v>4425</v>
      </c>
      <c r="AV120" s="32">
        <v>4320</v>
      </c>
      <c r="AW120" s="32">
        <v>4255</v>
      </c>
      <c r="AX120" s="32">
        <v>4220</v>
      </c>
      <c r="AY120" s="32">
        <v>4320</v>
      </c>
      <c r="AZ120" s="32">
        <v>4285</v>
      </c>
      <c r="BA120" s="32">
        <v>4155</v>
      </c>
      <c r="BB120" s="32">
        <v>4195</v>
      </c>
      <c r="BC120" s="32">
        <v>4310</v>
      </c>
      <c r="BD120" s="32">
        <v>4400</v>
      </c>
      <c r="BE120" s="32">
        <v>4420</v>
      </c>
      <c r="BF120" s="32">
        <v>4305</v>
      </c>
      <c r="BG120" s="32">
        <v>4320</v>
      </c>
      <c r="BH120" s="32">
        <v>4485</v>
      </c>
      <c r="BI120" s="32">
        <v>4520</v>
      </c>
      <c r="BJ120" s="32">
        <v>4680</v>
      </c>
      <c r="BK120" s="32">
        <v>4545</v>
      </c>
      <c r="BL120" s="33">
        <v>4600</v>
      </c>
    </row>
    <row r="121" spans="1:64" ht="15.95" customHeight="1">
      <c r="A121" s="68" t="s">
        <v>378</v>
      </c>
      <c r="B121" s="28" t="s">
        <v>182</v>
      </c>
      <c r="C121" s="42">
        <f>_xll.RssMarket("7685","高値")</f>
        <v>3725</v>
      </c>
      <c r="D121" s="41">
        <f t="shared" si="1"/>
        <v>0</v>
      </c>
      <c r="E121" s="37">
        <v>3725</v>
      </c>
      <c r="F121" s="37">
        <v>3740</v>
      </c>
      <c r="G121" s="32">
        <v>3770</v>
      </c>
      <c r="H121" s="32">
        <v>3935</v>
      </c>
      <c r="I121" s="32">
        <v>3850</v>
      </c>
      <c r="J121" s="32">
        <v>4035</v>
      </c>
      <c r="K121" s="32">
        <v>3715</v>
      </c>
      <c r="L121" s="32">
        <v>3790</v>
      </c>
      <c r="M121" s="32">
        <v>3870</v>
      </c>
      <c r="N121" s="32">
        <v>3975</v>
      </c>
      <c r="O121" s="32">
        <v>4085</v>
      </c>
      <c r="P121" s="32">
        <v>4155</v>
      </c>
      <c r="Q121" s="32">
        <v>4025</v>
      </c>
      <c r="R121" s="32">
        <v>3995</v>
      </c>
      <c r="S121" s="32">
        <v>3855</v>
      </c>
      <c r="T121" s="32">
        <v>3840</v>
      </c>
      <c r="U121" s="32">
        <v>3700</v>
      </c>
      <c r="V121" s="32">
        <v>3875</v>
      </c>
      <c r="W121" s="32">
        <v>3770</v>
      </c>
      <c r="X121" s="32">
        <v>3475</v>
      </c>
      <c r="Y121" s="32">
        <v>3700</v>
      </c>
      <c r="Z121" s="32">
        <v>3500</v>
      </c>
      <c r="AA121" s="32">
        <v>3345</v>
      </c>
      <c r="AB121" s="32">
        <v>3340</v>
      </c>
      <c r="AC121" s="32">
        <v>3445</v>
      </c>
      <c r="AD121" s="32">
        <v>3290</v>
      </c>
      <c r="AE121" s="32">
        <v>3205</v>
      </c>
      <c r="AF121" s="32">
        <v>3300</v>
      </c>
      <c r="AG121" s="32">
        <v>3385</v>
      </c>
      <c r="AH121" s="32">
        <v>3225</v>
      </c>
      <c r="AI121" s="32">
        <v>3190</v>
      </c>
      <c r="AJ121" s="32">
        <v>3255</v>
      </c>
      <c r="AK121" s="32">
        <v>3345</v>
      </c>
      <c r="AL121" s="32">
        <v>3470</v>
      </c>
      <c r="AM121" s="32">
        <v>3500</v>
      </c>
      <c r="AN121" s="32">
        <v>3510</v>
      </c>
      <c r="AO121" s="32">
        <v>3660</v>
      </c>
      <c r="AP121" s="32">
        <v>3700</v>
      </c>
      <c r="AQ121" s="32">
        <v>3680</v>
      </c>
      <c r="AR121" s="32">
        <v>3580</v>
      </c>
      <c r="AS121" s="32">
        <v>3525</v>
      </c>
      <c r="AT121" s="32">
        <v>3470</v>
      </c>
      <c r="AU121" s="32">
        <v>3500</v>
      </c>
      <c r="AV121" s="32">
        <v>3495</v>
      </c>
      <c r="AW121" s="32">
        <v>3395</v>
      </c>
      <c r="AX121" s="32">
        <v>3320</v>
      </c>
      <c r="AY121" s="32">
        <v>3200</v>
      </c>
      <c r="AZ121" s="32">
        <v>3275</v>
      </c>
      <c r="BA121" s="32">
        <v>3245</v>
      </c>
      <c r="BB121" s="32">
        <v>3080</v>
      </c>
      <c r="BC121" s="32">
        <v>3085</v>
      </c>
      <c r="BD121" s="32">
        <v>3190</v>
      </c>
      <c r="BE121" s="32">
        <v>3200</v>
      </c>
      <c r="BF121" s="32">
        <v>3140</v>
      </c>
      <c r="BG121" s="32">
        <v>3130</v>
      </c>
      <c r="BH121" s="32">
        <v>3190</v>
      </c>
      <c r="BI121" s="32">
        <v>3405</v>
      </c>
      <c r="BJ121" s="32">
        <v>3475</v>
      </c>
      <c r="BK121" s="32">
        <v>3535</v>
      </c>
      <c r="BL121" s="33">
        <v>3335</v>
      </c>
    </row>
    <row r="122" spans="1:64" ht="15.95" customHeight="1">
      <c r="A122" s="68" t="s">
        <v>379</v>
      </c>
      <c r="B122" s="28" t="s">
        <v>183</v>
      </c>
      <c r="C122" s="42">
        <f>_xll.RssMarket("8334","高値")</f>
        <v>2384</v>
      </c>
      <c r="D122" s="41">
        <f t="shared" si="1"/>
        <v>0</v>
      </c>
      <c r="E122" s="37">
        <v>2384</v>
      </c>
      <c r="F122" s="37">
        <v>2333.5</v>
      </c>
      <c r="G122" s="32">
        <v>2425</v>
      </c>
      <c r="H122" s="32">
        <v>2364</v>
      </c>
      <c r="I122" s="32">
        <v>2329</v>
      </c>
      <c r="J122" s="32">
        <v>2403</v>
      </c>
      <c r="K122" s="32">
        <v>2265.5</v>
      </c>
      <c r="L122" s="32">
        <v>2300</v>
      </c>
      <c r="M122" s="32">
        <v>2260</v>
      </c>
      <c r="N122" s="32">
        <v>2199</v>
      </c>
      <c r="O122" s="32">
        <v>2177.5</v>
      </c>
      <c r="P122" s="32">
        <v>2284</v>
      </c>
      <c r="Q122" s="32">
        <v>2279.5</v>
      </c>
      <c r="R122" s="32">
        <v>2291</v>
      </c>
      <c r="S122" s="32">
        <v>2336</v>
      </c>
      <c r="T122" s="32">
        <v>2375</v>
      </c>
      <c r="U122" s="32">
        <v>2392</v>
      </c>
      <c r="V122" s="32">
        <v>2332.5</v>
      </c>
      <c r="W122" s="32">
        <v>2323</v>
      </c>
      <c r="X122" s="32">
        <v>2269</v>
      </c>
      <c r="Y122" s="32">
        <v>2234.5</v>
      </c>
      <c r="Z122" s="32">
        <v>2209</v>
      </c>
      <c r="AA122" s="32">
        <v>2221</v>
      </c>
      <c r="AB122" s="32">
        <v>2232</v>
      </c>
      <c r="AC122" s="32">
        <v>2240</v>
      </c>
      <c r="AD122" s="32">
        <v>2204.5</v>
      </c>
      <c r="AE122" s="32">
        <v>2247</v>
      </c>
      <c r="AF122" s="32">
        <v>2165</v>
      </c>
      <c r="AG122" s="32">
        <v>2200</v>
      </c>
      <c r="AH122" s="32">
        <v>2215.5</v>
      </c>
      <c r="AI122" s="32">
        <v>2026.5</v>
      </c>
      <c r="AJ122" s="32">
        <v>2060.5</v>
      </c>
      <c r="AK122" s="32">
        <v>2054</v>
      </c>
      <c r="AL122" s="32">
        <v>2135</v>
      </c>
      <c r="AM122" s="32">
        <v>2195</v>
      </c>
      <c r="AN122" s="32">
        <v>2265</v>
      </c>
      <c r="AO122" s="32">
        <v>2272</v>
      </c>
      <c r="AP122" s="32">
        <v>2295</v>
      </c>
      <c r="AQ122" s="32">
        <v>2292.5</v>
      </c>
      <c r="AR122" s="32">
        <v>2292.5</v>
      </c>
      <c r="AS122" s="32">
        <v>2304</v>
      </c>
      <c r="AT122" s="32">
        <v>2338.5</v>
      </c>
      <c r="AU122" s="32">
        <v>2325</v>
      </c>
      <c r="AV122" s="32">
        <v>2343</v>
      </c>
      <c r="AW122" s="32">
        <v>2251.5</v>
      </c>
      <c r="AX122" s="32">
        <v>2248</v>
      </c>
      <c r="AY122" s="32">
        <v>2246.5</v>
      </c>
      <c r="AZ122" s="32">
        <v>2284</v>
      </c>
      <c r="BA122" s="32">
        <v>2227</v>
      </c>
      <c r="BB122" s="32">
        <v>2181.5</v>
      </c>
      <c r="BC122" s="32">
        <v>2202.5</v>
      </c>
      <c r="BD122" s="32">
        <v>2317.5</v>
      </c>
      <c r="BE122" s="32">
        <v>2188.5</v>
      </c>
      <c r="BF122" s="32">
        <v>2195</v>
      </c>
      <c r="BG122" s="32">
        <v>2118.5</v>
      </c>
      <c r="BH122" s="32">
        <v>2052</v>
      </c>
      <c r="BI122" s="32">
        <v>2150</v>
      </c>
      <c r="BJ122" s="32">
        <v>2166</v>
      </c>
      <c r="BK122" s="32">
        <v>2131</v>
      </c>
      <c r="BL122" s="33">
        <v>2095</v>
      </c>
    </row>
    <row r="123" spans="1:64" ht="15.95" customHeight="1">
      <c r="A123" s="68" t="s">
        <v>380</v>
      </c>
      <c r="B123" s="28" t="s">
        <v>184</v>
      </c>
      <c r="C123" s="42">
        <f>_xll.RssMarket("8359","高値")</f>
        <v>2397</v>
      </c>
      <c r="D123" s="41">
        <f t="shared" si="1"/>
        <v>0</v>
      </c>
      <c r="E123" s="37">
        <v>2397</v>
      </c>
      <c r="F123" s="37">
        <v>2360.5</v>
      </c>
      <c r="G123" s="32">
        <v>2465</v>
      </c>
      <c r="H123" s="32">
        <v>2379.5</v>
      </c>
      <c r="I123" s="32">
        <v>2354.5</v>
      </c>
      <c r="J123" s="32">
        <v>2470.5</v>
      </c>
      <c r="K123" s="32">
        <v>2358</v>
      </c>
      <c r="L123" s="32">
        <v>2442.5</v>
      </c>
      <c r="M123" s="32">
        <v>2376.5</v>
      </c>
      <c r="N123" s="32">
        <v>2351</v>
      </c>
      <c r="O123" s="32">
        <v>2319.5</v>
      </c>
      <c r="P123" s="32">
        <v>2348</v>
      </c>
      <c r="Q123" s="32">
        <v>2299</v>
      </c>
      <c r="R123" s="32">
        <v>2316</v>
      </c>
      <c r="S123" s="32">
        <v>2381</v>
      </c>
      <c r="T123" s="32">
        <v>2378.5</v>
      </c>
      <c r="U123" s="32">
        <v>2384.5</v>
      </c>
      <c r="V123" s="32">
        <v>2323.5</v>
      </c>
      <c r="W123" s="32">
        <v>2299</v>
      </c>
      <c r="X123" s="32">
        <v>2374.5</v>
      </c>
      <c r="Y123" s="32">
        <v>2403</v>
      </c>
      <c r="Z123" s="32">
        <v>2357</v>
      </c>
      <c r="AA123" s="32">
        <v>2361.5</v>
      </c>
      <c r="AB123" s="32">
        <v>2350.5</v>
      </c>
      <c r="AC123" s="32">
        <v>2301.5</v>
      </c>
      <c r="AD123" s="32">
        <v>2245</v>
      </c>
      <c r="AE123" s="32">
        <v>2307.5</v>
      </c>
      <c r="AF123" s="32">
        <v>2123</v>
      </c>
      <c r="AG123" s="32">
        <v>2150.5</v>
      </c>
      <c r="AH123" s="32">
        <v>2168</v>
      </c>
      <c r="AI123" s="32">
        <v>2025.5</v>
      </c>
      <c r="AJ123" s="32">
        <v>2047.5</v>
      </c>
      <c r="AK123" s="32">
        <v>2029</v>
      </c>
      <c r="AL123" s="32">
        <v>2046</v>
      </c>
      <c r="AM123" s="32">
        <v>2094.5</v>
      </c>
      <c r="AN123" s="32">
        <v>2129</v>
      </c>
      <c r="AO123" s="32">
        <v>2117.5</v>
      </c>
      <c r="AP123" s="32">
        <v>2128.5</v>
      </c>
      <c r="AQ123" s="32">
        <v>2120</v>
      </c>
      <c r="AR123" s="32">
        <v>2098</v>
      </c>
      <c r="AS123" s="32">
        <v>2122.5</v>
      </c>
      <c r="AT123" s="32">
        <v>2152.5</v>
      </c>
      <c r="AU123" s="32">
        <v>2147</v>
      </c>
      <c r="AV123" s="32">
        <v>2158</v>
      </c>
      <c r="AW123" s="32">
        <v>2091.5</v>
      </c>
      <c r="AX123" s="32">
        <v>2070</v>
      </c>
      <c r="AY123" s="32">
        <v>2059.5</v>
      </c>
      <c r="AZ123" s="32">
        <v>2115</v>
      </c>
      <c r="BA123" s="32">
        <v>2069</v>
      </c>
      <c r="BB123" s="32">
        <v>1986</v>
      </c>
      <c r="BC123" s="32">
        <v>1967.5</v>
      </c>
      <c r="BD123" s="32">
        <v>2078.5</v>
      </c>
      <c r="BE123" s="32">
        <v>2110</v>
      </c>
      <c r="BF123" s="32">
        <v>2102</v>
      </c>
      <c r="BG123" s="32">
        <v>2033.5</v>
      </c>
      <c r="BH123" s="32">
        <v>1960</v>
      </c>
      <c r="BI123" s="32">
        <v>1985.5</v>
      </c>
      <c r="BJ123" s="32">
        <v>2024.5</v>
      </c>
      <c r="BK123" s="32">
        <v>1991.5</v>
      </c>
      <c r="BL123" s="33">
        <v>1945.5</v>
      </c>
    </row>
    <row r="124" spans="1:64" ht="15.95" customHeight="1">
      <c r="A124" s="68" t="s">
        <v>381</v>
      </c>
      <c r="B124" s="28" t="s">
        <v>185</v>
      </c>
      <c r="C124" s="42">
        <f>_xll.RssMarket("8801","高値")</f>
        <v>1554.5</v>
      </c>
      <c r="D124" s="41">
        <f t="shared" si="1"/>
        <v>0</v>
      </c>
      <c r="E124" s="37">
        <v>1554.5</v>
      </c>
      <c r="F124" s="37">
        <v>1572.5</v>
      </c>
      <c r="G124" s="32">
        <v>1593.5</v>
      </c>
      <c r="H124" s="32">
        <v>1578.5</v>
      </c>
      <c r="I124" s="32">
        <v>1597</v>
      </c>
      <c r="J124" s="32">
        <v>1551</v>
      </c>
      <c r="K124" s="32">
        <v>1475.5</v>
      </c>
      <c r="L124" s="32">
        <v>1506.5</v>
      </c>
      <c r="M124" s="32">
        <v>1493.5</v>
      </c>
      <c r="N124" s="32">
        <v>1520</v>
      </c>
      <c r="O124" s="32">
        <v>1516</v>
      </c>
      <c r="P124" s="32">
        <v>1543</v>
      </c>
      <c r="Q124" s="32">
        <v>1539</v>
      </c>
      <c r="R124" s="32">
        <v>1557.5</v>
      </c>
      <c r="S124" s="32">
        <v>1547.5</v>
      </c>
      <c r="T124" s="32">
        <v>1503</v>
      </c>
      <c r="U124" s="32">
        <v>1557</v>
      </c>
      <c r="V124" s="32">
        <v>1531.5</v>
      </c>
      <c r="W124" s="32">
        <v>1545</v>
      </c>
      <c r="X124" s="32">
        <v>1565.5</v>
      </c>
      <c r="Y124" s="32">
        <v>1557.5</v>
      </c>
      <c r="Z124" s="32">
        <v>1606</v>
      </c>
      <c r="AA124" s="32">
        <v>1697.5</v>
      </c>
      <c r="AB124" s="32">
        <v>1688</v>
      </c>
      <c r="AC124" s="32">
        <v>1679</v>
      </c>
      <c r="AD124" s="32">
        <v>1700</v>
      </c>
      <c r="AE124" s="32">
        <v>1736.5</v>
      </c>
      <c r="AF124" s="32">
        <v>1705</v>
      </c>
      <c r="AG124" s="32">
        <v>1724</v>
      </c>
      <c r="AH124" s="32">
        <v>1732</v>
      </c>
      <c r="AI124" s="32">
        <v>1728.5</v>
      </c>
      <c r="AJ124" s="32">
        <v>1722.5</v>
      </c>
      <c r="AK124" s="32">
        <v>1767.5</v>
      </c>
      <c r="AL124" s="32">
        <v>1741</v>
      </c>
      <c r="AM124" s="32">
        <v>1770</v>
      </c>
      <c r="AN124" s="32">
        <v>1776.5</v>
      </c>
      <c r="AO124" s="32">
        <v>1757.5</v>
      </c>
      <c r="AP124" s="32">
        <v>1783.5</v>
      </c>
      <c r="AQ124" s="32">
        <v>1825.5</v>
      </c>
      <c r="AR124" s="32">
        <v>1803</v>
      </c>
      <c r="AS124" s="32">
        <v>1732</v>
      </c>
      <c r="AT124" s="32">
        <v>1735.5</v>
      </c>
      <c r="AU124" s="32">
        <v>1785</v>
      </c>
      <c r="AV124" s="32">
        <v>1779</v>
      </c>
      <c r="AW124" s="32">
        <v>1676</v>
      </c>
      <c r="AX124" s="32">
        <v>1704</v>
      </c>
      <c r="AY124" s="32">
        <v>1713</v>
      </c>
      <c r="AZ124" s="32">
        <v>1750</v>
      </c>
      <c r="BA124" s="32">
        <v>1713</v>
      </c>
      <c r="BB124" s="32">
        <v>1688</v>
      </c>
      <c r="BC124" s="32">
        <v>1665</v>
      </c>
      <c r="BD124" s="32">
        <v>1726.5</v>
      </c>
      <c r="BE124" s="32">
        <v>1761.5</v>
      </c>
      <c r="BF124" s="32">
        <v>1784.5</v>
      </c>
      <c r="BG124" s="32">
        <v>1743.5</v>
      </c>
      <c r="BH124" s="32">
        <v>1758.5</v>
      </c>
      <c r="BI124" s="32">
        <v>1840</v>
      </c>
      <c r="BJ124" s="32">
        <v>1883</v>
      </c>
      <c r="BK124" s="32">
        <v>1869.5</v>
      </c>
      <c r="BL124" s="33">
        <v>1828.5</v>
      </c>
    </row>
    <row r="125" spans="1:64" ht="15.95" customHeight="1">
      <c r="A125" s="68" t="s">
        <v>382</v>
      </c>
      <c r="B125" s="28" t="s">
        <v>186</v>
      </c>
      <c r="C125" s="42">
        <f>_xll.RssMarket("8934","高値")</f>
        <v>2395</v>
      </c>
      <c r="D125" s="41">
        <f t="shared" si="1"/>
        <v>0</v>
      </c>
      <c r="E125" s="37">
        <v>2395</v>
      </c>
      <c r="F125" s="37">
        <v>2393</v>
      </c>
      <c r="G125" s="32">
        <v>2416</v>
      </c>
      <c r="H125" s="32">
        <v>2384</v>
      </c>
      <c r="I125" s="32">
        <v>2392</v>
      </c>
      <c r="J125" s="32">
        <v>2410</v>
      </c>
      <c r="K125" s="32">
        <v>2331</v>
      </c>
      <c r="L125" s="32">
        <v>2341</v>
      </c>
      <c r="M125" s="32">
        <v>2305</v>
      </c>
      <c r="N125" s="32">
        <v>2287</v>
      </c>
      <c r="O125" s="32">
        <v>2266</v>
      </c>
      <c r="P125" s="32">
        <v>2425</v>
      </c>
      <c r="Q125" s="32">
        <v>2360</v>
      </c>
      <c r="R125" s="32">
        <v>2371</v>
      </c>
      <c r="S125" s="32">
        <v>2380</v>
      </c>
      <c r="T125" s="32">
        <v>2388</v>
      </c>
      <c r="U125" s="32">
        <v>2420</v>
      </c>
      <c r="V125" s="32">
        <v>2422</v>
      </c>
      <c r="W125" s="32">
        <v>2461</v>
      </c>
      <c r="X125" s="32">
        <v>2470</v>
      </c>
      <c r="Y125" s="32">
        <v>2473</v>
      </c>
      <c r="Z125" s="32">
        <v>2468</v>
      </c>
      <c r="AA125" s="32">
        <v>2464</v>
      </c>
      <c r="AB125" s="32">
        <v>2549</v>
      </c>
      <c r="AC125" s="32">
        <v>2601</v>
      </c>
      <c r="AD125" s="32">
        <v>2625</v>
      </c>
      <c r="AE125" s="32">
        <v>2680</v>
      </c>
      <c r="AF125" s="32">
        <v>2695</v>
      </c>
      <c r="AG125" s="32">
        <v>2729</v>
      </c>
      <c r="AH125" s="32">
        <v>2702</v>
      </c>
      <c r="AI125" s="32">
        <v>2685</v>
      </c>
      <c r="AJ125" s="32">
        <v>2697</v>
      </c>
      <c r="AK125" s="32">
        <v>2737</v>
      </c>
      <c r="AL125" s="32">
        <v>2750</v>
      </c>
      <c r="AM125" s="32">
        <v>2773</v>
      </c>
      <c r="AN125" s="32">
        <v>2802</v>
      </c>
      <c r="AO125" s="32">
        <v>2804</v>
      </c>
      <c r="AP125" s="32">
        <v>2838</v>
      </c>
      <c r="AQ125" s="32">
        <v>2865</v>
      </c>
      <c r="AR125" s="32">
        <v>2858</v>
      </c>
      <c r="AS125" s="32">
        <v>2885</v>
      </c>
      <c r="AT125" s="32">
        <v>2812</v>
      </c>
      <c r="AU125" s="32">
        <v>2815</v>
      </c>
      <c r="AV125" s="32">
        <v>2757</v>
      </c>
      <c r="AW125" s="32">
        <v>2720</v>
      </c>
      <c r="AX125" s="32">
        <v>2720</v>
      </c>
      <c r="AY125" s="32">
        <v>2685</v>
      </c>
      <c r="AZ125" s="32">
        <v>2721</v>
      </c>
      <c r="BA125" s="32">
        <v>2695</v>
      </c>
      <c r="BB125" s="32">
        <v>2663</v>
      </c>
      <c r="BC125" s="32">
        <v>2660</v>
      </c>
      <c r="BD125" s="32">
        <v>2709</v>
      </c>
      <c r="BE125" s="32">
        <v>2686</v>
      </c>
      <c r="BF125" s="32">
        <v>2700</v>
      </c>
      <c r="BG125" s="32">
        <v>2687</v>
      </c>
      <c r="BH125" s="32">
        <v>2691</v>
      </c>
      <c r="BI125" s="32">
        <v>2727</v>
      </c>
      <c r="BJ125" s="32">
        <v>2727</v>
      </c>
      <c r="BK125" s="32">
        <v>2715</v>
      </c>
      <c r="BL125" s="33">
        <v>2719</v>
      </c>
    </row>
    <row r="126" spans="1:64" ht="15.95" customHeight="1">
      <c r="A126" s="68" t="s">
        <v>383</v>
      </c>
      <c r="B126" s="28" t="s">
        <v>187</v>
      </c>
      <c r="C126" s="42">
        <f>_xll.RssMarket("9416","高値")</f>
        <v>1026</v>
      </c>
      <c r="D126" s="41">
        <f t="shared" si="1"/>
        <v>0</v>
      </c>
      <c r="E126" s="37">
        <v>1026</v>
      </c>
      <c r="F126" s="37">
        <v>1020</v>
      </c>
      <c r="G126" s="32">
        <v>1030</v>
      </c>
      <c r="H126" s="32">
        <v>1020</v>
      </c>
      <c r="I126" s="32">
        <v>1017</v>
      </c>
      <c r="J126" s="32">
        <v>1015</v>
      </c>
      <c r="K126" s="32">
        <v>1034</v>
      </c>
      <c r="L126" s="32">
        <v>1036</v>
      </c>
      <c r="M126" s="32">
        <v>1018</v>
      </c>
      <c r="N126" s="32">
        <v>1023</v>
      </c>
      <c r="O126" s="32">
        <v>1027</v>
      </c>
      <c r="P126" s="32">
        <v>1080</v>
      </c>
      <c r="Q126" s="32">
        <v>1063</v>
      </c>
      <c r="R126" s="32">
        <v>1064</v>
      </c>
      <c r="S126" s="32">
        <v>1104</v>
      </c>
      <c r="T126" s="32">
        <v>1021</v>
      </c>
      <c r="U126" s="32">
        <v>1033</v>
      </c>
      <c r="V126" s="32">
        <v>1032</v>
      </c>
      <c r="W126" s="32">
        <v>1028</v>
      </c>
      <c r="X126" s="32">
        <v>1045</v>
      </c>
      <c r="Y126" s="32">
        <v>1039</v>
      </c>
      <c r="Z126" s="32">
        <v>1140</v>
      </c>
      <c r="AA126" s="32">
        <v>1105</v>
      </c>
      <c r="AB126" s="32">
        <v>1115</v>
      </c>
      <c r="AC126" s="32">
        <v>1116</v>
      </c>
      <c r="AD126" s="32">
        <v>1114</v>
      </c>
      <c r="AE126" s="32">
        <v>1099</v>
      </c>
      <c r="AF126" s="32">
        <v>1103</v>
      </c>
      <c r="AG126" s="32">
        <v>1106</v>
      </c>
      <c r="AH126" s="32">
        <v>1099</v>
      </c>
      <c r="AI126" s="32">
        <v>1111</v>
      </c>
      <c r="AJ126" s="32">
        <v>1112</v>
      </c>
      <c r="AK126" s="32">
        <v>1146</v>
      </c>
      <c r="AL126" s="32">
        <v>1179</v>
      </c>
      <c r="AM126" s="32">
        <v>1186</v>
      </c>
      <c r="AN126" s="32">
        <v>1202</v>
      </c>
      <c r="AO126" s="32">
        <v>1218</v>
      </c>
      <c r="AP126" s="32">
        <v>1212</v>
      </c>
      <c r="AQ126" s="32">
        <v>1203</v>
      </c>
      <c r="AR126" s="32">
        <v>1208</v>
      </c>
      <c r="AS126" s="32">
        <v>1208</v>
      </c>
      <c r="AT126" s="32">
        <v>1206</v>
      </c>
      <c r="AU126" s="32">
        <v>1209</v>
      </c>
      <c r="AV126" s="32">
        <v>1195</v>
      </c>
      <c r="AW126" s="32">
        <v>1178</v>
      </c>
      <c r="AX126" s="32">
        <v>1175</v>
      </c>
      <c r="AY126" s="32">
        <v>1181</v>
      </c>
      <c r="AZ126" s="32">
        <v>1165</v>
      </c>
      <c r="BA126" s="32">
        <v>1153</v>
      </c>
      <c r="BB126" s="32">
        <v>1145</v>
      </c>
      <c r="BC126" s="32">
        <v>1176</v>
      </c>
      <c r="BD126" s="32">
        <v>1164</v>
      </c>
      <c r="BE126" s="32">
        <v>1174</v>
      </c>
      <c r="BF126" s="32">
        <v>1157</v>
      </c>
      <c r="BG126" s="32">
        <v>1139</v>
      </c>
      <c r="BH126" s="32">
        <v>1173</v>
      </c>
      <c r="BI126" s="32">
        <v>1187</v>
      </c>
      <c r="BJ126" s="32">
        <v>1193</v>
      </c>
      <c r="BK126" s="32">
        <v>1190</v>
      </c>
      <c r="BL126" s="33">
        <v>1202</v>
      </c>
    </row>
    <row r="127" spans="1:64" ht="15.95" customHeight="1">
      <c r="A127" s="68" t="s">
        <v>384</v>
      </c>
      <c r="B127" s="28" t="s">
        <v>188</v>
      </c>
      <c r="C127" s="42">
        <f>_xll.RssMarket("9532","高値")</f>
        <v>5543</v>
      </c>
      <c r="D127" s="41">
        <f t="shared" si="1"/>
        <v>0</v>
      </c>
      <c r="E127" s="37">
        <v>5543</v>
      </c>
      <c r="F127" s="37">
        <v>5526</v>
      </c>
      <c r="G127" s="32">
        <v>5644</v>
      </c>
      <c r="H127" s="32">
        <v>5776</v>
      </c>
      <c r="I127" s="32">
        <v>5675</v>
      </c>
      <c r="J127" s="32">
        <v>5557</v>
      </c>
      <c r="K127" s="32">
        <v>5516</v>
      </c>
      <c r="L127" s="32">
        <v>5564</v>
      </c>
      <c r="M127" s="32">
        <v>5628</v>
      </c>
      <c r="N127" s="32">
        <v>5648</v>
      </c>
      <c r="O127" s="32">
        <v>5403</v>
      </c>
      <c r="P127" s="32">
        <v>5412</v>
      </c>
      <c r="Q127" s="32">
        <v>5485</v>
      </c>
      <c r="R127" s="32">
        <v>5593</v>
      </c>
      <c r="S127" s="32">
        <v>5694</v>
      </c>
      <c r="T127" s="32">
        <v>5770</v>
      </c>
      <c r="U127" s="32">
        <v>5779</v>
      </c>
      <c r="V127" s="32">
        <v>5879</v>
      </c>
      <c r="W127" s="32">
        <v>5814</v>
      </c>
      <c r="X127" s="32">
        <v>5762</v>
      </c>
      <c r="Y127" s="32">
        <v>5770</v>
      </c>
      <c r="Z127" s="32">
        <v>5778</v>
      </c>
      <c r="AA127" s="32">
        <v>5805</v>
      </c>
      <c r="AB127" s="32">
        <v>5699</v>
      </c>
      <c r="AC127" s="32">
        <v>5809</v>
      </c>
      <c r="AD127" s="32">
        <v>5850</v>
      </c>
      <c r="AE127" s="32">
        <v>5825</v>
      </c>
      <c r="AF127" s="32">
        <v>5769</v>
      </c>
      <c r="AG127" s="32">
        <v>5950</v>
      </c>
      <c r="AH127" s="32">
        <v>5984</v>
      </c>
      <c r="AI127" s="32">
        <v>5838</v>
      </c>
      <c r="AJ127" s="32">
        <v>5967</v>
      </c>
      <c r="AK127" s="32">
        <v>5856</v>
      </c>
      <c r="AL127" s="32">
        <v>5905</v>
      </c>
      <c r="AM127" s="32">
        <v>6005</v>
      </c>
      <c r="AN127" s="32">
        <v>6154</v>
      </c>
      <c r="AO127" s="32">
        <v>6261</v>
      </c>
      <c r="AP127" s="32">
        <v>6261</v>
      </c>
      <c r="AQ127" s="32">
        <v>6290</v>
      </c>
      <c r="AR127" s="32">
        <v>6316</v>
      </c>
      <c r="AS127" s="32">
        <v>6400</v>
      </c>
      <c r="AT127" s="32">
        <v>6636</v>
      </c>
      <c r="AU127" s="32">
        <v>6632</v>
      </c>
      <c r="AV127" s="32">
        <v>6705</v>
      </c>
      <c r="AW127" s="32">
        <v>6591</v>
      </c>
      <c r="AX127" s="32">
        <v>6520</v>
      </c>
      <c r="AY127" s="32">
        <v>6512</v>
      </c>
      <c r="AZ127" s="32">
        <v>6594</v>
      </c>
      <c r="BA127" s="32">
        <v>6560</v>
      </c>
      <c r="BB127" s="32">
        <v>6522</v>
      </c>
      <c r="BC127" s="32">
        <v>6523</v>
      </c>
      <c r="BD127" s="32">
        <v>6511</v>
      </c>
      <c r="BE127" s="32">
        <v>6431</v>
      </c>
      <c r="BF127" s="32">
        <v>6544</v>
      </c>
      <c r="BG127" s="32">
        <v>6330</v>
      </c>
      <c r="BH127" s="32">
        <v>6280</v>
      </c>
      <c r="BI127" s="32">
        <v>6567</v>
      </c>
      <c r="BJ127" s="32">
        <v>6505</v>
      </c>
      <c r="BK127" s="32">
        <v>6279</v>
      </c>
      <c r="BL127" s="33">
        <v>6320</v>
      </c>
    </row>
    <row r="128" spans="1:64" ht="15.95" customHeight="1">
      <c r="A128" s="68" t="s">
        <v>385</v>
      </c>
      <c r="B128" s="28" t="s">
        <v>189</v>
      </c>
      <c r="C128" s="42">
        <f>_xll.RssMarket("6330","高値")</f>
        <v>2266</v>
      </c>
      <c r="D128" s="41">
        <f t="shared" si="1"/>
        <v>0</v>
      </c>
      <c r="E128" s="37">
        <v>2266</v>
      </c>
      <c r="F128" s="37">
        <v>2097</v>
      </c>
      <c r="G128" s="32">
        <v>2095</v>
      </c>
      <c r="H128" s="32">
        <v>1937</v>
      </c>
      <c r="I128" s="32">
        <v>1853</v>
      </c>
      <c r="J128" s="32">
        <v>1987</v>
      </c>
      <c r="K128" s="32">
        <v>2045</v>
      </c>
      <c r="L128" s="32">
        <v>2093</v>
      </c>
      <c r="M128" s="32">
        <v>2007</v>
      </c>
      <c r="N128" s="32">
        <v>2050</v>
      </c>
      <c r="O128" s="32">
        <v>1944</v>
      </c>
      <c r="P128" s="32">
        <v>2153</v>
      </c>
      <c r="Q128" s="32">
        <v>2154</v>
      </c>
      <c r="R128" s="32">
        <v>2206</v>
      </c>
      <c r="S128" s="32">
        <v>2285</v>
      </c>
      <c r="T128" s="32">
        <v>2187</v>
      </c>
      <c r="U128" s="32">
        <v>2083</v>
      </c>
      <c r="V128" s="32">
        <v>2085</v>
      </c>
      <c r="W128" s="32">
        <v>2167</v>
      </c>
      <c r="X128" s="32">
        <v>2149</v>
      </c>
      <c r="Y128" s="32">
        <v>2203</v>
      </c>
      <c r="Z128" s="32">
        <v>2485</v>
      </c>
      <c r="AA128" s="32">
        <v>2217</v>
      </c>
      <c r="AB128" s="32">
        <v>2305</v>
      </c>
      <c r="AC128" s="32">
        <v>2352</v>
      </c>
      <c r="AD128" s="32">
        <v>2350</v>
      </c>
      <c r="AE128" s="32">
        <v>2335</v>
      </c>
      <c r="AF128" s="32">
        <v>2339</v>
      </c>
      <c r="AG128" s="32">
        <v>2375</v>
      </c>
      <c r="AH128" s="32">
        <v>2423</v>
      </c>
      <c r="AI128" s="32">
        <v>2380</v>
      </c>
      <c r="AJ128" s="32">
        <v>2461</v>
      </c>
      <c r="AK128" s="32">
        <v>2505</v>
      </c>
      <c r="AL128" s="32">
        <v>2545</v>
      </c>
      <c r="AM128" s="32">
        <v>2697</v>
      </c>
      <c r="AN128" s="32">
        <v>2797</v>
      </c>
      <c r="AO128" s="32">
        <v>2680</v>
      </c>
      <c r="AP128" s="32">
        <v>2493</v>
      </c>
      <c r="AQ128" s="32">
        <v>2409</v>
      </c>
      <c r="AR128" s="32">
        <v>2384</v>
      </c>
      <c r="AS128" s="32">
        <v>2373</v>
      </c>
      <c r="AT128" s="32">
        <v>2379</v>
      </c>
      <c r="AU128" s="32">
        <v>2375</v>
      </c>
      <c r="AV128" s="32">
        <v>2433</v>
      </c>
      <c r="AW128" s="32">
        <v>2236</v>
      </c>
      <c r="AX128" s="32">
        <v>2278</v>
      </c>
      <c r="AY128" s="32">
        <v>2618</v>
      </c>
      <c r="AZ128" s="32">
        <v>2768</v>
      </c>
      <c r="BA128" s="32">
        <v>2769</v>
      </c>
      <c r="BB128" s="32">
        <v>2685</v>
      </c>
      <c r="BC128" s="32">
        <v>2785</v>
      </c>
      <c r="BD128" s="32">
        <v>2709</v>
      </c>
      <c r="BE128" s="32">
        <v>2835</v>
      </c>
      <c r="BF128" s="32">
        <v>2866</v>
      </c>
      <c r="BG128" s="32">
        <v>3000</v>
      </c>
      <c r="BH128" s="32">
        <v>3285</v>
      </c>
      <c r="BI128" s="32">
        <v>3620</v>
      </c>
      <c r="BJ128" s="32">
        <v>3535</v>
      </c>
      <c r="BK128" s="32">
        <v>3645</v>
      </c>
      <c r="BL128" s="33">
        <v>3235</v>
      </c>
    </row>
    <row r="129" spans="1:64" ht="15.95" customHeight="1">
      <c r="A129" s="68" t="s">
        <v>386</v>
      </c>
      <c r="B129" s="28" t="s">
        <v>190</v>
      </c>
      <c r="C129" s="42">
        <f>_xll.RssMarket("4082","高値")</f>
        <v>2130</v>
      </c>
      <c r="D129" s="41">
        <f t="shared" si="1"/>
        <v>0</v>
      </c>
      <c r="E129" s="37">
        <v>2130</v>
      </c>
      <c r="F129" s="37">
        <v>2026</v>
      </c>
      <c r="G129" s="32">
        <v>2000</v>
      </c>
      <c r="H129" s="32">
        <v>1924</v>
      </c>
      <c r="I129" s="32">
        <v>1875</v>
      </c>
      <c r="J129" s="32">
        <v>1963</v>
      </c>
      <c r="K129" s="32">
        <v>2039</v>
      </c>
      <c r="L129" s="32">
        <v>2138</v>
      </c>
      <c r="M129" s="32">
        <v>2172</v>
      </c>
      <c r="N129" s="32">
        <v>2282</v>
      </c>
      <c r="O129" s="32">
        <v>2225</v>
      </c>
      <c r="P129" s="32">
        <v>2463</v>
      </c>
      <c r="Q129" s="32">
        <v>2264</v>
      </c>
      <c r="R129" s="32">
        <v>2340</v>
      </c>
      <c r="S129" s="32">
        <v>2141</v>
      </c>
      <c r="T129" s="32">
        <v>2048</v>
      </c>
      <c r="U129" s="32">
        <v>1998</v>
      </c>
      <c r="V129" s="32">
        <v>2113</v>
      </c>
      <c r="W129" s="32">
        <v>2215</v>
      </c>
      <c r="X129" s="32">
        <v>2222</v>
      </c>
      <c r="Y129" s="32">
        <v>2288</v>
      </c>
      <c r="Z129" s="32">
        <v>2658</v>
      </c>
      <c r="AA129" s="32">
        <v>2830</v>
      </c>
      <c r="AB129" s="32">
        <v>2746</v>
      </c>
      <c r="AC129" s="32">
        <v>2541</v>
      </c>
      <c r="AD129" s="32">
        <v>2382</v>
      </c>
      <c r="AE129" s="32">
        <v>2358</v>
      </c>
      <c r="AF129" s="32">
        <v>2367</v>
      </c>
      <c r="AG129" s="32">
        <v>2357</v>
      </c>
      <c r="AH129" s="32">
        <v>2283</v>
      </c>
      <c r="AI129" s="32">
        <v>2474</v>
      </c>
      <c r="AJ129" s="32">
        <v>2331</v>
      </c>
      <c r="AK129" s="32">
        <v>2384</v>
      </c>
      <c r="AL129" s="32">
        <v>2565</v>
      </c>
      <c r="AM129" s="32">
        <v>2625</v>
      </c>
      <c r="AN129" s="32">
        <v>2396</v>
      </c>
      <c r="AO129" s="32">
        <v>2268</v>
      </c>
      <c r="AP129" s="32">
        <v>2140</v>
      </c>
      <c r="AQ129" s="32">
        <v>2110</v>
      </c>
      <c r="AR129" s="32">
        <v>2081</v>
      </c>
      <c r="AS129" s="32">
        <v>2160</v>
      </c>
      <c r="AT129" s="32">
        <v>2178</v>
      </c>
      <c r="AU129" s="32">
        <v>2214</v>
      </c>
      <c r="AV129" s="32">
        <v>2140</v>
      </c>
      <c r="AW129" s="32">
        <v>2109</v>
      </c>
      <c r="AX129" s="32">
        <v>2235</v>
      </c>
      <c r="AY129" s="32">
        <v>2392</v>
      </c>
      <c r="AZ129" s="32">
        <v>2368</v>
      </c>
      <c r="BA129" s="32">
        <v>2374</v>
      </c>
      <c r="BB129" s="32">
        <v>2425</v>
      </c>
      <c r="BC129" s="32">
        <v>2455</v>
      </c>
      <c r="BD129" s="32">
        <v>2443</v>
      </c>
      <c r="BE129" s="32">
        <v>2448</v>
      </c>
      <c r="BF129" s="32">
        <v>2384</v>
      </c>
      <c r="BG129" s="32">
        <v>2413</v>
      </c>
      <c r="BH129" s="32">
        <v>2552</v>
      </c>
      <c r="BI129" s="32">
        <v>2639</v>
      </c>
      <c r="BJ129" s="32">
        <v>2890</v>
      </c>
      <c r="BK129" s="32">
        <v>2767</v>
      </c>
      <c r="BL129" s="33">
        <v>2452</v>
      </c>
    </row>
    <row r="130" spans="1:64" ht="15.95" customHeight="1">
      <c r="A130" s="68" t="s">
        <v>387</v>
      </c>
      <c r="B130" s="28" t="s">
        <v>191</v>
      </c>
      <c r="C130" s="42">
        <f>_xll.RssMarket("4519","高値")</f>
        <v>7689</v>
      </c>
      <c r="D130" s="41">
        <f t="shared" si="1"/>
        <v>0</v>
      </c>
      <c r="E130" s="37">
        <v>7689</v>
      </c>
      <c r="F130" s="37">
        <v>7719</v>
      </c>
      <c r="G130" s="32">
        <v>7567</v>
      </c>
      <c r="H130" s="32">
        <v>7506</v>
      </c>
      <c r="I130" s="32">
        <v>7472</v>
      </c>
      <c r="J130" s="32">
        <v>7560</v>
      </c>
      <c r="K130" s="32">
        <v>7599</v>
      </c>
      <c r="L130" s="32">
        <v>7658</v>
      </c>
      <c r="M130" s="32">
        <v>7595</v>
      </c>
      <c r="N130" s="32">
        <v>7629</v>
      </c>
      <c r="O130" s="32">
        <v>7624</v>
      </c>
      <c r="P130" s="32">
        <v>7944</v>
      </c>
      <c r="Q130" s="32">
        <v>7936</v>
      </c>
      <c r="R130" s="32">
        <v>7888</v>
      </c>
      <c r="S130" s="32">
        <v>8215</v>
      </c>
      <c r="T130" s="32">
        <v>8090</v>
      </c>
      <c r="U130" s="32">
        <v>8151</v>
      </c>
      <c r="V130" s="32">
        <v>8047</v>
      </c>
      <c r="W130" s="32">
        <v>8022</v>
      </c>
      <c r="X130" s="32">
        <v>8013</v>
      </c>
      <c r="Y130" s="32">
        <v>8111</v>
      </c>
      <c r="Z130" s="32">
        <v>8096</v>
      </c>
      <c r="AA130" s="32">
        <v>7841</v>
      </c>
      <c r="AB130" s="32">
        <v>7961</v>
      </c>
      <c r="AC130" s="32">
        <v>7996</v>
      </c>
      <c r="AD130" s="32">
        <v>8248</v>
      </c>
      <c r="AE130" s="32">
        <v>8148</v>
      </c>
      <c r="AF130" s="32">
        <v>8893</v>
      </c>
      <c r="AG130" s="32">
        <v>8236</v>
      </c>
      <c r="AH130" s="32">
        <v>7948</v>
      </c>
      <c r="AI130" s="32">
        <v>8034</v>
      </c>
      <c r="AJ130" s="32">
        <v>9013</v>
      </c>
      <c r="AK130" s="32">
        <v>8984</v>
      </c>
      <c r="AL130" s="32">
        <v>8888</v>
      </c>
      <c r="AM130" s="32">
        <v>8788</v>
      </c>
      <c r="AN130" s="32">
        <v>8920</v>
      </c>
      <c r="AO130" s="32">
        <v>8462</v>
      </c>
      <c r="AP130" s="32">
        <v>8777</v>
      </c>
      <c r="AQ130" s="32">
        <v>8693</v>
      </c>
      <c r="AR130" s="32">
        <v>8656</v>
      </c>
      <c r="AS130" s="32">
        <v>8675</v>
      </c>
      <c r="AT130" s="32">
        <v>8816</v>
      </c>
      <c r="AU130" s="32">
        <v>8952</v>
      </c>
      <c r="AV130" s="32">
        <v>9080</v>
      </c>
      <c r="AW130" s="32">
        <v>8882</v>
      </c>
      <c r="AX130" s="32">
        <v>9012</v>
      </c>
      <c r="AY130" s="32">
        <v>9220</v>
      </c>
      <c r="AZ130" s="32">
        <v>9344</v>
      </c>
      <c r="BA130" s="32">
        <v>9000</v>
      </c>
      <c r="BB130" s="32">
        <v>8732</v>
      </c>
      <c r="BC130" s="32">
        <v>8705</v>
      </c>
      <c r="BD130" s="32">
        <v>8553</v>
      </c>
      <c r="BE130" s="32">
        <v>8478</v>
      </c>
      <c r="BF130" s="32">
        <v>8543</v>
      </c>
      <c r="BG130" s="32">
        <v>8224</v>
      </c>
      <c r="BH130" s="32">
        <v>8400</v>
      </c>
      <c r="BI130" s="32">
        <v>8865</v>
      </c>
      <c r="BJ130" s="32">
        <v>9188</v>
      </c>
      <c r="BK130" s="32">
        <v>9459</v>
      </c>
      <c r="BL130" s="33">
        <v>9242</v>
      </c>
    </row>
    <row r="131" spans="1:64" ht="15.95" customHeight="1">
      <c r="A131" s="68" t="s">
        <v>388</v>
      </c>
      <c r="B131" s="28" t="s">
        <v>192</v>
      </c>
      <c r="C131" s="42">
        <f>_xll.RssMarket("2160","高値")</f>
        <v>2595</v>
      </c>
      <c r="D131" s="41">
        <f t="shared" si="1"/>
        <v>0</v>
      </c>
      <c r="E131" s="37">
        <v>2595</v>
      </c>
      <c r="F131" s="37">
        <v>2560</v>
      </c>
      <c r="G131" s="32">
        <v>2554</v>
      </c>
      <c r="H131" s="32">
        <v>2735</v>
      </c>
      <c r="I131" s="32">
        <v>2704</v>
      </c>
      <c r="J131" s="32">
        <v>2799</v>
      </c>
      <c r="K131" s="32">
        <v>3090</v>
      </c>
      <c r="L131" s="32">
        <v>2940</v>
      </c>
      <c r="M131" s="32">
        <v>2740</v>
      </c>
      <c r="N131" s="32">
        <v>2643</v>
      </c>
      <c r="O131" s="32">
        <v>2630</v>
      </c>
      <c r="P131" s="32">
        <v>2680</v>
      </c>
      <c r="Q131" s="32">
        <v>2679</v>
      </c>
      <c r="R131" s="32">
        <v>2739</v>
      </c>
      <c r="S131" s="32">
        <v>2860</v>
      </c>
      <c r="T131" s="32">
        <v>2923</v>
      </c>
      <c r="U131" s="32">
        <v>2866</v>
      </c>
      <c r="V131" s="32">
        <v>2832</v>
      </c>
      <c r="W131" s="32">
        <v>2848</v>
      </c>
      <c r="X131" s="32">
        <v>2999</v>
      </c>
      <c r="Y131" s="32">
        <v>3050</v>
      </c>
      <c r="Z131" s="32">
        <v>3115</v>
      </c>
      <c r="AA131" s="32">
        <v>3345</v>
      </c>
      <c r="AB131" s="32">
        <v>3050</v>
      </c>
      <c r="AC131" s="32">
        <v>3005</v>
      </c>
      <c r="AD131" s="32">
        <v>3080</v>
      </c>
      <c r="AE131" s="32">
        <v>3130</v>
      </c>
      <c r="AF131" s="32">
        <v>3040</v>
      </c>
      <c r="AG131" s="32">
        <v>3055</v>
      </c>
      <c r="AH131" s="32">
        <v>3170</v>
      </c>
      <c r="AI131" s="32">
        <v>3160</v>
      </c>
      <c r="AJ131" s="32">
        <v>3185</v>
      </c>
      <c r="AK131" s="32">
        <v>3275</v>
      </c>
      <c r="AL131" s="32">
        <v>3395</v>
      </c>
      <c r="AM131" s="32">
        <v>3455</v>
      </c>
      <c r="AN131" s="32">
        <v>3515</v>
      </c>
      <c r="AO131" s="32">
        <v>3405</v>
      </c>
      <c r="AP131" s="32">
        <v>3410</v>
      </c>
      <c r="AQ131" s="32">
        <v>3340</v>
      </c>
      <c r="AR131" s="32">
        <v>3270</v>
      </c>
      <c r="AS131" s="32">
        <v>3140</v>
      </c>
      <c r="AT131" s="32">
        <v>3250</v>
      </c>
      <c r="AU131" s="32">
        <v>3175</v>
      </c>
      <c r="AV131" s="32">
        <v>3270</v>
      </c>
      <c r="AW131" s="32">
        <v>3150</v>
      </c>
      <c r="AX131" s="32">
        <v>3175</v>
      </c>
      <c r="AY131" s="32">
        <v>3165</v>
      </c>
      <c r="AZ131" s="32">
        <v>3250</v>
      </c>
      <c r="BA131" s="32">
        <v>3200</v>
      </c>
      <c r="BB131" s="32">
        <v>3090</v>
      </c>
      <c r="BC131" s="32">
        <v>3140</v>
      </c>
      <c r="BD131" s="32">
        <v>3255</v>
      </c>
      <c r="BE131" s="32">
        <v>3140</v>
      </c>
      <c r="BF131" s="32">
        <v>3140</v>
      </c>
      <c r="BG131" s="32">
        <v>2989</v>
      </c>
      <c r="BH131" s="32">
        <v>2781</v>
      </c>
      <c r="BI131" s="32">
        <v>2966</v>
      </c>
      <c r="BJ131" s="32">
        <v>3230</v>
      </c>
      <c r="BK131" s="32">
        <v>3295</v>
      </c>
      <c r="BL131" s="33">
        <v>3310</v>
      </c>
    </row>
    <row r="132" spans="1:64" ht="15.95" customHeight="1">
      <c r="A132" s="68" t="s">
        <v>389</v>
      </c>
      <c r="B132" s="28" t="s">
        <v>193</v>
      </c>
      <c r="C132" s="42">
        <f>_xll.RssMarket("6227","高値")</f>
        <v>8830</v>
      </c>
      <c r="D132" s="41">
        <f t="shared" si="1"/>
        <v>0</v>
      </c>
      <c r="E132" s="37">
        <v>8830</v>
      </c>
      <c r="F132" s="37">
        <v>8490</v>
      </c>
      <c r="G132" s="32">
        <v>9190</v>
      </c>
      <c r="H132" s="32">
        <v>7850</v>
      </c>
      <c r="I132" s="32">
        <v>7080</v>
      </c>
      <c r="J132" s="32">
        <v>7620</v>
      </c>
      <c r="K132" s="32">
        <v>7440</v>
      </c>
      <c r="L132" s="32">
        <v>7490</v>
      </c>
      <c r="M132" s="32">
        <v>6750</v>
      </c>
      <c r="N132" s="32">
        <v>6410</v>
      </c>
      <c r="O132" s="32">
        <v>6300</v>
      </c>
      <c r="P132" s="32">
        <v>5790</v>
      </c>
      <c r="Q132" s="32">
        <v>5650</v>
      </c>
      <c r="R132" s="32">
        <v>6280</v>
      </c>
      <c r="S132" s="32">
        <v>6470</v>
      </c>
      <c r="T132" s="32">
        <v>6230</v>
      </c>
      <c r="U132" s="32">
        <v>7160</v>
      </c>
      <c r="V132" s="32">
        <v>7170</v>
      </c>
      <c r="W132" s="32">
        <v>7310</v>
      </c>
      <c r="X132" s="32">
        <v>7250</v>
      </c>
      <c r="Y132" s="32">
        <v>6930</v>
      </c>
      <c r="Z132" s="32">
        <v>7150</v>
      </c>
      <c r="AA132" s="32">
        <v>6780</v>
      </c>
      <c r="AB132" s="32">
        <v>7220</v>
      </c>
      <c r="AC132" s="32">
        <v>6940</v>
      </c>
      <c r="AD132" s="32">
        <v>6840</v>
      </c>
      <c r="AE132" s="32">
        <v>6920</v>
      </c>
      <c r="AF132" s="32">
        <v>6330</v>
      </c>
      <c r="AG132" s="32">
        <v>6560</v>
      </c>
      <c r="AH132" s="32">
        <v>6530</v>
      </c>
      <c r="AI132" s="32">
        <v>6690</v>
      </c>
      <c r="AJ132" s="32">
        <v>6700</v>
      </c>
      <c r="AK132" s="32">
        <v>7060</v>
      </c>
      <c r="AL132" s="32">
        <v>7190</v>
      </c>
      <c r="AM132" s="32">
        <v>7610</v>
      </c>
      <c r="AN132" s="32">
        <v>8290</v>
      </c>
      <c r="AO132" s="32">
        <v>8220</v>
      </c>
      <c r="AP132" s="32">
        <v>8680</v>
      </c>
      <c r="AQ132" s="32">
        <v>8800</v>
      </c>
      <c r="AR132" s="32">
        <v>7700</v>
      </c>
      <c r="AS132" s="32">
        <v>6780</v>
      </c>
      <c r="AT132" s="32">
        <v>6270</v>
      </c>
      <c r="AU132" s="32">
        <v>6000</v>
      </c>
      <c r="AV132" s="32">
        <v>6320</v>
      </c>
      <c r="AW132" s="32">
        <v>5990</v>
      </c>
      <c r="AX132" s="32">
        <v>6300</v>
      </c>
      <c r="AY132" s="32">
        <v>5560</v>
      </c>
      <c r="AZ132" s="32">
        <v>5780</v>
      </c>
      <c r="BA132" s="32">
        <v>5800</v>
      </c>
      <c r="BB132" s="32">
        <v>5510</v>
      </c>
      <c r="BC132" s="32">
        <v>5790</v>
      </c>
      <c r="BD132" s="32">
        <v>6260</v>
      </c>
      <c r="BE132" s="32">
        <v>7046.6</v>
      </c>
      <c r="BF132" s="32">
        <v>7080</v>
      </c>
      <c r="BG132" s="32">
        <v>6456.6</v>
      </c>
      <c r="BH132" s="32">
        <v>6583.3</v>
      </c>
      <c r="BI132" s="32">
        <v>7026.6</v>
      </c>
      <c r="BJ132" s="32">
        <v>6836.6</v>
      </c>
      <c r="BK132" s="32">
        <v>7600</v>
      </c>
      <c r="BL132" s="33">
        <v>7726.6</v>
      </c>
    </row>
    <row r="133" spans="1:64" ht="15.95" customHeight="1">
      <c r="A133" s="68" t="s">
        <v>390</v>
      </c>
      <c r="B133" s="28" t="s">
        <v>194</v>
      </c>
      <c r="C133" s="42">
        <f>_xll.RssMarket("6327","高値")</f>
        <v>5150</v>
      </c>
      <c r="D133" s="41">
        <f t="shared" si="1"/>
        <v>0</v>
      </c>
      <c r="E133" s="37">
        <v>5150</v>
      </c>
      <c r="F133" s="37">
        <v>4445</v>
      </c>
      <c r="G133" s="32">
        <v>3745</v>
      </c>
      <c r="H133" s="32">
        <v>3400</v>
      </c>
      <c r="I133" s="32">
        <v>3225</v>
      </c>
      <c r="J133" s="32">
        <v>3400</v>
      </c>
      <c r="K133" s="32">
        <v>3720</v>
      </c>
      <c r="L133" s="32">
        <v>4090</v>
      </c>
      <c r="M133" s="32">
        <v>4220</v>
      </c>
      <c r="N133" s="32">
        <v>5580</v>
      </c>
      <c r="O133" s="32">
        <v>5230</v>
      </c>
      <c r="P133" s="32">
        <v>6000</v>
      </c>
      <c r="Q133" s="32">
        <v>5000</v>
      </c>
      <c r="R133" s="32">
        <v>4300</v>
      </c>
      <c r="S133" s="32">
        <v>3415</v>
      </c>
      <c r="T133" s="32">
        <v>2914</v>
      </c>
      <c r="U133" s="32">
        <v>2484</v>
      </c>
      <c r="V133" s="32">
        <v>2375</v>
      </c>
      <c r="W133" s="32">
        <v>2622</v>
      </c>
      <c r="X133" s="32">
        <v>2657</v>
      </c>
      <c r="Y133" s="32">
        <v>2716</v>
      </c>
      <c r="Z133" s="32">
        <v>2800</v>
      </c>
      <c r="AA133" s="32">
        <v>2889</v>
      </c>
      <c r="AB133" s="32">
        <v>3460</v>
      </c>
      <c r="AC133" s="32">
        <v>3595</v>
      </c>
      <c r="AD133" s="32">
        <v>3620</v>
      </c>
      <c r="AE133" s="32">
        <v>3400</v>
      </c>
      <c r="AF133" s="32">
        <v>2971</v>
      </c>
      <c r="AG133" s="32">
        <v>3090</v>
      </c>
      <c r="AH133" s="32">
        <v>2685</v>
      </c>
      <c r="AI133" s="32">
        <v>2185</v>
      </c>
      <c r="AJ133" s="32">
        <v>2118</v>
      </c>
      <c r="AK133" s="32">
        <v>2176</v>
      </c>
      <c r="AL133" s="32">
        <v>2240</v>
      </c>
      <c r="AM133" s="32">
        <v>2250</v>
      </c>
      <c r="AN133" s="32">
        <v>2120</v>
      </c>
      <c r="AO133" s="32">
        <v>2141</v>
      </c>
      <c r="AP133" s="32">
        <v>2128</v>
      </c>
      <c r="AQ133" s="32">
        <v>2160</v>
      </c>
      <c r="AR133" s="32">
        <v>2107</v>
      </c>
      <c r="AS133" s="32">
        <v>2025</v>
      </c>
      <c r="AT133" s="32">
        <v>1998</v>
      </c>
      <c r="AU133" s="32">
        <v>1970</v>
      </c>
      <c r="AV133" s="32">
        <v>1890</v>
      </c>
      <c r="AW133" s="32">
        <v>1699</v>
      </c>
      <c r="AX133" s="32">
        <v>1696</v>
      </c>
      <c r="AY133" s="32">
        <v>1578</v>
      </c>
      <c r="AZ133" s="32">
        <v>1551</v>
      </c>
      <c r="BA133" s="32">
        <v>1543</v>
      </c>
      <c r="BB133" s="32">
        <v>1450</v>
      </c>
      <c r="BC133" s="32">
        <v>1520</v>
      </c>
      <c r="BD133" s="32">
        <v>1627</v>
      </c>
      <c r="BE133" s="32">
        <v>1731</v>
      </c>
      <c r="BF133" s="32">
        <v>1687</v>
      </c>
      <c r="BG133" s="32">
        <v>1602</v>
      </c>
      <c r="BH133" s="32">
        <v>1575</v>
      </c>
      <c r="BI133" s="32">
        <v>1765</v>
      </c>
      <c r="BJ133" s="32">
        <v>1782</v>
      </c>
      <c r="BK133" s="32">
        <v>1819</v>
      </c>
      <c r="BL133" s="33">
        <v>1732</v>
      </c>
    </row>
    <row r="134" spans="1:64" ht="15.95" customHeight="1">
      <c r="A134" s="68" t="s">
        <v>391</v>
      </c>
      <c r="B134" s="28" t="s">
        <v>195</v>
      </c>
      <c r="C134" s="42">
        <f>_xll.RssMarket("3110","高値")</f>
        <v>21630</v>
      </c>
      <c r="D134" s="41">
        <f t="shared" ref="D134:D197" si="2">C134-E134</f>
        <v>0</v>
      </c>
      <c r="E134" s="37">
        <v>21630</v>
      </c>
      <c r="F134" s="37">
        <v>22490</v>
      </c>
      <c r="G134" s="32">
        <v>20180</v>
      </c>
      <c r="H134" s="32">
        <v>19310</v>
      </c>
      <c r="I134" s="32">
        <v>17630</v>
      </c>
      <c r="J134" s="32">
        <v>18070</v>
      </c>
      <c r="K134" s="32">
        <v>18700</v>
      </c>
      <c r="L134" s="32">
        <v>20370</v>
      </c>
      <c r="M134" s="32">
        <v>21210</v>
      </c>
      <c r="N134" s="32">
        <v>22840</v>
      </c>
      <c r="O134" s="32">
        <v>22810</v>
      </c>
      <c r="P134" s="32">
        <v>23020</v>
      </c>
      <c r="Q134" s="32">
        <v>23220</v>
      </c>
      <c r="R134" s="32">
        <v>25890</v>
      </c>
      <c r="S134" s="32">
        <v>28590</v>
      </c>
      <c r="T134" s="32">
        <v>26390</v>
      </c>
      <c r="U134" s="32">
        <v>22840</v>
      </c>
      <c r="V134" s="32">
        <v>22040</v>
      </c>
      <c r="W134" s="32">
        <v>22070</v>
      </c>
      <c r="X134" s="32">
        <v>24080</v>
      </c>
      <c r="Y134" s="32">
        <v>26550</v>
      </c>
      <c r="Z134" s="32">
        <v>27630</v>
      </c>
      <c r="AA134" s="32">
        <v>27350</v>
      </c>
      <c r="AB134" s="32">
        <v>30400</v>
      </c>
      <c r="AC134" s="32">
        <v>30500</v>
      </c>
      <c r="AD134" s="32">
        <v>30950</v>
      </c>
      <c r="AE134" s="32">
        <v>32900</v>
      </c>
      <c r="AF134" s="32">
        <v>29120</v>
      </c>
      <c r="AG134" s="32">
        <v>28990</v>
      </c>
      <c r="AH134" s="32">
        <v>28300</v>
      </c>
      <c r="AI134" s="32">
        <v>27940</v>
      </c>
      <c r="AJ134" s="32">
        <v>27820</v>
      </c>
      <c r="AK134" s="32">
        <v>28150</v>
      </c>
      <c r="AL134" s="32">
        <v>27510</v>
      </c>
      <c r="AM134" s="32">
        <v>27690</v>
      </c>
      <c r="AN134" s="32">
        <v>27850</v>
      </c>
      <c r="AO134" s="32">
        <v>27970</v>
      </c>
      <c r="AP134" s="32">
        <v>27440</v>
      </c>
      <c r="AQ134" s="32">
        <v>30100</v>
      </c>
      <c r="AR134" s="32">
        <v>30950</v>
      </c>
      <c r="AS134" s="32">
        <v>29230</v>
      </c>
      <c r="AT134" s="32">
        <v>27590</v>
      </c>
      <c r="AU134" s="32">
        <v>26290</v>
      </c>
      <c r="AV134" s="32">
        <v>24930</v>
      </c>
      <c r="AW134" s="32">
        <v>22120</v>
      </c>
      <c r="AX134" s="32">
        <v>21280</v>
      </c>
      <c r="AY134" s="32">
        <v>20850</v>
      </c>
      <c r="AZ134" s="32">
        <v>21120</v>
      </c>
      <c r="BA134" s="32">
        <v>20870</v>
      </c>
      <c r="BB134" s="32">
        <v>19230</v>
      </c>
      <c r="BC134" s="32">
        <v>20240</v>
      </c>
      <c r="BD134" s="32">
        <v>21580</v>
      </c>
      <c r="BE134" s="32">
        <v>23030</v>
      </c>
      <c r="BF134" s="32">
        <v>22490</v>
      </c>
      <c r="BG134" s="32">
        <v>21030</v>
      </c>
      <c r="BH134" s="32">
        <v>21080</v>
      </c>
      <c r="BI134" s="32">
        <v>22200</v>
      </c>
      <c r="BJ134" s="32">
        <v>22300</v>
      </c>
      <c r="BK134" s="32">
        <v>22810</v>
      </c>
      <c r="BL134" s="33">
        <v>22410</v>
      </c>
    </row>
    <row r="135" spans="1:64" ht="15.95" customHeight="1">
      <c r="A135" s="68" t="s">
        <v>392</v>
      </c>
      <c r="B135" s="28" t="s">
        <v>196</v>
      </c>
      <c r="C135" s="42">
        <f>_xll.RssMarket("6232","高値")</f>
        <v>1895</v>
      </c>
      <c r="D135" s="41">
        <f t="shared" si="2"/>
        <v>0</v>
      </c>
      <c r="E135" s="37">
        <v>1895</v>
      </c>
      <c r="F135" s="37">
        <v>1879</v>
      </c>
      <c r="G135" s="32">
        <v>1831</v>
      </c>
      <c r="H135" s="32">
        <v>1888</v>
      </c>
      <c r="I135" s="32">
        <v>1878</v>
      </c>
      <c r="J135" s="32">
        <v>2076</v>
      </c>
      <c r="K135" s="32">
        <v>2108</v>
      </c>
      <c r="L135" s="32">
        <v>2169</v>
      </c>
      <c r="M135" s="32">
        <v>2009</v>
      </c>
      <c r="N135" s="32">
        <v>2085</v>
      </c>
      <c r="O135" s="32">
        <v>2150</v>
      </c>
      <c r="P135" s="32">
        <v>2547</v>
      </c>
      <c r="Q135" s="32">
        <v>2508</v>
      </c>
      <c r="R135" s="32">
        <v>2495</v>
      </c>
      <c r="S135" s="32">
        <v>2911</v>
      </c>
      <c r="T135" s="32">
        <v>2927</v>
      </c>
      <c r="U135" s="32">
        <v>2915</v>
      </c>
      <c r="V135" s="32">
        <v>3220</v>
      </c>
      <c r="W135" s="32">
        <v>3570</v>
      </c>
      <c r="X135" s="32">
        <v>3330</v>
      </c>
      <c r="Y135" s="32">
        <v>3435</v>
      </c>
      <c r="Z135" s="32">
        <v>3140</v>
      </c>
      <c r="AA135" s="32">
        <v>3225</v>
      </c>
      <c r="AB135" s="32">
        <v>4130</v>
      </c>
      <c r="AC135" s="32">
        <v>3430</v>
      </c>
      <c r="AD135" s="32">
        <v>2927</v>
      </c>
      <c r="AE135" s="32">
        <v>2637</v>
      </c>
      <c r="AF135" s="32">
        <v>2722</v>
      </c>
      <c r="AG135" s="32">
        <v>2478</v>
      </c>
      <c r="AH135" s="32">
        <v>2380</v>
      </c>
      <c r="AI135" s="32">
        <v>2598</v>
      </c>
      <c r="AJ135" s="32">
        <v>2747</v>
      </c>
      <c r="AK135" s="32">
        <v>2397</v>
      </c>
      <c r="AL135" s="32">
        <v>2122</v>
      </c>
      <c r="AM135" s="32">
        <v>1802</v>
      </c>
      <c r="AN135" s="32">
        <v>1810</v>
      </c>
      <c r="AO135" s="32">
        <v>1794</v>
      </c>
      <c r="AP135" s="32">
        <v>1921</v>
      </c>
      <c r="AQ135" s="32">
        <v>1916</v>
      </c>
      <c r="AR135" s="32">
        <v>1889</v>
      </c>
      <c r="AS135" s="32">
        <v>1817</v>
      </c>
      <c r="AT135" s="32">
        <v>1630</v>
      </c>
      <c r="AU135" s="32">
        <v>1630</v>
      </c>
      <c r="AV135" s="32">
        <v>1678</v>
      </c>
      <c r="AW135" s="32">
        <v>1538</v>
      </c>
      <c r="AX135" s="32">
        <v>1498</v>
      </c>
      <c r="AY135" s="32">
        <v>1586</v>
      </c>
      <c r="AZ135" s="32">
        <v>1606</v>
      </c>
      <c r="BA135" s="32">
        <v>1525</v>
      </c>
      <c r="BB135" s="32">
        <v>1440</v>
      </c>
      <c r="BC135" s="32">
        <v>1524</v>
      </c>
      <c r="BD135" s="32">
        <v>1570</v>
      </c>
      <c r="BE135" s="32">
        <v>1605</v>
      </c>
      <c r="BF135" s="32">
        <v>1603</v>
      </c>
      <c r="BG135" s="32">
        <v>1565</v>
      </c>
      <c r="BH135" s="32">
        <v>1502</v>
      </c>
      <c r="BI135" s="32">
        <v>1643</v>
      </c>
      <c r="BJ135" s="32">
        <v>1694</v>
      </c>
      <c r="BK135" s="32">
        <v>1785</v>
      </c>
      <c r="BL135" s="33">
        <v>1841</v>
      </c>
    </row>
    <row r="136" spans="1:64" ht="15.95" customHeight="1">
      <c r="A136" s="68" t="s">
        <v>393</v>
      </c>
      <c r="B136" s="28" t="s">
        <v>197</v>
      </c>
      <c r="C136" s="42">
        <f>_xll.RssMarket("7794","高値")</f>
        <v>1098</v>
      </c>
      <c r="D136" s="41">
        <f t="shared" si="2"/>
        <v>0</v>
      </c>
      <c r="E136" s="37">
        <v>1098</v>
      </c>
      <c r="F136" s="37">
        <v>1095</v>
      </c>
      <c r="G136" s="32">
        <v>1144</v>
      </c>
      <c r="H136" s="32">
        <v>1114</v>
      </c>
      <c r="I136" s="32">
        <v>1090</v>
      </c>
      <c r="J136" s="32">
        <v>1118</v>
      </c>
      <c r="K136" s="32">
        <v>1155</v>
      </c>
      <c r="L136" s="32">
        <v>1113</v>
      </c>
      <c r="M136" s="32">
        <v>1071</v>
      </c>
      <c r="N136" s="32">
        <v>1130</v>
      </c>
      <c r="O136" s="32">
        <v>1160</v>
      </c>
      <c r="P136" s="32">
        <v>1250</v>
      </c>
      <c r="Q136" s="32">
        <v>1394</v>
      </c>
      <c r="R136" s="32">
        <v>1137</v>
      </c>
      <c r="S136" s="32">
        <v>1184</v>
      </c>
      <c r="T136" s="32">
        <v>1148</v>
      </c>
      <c r="U136" s="32">
        <v>1103</v>
      </c>
      <c r="V136" s="32">
        <v>1122</v>
      </c>
      <c r="W136" s="32">
        <v>1158</v>
      </c>
      <c r="X136" s="32">
        <v>1165</v>
      </c>
      <c r="Y136" s="32">
        <v>1170</v>
      </c>
      <c r="Z136" s="32">
        <v>1240</v>
      </c>
      <c r="AA136" s="32">
        <v>1364</v>
      </c>
      <c r="AB136" s="32">
        <v>1408</v>
      </c>
      <c r="AC136" s="32">
        <v>1475</v>
      </c>
      <c r="AD136" s="32">
        <v>1387</v>
      </c>
      <c r="AE136" s="32">
        <v>1342</v>
      </c>
      <c r="AF136" s="32">
        <v>1350</v>
      </c>
      <c r="AG136" s="32">
        <v>1388</v>
      </c>
      <c r="AH136" s="32">
        <v>1344</v>
      </c>
      <c r="AI136" s="32">
        <v>1429</v>
      </c>
      <c r="AJ136" s="32">
        <v>1520</v>
      </c>
      <c r="AK136" s="32">
        <v>1516</v>
      </c>
      <c r="AL136" s="32">
        <v>1678</v>
      </c>
      <c r="AM136" s="32">
        <v>1621</v>
      </c>
      <c r="AN136" s="32">
        <v>1584</v>
      </c>
      <c r="AO136" s="32">
        <v>1287</v>
      </c>
      <c r="AP136" s="32">
        <v>1245</v>
      </c>
      <c r="AQ136" s="32">
        <v>1236</v>
      </c>
      <c r="AR136" s="32">
        <v>1227</v>
      </c>
      <c r="AS136" s="32">
        <v>1216</v>
      </c>
      <c r="AT136" s="32">
        <v>1230</v>
      </c>
      <c r="AU136" s="32">
        <v>1229</v>
      </c>
      <c r="AV136" s="32">
        <v>1241</v>
      </c>
      <c r="AW136" s="32">
        <v>1232</v>
      </c>
      <c r="AX136" s="32">
        <v>1227</v>
      </c>
      <c r="AY136" s="32">
        <v>1265</v>
      </c>
      <c r="AZ136" s="32">
        <v>1299</v>
      </c>
      <c r="BA136" s="32">
        <v>1330</v>
      </c>
      <c r="BB136" s="32">
        <v>1331</v>
      </c>
      <c r="BC136" s="32">
        <v>1455</v>
      </c>
      <c r="BD136" s="32">
        <v>1314</v>
      </c>
      <c r="BE136" s="32">
        <v>1101</v>
      </c>
      <c r="BF136" s="32">
        <v>1127</v>
      </c>
      <c r="BG136" s="32">
        <v>1174</v>
      </c>
      <c r="BH136" s="32">
        <v>1170</v>
      </c>
      <c r="BI136" s="32">
        <v>1300</v>
      </c>
      <c r="BJ136" s="32">
        <v>1349</v>
      </c>
      <c r="BK136" s="32">
        <v>1444</v>
      </c>
      <c r="BL136" s="33">
        <v>1320</v>
      </c>
    </row>
    <row r="137" spans="1:64" ht="15.95" customHeight="1">
      <c r="A137" s="68" t="s">
        <v>394</v>
      </c>
      <c r="B137" s="28" t="s">
        <v>198</v>
      </c>
      <c r="C137" s="42">
        <f>_xll.RssMarket("6085","高値")</f>
        <v>327</v>
      </c>
      <c r="D137" s="41">
        <f t="shared" si="2"/>
        <v>0</v>
      </c>
      <c r="E137" s="37">
        <v>327</v>
      </c>
      <c r="F137" s="37">
        <v>320</v>
      </c>
      <c r="G137" s="32">
        <v>361</v>
      </c>
      <c r="H137" s="32">
        <v>424</v>
      </c>
      <c r="I137" s="32">
        <v>413</v>
      </c>
      <c r="J137" s="32">
        <v>450</v>
      </c>
      <c r="K137" s="32">
        <v>329</v>
      </c>
      <c r="L137" s="32">
        <v>323</v>
      </c>
      <c r="M137" s="32">
        <v>267</v>
      </c>
      <c r="N137" s="32">
        <v>275</v>
      </c>
      <c r="O137" s="32">
        <v>380</v>
      </c>
      <c r="P137" s="32">
        <v>347</v>
      </c>
      <c r="Q137" s="32">
        <v>434</v>
      </c>
      <c r="R137" s="32">
        <v>514</v>
      </c>
      <c r="S137" s="32">
        <v>544</v>
      </c>
      <c r="T137" s="32">
        <v>488</v>
      </c>
      <c r="U137" s="32">
        <v>472</v>
      </c>
      <c r="V137" s="32">
        <v>463</v>
      </c>
      <c r="W137" s="32">
        <v>584</v>
      </c>
      <c r="X137" s="32">
        <v>585</v>
      </c>
      <c r="Y137" s="32">
        <v>536</v>
      </c>
      <c r="Z137" s="32">
        <v>562</v>
      </c>
      <c r="AA137" s="32">
        <v>541</v>
      </c>
      <c r="AB137" s="32">
        <v>586</v>
      </c>
      <c r="AC137" s="32">
        <v>604</v>
      </c>
      <c r="AD137" s="32">
        <v>647</v>
      </c>
      <c r="AE137" s="32">
        <v>615</v>
      </c>
      <c r="AF137" s="32">
        <v>648</v>
      </c>
      <c r="AG137" s="32">
        <v>720</v>
      </c>
      <c r="AH137" s="32">
        <v>640</v>
      </c>
      <c r="AI137" s="32">
        <v>609</v>
      </c>
      <c r="AJ137" s="32">
        <v>521</v>
      </c>
      <c r="AK137" s="32">
        <v>480</v>
      </c>
      <c r="AL137" s="32">
        <v>460</v>
      </c>
      <c r="AM137" s="32">
        <v>399</v>
      </c>
      <c r="AN137" s="32">
        <v>399</v>
      </c>
      <c r="AO137" s="32">
        <v>372</v>
      </c>
      <c r="AP137" s="32">
        <v>336.5</v>
      </c>
      <c r="AQ137" s="32">
        <v>300</v>
      </c>
      <c r="AR137" s="32">
        <v>320</v>
      </c>
      <c r="AS137" s="32">
        <v>314.5</v>
      </c>
      <c r="AT137" s="32">
        <v>275</v>
      </c>
      <c r="AU137" s="32">
        <v>259.89999999999998</v>
      </c>
      <c r="AV137" s="32">
        <v>264.89999999999998</v>
      </c>
      <c r="AW137" s="32">
        <v>257.3</v>
      </c>
      <c r="AX137" s="32">
        <v>287.60000000000002</v>
      </c>
      <c r="AY137" s="32">
        <v>294.8</v>
      </c>
      <c r="AZ137" s="32">
        <v>312</v>
      </c>
      <c r="BA137" s="32">
        <v>314</v>
      </c>
      <c r="BB137" s="32">
        <v>331</v>
      </c>
      <c r="BC137" s="32">
        <v>324.5</v>
      </c>
      <c r="BD137" s="32">
        <v>354</v>
      </c>
      <c r="BE137" s="32">
        <v>334</v>
      </c>
      <c r="BF137" s="32">
        <v>287.89999999999998</v>
      </c>
      <c r="BG137" s="32">
        <v>305</v>
      </c>
      <c r="BH137" s="32">
        <v>305</v>
      </c>
      <c r="BI137" s="32">
        <v>260</v>
      </c>
      <c r="BJ137" s="32">
        <v>330</v>
      </c>
      <c r="BK137" s="32">
        <v>530</v>
      </c>
      <c r="BL137" s="33">
        <v>475</v>
      </c>
    </row>
    <row r="138" spans="1:64" ht="15.95" customHeight="1">
      <c r="A138" s="68" t="s">
        <v>395</v>
      </c>
      <c r="B138" s="28" t="s">
        <v>199</v>
      </c>
      <c r="C138" s="42">
        <f>_xll.RssMarket("3103","高値")</f>
        <v>1260</v>
      </c>
      <c r="D138" s="41">
        <f t="shared" si="2"/>
        <v>0</v>
      </c>
      <c r="E138" s="37">
        <v>1260</v>
      </c>
      <c r="F138" s="37">
        <v>1183</v>
      </c>
      <c r="G138" s="32">
        <v>1212</v>
      </c>
      <c r="H138" s="32">
        <v>1154</v>
      </c>
      <c r="I138" s="32">
        <v>1197</v>
      </c>
      <c r="J138" s="32">
        <v>1269</v>
      </c>
      <c r="K138" s="32">
        <v>1240</v>
      </c>
      <c r="L138" s="32">
        <v>1273</v>
      </c>
      <c r="M138" s="32">
        <v>1258</v>
      </c>
      <c r="N138" s="32">
        <v>1320</v>
      </c>
      <c r="O138" s="32">
        <v>1317</v>
      </c>
      <c r="P138" s="32">
        <v>1411</v>
      </c>
      <c r="Q138" s="32">
        <v>1453</v>
      </c>
      <c r="R138" s="32">
        <v>1710</v>
      </c>
      <c r="S138" s="32">
        <v>1858</v>
      </c>
      <c r="T138" s="32">
        <v>1574</v>
      </c>
      <c r="U138" s="32">
        <v>1370</v>
      </c>
      <c r="V138" s="32">
        <v>1424</v>
      </c>
      <c r="W138" s="32">
        <v>1520</v>
      </c>
      <c r="X138" s="32">
        <v>1630</v>
      </c>
      <c r="Y138" s="32">
        <v>1415</v>
      </c>
      <c r="Z138" s="32">
        <v>2448</v>
      </c>
      <c r="AA138" s="32">
        <v>2419</v>
      </c>
      <c r="AB138" s="32">
        <v>2407</v>
      </c>
      <c r="AC138" s="32">
        <v>2583</v>
      </c>
      <c r="AD138" s="32">
        <v>2667</v>
      </c>
      <c r="AE138" s="32">
        <v>2549</v>
      </c>
      <c r="AF138" s="32">
        <v>2610</v>
      </c>
      <c r="AG138" s="32">
        <v>2588</v>
      </c>
      <c r="AH138" s="32">
        <v>2737</v>
      </c>
      <c r="AI138" s="32">
        <v>2692</v>
      </c>
      <c r="AJ138" s="32">
        <v>2959</v>
      </c>
      <c r="AK138" s="32">
        <v>3335</v>
      </c>
      <c r="AL138" s="32">
        <v>3400</v>
      </c>
      <c r="AM138" s="32">
        <v>4380</v>
      </c>
      <c r="AN138" s="32">
        <v>3785</v>
      </c>
      <c r="AO138" s="32">
        <v>3085</v>
      </c>
      <c r="AP138" s="32">
        <v>2581</v>
      </c>
      <c r="AQ138" s="32">
        <v>2535</v>
      </c>
      <c r="AR138" s="32">
        <v>2163</v>
      </c>
      <c r="AS138" s="32">
        <v>1763</v>
      </c>
      <c r="AT138" s="32">
        <v>1463</v>
      </c>
      <c r="AU138" s="32">
        <v>1170</v>
      </c>
      <c r="AV138" s="32">
        <v>1188</v>
      </c>
      <c r="AW138" s="32">
        <v>1117</v>
      </c>
      <c r="AX138" s="32">
        <v>1168</v>
      </c>
      <c r="AY138" s="32">
        <v>1217</v>
      </c>
      <c r="AZ138" s="32">
        <v>1332</v>
      </c>
      <c r="BA138" s="32">
        <v>1259</v>
      </c>
      <c r="BB138" s="32">
        <v>1225</v>
      </c>
      <c r="BC138" s="32">
        <v>1228</v>
      </c>
      <c r="BD138" s="32">
        <v>1249</v>
      </c>
      <c r="BE138" s="32">
        <v>1345</v>
      </c>
      <c r="BF138" s="32">
        <v>1448</v>
      </c>
      <c r="BG138" s="32">
        <v>1446</v>
      </c>
      <c r="BH138" s="32">
        <v>1433</v>
      </c>
      <c r="BI138" s="32">
        <v>1524</v>
      </c>
      <c r="BJ138" s="32">
        <v>1549</v>
      </c>
      <c r="BK138" s="32">
        <v>1341</v>
      </c>
      <c r="BL138" s="33">
        <v>1338</v>
      </c>
    </row>
    <row r="139" spans="1:64" ht="15.95" customHeight="1">
      <c r="A139" s="68" t="s">
        <v>396</v>
      </c>
      <c r="B139" s="28" t="s">
        <v>200</v>
      </c>
      <c r="C139" s="42">
        <f>_xll.RssMarket("4422","高値")</f>
        <v>703</v>
      </c>
      <c r="D139" s="41">
        <f t="shared" si="2"/>
        <v>0</v>
      </c>
      <c r="E139" s="37">
        <v>703</v>
      </c>
      <c r="F139" s="37">
        <v>651</v>
      </c>
      <c r="G139" s="32">
        <v>678</v>
      </c>
      <c r="H139" s="32">
        <v>738</v>
      </c>
      <c r="I139" s="32">
        <v>803</v>
      </c>
      <c r="J139" s="32">
        <v>795</v>
      </c>
      <c r="K139" s="32">
        <v>915</v>
      </c>
      <c r="L139" s="32">
        <v>765</v>
      </c>
      <c r="M139" s="32">
        <v>674</v>
      </c>
      <c r="N139" s="32">
        <v>687</v>
      </c>
      <c r="O139" s="32">
        <v>698</v>
      </c>
      <c r="P139" s="32">
        <v>732</v>
      </c>
      <c r="Q139" s="32">
        <v>764</v>
      </c>
      <c r="R139" s="32">
        <v>804</v>
      </c>
      <c r="S139" s="32">
        <v>885</v>
      </c>
      <c r="T139" s="32">
        <v>806</v>
      </c>
      <c r="U139" s="32">
        <v>832</v>
      </c>
      <c r="V139" s="32">
        <v>807</v>
      </c>
      <c r="W139" s="32">
        <v>869</v>
      </c>
      <c r="X139" s="32">
        <v>873</v>
      </c>
      <c r="Y139" s="32">
        <v>903</v>
      </c>
      <c r="Z139" s="32">
        <v>952</v>
      </c>
      <c r="AA139" s="32">
        <v>1064</v>
      </c>
      <c r="AB139" s="32">
        <v>1082</v>
      </c>
      <c r="AC139" s="32">
        <v>1034</v>
      </c>
      <c r="AD139" s="32">
        <v>1037</v>
      </c>
      <c r="AE139" s="32">
        <v>1062</v>
      </c>
      <c r="AF139" s="32">
        <v>1089</v>
      </c>
      <c r="AG139" s="32">
        <v>1196</v>
      </c>
      <c r="AH139" s="32">
        <v>1233</v>
      </c>
      <c r="AI139" s="32">
        <v>1397</v>
      </c>
      <c r="AJ139" s="32">
        <v>1630</v>
      </c>
      <c r="AK139" s="32">
        <v>1434</v>
      </c>
      <c r="AL139" s="32">
        <v>1277</v>
      </c>
      <c r="AM139" s="32">
        <v>1524</v>
      </c>
      <c r="AN139" s="32">
        <v>1599</v>
      </c>
      <c r="AO139" s="32">
        <v>1397</v>
      </c>
      <c r="AP139" s="32">
        <v>1097</v>
      </c>
      <c r="AQ139" s="32">
        <v>1116</v>
      </c>
      <c r="AR139" s="32">
        <v>1243</v>
      </c>
      <c r="AS139" s="32">
        <v>1050</v>
      </c>
      <c r="AT139" s="32">
        <v>999</v>
      </c>
      <c r="AU139" s="32">
        <v>1041</v>
      </c>
      <c r="AV139" s="32">
        <v>891</v>
      </c>
      <c r="AW139" s="32">
        <v>741</v>
      </c>
      <c r="AX139" s="32">
        <v>641</v>
      </c>
      <c r="AY139" s="32">
        <v>541</v>
      </c>
      <c r="AZ139" s="32">
        <v>485</v>
      </c>
      <c r="BA139" s="32">
        <v>491</v>
      </c>
      <c r="BB139" s="32">
        <v>497</v>
      </c>
      <c r="BC139" s="32">
        <v>522</v>
      </c>
      <c r="BD139" s="32">
        <v>523</v>
      </c>
      <c r="BE139" s="32">
        <v>654</v>
      </c>
      <c r="BF139" s="32">
        <v>622</v>
      </c>
      <c r="BG139" s="32">
        <v>522</v>
      </c>
      <c r="BH139" s="32">
        <v>464</v>
      </c>
      <c r="BI139" s="32">
        <v>558</v>
      </c>
      <c r="BJ139" s="32">
        <v>515</v>
      </c>
      <c r="BK139" s="32">
        <v>488</v>
      </c>
      <c r="BL139" s="33">
        <v>488</v>
      </c>
    </row>
    <row r="140" spans="1:64" ht="15.95" customHeight="1">
      <c r="A140" s="68" t="s">
        <v>397</v>
      </c>
      <c r="B140" s="28" t="s">
        <v>201</v>
      </c>
      <c r="C140" s="42">
        <f>_xll.RssMarket("6740","高値")</f>
        <v>53</v>
      </c>
      <c r="D140" s="41">
        <f t="shared" si="2"/>
        <v>0</v>
      </c>
      <c r="E140" s="37">
        <v>53</v>
      </c>
      <c r="F140" s="37">
        <v>47</v>
      </c>
      <c r="G140" s="32">
        <v>54</v>
      </c>
      <c r="H140" s="32">
        <v>55</v>
      </c>
      <c r="I140" s="32">
        <v>59</v>
      </c>
      <c r="J140" s="32">
        <v>55</v>
      </c>
      <c r="K140" s="32">
        <v>57</v>
      </c>
      <c r="L140" s="32">
        <v>55</v>
      </c>
      <c r="M140" s="32">
        <v>56</v>
      </c>
      <c r="N140" s="32">
        <v>57</v>
      </c>
      <c r="O140" s="32">
        <v>60</v>
      </c>
      <c r="P140" s="32">
        <v>56</v>
      </c>
      <c r="Q140" s="32">
        <v>59</v>
      </c>
      <c r="R140" s="32">
        <v>69</v>
      </c>
      <c r="S140" s="32">
        <v>65</v>
      </c>
      <c r="T140" s="32">
        <v>68</v>
      </c>
      <c r="U140" s="32">
        <v>72</v>
      </c>
      <c r="V140" s="32">
        <v>74</v>
      </c>
      <c r="W140" s="32">
        <v>81</v>
      </c>
      <c r="X140" s="32">
        <v>76</v>
      </c>
      <c r="Y140" s="32">
        <v>78</v>
      </c>
      <c r="Z140" s="32">
        <v>81</v>
      </c>
      <c r="AA140" s="32">
        <v>82</v>
      </c>
      <c r="AB140" s="32">
        <v>86</v>
      </c>
      <c r="AC140" s="32">
        <v>92</v>
      </c>
      <c r="AD140" s="32">
        <v>102</v>
      </c>
      <c r="AE140" s="32">
        <v>124</v>
      </c>
      <c r="AF140" s="32">
        <v>96</v>
      </c>
      <c r="AG140" s="32">
        <v>101</v>
      </c>
      <c r="AH140" s="32">
        <v>102</v>
      </c>
      <c r="AI140" s="32">
        <v>102</v>
      </c>
      <c r="AJ140" s="32">
        <v>112</v>
      </c>
      <c r="AK140" s="32">
        <v>124</v>
      </c>
      <c r="AL140" s="32">
        <v>123</v>
      </c>
      <c r="AM140" s="32">
        <v>115</v>
      </c>
      <c r="AN140" s="32">
        <v>109</v>
      </c>
      <c r="AO140" s="32">
        <v>99</v>
      </c>
      <c r="AP140" s="32">
        <v>91</v>
      </c>
      <c r="AQ140" s="32">
        <v>85</v>
      </c>
      <c r="AR140" s="32">
        <v>94</v>
      </c>
      <c r="AS140" s="32">
        <v>90</v>
      </c>
      <c r="AT140" s="32">
        <v>92</v>
      </c>
      <c r="AU140" s="32">
        <v>89</v>
      </c>
      <c r="AV140" s="32">
        <v>96</v>
      </c>
      <c r="AW140" s="32">
        <v>110</v>
      </c>
      <c r="AX140" s="32">
        <v>113</v>
      </c>
      <c r="AY140" s="32">
        <v>99</v>
      </c>
      <c r="AZ140" s="32">
        <v>79</v>
      </c>
      <c r="BA140" s="32">
        <v>82</v>
      </c>
      <c r="BB140" s="32">
        <v>79</v>
      </c>
      <c r="BC140" s="32">
        <v>96</v>
      </c>
      <c r="BD140" s="32">
        <v>72</v>
      </c>
      <c r="BE140" s="32">
        <v>73</v>
      </c>
      <c r="BF140" s="32">
        <v>65</v>
      </c>
      <c r="BG140" s="32">
        <v>112</v>
      </c>
      <c r="BH140" s="32">
        <v>141</v>
      </c>
      <c r="BI140" s="32">
        <v>164</v>
      </c>
      <c r="BJ140" s="32">
        <v>121</v>
      </c>
      <c r="BK140" s="32">
        <v>97</v>
      </c>
      <c r="BL140" s="33">
        <v>110</v>
      </c>
    </row>
    <row r="141" spans="1:64" ht="15.95" customHeight="1">
      <c r="A141" s="68" t="s">
        <v>398</v>
      </c>
      <c r="B141" s="28" t="s">
        <v>202</v>
      </c>
      <c r="C141" s="42">
        <f>_xll.RssMarket("6613","高値")</f>
        <v>2530</v>
      </c>
      <c r="D141" s="41">
        <f t="shared" si="2"/>
        <v>0</v>
      </c>
      <c r="E141" s="37">
        <v>2530</v>
      </c>
      <c r="F141" s="37">
        <v>2838</v>
      </c>
      <c r="G141" s="32">
        <v>2958</v>
      </c>
      <c r="H141" s="32">
        <v>2737</v>
      </c>
      <c r="I141" s="32">
        <v>2580</v>
      </c>
      <c r="J141" s="32">
        <v>2594</v>
      </c>
      <c r="K141" s="32">
        <v>2570</v>
      </c>
      <c r="L141" s="32">
        <v>2614</v>
      </c>
      <c r="M141" s="32">
        <v>2650</v>
      </c>
      <c r="N141" s="32">
        <v>2835</v>
      </c>
      <c r="O141" s="32">
        <v>2923</v>
      </c>
      <c r="P141" s="32">
        <v>2790</v>
      </c>
      <c r="Q141" s="32">
        <v>2820</v>
      </c>
      <c r="R141" s="32">
        <v>3220</v>
      </c>
      <c r="S141" s="32">
        <v>3620</v>
      </c>
      <c r="T141" s="32">
        <v>3100</v>
      </c>
      <c r="U141" s="32">
        <v>2868</v>
      </c>
      <c r="V141" s="32">
        <v>2627</v>
      </c>
      <c r="W141" s="32">
        <v>2127</v>
      </c>
      <c r="X141" s="32">
        <v>1886</v>
      </c>
      <c r="Y141" s="32">
        <v>1667</v>
      </c>
      <c r="Z141" s="32">
        <v>1659</v>
      </c>
      <c r="AA141" s="32">
        <v>1775</v>
      </c>
      <c r="AB141" s="32">
        <v>2048</v>
      </c>
      <c r="AC141" s="32">
        <v>1895</v>
      </c>
      <c r="AD141" s="32">
        <v>1610</v>
      </c>
      <c r="AE141" s="32">
        <v>1535</v>
      </c>
      <c r="AF141" s="32">
        <v>1503</v>
      </c>
      <c r="AG141" s="32">
        <v>1552</v>
      </c>
      <c r="AH141" s="32">
        <v>1550</v>
      </c>
      <c r="AI141" s="32">
        <v>1574</v>
      </c>
      <c r="AJ141" s="32">
        <v>1687</v>
      </c>
      <c r="AK141" s="32">
        <v>1596</v>
      </c>
      <c r="AL141" s="32">
        <v>1877</v>
      </c>
      <c r="AM141" s="32">
        <v>1585</v>
      </c>
      <c r="AN141" s="32">
        <v>1379</v>
      </c>
      <c r="AO141" s="32">
        <v>1447</v>
      </c>
      <c r="AP141" s="32">
        <v>1489</v>
      </c>
      <c r="AQ141" s="32">
        <v>1485</v>
      </c>
      <c r="AR141" s="32">
        <v>1269</v>
      </c>
      <c r="AS141" s="32">
        <v>1132</v>
      </c>
      <c r="AT141" s="32">
        <v>1115</v>
      </c>
      <c r="AU141" s="32">
        <v>1152</v>
      </c>
      <c r="AV141" s="32">
        <v>1113</v>
      </c>
      <c r="AW141" s="32">
        <v>1118</v>
      </c>
      <c r="AX141" s="32">
        <v>1111</v>
      </c>
      <c r="AY141" s="32">
        <v>1224</v>
      </c>
      <c r="AZ141" s="32">
        <v>1317</v>
      </c>
      <c r="BA141" s="32">
        <v>1331</v>
      </c>
      <c r="BB141" s="32">
        <v>1295</v>
      </c>
      <c r="BC141" s="32">
        <v>1225</v>
      </c>
      <c r="BD141" s="32">
        <v>1380</v>
      </c>
      <c r="BE141" s="32">
        <v>1515</v>
      </c>
      <c r="BF141" s="32">
        <v>1520</v>
      </c>
      <c r="BG141" s="32">
        <v>1510</v>
      </c>
      <c r="BH141" s="32">
        <v>1707</v>
      </c>
      <c r="BI141" s="32">
        <v>1721</v>
      </c>
      <c r="BJ141" s="32">
        <v>1708</v>
      </c>
      <c r="BK141" s="32">
        <v>1440</v>
      </c>
      <c r="BL141" s="33">
        <v>1294</v>
      </c>
    </row>
    <row r="142" spans="1:64" ht="15.95" customHeight="1">
      <c r="A142" s="68" t="s">
        <v>487</v>
      </c>
      <c r="B142" s="28" t="str">
        <f>銘柄管理!C142</f>
        <v>第一三共</v>
      </c>
      <c r="C142" s="42">
        <f>_xll.RssMarket("4568","高値")</f>
        <v>2632</v>
      </c>
      <c r="D142" s="41"/>
      <c r="E142" s="37">
        <v>2632</v>
      </c>
      <c r="F142" s="37">
        <v>2546.5</v>
      </c>
      <c r="G142" s="32">
        <v>2573.5</v>
      </c>
      <c r="H142" s="32">
        <v>2524.5</v>
      </c>
      <c r="I142" s="32">
        <v>2519.5</v>
      </c>
      <c r="J142" s="32">
        <v>2510.5</v>
      </c>
      <c r="K142" s="32">
        <v>2540</v>
      </c>
      <c r="L142" s="32">
        <v>2504</v>
      </c>
      <c r="M142" s="32">
        <v>2453.5</v>
      </c>
      <c r="N142" s="32">
        <v>2535</v>
      </c>
      <c r="O142" s="32">
        <v>2635.5</v>
      </c>
      <c r="P142" s="32">
        <v>2765.5</v>
      </c>
      <c r="Q142" s="32">
        <v>2753</v>
      </c>
      <c r="R142" s="32">
        <v>2790</v>
      </c>
      <c r="S142" s="32">
        <v>2773</v>
      </c>
      <c r="T142" s="32">
        <v>2680.5</v>
      </c>
      <c r="U142" s="32">
        <v>2682.5</v>
      </c>
      <c r="V142" s="32">
        <v>2636</v>
      </c>
      <c r="W142" s="32">
        <v>2674</v>
      </c>
      <c r="X142" s="32">
        <v>2646.5</v>
      </c>
      <c r="Y142" s="32">
        <v>2593.5</v>
      </c>
      <c r="Z142" s="32">
        <v>2672</v>
      </c>
      <c r="AA142" s="32">
        <v>2745.5</v>
      </c>
      <c r="AB142" s="32">
        <v>2758.5</v>
      </c>
      <c r="AC142" s="32">
        <v>2704</v>
      </c>
      <c r="AD142" s="32">
        <v>2674.5</v>
      </c>
      <c r="AE142" s="32">
        <v>2621.5</v>
      </c>
      <c r="AF142" s="32">
        <v>2649.5</v>
      </c>
      <c r="AG142" s="32">
        <v>2692</v>
      </c>
      <c r="AH142" s="32">
        <v>2670</v>
      </c>
      <c r="AI142" s="32">
        <v>2629.5</v>
      </c>
      <c r="AJ142" s="32">
        <v>2682</v>
      </c>
      <c r="AK142" s="32">
        <v>2830</v>
      </c>
      <c r="AL142" s="32">
        <v>2890.5</v>
      </c>
      <c r="AM142" s="32">
        <v>2989.5</v>
      </c>
      <c r="AN142" s="32">
        <v>3016</v>
      </c>
      <c r="AO142" s="32">
        <v>2967.5</v>
      </c>
      <c r="AP142" s="32">
        <v>2949</v>
      </c>
      <c r="AQ142" s="32">
        <v>2893</v>
      </c>
      <c r="AR142" s="32">
        <v>2761</v>
      </c>
      <c r="AS142" s="32">
        <v>2762</v>
      </c>
      <c r="AT142" s="32">
        <v>2790.5</v>
      </c>
      <c r="AU142" s="32">
        <v>2840</v>
      </c>
      <c r="AV142" s="32">
        <v>2940.5</v>
      </c>
      <c r="AW142" s="32">
        <v>2905</v>
      </c>
      <c r="AX142" s="32">
        <v>2895</v>
      </c>
      <c r="AY142" s="32">
        <v>2901.5</v>
      </c>
      <c r="AZ142" s="32">
        <v>2940.5</v>
      </c>
      <c r="BA142" s="32">
        <v>2893.5</v>
      </c>
      <c r="BB142" s="32">
        <v>2825</v>
      </c>
      <c r="BC142" s="32">
        <v>2823.5</v>
      </c>
      <c r="BD142" s="32">
        <v>2930</v>
      </c>
      <c r="BE142" s="32">
        <v>2913.5</v>
      </c>
      <c r="BF142" s="32">
        <v>3065</v>
      </c>
      <c r="BG142" s="32">
        <v>3020</v>
      </c>
      <c r="BH142" s="32">
        <v>2971</v>
      </c>
      <c r="BI142" s="32">
        <v>2980.5</v>
      </c>
      <c r="BJ142" s="32">
        <v>2983</v>
      </c>
      <c r="BK142" s="32">
        <v>2983</v>
      </c>
      <c r="BL142" s="33">
        <v>2838.5</v>
      </c>
    </row>
    <row r="143" spans="1:64" ht="15.95" customHeight="1">
      <c r="A143" s="68" t="s">
        <v>399</v>
      </c>
      <c r="B143" s="28" t="s">
        <v>203</v>
      </c>
      <c r="C143" s="42">
        <f>_xll.RssMarket("6522","高値")</f>
        <v>740</v>
      </c>
      <c r="D143" s="41">
        <f t="shared" si="2"/>
        <v>0</v>
      </c>
      <c r="E143" s="37">
        <v>740</v>
      </c>
      <c r="F143" s="37">
        <v>727</v>
      </c>
      <c r="G143" s="32">
        <v>735</v>
      </c>
      <c r="H143" s="32">
        <v>754</v>
      </c>
      <c r="I143" s="32">
        <v>748</v>
      </c>
      <c r="J143" s="32">
        <v>771</v>
      </c>
      <c r="K143" s="32">
        <v>755</v>
      </c>
      <c r="L143" s="32">
        <v>793</v>
      </c>
      <c r="M143" s="32">
        <v>796</v>
      </c>
      <c r="N143" s="32">
        <v>849</v>
      </c>
      <c r="O143" s="32">
        <v>903</v>
      </c>
      <c r="P143" s="32">
        <v>852</v>
      </c>
      <c r="Q143" s="32">
        <v>844</v>
      </c>
      <c r="R143" s="32">
        <v>920</v>
      </c>
      <c r="S143" s="32">
        <v>991</v>
      </c>
      <c r="T143" s="32">
        <v>995</v>
      </c>
      <c r="U143" s="32">
        <v>966</v>
      </c>
      <c r="V143" s="32">
        <v>1010</v>
      </c>
      <c r="W143" s="32">
        <v>1037</v>
      </c>
      <c r="X143" s="32">
        <v>1016</v>
      </c>
      <c r="Y143" s="32">
        <v>1053</v>
      </c>
      <c r="Z143" s="32">
        <v>1074</v>
      </c>
      <c r="AA143" s="32">
        <v>1076</v>
      </c>
      <c r="AB143" s="32">
        <v>1190</v>
      </c>
      <c r="AC143" s="32">
        <v>1247</v>
      </c>
      <c r="AD143" s="32">
        <v>1266</v>
      </c>
      <c r="AE143" s="32">
        <v>1229</v>
      </c>
      <c r="AF143" s="32">
        <v>1260</v>
      </c>
      <c r="AG143" s="32">
        <v>1210</v>
      </c>
      <c r="AH143" s="32">
        <v>1230</v>
      </c>
      <c r="AI143" s="32">
        <v>1340</v>
      </c>
      <c r="AJ143" s="32">
        <v>1360</v>
      </c>
      <c r="AK143" s="32">
        <v>1371</v>
      </c>
      <c r="AL143" s="32">
        <v>1599</v>
      </c>
      <c r="AM143" s="32">
        <v>1336</v>
      </c>
      <c r="AN143" s="32">
        <v>1138</v>
      </c>
      <c r="AO143" s="32">
        <v>1116</v>
      </c>
      <c r="AP143" s="32">
        <v>1086</v>
      </c>
      <c r="AQ143" s="32">
        <v>1195</v>
      </c>
      <c r="AR143" s="32">
        <v>1070</v>
      </c>
      <c r="AS143" s="32">
        <v>1025</v>
      </c>
      <c r="AT143" s="32">
        <v>1034</v>
      </c>
      <c r="AU143" s="32">
        <v>1061</v>
      </c>
      <c r="AV143" s="32">
        <v>1188</v>
      </c>
      <c r="AW143" s="32">
        <v>1120</v>
      </c>
      <c r="AX143" s="32">
        <v>1121</v>
      </c>
      <c r="AY143" s="32">
        <v>1300</v>
      </c>
      <c r="AZ143" s="32">
        <v>1187</v>
      </c>
      <c r="BA143" s="32">
        <v>1256</v>
      </c>
      <c r="BB143" s="32">
        <v>1483</v>
      </c>
      <c r="BC143" s="32">
        <v>1573</v>
      </c>
      <c r="BD143" s="32">
        <v>1699</v>
      </c>
      <c r="BE143" s="32">
        <v>1600</v>
      </c>
      <c r="BF143" s="32">
        <v>1300</v>
      </c>
      <c r="BG143" s="32">
        <v>1286</v>
      </c>
      <c r="BH143" s="32">
        <v>1004</v>
      </c>
      <c r="BI143" s="32">
        <v>957</v>
      </c>
      <c r="BJ143" s="32">
        <v>557</v>
      </c>
      <c r="BK143" s="32">
        <v>477</v>
      </c>
      <c r="BL143" s="33">
        <v>398</v>
      </c>
    </row>
    <row r="144" spans="1:64" ht="15.95" customHeight="1">
      <c r="A144" s="68" t="s">
        <v>400</v>
      </c>
      <c r="B144" s="28" t="s">
        <v>204</v>
      </c>
      <c r="C144" s="42">
        <f>_xll.RssMarket("6777","高値")</f>
        <v>27580</v>
      </c>
      <c r="D144" s="41">
        <f t="shared" si="2"/>
        <v>0</v>
      </c>
      <c r="E144" s="37">
        <v>27580</v>
      </c>
      <c r="F144" s="37">
        <v>27700</v>
      </c>
      <c r="G144" s="32">
        <v>25460</v>
      </c>
      <c r="H144" s="32">
        <v>24100</v>
      </c>
      <c r="I144" s="32">
        <v>23410</v>
      </c>
      <c r="J144" s="32">
        <v>25350</v>
      </c>
      <c r="K144" s="32">
        <v>23630</v>
      </c>
      <c r="L144" s="32">
        <v>25820</v>
      </c>
      <c r="M144" s="32">
        <v>26320</v>
      </c>
      <c r="N144" s="32">
        <v>28460</v>
      </c>
      <c r="O144" s="32">
        <v>26190</v>
      </c>
      <c r="P144" s="32">
        <v>25930</v>
      </c>
      <c r="Q144" s="32">
        <v>25490</v>
      </c>
      <c r="R144" s="32">
        <v>26800</v>
      </c>
      <c r="S144" s="32">
        <v>31450</v>
      </c>
      <c r="T144" s="32">
        <v>28060</v>
      </c>
      <c r="U144" s="32">
        <v>28130</v>
      </c>
      <c r="V144" s="32">
        <v>28700</v>
      </c>
      <c r="W144" s="32">
        <v>31600</v>
      </c>
      <c r="X144" s="32">
        <v>34550</v>
      </c>
      <c r="Y144" s="32">
        <v>32500</v>
      </c>
      <c r="Z144" s="32">
        <v>34700</v>
      </c>
      <c r="AA144" s="32">
        <v>33300</v>
      </c>
      <c r="AB144" s="32">
        <v>31950</v>
      </c>
      <c r="AC144" s="32">
        <v>29280</v>
      </c>
      <c r="AD144" s="32">
        <v>27830</v>
      </c>
      <c r="AE144" s="32">
        <v>30300</v>
      </c>
      <c r="AF144" s="32">
        <v>28470</v>
      </c>
      <c r="AG144" s="32">
        <v>29410</v>
      </c>
      <c r="AH144" s="32">
        <v>29200</v>
      </c>
      <c r="AI144" s="32">
        <v>29720</v>
      </c>
      <c r="AJ144" s="32">
        <v>30550</v>
      </c>
      <c r="AK144" s="32">
        <v>34300</v>
      </c>
      <c r="AL144" s="32">
        <v>30300</v>
      </c>
      <c r="AM144" s="32">
        <v>30400</v>
      </c>
      <c r="AN144" s="32">
        <v>30150</v>
      </c>
      <c r="AO144" s="32">
        <v>26940</v>
      </c>
      <c r="AP144" s="32">
        <v>25310</v>
      </c>
      <c r="AQ144" s="32">
        <v>26750</v>
      </c>
      <c r="AR144" s="32">
        <v>25390</v>
      </c>
      <c r="AS144" s="32">
        <v>23760</v>
      </c>
      <c r="AT144" s="32">
        <v>22250</v>
      </c>
      <c r="AU144" s="32">
        <v>21480</v>
      </c>
      <c r="AV144" s="32">
        <v>21490</v>
      </c>
      <c r="AW144" s="32">
        <v>20040</v>
      </c>
      <c r="AX144" s="32">
        <v>20130</v>
      </c>
      <c r="AY144" s="32">
        <v>19190</v>
      </c>
      <c r="AZ144" s="32">
        <v>18460</v>
      </c>
      <c r="BA144" s="32">
        <v>18050</v>
      </c>
      <c r="BB144" s="32">
        <v>16950</v>
      </c>
      <c r="BC144" s="32">
        <v>17580</v>
      </c>
      <c r="BD144" s="32">
        <v>18700</v>
      </c>
      <c r="BE144" s="32">
        <v>20060</v>
      </c>
      <c r="BF144" s="32">
        <v>20410</v>
      </c>
      <c r="BG144" s="32">
        <v>19570</v>
      </c>
      <c r="BH144" s="32">
        <v>19330</v>
      </c>
      <c r="BI144" s="32">
        <v>20830</v>
      </c>
      <c r="BJ144" s="32">
        <v>21050</v>
      </c>
      <c r="BK144" s="32">
        <v>24220</v>
      </c>
      <c r="BL144" s="33">
        <v>23850</v>
      </c>
    </row>
    <row r="145" spans="1:64" ht="15.95" customHeight="1">
      <c r="A145" s="68" t="s">
        <v>401</v>
      </c>
      <c r="B145" s="28" t="s">
        <v>205</v>
      </c>
      <c r="C145" s="42">
        <f>_xll.RssMarket("6787","高値")</f>
        <v>36600</v>
      </c>
      <c r="D145" s="41">
        <f t="shared" si="2"/>
        <v>0</v>
      </c>
      <c r="E145" s="37">
        <v>36600</v>
      </c>
      <c r="F145" s="37">
        <v>37250</v>
      </c>
      <c r="G145" s="32">
        <v>32950</v>
      </c>
      <c r="H145" s="32">
        <v>32050</v>
      </c>
      <c r="I145" s="32">
        <v>31500</v>
      </c>
      <c r="J145" s="32">
        <v>32850</v>
      </c>
      <c r="K145" s="32">
        <v>34600</v>
      </c>
      <c r="L145" s="32">
        <v>36200</v>
      </c>
      <c r="M145" s="32">
        <v>37350</v>
      </c>
      <c r="N145" s="32">
        <v>40550</v>
      </c>
      <c r="O145" s="32">
        <v>40400</v>
      </c>
      <c r="P145" s="32">
        <v>40700</v>
      </c>
      <c r="Q145" s="32">
        <v>38850</v>
      </c>
      <c r="R145" s="32">
        <v>40550</v>
      </c>
      <c r="S145" s="32">
        <v>45300</v>
      </c>
      <c r="T145" s="32">
        <v>44250</v>
      </c>
      <c r="U145" s="32">
        <v>41900</v>
      </c>
      <c r="V145" s="32">
        <v>36300</v>
      </c>
      <c r="W145" s="32">
        <v>40150</v>
      </c>
      <c r="X145" s="32">
        <v>40700</v>
      </c>
      <c r="Y145" s="32">
        <v>40950</v>
      </c>
      <c r="Z145" s="32">
        <v>38650</v>
      </c>
      <c r="AA145" s="32">
        <v>31650</v>
      </c>
      <c r="AB145" s="32">
        <v>32950</v>
      </c>
      <c r="AC145" s="32">
        <v>33800</v>
      </c>
      <c r="AD145" s="32">
        <v>33600</v>
      </c>
      <c r="AE145" s="32">
        <v>32000</v>
      </c>
      <c r="AF145" s="32">
        <v>30750</v>
      </c>
      <c r="AG145" s="32">
        <v>32100</v>
      </c>
      <c r="AH145" s="32">
        <v>32400</v>
      </c>
      <c r="AI145" s="32">
        <v>31400</v>
      </c>
      <c r="AJ145" s="32">
        <v>29610</v>
      </c>
      <c r="AK145" s="32">
        <v>30150</v>
      </c>
      <c r="AL145" s="32">
        <v>29590</v>
      </c>
      <c r="AM145" s="32">
        <v>28510</v>
      </c>
      <c r="AN145" s="32">
        <v>28680</v>
      </c>
      <c r="AO145" s="32">
        <v>29620</v>
      </c>
      <c r="AP145" s="32">
        <v>29870</v>
      </c>
      <c r="AQ145" s="32">
        <v>29870</v>
      </c>
      <c r="AR145" s="32">
        <v>30050</v>
      </c>
      <c r="AS145" s="32">
        <v>27070</v>
      </c>
      <c r="AT145" s="32">
        <v>28450</v>
      </c>
      <c r="AU145" s="32">
        <v>27650</v>
      </c>
      <c r="AV145" s="32">
        <v>26820</v>
      </c>
      <c r="AW145" s="32">
        <v>25680</v>
      </c>
      <c r="AX145" s="32">
        <v>27110</v>
      </c>
      <c r="AY145" s="32">
        <v>27210</v>
      </c>
      <c r="AZ145" s="32">
        <v>28550</v>
      </c>
      <c r="BA145" s="32">
        <v>28890</v>
      </c>
      <c r="BB145" s="32">
        <v>26350</v>
      </c>
      <c r="BC145" s="32">
        <v>27500</v>
      </c>
      <c r="BD145" s="32">
        <v>28720</v>
      </c>
      <c r="BE145" s="32">
        <v>30850</v>
      </c>
      <c r="BF145" s="32">
        <v>28470</v>
      </c>
      <c r="BG145" s="32">
        <v>27330</v>
      </c>
      <c r="BH145" s="32">
        <v>26390</v>
      </c>
      <c r="BI145" s="32">
        <v>25990</v>
      </c>
      <c r="BJ145" s="32">
        <v>26640</v>
      </c>
      <c r="BK145" s="32">
        <v>26460</v>
      </c>
      <c r="BL145" s="33">
        <v>25800</v>
      </c>
    </row>
    <row r="146" spans="1:64" ht="15.95" customHeight="1">
      <c r="A146" s="68" t="s">
        <v>402</v>
      </c>
      <c r="B146" s="28" t="s">
        <v>206</v>
      </c>
      <c r="C146" s="42">
        <f>_xll.RssMarket("4888","高値")</f>
        <v>361</v>
      </c>
      <c r="D146" s="41">
        <f t="shared" si="2"/>
        <v>0</v>
      </c>
      <c r="E146" s="37">
        <v>361</v>
      </c>
      <c r="F146" s="37">
        <v>339</v>
      </c>
      <c r="G146" s="32">
        <v>342</v>
      </c>
      <c r="H146" s="32">
        <v>336</v>
      </c>
      <c r="I146" s="32">
        <v>319</v>
      </c>
      <c r="J146" s="32">
        <v>320</v>
      </c>
      <c r="K146" s="32">
        <v>312</v>
      </c>
      <c r="L146" s="32">
        <v>352</v>
      </c>
      <c r="M146" s="32">
        <v>353</v>
      </c>
      <c r="N146" s="32">
        <v>349</v>
      </c>
      <c r="O146" s="32">
        <v>339</v>
      </c>
      <c r="P146" s="32">
        <v>384</v>
      </c>
      <c r="Q146" s="32">
        <v>397</v>
      </c>
      <c r="R146" s="32">
        <v>422</v>
      </c>
      <c r="S146" s="32">
        <v>449</v>
      </c>
      <c r="T146" s="32">
        <v>462</v>
      </c>
      <c r="U146" s="32">
        <v>452</v>
      </c>
      <c r="V146" s="32">
        <v>434</v>
      </c>
      <c r="W146" s="32">
        <v>456</v>
      </c>
      <c r="X146" s="32">
        <v>469</v>
      </c>
      <c r="Y146" s="32">
        <v>445</v>
      </c>
      <c r="Z146" s="32">
        <v>440</v>
      </c>
      <c r="AA146" s="32">
        <v>505</v>
      </c>
      <c r="AB146" s="32">
        <v>502</v>
      </c>
      <c r="AC146" s="32">
        <v>541</v>
      </c>
      <c r="AD146" s="32">
        <v>543</v>
      </c>
      <c r="AE146" s="32">
        <v>555</v>
      </c>
      <c r="AF146" s="32">
        <v>541</v>
      </c>
      <c r="AG146" s="32">
        <v>530</v>
      </c>
      <c r="AH146" s="32">
        <v>552</v>
      </c>
      <c r="AI146" s="32">
        <v>565</v>
      </c>
      <c r="AJ146" s="32">
        <v>562</v>
      </c>
      <c r="AK146" s="32">
        <v>573</v>
      </c>
      <c r="AL146" s="32">
        <v>618</v>
      </c>
      <c r="AM146" s="32">
        <v>719</v>
      </c>
      <c r="AN146" s="32">
        <v>749</v>
      </c>
      <c r="AO146" s="32">
        <v>793</v>
      </c>
      <c r="AP146" s="32">
        <v>750</v>
      </c>
      <c r="AQ146" s="32">
        <v>703</v>
      </c>
      <c r="AR146" s="32">
        <v>742</v>
      </c>
      <c r="AS146" s="32">
        <v>745</v>
      </c>
      <c r="AT146" s="32">
        <v>807</v>
      </c>
      <c r="AU146" s="32">
        <v>709</v>
      </c>
      <c r="AV146" s="32">
        <v>698</v>
      </c>
      <c r="AW146" s="32">
        <v>670</v>
      </c>
      <c r="AX146" s="32">
        <v>604</v>
      </c>
      <c r="AY146" s="32">
        <v>680</v>
      </c>
      <c r="AZ146" s="32">
        <v>719</v>
      </c>
      <c r="BA146" s="32">
        <v>805</v>
      </c>
      <c r="BB146" s="32">
        <v>797</v>
      </c>
      <c r="BC146" s="32">
        <v>851</v>
      </c>
      <c r="BD146" s="32">
        <v>928</v>
      </c>
      <c r="BE146" s="32">
        <v>882</v>
      </c>
      <c r="BF146" s="32">
        <v>995</v>
      </c>
      <c r="BG146" s="32">
        <v>855</v>
      </c>
      <c r="BH146" s="32">
        <v>705</v>
      </c>
      <c r="BI146" s="32">
        <v>646</v>
      </c>
      <c r="BJ146" s="32">
        <v>560</v>
      </c>
      <c r="BK146" s="32">
        <v>494</v>
      </c>
      <c r="BL146" s="33">
        <v>438</v>
      </c>
    </row>
    <row r="147" spans="1:64" ht="15.95" customHeight="1">
      <c r="A147" s="68" t="s">
        <v>403</v>
      </c>
      <c r="B147" s="28" t="s">
        <v>207</v>
      </c>
      <c r="C147" s="42">
        <f>_xll.RssMarket("6387","高値")</f>
        <v>16300</v>
      </c>
      <c r="D147" s="41">
        <f t="shared" si="2"/>
        <v>0</v>
      </c>
      <c r="E147" s="37">
        <v>16300</v>
      </c>
      <c r="F147" s="37">
        <v>16930</v>
      </c>
      <c r="G147" s="32">
        <v>15200</v>
      </c>
      <c r="H147" s="32">
        <v>12480</v>
      </c>
      <c r="I147" s="32">
        <v>11580</v>
      </c>
      <c r="J147" s="32">
        <v>12320</v>
      </c>
      <c r="K147" s="32">
        <v>12290</v>
      </c>
      <c r="L147" s="32">
        <v>12700</v>
      </c>
      <c r="M147" s="32">
        <v>13150</v>
      </c>
      <c r="N147" s="32">
        <v>13400</v>
      </c>
      <c r="O147" s="32">
        <v>12090</v>
      </c>
      <c r="P147" s="32">
        <v>10590</v>
      </c>
      <c r="Q147" s="32">
        <v>10470</v>
      </c>
      <c r="R147" s="32">
        <v>11670</v>
      </c>
      <c r="S147" s="32">
        <v>12320</v>
      </c>
      <c r="T147" s="32">
        <v>11970</v>
      </c>
      <c r="U147" s="32">
        <v>11340</v>
      </c>
      <c r="V147" s="32">
        <v>11150</v>
      </c>
      <c r="W147" s="32">
        <v>12120</v>
      </c>
      <c r="X147" s="32">
        <v>12630</v>
      </c>
      <c r="Y147" s="32">
        <v>13450</v>
      </c>
      <c r="Z147" s="32">
        <v>14100</v>
      </c>
      <c r="AA147" s="32">
        <v>13290</v>
      </c>
      <c r="AB147" s="32">
        <v>13340</v>
      </c>
      <c r="AC147" s="32">
        <v>14000</v>
      </c>
      <c r="AD147" s="32">
        <v>13920</v>
      </c>
      <c r="AE147" s="32">
        <v>14470</v>
      </c>
      <c r="AF147" s="32">
        <v>11790</v>
      </c>
      <c r="AG147" s="32">
        <v>11780</v>
      </c>
      <c r="AH147" s="32">
        <v>11300</v>
      </c>
      <c r="AI147" s="32">
        <v>11540</v>
      </c>
      <c r="AJ147" s="32">
        <v>11380</v>
      </c>
      <c r="AK147" s="32">
        <v>11040</v>
      </c>
      <c r="AL147" s="32">
        <v>10440</v>
      </c>
      <c r="AM147" s="32">
        <v>9880</v>
      </c>
      <c r="AN147" s="32">
        <v>9820</v>
      </c>
      <c r="AO147" s="32">
        <v>9920</v>
      </c>
      <c r="AP147" s="32">
        <v>10400</v>
      </c>
      <c r="AQ147" s="32">
        <v>10470</v>
      </c>
      <c r="AR147" s="32">
        <v>10760</v>
      </c>
      <c r="AS147" s="32">
        <v>9820</v>
      </c>
      <c r="AT147" s="32">
        <v>9520</v>
      </c>
      <c r="AU147" s="32">
        <v>9340</v>
      </c>
      <c r="AV147" s="32">
        <v>9330</v>
      </c>
      <c r="AW147" s="32">
        <v>8520</v>
      </c>
      <c r="AX147" s="32">
        <v>8640</v>
      </c>
      <c r="AY147" s="32">
        <v>8630</v>
      </c>
      <c r="AZ147" s="32">
        <v>8900</v>
      </c>
      <c r="BA147" s="32">
        <v>9040</v>
      </c>
      <c r="BB147" s="32">
        <v>8520</v>
      </c>
      <c r="BC147" s="32">
        <v>8310</v>
      </c>
      <c r="BD147" s="32">
        <v>8680</v>
      </c>
      <c r="BE147" s="32">
        <v>9150</v>
      </c>
      <c r="BF147" s="32">
        <v>8360</v>
      </c>
      <c r="BG147" s="32">
        <v>8110</v>
      </c>
      <c r="BH147" s="32">
        <v>7560</v>
      </c>
      <c r="BI147" s="32">
        <v>8000</v>
      </c>
      <c r="BJ147" s="32">
        <v>7710</v>
      </c>
      <c r="BK147" s="32">
        <v>8190</v>
      </c>
      <c r="BL147" s="33">
        <v>7880</v>
      </c>
    </row>
    <row r="148" spans="1:64" ht="15.95" customHeight="1">
      <c r="A148" s="68" t="s">
        <v>404</v>
      </c>
      <c r="B148" s="28" t="s">
        <v>208</v>
      </c>
      <c r="C148" s="42">
        <f>_xll.RssMarket("6838","高値")</f>
        <v>2490</v>
      </c>
      <c r="D148" s="41">
        <f t="shared" si="2"/>
        <v>0</v>
      </c>
      <c r="E148" s="37">
        <v>2490</v>
      </c>
      <c r="F148" s="37">
        <v>2280</v>
      </c>
      <c r="G148" s="32">
        <v>1895</v>
      </c>
      <c r="H148" s="32">
        <v>1856</v>
      </c>
      <c r="I148" s="32">
        <v>1813</v>
      </c>
      <c r="J148" s="32">
        <v>1933</v>
      </c>
      <c r="K148" s="32">
        <v>2285</v>
      </c>
      <c r="L148" s="32">
        <v>2483</v>
      </c>
      <c r="M148" s="32">
        <v>2463</v>
      </c>
      <c r="N148" s="32">
        <v>2496</v>
      </c>
      <c r="O148" s="32">
        <v>2348</v>
      </c>
      <c r="P148" s="32">
        <v>2286</v>
      </c>
      <c r="Q148" s="32">
        <v>2244</v>
      </c>
      <c r="R148" s="32">
        <v>2440</v>
      </c>
      <c r="S148" s="32">
        <v>2199</v>
      </c>
      <c r="T148" s="32">
        <v>2134</v>
      </c>
      <c r="U148" s="32">
        <v>1971</v>
      </c>
      <c r="V148" s="32">
        <v>2044</v>
      </c>
      <c r="W148" s="32">
        <v>2183</v>
      </c>
      <c r="X148" s="32">
        <v>2192</v>
      </c>
      <c r="Y148" s="32">
        <v>2098</v>
      </c>
      <c r="Z148" s="32">
        <v>2044</v>
      </c>
      <c r="AA148" s="32">
        <v>2091</v>
      </c>
      <c r="AB148" s="32">
        <v>2150</v>
      </c>
      <c r="AC148" s="32">
        <v>2326</v>
      </c>
      <c r="AD148" s="32">
        <v>1958</v>
      </c>
      <c r="AE148" s="32">
        <v>1783</v>
      </c>
      <c r="AF148" s="32">
        <v>1686</v>
      </c>
      <c r="AG148" s="32">
        <v>1736</v>
      </c>
      <c r="AH148" s="32">
        <v>1658</v>
      </c>
      <c r="AI148" s="32">
        <v>1728</v>
      </c>
      <c r="AJ148" s="32">
        <v>1820</v>
      </c>
      <c r="AK148" s="32">
        <v>1927</v>
      </c>
      <c r="AL148" s="32">
        <v>1841</v>
      </c>
      <c r="AM148" s="32">
        <v>1899</v>
      </c>
      <c r="AN148" s="32">
        <v>1787</v>
      </c>
      <c r="AO148" s="32">
        <v>1560</v>
      </c>
      <c r="AP148" s="32">
        <v>1398</v>
      </c>
      <c r="AQ148" s="32">
        <v>1348</v>
      </c>
      <c r="AR148" s="32">
        <v>1334</v>
      </c>
      <c r="AS148" s="32">
        <v>1321</v>
      </c>
      <c r="AT148" s="32">
        <v>1387</v>
      </c>
      <c r="AU148" s="32">
        <v>1398</v>
      </c>
      <c r="AV148" s="32">
        <v>1400</v>
      </c>
      <c r="AW148" s="32">
        <v>1400</v>
      </c>
      <c r="AX148" s="32">
        <v>1450</v>
      </c>
      <c r="AY148" s="32">
        <v>1403</v>
      </c>
      <c r="AZ148" s="32">
        <v>1322</v>
      </c>
      <c r="BA148" s="32">
        <v>1268</v>
      </c>
      <c r="BB148" s="32">
        <v>1271</v>
      </c>
      <c r="BC148" s="32">
        <v>1284</v>
      </c>
      <c r="BD148" s="32">
        <v>1355</v>
      </c>
      <c r="BE148" s="32">
        <v>1489</v>
      </c>
      <c r="BF148" s="32">
        <v>1410</v>
      </c>
      <c r="BG148" s="32">
        <v>1435</v>
      </c>
      <c r="BH148" s="32">
        <v>1450</v>
      </c>
      <c r="BI148" s="32">
        <v>1660</v>
      </c>
      <c r="BJ148" s="32">
        <v>1669</v>
      </c>
      <c r="BK148" s="32">
        <v>1369</v>
      </c>
      <c r="BL148" s="33">
        <v>1080</v>
      </c>
    </row>
    <row r="149" spans="1:64" ht="15.95" customHeight="1">
      <c r="A149" s="68" t="s">
        <v>405</v>
      </c>
      <c r="B149" s="28" t="s">
        <v>209</v>
      </c>
      <c r="C149" s="42">
        <f>_xll.RssMarket("7375","高値")</f>
        <v>1369</v>
      </c>
      <c r="D149" s="41">
        <f t="shared" si="2"/>
        <v>0</v>
      </c>
      <c r="E149" s="37">
        <v>1369</v>
      </c>
      <c r="F149" s="37">
        <v>1346</v>
      </c>
      <c r="G149" s="32">
        <v>1288</v>
      </c>
      <c r="H149" s="32">
        <v>1314</v>
      </c>
      <c r="I149" s="32">
        <v>1448</v>
      </c>
      <c r="J149" s="32">
        <v>1391</v>
      </c>
      <c r="K149" s="32">
        <v>1433</v>
      </c>
      <c r="L149" s="32">
        <v>1442</v>
      </c>
      <c r="M149" s="32">
        <v>1479</v>
      </c>
      <c r="N149" s="32">
        <v>1460</v>
      </c>
      <c r="O149" s="32">
        <v>1517</v>
      </c>
      <c r="P149" s="32">
        <v>1562</v>
      </c>
      <c r="Q149" s="32">
        <v>1665</v>
      </c>
      <c r="R149" s="32">
        <v>1684</v>
      </c>
      <c r="S149" s="32">
        <v>2048</v>
      </c>
      <c r="T149" s="32">
        <v>2095</v>
      </c>
      <c r="U149" s="32">
        <v>1860</v>
      </c>
      <c r="V149" s="32">
        <v>1950</v>
      </c>
      <c r="W149" s="32">
        <v>2130</v>
      </c>
      <c r="X149" s="32">
        <v>1940</v>
      </c>
      <c r="Y149" s="32">
        <v>1590</v>
      </c>
      <c r="Z149" s="32">
        <v>1617</v>
      </c>
      <c r="AA149" s="32">
        <v>1792</v>
      </c>
      <c r="AB149" s="32">
        <v>1730</v>
      </c>
      <c r="AC149" s="32">
        <v>1725</v>
      </c>
      <c r="AD149" s="32">
        <v>1843</v>
      </c>
      <c r="AE149" s="32">
        <v>1818</v>
      </c>
      <c r="AF149" s="32">
        <v>2008</v>
      </c>
      <c r="AG149" s="32">
        <v>2369</v>
      </c>
      <c r="AH149" s="32">
        <v>2235</v>
      </c>
      <c r="AI149" s="32">
        <v>2034</v>
      </c>
      <c r="AJ149" s="32">
        <v>2254</v>
      </c>
      <c r="AK149" s="32">
        <v>2399</v>
      </c>
      <c r="AL149" s="32">
        <v>2660</v>
      </c>
      <c r="AM149" s="32">
        <v>2262</v>
      </c>
      <c r="AN149" s="32">
        <v>2067</v>
      </c>
      <c r="AO149" s="32">
        <v>2190</v>
      </c>
      <c r="AP149" s="32">
        <v>2400</v>
      </c>
      <c r="AQ149" s="32">
        <v>2127</v>
      </c>
      <c r="AR149" s="32">
        <v>1890</v>
      </c>
      <c r="AS149" s="32">
        <v>1644</v>
      </c>
      <c r="AT149" s="32">
        <v>1504</v>
      </c>
      <c r="AU149" s="32">
        <v>1750</v>
      </c>
      <c r="AV149" s="32">
        <v>1663</v>
      </c>
      <c r="AW149" s="32">
        <v>2199</v>
      </c>
      <c r="AX149" s="32">
        <v>1930</v>
      </c>
      <c r="AY149" s="32">
        <v>1881</v>
      </c>
      <c r="AZ149" s="32">
        <v>1618</v>
      </c>
      <c r="BA149" s="32">
        <v>1448</v>
      </c>
      <c r="BB149" s="32">
        <v>1459</v>
      </c>
      <c r="BC149" s="32">
        <v>1496</v>
      </c>
      <c r="BD149" s="32">
        <v>1568</v>
      </c>
      <c r="BE149" s="32">
        <v>1387</v>
      </c>
      <c r="BF149" s="32">
        <v>1117</v>
      </c>
      <c r="BG149" s="32">
        <v>1178</v>
      </c>
      <c r="BH149" s="32">
        <v>1270</v>
      </c>
      <c r="BI149" s="32">
        <v>1298</v>
      </c>
      <c r="BJ149" s="32">
        <v>1070</v>
      </c>
      <c r="BK149" s="32">
        <v>1091</v>
      </c>
      <c r="BL149" s="33">
        <v>1208</v>
      </c>
    </row>
    <row r="150" spans="1:64" ht="15.95" customHeight="1">
      <c r="A150" s="68" t="s">
        <v>406</v>
      </c>
      <c r="B150" s="28" t="s">
        <v>210</v>
      </c>
      <c r="C150" s="42">
        <f>_xll.RssMarket("4307","高値")</f>
        <v>4649</v>
      </c>
      <c r="D150" s="41">
        <f t="shared" si="2"/>
        <v>0</v>
      </c>
      <c r="E150" s="37">
        <v>4649</v>
      </c>
      <c r="F150" s="37">
        <v>4517</v>
      </c>
      <c r="G150" s="32">
        <v>4712</v>
      </c>
      <c r="H150" s="32">
        <v>4610</v>
      </c>
      <c r="I150" s="32">
        <v>4694</v>
      </c>
      <c r="J150" s="32">
        <v>4685</v>
      </c>
      <c r="K150" s="32">
        <v>4912</v>
      </c>
      <c r="L150" s="32">
        <v>4930</v>
      </c>
      <c r="M150" s="32">
        <v>4800</v>
      </c>
      <c r="N150" s="32">
        <v>4971</v>
      </c>
      <c r="O150" s="32">
        <v>5329</v>
      </c>
      <c r="P150" s="32">
        <v>5117</v>
      </c>
      <c r="Q150" s="32">
        <v>4859</v>
      </c>
      <c r="R150" s="32">
        <v>4755</v>
      </c>
      <c r="S150" s="32">
        <v>4695</v>
      </c>
      <c r="T150" s="32">
        <v>4704</v>
      </c>
      <c r="U150" s="32">
        <v>4758</v>
      </c>
      <c r="V150" s="32">
        <v>4849</v>
      </c>
      <c r="W150" s="32">
        <v>4848</v>
      </c>
      <c r="X150" s="32">
        <v>4595</v>
      </c>
      <c r="Y150" s="32">
        <v>4362</v>
      </c>
      <c r="Z150" s="32">
        <v>4275</v>
      </c>
      <c r="AA150" s="32">
        <v>4367</v>
      </c>
      <c r="AB150" s="32">
        <v>4248</v>
      </c>
      <c r="AC150" s="32">
        <v>4402</v>
      </c>
      <c r="AD150" s="32">
        <v>4469</v>
      </c>
      <c r="AE150" s="32">
        <v>4273</v>
      </c>
      <c r="AF150" s="32">
        <v>4216</v>
      </c>
      <c r="AG150" s="32">
        <v>4300</v>
      </c>
      <c r="AH150" s="32">
        <v>4592</v>
      </c>
      <c r="AI150" s="32">
        <v>4874</v>
      </c>
      <c r="AJ150" s="32">
        <v>5224</v>
      </c>
      <c r="AK150" s="32">
        <v>5148</v>
      </c>
      <c r="AL150" s="32">
        <v>5171</v>
      </c>
      <c r="AM150" s="32">
        <v>5078</v>
      </c>
      <c r="AN150" s="32">
        <v>5008</v>
      </c>
      <c r="AO150" s="32">
        <v>5018</v>
      </c>
      <c r="AP150" s="32">
        <v>5014</v>
      </c>
      <c r="AQ150" s="32">
        <v>4908</v>
      </c>
      <c r="AR150" s="32">
        <v>4706</v>
      </c>
      <c r="AS150" s="32">
        <v>4559</v>
      </c>
      <c r="AT150" s="32">
        <v>4469</v>
      </c>
      <c r="AU150" s="32">
        <v>4584</v>
      </c>
      <c r="AV150" s="32">
        <v>4560</v>
      </c>
      <c r="AW150" s="32">
        <v>4534</v>
      </c>
      <c r="AX150" s="32">
        <v>4496</v>
      </c>
      <c r="AY150" s="32">
        <v>4474</v>
      </c>
      <c r="AZ150" s="32">
        <v>4611</v>
      </c>
      <c r="BA150" s="32">
        <v>4635</v>
      </c>
      <c r="BB150" s="32">
        <v>4393</v>
      </c>
      <c r="BC150" s="32">
        <v>4253</v>
      </c>
      <c r="BD150" s="32">
        <v>4307</v>
      </c>
      <c r="BE150" s="32">
        <v>4260</v>
      </c>
      <c r="BF150" s="32">
        <v>4253</v>
      </c>
      <c r="BG150" s="32">
        <v>4341</v>
      </c>
      <c r="BH150" s="32">
        <v>4272</v>
      </c>
      <c r="BI150" s="32">
        <v>4389</v>
      </c>
      <c r="BJ150" s="32">
        <v>4322</v>
      </c>
      <c r="BK150" s="32">
        <v>4318</v>
      </c>
      <c r="BL150" s="33">
        <v>4350</v>
      </c>
    </row>
    <row r="151" spans="1:64" ht="15.95" customHeight="1">
      <c r="A151" s="68" t="s">
        <v>407</v>
      </c>
      <c r="B151" s="28" t="s">
        <v>211</v>
      </c>
      <c r="C151" s="42">
        <f>_xll.RssMarket("6516","高値")</f>
        <v>6810</v>
      </c>
      <c r="D151" s="41">
        <f t="shared" si="2"/>
        <v>0</v>
      </c>
      <c r="E151" s="37">
        <v>6810</v>
      </c>
      <c r="F151" s="37">
        <v>6720</v>
      </c>
      <c r="G151" s="32">
        <v>6580</v>
      </c>
      <c r="H151" s="32">
        <v>6450</v>
      </c>
      <c r="I151" s="32">
        <v>6300</v>
      </c>
      <c r="J151" s="32">
        <v>6460</v>
      </c>
      <c r="K151" s="32">
        <v>6480</v>
      </c>
      <c r="L151" s="32">
        <v>6770</v>
      </c>
      <c r="M151" s="32">
        <v>6830</v>
      </c>
      <c r="N151" s="32">
        <v>6770</v>
      </c>
      <c r="O151" s="32">
        <v>6690</v>
      </c>
      <c r="P151" s="32">
        <v>6920</v>
      </c>
      <c r="Q151" s="32">
        <v>6820</v>
      </c>
      <c r="R151" s="32">
        <v>7080</v>
      </c>
      <c r="S151" s="32">
        <v>7260</v>
      </c>
      <c r="T151" s="32">
        <v>7290</v>
      </c>
      <c r="U151" s="32">
        <v>7270</v>
      </c>
      <c r="V151" s="32">
        <v>6990</v>
      </c>
      <c r="W151" s="32">
        <v>7330</v>
      </c>
      <c r="X151" s="32">
        <v>7480</v>
      </c>
      <c r="Y151" s="32">
        <v>7870</v>
      </c>
      <c r="Z151" s="32">
        <v>7810</v>
      </c>
      <c r="AA151" s="32">
        <v>7640</v>
      </c>
      <c r="AB151" s="32">
        <v>7880</v>
      </c>
      <c r="AC151" s="32">
        <v>7800</v>
      </c>
      <c r="AD151" s="32">
        <v>7500</v>
      </c>
      <c r="AE151" s="32">
        <v>7380</v>
      </c>
      <c r="AF151" s="32">
        <v>6880</v>
      </c>
      <c r="AG151" s="32">
        <v>7200</v>
      </c>
      <c r="AH151" s="32">
        <v>7300</v>
      </c>
      <c r="AI151" s="32">
        <v>6640</v>
      </c>
      <c r="AJ151" s="32">
        <v>5750</v>
      </c>
      <c r="AK151" s="32">
        <v>5310</v>
      </c>
      <c r="AL151" s="32">
        <v>5430</v>
      </c>
      <c r="AM151" s="32">
        <v>5280</v>
      </c>
      <c r="AN151" s="32">
        <v>5200</v>
      </c>
      <c r="AO151" s="32">
        <v>5220</v>
      </c>
      <c r="AP151" s="32">
        <v>5300</v>
      </c>
      <c r="AQ151" s="32">
        <v>5430</v>
      </c>
      <c r="AR151" s="32">
        <v>5360</v>
      </c>
      <c r="AS151" s="32">
        <v>5100</v>
      </c>
      <c r="AT151" s="32">
        <v>5080</v>
      </c>
      <c r="AU151" s="32">
        <v>4910</v>
      </c>
      <c r="AV151" s="32">
        <v>4855</v>
      </c>
      <c r="AW151" s="32">
        <v>4630</v>
      </c>
      <c r="AX151" s="32">
        <v>4635</v>
      </c>
      <c r="AY151" s="32">
        <v>4575</v>
      </c>
      <c r="AZ151" s="32">
        <v>4730</v>
      </c>
      <c r="BA151" s="32">
        <v>4595</v>
      </c>
      <c r="BB151" s="32">
        <v>4435</v>
      </c>
      <c r="BC151" s="32">
        <v>4380</v>
      </c>
      <c r="BD151" s="32">
        <v>4520</v>
      </c>
      <c r="BE151" s="32">
        <v>4590</v>
      </c>
      <c r="BF151" s="32">
        <v>4600</v>
      </c>
      <c r="BG151" s="32">
        <v>4470</v>
      </c>
      <c r="BH151" s="32">
        <v>4460</v>
      </c>
      <c r="BI151" s="32">
        <v>4725</v>
      </c>
      <c r="BJ151" s="32">
        <v>4810</v>
      </c>
      <c r="BK151" s="32">
        <v>4750</v>
      </c>
      <c r="BL151" s="33">
        <v>4685</v>
      </c>
    </row>
    <row r="152" spans="1:64" ht="15.95" customHeight="1">
      <c r="A152" s="68" t="s">
        <v>408</v>
      </c>
      <c r="B152" s="28" t="s">
        <v>212</v>
      </c>
      <c r="C152" s="42">
        <f>_xll.RssMarket("7381","高値")</f>
        <v>1019</v>
      </c>
      <c r="D152" s="41">
        <f t="shared" si="2"/>
        <v>0</v>
      </c>
      <c r="E152" s="37">
        <v>1019</v>
      </c>
      <c r="F152" s="37">
        <v>1006</v>
      </c>
      <c r="G152" s="32">
        <v>1023</v>
      </c>
      <c r="H152" s="32">
        <v>1004</v>
      </c>
      <c r="I152" s="32">
        <v>992</v>
      </c>
      <c r="J152" s="32">
        <v>1010</v>
      </c>
      <c r="K152" s="32">
        <v>1029</v>
      </c>
      <c r="L152" s="32">
        <v>1052</v>
      </c>
      <c r="M152" s="32">
        <v>1039</v>
      </c>
      <c r="N152" s="32">
        <v>1035</v>
      </c>
      <c r="O152" s="32">
        <v>1018</v>
      </c>
      <c r="P152" s="32">
        <v>1060</v>
      </c>
      <c r="Q152" s="32">
        <v>1052</v>
      </c>
      <c r="R152" s="32">
        <v>1067</v>
      </c>
      <c r="S152" s="32">
        <v>1063</v>
      </c>
      <c r="T152" s="32">
        <v>1089</v>
      </c>
      <c r="U152" s="32">
        <v>1094</v>
      </c>
      <c r="V152" s="32">
        <v>1038</v>
      </c>
      <c r="W152" s="32">
        <v>1054</v>
      </c>
      <c r="X152" s="32">
        <v>1052</v>
      </c>
      <c r="Y152" s="32">
        <v>1071</v>
      </c>
      <c r="Z152" s="32">
        <v>1050</v>
      </c>
      <c r="AA152" s="32">
        <v>1034</v>
      </c>
      <c r="AB152" s="32">
        <v>1023</v>
      </c>
      <c r="AC152" s="32">
        <v>1032</v>
      </c>
      <c r="AD152" s="32">
        <v>1019</v>
      </c>
      <c r="AE152" s="32">
        <v>1038</v>
      </c>
      <c r="AF152" s="32">
        <v>973</v>
      </c>
      <c r="AG152" s="32">
        <v>949</v>
      </c>
      <c r="AH152" s="32">
        <v>984</v>
      </c>
      <c r="AI152" s="32">
        <v>922</v>
      </c>
      <c r="AJ152" s="32">
        <v>927</v>
      </c>
      <c r="AK152" s="32">
        <v>926</v>
      </c>
      <c r="AL152" s="32">
        <v>971</v>
      </c>
      <c r="AM152" s="32">
        <v>1002</v>
      </c>
      <c r="AN152" s="32">
        <v>1022</v>
      </c>
      <c r="AO152" s="32">
        <v>1038</v>
      </c>
      <c r="AP152" s="32">
        <v>1053</v>
      </c>
      <c r="AQ152" s="32">
        <v>1049</v>
      </c>
      <c r="AR152" s="32">
        <v>1029</v>
      </c>
      <c r="AS152" s="32">
        <v>1032</v>
      </c>
      <c r="AT152" s="32">
        <v>1050</v>
      </c>
      <c r="AU152" s="32">
        <v>1052</v>
      </c>
      <c r="AV152" s="32">
        <v>1055</v>
      </c>
      <c r="AW152" s="32">
        <v>1027</v>
      </c>
      <c r="AX152" s="32">
        <v>1007</v>
      </c>
      <c r="AY152" s="32">
        <v>998</v>
      </c>
      <c r="AZ152" s="32">
        <v>1018</v>
      </c>
      <c r="BA152" s="32">
        <v>990</v>
      </c>
      <c r="BB152" s="32">
        <v>959</v>
      </c>
      <c r="BC152" s="32">
        <v>952</v>
      </c>
      <c r="BD152" s="32">
        <v>996</v>
      </c>
      <c r="BE152" s="32">
        <v>980</v>
      </c>
      <c r="BF152" s="32">
        <v>989</v>
      </c>
      <c r="BG152" s="32">
        <v>957</v>
      </c>
      <c r="BH152" s="32">
        <v>934</v>
      </c>
      <c r="BI152" s="32">
        <v>985</v>
      </c>
      <c r="BJ152" s="32">
        <v>997</v>
      </c>
      <c r="BK152" s="32">
        <v>983</v>
      </c>
      <c r="BL152" s="33">
        <v>971</v>
      </c>
    </row>
    <row r="153" spans="1:64" ht="15.95" customHeight="1">
      <c r="A153" s="68" t="s">
        <v>409</v>
      </c>
      <c r="B153" s="28" t="s">
        <v>213</v>
      </c>
      <c r="C153" s="42">
        <f>_xll.RssMarket("4417","高値")</f>
        <v>3260</v>
      </c>
      <c r="D153" s="41">
        <f t="shared" si="2"/>
        <v>0</v>
      </c>
      <c r="E153" s="37">
        <v>3260</v>
      </c>
      <c r="F153" s="37">
        <v>3140</v>
      </c>
      <c r="G153" s="32">
        <v>3135</v>
      </c>
      <c r="H153" s="32">
        <v>3100</v>
      </c>
      <c r="I153" s="32">
        <v>3090</v>
      </c>
      <c r="J153" s="32">
        <v>3220</v>
      </c>
      <c r="K153" s="32">
        <v>3170</v>
      </c>
      <c r="L153" s="32">
        <v>3205</v>
      </c>
      <c r="M153" s="32">
        <v>3095</v>
      </c>
      <c r="N153" s="32">
        <v>3420</v>
      </c>
      <c r="O153" s="32">
        <v>3380</v>
      </c>
      <c r="P153" s="32">
        <v>3575</v>
      </c>
      <c r="Q153" s="32">
        <v>3285</v>
      </c>
      <c r="R153" s="32">
        <v>3385</v>
      </c>
      <c r="S153" s="32">
        <v>3270</v>
      </c>
      <c r="T153" s="32">
        <v>3140</v>
      </c>
      <c r="U153" s="32">
        <v>2995</v>
      </c>
      <c r="V153" s="32">
        <v>2914</v>
      </c>
      <c r="W153" s="32">
        <v>2809</v>
      </c>
      <c r="X153" s="32">
        <v>2945</v>
      </c>
      <c r="Y153" s="32">
        <v>3040</v>
      </c>
      <c r="Z153" s="32">
        <v>3095</v>
      </c>
      <c r="AA153" s="32">
        <v>2920</v>
      </c>
      <c r="AB153" s="32">
        <v>2936</v>
      </c>
      <c r="AC153" s="32">
        <v>2870</v>
      </c>
      <c r="AD153" s="32">
        <v>2890</v>
      </c>
      <c r="AE153" s="32">
        <v>2527</v>
      </c>
      <c r="AF153" s="32">
        <v>2511</v>
      </c>
      <c r="AG153" s="32">
        <v>2529</v>
      </c>
      <c r="AH153" s="32">
        <v>2513</v>
      </c>
      <c r="AI153" s="32">
        <v>2501</v>
      </c>
      <c r="AJ153" s="32">
        <v>2528</v>
      </c>
      <c r="AK153" s="32">
        <v>2471</v>
      </c>
      <c r="AL153" s="32">
        <v>2528</v>
      </c>
      <c r="AM153" s="32">
        <v>2525</v>
      </c>
      <c r="AN153" s="32">
        <v>2525</v>
      </c>
      <c r="AO153" s="32">
        <v>2377</v>
      </c>
      <c r="AP153" s="32">
        <v>2340</v>
      </c>
      <c r="AQ153" s="32">
        <v>2395</v>
      </c>
      <c r="AR153" s="32">
        <v>2524</v>
      </c>
      <c r="AS153" s="32">
        <v>2589</v>
      </c>
      <c r="AT153" s="32">
        <v>2620</v>
      </c>
      <c r="AU153" s="32">
        <v>2578</v>
      </c>
      <c r="AV153" s="32">
        <v>2547</v>
      </c>
      <c r="AW153" s="32">
        <v>2530</v>
      </c>
      <c r="AX153" s="32">
        <v>2575</v>
      </c>
      <c r="AY153" s="32">
        <v>2554</v>
      </c>
      <c r="AZ153" s="32">
        <v>2365</v>
      </c>
      <c r="BA153" s="32">
        <v>2267</v>
      </c>
      <c r="BB153" s="32">
        <v>2386</v>
      </c>
      <c r="BC153" s="32">
        <v>2451</v>
      </c>
      <c r="BD153" s="32">
        <v>2446</v>
      </c>
      <c r="BE153" s="32">
        <v>2410</v>
      </c>
      <c r="BF153" s="32">
        <v>2373</v>
      </c>
      <c r="BG153" s="32">
        <v>2500</v>
      </c>
      <c r="BH153" s="32">
        <v>2505</v>
      </c>
      <c r="BI153" s="32">
        <v>2440</v>
      </c>
      <c r="BJ153" s="32">
        <v>2500</v>
      </c>
      <c r="BK153" s="32">
        <v>2437</v>
      </c>
      <c r="BL153" s="33">
        <v>2473</v>
      </c>
    </row>
    <row r="154" spans="1:64" ht="15.95" customHeight="1">
      <c r="A154" s="68" t="s">
        <v>410</v>
      </c>
      <c r="B154" s="28" t="s">
        <v>214</v>
      </c>
      <c r="C154" s="42">
        <f>_xll.RssMarket("6981","高値")</f>
        <v>11095</v>
      </c>
      <c r="D154" s="41">
        <f t="shared" si="2"/>
        <v>0</v>
      </c>
      <c r="E154" s="37">
        <v>11095</v>
      </c>
      <c r="F154" s="37">
        <v>10995</v>
      </c>
      <c r="G154" s="32">
        <v>10060</v>
      </c>
      <c r="H154" s="32">
        <v>9665</v>
      </c>
      <c r="I154" s="32">
        <v>9018</v>
      </c>
      <c r="J154" s="32">
        <v>9580</v>
      </c>
      <c r="K154" s="32">
        <v>9285</v>
      </c>
      <c r="L154" s="32">
        <v>10035</v>
      </c>
      <c r="M154" s="32">
        <v>10380</v>
      </c>
      <c r="N154" s="32">
        <v>10940</v>
      </c>
      <c r="O154" s="32">
        <v>11040</v>
      </c>
      <c r="P154" s="32">
        <v>10040</v>
      </c>
      <c r="Q154" s="32">
        <v>8899</v>
      </c>
      <c r="R154" s="32">
        <v>8383</v>
      </c>
      <c r="S154" s="32">
        <v>8413</v>
      </c>
      <c r="T154" s="32">
        <v>7226</v>
      </c>
      <c r="U154" s="32">
        <v>6788</v>
      </c>
      <c r="V154" s="32">
        <v>6200</v>
      </c>
      <c r="W154" s="32">
        <v>6323</v>
      </c>
      <c r="X154" s="32">
        <v>6292</v>
      </c>
      <c r="Y154" s="32">
        <v>6541</v>
      </c>
      <c r="Z154" s="32">
        <v>6508</v>
      </c>
      <c r="AA154" s="32">
        <v>6118</v>
      </c>
      <c r="AB154" s="32">
        <v>6311</v>
      </c>
      <c r="AC154" s="32">
        <v>6018</v>
      </c>
      <c r="AD154" s="32">
        <v>5910</v>
      </c>
      <c r="AE154" s="32">
        <v>5716</v>
      </c>
      <c r="AF154" s="32">
        <v>5253</v>
      </c>
      <c r="AG154" s="32">
        <v>5265</v>
      </c>
      <c r="AH154" s="32">
        <v>4995</v>
      </c>
      <c r="AI154" s="32">
        <v>5013</v>
      </c>
      <c r="AJ154" s="32">
        <v>5016</v>
      </c>
      <c r="AK154" s="32">
        <v>4867</v>
      </c>
      <c r="AL154" s="32">
        <v>4977</v>
      </c>
      <c r="AM154" s="32">
        <v>4852</v>
      </c>
      <c r="AN154" s="32">
        <v>4813</v>
      </c>
      <c r="AO154" s="32">
        <v>4796</v>
      </c>
      <c r="AP154" s="32">
        <v>4878</v>
      </c>
      <c r="AQ154" s="32">
        <v>4525</v>
      </c>
      <c r="AR154" s="32">
        <v>4353</v>
      </c>
      <c r="AS154" s="32">
        <v>4196</v>
      </c>
      <c r="AT154" s="32">
        <v>4165</v>
      </c>
      <c r="AU154" s="32">
        <v>3990</v>
      </c>
      <c r="AV154" s="32">
        <v>4037</v>
      </c>
      <c r="AW154" s="32">
        <v>3869</v>
      </c>
      <c r="AX154" s="32">
        <v>3913</v>
      </c>
      <c r="AY154" s="32">
        <v>3789</v>
      </c>
      <c r="AZ154" s="32">
        <v>3714</v>
      </c>
      <c r="BA154" s="32">
        <v>3674</v>
      </c>
      <c r="BB154" s="32">
        <v>3505</v>
      </c>
      <c r="BC154" s="32">
        <v>3534</v>
      </c>
      <c r="BD154" s="32">
        <v>3754</v>
      </c>
      <c r="BE154" s="32">
        <v>3782</v>
      </c>
      <c r="BF154" s="32">
        <v>3679</v>
      </c>
      <c r="BG154" s="32">
        <v>3639</v>
      </c>
      <c r="BH154" s="32">
        <v>3535</v>
      </c>
      <c r="BI154" s="32">
        <v>3782</v>
      </c>
      <c r="BJ154" s="32">
        <v>3907</v>
      </c>
      <c r="BK154" s="32">
        <v>3853</v>
      </c>
      <c r="BL154" s="33">
        <v>3664</v>
      </c>
    </row>
    <row r="155" spans="1:64" ht="15.95" customHeight="1">
      <c r="A155" s="68" t="s">
        <v>411</v>
      </c>
      <c r="B155" s="28" t="s">
        <v>215</v>
      </c>
      <c r="C155" s="42">
        <f>_xll.RssMarket("6754","高値")</f>
        <v>4123</v>
      </c>
      <c r="D155" s="41">
        <f t="shared" si="2"/>
        <v>0</v>
      </c>
      <c r="E155" s="37">
        <v>4123</v>
      </c>
      <c r="F155" s="37">
        <v>4156</v>
      </c>
      <c r="G155" s="32">
        <v>4073</v>
      </c>
      <c r="H155" s="32">
        <v>4030</v>
      </c>
      <c r="I155" s="32">
        <v>3879</v>
      </c>
      <c r="J155" s="32">
        <v>4151</v>
      </c>
      <c r="K155" s="32">
        <v>4350</v>
      </c>
      <c r="L155" s="32">
        <v>4730</v>
      </c>
      <c r="M155" s="32">
        <v>4732</v>
      </c>
      <c r="N155" s="32">
        <v>4855</v>
      </c>
      <c r="O155" s="32">
        <v>4710</v>
      </c>
      <c r="P155" s="32">
        <v>4658</v>
      </c>
      <c r="Q155" s="32">
        <v>4606</v>
      </c>
      <c r="R155" s="32">
        <v>4728</v>
      </c>
      <c r="S155" s="32">
        <v>4848</v>
      </c>
      <c r="T155" s="32">
        <v>4630</v>
      </c>
      <c r="U155" s="32">
        <v>4545</v>
      </c>
      <c r="V155" s="32">
        <v>4425</v>
      </c>
      <c r="W155" s="32">
        <v>4233</v>
      </c>
      <c r="X155" s="32">
        <v>4272</v>
      </c>
      <c r="Y155" s="32">
        <v>4386</v>
      </c>
      <c r="Z155" s="32">
        <v>4313</v>
      </c>
      <c r="AA155" s="32">
        <v>4209</v>
      </c>
      <c r="AB155" s="32">
        <v>4242</v>
      </c>
      <c r="AC155" s="32">
        <v>4328</v>
      </c>
      <c r="AD155" s="32">
        <v>4263</v>
      </c>
      <c r="AE155" s="32">
        <v>4137</v>
      </c>
      <c r="AF155" s="32">
        <v>3968</v>
      </c>
      <c r="AG155" s="32">
        <v>4229</v>
      </c>
      <c r="AH155" s="32">
        <v>4235</v>
      </c>
      <c r="AI155" s="32">
        <v>3806</v>
      </c>
      <c r="AJ155" s="32">
        <v>3634</v>
      </c>
      <c r="AK155" s="32">
        <v>3649</v>
      </c>
      <c r="AL155" s="32">
        <v>3646</v>
      </c>
      <c r="AM155" s="32">
        <v>3679</v>
      </c>
      <c r="AN155" s="32">
        <v>3514</v>
      </c>
      <c r="AO155" s="32">
        <v>3465</v>
      </c>
      <c r="AP155" s="32">
        <v>3453</v>
      </c>
      <c r="AQ155" s="32">
        <v>3530</v>
      </c>
      <c r="AR155" s="32">
        <v>3454</v>
      </c>
      <c r="AS155" s="32">
        <v>3478</v>
      </c>
      <c r="AT155" s="32">
        <v>3422</v>
      </c>
      <c r="AU155" s="32">
        <v>3305</v>
      </c>
      <c r="AV155" s="32">
        <v>3299</v>
      </c>
      <c r="AW155" s="32">
        <v>3059</v>
      </c>
      <c r="AX155" s="32">
        <v>3076</v>
      </c>
      <c r="AY155" s="32">
        <v>3002</v>
      </c>
      <c r="AZ155" s="32">
        <v>3010</v>
      </c>
      <c r="BA155" s="32">
        <v>2988.5</v>
      </c>
      <c r="BB155" s="32">
        <v>2815.5</v>
      </c>
      <c r="BC155" s="32">
        <v>2829</v>
      </c>
      <c r="BD155" s="32">
        <v>2847</v>
      </c>
      <c r="BE155" s="32">
        <v>3009</v>
      </c>
      <c r="BF155" s="32">
        <v>2988</v>
      </c>
      <c r="BG155" s="32">
        <v>2869</v>
      </c>
      <c r="BH155" s="32">
        <v>2696</v>
      </c>
      <c r="BI155" s="32">
        <v>2881</v>
      </c>
      <c r="BJ155" s="32">
        <v>2894.5</v>
      </c>
      <c r="BK155" s="32">
        <v>3027</v>
      </c>
      <c r="BL155" s="33">
        <v>2934.5</v>
      </c>
    </row>
    <row r="156" spans="1:64" ht="15.95" customHeight="1">
      <c r="A156" s="68" t="s">
        <v>412</v>
      </c>
      <c r="B156" s="28" t="s">
        <v>216</v>
      </c>
      <c r="C156" s="42">
        <f>_xll.RssMarket("4088","高値")</f>
        <v>2530</v>
      </c>
      <c r="D156" s="41">
        <f t="shared" si="2"/>
        <v>0</v>
      </c>
      <c r="E156" s="37">
        <v>2530</v>
      </c>
      <c r="F156" s="37">
        <v>2580</v>
      </c>
      <c r="G156" s="32">
        <v>2568</v>
      </c>
      <c r="H156" s="32">
        <v>2480</v>
      </c>
      <c r="I156" s="32">
        <v>2468</v>
      </c>
      <c r="J156" s="32">
        <v>2487</v>
      </c>
      <c r="K156" s="32">
        <v>2470</v>
      </c>
      <c r="L156" s="32">
        <v>2481</v>
      </c>
      <c r="M156" s="32">
        <v>2536</v>
      </c>
      <c r="N156" s="32">
        <v>2508</v>
      </c>
      <c r="O156" s="32">
        <v>2495</v>
      </c>
      <c r="P156" s="32">
        <v>2627</v>
      </c>
      <c r="Q156" s="32">
        <v>2630</v>
      </c>
      <c r="R156" s="32">
        <v>2674</v>
      </c>
      <c r="S156" s="32">
        <v>2663</v>
      </c>
      <c r="T156" s="32">
        <v>2648</v>
      </c>
      <c r="U156" s="32">
        <v>2589</v>
      </c>
      <c r="V156" s="32">
        <v>2678</v>
      </c>
      <c r="W156" s="32">
        <v>2554</v>
      </c>
      <c r="X156" s="32">
        <v>2331</v>
      </c>
      <c r="Y156" s="32">
        <v>2310</v>
      </c>
      <c r="Z156" s="32">
        <v>2192</v>
      </c>
      <c r="AA156" s="32">
        <v>2103</v>
      </c>
      <c r="AB156" s="32">
        <v>2078</v>
      </c>
      <c r="AC156" s="32">
        <v>2040</v>
      </c>
      <c r="AD156" s="32">
        <v>1948.5</v>
      </c>
      <c r="AE156" s="32">
        <v>1968.5</v>
      </c>
      <c r="AF156" s="32">
        <v>2045</v>
      </c>
      <c r="AG156" s="32">
        <v>2243.5</v>
      </c>
      <c r="AH156" s="32">
        <v>2261</v>
      </c>
      <c r="AI156" s="32">
        <v>2244.5</v>
      </c>
      <c r="AJ156" s="32">
        <v>2236.5</v>
      </c>
      <c r="AK156" s="32">
        <v>2215.5</v>
      </c>
      <c r="AL156" s="32">
        <v>2259</v>
      </c>
      <c r="AM156" s="32">
        <v>2282</v>
      </c>
      <c r="AN156" s="32">
        <v>2289.5</v>
      </c>
      <c r="AO156" s="32">
        <v>2302</v>
      </c>
      <c r="AP156" s="32">
        <v>2314</v>
      </c>
      <c r="AQ156" s="32">
        <v>2338</v>
      </c>
      <c r="AR156" s="32">
        <v>2271</v>
      </c>
      <c r="AS156" s="32">
        <v>2245</v>
      </c>
      <c r="AT156" s="32">
        <v>2265</v>
      </c>
      <c r="AU156" s="32">
        <v>2296</v>
      </c>
      <c r="AV156" s="32">
        <v>2326</v>
      </c>
      <c r="AW156" s="32">
        <v>2279.5</v>
      </c>
      <c r="AX156" s="32">
        <v>2229</v>
      </c>
      <c r="AY156" s="32">
        <v>2207</v>
      </c>
      <c r="AZ156" s="32">
        <v>2213.5</v>
      </c>
      <c r="BA156" s="32">
        <v>2202.5</v>
      </c>
      <c r="BB156" s="32">
        <v>2163</v>
      </c>
      <c r="BC156" s="32">
        <v>2142</v>
      </c>
      <c r="BD156" s="32">
        <v>2178</v>
      </c>
      <c r="BE156" s="32">
        <v>2171.5</v>
      </c>
      <c r="BF156" s="32">
        <v>2165.5</v>
      </c>
      <c r="BG156" s="32">
        <v>2098.5</v>
      </c>
      <c r="BH156" s="32">
        <v>2069.5</v>
      </c>
      <c r="BI156" s="32">
        <v>2143.5</v>
      </c>
      <c r="BJ156" s="32">
        <v>2182</v>
      </c>
      <c r="BK156" s="32">
        <v>2179.5</v>
      </c>
      <c r="BL156" s="33">
        <v>2149</v>
      </c>
    </row>
    <row r="157" spans="1:64" ht="15.95" customHeight="1">
      <c r="A157" s="68" t="s">
        <v>413</v>
      </c>
      <c r="B157" s="28" t="s">
        <v>217</v>
      </c>
      <c r="C157" s="42">
        <f>_xll.RssMarket("4091","高値")</f>
        <v>5615</v>
      </c>
      <c r="D157" s="41">
        <f t="shared" si="2"/>
        <v>0</v>
      </c>
      <c r="E157" s="37">
        <v>5615</v>
      </c>
      <c r="F157" s="37">
        <v>5611</v>
      </c>
      <c r="G157" s="32">
        <v>5757</v>
      </c>
      <c r="H157" s="32">
        <v>5435</v>
      </c>
      <c r="I157" s="32">
        <v>5299</v>
      </c>
      <c r="J157" s="32">
        <v>5388</v>
      </c>
      <c r="K157" s="32">
        <v>5607</v>
      </c>
      <c r="L157" s="32">
        <v>5674</v>
      </c>
      <c r="M157" s="32">
        <v>5684</v>
      </c>
      <c r="N157" s="32">
        <v>5771</v>
      </c>
      <c r="O157" s="32">
        <v>5824</v>
      </c>
      <c r="P157" s="32">
        <v>6406</v>
      </c>
      <c r="Q157" s="32">
        <v>6377</v>
      </c>
      <c r="R157" s="32">
        <v>6509</v>
      </c>
      <c r="S157" s="32">
        <v>6429</v>
      </c>
      <c r="T157" s="32">
        <v>6278</v>
      </c>
      <c r="U157" s="32">
        <v>5959</v>
      </c>
      <c r="V157" s="32">
        <v>5888</v>
      </c>
      <c r="W157" s="32">
        <v>6101</v>
      </c>
      <c r="X157" s="32">
        <v>6108</v>
      </c>
      <c r="Y157" s="32">
        <v>6231</v>
      </c>
      <c r="Z157" s="32">
        <v>6108</v>
      </c>
      <c r="AA157" s="32">
        <v>5925</v>
      </c>
      <c r="AB157" s="32">
        <v>6162</v>
      </c>
      <c r="AC157" s="32">
        <v>6225</v>
      </c>
      <c r="AD157" s="32">
        <v>5800</v>
      </c>
      <c r="AE157" s="32">
        <v>5782</v>
      </c>
      <c r="AF157" s="32">
        <v>5621</v>
      </c>
      <c r="AG157" s="32">
        <v>5675</v>
      </c>
      <c r="AH157" s="32">
        <v>5691</v>
      </c>
      <c r="AI157" s="32">
        <v>5711</v>
      </c>
      <c r="AJ157" s="32">
        <v>5753</v>
      </c>
      <c r="AK157" s="32">
        <v>5694</v>
      </c>
      <c r="AL157" s="32">
        <v>5740</v>
      </c>
      <c r="AM157" s="32">
        <v>5942</v>
      </c>
      <c r="AN157" s="32">
        <v>5875</v>
      </c>
      <c r="AO157" s="32">
        <v>6076</v>
      </c>
      <c r="AP157" s="32">
        <v>6044</v>
      </c>
      <c r="AQ157" s="32">
        <v>5891</v>
      </c>
      <c r="AR157" s="32">
        <v>6009</v>
      </c>
      <c r="AS157" s="32">
        <v>5907</v>
      </c>
      <c r="AT157" s="32">
        <v>5979</v>
      </c>
      <c r="AU157" s="32">
        <v>5942</v>
      </c>
      <c r="AV157" s="32">
        <v>5976</v>
      </c>
      <c r="AW157" s="32">
        <v>5860</v>
      </c>
      <c r="AX157" s="32">
        <v>5860</v>
      </c>
      <c r="AY157" s="32">
        <v>5890</v>
      </c>
      <c r="AZ157" s="32">
        <v>5884</v>
      </c>
      <c r="BA157" s="32">
        <v>5779</v>
      </c>
      <c r="BB157" s="32">
        <v>5793</v>
      </c>
      <c r="BC157" s="32">
        <v>5830</v>
      </c>
      <c r="BD157" s="32">
        <v>5926</v>
      </c>
      <c r="BE157" s="32">
        <v>6054</v>
      </c>
      <c r="BF157" s="32">
        <v>6078</v>
      </c>
      <c r="BG157" s="32">
        <v>5970</v>
      </c>
      <c r="BH157" s="32">
        <v>5890</v>
      </c>
      <c r="BI157" s="32">
        <v>6278</v>
      </c>
      <c r="BJ157" s="32">
        <v>6318</v>
      </c>
      <c r="BK157" s="32">
        <v>6330</v>
      </c>
      <c r="BL157" s="33">
        <v>6347</v>
      </c>
    </row>
    <row r="158" spans="1:64" ht="15.95" customHeight="1">
      <c r="A158" s="68" t="s">
        <v>414</v>
      </c>
      <c r="B158" s="28" t="s">
        <v>218</v>
      </c>
      <c r="C158" s="42">
        <f>_xll.RssMarket("6857","高値")</f>
        <v>31170</v>
      </c>
      <c r="D158" s="41">
        <f t="shared" si="2"/>
        <v>0</v>
      </c>
      <c r="E158" s="37">
        <v>31170</v>
      </c>
      <c r="F158" s="37">
        <v>31280</v>
      </c>
      <c r="G158" s="32">
        <v>29620</v>
      </c>
      <c r="H158" s="32">
        <v>27800</v>
      </c>
      <c r="I158" s="32">
        <v>25475</v>
      </c>
      <c r="J158" s="32">
        <v>26035</v>
      </c>
      <c r="K158" s="32">
        <v>25780</v>
      </c>
      <c r="L158" s="32">
        <v>27590</v>
      </c>
      <c r="M158" s="32">
        <v>28435</v>
      </c>
      <c r="N158" s="32">
        <v>27970</v>
      </c>
      <c r="O158" s="32">
        <v>26350</v>
      </c>
      <c r="P158" s="32">
        <v>26605</v>
      </c>
      <c r="Q158" s="32">
        <v>27195</v>
      </c>
      <c r="R158" s="32">
        <v>27780</v>
      </c>
      <c r="S158" s="32">
        <v>28515</v>
      </c>
      <c r="T158" s="32">
        <v>27120</v>
      </c>
      <c r="U158" s="32">
        <v>27020</v>
      </c>
      <c r="V158" s="32">
        <v>26145</v>
      </c>
      <c r="W158" s="32">
        <v>26420</v>
      </c>
      <c r="X158" s="32">
        <v>26580</v>
      </c>
      <c r="Y158" s="32">
        <v>29020</v>
      </c>
      <c r="Z158" s="32">
        <v>29940</v>
      </c>
      <c r="AA158" s="32">
        <v>28340</v>
      </c>
      <c r="AB158" s="32">
        <v>29405</v>
      </c>
      <c r="AC158" s="32">
        <v>30580</v>
      </c>
      <c r="AD158" s="32">
        <v>30070</v>
      </c>
      <c r="AE158" s="32">
        <v>30260</v>
      </c>
      <c r="AF158" s="32">
        <v>29160</v>
      </c>
      <c r="AG158" s="32">
        <v>29700</v>
      </c>
      <c r="AH158" s="32">
        <v>30710</v>
      </c>
      <c r="AI158" s="32">
        <v>32400</v>
      </c>
      <c r="AJ158" s="32">
        <v>29460</v>
      </c>
      <c r="AK158" s="32">
        <v>29070</v>
      </c>
      <c r="AL158" s="32">
        <v>28360</v>
      </c>
      <c r="AM158" s="32">
        <v>27895</v>
      </c>
      <c r="AN158" s="32">
        <v>28055</v>
      </c>
      <c r="AO158" s="32">
        <v>29050</v>
      </c>
      <c r="AP158" s="32">
        <v>28800</v>
      </c>
      <c r="AQ158" s="32">
        <v>28610</v>
      </c>
      <c r="AR158" s="32">
        <v>27130</v>
      </c>
      <c r="AS158" s="32">
        <v>25245</v>
      </c>
      <c r="AT158" s="32">
        <v>25800</v>
      </c>
      <c r="AU158" s="32">
        <v>25010</v>
      </c>
      <c r="AV158" s="32">
        <v>25220</v>
      </c>
      <c r="AW158" s="32">
        <v>22435</v>
      </c>
      <c r="AX158" s="32">
        <v>22385</v>
      </c>
      <c r="AY158" s="32">
        <v>21735</v>
      </c>
      <c r="AZ158" s="32">
        <v>22445</v>
      </c>
      <c r="BA158" s="32">
        <v>22550</v>
      </c>
      <c r="BB158" s="32">
        <v>20870</v>
      </c>
      <c r="BC158" s="32">
        <v>20960</v>
      </c>
      <c r="BD158" s="32">
        <v>22425</v>
      </c>
      <c r="BE158" s="32">
        <v>23385</v>
      </c>
      <c r="BF158" s="32">
        <v>23565</v>
      </c>
      <c r="BG158" s="32">
        <v>23315</v>
      </c>
      <c r="BH158" s="32">
        <v>22940</v>
      </c>
      <c r="BI158" s="32">
        <v>24195</v>
      </c>
      <c r="BJ158" s="32">
        <v>25130</v>
      </c>
      <c r="BK158" s="32">
        <v>24495</v>
      </c>
      <c r="BL158" s="33">
        <v>24140</v>
      </c>
    </row>
    <row r="159" spans="1:64" ht="15.95" customHeight="1">
      <c r="A159" s="68" t="s">
        <v>415</v>
      </c>
      <c r="B159" s="28" t="s">
        <v>219</v>
      </c>
      <c r="C159" s="42">
        <f>_xll.RssMarket("3891","高値")</f>
        <v>10110</v>
      </c>
      <c r="D159" s="41">
        <f t="shared" si="2"/>
        <v>0</v>
      </c>
      <c r="E159" s="37">
        <v>10110</v>
      </c>
      <c r="F159" s="37">
        <v>9140</v>
      </c>
      <c r="G159" s="32">
        <v>9040</v>
      </c>
      <c r="H159" s="32">
        <v>9650</v>
      </c>
      <c r="I159" s="32">
        <v>9140</v>
      </c>
      <c r="J159" s="32">
        <v>9750</v>
      </c>
      <c r="K159" s="32">
        <v>9490</v>
      </c>
      <c r="L159" s="32">
        <v>9180</v>
      </c>
      <c r="M159" s="32">
        <v>8640</v>
      </c>
      <c r="N159" s="32">
        <v>8620</v>
      </c>
      <c r="O159" s="32">
        <v>8250</v>
      </c>
      <c r="P159" s="32">
        <v>7650</v>
      </c>
      <c r="Q159" s="32">
        <v>7110</v>
      </c>
      <c r="R159" s="32">
        <v>7590</v>
      </c>
      <c r="S159" s="32">
        <v>7810</v>
      </c>
      <c r="T159" s="32">
        <v>7510</v>
      </c>
      <c r="U159" s="32">
        <v>7140</v>
      </c>
      <c r="V159" s="32">
        <v>6900</v>
      </c>
      <c r="W159" s="32">
        <v>6680</v>
      </c>
      <c r="X159" s="32">
        <v>6490</v>
      </c>
      <c r="Y159" s="32">
        <v>6540</v>
      </c>
      <c r="Z159" s="32">
        <v>6590</v>
      </c>
      <c r="AA159" s="32">
        <v>6550</v>
      </c>
      <c r="AB159" s="32">
        <v>6740</v>
      </c>
      <c r="AC159" s="32">
        <v>6660</v>
      </c>
      <c r="AD159" s="32">
        <v>6460</v>
      </c>
      <c r="AE159" s="32">
        <v>6600</v>
      </c>
      <c r="AF159" s="32">
        <v>6570</v>
      </c>
      <c r="AG159" s="32">
        <v>6150</v>
      </c>
      <c r="AH159" s="32">
        <v>5150</v>
      </c>
      <c r="AI159" s="32">
        <v>4555</v>
      </c>
      <c r="AJ159" s="32">
        <v>4645</v>
      </c>
      <c r="AK159" s="32">
        <v>4670</v>
      </c>
      <c r="AL159" s="32">
        <v>4465</v>
      </c>
      <c r="AM159" s="32">
        <v>4490</v>
      </c>
      <c r="AN159" s="32">
        <v>4645</v>
      </c>
      <c r="AO159" s="32">
        <v>4560</v>
      </c>
      <c r="AP159" s="32">
        <v>4340</v>
      </c>
      <c r="AQ159" s="32">
        <v>4165</v>
      </c>
      <c r="AR159" s="32">
        <v>4130</v>
      </c>
      <c r="AS159" s="32">
        <v>4105</v>
      </c>
      <c r="AT159" s="32">
        <v>4175</v>
      </c>
      <c r="AU159" s="32">
        <v>3865</v>
      </c>
      <c r="AV159" s="32">
        <v>3800</v>
      </c>
      <c r="AW159" s="32">
        <v>3735</v>
      </c>
      <c r="AX159" s="32">
        <v>3775</v>
      </c>
      <c r="AY159" s="32">
        <v>3715</v>
      </c>
      <c r="AZ159" s="32">
        <v>3520</v>
      </c>
      <c r="BA159" s="32">
        <v>3520</v>
      </c>
      <c r="BB159" s="32">
        <v>3730</v>
      </c>
      <c r="BC159" s="32">
        <v>3875</v>
      </c>
      <c r="BD159" s="32">
        <v>3860</v>
      </c>
      <c r="BE159" s="32">
        <v>3725</v>
      </c>
      <c r="BF159" s="32">
        <v>3555</v>
      </c>
      <c r="BG159" s="32">
        <v>3970</v>
      </c>
      <c r="BH159" s="32">
        <v>4105</v>
      </c>
      <c r="BI159" s="32">
        <v>4070</v>
      </c>
      <c r="BJ159" s="32">
        <v>4025</v>
      </c>
      <c r="BK159" s="32">
        <v>4040</v>
      </c>
      <c r="BL159" s="33">
        <v>4230</v>
      </c>
    </row>
    <row r="160" spans="1:64" ht="15.95" customHeight="1">
      <c r="A160" s="68" t="s">
        <v>416</v>
      </c>
      <c r="B160" s="28" t="s">
        <v>220</v>
      </c>
      <c r="C160" s="42">
        <f>_xll.RssMarket("4373","高値")</f>
        <v>974</v>
      </c>
      <c r="D160" s="41">
        <f t="shared" si="2"/>
        <v>0</v>
      </c>
      <c r="E160" s="37">
        <v>974</v>
      </c>
      <c r="F160" s="37">
        <v>962</v>
      </c>
      <c r="G160" s="32">
        <v>996</v>
      </c>
      <c r="H160" s="32">
        <v>1004</v>
      </c>
      <c r="I160" s="32">
        <v>1039</v>
      </c>
      <c r="J160" s="32">
        <v>1066</v>
      </c>
      <c r="K160" s="32">
        <v>1090</v>
      </c>
      <c r="L160" s="32">
        <v>1113</v>
      </c>
      <c r="M160" s="32">
        <v>1118</v>
      </c>
      <c r="N160" s="32">
        <v>1128</v>
      </c>
      <c r="O160" s="32">
        <v>1158</v>
      </c>
      <c r="P160" s="32">
        <v>1104</v>
      </c>
      <c r="Q160" s="32">
        <v>1056</v>
      </c>
      <c r="R160" s="32">
        <v>1042</v>
      </c>
      <c r="S160" s="32">
        <v>1044</v>
      </c>
      <c r="T160" s="32">
        <v>1046</v>
      </c>
      <c r="U160" s="32">
        <v>1030</v>
      </c>
      <c r="V160" s="32">
        <v>1027</v>
      </c>
      <c r="W160" s="32">
        <v>1070</v>
      </c>
      <c r="X160" s="32">
        <v>965</v>
      </c>
      <c r="Y160" s="32">
        <v>954</v>
      </c>
      <c r="Z160" s="32">
        <v>962</v>
      </c>
      <c r="AA160" s="32">
        <v>979</v>
      </c>
      <c r="AB160" s="32">
        <v>965</v>
      </c>
      <c r="AC160" s="32">
        <v>952</v>
      </c>
      <c r="AD160" s="32">
        <v>939</v>
      </c>
      <c r="AE160" s="32">
        <v>924</v>
      </c>
      <c r="AF160" s="32">
        <v>938</v>
      </c>
      <c r="AG160" s="32">
        <v>892</v>
      </c>
      <c r="AH160" s="32">
        <v>888</v>
      </c>
      <c r="AI160" s="32">
        <v>921</v>
      </c>
      <c r="AJ160" s="32">
        <v>926</v>
      </c>
      <c r="AK160" s="32">
        <v>953</v>
      </c>
      <c r="AL160" s="32">
        <v>967</v>
      </c>
      <c r="AM160" s="32">
        <v>959</v>
      </c>
      <c r="AN160" s="32">
        <v>952</v>
      </c>
      <c r="AO160" s="32">
        <v>949</v>
      </c>
      <c r="AP160" s="32">
        <v>936</v>
      </c>
      <c r="AQ160" s="32">
        <v>922</v>
      </c>
      <c r="AR160" s="32">
        <v>852</v>
      </c>
      <c r="AS160" s="32">
        <v>819</v>
      </c>
      <c r="AT160" s="32">
        <v>830</v>
      </c>
      <c r="AU160" s="32">
        <v>850</v>
      </c>
      <c r="AV160" s="32">
        <v>856</v>
      </c>
      <c r="AW160" s="32">
        <v>854</v>
      </c>
      <c r="AX160" s="32">
        <v>842</v>
      </c>
      <c r="AY160" s="32">
        <v>832</v>
      </c>
      <c r="AZ160" s="32">
        <v>826</v>
      </c>
      <c r="BA160" s="32">
        <v>824</v>
      </c>
      <c r="BB160" s="32">
        <v>811</v>
      </c>
      <c r="BC160" s="32">
        <v>778</v>
      </c>
      <c r="BD160" s="32">
        <v>819</v>
      </c>
      <c r="BE160" s="32">
        <v>811</v>
      </c>
      <c r="BF160" s="32">
        <v>823</v>
      </c>
      <c r="BG160" s="32">
        <v>822</v>
      </c>
      <c r="BH160" s="32">
        <v>812</v>
      </c>
      <c r="BI160" s="32">
        <v>839</v>
      </c>
      <c r="BJ160" s="32">
        <v>849</v>
      </c>
      <c r="BK160" s="32">
        <v>842</v>
      </c>
      <c r="BL160" s="33">
        <v>838</v>
      </c>
    </row>
    <row r="161" spans="1:64" ht="15.95" customHeight="1">
      <c r="A161" s="68" t="s">
        <v>417</v>
      </c>
      <c r="B161" s="28" t="s">
        <v>221</v>
      </c>
      <c r="C161" s="42">
        <f>_xll.RssMarket("8892","高値")</f>
        <v>1105</v>
      </c>
      <c r="D161" s="41">
        <f t="shared" si="2"/>
        <v>0</v>
      </c>
      <c r="E161" s="37">
        <v>1105</v>
      </c>
      <c r="F161" s="37">
        <v>1123</v>
      </c>
      <c r="G161" s="32">
        <v>1110</v>
      </c>
      <c r="H161" s="32">
        <v>1109</v>
      </c>
      <c r="I161" s="32">
        <v>1106</v>
      </c>
      <c r="J161" s="32">
        <v>1097</v>
      </c>
      <c r="K161" s="32">
        <v>1096</v>
      </c>
      <c r="L161" s="32">
        <v>1075</v>
      </c>
      <c r="M161" s="32">
        <v>1084</v>
      </c>
      <c r="N161" s="32">
        <v>1083</v>
      </c>
      <c r="O161" s="32">
        <v>1109</v>
      </c>
      <c r="P161" s="32">
        <v>1107</v>
      </c>
      <c r="Q161" s="32">
        <v>1109</v>
      </c>
      <c r="R161" s="32">
        <v>1122</v>
      </c>
      <c r="S161" s="32">
        <v>1138</v>
      </c>
      <c r="T161" s="32">
        <v>1142</v>
      </c>
      <c r="U161" s="32">
        <v>1145</v>
      </c>
      <c r="V161" s="32">
        <v>1159</v>
      </c>
      <c r="W161" s="32">
        <v>1125</v>
      </c>
      <c r="X161" s="32">
        <v>1154</v>
      </c>
      <c r="Y161" s="32">
        <v>1160</v>
      </c>
      <c r="Z161" s="32">
        <v>1176</v>
      </c>
      <c r="AA161" s="32">
        <v>1185</v>
      </c>
      <c r="AB161" s="32">
        <v>1168</v>
      </c>
      <c r="AC161" s="32">
        <v>1171</v>
      </c>
      <c r="AD161" s="32">
        <v>1178</v>
      </c>
      <c r="AE161" s="32">
        <v>1176</v>
      </c>
      <c r="AF161" s="32">
        <v>1183</v>
      </c>
      <c r="AG161" s="32">
        <v>1206</v>
      </c>
      <c r="AH161" s="32">
        <v>1223</v>
      </c>
      <c r="AI161" s="32">
        <v>1142</v>
      </c>
      <c r="AJ161" s="32">
        <v>1131</v>
      </c>
      <c r="AK161" s="32">
        <v>1141</v>
      </c>
      <c r="AL161" s="32">
        <v>1163</v>
      </c>
      <c r="AM161" s="32">
        <v>1148</v>
      </c>
      <c r="AN161" s="32">
        <v>1139</v>
      </c>
      <c r="AO161" s="32">
        <v>1152</v>
      </c>
      <c r="AP161" s="32">
        <v>1149</v>
      </c>
      <c r="AQ161" s="32">
        <v>1143</v>
      </c>
      <c r="AR161" s="32">
        <v>1136</v>
      </c>
      <c r="AS161" s="32">
        <v>1138</v>
      </c>
      <c r="AT161" s="32">
        <v>1139</v>
      </c>
      <c r="AU161" s="32">
        <v>1143</v>
      </c>
      <c r="AV161" s="32">
        <v>1128</v>
      </c>
      <c r="AW161" s="32">
        <v>1122</v>
      </c>
      <c r="AX161" s="32">
        <v>1120</v>
      </c>
      <c r="AY161" s="32">
        <v>1135</v>
      </c>
      <c r="AZ161" s="32">
        <v>1119</v>
      </c>
      <c r="BA161" s="32">
        <v>1093</v>
      </c>
      <c r="BB161" s="32">
        <v>1083</v>
      </c>
      <c r="BC161" s="32">
        <v>1144</v>
      </c>
      <c r="BD161" s="32">
        <v>1147</v>
      </c>
      <c r="BE161" s="32">
        <v>1138</v>
      </c>
      <c r="BF161" s="32">
        <v>1127</v>
      </c>
      <c r="BG161" s="32">
        <v>1119</v>
      </c>
      <c r="BH161" s="32">
        <v>1143</v>
      </c>
      <c r="BI161" s="32">
        <v>1136</v>
      </c>
      <c r="BJ161" s="32">
        <v>1124</v>
      </c>
      <c r="BK161" s="32">
        <v>1110</v>
      </c>
      <c r="BL161" s="33">
        <v>1120</v>
      </c>
    </row>
    <row r="162" spans="1:64" ht="15.95" customHeight="1">
      <c r="A162" s="68" t="s">
        <v>418</v>
      </c>
      <c r="B162" s="28" t="s">
        <v>222</v>
      </c>
      <c r="C162" s="42">
        <f>_xll.RssMarket("9687","高値")</f>
        <v>4350</v>
      </c>
      <c r="D162" s="41">
        <f t="shared" si="2"/>
        <v>0</v>
      </c>
      <c r="E162" s="37">
        <v>4350</v>
      </c>
      <c r="F162" s="37">
        <v>4335</v>
      </c>
      <c r="G162" s="32">
        <v>4350</v>
      </c>
      <c r="H162" s="32">
        <v>4345</v>
      </c>
      <c r="I162" s="32">
        <v>4340</v>
      </c>
      <c r="J162" s="32">
        <v>4330</v>
      </c>
      <c r="K162" s="32">
        <v>4345</v>
      </c>
      <c r="L162" s="32">
        <v>4335</v>
      </c>
      <c r="M162" s="32">
        <v>4350</v>
      </c>
      <c r="N162" s="32">
        <v>4335</v>
      </c>
      <c r="O162" s="32">
        <v>4350</v>
      </c>
      <c r="P162" s="32">
        <v>4370</v>
      </c>
      <c r="Q162" s="32">
        <v>4380</v>
      </c>
      <c r="R162" s="32">
        <v>4370</v>
      </c>
      <c r="S162" s="32">
        <v>4380</v>
      </c>
      <c r="T162" s="32">
        <v>4385</v>
      </c>
      <c r="U162" s="32">
        <v>4390</v>
      </c>
      <c r="V162" s="32">
        <v>4365</v>
      </c>
      <c r="W162" s="32">
        <v>4350</v>
      </c>
      <c r="X162" s="32">
        <v>4395</v>
      </c>
      <c r="Y162" s="32">
        <v>4380</v>
      </c>
      <c r="Z162" s="32">
        <v>4400</v>
      </c>
      <c r="AA162" s="32">
        <v>4420</v>
      </c>
      <c r="AB162" s="32">
        <v>4400</v>
      </c>
      <c r="AC162" s="32">
        <v>4440</v>
      </c>
      <c r="AD162" s="32">
        <v>4610</v>
      </c>
      <c r="AE162" s="32">
        <v>4415</v>
      </c>
      <c r="AF162" s="32">
        <v>4385</v>
      </c>
      <c r="AG162" s="32">
        <v>4350</v>
      </c>
      <c r="AH162" s="32">
        <v>4375</v>
      </c>
      <c r="AI162" s="32">
        <v>4375</v>
      </c>
      <c r="AJ162" s="32">
        <v>4385</v>
      </c>
      <c r="AK162" s="32">
        <v>4385</v>
      </c>
      <c r="AL162" s="32">
        <v>4445</v>
      </c>
      <c r="AM162" s="32">
        <v>4385</v>
      </c>
      <c r="AN162" s="32">
        <v>4375</v>
      </c>
      <c r="AO162" s="32">
        <v>4355</v>
      </c>
      <c r="AP162" s="32">
        <v>4390</v>
      </c>
      <c r="AQ162" s="32">
        <v>4435</v>
      </c>
      <c r="AR162" s="32">
        <v>4455</v>
      </c>
      <c r="AS162" s="32">
        <v>4455</v>
      </c>
      <c r="AT162" s="32">
        <v>4390</v>
      </c>
      <c r="AU162" s="32">
        <v>4390</v>
      </c>
      <c r="AV162" s="32">
        <v>4405</v>
      </c>
      <c r="AW162" s="32">
        <v>4405</v>
      </c>
      <c r="AX162" s="32">
        <v>4365</v>
      </c>
      <c r="AY162" s="32">
        <v>4410</v>
      </c>
      <c r="AZ162" s="32">
        <v>4340</v>
      </c>
      <c r="BA162" s="32">
        <v>4500</v>
      </c>
      <c r="BB162" s="32">
        <v>4515</v>
      </c>
      <c r="BC162" s="32">
        <v>4505</v>
      </c>
      <c r="BD162" s="32">
        <v>4470</v>
      </c>
      <c r="BE162" s="32">
        <v>4415</v>
      </c>
      <c r="BF162" s="32">
        <v>4450</v>
      </c>
      <c r="BG162" s="32">
        <v>4505</v>
      </c>
      <c r="BH162" s="32">
        <v>4570</v>
      </c>
      <c r="BI162" s="32">
        <v>4420</v>
      </c>
      <c r="BJ162" s="32">
        <v>4500</v>
      </c>
      <c r="BK162" s="32">
        <v>4440</v>
      </c>
      <c r="BL162" s="33">
        <v>4455</v>
      </c>
    </row>
    <row r="163" spans="1:64" ht="15.95" customHeight="1">
      <c r="A163" s="68" t="s">
        <v>419</v>
      </c>
      <c r="B163" s="28" t="s">
        <v>223</v>
      </c>
      <c r="C163" s="42">
        <f>_xll.RssMarket("1930","高値")</f>
        <v>1701</v>
      </c>
      <c r="D163" s="41">
        <f t="shared" si="2"/>
        <v>0</v>
      </c>
      <c r="E163" s="37">
        <v>1701</v>
      </c>
      <c r="F163" s="37">
        <v>1715</v>
      </c>
      <c r="G163" s="32">
        <v>1712</v>
      </c>
      <c r="H163" s="32">
        <v>1621</v>
      </c>
      <c r="I163" s="32">
        <v>1586</v>
      </c>
      <c r="J163" s="32">
        <v>1610</v>
      </c>
      <c r="K163" s="32">
        <v>1615</v>
      </c>
      <c r="L163" s="32">
        <v>1624</v>
      </c>
      <c r="M163" s="32">
        <v>1578</v>
      </c>
      <c r="N163" s="32">
        <v>1594</v>
      </c>
      <c r="O163" s="32">
        <v>1619</v>
      </c>
      <c r="P163" s="32">
        <v>1721</v>
      </c>
      <c r="Q163" s="32">
        <v>1709</v>
      </c>
      <c r="R163" s="32">
        <v>1740</v>
      </c>
      <c r="S163" s="32">
        <v>1683</v>
      </c>
      <c r="T163" s="32">
        <v>1608</v>
      </c>
      <c r="U163" s="32">
        <v>1630</v>
      </c>
      <c r="V163" s="32">
        <v>1645</v>
      </c>
      <c r="W163" s="32">
        <v>1658</v>
      </c>
      <c r="X163" s="32">
        <v>1651</v>
      </c>
      <c r="Y163" s="32">
        <v>1720</v>
      </c>
      <c r="Z163" s="32">
        <v>1750</v>
      </c>
      <c r="AA163" s="32">
        <v>1782</v>
      </c>
      <c r="AB163" s="32">
        <v>1777</v>
      </c>
      <c r="AC163" s="32">
        <v>1743</v>
      </c>
      <c r="AD163" s="32">
        <v>1684</v>
      </c>
      <c r="AE163" s="32">
        <v>1740</v>
      </c>
      <c r="AF163" s="32">
        <v>1744</v>
      </c>
      <c r="AG163" s="32">
        <v>1717</v>
      </c>
      <c r="AH163" s="32">
        <v>1510</v>
      </c>
      <c r="AI163" s="32">
        <v>1463</v>
      </c>
      <c r="AJ163" s="32">
        <v>1464</v>
      </c>
      <c r="AK163" s="32">
        <v>1447</v>
      </c>
      <c r="AL163" s="32">
        <v>1472</v>
      </c>
      <c r="AM163" s="32">
        <v>1486</v>
      </c>
      <c r="AN163" s="32">
        <v>1477</v>
      </c>
      <c r="AO163" s="32">
        <v>1479</v>
      </c>
      <c r="AP163" s="32">
        <v>1473</v>
      </c>
      <c r="AQ163" s="32">
        <v>1478</v>
      </c>
      <c r="AR163" s="32">
        <v>1456</v>
      </c>
      <c r="AS163" s="32">
        <v>1474</v>
      </c>
      <c r="AT163" s="32">
        <v>1504</v>
      </c>
      <c r="AU163" s="32">
        <v>1522</v>
      </c>
      <c r="AV163" s="32">
        <v>1522</v>
      </c>
      <c r="AW163" s="32">
        <v>1483</v>
      </c>
      <c r="AX163" s="32">
        <v>1466</v>
      </c>
      <c r="AY163" s="32">
        <v>1478</v>
      </c>
      <c r="AZ163" s="32">
        <v>1503</v>
      </c>
      <c r="BA163" s="32">
        <v>1479</v>
      </c>
      <c r="BB163" s="32">
        <v>1457</v>
      </c>
      <c r="BC163" s="32">
        <v>1448</v>
      </c>
      <c r="BD163" s="32">
        <v>1512</v>
      </c>
      <c r="BE163" s="32">
        <v>1527</v>
      </c>
      <c r="BF163" s="32">
        <v>1525</v>
      </c>
      <c r="BG163" s="32">
        <v>1506</v>
      </c>
      <c r="BH163" s="32">
        <v>1494</v>
      </c>
      <c r="BI163" s="32">
        <v>1596</v>
      </c>
      <c r="BJ163" s="32">
        <v>1621</v>
      </c>
      <c r="BK163" s="32">
        <v>1600</v>
      </c>
      <c r="BL163" s="33">
        <v>1599</v>
      </c>
    </row>
    <row r="164" spans="1:64" ht="15.95" customHeight="1">
      <c r="A164" s="68" t="s">
        <v>420</v>
      </c>
      <c r="B164" s="28" t="s">
        <v>224</v>
      </c>
      <c r="C164" s="42">
        <f>_xll.RssMarket("8704","高値")</f>
        <v>1175</v>
      </c>
      <c r="D164" s="41">
        <f t="shared" si="2"/>
        <v>0</v>
      </c>
      <c r="E164" s="37">
        <v>1175</v>
      </c>
      <c r="F164" s="37">
        <v>1166</v>
      </c>
      <c r="G164" s="32">
        <v>1191</v>
      </c>
      <c r="H164" s="32">
        <v>1158</v>
      </c>
      <c r="I164" s="32">
        <v>1111</v>
      </c>
      <c r="J164" s="32">
        <v>1140</v>
      </c>
      <c r="K164" s="32">
        <v>1137</v>
      </c>
      <c r="L164" s="32">
        <v>1147</v>
      </c>
      <c r="M164" s="32">
        <v>1162</v>
      </c>
      <c r="N164" s="32">
        <v>1210</v>
      </c>
      <c r="O164" s="32">
        <v>1200</v>
      </c>
      <c r="P164" s="32">
        <v>1206</v>
      </c>
      <c r="Q164" s="32">
        <v>1151</v>
      </c>
      <c r="R164" s="32">
        <v>1166</v>
      </c>
      <c r="S164" s="32">
        <v>1152</v>
      </c>
      <c r="T164" s="32">
        <v>1141</v>
      </c>
      <c r="U164" s="32">
        <v>1147</v>
      </c>
      <c r="V164" s="32">
        <v>1126</v>
      </c>
      <c r="W164" s="32">
        <v>1180</v>
      </c>
      <c r="X164" s="32">
        <v>1174</v>
      </c>
      <c r="Y164" s="32">
        <v>1205</v>
      </c>
      <c r="Z164" s="32">
        <v>1210</v>
      </c>
      <c r="AA164" s="32">
        <v>1222</v>
      </c>
      <c r="AB164" s="32">
        <v>1236</v>
      </c>
      <c r="AC164" s="32">
        <v>1243</v>
      </c>
      <c r="AD164" s="32">
        <v>1241</v>
      </c>
      <c r="AE164" s="32">
        <v>1200</v>
      </c>
      <c r="AF164" s="32">
        <v>1165</v>
      </c>
      <c r="AG164" s="32">
        <v>1078</v>
      </c>
      <c r="AH164" s="32">
        <v>1081</v>
      </c>
      <c r="AI164" s="32">
        <v>1035</v>
      </c>
      <c r="AJ164" s="32">
        <v>1042</v>
      </c>
      <c r="AK164" s="32">
        <v>1042</v>
      </c>
      <c r="AL164" s="32">
        <v>1063</v>
      </c>
      <c r="AM164" s="32">
        <v>1071</v>
      </c>
      <c r="AN164" s="32">
        <v>1059</v>
      </c>
      <c r="AO164" s="32">
        <v>1062</v>
      </c>
      <c r="AP164" s="32">
        <v>1065</v>
      </c>
      <c r="AQ164" s="32">
        <v>1057</v>
      </c>
      <c r="AR164" s="32">
        <v>1059</v>
      </c>
      <c r="AS164" s="32">
        <v>1047</v>
      </c>
      <c r="AT164" s="32">
        <v>1064</v>
      </c>
      <c r="AU164" s="32">
        <v>1078</v>
      </c>
      <c r="AV164" s="32">
        <v>1080</v>
      </c>
      <c r="AW164" s="32">
        <v>1056</v>
      </c>
      <c r="AX164" s="32">
        <v>1046</v>
      </c>
      <c r="AY164" s="32">
        <v>1055</v>
      </c>
      <c r="AZ164" s="32">
        <v>1059</v>
      </c>
      <c r="BA164" s="32">
        <v>1050</v>
      </c>
      <c r="BB164" s="32">
        <v>1040</v>
      </c>
      <c r="BC164" s="32">
        <v>1027</v>
      </c>
      <c r="BD164" s="32">
        <v>1059</v>
      </c>
      <c r="BE164" s="32">
        <v>1078</v>
      </c>
      <c r="BF164" s="32">
        <v>1074</v>
      </c>
      <c r="BG164" s="32">
        <v>1037</v>
      </c>
      <c r="BH164" s="32">
        <v>1017</v>
      </c>
      <c r="BI164" s="32">
        <v>1052</v>
      </c>
      <c r="BJ164" s="32">
        <v>1068</v>
      </c>
      <c r="BK164" s="32">
        <v>1049</v>
      </c>
      <c r="BL164" s="33">
        <v>1043</v>
      </c>
    </row>
    <row r="165" spans="1:64" ht="15.95" customHeight="1">
      <c r="A165" s="68" t="s">
        <v>421</v>
      </c>
      <c r="B165" s="28" t="s">
        <v>225</v>
      </c>
      <c r="C165" s="42">
        <f>_xll.RssMarket("4733","高値")</f>
        <v>5939</v>
      </c>
      <c r="D165" s="41">
        <f t="shared" si="2"/>
        <v>0</v>
      </c>
      <c r="E165" s="37">
        <v>5939</v>
      </c>
      <c r="F165" s="37">
        <v>5871</v>
      </c>
      <c r="G165" s="32">
        <v>5973</v>
      </c>
      <c r="H165" s="32">
        <v>5949</v>
      </c>
      <c r="I165" s="32">
        <v>5976</v>
      </c>
      <c r="J165" s="32">
        <v>5980</v>
      </c>
      <c r="K165" s="32">
        <v>6113</v>
      </c>
      <c r="L165" s="32">
        <v>6086</v>
      </c>
      <c r="M165" s="32">
        <v>6115</v>
      </c>
      <c r="N165" s="32">
        <v>6312</v>
      </c>
      <c r="O165" s="32">
        <v>6509</v>
      </c>
      <c r="P165" s="32">
        <v>6277</v>
      </c>
      <c r="Q165" s="32">
        <v>6180</v>
      </c>
      <c r="R165" s="32">
        <v>6173</v>
      </c>
      <c r="S165" s="32">
        <v>6091</v>
      </c>
      <c r="T165" s="32">
        <v>6147</v>
      </c>
      <c r="U165" s="32">
        <v>6163</v>
      </c>
      <c r="V165" s="32">
        <v>6241</v>
      </c>
      <c r="W165" s="32">
        <v>6249</v>
      </c>
      <c r="X165" s="32">
        <v>6183</v>
      </c>
      <c r="Y165" s="32">
        <v>6057</v>
      </c>
      <c r="Z165" s="32">
        <v>6142</v>
      </c>
      <c r="AA165" s="32">
        <v>6153</v>
      </c>
      <c r="AB165" s="32">
        <v>6123</v>
      </c>
      <c r="AC165" s="32">
        <v>6332</v>
      </c>
      <c r="AD165" s="32">
        <v>6344</v>
      </c>
      <c r="AE165" s="32">
        <v>6159</v>
      </c>
      <c r="AF165" s="32">
        <v>6191</v>
      </c>
      <c r="AG165" s="32">
        <v>6263</v>
      </c>
      <c r="AH165" s="32">
        <v>6353</v>
      </c>
      <c r="AI165" s="32">
        <v>6337</v>
      </c>
      <c r="AJ165" s="32">
        <v>6395</v>
      </c>
      <c r="AK165" s="32">
        <v>6636</v>
      </c>
      <c r="AL165" s="32">
        <v>6906</v>
      </c>
      <c r="AM165" s="32">
        <v>6775</v>
      </c>
      <c r="AN165" s="32">
        <v>6780</v>
      </c>
      <c r="AO165" s="32">
        <v>6731</v>
      </c>
      <c r="AP165" s="32">
        <v>6913</v>
      </c>
      <c r="AQ165" s="32">
        <v>6750</v>
      </c>
      <c r="AR165" s="32">
        <v>6664</v>
      </c>
      <c r="AS165" s="32">
        <v>6309</v>
      </c>
      <c r="AT165" s="32">
        <v>6293</v>
      </c>
      <c r="AU165" s="32">
        <v>6397</v>
      </c>
      <c r="AV165" s="32">
        <v>6526</v>
      </c>
      <c r="AW165" s="32">
        <v>6421</v>
      </c>
      <c r="AX165" s="32">
        <v>6381</v>
      </c>
      <c r="AY165" s="32">
        <v>6400</v>
      </c>
      <c r="AZ165" s="32">
        <v>6410</v>
      </c>
      <c r="BA165" s="32">
        <v>6383</v>
      </c>
      <c r="BB165" s="32">
        <v>6360</v>
      </c>
      <c r="BC165" s="32">
        <v>6164</v>
      </c>
      <c r="BD165" s="32">
        <v>6289</v>
      </c>
      <c r="BE165" s="32">
        <v>6218</v>
      </c>
      <c r="BF165" s="32">
        <v>6222</v>
      </c>
      <c r="BG165" s="32">
        <v>6261</v>
      </c>
      <c r="BH165" s="32">
        <v>6168</v>
      </c>
      <c r="BI165" s="32">
        <v>6259</v>
      </c>
      <c r="BJ165" s="32">
        <v>6287</v>
      </c>
      <c r="BK165" s="32">
        <v>6367</v>
      </c>
      <c r="BL165" s="33">
        <v>6408</v>
      </c>
    </row>
    <row r="166" spans="1:64" ht="15.95" customHeight="1">
      <c r="A166" s="68" t="s">
        <v>422</v>
      </c>
      <c r="B166" s="28" t="s">
        <v>226</v>
      </c>
      <c r="C166" s="42">
        <f>_xll.RssMarket("9733","高値")</f>
        <v>2238</v>
      </c>
      <c r="D166" s="41">
        <f t="shared" si="2"/>
        <v>0</v>
      </c>
      <c r="E166" s="37">
        <v>2238</v>
      </c>
      <c r="F166" s="37">
        <v>2235</v>
      </c>
      <c r="G166" s="32">
        <v>2260</v>
      </c>
      <c r="H166" s="32">
        <v>2238</v>
      </c>
      <c r="I166" s="32">
        <v>2246</v>
      </c>
      <c r="J166" s="32">
        <v>2251</v>
      </c>
      <c r="K166" s="32">
        <v>2217</v>
      </c>
      <c r="L166" s="32">
        <v>2223</v>
      </c>
      <c r="M166" s="32">
        <v>2211</v>
      </c>
      <c r="N166" s="32">
        <v>2220</v>
      </c>
      <c r="O166" s="32">
        <v>2240</v>
      </c>
      <c r="P166" s="32">
        <v>2303</v>
      </c>
      <c r="Q166" s="32">
        <v>2270</v>
      </c>
      <c r="R166" s="32">
        <v>2266</v>
      </c>
      <c r="S166" s="32">
        <v>2337</v>
      </c>
      <c r="T166" s="32">
        <v>2313</v>
      </c>
      <c r="U166" s="32">
        <v>2329</v>
      </c>
      <c r="V166" s="32">
        <v>2320</v>
      </c>
      <c r="W166" s="32">
        <v>2316</v>
      </c>
      <c r="X166" s="32">
        <v>2295</v>
      </c>
      <c r="Y166" s="32">
        <v>2284</v>
      </c>
      <c r="Z166" s="32">
        <v>2295</v>
      </c>
      <c r="AA166" s="32">
        <v>2300</v>
      </c>
      <c r="AB166" s="32">
        <v>2307</v>
      </c>
      <c r="AC166" s="32">
        <v>2302</v>
      </c>
      <c r="AD166" s="32">
        <v>2290</v>
      </c>
      <c r="AE166" s="32">
        <v>2348</v>
      </c>
      <c r="AF166" s="32">
        <v>2334</v>
      </c>
      <c r="AG166" s="32">
        <v>2340</v>
      </c>
      <c r="AH166" s="32">
        <v>2335</v>
      </c>
      <c r="AI166" s="32">
        <v>2318</v>
      </c>
      <c r="AJ166" s="32">
        <v>2354</v>
      </c>
      <c r="AK166" s="32">
        <v>2381</v>
      </c>
      <c r="AL166" s="32">
        <v>2381</v>
      </c>
      <c r="AM166" s="32">
        <v>2416</v>
      </c>
      <c r="AN166" s="32">
        <v>2469</v>
      </c>
      <c r="AO166" s="32">
        <v>2479</v>
      </c>
      <c r="AP166" s="32">
        <v>2465</v>
      </c>
      <c r="AQ166" s="32">
        <v>2491</v>
      </c>
      <c r="AR166" s="32">
        <v>2512</v>
      </c>
      <c r="AS166" s="32">
        <v>2545</v>
      </c>
      <c r="AT166" s="32">
        <v>2535</v>
      </c>
      <c r="AU166" s="32">
        <v>2584</v>
      </c>
      <c r="AV166" s="32">
        <v>2562</v>
      </c>
      <c r="AW166" s="32">
        <v>2532</v>
      </c>
      <c r="AX166" s="32">
        <v>2543</v>
      </c>
      <c r="AY166" s="32">
        <v>2474</v>
      </c>
      <c r="AZ166" s="32">
        <v>2478</v>
      </c>
      <c r="BA166" s="32">
        <v>2473</v>
      </c>
      <c r="BB166" s="32">
        <v>2561</v>
      </c>
      <c r="BC166" s="32">
        <v>2611</v>
      </c>
      <c r="BD166" s="32">
        <v>2877</v>
      </c>
      <c r="BE166" s="32">
        <v>2867</v>
      </c>
      <c r="BF166" s="32">
        <v>2837</v>
      </c>
      <c r="BG166" s="32">
        <v>2763</v>
      </c>
      <c r="BH166" s="32">
        <v>2750</v>
      </c>
      <c r="BI166" s="32">
        <v>2805</v>
      </c>
      <c r="BJ166" s="32">
        <v>2797</v>
      </c>
      <c r="BK166" s="32">
        <v>2775</v>
      </c>
      <c r="BL166" s="33">
        <v>2789</v>
      </c>
    </row>
    <row r="167" spans="1:64" ht="15.95" customHeight="1">
      <c r="A167" s="68" t="s">
        <v>423</v>
      </c>
      <c r="B167" s="28" t="s">
        <v>227</v>
      </c>
      <c r="C167" s="42">
        <f>_xll.RssMarket("9551","高値")</f>
        <v>3435</v>
      </c>
      <c r="D167" s="41">
        <f t="shared" si="2"/>
        <v>0</v>
      </c>
      <c r="E167" s="37">
        <v>3435</v>
      </c>
      <c r="F167" s="37">
        <v>3380</v>
      </c>
      <c r="G167" s="32">
        <v>3330</v>
      </c>
      <c r="H167" s="32">
        <v>3185</v>
      </c>
      <c r="I167" s="32">
        <v>3125</v>
      </c>
      <c r="J167" s="32">
        <v>3235</v>
      </c>
      <c r="K167" s="32">
        <v>3255</v>
      </c>
      <c r="L167" s="32">
        <v>3320</v>
      </c>
      <c r="M167" s="32">
        <v>3300</v>
      </c>
      <c r="N167" s="32">
        <v>3325</v>
      </c>
      <c r="O167" s="32">
        <v>3320</v>
      </c>
      <c r="P167" s="32">
        <v>3675</v>
      </c>
      <c r="Q167" s="32">
        <v>3275</v>
      </c>
      <c r="R167" s="32">
        <v>3345</v>
      </c>
      <c r="S167" s="32">
        <v>3350</v>
      </c>
      <c r="T167" s="32">
        <v>3310</v>
      </c>
      <c r="U167" s="32">
        <v>3305</v>
      </c>
      <c r="V167" s="32">
        <v>3270</v>
      </c>
      <c r="W167" s="32">
        <v>3410</v>
      </c>
      <c r="X167" s="32">
        <v>3490</v>
      </c>
      <c r="Y167" s="32">
        <v>3545</v>
      </c>
      <c r="Z167" s="32">
        <v>3455</v>
      </c>
      <c r="AA167" s="32">
        <v>3475</v>
      </c>
      <c r="AB167" s="32">
        <v>3420</v>
      </c>
      <c r="AC167" s="32">
        <v>3465</v>
      </c>
      <c r="AD167" s="32">
        <v>3470</v>
      </c>
      <c r="AE167" s="32">
        <v>3480</v>
      </c>
      <c r="AF167" s="32">
        <v>3440</v>
      </c>
      <c r="AG167" s="32">
        <v>3435</v>
      </c>
      <c r="AH167" s="32">
        <v>3420</v>
      </c>
      <c r="AI167" s="32">
        <v>3410</v>
      </c>
      <c r="AJ167" s="32">
        <v>3695</v>
      </c>
      <c r="AK167" s="32">
        <v>3645</v>
      </c>
      <c r="AL167" s="32">
        <v>3690</v>
      </c>
      <c r="AM167" s="32">
        <v>3705</v>
      </c>
      <c r="AN167" s="32">
        <v>3735</v>
      </c>
      <c r="AO167" s="32">
        <v>3730</v>
      </c>
      <c r="AP167" s="32">
        <v>3715</v>
      </c>
      <c r="AQ167" s="32">
        <v>3755</v>
      </c>
      <c r="AR167" s="32">
        <v>3730</v>
      </c>
      <c r="AS167" s="32">
        <v>3705</v>
      </c>
      <c r="AT167" s="32">
        <v>3775</v>
      </c>
      <c r="AU167" s="32">
        <v>3750</v>
      </c>
      <c r="AV167" s="32">
        <v>3740</v>
      </c>
      <c r="AW167" s="32">
        <v>3610</v>
      </c>
      <c r="AX167" s="32">
        <v>3600</v>
      </c>
      <c r="AY167" s="32">
        <v>3585</v>
      </c>
      <c r="AZ167" s="32">
        <v>3635</v>
      </c>
      <c r="BA167" s="32">
        <v>3640</v>
      </c>
      <c r="BB167" s="32">
        <v>3450</v>
      </c>
      <c r="BC167" s="32">
        <v>3435</v>
      </c>
      <c r="BD167" s="32">
        <v>3555</v>
      </c>
      <c r="BE167" s="32">
        <v>3580</v>
      </c>
      <c r="BF167" s="32">
        <v>3580</v>
      </c>
      <c r="BG167" s="32">
        <v>3470</v>
      </c>
      <c r="BH167" s="32">
        <v>3435</v>
      </c>
      <c r="BI167" s="32">
        <v>3685</v>
      </c>
      <c r="BJ167" s="32">
        <v>3785</v>
      </c>
      <c r="BK167" s="32">
        <v>3740</v>
      </c>
      <c r="BL167" s="33">
        <v>3720</v>
      </c>
    </row>
    <row r="168" spans="1:64" ht="15.95" customHeight="1">
      <c r="A168" s="68" t="s">
        <v>424</v>
      </c>
      <c r="B168" s="28" t="s">
        <v>228</v>
      </c>
      <c r="C168" s="42">
        <f>_xll.RssMarket("2359","高値")</f>
        <v>2030</v>
      </c>
      <c r="D168" s="41">
        <f t="shared" si="2"/>
        <v>0</v>
      </c>
      <c r="E168" s="37">
        <v>2030</v>
      </c>
      <c r="F168" s="37">
        <v>2011</v>
      </c>
      <c r="G168" s="32">
        <v>2025</v>
      </c>
      <c r="H168" s="32">
        <v>2009</v>
      </c>
      <c r="I168" s="32">
        <v>2027</v>
      </c>
      <c r="J168" s="32">
        <v>2039</v>
      </c>
      <c r="K168" s="32">
        <v>2069</v>
      </c>
      <c r="L168" s="32">
        <v>2104</v>
      </c>
      <c r="M168" s="32">
        <v>2098</v>
      </c>
      <c r="N168" s="32">
        <v>2053</v>
      </c>
      <c r="O168" s="32">
        <v>2043</v>
      </c>
      <c r="P168" s="32">
        <v>2085</v>
      </c>
      <c r="Q168" s="32">
        <v>2060</v>
      </c>
      <c r="R168" s="32">
        <v>2120</v>
      </c>
      <c r="S168" s="32">
        <v>2149</v>
      </c>
      <c r="T168" s="32">
        <v>2125</v>
      </c>
      <c r="U168" s="32">
        <v>2136</v>
      </c>
      <c r="V168" s="32">
        <v>2100</v>
      </c>
      <c r="W168" s="32">
        <v>2099</v>
      </c>
      <c r="X168" s="32">
        <v>2062</v>
      </c>
      <c r="Y168" s="32">
        <v>2064</v>
      </c>
      <c r="Z168" s="32">
        <v>2069</v>
      </c>
      <c r="AA168" s="32">
        <v>2052</v>
      </c>
      <c r="AB168" s="32">
        <v>2023</v>
      </c>
      <c r="AC168" s="32">
        <v>2028</v>
      </c>
      <c r="AD168" s="32">
        <v>2037</v>
      </c>
      <c r="AE168" s="32">
        <v>2045</v>
      </c>
      <c r="AF168" s="32">
        <v>2075</v>
      </c>
      <c r="AG168" s="32">
        <v>2079</v>
      </c>
      <c r="AH168" s="32">
        <v>2230</v>
      </c>
      <c r="AI168" s="32">
        <v>2246</v>
      </c>
      <c r="AJ168" s="32">
        <v>2167</v>
      </c>
      <c r="AK168" s="32">
        <v>2200</v>
      </c>
      <c r="AL168" s="32">
        <v>2253</v>
      </c>
      <c r="AM168" s="32">
        <v>2257</v>
      </c>
      <c r="AN168" s="32">
        <v>2260</v>
      </c>
      <c r="AO168" s="32">
        <v>2270</v>
      </c>
      <c r="AP168" s="32">
        <v>2249</v>
      </c>
      <c r="AQ168" s="32">
        <v>2267</v>
      </c>
      <c r="AR168" s="32">
        <v>2260</v>
      </c>
      <c r="AS168" s="32">
        <v>2250</v>
      </c>
      <c r="AT168" s="32">
        <v>2282</v>
      </c>
      <c r="AU168" s="32">
        <v>2312</v>
      </c>
      <c r="AV168" s="32">
        <v>2330</v>
      </c>
      <c r="AW168" s="32">
        <v>2298</v>
      </c>
      <c r="AX168" s="32">
        <v>2289</v>
      </c>
      <c r="AY168" s="32">
        <v>2296</v>
      </c>
      <c r="AZ168" s="32">
        <v>2292</v>
      </c>
      <c r="BA168" s="32">
        <v>2280</v>
      </c>
      <c r="BB168" s="32">
        <v>2263</v>
      </c>
      <c r="BC168" s="32">
        <v>2230</v>
      </c>
      <c r="BD168" s="32">
        <v>2323</v>
      </c>
      <c r="BE168" s="32">
        <v>2318</v>
      </c>
      <c r="BF168" s="32">
        <v>2298</v>
      </c>
      <c r="BG168" s="32">
        <v>2182</v>
      </c>
      <c r="BH168" s="32">
        <v>2172</v>
      </c>
      <c r="BI168" s="32">
        <v>2213</v>
      </c>
      <c r="BJ168" s="32">
        <v>2233</v>
      </c>
      <c r="BK168" s="32">
        <v>2205</v>
      </c>
      <c r="BL168" s="33">
        <v>2201</v>
      </c>
    </row>
    <row r="169" spans="1:64" ht="15.95" customHeight="1">
      <c r="A169" s="68" t="s">
        <v>425</v>
      </c>
      <c r="B169" s="28" t="s">
        <v>229</v>
      </c>
      <c r="C169" s="42">
        <f>_xll.RssMarket("8103","高値")</f>
        <v>886</v>
      </c>
      <c r="D169" s="41">
        <f t="shared" si="2"/>
        <v>0</v>
      </c>
      <c r="E169" s="37">
        <v>886</v>
      </c>
      <c r="F169" s="37">
        <v>880</v>
      </c>
      <c r="G169" s="32">
        <v>888</v>
      </c>
      <c r="H169" s="32">
        <v>871</v>
      </c>
      <c r="I169" s="32">
        <v>867</v>
      </c>
      <c r="J169" s="32">
        <v>880</v>
      </c>
      <c r="K169" s="32">
        <v>888</v>
      </c>
      <c r="L169" s="32">
        <v>892</v>
      </c>
      <c r="M169" s="32">
        <v>888</v>
      </c>
      <c r="N169" s="32">
        <v>893</v>
      </c>
      <c r="O169" s="32">
        <v>881</v>
      </c>
      <c r="P169" s="32">
        <v>896</v>
      </c>
      <c r="Q169" s="32">
        <v>893</v>
      </c>
      <c r="R169" s="32">
        <v>903</v>
      </c>
      <c r="S169" s="32">
        <v>917</v>
      </c>
      <c r="T169" s="32">
        <v>910</v>
      </c>
      <c r="U169" s="32">
        <v>901</v>
      </c>
      <c r="V169" s="32">
        <v>908</v>
      </c>
      <c r="W169" s="32">
        <v>913</v>
      </c>
      <c r="X169" s="32">
        <v>903</v>
      </c>
      <c r="Y169" s="32">
        <v>914</v>
      </c>
      <c r="Z169" s="32">
        <v>915</v>
      </c>
      <c r="AA169" s="32">
        <v>905</v>
      </c>
      <c r="AB169" s="32">
        <v>896</v>
      </c>
      <c r="AC169" s="32">
        <v>904</v>
      </c>
      <c r="AD169" s="32">
        <v>910</v>
      </c>
      <c r="AE169" s="32">
        <v>867</v>
      </c>
      <c r="AF169" s="32">
        <v>846</v>
      </c>
      <c r="AG169" s="32">
        <v>773</v>
      </c>
      <c r="AH169" s="32">
        <v>770</v>
      </c>
      <c r="AI169" s="32">
        <v>773</v>
      </c>
      <c r="AJ169" s="32">
        <v>772</v>
      </c>
      <c r="AK169" s="32">
        <v>780</v>
      </c>
      <c r="AL169" s="32">
        <v>782</v>
      </c>
      <c r="AM169" s="32">
        <v>787</v>
      </c>
      <c r="AN169" s="32">
        <v>787</v>
      </c>
      <c r="AO169" s="32">
        <v>784</v>
      </c>
      <c r="AP169" s="32">
        <v>789</v>
      </c>
      <c r="AQ169" s="32">
        <v>792</v>
      </c>
      <c r="AR169" s="32">
        <v>801</v>
      </c>
      <c r="AS169" s="32">
        <v>810</v>
      </c>
      <c r="AT169" s="32">
        <v>811</v>
      </c>
      <c r="AU169" s="32">
        <v>808</v>
      </c>
      <c r="AV169" s="32">
        <v>799</v>
      </c>
      <c r="AW169" s="32">
        <v>793</v>
      </c>
      <c r="AX169" s="32">
        <v>796</v>
      </c>
      <c r="AY169" s="32">
        <v>809</v>
      </c>
      <c r="AZ169" s="32">
        <v>804</v>
      </c>
      <c r="BA169" s="32">
        <v>794</v>
      </c>
      <c r="BB169" s="32">
        <v>786</v>
      </c>
      <c r="BC169" s="32">
        <v>832</v>
      </c>
      <c r="BD169" s="32">
        <v>830</v>
      </c>
      <c r="BE169" s="32">
        <v>832</v>
      </c>
      <c r="BF169" s="32">
        <v>822</v>
      </c>
      <c r="BG169" s="32">
        <v>809</v>
      </c>
      <c r="BH169" s="32">
        <v>830</v>
      </c>
      <c r="BI169" s="32">
        <v>840</v>
      </c>
      <c r="BJ169" s="32">
        <v>828</v>
      </c>
      <c r="BK169" s="32">
        <v>816</v>
      </c>
      <c r="BL169" s="33">
        <v>823</v>
      </c>
    </row>
    <row r="170" spans="1:64" ht="15.95" customHeight="1">
      <c r="A170" s="68" t="s">
        <v>426</v>
      </c>
      <c r="B170" s="28" t="s">
        <v>230</v>
      </c>
      <c r="C170" s="42">
        <f>_xll.RssMarket("4709","高値")</f>
        <v>1134</v>
      </c>
      <c r="D170" s="41">
        <f t="shared" si="2"/>
        <v>0</v>
      </c>
      <c r="E170" s="37">
        <v>1134</v>
      </c>
      <c r="F170" s="37">
        <v>1110</v>
      </c>
      <c r="G170" s="32">
        <v>1082</v>
      </c>
      <c r="H170" s="32">
        <v>1063</v>
      </c>
      <c r="I170" s="32">
        <v>1098</v>
      </c>
      <c r="J170" s="32">
        <v>1089</v>
      </c>
      <c r="K170" s="32">
        <v>1024</v>
      </c>
      <c r="L170" s="32">
        <v>1012</v>
      </c>
      <c r="M170" s="32">
        <v>1000</v>
      </c>
      <c r="N170" s="32">
        <v>1024</v>
      </c>
      <c r="O170" s="32">
        <v>1032</v>
      </c>
      <c r="P170" s="32">
        <v>1053</v>
      </c>
      <c r="Q170" s="32">
        <v>1028</v>
      </c>
      <c r="R170" s="32">
        <v>1015</v>
      </c>
      <c r="S170" s="32">
        <v>1049</v>
      </c>
      <c r="T170" s="32">
        <v>1046</v>
      </c>
      <c r="U170" s="32">
        <v>1058</v>
      </c>
      <c r="V170" s="32">
        <v>1055</v>
      </c>
      <c r="W170" s="32">
        <v>1053</v>
      </c>
      <c r="X170" s="32">
        <v>1038</v>
      </c>
      <c r="Y170" s="32">
        <v>1035</v>
      </c>
      <c r="Z170" s="32">
        <v>1067</v>
      </c>
      <c r="AA170" s="32">
        <v>1076</v>
      </c>
      <c r="AB170" s="32">
        <v>1074</v>
      </c>
      <c r="AC170" s="32">
        <v>1035</v>
      </c>
      <c r="AD170" s="32">
        <v>1055</v>
      </c>
      <c r="AE170" s="32">
        <v>1069</v>
      </c>
      <c r="AF170" s="32">
        <v>1015</v>
      </c>
      <c r="AG170" s="32">
        <v>902</v>
      </c>
      <c r="AH170" s="32">
        <v>902</v>
      </c>
      <c r="AI170" s="32">
        <v>896</v>
      </c>
      <c r="AJ170" s="32">
        <v>905</v>
      </c>
      <c r="AK170" s="32">
        <v>921</v>
      </c>
      <c r="AL170" s="32">
        <v>930</v>
      </c>
      <c r="AM170" s="32">
        <v>949</v>
      </c>
      <c r="AN170" s="32">
        <v>943</v>
      </c>
      <c r="AO170" s="32">
        <v>946</v>
      </c>
      <c r="AP170" s="32">
        <v>933</v>
      </c>
      <c r="AQ170" s="32">
        <v>930</v>
      </c>
      <c r="AR170" s="32">
        <v>925</v>
      </c>
      <c r="AS170" s="32">
        <v>939</v>
      </c>
      <c r="AT170" s="32">
        <v>956</v>
      </c>
      <c r="AU170" s="32">
        <v>969</v>
      </c>
      <c r="AV170" s="32">
        <v>959</v>
      </c>
      <c r="AW170" s="32">
        <v>953</v>
      </c>
      <c r="AX170" s="32">
        <v>952</v>
      </c>
      <c r="AY170" s="32">
        <v>968</v>
      </c>
      <c r="AZ170" s="32">
        <v>958</v>
      </c>
      <c r="BA170" s="32">
        <v>943</v>
      </c>
      <c r="BB170" s="32">
        <v>945</v>
      </c>
      <c r="BC170" s="32">
        <v>963</v>
      </c>
      <c r="BD170" s="32">
        <v>960</v>
      </c>
      <c r="BE170" s="32">
        <v>953.5</v>
      </c>
      <c r="BF170" s="32">
        <v>940</v>
      </c>
      <c r="BG170" s="32">
        <v>940</v>
      </c>
      <c r="BH170" s="32">
        <v>959</v>
      </c>
      <c r="BI170" s="32">
        <v>965.5</v>
      </c>
      <c r="BJ170" s="32">
        <v>966</v>
      </c>
      <c r="BK170" s="32">
        <v>962.5</v>
      </c>
      <c r="BL170" s="33">
        <v>963</v>
      </c>
    </row>
    <row r="171" spans="1:64" ht="15.95" customHeight="1">
      <c r="A171" s="68" t="s">
        <v>427</v>
      </c>
      <c r="B171" s="28" t="s">
        <v>231</v>
      </c>
      <c r="C171" s="42">
        <f>_xll.RssMarket("7981","高値")</f>
        <v>3020</v>
      </c>
      <c r="D171" s="41">
        <f t="shared" si="2"/>
        <v>0</v>
      </c>
      <c r="E171" s="37">
        <v>3020</v>
      </c>
      <c r="F171" s="37">
        <v>3060</v>
      </c>
      <c r="G171" s="32">
        <v>3015</v>
      </c>
      <c r="H171" s="32">
        <v>2961</v>
      </c>
      <c r="I171" s="32">
        <v>3000</v>
      </c>
      <c r="J171" s="32">
        <v>2960</v>
      </c>
      <c r="K171" s="32">
        <v>2981</v>
      </c>
      <c r="L171" s="32">
        <v>2944</v>
      </c>
      <c r="M171" s="32">
        <v>2975</v>
      </c>
      <c r="N171" s="32">
        <v>2941</v>
      </c>
      <c r="O171" s="32">
        <v>3030</v>
      </c>
      <c r="P171" s="32">
        <v>2981</v>
      </c>
      <c r="Q171" s="32">
        <v>2989</v>
      </c>
      <c r="R171" s="32">
        <v>3055</v>
      </c>
      <c r="S171" s="32">
        <v>2925</v>
      </c>
      <c r="T171" s="32">
        <v>2953</v>
      </c>
      <c r="U171" s="32">
        <v>2945</v>
      </c>
      <c r="V171" s="32">
        <v>2969</v>
      </c>
      <c r="W171" s="32">
        <v>3000</v>
      </c>
      <c r="X171" s="32">
        <v>3030</v>
      </c>
      <c r="Y171" s="32">
        <v>3035</v>
      </c>
      <c r="Z171" s="32">
        <v>3045</v>
      </c>
      <c r="AA171" s="32">
        <v>3130</v>
      </c>
      <c r="AB171" s="32">
        <v>3100</v>
      </c>
      <c r="AC171" s="32">
        <v>3200</v>
      </c>
      <c r="AD171" s="32">
        <v>3265</v>
      </c>
      <c r="AE171" s="32">
        <v>3135</v>
      </c>
      <c r="AF171" s="32">
        <v>3180</v>
      </c>
      <c r="AG171" s="32">
        <v>2829</v>
      </c>
      <c r="AH171" s="32">
        <v>2747</v>
      </c>
      <c r="AI171" s="32">
        <v>2668</v>
      </c>
      <c r="AJ171" s="32">
        <v>2668</v>
      </c>
      <c r="AK171" s="32">
        <v>2682</v>
      </c>
      <c r="AL171" s="32">
        <v>2714</v>
      </c>
      <c r="AM171" s="32">
        <v>2749</v>
      </c>
      <c r="AN171" s="32">
        <v>2783</v>
      </c>
      <c r="AO171" s="32">
        <v>2782</v>
      </c>
      <c r="AP171" s="32">
        <v>2738</v>
      </c>
      <c r="AQ171" s="32">
        <v>2775</v>
      </c>
      <c r="AR171" s="32">
        <v>2922</v>
      </c>
      <c r="AS171" s="32">
        <v>3000</v>
      </c>
      <c r="AT171" s="32">
        <v>2979</v>
      </c>
      <c r="AU171" s="32">
        <v>2928</v>
      </c>
      <c r="AV171" s="32">
        <v>2853</v>
      </c>
      <c r="AW171" s="32">
        <v>2822</v>
      </c>
      <c r="AX171" s="32">
        <v>2803</v>
      </c>
      <c r="AY171" s="32">
        <v>2850</v>
      </c>
      <c r="AZ171" s="32">
        <v>2833</v>
      </c>
      <c r="BA171" s="32">
        <v>2777</v>
      </c>
      <c r="BB171" s="32">
        <v>2762</v>
      </c>
      <c r="BC171" s="32">
        <v>2870</v>
      </c>
      <c r="BD171" s="32">
        <v>2869</v>
      </c>
      <c r="BE171" s="32">
        <v>2875</v>
      </c>
      <c r="BF171" s="32">
        <v>2807</v>
      </c>
      <c r="BG171" s="32">
        <v>2776</v>
      </c>
      <c r="BH171" s="32">
        <v>2866</v>
      </c>
      <c r="BI171" s="32">
        <v>2937</v>
      </c>
      <c r="BJ171" s="32">
        <v>2854</v>
      </c>
      <c r="BK171" s="32">
        <v>2829</v>
      </c>
      <c r="BL171" s="33">
        <v>2811</v>
      </c>
    </row>
    <row r="172" spans="1:64" ht="15.95" customHeight="1">
      <c r="A172" s="68" t="s">
        <v>428</v>
      </c>
      <c r="B172" s="28" t="s">
        <v>232</v>
      </c>
      <c r="C172" s="42">
        <f>_xll.RssMarket("8303","高値")</f>
        <v>1496</v>
      </c>
      <c r="D172" s="41">
        <f t="shared" si="2"/>
        <v>0</v>
      </c>
      <c r="E172" s="37">
        <v>1496</v>
      </c>
      <c r="F172" s="37">
        <v>1509</v>
      </c>
      <c r="G172" s="32">
        <v>1526</v>
      </c>
      <c r="H172" s="32">
        <v>1461.5</v>
      </c>
      <c r="I172" s="32">
        <v>1463</v>
      </c>
      <c r="J172" s="32">
        <v>1551</v>
      </c>
      <c r="K172" s="32">
        <v>1413.5</v>
      </c>
      <c r="L172" s="32">
        <v>1455.5</v>
      </c>
      <c r="M172" s="32">
        <v>1442</v>
      </c>
      <c r="N172" s="32">
        <v>1412</v>
      </c>
      <c r="O172" s="32">
        <v>1378</v>
      </c>
      <c r="P172" s="32">
        <v>1412</v>
      </c>
      <c r="Q172" s="32">
        <v>1406</v>
      </c>
      <c r="R172" s="32">
        <v>1423</v>
      </c>
      <c r="S172" s="32">
        <v>1485</v>
      </c>
      <c r="T172" s="32">
        <v>1538.5</v>
      </c>
      <c r="U172" s="32">
        <v>1588.5</v>
      </c>
      <c r="V172" s="32">
        <v>1607.5</v>
      </c>
      <c r="W172" s="32">
        <v>1651.5</v>
      </c>
      <c r="X172" s="32">
        <v>1658.5</v>
      </c>
      <c r="Y172" s="32">
        <v>1648.5</v>
      </c>
      <c r="Z172" s="32">
        <v>1652.5</v>
      </c>
      <c r="AA172" s="32">
        <v>1673.5</v>
      </c>
      <c r="AB172" s="32">
        <v>1671.5</v>
      </c>
      <c r="AC172" s="32">
        <v>1670</v>
      </c>
      <c r="AD172" s="32">
        <v>1701.5</v>
      </c>
      <c r="AE172" s="32">
        <v>1727</v>
      </c>
      <c r="AF172" s="32">
        <v>1867.5</v>
      </c>
      <c r="AG172" s="32">
        <v>1835.5</v>
      </c>
      <c r="AH172" s="32">
        <v>1821.5</v>
      </c>
      <c r="AI172" s="32">
        <v>1727</v>
      </c>
      <c r="AJ172" s="32">
        <v>1732.5</v>
      </c>
      <c r="AK172" s="32">
        <v>1764.5</v>
      </c>
      <c r="AL172" s="32">
        <v>1661.5</v>
      </c>
      <c r="AM172" s="32">
        <v>1679</v>
      </c>
      <c r="AN172" s="32">
        <v>1697</v>
      </c>
      <c r="AO172" s="32">
        <v>1718.5</v>
      </c>
      <c r="AP172" s="32">
        <v>1729</v>
      </c>
      <c r="AQ172" s="32">
        <v>1699</v>
      </c>
      <c r="AR172" s="32">
        <v>1697.5</v>
      </c>
      <c r="AS172" s="32">
        <v>1703</v>
      </c>
      <c r="AT172" s="32">
        <v>1742.5</v>
      </c>
      <c r="AU172" s="32">
        <v>1764</v>
      </c>
      <c r="AV172" s="32">
        <v>1828</v>
      </c>
      <c r="AW172" s="32">
        <v>1793</v>
      </c>
      <c r="AX172" s="32">
        <v>1783.5</v>
      </c>
      <c r="AY172" s="32">
        <v>1737.5</v>
      </c>
      <c r="AZ172" s="32">
        <v>1774</v>
      </c>
      <c r="BA172" s="32">
        <v>1759.5</v>
      </c>
      <c r="BB172" s="32">
        <v>1729</v>
      </c>
      <c r="BC172" s="32">
        <v>1688.5</v>
      </c>
      <c r="BD172" s="32">
        <v>1732.5</v>
      </c>
      <c r="BE172" s="32">
        <v>1715</v>
      </c>
      <c r="BF172" s="32">
        <v>1731</v>
      </c>
      <c r="BG172" s="32">
        <v>1698</v>
      </c>
      <c r="BH172" s="32">
        <v>1666</v>
      </c>
      <c r="BI172" s="32">
        <v>1689</v>
      </c>
      <c r="BJ172" s="32">
        <v>1706</v>
      </c>
      <c r="BK172" s="32">
        <v>1712.5</v>
      </c>
      <c r="BL172" s="33">
        <v>1707.5</v>
      </c>
    </row>
    <row r="173" spans="1:64" ht="15.95" customHeight="1">
      <c r="A173" s="68" t="s">
        <v>429</v>
      </c>
      <c r="B173" s="28" t="s">
        <v>233</v>
      </c>
      <c r="C173" s="42">
        <f>_xll.RssMarket("4382","高値")</f>
        <v>800</v>
      </c>
      <c r="D173" s="41">
        <f t="shared" si="2"/>
        <v>0</v>
      </c>
      <c r="E173" s="37">
        <v>800</v>
      </c>
      <c r="F173" s="37">
        <v>805</v>
      </c>
      <c r="G173" s="32">
        <v>850</v>
      </c>
      <c r="H173" s="32">
        <v>815</v>
      </c>
      <c r="I173" s="32">
        <v>778</v>
      </c>
      <c r="J173" s="32">
        <v>815</v>
      </c>
      <c r="K173" s="32">
        <v>715</v>
      </c>
      <c r="L173" s="32">
        <v>720</v>
      </c>
      <c r="M173" s="32">
        <v>699</v>
      </c>
      <c r="N173" s="32">
        <v>704</v>
      </c>
      <c r="O173" s="32">
        <v>710</v>
      </c>
      <c r="P173" s="32">
        <v>727</v>
      </c>
      <c r="Q173" s="32">
        <v>747</v>
      </c>
      <c r="R173" s="32">
        <v>755</v>
      </c>
      <c r="S173" s="32">
        <v>771</v>
      </c>
      <c r="T173" s="32">
        <v>774</v>
      </c>
      <c r="U173" s="32">
        <v>766</v>
      </c>
      <c r="V173" s="32">
        <v>774</v>
      </c>
      <c r="W173" s="32">
        <v>768</v>
      </c>
      <c r="X173" s="32">
        <v>784</v>
      </c>
      <c r="Y173" s="32">
        <v>782</v>
      </c>
      <c r="Z173" s="32">
        <v>790</v>
      </c>
      <c r="AA173" s="32">
        <v>796</v>
      </c>
      <c r="AB173" s="32">
        <v>805</v>
      </c>
      <c r="AC173" s="32">
        <v>812</v>
      </c>
      <c r="AD173" s="32">
        <v>822</v>
      </c>
      <c r="AE173" s="32">
        <v>820</v>
      </c>
      <c r="AF173" s="32">
        <v>811</v>
      </c>
      <c r="AG173" s="32">
        <v>823</v>
      </c>
      <c r="AH173" s="32">
        <v>872</v>
      </c>
      <c r="AI173" s="32">
        <v>850</v>
      </c>
      <c r="AJ173" s="32">
        <v>854</v>
      </c>
      <c r="AK173" s="32">
        <v>860</v>
      </c>
      <c r="AL173" s="32">
        <v>873</v>
      </c>
      <c r="AM173" s="32">
        <v>881</v>
      </c>
      <c r="AN173" s="32">
        <v>916</v>
      </c>
      <c r="AO173" s="32">
        <v>900</v>
      </c>
      <c r="AP173" s="32">
        <v>896</v>
      </c>
      <c r="AQ173" s="32">
        <v>873</v>
      </c>
      <c r="AR173" s="32">
        <v>864</v>
      </c>
      <c r="AS173" s="32">
        <v>868</v>
      </c>
      <c r="AT173" s="32">
        <v>881</v>
      </c>
      <c r="AU173" s="32">
        <v>890</v>
      </c>
      <c r="AV173" s="32">
        <v>883</v>
      </c>
      <c r="AW173" s="32">
        <v>874</v>
      </c>
      <c r="AX173" s="32">
        <v>867</v>
      </c>
      <c r="AY173" s="32">
        <v>868</v>
      </c>
      <c r="AZ173" s="32">
        <v>859</v>
      </c>
      <c r="BA173" s="32">
        <v>854</v>
      </c>
      <c r="BB173" s="32">
        <v>826</v>
      </c>
      <c r="BC173" s="32">
        <v>840</v>
      </c>
      <c r="BD173" s="32">
        <v>830</v>
      </c>
      <c r="BE173" s="32">
        <v>825</v>
      </c>
      <c r="BF173" s="32">
        <v>814</v>
      </c>
      <c r="BG173" s="32">
        <v>825</v>
      </c>
      <c r="BH173" s="32">
        <v>861</v>
      </c>
      <c r="BI173" s="32">
        <v>869</v>
      </c>
      <c r="BJ173" s="32">
        <v>872</v>
      </c>
      <c r="BK173" s="32">
        <v>889</v>
      </c>
      <c r="BL173" s="33">
        <v>898</v>
      </c>
    </row>
    <row r="174" spans="1:64" ht="15.95" customHeight="1">
      <c r="A174" s="68" t="s">
        <v>430</v>
      </c>
      <c r="B174" s="28" t="s">
        <v>234</v>
      </c>
      <c r="C174" s="42">
        <f>_xll.RssMarket("2327","高値")</f>
        <v>3167</v>
      </c>
      <c r="D174" s="41">
        <f t="shared" si="2"/>
        <v>0</v>
      </c>
      <c r="E174" s="37">
        <v>3167</v>
      </c>
      <c r="F174" s="37">
        <v>3225</v>
      </c>
      <c r="G174" s="32">
        <v>3291</v>
      </c>
      <c r="H174" s="32">
        <v>3267</v>
      </c>
      <c r="I174" s="32">
        <v>3279</v>
      </c>
      <c r="J174" s="32">
        <v>3315</v>
      </c>
      <c r="K174" s="32">
        <v>3397</v>
      </c>
      <c r="L174" s="32">
        <v>3484</v>
      </c>
      <c r="M174" s="32">
        <v>3448</v>
      </c>
      <c r="N174" s="32">
        <v>3590</v>
      </c>
      <c r="O174" s="32">
        <v>3620</v>
      </c>
      <c r="P174" s="32">
        <v>3587</v>
      </c>
      <c r="Q174" s="32">
        <v>3593</v>
      </c>
      <c r="R174" s="32">
        <v>3610</v>
      </c>
      <c r="S174" s="32">
        <v>3658</v>
      </c>
      <c r="T174" s="32">
        <v>3596</v>
      </c>
      <c r="U174" s="32">
        <v>3605</v>
      </c>
      <c r="V174" s="32">
        <v>3600</v>
      </c>
      <c r="W174" s="32">
        <v>3590</v>
      </c>
      <c r="X174" s="32">
        <v>3566</v>
      </c>
      <c r="Y174" s="32">
        <v>3531</v>
      </c>
      <c r="Z174" s="32">
        <v>3584</v>
      </c>
      <c r="AA174" s="32">
        <v>3646</v>
      </c>
      <c r="AB174" s="32">
        <v>3715</v>
      </c>
      <c r="AC174" s="32">
        <v>3663</v>
      </c>
      <c r="AD174" s="32">
        <v>3673</v>
      </c>
      <c r="AE174" s="32">
        <v>3655</v>
      </c>
      <c r="AF174" s="32">
        <v>3642</v>
      </c>
      <c r="AG174" s="32">
        <v>3679</v>
      </c>
      <c r="AH174" s="32">
        <v>3725</v>
      </c>
      <c r="AI174" s="32">
        <v>3723</v>
      </c>
      <c r="AJ174" s="32">
        <v>3711</v>
      </c>
      <c r="AK174" s="32">
        <v>3867</v>
      </c>
      <c r="AL174" s="32">
        <v>3930</v>
      </c>
      <c r="AM174" s="32">
        <v>3894</v>
      </c>
      <c r="AN174" s="32">
        <v>3897</v>
      </c>
      <c r="AO174" s="32">
        <v>3935</v>
      </c>
      <c r="AP174" s="32">
        <v>3957</v>
      </c>
      <c r="AQ174" s="32">
        <v>3877</v>
      </c>
      <c r="AR174" s="32">
        <v>3811</v>
      </c>
      <c r="AS174" s="32">
        <v>3790</v>
      </c>
      <c r="AT174" s="32">
        <v>3808</v>
      </c>
      <c r="AU174" s="32">
        <v>3859</v>
      </c>
      <c r="AV174" s="32">
        <v>3942</v>
      </c>
      <c r="AW174" s="32">
        <v>3916</v>
      </c>
      <c r="AX174" s="32">
        <v>3875</v>
      </c>
      <c r="AY174" s="32">
        <v>3840</v>
      </c>
      <c r="AZ174" s="32">
        <v>3716</v>
      </c>
      <c r="BA174" s="32">
        <v>3771</v>
      </c>
      <c r="BB174" s="32">
        <v>3711</v>
      </c>
      <c r="BC174" s="32">
        <v>3705</v>
      </c>
      <c r="BD174" s="32">
        <v>3720</v>
      </c>
      <c r="BE174" s="32">
        <v>3680</v>
      </c>
      <c r="BF174" s="32">
        <v>3701</v>
      </c>
      <c r="BG174" s="32">
        <v>3720</v>
      </c>
      <c r="BH174" s="32">
        <v>3713</v>
      </c>
      <c r="BI174" s="32">
        <v>3773</v>
      </c>
      <c r="BJ174" s="32">
        <v>3800</v>
      </c>
      <c r="BK174" s="32">
        <v>3784</v>
      </c>
      <c r="BL174" s="33">
        <v>3790</v>
      </c>
    </row>
    <row r="175" spans="1:64" ht="15.95" customHeight="1">
      <c r="A175" s="68" t="s">
        <v>431</v>
      </c>
      <c r="B175" s="28" t="s">
        <v>235</v>
      </c>
      <c r="C175" s="42">
        <f>_xll.RssMarket("1942","高値")</f>
        <v>6500</v>
      </c>
      <c r="D175" s="41">
        <f t="shared" si="2"/>
        <v>0</v>
      </c>
      <c r="E175" s="37">
        <v>6500</v>
      </c>
      <c r="F175" s="37">
        <v>6320</v>
      </c>
      <c r="G175" s="32">
        <v>6396</v>
      </c>
      <c r="H175" s="32">
        <v>5944</v>
      </c>
      <c r="I175" s="32">
        <v>5886</v>
      </c>
      <c r="J175" s="32">
        <v>6087</v>
      </c>
      <c r="K175" s="32">
        <v>5865</v>
      </c>
      <c r="L175" s="32">
        <v>5914</v>
      </c>
      <c r="M175" s="32">
        <v>5909</v>
      </c>
      <c r="N175" s="32">
        <v>6032</v>
      </c>
      <c r="O175" s="32">
        <v>6127</v>
      </c>
      <c r="P175" s="32">
        <v>6648</v>
      </c>
      <c r="Q175" s="32">
        <v>6626</v>
      </c>
      <c r="R175" s="32">
        <v>6710</v>
      </c>
      <c r="S175" s="32">
        <v>6442</v>
      </c>
      <c r="T175" s="32">
        <v>6129</v>
      </c>
      <c r="U175" s="32">
        <v>6252</v>
      </c>
      <c r="V175" s="32">
        <v>6355</v>
      </c>
      <c r="W175" s="32">
        <v>6587</v>
      </c>
      <c r="X175" s="32">
        <v>6823</v>
      </c>
      <c r="Y175" s="32">
        <v>7047</v>
      </c>
      <c r="Z175" s="32">
        <v>7250</v>
      </c>
      <c r="AA175" s="32">
        <v>7372</v>
      </c>
      <c r="AB175" s="32">
        <v>7460</v>
      </c>
      <c r="AC175" s="32">
        <v>7198</v>
      </c>
      <c r="AD175" s="32">
        <v>7054</v>
      </c>
      <c r="AE175" s="32">
        <v>7025</v>
      </c>
      <c r="AF175" s="32">
        <v>7029</v>
      </c>
      <c r="AG175" s="32">
        <v>6838</v>
      </c>
      <c r="AH175" s="32">
        <v>6797</v>
      </c>
      <c r="AI175" s="32">
        <v>6110</v>
      </c>
      <c r="AJ175" s="32">
        <v>6109</v>
      </c>
      <c r="AK175" s="32">
        <v>6092</v>
      </c>
      <c r="AL175" s="32">
        <v>6140</v>
      </c>
      <c r="AM175" s="32">
        <v>6198</v>
      </c>
      <c r="AN175" s="32">
        <v>6217</v>
      </c>
      <c r="AO175" s="32">
        <v>6195</v>
      </c>
      <c r="AP175" s="32">
        <v>6202</v>
      </c>
      <c r="AQ175" s="32">
        <v>6427</v>
      </c>
      <c r="AR175" s="32">
        <v>6379</v>
      </c>
      <c r="AS175" s="32">
        <v>6368</v>
      </c>
      <c r="AT175" s="32">
        <v>6453</v>
      </c>
      <c r="AU175" s="32">
        <v>6408</v>
      </c>
      <c r="AV175" s="32">
        <v>6361</v>
      </c>
      <c r="AW175" s="32">
        <v>6119</v>
      </c>
      <c r="AX175" s="32">
        <v>6162</v>
      </c>
      <c r="AY175" s="32">
        <v>6139</v>
      </c>
      <c r="AZ175" s="32">
        <v>6306</v>
      </c>
      <c r="BA175" s="32">
        <v>6200</v>
      </c>
      <c r="BB175" s="32">
        <v>5985</v>
      </c>
      <c r="BC175" s="32">
        <v>6010</v>
      </c>
      <c r="BD175" s="32">
        <v>6241</v>
      </c>
      <c r="BE175" s="32">
        <v>6400</v>
      </c>
      <c r="BF175" s="32">
        <v>6352</v>
      </c>
      <c r="BG175" s="32">
        <v>6119</v>
      </c>
      <c r="BH175" s="32">
        <v>6017</v>
      </c>
      <c r="BI175" s="32">
        <v>6227</v>
      </c>
      <c r="BJ175" s="32">
        <v>6363</v>
      </c>
      <c r="BK175" s="32">
        <v>6273</v>
      </c>
      <c r="BL175" s="33">
        <v>6120</v>
      </c>
    </row>
    <row r="176" spans="1:64" ht="15.95" customHeight="1">
      <c r="A176" s="68" t="s">
        <v>432</v>
      </c>
      <c r="B176" s="28" t="s">
        <v>236</v>
      </c>
      <c r="C176" s="42">
        <f>_xll.RssMarket("1938","高値")</f>
        <v>2841</v>
      </c>
      <c r="D176" s="41">
        <f t="shared" si="2"/>
        <v>0</v>
      </c>
      <c r="E176" s="37">
        <v>2841</v>
      </c>
      <c r="F176" s="37">
        <v>2791</v>
      </c>
      <c r="G176" s="32">
        <v>2821</v>
      </c>
      <c r="H176" s="32">
        <v>2738</v>
      </c>
      <c r="I176" s="32">
        <v>2712</v>
      </c>
      <c r="J176" s="32">
        <v>2754</v>
      </c>
      <c r="K176" s="32">
        <v>2745</v>
      </c>
      <c r="L176" s="32">
        <v>2822</v>
      </c>
      <c r="M176" s="32">
        <v>2788</v>
      </c>
      <c r="N176" s="32">
        <v>2772</v>
      </c>
      <c r="O176" s="32">
        <v>2736</v>
      </c>
      <c r="P176" s="32">
        <v>2870</v>
      </c>
      <c r="Q176" s="32">
        <v>2840</v>
      </c>
      <c r="R176" s="32">
        <v>2850</v>
      </c>
      <c r="S176" s="32">
        <v>2830</v>
      </c>
      <c r="T176" s="32">
        <v>2668</v>
      </c>
      <c r="U176" s="32">
        <v>2756</v>
      </c>
      <c r="V176" s="32">
        <v>2773</v>
      </c>
      <c r="W176" s="32">
        <v>2899</v>
      </c>
      <c r="X176" s="32">
        <v>2883</v>
      </c>
      <c r="Y176" s="32">
        <v>3030</v>
      </c>
      <c r="Z176" s="32">
        <v>3015</v>
      </c>
      <c r="AA176" s="32">
        <v>3220</v>
      </c>
      <c r="AB176" s="32">
        <v>3125</v>
      </c>
      <c r="AC176" s="32">
        <v>3040</v>
      </c>
      <c r="AD176" s="32">
        <v>2926</v>
      </c>
      <c r="AE176" s="32">
        <v>2924</v>
      </c>
      <c r="AF176" s="32">
        <v>2833</v>
      </c>
      <c r="AG176" s="32">
        <v>2718</v>
      </c>
      <c r="AH176" s="32">
        <v>2749</v>
      </c>
      <c r="AI176" s="32">
        <v>2558</v>
      </c>
      <c r="AJ176" s="32">
        <v>2606</v>
      </c>
      <c r="AK176" s="32">
        <v>2575</v>
      </c>
      <c r="AL176" s="32">
        <v>2570</v>
      </c>
      <c r="AM176" s="32">
        <v>2617</v>
      </c>
      <c r="AN176" s="32">
        <v>2554</v>
      </c>
      <c r="AO176" s="32">
        <v>2585</v>
      </c>
      <c r="AP176" s="32">
        <v>2632</v>
      </c>
      <c r="AQ176" s="32">
        <v>2687</v>
      </c>
      <c r="AR176" s="32">
        <v>2735</v>
      </c>
      <c r="AS176" s="32">
        <v>2711</v>
      </c>
      <c r="AT176" s="32">
        <v>2708</v>
      </c>
      <c r="AU176" s="32">
        <v>2726</v>
      </c>
      <c r="AV176" s="32">
        <v>2700</v>
      </c>
      <c r="AW176" s="32">
        <v>2597</v>
      </c>
      <c r="AX176" s="32">
        <v>2560</v>
      </c>
      <c r="AY176" s="32">
        <v>2549</v>
      </c>
      <c r="AZ176" s="32">
        <v>2608</v>
      </c>
      <c r="BA176" s="32">
        <v>2588</v>
      </c>
      <c r="BB176" s="32">
        <v>2552</v>
      </c>
      <c r="BC176" s="32">
        <v>2547</v>
      </c>
      <c r="BD176" s="32">
        <v>2672</v>
      </c>
      <c r="BE176" s="32">
        <v>2732</v>
      </c>
      <c r="BF176" s="32">
        <v>2742</v>
      </c>
      <c r="BG176" s="32">
        <v>2604</v>
      </c>
      <c r="BH176" s="32">
        <v>2612</v>
      </c>
      <c r="BI176" s="32">
        <v>2728</v>
      </c>
      <c r="BJ176" s="32">
        <v>2781</v>
      </c>
      <c r="BK176" s="32">
        <v>2747</v>
      </c>
      <c r="BL176" s="33">
        <v>2653</v>
      </c>
    </row>
    <row r="177" spans="1:64" ht="15.95" customHeight="1">
      <c r="A177" s="68" t="s">
        <v>433</v>
      </c>
      <c r="B177" s="28" t="s">
        <v>237</v>
      </c>
      <c r="C177" s="42">
        <f>_xll.RssMarket("7236","高値")</f>
        <v>14520</v>
      </c>
      <c r="D177" s="41">
        <f t="shared" si="2"/>
        <v>0</v>
      </c>
      <c r="E177" s="37">
        <v>14520</v>
      </c>
      <c r="F177" s="37">
        <v>14430</v>
      </c>
      <c r="G177" s="32">
        <v>14730</v>
      </c>
      <c r="H177" s="32">
        <v>14340</v>
      </c>
      <c r="I177" s="32">
        <v>14200</v>
      </c>
      <c r="J177" s="32">
        <v>14630</v>
      </c>
      <c r="K177" s="32">
        <v>14180</v>
      </c>
      <c r="L177" s="32">
        <v>14410</v>
      </c>
      <c r="M177" s="32">
        <v>14300</v>
      </c>
      <c r="N177" s="32">
        <v>15160</v>
      </c>
      <c r="O177" s="32">
        <v>15180</v>
      </c>
      <c r="P177" s="32">
        <v>15240</v>
      </c>
      <c r="Q177" s="32">
        <v>14910</v>
      </c>
      <c r="R177" s="32">
        <v>15400</v>
      </c>
      <c r="S177" s="32">
        <v>15810</v>
      </c>
      <c r="T177" s="32">
        <v>14960</v>
      </c>
      <c r="U177" s="32">
        <v>14360</v>
      </c>
      <c r="V177" s="32">
        <v>13800</v>
      </c>
      <c r="W177" s="32">
        <v>13950</v>
      </c>
      <c r="X177" s="32">
        <v>14320</v>
      </c>
      <c r="Y177" s="32">
        <v>14690</v>
      </c>
      <c r="Z177" s="32">
        <v>14800</v>
      </c>
      <c r="AA177" s="32">
        <v>14790</v>
      </c>
      <c r="AB177" s="32">
        <v>15220</v>
      </c>
      <c r="AC177" s="32">
        <v>15090</v>
      </c>
      <c r="AD177" s="32">
        <v>15290</v>
      </c>
      <c r="AE177" s="32">
        <v>15900</v>
      </c>
      <c r="AF177" s="32">
        <v>11110</v>
      </c>
      <c r="AG177" s="32">
        <v>9610</v>
      </c>
      <c r="AH177" s="32">
        <v>8180</v>
      </c>
      <c r="AI177" s="32">
        <v>8810</v>
      </c>
      <c r="AJ177" s="32">
        <v>8790</v>
      </c>
      <c r="AK177" s="32">
        <v>9140</v>
      </c>
      <c r="AL177" s="32">
        <v>9260</v>
      </c>
      <c r="AM177" s="32">
        <v>9230</v>
      </c>
      <c r="AN177" s="32">
        <v>9140</v>
      </c>
      <c r="AO177" s="32">
        <v>9140</v>
      </c>
      <c r="AP177" s="32">
        <v>8550</v>
      </c>
      <c r="AQ177" s="32">
        <v>8400</v>
      </c>
      <c r="AR177" s="32">
        <v>8350</v>
      </c>
      <c r="AS177" s="32">
        <v>8400</v>
      </c>
      <c r="AT177" s="32">
        <v>8400</v>
      </c>
      <c r="AU177" s="32">
        <v>8530</v>
      </c>
      <c r="AV177" s="32">
        <v>8200</v>
      </c>
      <c r="AW177" s="32">
        <v>8200</v>
      </c>
      <c r="AX177" s="32">
        <v>8230</v>
      </c>
      <c r="AY177" s="32">
        <v>8340</v>
      </c>
      <c r="AZ177" s="32">
        <v>8230</v>
      </c>
      <c r="BA177" s="32">
        <v>7980</v>
      </c>
      <c r="BB177" s="32">
        <v>7980</v>
      </c>
      <c r="BC177" s="32">
        <v>8400</v>
      </c>
      <c r="BD177" s="32">
        <v>8700</v>
      </c>
      <c r="BE177" s="32">
        <v>8820</v>
      </c>
      <c r="BF177" s="32">
        <v>8630</v>
      </c>
      <c r="BG177" s="32">
        <v>8580</v>
      </c>
      <c r="BH177" s="32">
        <v>9090</v>
      </c>
      <c r="BI177" s="32">
        <v>9320</v>
      </c>
      <c r="BJ177" s="32">
        <v>9370</v>
      </c>
      <c r="BK177" s="32">
        <v>9270</v>
      </c>
      <c r="BL177" s="33">
        <v>9280</v>
      </c>
    </row>
    <row r="178" spans="1:64" ht="15.95" customHeight="1">
      <c r="A178" s="68" t="s">
        <v>434</v>
      </c>
      <c r="B178" s="28" t="s">
        <v>238</v>
      </c>
      <c r="C178" s="42">
        <f>_xll.RssMarket("6436","高値")</f>
        <v>3599</v>
      </c>
      <c r="D178" s="41">
        <f t="shared" si="2"/>
        <v>0</v>
      </c>
      <c r="E178" s="37">
        <v>3599</v>
      </c>
      <c r="F178" s="37">
        <v>3578</v>
      </c>
      <c r="G178" s="32">
        <v>3640</v>
      </c>
      <c r="H178" s="32">
        <v>3637</v>
      </c>
      <c r="I178" s="32">
        <v>3646</v>
      </c>
      <c r="J178" s="32">
        <v>3642</v>
      </c>
      <c r="K178" s="32">
        <v>3577</v>
      </c>
      <c r="L178" s="32">
        <v>3555</v>
      </c>
      <c r="M178" s="32">
        <v>3526</v>
      </c>
      <c r="N178" s="32">
        <v>3543</v>
      </c>
      <c r="O178" s="32">
        <v>3544</v>
      </c>
      <c r="P178" s="32">
        <v>3618</v>
      </c>
      <c r="Q178" s="32">
        <v>3585</v>
      </c>
      <c r="R178" s="32">
        <v>3574</v>
      </c>
      <c r="S178" s="32">
        <v>3660</v>
      </c>
      <c r="T178" s="32">
        <v>3635</v>
      </c>
      <c r="U178" s="32">
        <v>3669</v>
      </c>
      <c r="V178" s="32">
        <v>3696</v>
      </c>
      <c r="W178" s="32">
        <v>3717</v>
      </c>
      <c r="X178" s="32">
        <v>3687</v>
      </c>
      <c r="Y178" s="32">
        <v>3705</v>
      </c>
      <c r="Z178" s="32">
        <v>3689</v>
      </c>
      <c r="AA178" s="32">
        <v>3682</v>
      </c>
      <c r="AB178" s="32">
        <v>3702</v>
      </c>
      <c r="AC178" s="32">
        <v>3711</v>
      </c>
      <c r="AD178" s="32">
        <v>3687</v>
      </c>
      <c r="AE178" s="32">
        <v>3627</v>
      </c>
      <c r="AF178" s="32">
        <v>3623</v>
      </c>
      <c r="AG178" s="32">
        <v>3717</v>
      </c>
      <c r="AH178" s="32">
        <v>3762</v>
      </c>
      <c r="AI178" s="32">
        <v>3929</v>
      </c>
      <c r="AJ178" s="32">
        <v>3845</v>
      </c>
      <c r="AK178" s="32">
        <v>3850</v>
      </c>
      <c r="AL178" s="32">
        <v>3876</v>
      </c>
      <c r="AM178" s="32">
        <v>3877</v>
      </c>
      <c r="AN178" s="32">
        <v>3969</v>
      </c>
      <c r="AO178" s="32">
        <v>3927</v>
      </c>
      <c r="AP178" s="32">
        <v>3912</v>
      </c>
      <c r="AQ178" s="32">
        <v>3894</v>
      </c>
      <c r="AR178" s="32">
        <v>3910</v>
      </c>
      <c r="AS178" s="32">
        <v>3910</v>
      </c>
      <c r="AT178" s="32">
        <v>3954</v>
      </c>
      <c r="AU178" s="32">
        <v>3968</v>
      </c>
      <c r="AV178" s="32">
        <v>3939</v>
      </c>
      <c r="AW178" s="32">
        <v>3911</v>
      </c>
      <c r="AX178" s="32">
        <v>3895</v>
      </c>
      <c r="AY178" s="32">
        <v>3861</v>
      </c>
      <c r="AZ178" s="32">
        <v>3891</v>
      </c>
      <c r="BA178" s="32">
        <v>3865</v>
      </c>
      <c r="BB178" s="32">
        <v>3830</v>
      </c>
      <c r="BC178" s="32">
        <v>3765</v>
      </c>
      <c r="BD178" s="32">
        <v>3909</v>
      </c>
      <c r="BE178" s="32">
        <v>3906</v>
      </c>
      <c r="BF178" s="32">
        <v>3916</v>
      </c>
      <c r="BG178" s="32">
        <v>3867</v>
      </c>
      <c r="BH178" s="32">
        <v>3827</v>
      </c>
      <c r="BI178" s="32">
        <v>3909</v>
      </c>
      <c r="BJ178" s="32">
        <v>3916</v>
      </c>
      <c r="BK178" s="32">
        <v>3869</v>
      </c>
      <c r="BL178" s="33">
        <v>3874</v>
      </c>
    </row>
    <row r="179" spans="1:64" ht="15.95" customHeight="1">
      <c r="A179" s="68" t="s">
        <v>435</v>
      </c>
      <c r="B179" s="28" t="s">
        <v>239</v>
      </c>
      <c r="C179" s="42">
        <f>_xll.RssMarket("5410","高値")</f>
        <v>2668</v>
      </c>
      <c r="D179" s="41">
        <f t="shared" si="2"/>
        <v>0</v>
      </c>
      <c r="E179" s="37">
        <v>2668</v>
      </c>
      <c r="F179" s="37">
        <v>2623</v>
      </c>
      <c r="G179" s="32">
        <v>2656</v>
      </c>
      <c r="H179" s="32">
        <v>2609</v>
      </c>
      <c r="I179" s="32">
        <v>2555</v>
      </c>
      <c r="J179" s="32">
        <v>2553</v>
      </c>
      <c r="K179" s="32">
        <v>2588</v>
      </c>
      <c r="L179" s="32">
        <v>2593</v>
      </c>
      <c r="M179" s="32">
        <v>2579</v>
      </c>
      <c r="N179" s="32">
        <v>2617</v>
      </c>
      <c r="O179" s="32">
        <v>2601</v>
      </c>
      <c r="P179" s="32">
        <v>2776</v>
      </c>
      <c r="Q179" s="32">
        <v>2733</v>
      </c>
      <c r="R179" s="32">
        <v>2722</v>
      </c>
      <c r="S179" s="32">
        <v>2693</v>
      </c>
      <c r="T179" s="32">
        <v>2725</v>
      </c>
      <c r="U179" s="32">
        <v>2729</v>
      </c>
      <c r="V179" s="32">
        <v>2762</v>
      </c>
      <c r="W179" s="32">
        <v>2816</v>
      </c>
      <c r="X179" s="32">
        <v>2838</v>
      </c>
      <c r="Y179" s="32">
        <v>2875</v>
      </c>
      <c r="Z179" s="32">
        <v>2871</v>
      </c>
      <c r="AA179" s="32">
        <v>2880</v>
      </c>
      <c r="AB179" s="32">
        <v>2875</v>
      </c>
      <c r="AC179" s="32">
        <v>2886</v>
      </c>
      <c r="AD179" s="32">
        <v>2892</v>
      </c>
      <c r="AE179" s="32">
        <v>2919</v>
      </c>
      <c r="AF179" s="32">
        <v>2896</v>
      </c>
      <c r="AG179" s="32">
        <v>2926</v>
      </c>
      <c r="AH179" s="32">
        <v>3035</v>
      </c>
      <c r="AI179" s="32">
        <v>3635</v>
      </c>
      <c r="AJ179" s="32">
        <v>3460</v>
      </c>
      <c r="AK179" s="32">
        <v>3510</v>
      </c>
      <c r="AL179" s="32">
        <v>3545</v>
      </c>
      <c r="AM179" s="32">
        <v>3570</v>
      </c>
      <c r="AN179" s="32">
        <v>3575</v>
      </c>
      <c r="AO179" s="32">
        <v>3575</v>
      </c>
      <c r="AP179" s="32">
        <v>3580</v>
      </c>
      <c r="AQ179" s="32">
        <v>3605</v>
      </c>
      <c r="AR179" s="32">
        <v>3580</v>
      </c>
      <c r="AS179" s="32">
        <v>3620</v>
      </c>
      <c r="AT179" s="32">
        <v>3660</v>
      </c>
      <c r="AU179" s="32">
        <v>3720</v>
      </c>
      <c r="AV179" s="32">
        <v>3760</v>
      </c>
      <c r="AW179" s="32">
        <v>3720</v>
      </c>
      <c r="AX179" s="32">
        <v>3715</v>
      </c>
      <c r="AY179" s="32">
        <v>3720</v>
      </c>
      <c r="AZ179" s="32">
        <v>3755</v>
      </c>
      <c r="BA179" s="32">
        <v>3725</v>
      </c>
      <c r="BB179" s="32">
        <v>3685</v>
      </c>
      <c r="BC179" s="32">
        <v>3645</v>
      </c>
      <c r="BD179" s="32">
        <v>3760</v>
      </c>
      <c r="BE179" s="32">
        <v>3745</v>
      </c>
      <c r="BF179" s="32">
        <v>3760</v>
      </c>
      <c r="BG179" s="32">
        <v>3700</v>
      </c>
      <c r="BH179" s="32">
        <v>3645</v>
      </c>
      <c r="BI179" s="32">
        <v>3765</v>
      </c>
      <c r="BJ179" s="32">
        <v>3790</v>
      </c>
      <c r="BK179" s="32">
        <v>3750</v>
      </c>
      <c r="BL179" s="33">
        <v>3730</v>
      </c>
    </row>
    <row r="180" spans="1:64" ht="15.95" customHeight="1">
      <c r="A180" s="68" t="s">
        <v>436</v>
      </c>
      <c r="B180" s="28" t="s">
        <v>240</v>
      </c>
      <c r="C180" s="42">
        <f>_xll.RssMarket("5440","高値")</f>
        <v>1787</v>
      </c>
      <c r="D180" s="41">
        <f t="shared" si="2"/>
        <v>0</v>
      </c>
      <c r="E180" s="37">
        <v>1787</v>
      </c>
      <c r="F180" s="37">
        <v>1772</v>
      </c>
      <c r="G180" s="32">
        <v>1788</v>
      </c>
      <c r="H180" s="32">
        <v>1771</v>
      </c>
      <c r="I180" s="32">
        <v>1721</v>
      </c>
      <c r="J180" s="32">
        <v>1727</v>
      </c>
      <c r="K180" s="32">
        <v>1743</v>
      </c>
      <c r="L180" s="32">
        <v>1766</v>
      </c>
      <c r="M180" s="32">
        <v>1754</v>
      </c>
      <c r="N180" s="32">
        <v>1757</v>
      </c>
      <c r="O180" s="32">
        <v>1750</v>
      </c>
      <c r="P180" s="32">
        <v>1839</v>
      </c>
      <c r="Q180" s="32">
        <v>1837</v>
      </c>
      <c r="R180" s="32">
        <v>1836</v>
      </c>
      <c r="S180" s="32">
        <v>1880</v>
      </c>
      <c r="T180" s="32">
        <v>1862</v>
      </c>
      <c r="U180" s="32">
        <v>1865</v>
      </c>
      <c r="V180" s="32">
        <v>1831</v>
      </c>
      <c r="W180" s="32">
        <v>1865</v>
      </c>
      <c r="X180" s="32">
        <v>1875</v>
      </c>
      <c r="Y180" s="32">
        <v>1883</v>
      </c>
      <c r="Z180" s="32">
        <v>1890</v>
      </c>
      <c r="AA180" s="32">
        <v>1841</v>
      </c>
      <c r="AB180" s="32">
        <v>1847</v>
      </c>
      <c r="AC180" s="32">
        <v>1840</v>
      </c>
      <c r="AD180" s="32">
        <v>1828</v>
      </c>
      <c r="AE180" s="32">
        <v>1847</v>
      </c>
      <c r="AF180" s="32">
        <v>1915</v>
      </c>
      <c r="AG180" s="32">
        <v>2267</v>
      </c>
      <c r="AH180" s="32">
        <v>2185</v>
      </c>
      <c r="AI180" s="32">
        <v>2240</v>
      </c>
      <c r="AJ180" s="32">
        <v>2254</v>
      </c>
      <c r="AK180" s="32">
        <v>2276</v>
      </c>
      <c r="AL180" s="32">
        <v>2280</v>
      </c>
      <c r="AM180" s="32">
        <v>2334</v>
      </c>
      <c r="AN180" s="32">
        <v>2313</v>
      </c>
      <c r="AO180" s="32">
        <v>2313</v>
      </c>
      <c r="AP180" s="32">
        <v>2347</v>
      </c>
      <c r="AQ180" s="32">
        <v>2373</v>
      </c>
      <c r="AR180" s="32">
        <v>2373</v>
      </c>
      <c r="AS180" s="32">
        <v>2388</v>
      </c>
      <c r="AT180" s="32">
        <v>2415</v>
      </c>
      <c r="AU180" s="32">
        <v>2439</v>
      </c>
      <c r="AV180" s="32">
        <v>2436</v>
      </c>
      <c r="AW180" s="32">
        <v>2396</v>
      </c>
      <c r="AX180" s="32">
        <v>2414</v>
      </c>
      <c r="AY180" s="32">
        <v>2413</v>
      </c>
      <c r="AZ180" s="32">
        <v>2417</v>
      </c>
      <c r="BA180" s="32">
        <v>2414</v>
      </c>
      <c r="BB180" s="32">
        <v>2366</v>
      </c>
      <c r="BC180" s="32">
        <v>2338</v>
      </c>
      <c r="BD180" s="32">
        <v>2433</v>
      </c>
      <c r="BE180" s="32">
        <v>2404</v>
      </c>
      <c r="BF180" s="32">
        <v>2426</v>
      </c>
      <c r="BG180" s="32">
        <v>2373</v>
      </c>
      <c r="BH180" s="32">
        <v>2313</v>
      </c>
      <c r="BI180" s="32">
        <v>2409</v>
      </c>
      <c r="BJ180" s="32">
        <v>2446</v>
      </c>
      <c r="BK180" s="32">
        <v>2391</v>
      </c>
      <c r="BL180" s="33">
        <v>2362</v>
      </c>
    </row>
    <row r="181" spans="1:64" ht="15.95" customHeight="1">
      <c r="A181" s="68" t="s">
        <v>437</v>
      </c>
      <c r="B181" s="28" t="s">
        <v>241</v>
      </c>
      <c r="C181" s="42">
        <f>_xll.RssMarket("9505","高値")</f>
        <v>859.5</v>
      </c>
      <c r="D181" s="41">
        <f t="shared" si="2"/>
        <v>0</v>
      </c>
      <c r="E181" s="37">
        <v>859.5</v>
      </c>
      <c r="F181" s="37">
        <v>873.2</v>
      </c>
      <c r="G181" s="32">
        <v>888</v>
      </c>
      <c r="H181" s="32">
        <v>866.5</v>
      </c>
      <c r="I181" s="32">
        <v>869</v>
      </c>
      <c r="J181" s="32">
        <v>857.8</v>
      </c>
      <c r="K181" s="32">
        <v>833.3</v>
      </c>
      <c r="L181" s="32">
        <v>827.2</v>
      </c>
      <c r="M181" s="32">
        <v>813</v>
      </c>
      <c r="N181" s="32">
        <v>827.1</v>
      </c>
      <c r="O181" s="32">
        <v>811.7</v>
      </c>
      <c r="P181" s="32">
        <v>843.6</v>
      </c>
      <c r="Q181" s="32">
        <v>861.2</v>
      </c>
      <c r="R181" s="32">
        <v>867.7</v>
      </c>
      <c r="S181" s="32">
        <v>870.4</v>
      </c>
      <c r="T181" s="32">
        <v>882.5</v>
      </c>
      <c r="U181" s="32">
        <v>881.5</v>
      </c>
      <c r="V181" s="32">
        <v>886.7</v>
      </c>
      <c r="W181" s="32">
        <v>879.7</v>
      </c>
      <c r="X181" s="32">
        <v>901</v>
      </c>
      <c r="Y181" s="32">
        <v>921.8</v>
      </c>
      <c r="Z181" s="32">
        <v>922</v>
      </c>
      <c r="AA181" s="32">
        <v>927.7</v>
      </c>
      <c r="AB181" s="32">
        <v>921.2</v>
      </c>
      <c r="AC181" s="32">
        <v>905.1</v>
      </c>
      <c r="AD181" s="32">
        <v>914.7</v>
      </c>
      <c r="AE181" s="32">
        <v>900.5</v>
      </c>
      <c r="AF181" s="32">
        <v>871.7</v>
      </c>
      <c r="AG181" s="32">
        <v>916.6</v>
      </c>
      <c r="AH181" s="32">
        <v>1005</v>
      </c>
      <c r="AI181" s="32">
        <v>994</v>
      </c>
      <c r="AJ181" s="32">
        <v>1006.5</v>
      </c>
      <c r="AK181" s="32">
        <v>998.3</v>
      </c>
      <c r="AL181" s="32">
        <v>1011.5</v>
      </c>
      <c r="AM181" s="32">
        <v>1032</v>
      </c>
      <c r="AN181" s="32">
        <v>1064</v>
      </c>
      <c r="AO181" s="32">
        <v>1080</v>
      </c>
      <c r="AP181" s="32">
        <v>1090</v>
      </c>
      <c r="AQ181" s="32">
        <v>1097</v>
      </c>
      <c r="AR181" s="32">
        <v>1096.5</v>
      </c>
      <c r="AS181" s="32">
        <v>1114.5</v>
      </c>
      <c r="AT181" s="32">
        <v>1134</v>
      </c>
      <c r="AU181" s="32">
        <v>1118</v>
      </c>
      <c r="AV181" s="32">
        <v>1130</v>
      </c>
      <c r="AW181" s="32">
        <v>1127</v>
      </c>
      <c r="AX181" s="32">
        <v>1115</v>
      </c>
      <c r="AY181" s="32">
        <v>1120.5</v>
      </c>
      <c r="AZ181" s="32">
        <v>1129</v>
      </c>
      <c r="BA181" s="32">
        <v>1106.5</v>
      </c>
      <c r="BB181" s="32">
        <v>1098</v>
      </c>
      <c r="BC181" s="32">
        <v>1094</v>
      </c>
      <c r="BD181" s="32">
        <v>1107</v>
      </c>
      <c r="BE181" s="32">
        <v>1094</v>
      </c>
      <c r="BF181" s="32">
        <v>1085.5</v>
      </c>
      <c r="BG181" s="32">
        <v>1064</v>
      </c>
      <c r="BH181" s="32">
        <v>1063.5</v>
      </c>
      <c r="BI181" s="32">
        <v>1120</v>
      </c>
      <c r="BJ181" s="32">
        <v>1135</v>
      </c>
      <c r="BK181" s="32">
        <v>1081</v>
      </c>
      <c r="BL181" s="33">
        <v>1063</v>
      </c>
    </row>
    <row r="182" spans="1:64" ht="15.95" customHeight="1">
      <c r="A182" s="68" t="s">
        <v>438</v>
      </c>
      <c r="B182" s="28" t="s">
        <v>242</v>
      </c>
      <c r="C182" s="42">
        <f>_xll.RssMarket("8091","高値")</f>
        <v>2240</v>
      </c>
      <c r="D182" s="41">
        <f t="shared" si="2"/>
        <v>0</v>
      </c>
      <c r="E182" s="37">
        <v>2240</v>
      </c>
      <c r="F182" s="37">
        <v>2214</v>
      </c>
      <c r="G182" s="32">
        <v>2228</v>
      </c>
      <c r="H182" s="32">
        <v>2200</v>
      </c>
      <c r="I182" s="32">
        <v>2211</v>
      </c>
      <c r="J182" s="32">
        <v>2206</v>
      </c>
      <c r="K182" s="32">
        <v>2210</v>
      </c>
      <c r="L182" s="32">
        <v>2228</v>
      </c>
      <c r="M182" s="32">
        <v>2181</v>
      </c>
      <c r="N182" s="32">
        <v>2147</v>
      </c>
      <c r="O182" s="32">
        <v>2135</v>
      </c>
      <c r="P182" s="32">
        <v>2186</v>
      </c>
      <c r="Q182" s="32">
        <v>2175</v>
      </c>
      <c r="R182" s="32">
        <v>2149</v>
      </c>
      <c r="S182" s="32">
        <v>2146</v>
      </c>
      <c r="T182" s="32">
        <v>2169</v>
      </c>
      <c r="U182" s="32">
        <v>2177</v>
      </c>
      <c r="V182" s="32">
        <v>2190</v>
      </c>
      <c r="W182" s="32">
        <v>2197</v>
      </c>
      <c r="X182" s="32">
        <v>2206</v>
      </c>
      <c r="Y182" s="32">
        <v>2311</v>
      </c>
      <c r="Z182" s="32">
        <v>2285</v>
      </c>
      <c r="AA182" s="32">
        <v>2281</v>
      </c>
      <c r="AB182" s="32">
        <v>2278</v>
      </c>
      <c r="AC182" s="32">
        <v>2285</v>
      </c>
      <c r="AD182" s="32">
        <v>2256</v>
      </c>
      <c r="AE182" s="32">
        <v>2262</v>
      </c>
      <c r="AF182" s="32">
        <v>2253</v>
      </c>
      <c r="AG182" s="32">
        <v>2270</v>
      </c>
      <c r="AH182" s="32">
        <v>2307</v>
      </c>
      <c r="AI182" s="32">
        <v>2397</v>
      </c>
      <c r="AJ182" s="32">
        <v>2452</v>
      </c>
      <c r="AK182" s="32">
        <v>2478</v>
      </c>
      <c r="AL182" s="32">
        <v>2495</v>
      </c>
      <c r="AM182" s="32">
        <v>2507</v>
      </c>
      <c r="AN182" s="32">
        <v>2522</v>
      </c>
      <c r="AO182" s="32">
        <v>2530</v>
      </c>
      <c r="AP182" s="32">
        <v>2545</v>
      </c>
      <c r="AQ182" s="32">
        <v>2553</v>
      </c>
      <c r="AR182" s="32">
        <v>2556</v>
      </c>
      <c r="AS182" s="32">
        <v>2550</v>
      </c>
      <c r="AT182" s="32">
        <v>2577</v>
      </c>
      <c r="AU182" s="32">
        <v>2625</v>
      </c>
      <c r="AV182" s="32">
        <v>2598</v>
      </c>
      <c r="AW182" s="32">
        <v>2570</v>
      </c>
      <c r="AX182" s="32">
        <v>2605</v>
      </c>
      <c r="AY182" s="32">
        <v>2571</v>
      </c>
      <c r="AZ182" s="32">
        <v>2596</v>
      </c>
      <c r="BA182" s="32">
        <v>2550</v>
      </c>
      <c r="BB182" s="32">
        <v>2523</v>
      </c>
      <c r="BC182" s="32">
        <v>2535</v>
      </c>
      <c r="BD182" s="32">
        <v>2593</v>
      </c>
      <c r="BE182" s="32">
        <v>2579</v>
      </c>
      <c r="BF182" s="32">
        <v>2580</v>
      </c>
      <c r="BG182" s="32">
        <v>2548</v>
      </c>
      <c r="BH182" s="32">
        <v>2530</v>
      </c>
      <c r="BI182" s="32">
        <v>2613</v>
      </c>
      <c r="BJ182" s="32">
        <v>2620</v>
      </c>
      <c r="BK182" s="32">
        <v>2610</v>
      </c>
      <c r="BL182" s="33">
        <v>2580</v>
      </c>
    </row>
    <row r="183" spans="1:64" ht="15.95" customHeight="1">
      <c r="A183" s="68" t="s">
        <v>439</v>
      </c>
      <c r="B183" s="28" t="s">
        <v>243</v>
      </c>
      <c r="C183" s="42">
        <f>_xll.RssMarket("6507","高値")</f>
        <v>15880</v>
      </c>
      <c r="D183" s="41">
        <f t="shared" si="2"/>
        <v>0</v>
      </c>
      <c r="E183" s="37">
        <v>15880</v>
      </c>
      <c r="F183" s="37">
        <v>14800</v>
      </c>
      <c r="G183" s="32">
        <v>14160</v>
      </c>
      <c r="H183" s="32">
        <v>13900</v>
      </c>
      <c r="I183" s="32">
        <v>13310</v>
      </c>
      <c r="J183" s="32">
        <v>13900</v>
      </c>
      <c r="K183" s="32">
        <v>14610</v>
      </c>
      <c r="L183" s="32">
        <v>15480</v>
      </c>
      <c r="M183" s="32">
        <v>15340</v>
      </c>
      <c r="N183" s="32">
        <v>14490</v>
      </c>
      <c r="O183" s="32">
        <v>14420</v>
      </c>
      <c r="P183" s="32">
        <v>14300</v>
      </c>
      <c r="Q183" s="32">
        <v>14450</v>
      </c>
      <c r="R183" s="32">
        <v>15310</v>
      </c>
      <c r="S183" s="32">
        <v>14610</v>
      </c>
      <c r="T183" s="32">
        <v>14240</v>
      </c>
      <c r="U183" s="32">
        <v>13800</v>
      </c>
      <c r="V183" s="32">
        <v>13290</v>
      </c>
      <c r="W183" s="32">
        <v>15720</v>
      </c>
      <c r="X183" s="32">
        <v>15460</v>
      </c>
      <c r="Y183" s="32">
        <v>16900</v>
      </c>
      <c r="Z183" s="32">
        <v>16110</v>
      </c>
      <c r="AA183" s="32">
        <v>14820</v>
      </c>
      <c r="AB183" s="32">
        <v>15290</v>
      </c>
      <c r="AC183" s="32">
        <v>15200</v>
      </c>
      <c r="AD183" s="32">
        <v>14950</v>
      </c>
      <c r="AE183" s="32">
        <v>15640</v>
      </c>
      <c r="AF183" s="32">
        <v>14640</v>
      </c>
      <c r="AG183" s="32">
        <v>14430</v>
      </c>
      <c r="AH183" s="32">
        <v>14150</v>
      </c>
      <c r="AI183" s="32">
        <v>13900</v>
      </c>
      <c r="AJ183" s="32">
        <v>13470</v>
      </c>
      <c r="AK183" s="32">
        <v>13600</v>
      </c>
      <c r="AL183" s="32">
        <v>13480</v>
      </c>
      <c r="AM183" s="32">
        <v>13720</v>
      </c>
      <c r="AN183" s="32">
        <v>13920</v>
      </c>
      <c r="AO183" s="32">
        <v>13890</v>
      </c>
      <c r="AP183" s="32">
        <v>14060</v>
      </c>
      <c r="AQ183" s="32">
        <v>13550</v>
      </c>
      <c r="AR183" s="32">
        <v>13700</v>
      </c>
      <c r="AS183" s="32">
        <v>13590</v>
      </c>
      <c r="AT183" s="32">
        <v>13540</v>
      </c>
      <c r="AU183" s="32">
        <v>13030</v>
      </c>
      <c r="AV183" s="32">
        <v>13050</v>
      </c>
      <c r="AW183" s="32">
        <v>12280</v>
      </c>
      <c r="AX183" s="32">
        <v>12280</v>
      </c>
      <c r="AY183" s="32">
        <v>12250</v>
      </c>
      <c r="AZ183" s="32">
        <v>12390</v>
      </c>
      <c r="BA183" s="32">
        <v>11380</v>
      </c>
      <c r="BB183" s="32">
        <v>10820</v>
      </c>
      <c r="BC183" s="32">
        <v>10850</v>
      </c>
      <c r="BD183" s="32">
        <v>11690</v>
      </c>
      <c r="BE183" s="32">
        <v>12380</v>
      </c>
      <c r="BF183" s="32">
        <v>12440</v>
      </c>
      <c r="BG183" s="32">
        <v>12100</v>
      </c>
      <c r="BH183" s="32">
        <v>12000</v>
      </c>
      <c r="BI183" s="32">
        <v>12830</v>
      </c>
      <c r="BJ183" s="32">
        <v>13030</v>
      </c>
      <c r="BK183" s="32">
        <v>13260</v>
      </c>
      <c r="BL183" s="33">
        <v>13180</v>
      </c>
    </row>
    <row r="184" spans="1:64" ht="15.95" customHeight="1">
      <c r="A184" s="68" t="s">
        <v>440</v>
      </c>
      <c r="B184" s="28" t="s">
        <v>244</v>
      </c>
      <c r="C184" s="42">
        <f>_xll.RssMarket("9022","高値")</f>
        <v>3371</v>
      </c>
      <c r="D184" s="41">
        <f t="shared" si="2"/>
        <v>0</v>
      </c>
      <c r="E184" s="37">
        <v>3371</v>
      </c>
      <c r="F184" s="37">
        <v>3351</v>
      </c>
      <c r="G184" s="32">
        <v>3428</v>
      </c>
      <c r="H184" s="32">
        <v>3410</v>
      </c>
      <c r="I184" s="32">
        <v>3516</v>
      </c>
      <c r="J184" s="32">
        <v>3509</v>
      </c>
      <c r="K184" s="32">
        <v>3394</v>
      </c>
      <c r="L184" s="32">
        <v>3390</v>
      </c>
      <c r="M184" s="32">
        <v>3323</v>
      </c>
      <c r="N184" s="32">
        <v>3348</v>
      </c>
      <c r="O184" s="32">
        <v>3398</v>
      </c>
      <c r="P184" s="32">
        <v>3532</v>
      </c>
      <c r="Q184" s="32">
        <v>3526</v>
      </c>
      <c r="R184" s="32">
        <v>3540</v>
      </c>
      <c r="S184" s="32">
        <v>3553</v>
      </c>
      <c r="T184" s="32">
        <v>3573</v>
      </c>
      <c r="U184" s="32">
        <v>3601</v>
      </c>
      <c r="V184" s="32">
        <v>3609</v>
      </c>
      <c r="W184" s="32">
        <v>3634</v>
      </c>
      <c r="X184" s="32">
        <v>3627</v>
      </c>
      <c r="Y184" s="32">
        <v>3641</v>
      </c>
      <c r="Z184" s="32">
        <v>3659</v>
      </c>
      <c r="AA184" s="32">
        <v>3663</v>
      </c>
      <c r="AB184" s="32">
        <v>3613</v>
      </c>
      <c r="AC184" s="32">
        <v>3647</v>
      </c>
      <c r="AD184" s="32">
        <v>3715</v>
      </c>
      <c r="AE184" s="32">
        <v>3721</v>
      </c>
      <c r="AF184" s="32">
        <v>3707</v>
      </c>
      <c r="AG184" s="32">
        <v>3833</v>
      </c>
      <c r="AH184" s="32">
        <v>4161</v>
      </c>
      <c r="AI184" s="32">
        <v>4102</v>
      </c>
      <c r="AJ184" s="32">
        <v>4122</v>
      </c>
      <c r="AK184" s="32">
        <v>4101</v>
      </c>
      <c r="AL184" s="32">
        <v>4200</v>
      </c>
      <c r="AM184" s="32">
        <v>4290</v>
      </c>
      <c r="AN184" s="32">
        <v>4275</v>
      </c>
      <c r="AO184" s="32">
        <v>4290</v>
      </c>
      <c r="AP184" s="32">
        <v>4341</v>
      </c>
      <c r="AQ184" s="32">
        <v>4430</v>
      </c>
      <c r="AR184" s="32">
        <v>4261</v>
      </c>
      <c r="AS184" s="32">
        <v>4247</v>
      </c>
      <c r="AT184" s="32">
        <v>4283</v>
      </c>
      <c r="AU184" s="32">
        <v>4278</v>
      </c>
      <c r="AV184" s="32">
        <v>4223</v>
      </c>
      <c r="AW184" s="32">
        <v>4119</v>
      </c>
      <c r="AX184" s="32">
        <v>4159</v>
      </c>
      <c r="AY184" s="32">
        <v>4205</v>
      </c>
      <c r="AZ184" s="32">
        <v>4245</v>
      </c>
      <c r="BA184" s="32">
        <v>4204</v>
      </c>
      <c r="BB184" s="32">
        <v>4144</v>
      </c>
      <c r="BC184" s="32">
        <v>4183</v>
      </c>
      <c r="BD184" s="32">
        <v>4258</v>
      </c>
      <c r="BE184" s="32">
        <v>4302</v>
      </c>
      <c r="BF184" s="32">
        <v>4293</v>
      </c>
      <c r="BG184" s="32">
        <v>4207</v>
      </c>
      <c r="BH184" s="32">
        <v>4192</v>
      </c>
      <c r="BI184" s="32">
        <v>4314</v>
      </c>
      <c r="BJ184" s="32">
        <v>4400</v>
      </c>
      <c r="BK184" s="32">
        <v>4365</v>
      </c>
      <c r="BL184" s="33">
        <v>4302</v>
      </c>
    </row>
    <row r="185" spans="1:64" ht="15.95" customHeight="1">
      <c r="A185" s="68" t="s">
        <v>441</v>
      </c>
      <c r="B185" s="28" t="s">
        <v>245</v>
      </c>
      <c r="C185" s="42">
        <f>_xll.RssMarket("9536","高値")</f>
        <v>2262</v>
      </c>
      <c r="D185" s="41">
        <f t="shared" si="2"/>
        <v>0</v>
      </c>
      <c r="E185" s="37">
        <v>2262</v>
      </c>
      <c r="F185" s="37">
        <v>2278</v>
      </c>
      <c r="G185" s="32">
        <v>2275</v>
      </c>
      <c r="H185" s="32">
        <v>2248</v>
      </c>
      <c r="I185" s="32">
        <v>2244</v>
      </c>
      <c r="J185" s="32">
        <v>2245</v>
      </c>
      <c r="K185" s="32">
        <v>2210</v>
      </c>
      <c r="L185" s="32">
        <v>2230</v>
      </c>
      <c r="M185" s="32">
        <v>2191</v>
      </c>
      <c r="N185" s="32">
        <v>2193</v>
      </c>
      <c r="O185" s="32">
        <v>2181</v>
      </c>
      <c r="P185" s="32">
        <v>2227</v>
      </c>
      <c r="Q185" s="32">
        <v>2210</v>
      </c>
      <c r="R185" s="32">
        <v>2225</v>
      </c>
      <c r="S185" s="32">
        <v>2228</v>
      </c>
      <c r="T185" s="32">
        <v>2233</v>
      </c>
      <c r="U185" s="32">
        <v>2225</v>
      </c>
      <c r="V185" s="32">
        <v>2233</v>
      </c>
      <c r="W185" s="32">
        <v>2249</v>
      </c>
      <c r="X185" s="32">
        <v>2250</v>
      </c>
      <c r="Y185" s="32">
        <v>2264</v>
      </c>
      <c r="Z185" s="32">
        <v>2254</v>
      </c>
      <c r="AA185" s="32">
        <v>2240</v>
      </c>
      <c r="AB185" s="32">
        <v>2266</v>
      </c>
      <c r="AC185" s="32">
        <v>2255</v>
      </c>
      <c r="AD185" s="32">
        <v>2256</v>
      </c>
      <c r="AE185" s="32">
        <v>2278</v>
      </c>
      <c r="AF185" s="32">
        <v>2246</v>
      </c>
      <c r="AG185" s="32">
        <v>2358</v>
      </c>
      <c r="AH185" s="32">
        <v>2457</v>
      </c>
      <c r="AI185" s="32">
        <v>2470</v>
      </c>
      <c r="AJ185" s="32">
        <v>2478</v>
      </c>
      <c r="AK185" s="32">
        <v>2460</v>
      </c>
      <c r="AL185" s="32">
        <v>2519</v>
      </c>
      <c r="AM185" s="32">
        <v>2562</v>
      </c>
      <c r="AN185" s="32">
        <v>2588</v>
      </c>
      <c r="AO185" s="32">
        <v>2629</v>
      </c>
      <c r="AP185" s="32">
        <v>2616</v>
      </c>
      <c r="AQ185" s="32">
        <v>2602</v>
      </c>
      <c r="AR185" s="32">
        <v>2582</v>
      </c>
      <c r="AS185" s="32">
        <v>2582</v>
      </c>
      <c r="AT185" s="32">
        <v>2595</v>
      </c>
      <c r="AU185" s="32">
        <v>2634</v>
      </c>
      <c r="AV185" s="32">
        <v>2634</v>
      </c>
      <c r="AW185" s="32">
        <v>2617</v>
      </c>
      <c r="AX185" s="32">
        <v>2581</v>
      </c>
      <c r="AY185" s="32">
        <v>2585</v>
      </c>
      <c r="AZ185" s="32">
        <v>2615</v>
      </c>
      <c r="BA185" s="32">
        <v>2582</v>
      </c>
      <c r="BB185" s="32">
        <v>2574</v>
      </c>
      <c r="BC185" s="32">
        <v>2579</v>
      </c>
      <c r="BD185" s="32">
        <v>2605</v>
      </c>
      <c r="BE185" s="32">
        <v>2603</v>
      </c>
      <c r="BF185" s="32">
        <v>2601</v>
      </c>
      <c r="BG185" s="32">
        <v>2531</v>
      </c>
      <c r="BH185" s="32">
        <v>2460</v>
      </c>
      <c r="BI185" s="32">
        <v>2560</v>
      </c>
      <c r="BJ185" s="32">
        <v>2570</v>
      </c>
      <c r="BK185" s="32">
        <v>2523</v>
      </c>
      <c r="BL185" s="33">
        <v>2531</v>
      </c>
    </row>
    <row r="186" spans="1:64" ht="15.95" customHeight="1">
      <c r="A186" s="68" t="s">
        <v>442</v>
      </c>
      <c r="B186" s="28" t="s">
        <v>246</v>
      </c>
      <c r="C186" s="42">
        <f>_xll.RssMarket("9506","高値")</f>
        <v>1053</v>
      </c>
      <c r="D186" s="41">
        <f t="shared" si="2"/>
        <v>0</v>
      </c>
      <c r="E186" s="37">
        <v>1053</v>
      </c>
      <c r="F186" s="37">
        <v>1066</v>
      </c>
      <c r="G186" s="32">
        <v>1067</v>
      </c>
      <c r="H186" s="32">
        <v>1033.5</v>
      </c>
      <c r="I186" s="32">
        <v>1034.5</v>
      </c>
      <c r="J186" s="32">
        <v>1020</v>
      </c>
      <c r="K186" s="32">
        <v>1006.5</v>
      </c>
      <c r="L186" s="32">
        <v>1014</v>
      </c>
      <c r="M186" s="32">
        <v>1005.5</v>
      </c>
      <c r="N186" s="32">
        <v>1016</v>
      </c>
      <c r="O186" s="32">
        <v>990.6</v>
      </c>
      <c r="P186" s="32">
        <v>1011.5</v>
      </c>
      <c r="Q186" s="32">
        <v>1001.5</v>
      </c>
      <c r="R186" s="32">
        <v>1020.5</v>
      </c>
      <c r="S186" s="32">
        <v>1019.5</v>
      </c>
      <c r="T186" s="32">
        <v>1033.5</v>
      </c>
      <c r="U186" s="32">
        <v>1034.5</v>
      </c>
      <c r="V186" s="32">
        <v>1024</v>
      </c>
      <c r="W186" s="32">
        <v>1053</v>
      </c>
      <c r="X186" s="32">
        <v>1066</v>
      </c>
      <c r="Y186" s="32">
        <v>1061.5</v>
      </c>
      <c r="Z186" s="32">
        <v>1077</v>
      </c>
      <c r="AA186" s="32">
        <v>1073.5</v>
      </c>
      <c r="AB186" s="32">
        <v>1068.5</v>
      </c>
      <c r="AC186" s="32">
        <v>1104.5</v>
      </c>
      <c r="AD186" s="32">
        <v>1111.5</v>
      </c>
      <c r="AE186" s="32">
        <v>1095</v>
      </c>
      <c r="AF186" s="32">
        <v>1140.5</v>
      </c>
      <c r="AG186" s="32">
        <v>1157</v>
      </c>
      <c r="AH186" s="32">
        <v>1131</v>
      </c>
      <c r="AI186" s="32">
        <v>1149</v>
      </c>
      <c r="AJ186" s="32">
        <v>1128</v>
      </c>
      <c r="AK186" s="32">
        <v>1153</v>
      </c>
      <c r="AL186" s="32">
        <v>1168</v>
      </c>
      <c r="AM186" s="32">
        <v>1194.5</v>
      </c>
      <c r="AN186" s="32">
        <v>1193</v>
      </c>
      <c r="AO186" s="32">
        <v>1185</v>
      </c>
      <c r="AP186" s="32">
        <v>1191</v>
      </c>
      <c r="AQ186" s="32">
        <v>1175.5</v>
      </c>
      <c r="AR186" s="32">
        <v>1175.5</v>
      </c>
      <c r="AS186" s="32">
        <v>1192</v>
      </c>
      <c r="AT186" s="32">
        <v>1192</v>
      </c>
      <c r="AU186" s="32">
        <v>1200</v>
      </c>
      <c r="AV186" s="32">
        <v>1194.5</v>
      </c>
      <c r="AW186" s="32">
        <v>1195</v>
      </c>
      <c r="AX186" s="32">
        <v>1197.5</v>
      </c>
      <c r="AY186" s="32">
        <v>1227</v>
      </c>
      <c r="AZ186" s="32">
        <v>1200</v>
      </c>
      <c r="BA186" s="32">
        <v>1192</v>
      </c>
      <c r="BB186" s="32">
        <v>1194</v>
      </c>
      <c r="BC186" s="32">
        <v>1212.5</v>
      </c>
      <c r="BD186" s="32">
        <v>1196.5</v>
      </c>
      <c r="BE186" s="32">
        <v>1173.5</v>
      </c>
      <c r="BF186" s="32">
        <v>1153</v>
      </c>
      <c r="BG186" s="32">
        <v>1126</v>
      </c>
      <c r="BH186" s="32">
        <v>1187.5</v>
      </c>
      <c r="BI186" s="32">
        <v>1198</v>
      </c>
      <c r="BJ186" s="32">
        <v>1153</v>
      </c>
      <c r="BK186" s="32">
        <v>1158.5</v>
      </c>
      <c r="BL186" s="33">
        <v>1162</v>
      </c>
    </row>
    <row r="187" spans="1:64" ht="15.95" customHeight="1">
      <c r="A187" s="68" t="s">
        <v>443</v>
      </c>
      <c r="B187" s="28" t="s">
        <v>247</v>
      </c>
      <c r="C187" s="42">
        <f>_xll.RssMarket("2127","高値")</f>
        <v>653.4</v>
      </c>
      <c r="D187" s="41">
        <f t="shared" si="2"/>
        <v>0</v>
      </c>
      <c r="E187" s="37">
        <v>653.4</v>
      </c>
      <c r="F187" s="37">
        <v>640.79999999999995</v>
      </c>
      <c r="G187" s="32">
        <v>647.5</v>
      </c>
      <c r="H187" s="32">
        <v>653</v>
      </c>
      <c r="I187" s="32">
        <v>644.70000000000005</v>
      </c>
      <c r="J187" s="32">
        <v>642.9</v>
      </c>
      <c r="K187" s="32">
        <v>641.79999999999995</v>
      </c>
      <c r="L187" s="32">
        <v>645.79999999999995</v>
      </c>
      <c r="M187" s="32">
        <v>628.4</v>
      </c>
      <c r="N187" s="32">
        <v>648.20000000000005</v>
      </c>
      <c r="O187" s="32">
        <v>659</v>
      </c>
      <c r="P187" s="32">
        <v>661.8</v>
      </c>
      <c r="Q187" s="32">
        <v>660</v>
      </c>
      <c r="R187" s="32">
        <v>672.6</v>
      </c>
      <c r="S187" s="32">
        <v>666.3</v>
      </c>
      <c r="T187" s="32">
        <v>664.5</v>
      </c>
      <c r="U187" s="32">
        <v>662.8</v>
      </c>
      <c r="V187" s="32">
        <v>653.70000000000005</v>
      </c>
      <c r="W187" s="32">
        <v>660.2</v>
      </c>
      <c r="X187" s="32">
        <v>643.6</v>
      </c>
      <c r="Y187" s="32">
        <v>643.9</v>
      </c>
      <c r="Z187" s="32">
        <v>644.5</v>
      </c>
      <c r="AA187" s="32">
        <v>644.79999999999995</v>
      </c>
      <c r="AB187" s="32">
        <v>654.79999999999995</v>
      </c>
      <c r="AC187" s="32">
        <v>659</v>
      </c>
      <c r="AD187" s="32">
        <v>656.3</v>
      </c>
      <c r="AE187" s="32">
        <v>652.6</v>
      </c>
      <c r="AF187" s="32">
        <v>636.4</v>
      </c>
      <c r="AG187" s="32">
        <v>682.3</v>
      </c>
      <c r="AH187" s="32">
        <v>696.9</v>
      </c>
      <c r="AI187" s="32">
        <v>679.7</v>
      </c>
      <c r="AJ187" s="32">
        <v>688.5</v>
      </c>
      <c r="AK187" s="32">
        <v>688</v>
      </c>
      <c r="AL187" s="32">
        <v>702.5</v>
      </c>
      <c r="AM187" s="32">
        <v>698</v>
      </c>
      <c r="AN187" s="32">
        <v>691.5</v>
      </c>
      <c r="AO187" s="32">
        <v>695</v>
      </c>
      <c r="AP187" s="32">
        <v>690.8</v>
      </c>
      <c r="AQ187" s="32">
        <v>677</v>
      </c>
      <c r="AR187" s="32">
        <v>670.5</v>
      </c>
      <c r="AS187" s="32">
        <v>659</v>
      </c>
      <c r="AT187" s="32">
        <v>665.6</v>
      </c>
      <c r="AU187" s="32">
        <v>672.6</v>
      </c>
      <c r="AV187" s="32">
        <v>672.6</v>
      </c>
      <c r="AW187" s="32">
        <v>660.4</v>
      </c>
      <c r="AX187" s="32">
        <v>656.4</v>
      </c>
      <c r="AY187" s="32">
        <v>653.4</v>
      </c>
      <c r="AZ187" s="32">
        <v>658.9</v>
      </c>
      <c r="BA187" s="32">
        <v>648.6</v>
      </c>
      <c r="BB187" s="32">
        <v>636.29999999999995</v>
      </c>
      <c r="BC187" s="32">
        <v>624</v>
      </c>
      <c r="BD187" s="32">
        <v>655.1</v>
      </c>
      <c r="BE187" s="32">
        <v>653.79999999999995</v>
      </c>
      <c r="BF187" s="32">
        <v>651.70000000000005</v>
      </c>
      <c r="BG187" s="32">
        <v>640</v>
      </c>
      <c r="BH187" s="32">
        <v>630</v>
      </c>
      <c r="BI187" s="32">
        <v>643.9</v>
      </c>
      <c r="BJ187" s="32">
        <v>649.5</v>
      </c>
      <c r="BK187" s="32">
        <v>638.5</v>
      </c>
      <c r="BL187" s="33">
        <v>639.70000000000005</v>
      </c>
    </row>
    <row r="188" spans="1:64" ht="15.95" customHeight="1">
      <c r="A188" s="68" t="s">
        <v>444</v>
      </c>
      <c r="B188" s="28" t="s">
        <v>248</v>
      </c>
      <c r="C188" s="42">
        <f>_xll.RssMarket("6753","高値")</f>
        <v>601</v>
      </c>
      <c r="D188" s="41">
        <f t="shared" si="2"/>
        <v>0</v>
      </c>
      <c r="E188" s="37">
        <v>601</v>
      </c>
      <c r="F188" s="37">
        <v>610</v>
      </c>
      <c r="G188" s="32">
        <v>625.9</v>
      </c>
      <c r="H188" s="32">
        <v>631.9</v>
      </c>
      <c r="I188" s="32">
        <v>628.5</v>
      </c>
      <c r="J188" s="32">
        <v>652.79999999999995</v>
      </c>
      <c r="K188" s="32">
        <v>673</v>
      </c>
      <c r="L188" s="32">
        <v>681.6</v>
      </c>
      <c r="M188" s="32">
        <v>675</v>
      </c>
      <c r="N188" s="32">
        <v>673.8</v>
      </c>
      <c r="O188" s="32">
        <v>652.70000000000005</v>
      </c>
      <c r="P188" s="32">
        <v>626.1</v>
      </c>
      <c r="Q188" s="32">
        <v>624.79999999999995</v>
      </c>
      <c r="R188" s="32">
        <v>631.29999999999995</v>
      </c>
      <c r="S188" s="32">
        <v>647.9</v>
      </c>
      <c r="T188" s="32">
        <v>641.6</v>
      </c>
      <c r="U188" s="32">
        <v>615.29999999999995</v>
      </c>
      <c r="V188" s="32">
        <v>636</v>
      </c>
      <c r="W188" s="32">
        <v>642.9</v>
      </c>
      <c r="X188" s="32">
        <v>624.9</v>
      </c>
      <c r="Y188" s="32">
        <v>610.79999999999995</v>
      </c>
      <c r="Z188" s="32">
        <v>585</v>
      </c>
      <c r="AA188" s="32">
        <v>615.1</v>
      </c>
      <c r="AB188" s="32">
        <v>592.79999999999995</v>
      </c>
      <c r="AC188" s="32">
        <v>576.5</v>
      </c>
      <c r="AD188" s="32">
        <v>568.1</v>
      </c>
      <c r="AE188" s="32">
        <v>591</v>
      </c>
      <c r="AF188" s="32">
        <v>587.4</v>
      </c>
      <c r="AG188" s="32">
        <v>566.1</v>
      </c>
      <c r="AH188" s="32">
        <v>566.1</v>
      </c>
      <c r="AI188" s="32">
        <v>551.70000000000005</v>
      </c>
      <c r="AJ188" s="32">
        <v>583</v>
      </c>
      <c r="AK188" s="32">
        <v>607.70000000000005</v>
      </c>
      <c r="AL188" s="32">
        <v>612.79999999999995</v>
      </c>
      <c r="AM188" s="32">
        <v>617</v>
      </c>
      <c r="AN188" s="32">
        <v>622.1</v>
      </c>
      <c r="AO188" s="32">
        <v>622.6</v>
      </c>
      <c r="AP188" s="32">
        <v>607.70000000000005</v>
      </c>
      <c r="AQ188" s="32">
        <v>603.9</v>
      </c>
      <c r="AR188" s="32">
        <v>597</v>
      </c>
      <c r="AS188" s="32">
        <v>598</v>
      </c>
      <c r="AT188" s="32">
        <v>610.79999999999995</v>
      </c>
      <c r="AU188" s="32">
        <v>629.79999999999995</v>
      </c>
      <c r="AV188" s="32">
        <v>643.79999999999995</v>
      </c>
      <c r="AW188" s="32">
        <v>643.1</v>
      </c>
      <c r="AX188" s="32">
        <v>669.5</v>
      </c>
      <c r="AY188" s="32">
        <v>641.1</v>
      </c>
      <c r="AZ188" s="32">
        <v>616.9</v>
      </c>
      <c r="BA188" s="32">
        <v>605.5</v>
      </c>
      <c r="BB188" s="32">
        <v>587.79999999999995</v>
      </c>
      <c r="BC188" s="32">
        <v>571.6</v>
      </c>
      <c r="BD188" s="32">
        <v>593</v>
      </c>
      <c r="BE188" s="32">
        <v>587.79999999999995</v>
      </c>
      <c r="BF188" s="32">
        <v>591.20000000000005</v>
      </c>
      <c r="BG188" s="32">
        <v>582.4</v>
      </c>
      <c r="BH188" s="32">
        <v>569.79999999999995</v>
      </c>
      <c r="BI188" s="32">
        <v>590.29999999999995</v>
      </c>
      <c r="BJ188" s="32">
        <v>599.79999999999995</v>
      </c>
      <c r="BK188" s="32">
        <v>594.79999999999995</v>
      </c>
      <c r="BL188" s="33">
        <v>603</v>
      </c>
    </row>
    <row r="189" spans="1:64" ht="15.95" customHeight="1">
      <c r="A189" s="68" t="s">
        <v>478</v>
      </c>
      <c r="B189" s="28" t="str">
        <f>銘柄管理!C189</f>
        <v>ヤマトホールディングス</v>
      </c>
      <c r="C189" s="42">
        <f>_xll.RssMarket("9064","高値")</f>
        <v>1780</v>
      </c>
      <c r="D189" s="41"/>
      <c r="E189" s="37">
        <v>1780</v>
      </c>
      <c r="F189" s="37">
        <v>1780.5</v>
      </c>
      <c r="G189" s="32">
        <v>1808</v>
      </c>
      <c r="H189" s="32">
        <v>1836</v>
      </c>
      <c r="I189" s="32">
        <v>1821.5</v>
      </c>
      <c r="J189" s="32">
        <v>1808.5</v>
      </c>
      <c r="K189" s="32">
        <v>1816.5</v>
      </c>
      <c r="L189" s="32">
        <v>1828.5</v>
      </c>
      <c r="M189" s="32">
        <v>1830</v>
      </c>
      <c r="N189" s="32">
        <v>1833.5</v>
      </c>
      <c r="O189" s="32">
        <v>1816</v>
      </c>
      <c r="P189" s="32">
        <v>1839</v>
      </c>
      <c r="Q189" s="32">
        <v>1795</v>
      </c>
      <c r="R189" s="32">
        <v>1794</v>
      </c>
      <c r="S189" s="32">
        <v>1787.5</v>
      </c>
      <c r="T189" s="32">
        <v>1780.5</v>
      </c>
      <c r="U189" s="32">
        <v>1792</v>
      </c>
      <c r="V189" s="32">
        <v>1767.5</v>
      </c>
      <c r="W189" s="32">
        <v>1795.5</v>
      </c>
      <c r="X189" s="32">
        <v>1749.5</v>
      </c>
      <c r="Y189" s="32">
        <v>1754</v>
      </c>
      <c r="Z189" s="32">
        <v>1786</v>
      </c>
      <c r="AA189" s="32">
        <v>1763</v>
      </c>
      <c r="AB189" s="32">
        <v>1749</v>
      </c>
      <c r="AC189" s="32">
        <v>1790</v>
      </c>
      <c r="AD189" s="32">
        <v>1833</v>
      </c>
      <c r="AE189" s="32">
        <v>1824</v>
      </c>
      <c r="AF189" s="32">
        <v>1764.5</v>
      </c>
      <c r="AG189" s="32">
        <v>1792</v>
      </c>
      <c r="AH189" s="32">
        <v>1805</v>
      </c>
      <c r="AI189" s="32">
        <v>1798</v>
      </c>
      <c r="AJ189" s="32">
        <v>1782</v>
      </c>
      <c r="AK189" s="32">
        <v>1796</v>
      </c>
      <c r="AL189" s="32">
        <v>1827.5</v>
      </c>
      <c r="AM189" s="32">
        <v>1843.5</v>
      </c>
      <c r="AN189" s="32">
        <v>1855</v>
      </c>
      <c r="AO189" s="32">
        <v>1867</v>
      </c>
      <c r="AP189" s="32">
        <v>1875</v>
      </c>
      <c r="AQ189" s="32">
        <v>1883</v>
      </c>
      <c r="AR189" s="32">
        <v>1866.5</v>
      </c>
      <c r="AS189" s="32">
        <v>1854</v>
      </c>
      <c r="AT189" s="32">
        <v>1875</v>
      </c>
      <c r="AU189" s="32">
        <v>1899</v>
      </c>
      <c r="AV189" s="32">
        <v>1872</v>
      </c>
      <c r="AW189" s="32">
        <v>1829.5</v>
      </c>
      <c r="AX189" s="32">
        <v>1801.5</v>
      </c>
      <c r="AY189" s="32">
        <v>1786.5</v>
      </c>
      <c r="AZ189" s="32">
        <v>1794.5</v>
      </c>
      <c r="BA189" s="32">
        <v>1759.5</v>
      </c>
      <c r="BB189" s="32">
        <v>1762</v>
      </c>
      <c r="BC189" s="32">
        <v>1746</v>
      </c>
      <c r="BD189" s="32">
        <v>1783.5</v>
      </c>
      <c r="BE189" s="32">
        <v>1767.5</v>
      </c>
      <c r="BF189" s="32">
        <v>1768.5</v>
      </c>
      <c r="BG189" s="32">
        <v>1748</v>
      </c>
      <c r="BH189" s="32">
        <v>1728</v>
      </c>
      <c r="BI189" s="32">
        <v>1767</v>
      </c>
      <c r="BJ189" s="32">
        <v>1780</v>
      </c>
      <c r="BK189" s="32">
        <v>1765</v>
      </c>
      <c r="BL189" s="33">
        <v>1776</v>
      </c>
    </row>
    <row r="190" spans="1:64" ht="15.95" customHeight="1">
      <c r="A190" s="68" t="s">
        <v>445</v>
      </c>
      <c r="B190" s="28" t="s">
        <v>480</v>
      </c>
      <c r="C190" s="42">
        <f>_xll.RssMarket("7181","高値")</f>
        <v>1596</v>
      </c>
      <c r="D190" s="41">
        <f>C190-E190</f>
        <v>0</v>
      </c>
      <c r="E190" s="37">
        <v>1596</v>
      </c>
      <c r="F190" s="37">
        <v>1561</v>
      </c>
      <c r="G190" s="32">
        <v>1588.5</v>
      </c>
      <c r="H190" s="32">
        <v>1562.5</v>
      </c>
      <c r="I190" s="32">
        <v>1587.5</v>
      </c>
      <c r="J190" s="32">
        <v>1615</v>
      </c>
      <c r="K190" s="32">
        <v>1455</v>
      </c>
      <c r="L190" s="32">
        <v>1457.5</v>
      </c>
      <c r="M190" s="32">
        <v>1414</v>
      </c>
      <c r="N190" s="32">
        <v>1452.5</v>
      </c>
      <c r="O190" s="32">
        <v>1409.5</v>
      </c>
      <c r="P190" s="32">
        <v>1441.5</v>
      </c>
      <c r="Q190" s="32">
        <v>1465</v>
      </c>
      <c r="R190" s="32">
        <v>1495.5</v>
      </c>
      <c r="S190" s="32">
        <v>1518.5</v>
      </c>
      <c r="T190" s="32">
        <v>1559.5</v>
      </c>
      <c r="U190" s="32">
        <v>1564</v>
      </c>
      <c r="V190" s="32">
        <v>1558</v>
      </c>
      <c r="W190" s="32">
        <v>1525</v>
      </c>
      <c r="X190" s="32">
        <v>1556</v>
      </c>
      <c r="Y190" s="32">
        <v>1650</v>
      </c>
      <c r="Z190" s="32">
        <v>1618</v>
      </c>
      <c r="AA190" s="32">
        <v>1628.5</v>
      </c>
      <c r="AB190" s="32">
        <v>1572</v>
      </c>
      <c r="AC190" s="32">
        <v>1553.5</v>
      </c>
      <c r="AD190" s="32">
        <v>1573</v>
      </c>
      <c r="AE190" s="32">
        <v>1585</v>
      </c>
      <c r="AF190" s="32">
        <v>1544</v>
      </c>
      <c r="AG190" s="32">
        <v>1533</v>
      </c>
      <c r="AH190" s="32">
        <v>1526</v>
      </c>
      <c r="AI190" s="32">
        <v>1493.5</v>
      </c>
      <c r="AJ190" s="32">
        <v>1513</v>
      </c>
      <c r="AK190" s="32">
        <v>1513.5</v>
      </c>
      <c r="AL190" s="32">
        <v>1545</v>
      </c>
      <c r="AM190" s="32">
        <v>1579.5</v>
      </c>
      <c r="AN190" s="32">
        <v>1615</v>
      </c>
      <c r="AO190" s="32">
        <v>1669</v>
      </c>
      <c r="AP190" s="32">
        <v>1676.5</v>
      </c>
      <c r="AQ190" s="32">
        <v>1669.5</v>
      </c>
      <c r="AR190" s="32">
        <v>1636.5</v>
      </c>
      <c r="AS190" s="32">
        <v>1608</v>
      </c>
      <c r="AT190" s="32">
        <v>1608</v>
      </c>
      <c r="AU190" s="32">
        <v>1632.5</v>
      </c>
      <c r="AV190" s="32">
        <v>1657.5</v>
      </c>
      <c r="AW190" s="32">
        <v>1618</v>
      </c>
      <c r="AX190" s="32">
        <v>1624</v>
      </c>
      <c r="AY190" s="32">
        <v>1637</v>
      </c>
      <c r="AZ190" s="32">
        <v>1671</v>
      </c>
      <c r="BA190" s="32">
        <v>1650.5</v>
      </c>
      <c r="BB190" s="32">
        <v>1632</v>
      </c>
      <c r="BC190" s="32">
        <v>1605.5</v>
      </c>
      <c r="BD190" s="32">
        <v>1642.6</v>
      </c>
      <c r="BE190" s="32">
        <v>1631</v>
      </c>
      <c r="BF190" s="32">
        <v>1637.3</v>
      </c>
      <c r="BG190" s="32">
        <v>1586</v>
      </c>
      <c r="BH190" s="32">
        <v>1555</v>
      </c>
      <c r="BI190" s="32">
        <v>1591.6</v>
      </c>
      <c r="BJ190" s="32">
        <v>1615.3</v>
      </c>
      <c r="BK190" s="32">
        <v>1587.3</v>
      </c>
      <c r="BL190" s="33">
        <v>1561</v>
      </c>
    </row>
    <row r="191" spans="1:64" ht="15.95" customHeight="1">
      <c r="A191" s="68" t="s">
        <v>481</v>
      </c>
      <c r="B191" s="28" t="str">
        <f>銘柄管理!C191</f>
        <v>前澤給装工業</v>
      </c>
      <c r="C191" s="42">
        <f>_xll.RssMarket("6485","高値")</f>
        <v>1469</v>
      </c>
      <c r="D191" s="41"/>
      <c r="E191" s="37">
        <v>1469</v>
      </c>
      <c r="F191" s="37">
        <v>1450</v>
      </c>
      <c r="G191" s="32">
        <v>1449</v>
      </c>
      <c r="H191" s="32">
        <v>1433</v>
      </c>
      <c r="I191" s="32">
        <v>1437</v>
      </c>
      <c r="J191" s="32">
        <v>1439</v>
      </c>
      <c r="K191" s="32">
        <v>1434</v>
      </c>
      <c r="L191" s="32">
        <v>1443</v>
      </c>
      <c r="M191" s="32">
        <v>1421</v>
      </c>
      <c r="N191" s="32">
        <v>1402</v>
      </c>
      <c r="O191" s="32">
        <v>1399</v>
      </c>
      <c r="P191" s="32">
        <v>1439</v>
      </c>
      <c r="Q191" s="32">
        <v>1429</v>
      </c>
      <c r="R191" s="32">
        <v>1425</v>
      </c>
      <c r="S191" s="32">
        <v>1432</v>
      </c>
      <c r="T191" s="32">
        <v>1421</v>
      </c>
      <c r="U191" s="32">
        <v>1435</v>
      </c>
      <c r="V191" s="32">
        <v>1452</v>
      </c>
      <c r="W191" s="32">
        <v>1478</v>
      </c>
      <c r="X191" s="32">
        <v>1482</v>
      </c>
      <c r="Y191" s="32">
        <v>1508</v>
      </c>
      <c r="Z191" s="32">
        <v>1496</v>
      </c>
      <c r="AA191" s="32">
        <v>1518</v>
      </c>
      <c r="AB191" s="32">
        <v>1530</v>
      </c>
      <c r="AC191" s="32">
        <v>1529</v>
      </c>
      <c r="AD191" s="32">
        <v>1518</v>
      </c>
      <c r="AE191" s="32">
        <v>1521</v>
      </c>
      <c r="AF191" s="32">
        <v>1505</v>
      </c>
      <c r="AG191" s="32">
        <v>1523</v>
      </c>
      <c r="AH191" s="32">
        <v>1555</v>
      </c>
      <c r="AI191" s="32">
        <v>1519</v>
      </c>
      <c r="AJ191" s="32">
        <v>1528</v>
      </c>
      <c r="AK191" s="32">
        <v>1527</v>
      </c>
      <c r="AL191" s="32">
        <v>1554</v>
      </c>
      <c r="AM191" s="32">
        <v>1566</v>
      </c>
      <c r="AN191" s="32">
        <v>1565</v>
      </c>
      <c r="AO191" s="32">
        <v>1569</v>
      </c>
      <c r="AP191" s="32">
        <v>1586</v>
      </c>
      <c r="AQ191" s="32">
        <v>1605</v>
      </c>
      <c r="AR191" s="32">
        <v>1604</v>
      </c>
      <c r="AS191" s="32">
        <v>1617</v>
      </c>
      <c r="AT191" s="32">
        <v>1634</v>
      </c>
      <c r="AU191" s="32">
        <v>1638</v>
      </c>
      <c r="AV191" s="32">
        <v>1636</v>
      </c>
      <c r="AW191" s="32">
        <v>1608</v>
      </c>
      <c r="AX191" s="32">
        <v>1596</v>
      </c>
      <c r="AY191" s="32">
        <v>1594</v>
      </c>
      <c r="AZ191" s="32">
        <v>1609</v>
      </c>
      <c r="BA191" s="32">
        <v>1593</v>
      </c>
      <c r="BB191" s="32">
        <v>1561</v>
      </c>
      <c r="BC191" s="32">
        <v>1582</v>
      </c>
      <c r="BD191" s="32">
        <v>1634</v>
      </c>
      <c r="BE191" s="32">
        <v>1609</v>
      </c>
      <c r="BF191" s="32">
        <v>1620</v>
      </c>
      <c r="BG191" s="32">
        <v>1589</v>
      </c>
      <c r="BH191" s="32">
        <v>1604</v>
      </c>
      <c r="BI191" s="32">
        <v>1662</v>
      </c>
      <c r="BJ191" s="32">
        <v>1678</v>
      </c>
      <c r="BK191" s="32">
        <v>1653</v>
      </c>
      <c r="BL191" s="33">
        <v>1639</v>
      </c>
    </row>
    <row r="192" spans="1:64" ht="15.95" customHeight="1">
      <c r="A192" s="68" t="s">
        <v>446</v>
      </c>
      <c r="B192" s="28" t="s">
        <v>249</v>
      </c>
      <c r="C192" s="42">
        <f>_xll.RssMarket("4887","高値")</f>
        <v>1683</v>
      </c>
      <c r="D192" s="41">
        <f t="shared" si="2"/>
        <v>0</v>
      </c>
      <c r="E192" s="37">
        <v>1683</v>
      </c>
      <c r="F192" s="37">
        <v>1674</v>
      </c>
      <c r="G192" s="32">
        <v>1710</v>
      </c>
      <c r="H192" s="32">
        <v>1714.5</v>
      </c>
      <c r="I192" s="32">
        <v>1719</v>
      </c>
      <c r="J192" s="32">
        <v>1734</v>
      </c>
      <c r="K192" s="32">
        <v>1715</v>
      </c>
      <c r="L192" s="32">
        <v>1736.5</v>
      </c>
      <c r="M192" s="32">
        <v>1738.5</v>
      </c>
      <c r="N192" s="32">
        <v>1731.5</v>
      </c>
      <c r="O192" s="32">
        <v>1722.5</v>
      </c>
      <c r="P192" s="32">
        <v>1766</v>
      </c>
      <c r="Q192" s="32">
        <v>1778</v>
      </c>
      <c r="R192" s="32">
        <v>1773.5</v>
      </c>
      <c r="S192" s="32">
        <v>1803</v>
      </c>
      <c r="T192" s="32">
        <v>1768</v>
      </c>
      <c r="U192" s="32">
        <v>1824</v>
      </c>
      <c r="V192" s="32">
        <v>1823</v>
      </c>
      <c r="W192" s="32">
        <v>1821.5</v>
      </c>
      <c r="X192" s="32">
        <v>1797</v>
      </c>
      <c r="Y192" s="32">
        <v>2126</v>
      </c>
      <c r="Z192" s="32">
        <v>2099</v>
      </c>
      <c r="AA192" s="32">
        <v>2088</v>
      </c>
      <c r="AB192" s="32">
        <v>2110.5</v>
      </c>
      <c r="AC192" s="32">
        <v>2134</v>
      </c>
      <c r="AD192" s="32">
        <v>2137</v>
      </c>
      <c r="AE192" s="32">
        <v>2146.5</v>
      </c>
      <c r="AF192" s="32">
        <v>2105.5</v>
      </c>
      <c r="AG192" s="32">
        <v>2110.5</v>
      </c>
      <c r="AH192" s="32">
        <v>2112.5</v>
      </c>
      <c r="AI192" s="32">
        <v>2100</v>
      </c>
      <c r="AJ192" s="32">
        <v>2123.5</v>
      </c>
      <c r="AK192" s="32">
        <v>2111.5</v>
      </c>
      <c r="AL192" s="32">
        <v>2162</v>
      </c>
      <c r="AM192" s="32">
        <v>2179.5</v>
      </c>
      <c r="AN192" s="32">
        <v>2225</v>
      </c>
      <c r="AO192" s="32">
        <v>2249.5</v>
      </c>
      <c r="AP192" s="32">
        <v>2257</v>
      </c>
      <c r="AQ192" s="32">
        <v>2222</v>
      </c>
      <c r="AR192" s="32">
        <v>2251</v>
      </c>
      <c r="AS192" s="32">
        <v>2269</v>
      </c>
      <c r="AT192" s="32">
        <v>2262.5</v>
      </c>
      <c r="AU192" s="32">
        <v>2286</v>
      </c>
      <c r="AV192" s="32">
        <v>2314.5</v>
      </c>
      <c r="AW192" s="32">
        <v>2298</v>
      </c>
      <c r="AX192" s="32">
        <v>2318.5</v>
      </c>
      <c r="AY192" s="32">
        <v>2323</v>
      </c>
      <c r="AZ192" s="32">
        <v>2268</v>
      </c>
      <c r="BA192" s="32">
        <v>2275</v>
      </c>
      <c r="BB192" s="32">
        <v>2252</v>
      </c>
      <c r="BC192" s="32">
        <v>2263.5</v>
      </c>
      <c r="BD192" s="32">
        <v>2329.5</v>
      </c>
      <c r="BE192" s="32">
        <v>2285.5</v>
      </c>
      <c r="BF192" s="32">
        <v>2269</v>
      </c>
      <c r="BG192" s="32">
        <v>2198</v>
      </c>
      <c r="BH192" s="32">
        <v>2128</v>
      </c>
      <c r="BI192" s="32">
        <v>2199.5</v>
      </c>
      <c r="BJ192" s="32">
        <v>2209.5</v>
      </c>
      <c r="BK192" s="32">
        <v>2163.5</v>
      </c>
      <c r="BL192" s="33">
        <v>2141</v>
      </c>
    </row>
    <row r="193" spans="1:64" ht="15.95" customHeight="1">
      <c r="A193" s="68" t="s">
        <v>447</v>
      </c>
      <c r="B193" s="28" t="s">
        <v>250</v>
      </c>
      <c r="C193" s="42">
        <f>_xll.RssMarket("5243","高値")</f>
        <v>1855</v>
      </c>
      <c r="D193" s="41">
        <f t="shared" si="2"/>
        <v>0</v>
      </c>
      <c r="E193" s="37">
        <v>1855</v>
      </c>
      <c r="F193" s="37">
        <v>1750</v>
      </c>
      <c r="G193" s="32">
        <v>1702</v>
      </c>
      <c r="H193" s="32">
        <v>1719</v>
      </c>
      <c r="I193" s="32">
        <v>1685</v>
      </c>
      <c r="J193" s="32">
        <v>1737</v>
      </c>
      <c r="K193" s="32">
        <v>1831</v>
      </c>
      <c r="L193" s="32">
        <v>1886</v>
      </c>
      <c r="M193" s="32">
        <v>1883</v>
      </c>
      <c r="N193" s="32">
        <v>1995</v>
      </c>
      <c r="O193" s="32">
        <v>2010</v>
      </c>
      <c r="P193" s="32">
        <v>2120</v>
      </c>
      <c r="Q193" s="32">
        <v>2147</v>
      </c>
      <c r="R193" s="32">
        <v>2220</v>
      </c>
      <c r="S193" s="32">
        <v>2281</v>
      </c>
      <c r="T193" s="32">
        <v>2262</v>
      </c>
      <c r="U193" s="32">
        <v>2227</v>
      </c>
      <c r="V193" s="32">
        <v>2236</v>
      </c>
      <c r="W193" s="32">
        <v>2347</v>
      </c>
      <c r="X193" s="32">
        <v>2274</v>
      </c>
      <c r="Y193" s="32">
        <v>2345</v>
      </c>
      <c r="Z193" s="32">
        <v>2413</v>
      </c>
      <c r="AA193" s="32">
        <v>2410</v>
      </c>
      <c r="AB193" s="32">
        <v>2284</v>
      </c>
      <c r="AC193" s="32">
        <v>2202</v>
      </c>
      <c r="AD193" s="32">
        <v>2302</v>
      </c>
      <c r="AE193" s="32">
        <v>2359</v>
      </c>
      <c r="AF193" s="32">
        <v>2434</v>
      </c>
      <c r="AG193" s="32">
        <v>2481</v>
      </c>
      <c r="AH193" s="32">
        <v>2505</v>
      </c>
      <c r="AI193" s="32">
        <v>2390</v>
      </c>
      <c r="AJ193" s="32">
        <v>2489</v>
      </c>
      <c r="AK193" s="32">
        <v>2625</v>
      </c>
      <c r="AL193" s="32">
        <v>2727</v>
      </c>
      <c r="AM193" s="32">
        <v>2743</v>
      </c>
      <c r="AN193" s="32">
        <v>2658</v>
      </c>
      <c r="AO193" s="32">
        <v>2730</v>
      </c>
      <c r="AP193" s="32">
        <v>2842</v>
      </c>
      <c r="AQ193" s="32">
        <v>3405</v>
      </c>
      <c r="AR193" s="32">
        <v>3030</v>
      </c>
      <c r="AS193" s="32">
        <v>2966</v>
      </c>
      <c r="AT193" s="32">
        <v>2736</v>
      </c>
      <c r="AU193" s="32">
        <v>2710</v>
      </c>
      <c r="AV193" s="32">
        <v>2752</v>
      </c>
      <c r="AW193" s="32">
        <v>2625</v>
      </c>
      <c r="AX193" s="32">
        <v>2580</v>
      </c>
      <c r="AY193" s="32">
        <v>2618</v>
      </c>
      <c r="AZ193" s="32">
        <v>2629</v>
      </c>
      <c r="BA193" s="32">
        <v>2569</v>
      </c>
      <c r="BB193" s="32">
        <v>2510</v>
      </c>
      <c r="BC193" s="32">
        <v>2510</v>
      </c>
      <c r="BD193" s="32">
        <v>2550</v>
      </c>
      <c r="BE193" s="32">
        <v>2578</v>
      </c>
      <c r="BF193" s="32">
        <v>2547</v>
      </c>
      <c r="BG193" s="32">
        <v>2260</v>
      </c>
      <c r="BH193" s="32">
        <v>2174</v>
      </c>
      <c r="BI193" s="32">
        <v>2258</v>
      </c>
      <c r="BJ193" s="32">
        <v>2365</v>
      </c>
      <c r="BK193" s="32">
        <v>2454</v>
      </c>
      <c r="BL193" s="33">
        <v>2508</v>
      </c>
    </row>
    <row r="194" spans="1:64" ht="15.95" customHeight="1">
      <c r="A194" s="68" t="s">
        <v>448</v>
      </c>
      <c r="B194" s="28" t="s">
        <v>251</v>
      </c>
      <c r="C194" s="42">
        <f>_xll.RssMarket("2702","高値")</f>
        <v>7490</v>
      </c>
      <c r="D194" s="41">
        <f t="shared" si="2"/>
        <v>0</v>
      </c>
      <c r="E194" s="37">
        <v>7490</v>
      </c>
      <c r="F194" s="37">
        <v>7480</v>
      </c>
      <c r="G194" s="32">
        <v>7590</v>
      </c>
      <c r="H194" s="32">
        <v>7500</v>
      </c>
      <c r="I194" s="32">
        <v>7480</v>
      </c>
      <c r="J194" s="32">
        <v>7380</v>
      </c>
      <c r="K194" s="32">
        <v>7490</v>
      </c>
      <c r="L194" s="32">
        <v>7530</v>
      </c>
      <c r="M194" s="32">
        <v>7590</v>
      </c>
      <c r="N194" s="32">
        <v>7710</v>
      </c>
      <c r="O194" s="32">
        <v>7860</v>
      </c>
      <c r="P194" s="32">
        <v>7900</v>
      </c>
      <c r="Q194" s="32">
        <v>8160</v>
      </c>
      <c r="R194" s="32">
        <v>8180</v>
      </c>
      <c r="S194" s="32">
        <v>8140</v>
      </c>
      <c r="T194" s="32">
        <v>8230</v>
      </c>
      <c r="U194" s="32">
        <v>8110</v>
      </c>
      <c r="V194" s="32">
        <v>8010</v>
      </c>
      <c r="W194" s="32">
        <v>8190</v>
      </c>
      <c r="X194" s="32">
        <v>8300</v>
      </c>
      <c r="Y194" s="32">
        <v>8590</v>
      </c>
      <c r="Z194" s="32">
        <v>8780</v>
      </c>
      <c r="AA194" s="32">
        <v>7830</v>
      </c>
      <c r="AB194" s="32">
        <v>7880</v>
      </c>
      <c r="AC194" s="32">
        <v>8030</v>
      </c>
      <c r="AD194" s="32">
        <v>8160</v>
      </c>
      <c r="AE194" s="32">
        <v>8170</v>
      </c>
      <c r="AF194" s="32">
        <v>8220</v>
      </c>
      <c r="AG194" s="32">
        <v>8270</v>
      </c>
      <c r="AH194" s="32">
        <v>8250</v>
      </c>
      <c r="AI194" s="32">
        <v>8150</v>
      </c>
      <c r="AJ194" s="32">
        <v>8210</v>
      </c>
      <c r="AK194" s="32">
        <v>8260</v>
      </c>
      <c r="AL194" s="32">
        <v>8310</v>
      </c>
      <c r="AM194" s="32">
        <v>8260</v>
      </c>
      <c r="AN194" s="32">
        <v>8280</v>
      </c>
      <c r="AO194" s="32">
        <v>8280</v>
      </c>
      <c r="AP194" s="32">
        <v>8250</v>
      </c>
      <c r="AQ194" s="32">
        <v>8170</v>
      </c>
      <c r="AR194" s="32">
        <v>8280</v>
      </c>
      <c r="AS194" s="32">
        <v>8490</v>
      </c>
      <c r="AT194" s="32">
        <v>8690</v>
      </c>
      <c r="AU194" s="32">
        <v>8760</v>
      </c>
      <c r="AV194" s="32">
        <v>8630</v>
      </c>
      <c r="AW194" s="32">
        <v>8480</v>
      </c>
      <c r="AX194" s="32">
        <v>8420</v>
      </c>
      <c r="AY194" s="32">
        <v>8360</v>
      </c>
      <c r="AZ194" s="32">
        <v>8350</v>
      </c>
      <c r="BA194" s="32">
        <v>8440</v>
      </c>
      <c r="BB194" s="32">
        <v>8430</v>
      </c>
      <c r="BC194" s="32">
        <v>8380</v>
      </c>
      <c r="BD194" s="32">
        <v>8110</v>
      </c>
      <c r="BE194" s="32">
        <v>8150</v>
      </c>
      <c r="BF194" s="32">
        <v>8050</v>
      </c>
      <c r="BG194" s="32">
        <v>7940</v>
      </c>
      <c r="BH194" s="32">
        <v>8020</v>
      </c>
      <c r="BI194" s="32">
        <v>8030</v>
      </c>
      <c r="BJ194" s="32">
        <v>7960</v>
      </c>
      <c r="BK194" s="32">
        <v>7900</v>
      </c>
      <c r="BL194" s="33">
        <v>7850</v>
      </c>
    </row>
    <row r="195" spans="1:64" ht="15.95" customHeight="1">
      <c r="A195" s="68" t="s">
        <v>449</v>
      </c>
      <c r="B195" s="28" t="s">
        <v>252</v>
      </c>
      <c r="C195" s="42">
        <f>_xll.RssMarket("6890","高値")</f>
        <v>9500</v>
      </c>
      <c r="D195" s="41">
        <f t="shared" si="2"/>
        <v>0</v>
      </c>
      <c r="E195" s="37">
        <v>9500</v>
      </c>
      <c r="F195" s="37">
        <v>9600</v>
      </c>
      <c r="G195" s="32">
        <v>9390</v>
      </c>
      <c r="H195" s="32">
        <v>9440</v>
      </c>
      <c r="I195" s="32">
        <v>7990</v>
      </c>
      <c r="J195" s="32">
        <v>8220</v>
      </c>
      <c r="K195" s="32">
        <v>8640</v>
      </c>
      <c r="L195" s="32">
        <v>9150</v>
      </c>
      <c r="M195" s="32">
        <v>9070</v>
      </c>
      <c r="N195" s="32">
        <v>8330</v>
      </c>
      <c r="O195" s="32">
        <v>8050</v>
      </c>
      <c r="P195" s="32">
        <v>9020</v>
      </c>
      <c r="Q195" s="32">
        <v>8630</v>
      </c>
      <c r="R195" s="32">
        <v>9340</v>
      </c>
      <c r="S195" s="32">
        <v>9380</v>
      </c>
      <c r="T195" s="32">
        <v>9150</v>
      </c>
      <c r="U195" s="32">
        <v>9230</v>
      </c>
      <c r="V195" s="32">
        <v>9140</v>
      </c>
      <c r="W195" s="32">
        <v>9340</v>
      </c>
      <c r="X195" s="32">
        <v>9610</v>
      </c>
      <c r="Y195" s="32">
        <v>10030</v>
      </c>
      <c r="Z195" s="32">
        <v>10430</v>
      </c>
      <c r="AA195" s="32">
        <v>9500</v>
      </c>
      <c r="AB195" s="32">
        <v>10110</v>
      </c>
      <c r="AC195" s="32">
        <v>9980</v>
      </c>
      <c r="AD195" s="32">
        <v>9690</v>
      </c>
      <c r="AE195" s="32">
        <v>9240</v>
      </c>
      <c r="AF195" s="32">
        <v>8190</v>
      </c>
      <c r="AG195" s="32">
        <v>7870</v>
      </c>
      <c r="AH195" s="32">
        <v>7750</v>
      </c>
      <c r="AI195" s="32">
        <v>7590</v>
      </c>
      <c r="AJ195" s="32">
        <v>7590</v>
      </c>
      <c r="AK195" s="32">
        <v>7290</v>
      </c>
      <c r="AL195" s="32">
        <v>7010</v>
      </c>
      <c r="AM195" s="32">
        <v>6910</v>
      </c>
      <c r="AN195" s="32">
        <v>6830</v>
      </c>
      <c r="AO195" s="32">
        <v>6820</v>
      </c>
      <c r="AP195" s="32">
        <v>6820</v>
      </c>
      <c r="AQ195" s="32">
        <v>6950</v>
      </c>
      <c r="AR195" s="32">
        <v>7220</v>
      </c>
      <c r="AS195" s="32">
        <v>7050</v>
      </c>
      <c r="AT195" s="32">
        <v>7170</v>
      </c>
      <c r="AU195" s="32">
        <v>6990</v>
      </c>
      <c r="AV195" s="32">
        <v>6870</v>
      </c>
      <c r="AW195" s="32">
        <v>6760</v>
      </c>
      <c r="AX195" s="32">
        <v>6630</v>
      </c>
      <c r="AY195" s="32">
        <v>6600</v>
      </c>
      <c r="AZ195" s="32">
        <v>6950</v>
      </c>
      <c r="BA195" s="32">
        <v>6800</v>
      </c>
      <c r="BB195" s="32">
        <v>6480</v>
      </c>
      <c r="BC195" s="32">
        <v>6610</v>
      </c>
      <c r="BD195" s="32">
        <v>6660</v>
      </c>
      <c r="BE195" s="32">
        <v>6510</v>
      </c>
      <c r="BF195" s="32">
        <v>6500</v>
      </c>
      <c r="BG195" s="32">
        <v>5960</v>
      </c>
      <c r="BH195" s="32">
        <v>5910</v>
      </c>
      <c r="BI195" s="32">
        <v>6250</v>
      </c>
      <c r="BJ195" s="32">
        <v>6310</v>
      </c>
      <c r="BK195" s="32">
        <v>6260</v>
      </c>
      <c r="BL195" s="33">
        <v>6210</v>
      </c>
    </row>
    <row r="196" spans="1:64" ht="15.95" customHeight="1">
      <c r="A196" s="68" t="s">
        <v>450</v>
      </c>
      <c r="B196" s="28" t="s">
        <v>253</v>
      </c>
      <c r="C196" s="42">
        <f>_xll.RssMarket("4966","高値")</f>
        <v>26440</v>
      </c>
      <c r="D196" s="41">
        <f t="shared" si="2"/>
        <v>0</v>
      </c>
      <c r="E196" s="37">
        <v>26440</v>
      </c>
      <c r="F196" s="37">
        <v>26620</v>
      </c>
      <c r="G196" s="32">
        <v>26410</v>
      </c>
      <c r="H196" s="32">
        <v>24720</v>
      </c>
      <c r="I196" s="32">
        <v>23320</v>
      </c>
      <c r="J196" s="32">
        <v>22900</v>
      </c>
      <c r="K196" s="32">
        <v>22140</v>
      </c>
      <c r="L196" s="32">
        <v>23020</v>
      </c>
      <c r="M196" s="32">
        <v>23620</v>
      </c>
      <c r="N196" s="32">
        <v>24190</v>
      </c>
      <c r="O196" s="32">
        <v>23200</v>
      </c>
      <c r="P196" s="32">
        <v>23710</v>
      </c>
      <c r="Q196" s="32">
        <v>23600</v>
      </c>
      <c r="R196" s="32">
        <v>24360</v>
      </c>
      <c r="S196" s="32">
        <v>24770</v>
      </c>
      <c r="T196" s="32">
        <v>24460</v>
      </c>
      <c r="U196" s="32">
        <v>23700</v>
      </c>
      <c r="V196" s="32">
        <v>23150</v>
      </c>
      <c r="W196" s="32">
        <v>24240</v>
      </c>
      <c r="X196" s="32">
        <v>24500</v>
      </c>
      <c r="Y196" s="32">
        <v>26180</v>
      </c>
      <c r="Z196" s="32">
        <v>26500</v>
      </c>
      <c r="AA196" s="32">
        <v>26960</v>
      </c>
      <c r="AB196" s="32">
        <v>25350</v>
      </c>
      <c r="AC196" s="32">
        <v>24210</v>
      </c>
      <c r="AD196" s="32">
        <v>23790</v>
      </c>
      <c r="AE196" s="32">
        <v>23850</v>
      </c>
      <c r="AF196" s="32">
        <v>23440</v>
      </c>
      <c r="AG196" s="32">
        <v>23670</v>
      </c>
      <c r="AH196" s="32">
        <v>23650</v>
      </c>
      <c r="AI196" s="32">
        <v>23660</v>
      </c>
      <c r="AJ196" s="32">
        <v>23710</v>
      </c>
      <c r="AK196" s="32">
        <v>23700</v>
      </c>
      <c r="AL196" s="32">
        <v>23640</v>
      </c>
      <c r="AM196" s="32">
        <v>23520</v>
      </c>
      <c r="AN196" s="32">
        <v>23130</v>
      </c>
      <c r="AO196" s="32">
        <v>24130</v>
      </c>
      <c r="AP196" s="32">
        <v>24420</v>
      </c>
      <c r="AQ196" s="32">
        <v>24650</v>
      </c>
      <c r="AR196" s="32">
        <v>24360</v>
      </c>
      <c r="AS196" s="32">
        <v>23310</v>
      </c>
      <c r="AT196" s="32">
        <v>23130</v>
      </c>
      <c r="AU196" s="32">
        <v>22790</v>
      </c>
      <c r="AV196" s="32">
        <v>22650</v>
      </c>
      <c r="AW196" s="32">
        <v>21420</v>
      </c>
      <c r="AX196" s="32">
        <v>21660</v>
      </c>
      <c r="AY196" s="32">
        <v>20920</v>
      </c>
      <c r="AZ196" s="32">
        <v>21200</v>
      </c>
      <c r="BA196" s="32">
        <v>20900</v>
      </c>
      <c r="BB196" s="32">
        <v>20160</v>
      </c>
      <c r="BC196" s="32">
        <v>20980</v>
      </c>
      <c r="BD196" s="32">
        <v>22400</v>
      </c>
      <c r="BE196" s="32">
        <v>23200</v>
      </c>
      <c r="BF196" s="32">
        <v>23100</v>
      </c>
      <c r="BG196" s="32">
        <v>22370</v>
      </c>
      <c r="BH196" s="32">
        <v>22370</v>
      </c>
      <c r="BI196" s="32">
        <v>23010</v>
      </c>
      <c r="BJ196" s="32">
        <v>23810</v>
      </c>
      <c r="BK196" s="32">
        <v>23510</v>
      </c>
      <c r="BL196" s="33">
        <v>22940</v>
      </c>
    </row>
    <row r="197" spans="1:64" ht="15.95" customHeight="1">
      <c r="A197" s="68" t="s">
        <v>451</v>
      </c>
      <c r="B197" s="28" t="s">
        <v>254</v>
      </c>
      <c r="C197" s="42">
        <f>_xll.RssMarket("6146","高値")</f>
        <v>85390</v>
      </c>
      <c r="D197" s="41">
        <f t="shared" si="2"/>
        <v>0</v>
      </c>
      <c r="E197" s="37">
        <v>85390</v>
      </c>
      <c r="F197" s="37">
        <v>85200</v>
      </c>
      <c r="G197" s="32">
        <v>86140</v>
      </c>
      <c r="H197" s="32">
        <v>80100</v>
      </c>
      <c r="I197" s="32">
        <v>70760</v>
      </c>
      <c r="J197" s="32">
        <v>73590</v>
      </c>
      <c r="K197" s="32">
        <v>68700</v>
      </c>
      <c r="L197" s="32">
        <v>74440</v>
      </c>
      <c r="M197" s="32">
        <v>72630</v>
      </c>
      <c r="N197" s="32">
        <v>69970</v>
      </c>
      <c r="O197" s="32">
        <v>64200</v>
      </c>
      <c r="P197" s="32">
        <v>66520</v>
      </c>
      <c r="Q197" s="32">
        <v>67630</v>
      </c>
      <c r="R197" s="32">
        <v>70550</v>
      </c>
      <c r="S197" s="32">
        <v>70260</v>
      </c>
      <c r="T197" s="32">
        <v>66960</v>
      </c>
      <c r="U197" s="32">
        <v>66660</v>
      </c>
      <c r="V197" s="32">
        <v>62150</v>
      </c>
      <c r="W197" s="32">
        <v>63690</v>
      </c>
      <c r="X197" s="32">
        <v>65450</v>
      </c>
      <c r="Y197" s="32">
        <v>71520</v>
      </c>
      <c r="Z197" s="32">
        <v>73990</v>
      </c>
      <c r="AA197" s="32">
        <v>73010</v>
      </c>
      <c r="AB197" s="32">
        <v>73730</v>
      </c>
      <c r="AC197" s="32">
        <v>76010</v>
      </c>
      <c r="AD197" s="32">
        <v>76340</v>
      </c>
      <c r="AE197" s="32">
        <v>77800</v>
      </c>
      <c r="AF197" s="32">
        <v>74460</v>
      </c>
      <c r="AG197" s="32">
        <v>76060</v>
      </c>
      <c r="AH197" s="32">
        <v>78150</v>
      </c>
      <c r="AI197" s="32">
        <v>76250</v>
      </c>
      <c r="AJ197" s="32">
        <v>74310</v>
      </c>
      <c r="AK197" s="32">
        <v>76350</v>
      </c>
      <c r="AL197" s="32">
        <v>75500</v>
      </c>
      <c r="AM197" s="32">
        <v>74350</v>
      </c>
      <c r="AN197" s="32">
        <v>75320</v>
      </c>
      <c r="AO197" s="32">
        <v>73530</v>
      </c>
      <c r="AP197" s="32">
        <v>73050</v>
      </c>
      <c r="AQ197" s="32">
        <v>72950</v>
      </c>
      <c r="AR197" s="32">
        <v>72450</v>
      </c>
      <c r="AS197" s="32">
        <v>67390</v>
      </c>
      <c r="AT197" s="32">
        <v>67090</v>
      </c>
      <c r="AU197" s="32">
        <v>65870</v>
      </c>
      <c r="AV197" s="32">
        <v>68270</v>
      </c>
      <c r="AW197" s="32">
        <v>66120</v>
      </c>
      <c r="AX197" s="32">
        <v>67820</v>
      </c>
      <c r="AY197" s="32">
        <v>66100</v>
      </c>
      <c r="AZ197" s="32">
        <v>66670</v>
      </c>
      <c r="BA197" s="32">
        <v>63680</v>
      </c>
      <c r="BB197" s="32">
        <v>63930</v>
      </c>
      <c r="BC197" s="32">
        <v>64650</v>
      </c>
      <c r="BD197" s="32">
        <v>66900</v>
      </c>
      <c r="BE197" s="32">
        <v>68270</v>
      </c>
      <c r="BF197" s="32">
        <v>68930</v>
      </c>
      <c r="BG197" s="32">
        <v>68350</v>
      </c>
      <c r="BH197" s="32">
        <v>66240</v>
      </c>
      <c r="BI197" s="32">
        <v>70370</v>
      </c>
      <c r="BJ197" s="32">
        <v>70680</v>
      </c>
      <c r="BK197" s="32">
        <v>71170</v>
      </c>
      <c r="BL197" s="33">
        <v>70390</v>
      </c>
    </row>
    <row r="198" spans="1:64" ht="15.95" customHeight="1">
      <c r="A198" s="68" t="s">
        <v>452</v>
      </c>
      <c r="B198" s="28" t="s">
        <v>255</v>
      </c>
      <c r="C198" s="42">
        <f>_xll.RssMarket("8035","高値")</f>
        <v>73220</v>
      </c>
      <c r="D198" s="41">
        <f t="shared" ref="D198:D217" si="3">C198-E198</f>
        <v>0</v>
      </c>
      <c r="E198" s="37">
        <v>73220</v>
      </c>
      <c r="F198" s="37">
        <v>73130</v>
      </c>
      <c r="G198" s="32">
        <v>74800</v>
      </c>
      <c r="H198" s="32">
        <v>71000</v>
      </c>
      <c r="I198" s="32">
        <v>64070</v>
      </c>
      <c r="J198" s="32">
        <v>65310</v>
      </c>
      <c r="K198" s="32">
        <v>56450</v>
      </c>
      <c r="L198" s="32">
        <v>62210</v>
      </c>
      <c r="M198" s="32">
        <v>63660</v>
      </c>
      <c r="N198" s="32">
        <v>61420</v>
      </c>
      <c r="O198" s="32">
        <v>53750</v>
      </c>
      <c r="P198" s="32">
        <v>53320</v>
      </c>
      <c r="Q198" s="32">
        <v>52730</v>
      </c>
      <c r="R198" s="32">
        <v>54700</v>
      </c>
      <c r="S198" s="32">
        <v>52530</v>
      </c>
      <c r="T198" s="32">
        <v>50220</v>
      </c>
      <c r="U198" s="32">
        <v>48800</v>
      </c>
      <c r="V198" s="32">
        <v>47220</v>
      </c>
      <c r="W198" s="32">
        <v>49980</v>
      </c>
      <c r="X198" s="32">
        <v>50900</v>
      </c>
      <c r="Y198" s="32">
        <v>52530</v>
      </c>
      <c r="Z198" s="32">
        <v>52730</v>
      </c>
      <c r="AA198" s="32">
        <v>51920</v>
      </c>
      <c r="AB198" s="32">
        <v>53000</v>
      </c>
      <c r="AC198" s="32">
        <v>53870</v>
      </c>
      <c r="AD198" s="32">
        <v>52650</v>
      </c>
      <c r="AE198" s="32">
        <v>51960</v>
      </c>
      <c r="AF198" s="32">
        <v>48190</v>
      </c>
      <c r="AG198" s="32">
        <v>45290</v>
      </c>
      <c r="AH198" s="32">
        <v>46970</v>
      </c>
      <c r="AI198" s="32">
        <v>47710</v>
      </c>
      <c r="AJ198" s="32">
        <v>46110</v>
      </c>
      <c r="AK198" s="32">
        <v>46560</v>
      </c>
      <c r="AL198" s="32">
        <v>45540</v>
      </c>
      <c r="AM198" s="32">
        <v>46460</v>
      </c>
      <c r="AN198" s="32">
        <v>44490</v>
      </c>
      <c r="AO198" s="32">
        <v>45280</v>
      </c>
      <c r="AP198" s="32">
        <v>46150</v>
      </c>
      <c r="AQ198" s="32">
        <v>44570</v>
      </c>
      <c r="AR198" s="32">
        <v>43820</v>
      </c>
      <c r="AS198" s="32">
        <v>43480</v>
      </c>
      <c r="AT198" s="32">
        <v>44040</v>
      </c>
      <c r="AU198" s="32">
        <v>42830</v>
      </c>
      <c r="AV198" s="32">
        <v>42410</v>
      </c>
      <c r="AW198" s="32">
        <v>39050</v>
      </c>
      <c r="AX198" s="32">
        <v>39260</v>
      </c>
      <c r="AY198" s="32">
        <v>39320</v>
      </c>
      <c r="AZ198" s="32">
        <v>39710</v>
      </c>
      <c r="BA198" s="32">
        <v>39300</v>
      </c>
      <c r="BB198" s="32">
        <v>38220</v>
      </c>
      <c r="BC198" s="32">
        <v>38840</v>
      </c>
      <c r="BD198" s="32">
        <v>39390</v>
      </c>
      <c r="BE198" s="32">
        <v>41290</v>
      </c>
      <c r="BF198" s="32">
        <v>41440</v>
      </c>
      <c r="BG198" s="32">
        <v>39470</v>
      </c>
      <c r="BH198" s="32">
        <v>38540</v>
      </c>
      <c r="BI198" s="32">
        <v>39690</v>
      </c>
      <c r="BJ198" s="32">
        <v>40290</v>
      </c>
      <c r="BK198" s="32">
        <v>39880</v>
      </c>
      <c r="BL198" s="33">
        <v>39150</v>
      </c>
    </row>
    <row r="199" spans="1:64" ht="15.95" customHeight="1">
      <c r="A199" s="68" t="s">
        <v>453</v>
      </c>
      <c r="B199" s="28" t="s">
        <v>256</v>
      </c>
      <c r="C199" s="42">
        <f>_xll.RssMarket("6920","高値")</f>
        <v>52980</v>
      </c>
      <c r="D199" s="41">
        <f t="shared" si="3"/>
        <v>0</v>
      </c>
      <c r="E199" s="37">
        <v>52980</v>
      </c>
      <c r="F199" s="37">
        <v>48270</v>
      </c>
      <c r="G199" s="32">
        <v>48640</v>
      </c>
      <c r="H199" s="32">
        <v>44590</v>
      </c>
      <c r="I199" s="32">
        <v>40470</v>
      </c>
      <c r="J199" s="32">
        <v>42950</v>
      </c>
      <c r="K199" s="32">
        <v>40670</v>
      </c>
      <c r="L199" s="32">
        <v>42470</v>
      </c>
      <c r="M199" s="32">
        <v>43600</v>
      </c>
      <c r="N199" s="32">
        <v>42800</v>
      </c>
      <c r="O199" s="32">
        <v>39250</v>
      </c>
      <c r="P199" s="32">
        <v>40820</v>
      </c>
      <c r="Q199" s="32">
        <v>41290</v>
      </c>
      <c r="R199" s="32">
        <v>44040</v>
      </c>
      <c r="S199" s="32">
        <v>43590</v>
      </c>
      <c r="T199" s="32">
        <v>38980</v>
      </c>
      <c r="U199" s="32">
        <v>38840</v>
      </c>
      <c r="V199" s="32">
        <v>36280</v>
      </c>
      <c r="W199" s="32">
        <v>38180</v>
      </c>
      <c r="X199" s="32">
        <v>39340</v>
      </c>
      <c r="Y199" s="32">
        <v>41190</v>
      </c>
      <c r="Z199" s="32">
        <v>43140</v>
      </c>
      <c r="AA199" s="32">
        <v>42860</v>
      </c>
      <c r="AB199" s="32">
        <v>45650</v>
      </c>
      <c r="AC199" s="32">
        <v>45950</v>
      </c>
      <c r="AD199" s="32">
        <v>44660</v>
      </c>
      <c r="AE199" s="32">
        <v>46720</v>
      </c>
      <c r="AF199" s="32">
        <v>44520</v>
      </c>
      <c r="AG199" s="32">
        <v>44460</v>
      </c>
      <c r="AH199" s="32">
        <v>46090</v>
      </c>
      <c r="AI199" s="32">
        <v>46450</v>
      </c>
      <c r="AJ199" s="32">
        <v>45950</v>
      </c>
      <c r="AK199" s="32">
        <v>45990</v>
      </c>
      <c r="AL199" s="32">
        <v>45520</v>
      </c>
      <c r="AM199" s="32">
        <v>44590</v>
      </c>
      <c r="AN199" s="32">
        <v>42390</v>
      </c>
      <c r="AO199" s="32">
        <v>41700</v>
      </c>
      <c r="AP199" s="32">
        <v>42300</v>
      </c>
      <c r="AQ199" s="32">
        <v>44940</v>
      </c>
      <c r="AR199" s="32">
        <v>43530</v>
      </c>
      <c r="AS199" s="32">
        <v>41570</v>
      </c>
      <c r="AT199" s="32">
        <v>41630</v>
      </c>
      <c r="AU199" s="32">
        <v>39250</v>
      </c>
      <c r="AV199" s="32">
        <v>40100</v>
      </c>
      <c r="AW199" s="32">
        <v>37330</v>
      </c>
      <c r="AX199" s="32">
        <v>37680</v>
      </c>
      <c r="AY199" s="32">
        <v>36360</v>
      </c>
      <c r="AZ199" s="32">
        <v>37020</v>
      </c>
      <c r="BA199" s="32">
        <v>35470</v>
      </c>
      <c r="BB199" s="32">
        <v>34830</v>
      </c>
      <c r="BC199" s="32">
        <v>35350</v>
      </c>
      <c r="BD199" s="32">
        <v>35100</v>
      </c>
      <c r="BE199" s="32">
        <v>35070</v>
      </c>
      <c r="BF199" s="32">
        <v>33910</v>
      </c>
      <c r="BG199" s="32">
        <v>33040</v>
      </c>
      <c r="BH199" s="32">
        <v>33410</v>
      </c>
      <c r="BI199" s="32">
        <v>35750</v>
      </c>
      <c r="BJ199" s="32">
        <v>36290</v>
      </c>
      <c r="BK199" s="32">
        <v>38000</v>
      </c>
      <c r="BL199" s="33">
        <v>37930</v>
      </c>
    </row>
    <row r="200" spans="1:64" ht="15.95" customHeight="1">
      <c r="A200" s="68" t="s">
        <v>454</v>
      </c>
      <c r="B200" s="28" t="s">
        <v>66</v>
      </c>
      <c r="C200" s="42">
        <f>_xll.RssMarket("5801","高値")</f>
        <v>47660</v>
      </c>
      <c r="D200" s="41">
        <f t="shared" si="3"/>
        <v>0</v>
      </c>
      <c r="E200" s="37">
        <v>47660</v>
      </c>
      <c r="F200" s="37">
        <v>48310</v>
      </c>
      <c r="G200" s="32">
        <v>45700</v>
      </c>
      <c r="H200" s="32">
        <v>43780</v>
      </c>
      <c r="I200" s="32">
        <v>41460</v>
      </c>
      <c r="J200" s="32">
        <v>44470</v>
      </c>
      <c r="K200" s="32">
        <v>45900</v>
      </c>
      <c r="L200" s="32">
        <v>51140</v>
      </c>
      <c r="M200" s="32">
        <v>53440</v>
      </c>
      <c r="N200" s="32">
        <v>56120</v>
      </c>
      <c r="O200" s="32">
        <v>52450</v>
      </c>
      <c r="P200" s="32">
        <v>55350</v>
      </c>
      <c r="Q200" s="32">
        <v>62410</v>
      </c>
      <c r="R200" s="32">
        <v>59330</v>
      </c>
      <c r="S200" s="32">
        <v>54350</v>
      </c>
      <c r="T200" s="32">
        <v>52050</v>
      </c>
      <c r="U200" s="32">
        <v>52070</v>
      </c>
      <c r="V200" s="32">
        <v>53850</v>
      </c>
      <c r="W200" s="32">
        <v>57060</v>
      </c>
      <c r="X200" s="32">
        <v>60040</v>
      </c>
      <c r="Y200" s="32">
        <v>60150</v>
      </c>
      <c r="Z200" s="32">
        <v>58990</v>
      </c>
      <c r="AA200" s="32">
        <v>50430</v>
      </c>
      <c r="AB200" s="32">
        <v>46550</v>
      </c>
      <c r="AC200" s="32">
        <v>46030</v>
      </c>
      <c r="AD200" s="32">
        <v>46300</v>
      </c>
      <c r="AE200" s="32">
        <v>43140</v>
      </c>
      <c r="AF200" s="32">
        <v>42850</v>
      </c>
      <c r="AG200" s="32">
        <v>43460</v>
      </c>
      <c r="AH200" s="32">
        <v>43550</v>
      </c>
      <c r="AI200" s="32">
        <v>43770</v>
      </c>
      <c r="AJ200" s="32">
        <v>45050</v>
      </c>
      <c r="AK200" s="32">
        <v>44440</v>
      </c>
      <c r="AL200" s="32">
        <v>45230</v>
      </c>
      <c r="AM200" s="32">
        <v>45380</v>
      </c>
      <c r="AN200" s="32">
        <v>46490</v>
      </c>
      <c r="AO200" s="32">
        <v>46090</v>
      </c>
      <c r="AP200" s="32">
        <v>47230</v>
      </c>
      <c r="AQ200" s="32">
        <v>47940</v>
      </c>
      <c r="AR200" s="32">
        <v>47210</v>
      </c>
      <c r="AS200" s="32">
        <v>46020</v>
      </c>
      <c r="AT200" s="32">
        <v>45480</v>
      </c>
      <c r="AU200" s="32">
        <v>42980</v>
      </c>
      <c r="AV200" s="32">
        <v>37330</v>
      </c>
      <c r="AW200" s="32">
        <v>38050</v>
      </c>
      <c r="AX200" s="32">
        <v>36080</v>
      </c>
      <c r="AY200" s="32">
        <v>33790</v>
      </c>
      <c r="AZ200" s="32">
        <v>32490</v>
      </c>
      <c r="BA200" s="32">
        <v>30980</v>
      </c>
      <c r="BB200" s="32">
        <v>31060</v>
      </c>
      <c r="BC200" s="32">
        <v>31590</v>
      </c>
      <c r="BD200" s="32">
        <v>34040</v>
      </c>
      <c r="BE200" s="32">
        <v>31610</v>
      </c>
      <c r="BF200" s="32">
        <v>28990</v>
      </c>
      <c r="BG200" s="32">
        <v>28400</v>
      </c>
      <c r="BH200" s="32">
        <v>29875</v>
      </c>
      <c r="BI200" s="32">
        <v>28965</v>
      </c>
      <c r="BJ200" s="32">
        <v>29805</v>
      </c>
      <c r="BK200" s="32">
        <v>31280</v>
      </c>
      <c r="BL200" s="33">
        <v>30990</v>
      </c>
    </row>
    <row r="201" spans="1:64" ht="15.95" customHeight="1">
      <c r="A201" s="68" t="s">
        <v>455</v>
      </c>
      <c r="B201" s="28" t="s">
        <v>67</v>
      </c>
      <c r="C201" s="42">
        <f>_xll.RssMarket("6506","高値")</f>
        <v>7060</v>
      </c>
      <c r="D201" s="41">
        <f t="shared" si="3"/>
        <v>0</v>
      </c>
      <c r="E201" s="37">
        <v>7060</v>
      </c>
      <c r="F201" s="37">
        <v>6943</v>
      </c>
      <c r="G201" s="32">
        <v>6732</v>
      </c>
      <c r="H201" s="32">
        <v>6508</v>
      </c>
      <c r="I201" s="32">
        <v>6055</v>
      </c>
      <c r="J201" s="32">
        <v>6257</v>
      </c>
      <c r="K201" s="32">
        <v>6513</v>
      </c>
      <c r="L201" s="32">
        <v>6918</v>
      </c>
      <c r="M201" s="32">
        <v>7115</v>
      </c>
      <c r="N201" s="32">
        <v>7228</v>
      </c>
      <c r="O201" s="32">
        <v>7069</v>
      </c>
      <c r="P201" s="32">
        <v>7315</v>
      </c>
      <c r="Q201" s="32">
        <v>7210</v>
      </c>
      <c r="R201" s="32">
        <v>7689</v>
      </c>
      <c r="S201" s="32">
        <v>7700</v>
      </c>
      <c r="T201" s="32">
        <v>7092</v>
      </c>
      <c r="U201" s="32">
        <v>6709</v>
      </c>
      <c r="V201" s="32">
        <v>6310</v>
      </c>
      <c r="W201" s="32">
        <v>6739</v>
      </c>
      <c r="X201" s="32">
        <v>7076</v>
      </c>
      <c r="Y201" s="32">
        <v>7395</v>
      </c>
      <c r="Z201" s="32">
        <v>7578</v>
      </c>
      <c r="AA201" s="32">
        <v>7028</v>
      </c>
      <c r="AB201" s="32">
        <v>7030</v>
      </c>
      <c r="AC201" s="32">
        <v>6625</v>
      </c>
      <c r="AD201" s="32">
        <v>6424</v>
      </c>
      <c r="AE201" s="32">
        <v>6018</v>
      </c>
      <c r="AF201" s="32">
        <v>5648</v>
      </c>
      <c r="AG201" s="32">
        <v>5637</v>
      </c>
      <c r="AH201" s="32">
        <v>5495</v>
      </c>
      <c r="AI201" s="32">
        <v>5532</v>
      </c>
      <c r="AJ201" s="32">
        <v>5252</v>
      </c>
      <c r="AK201" s="32">
        <v>5406</v>
      </c>
      <c r="AL201" s="32">
        <v>5490</v>
      </c>
      <c r="AM201" s="32">
        <v>5657</v>
      </c>
      <c r="AN201" s="32">
        <v>5507</v>
      </c>
      <c r="AO201" s="32">
        <v>5265</v>
      </c>
      <c r="AP201" s="32">
        <v>5364</v>
      </c>
      <c r="AQ201" s="32">
        <v>5376</v>
      </c>
      <c r="AR201" s="32">
        <v>5275</v>
      </c>
      <c r="AS201" s="32">
        <v>5260</v>
      </c>
      <c r="AT201" s="32">
        <v>4926</v>
      </c>
      <c r="AU201" s="32">
        <v>4735</v>
      </c>
      <c r="AV201" s="32">
        <v>4674</v>
      </c>
      <c r="AW201" s="32">
        <v>4338</v>
      </c>
      <c r="AX201" s="32">
        <v>4379</v>
      </c>
      <c r="AY201" s="32">
        <v>4321</v>
      </c>
      <c r="AZ201" s="32">
        <v>4446</v>
      </c>
      <c r="BA201" s="32">
        <v>4324</v>
      </c>
      <c r="BB201" s="32">
        <v>4154</v>
      </c>
      <c r="BC201" s="32">
        <v>4128</v>
      </c>
      <c r="BD201" s="32">
        <v>4345</v>
      </c>
      <c r="BE201" s="32">
        <v>4582</v>
      </c>
      <c r="BF201" s="32">
        <v>4545</v>
      </c>
      <c r="BG201" s="32">
        <v>4400</v>
      </c>
      <c r="BH201" s="32">
        <v>4269</v>
      </c>
      <c r="BI201" s="32">
        <v>4537</v>
      </c>
      <c r="BJ201" s="32">
        <v>4654</v>
      </c>
      <c r="BK201" s="32">
        <v>4647</v>
      </c>
      <c r="BL201" s="33">
        <v>4648</v>
      </c>
    </row>
    <row r="202" spans="1:64" ht="15.95" customHeight="1">
      <c r="A202" s="68" t="s">
        <v>456</v>
      </c>
      <c r="B202" s="28" t="s">
        <v>68</v>
      </c>
      <c r="C202" s="42">
        <f>_xll.RssMarket("2768","高値")</f>
        <v>5372</v>
      </c>
      <c r="D202" s="41">
        <f t="shared" si="3"/>
        <v>0</v>
      </c>
      <c r="E202" s="37">
        <v>5372</v>
      </c>
      <c r="F202" s="37">
        <v>5387</v>
      </c>
      <c r="G202" s="32">
        <v>5374</v>
      </c>
      <c r="H202" s="32">
        <v>5091</v>
      </c>
      <c r="I202" s="32">
        <v>5067</v>
      </c>
      <c r="J202" s="32">
        <v>5139</v>
      </c>
      <c r="K202" s="32">
        <v>5147</v>
      </c>
      <c r="L202" s="32">
        <v>5275</v>
      </c>
      <c r="M202" s="32">
        <v>5190</v>
      </c>
      <c r="N202" s="32">
        <v>5192</v>
      </c>
      <c r="O202" s="32">
        <v>5134</v>
      </c>
      <c r="P202" s="32">
        <v>5494</v>
      </c>
      <c r="Q202" s="32">
        <v>5475</v>
      </c>
      <c r="R202" s="32">
        <v>5650</v>
      </c>
      <c r="S202" s="32">
        <v>5634</v>
      </c>
      <c r="T202" s="32">
        <v>5576</v>
      </c>
      <c r="U202" s="32">
        <v>5617</v>
      </c>
      <c r="V202" s="32">
        <v>5690</v>
      </c>
      <c r="W202" s="32">
        <v>5767</v>
      </c>
      <c r="X202" s="32">
        <v>5900</v>
      </c>
      <c r="Y202" s="32">
        <v>5989</v>
      </c>
      <c r="Z202" s="32">
        <v>5910</v>
      </c>
      <c r="AA202" s="32">
        <v>5964</v>
      </c>
      <c r="AB202" s="32">
        <v>5880</v>
      </c>
      <c r="AC202" s="32">
        <v>5756</v>
      </c>
      <c r="AD202" s="32">
        <v>5811</v>
      </c>
      <c r="AE202" s="32">
        <v>6215</v>
      </c>
      <c r="AF202" s="32">
        <v>6400</v>
      </c>
      <c r="AG202" s="32">
        <v>5930</v>
      </c>
      <c r="AH202" s="32">
        <v>5977</v>
      </c>
      <c r="AI202" s="32">
        <v>5871</v>
      </c>
      <c r="AJ202" s="32">
        <v>5948</v>
      </c>
      <c r="AK202" s="32">
        <v>5905</v>
      </c>
      <c r="AL202" s="32">
        <v>5998</v>
      </c>
      <c r="AM202" s="32">
        <v>6120</v>
      </c>
      <c r="AN202" s="32">
        <v>6147</v>
      </c>
      <c r="AO202" s="32">
        <v>6250</v>
      </c>
      <c r="AP202" s="32">
        <v>6280</v>
      </c>
      <c r="AQ202" s="32">
        <v>6290</v>
      </c>
      <c r="AR202" s="32">
        <v>6401</v>
      </c>
      <c r="AS202" s="32">
        <v>6482</v>
      </c>
      <c r="AT202" s="32">
        <v>6522</v>
      </c>
      <c r="AU202" s="32">
        <v>6645</v>
      </c>
      <c r="AV202" s="32">
        <v>6640</v>
      </c>
      <c r="AW202" s="32">
        <v>6449</v>
      </c>
      <c r="AX202" s="32">
        <v>6445</v>
      </c>
      <c r="AY202" s="32">
        <v>6426</v>
      </c>
      <c r="AZ202" s="32">
        <v>6525</v>
      </c>
      <c r="BA202" s="32">
        <v>6421</v>
      </c>
      <c r="BB202" s="32">
        <v>6266</v>
      </c>
      <c r="BC202" s="32">
        <v>6273</v>
      </c>
      <c r="BD202" s="32">
        <v>6469</v>
      </c>
      <c r="BE202" s="32">
        <v>6497</v>
      </c>
      <c r="BF202" s="32">
        <v>6377</v>
      </c>
      <c r="BG202" s="32">
        <v>6196</v>
      </c>
      <c r="BH202" s="32">
        <v>6021</v>
      </c>
      <c r="BI202" s="32">
        <v>6390</v>
      </c>
      <c r="BJ202" s="32">
        <v>6566</v>
      </c>
      <c r="BK202" s="32">
        <v>6423</v>
      </c>
      <c r="BL202" s="33">
        <v>6454</v>
      </c>
    </row>
    <row r="203" spans="1:64" ht="15.95" customHeight="1">
      <c r="A203" s="68" t="s">
        <v>457</v>
      </c>
      <c r="B203" s="28" t="s">
        <v>69</v>
      </c>
      <c r="C203" s="42">
        <f>_xll.RssMarket("6305","高値")</f>
        <v>5436</v>
      </c>
      <c r="D203" s="41">
        <f t="shared" si="3"/>
        <v>0</v>
      </c>
      <c r="E203" s="37">
        <v>5436</v>
      </c>
      <c r="F203" s="37">
        <v>5596</v>
      </c>
      <c r="G203" s="32">
        <v>5600</v>
      </c>
      <c r="H203" s="32">
        <v>5339</v>
      </c>
      <c r="I203" s="32">
        <v>5177</v>
      </c>
      <c r="J203" s="32">
        <v>5339</v>
      </c>
      <c r="K203" s="32">
        <v>5324</v>
      </c>
      <c r="L203" s="32">
        <v>5462</v>
      </c>
      <c r="M203" s="32">
        <v>5413</v>
      </c>
      <c r="N203" s="32">
        <v>5415</v>
      </c>
      <c r="O203" s="32">
        <v>5152</v>
      </c>
      <c r="P203" s="32">
        <v>5278</v>
      </c>
      <c r="Q203" s="32">
        <v>5280</v>
      </c>
      <c r="R203" s="32">
        <v>5340</v>
      </c>
      <c r="S203" s="32">
        <v>5067</v>
      </c>
      <c r="T203" s="32">
        <v>5034</v>
      </c>
      <c r="U203" s="32">
        <v>5032</v>
      </c>
      <c r="V203" s="32">
        <v>5038</v>
      </c>
      <c r="W203" s="32">
        <v>5178</v>
      </c>
      <c r="X203" s="32">
        <v>5274</v>
      </c>
      <c r="Y203" s="32">
        <v>5337</v>
      </c>
      <c r="Z203" s="32">
        <v>5420</v>
      </c>
      <c r="AA203" s="32">
        <v>5326</v>
      </c>
      <c r="AB203" s="32">
        <v>5765</v>
      </c>
      <c r="AC203" s="32">
        <v>5701</v>
      </c>
      <c r="AD203" s="32">
        <v>5718</v>
      </c>
      <c r="AE203" s="32">
        <v>5723</v>
      </c>
      <c r="AF203" s="32">
        <v>5568</v>
      </c>
      <c r="AG203" s="32">
        <v>5653</v>
      </c>
      <c r="AH203" s="32">
        <v>5688</v>
      </c>
      <c r="AI203" s="32">
        <v>5658</v>
      </c>
      <c r="AJ203" s="32">
        <v>5570</v>
      </c>
      <c r="AK203" s="32">
        <v>5567</v>
      </c>
      <c r="AL203" s="32">
        <v>5505</v>
      </c>
      <c r="AM203" s="32">
        <v>5539</v>
      </c>
      <c r="AN203" s="32">
        <v>5470</v>
      </c>
      <c r="AO203" s="32">
        <v>5502</v>
      </c>
      <c r="AP203" s="32">
        <v>5665</v>
      </c>
      <c r="AQ203" s="32">
        <v>5692</v>
      </c>
      <c r="AR203" s="32">
        <v>5726</v>
      </c>
      <c r="AS203" s="32">
        <v>5749</v>
      </c>
      <c r="AT203" s="32">
        <v>5773</v>
      </c>
      <c r="AU203" s="32">
        <v>5759</v>
      </c>
      <c r="AV203" s="32">
        <v>5735</v>
      </c>
      <c r="AW203" s="32">
        <v>5408</v>
      </c>
      <c r="AX203" s="32">
        <v>5484</v>
      </c>
      <c r="AY203" s="32">
        <v>5465</v>
      </c>
      <c r="AZ203" s="32">
        <v>5635</v>
      </c>
      <c r="BA203" s="32">
        <v>5553</v>
      </c>
      <c r="BB203" s="32">
        <v>5386</v>
      </c>
      <c r="BC203" s="32">
        <v>5248</v>
      </c>
      <c r="BD203" s="32">
        <v>5565</v>
      </c>
      <c r="BE203" s="32">
        <v>5636</v>
      </c>
      <c r="BF203" s="32">
        <v>5555</v>
      </c>
      <c r="BG203" s="32">
        <v>5397</v>
      </c>
      <c r="BH203" s="32">
        <v>5259</v>
      </c>
      <c r="BI203" s="32">
        <v>5532</v>
      </c>
      <c r="BJ203" s="32">
        <v>5747</v>
      </c>
      <c r="BK203" s="32">
        <v>5881</v>
      </c>
      <c r="BL203" s="33">
        <v>5915</v>
      </c>
    </row>
    <row r="204" spans="1:64" ht="15.95" customHeight="1">
      <c r="A204" s="68" t="s">
        <v>458</v>
      </c>
      <c r="B204" s="28" t="s">
        <v>70</v>
      </c>
      <c r="C204" s="42">
        <f>_xll.RssMarket("8015","高値")</f>
        <v>6456</v>
      </c>
      <c r="D204" s="41">
        <f t="shared" si="3"/>
        <v>0</v>
      </c>
      <c r="E204" s="37">
        <v>6456</v>
      </c>
      <c r="F204" s="37">
        <v>6531</v>
      </c>
      <c r="G204" s="32">
        <v>6594</v>
      </c>
      <c r="H204" s="32">
        <v>6254</v>
      </c>
      <c r="I204" s="32">
        <v>5978</v>
      </c>
      <c r="J204" s="32">
        <v>6156</v>
      </c>
      <c r="K204" s="32">
        <v>6450</v>
      </c>
      <c r="L204" s="32">
        <v>6493</v>
      </c>
      <c r="M204" s="32">
        <v>6560</v>
      </c>
      <c r="N204" s="32">
        <v>6600</v>
      </c>
      <c r="O204" s="32">
        <v>6558</v>
      </c>
      <c r="P204" s="32">
        <v>7000</v>
      </c>
      <c r="Q204" s="32">
        <v>6845</v>
      </c>
      <c r="R204" s="32">
        <v>7039</v>
      </c>
      <c r="S204" s="32">
        <v>7164</v>
      </c>
      <c r="T204" s="32">
        <v>6993</v>
      </c>
      <c r="U204" s="32">
        <v>7027</v>
      </c>
      <c r="V204" s="32">
        <v>7006</v>
      </c>
      <c r="W204" s="32">
        <v>7143</v>
      </c>
      <c r="X204" s="32">
        <v>7285</v>
      </c>
      <c r="Y204" s="32">
        <v>7559</v>
      </c>
      <c r="Z204" s="32">
        <v>7443</v>
      </c>
      <c r="AA204" s="32">
        <v>7488</v>
      </c>
      <c r="AB204" s="32">
        <v>7256</v>
      </c>
      <c r="AC204" s="32">
        <v>7039</v>
      </c>
      <c r="AD204" s="32">
        <v>6894</v>
      </c>
      <c r="AE204" s="32">
        <v>7070</v>
      </c>
      <c r="AF204" s="32">
        <v>7048</v>
      </c>
      <c r="AG204" s="32">
        <v>6270</v>
      </c>
      <c r="AH204" s="32">
        <v>6469</v>
      </c>
      <c r="AI204" s="32">
        <v>6268</v>
      </c>
      <c r="AJ204" s="32">
        <v>6235</v>
      </c>
      <c r="AK204" s="32">
        <v>6248</v>
      </c>
      <c r="AL204" s="32">
        <v>6280</v>
      </c>
      <c r="AM204" s="32">
        <v>6383</v>
      </c>
      <c r="AN204" s="32">
        <v>6368</v>
      </c>
      <c r="AO204" s="32">
        <v>6374</v>
      </c>
      <c r="AP204" s="32">
        <v>6381</v>
      </c>
      <c r="AQ204" s="32">
        <v>6449</v>
      </c>
      <c r="AR204" s="32">
        <v>6522</v>
      </c>
      <c r="AS204" s="32">
        <v>6590</v>
      </c>
      <c r="AT204" s="32">
        <v>6700</v>
      </c>
      <c r="AU204" s="32">
        <v>6769</v>
      </c>
      <c r="AV204" s="32">
        <v>6506</v>
      </c>
      <c r="AW204" s="32">
        <v>6074</v>
      </c>
      <c r="AX204" s="32">
        <v>6104</v>
      </c>
      <c r="AY204" s="32">
        <v>6208</v>
      </c>
      <c r="AZ204" s="32">
        <v>6449</v>
      </c>
      <c r="BA204" s="32">
        <v>6370</v>
      </c>
      <c r="BB204" s="32">
        <v>6078</v>
      </c>
      <c r="BC204" s="32">
        <v>5975</v>
      </c>
      <c r="BD204" s="32">
        <v>6248</v>
      </c>
      <c r="BE204" s="32">
        <v>6300</v>
      </c>
      <c r="BF204" s="32">
        <v>6294</v>
      </c>
      <c r="BG204" s="32">
        <v>6151</v>
      </c>
      <c r="BH204" s="32">
        <v>6000</v>
      </c>
      <c r="BI204" s="32">
        <v>6540</v>
      </c>
      <c r="BJ204" s="32">
        <v>6729</v>
      </c>
      <c r="BK204" s="32">
        <v>6510</v>
      </c>
      <c r="BL204" s="33">
        <v>6435</v>
      </c>
    </row>
    <row r="205" spans="1:64">
      <c r="A205" s="65" t="s">
        <v>459</v>
      </c>
      <c r="B205" s="34" t="s">
        <v>71</v>
      </c>
      <c r="C205" s="42">
        <f>_xll.RssMarket("6758","高値")</f>
        <v>3314</v>
      </c>
      <c r="D205" s="41">
        <f t="shared" si="3"/>
        <v>0</v>
      </c>
      <c r="E205" s="72">
        <v>3314</v>
      </c>
      <c r="F205" s="72">
        <v>3296</v>
      </c>
      <c r="G205" s="72">
        <v>3350</v>
      </c>
      <c r="H205" s="72">
        <v>3363</v>
      </c>
      <c r="I205" s="72">
        <v>3398</v>
      </c>
      <c r="J205" s="72">
        <v>3446</v>
      </c>
      <c r="K205" s="72">
        <v>3555</v>
      </c>
      <c r="L205" s="72">
        <v>3633</v>
      </c>
      <c r="M205" s="72">
        <v>3606</v>
      </c>
      <c r="N205" s="72">
        <v>3658</v>
      </c>
      <c r="O205" s="72">
        <v>3672</v>
      </c>
      <c r="P205" s="72">
        <v>3496</v>
      </c>
      <c r="Q205" s="72">
        <v>3494</v>
      </c>
      <c r="R205" s="72">
        <v>3525</v>
      </c>
      <c r="S205" s="72">
        <v>3606</v>
      </c>
      <c r="T205" s="72">
        <v>3552</v>
      </c>
      <c r="U205" s="72">
        <v>3600</v>
      </c>
      <c r="V205" s="72">
        <v>3677</v>
      </c>
      <c r="W205" s="72">
        <v>3722</v>
      </c>
      <c r="X205" s="72">
        <v>3697</v>
      </c>
      <c r="Y205" s="72">
        <v>3647</v>
      </c>
      <c r="Z205" s="72">
        <v>3542</v>
      </c>
      <c r="AA205" s="72">
        <v>3728</v>
      </c>
      <c r="AB205" s="72">
        <v>3532</v>
      </c>
      <c r="AC205" s="72">
        <v>3477</v>
      </c>
      <c r="AD205" s="72">
        <v>6894</v>
      </c>
      <c r="AE205" s="72">
        <v>7070</v>
      </c>
      <c r="AF205" s="72">
        <v>7048</v>
      </c>
      <c r="AG205" s="72">
        <v>6270</v>
      </c>
      <c r="AH205" s="72">
        <v>6469</v>
      </c>
      <c r="AI205" s="72">
        <v>6268</v>
      </c>
      <c r="AJ205" s="72">
        <v>6235</v>
      </c>
      <c r="AK205" s="72">
        <v>6248</v>
      </c>
      <c r="AL205" s="72">
        <v>6280</v>
      </c>
      <c r="AM205" s="72">
        <v>6383</v>
      </c>
      <c r="AN205" s="72">
        <v>6368</v>
      </c>
      <c r="AO205" s="72">
        <v>6374</v>
      </c>
      <c r="AP205" s="72">
        <v>6381</v>
      </c>
      <c r="AQ205" s="72">
        <v>6449</v>
      </c>
      <c r="AR205" s="72">
        <v>6522</v>
      </c>
      <c r="AS205" s="72">
        <v>6590</v>
      </c>
      <c r="AT205" s="72">
        <v>6700</v>
      </c>
      <c r="AU205" s="72">
        <v>6769</v>
      </c>
      <c r="AV205" s="72">
        <v>6506</v>
      </c>
      <c r="AW205" s="72">
        <v>6074</v>
      </c>
      <c r="AX205" s="72">
        <v>6104</v>
      </c>
      <c r="AY205" s="72">
        <v>6208</v>
      </c>
      <c r="AZ205" s="72">
        <v>6449</v>
      </c>
      <c r="BA205" s="72">
        <v>6370</v>
      </c>
      <c r="BB205" s="72">
        <v>6078</v>
      </c>
      <c r="BC205" s="72">
        <v>5975</v>
      </c>
      <c r="BD205" s="72">
        <v>6248</v>
      </c>
      <c r="BE205" s="72">
        <v>6300</v>
      </c>
      <c r="BF205" s="72">
        <v>6294</v>
      </c>
      <c r="BG205" s="72">
        <v>6151</v>
      </c>
      <c r="BH205" s="72">
        <v>6000</v>
      </c>
      <c r="BI205" s="72">
        <v>6540</v>
      </c>
      <c r="BJ205" s="72">
        <v>6729</v>
      </c>
      <c r="BK205" s="72">
        <v>6510</v>
      </c>
      <c r="BL205" s="2">
        <v>6435</v>
      </c>
    </row>
    <row r="206" spans="1:64">
      <c r="A206" s="65" t="s">
        <v>460</v>
      </c>
      <c r="B206" s="34" t="s">
        <v>72</v>
      </c>
      <c r="C206" s="42">
        <f>_xll.RssMarket("9101","高値")</f>
        <v>5410</v>
      </c>
      <c r="D206" s="41">
        <f t="shared" si="3"/>
        <v>0</v>
      </c>
      <c r="E206" s="72">
        <v>5410</v>
      </c>
      <c r="F206" s="72">
        <v>5532</v>
      </c>
      <c r="G206" s="72">
        <v>5672</v>
      </c>
      <c r="H206" s="72">
        <v>5689</v>
      </c>
      <c r="I206" s="72">
        <v>5690</v>
      </c>
      <c r="J206" s="72">
        <v>5720</v>
      </c>
      <c r="K206" s="72">
        <v>5646</v>
      </c>
      <c r="L206" s="72">
        <v>5723</v>
      </c>
      <c r="M206" s="72">
        <v>5515</v>
      </c>
      <c r="N206" s="72">
        <v>5362</v>
      </c>
      <c r="O206" s="72">
        <v>5343</v>
      </c>
      <c r="P206" s="72">
        <v>5376</v>
      </c>
      <c r="Q206" s="72">
        <v>5358</v>
      </c>
      <c r="R206" s="72">
        <v>5289</v>
      </c>
      <c r="S206" s="72">
        <v>5412</v>
      </c>
      <c r="T206" s="72">
        <v>5450</v>
      </c>
      <c r="U206" s="72">
        <v>5630</v>
      </c>
      <c r="V206" s="72">
        <v>5695</v>
      </c>
      <c r="W206" s="72">
        <v>5620</v>
      </c>
      <c r="X206" s="72">
        <v>5636</v>
      </c>
      <c r="Y206" s="72">
        <v>5498</v>
      </c>
      <c r="Z206" s="72">
        <v>5446</v>
      </c>
      <c r="AA206" s="72">
        <v>5389</v>
      </c>
      <c r="AB206" s="72">
        <v>5486</v>
      </c>
      <c r="AC206" s="72">
        <v>5740</v>
      </c>
      <c r="AD206" s="72">
        <v>5700</v>
      </c>
      <c r="AE206" s="72">
        <v>5675</v>
      </c>
      <c r="AF206" s="72">
        <v>5648</v>
      </c>
      <c r="AG206" s="72">
        <v>5702</v>
      </c>
      <c r="AH206" s="72">
        <v>5681</v>
      </c>
      <c r="AI206" s="72">
        <v>5807</v>
      </c>
      <c r="AJ206" s="72">
        <v>5923</v>
      </c>
      <c r="AK206" s="72">
        <v>5852</v>
      </c>
      <c r="AL206" s="72">
        <v>5910</v>
      </c>
      <c r="AM206" s="72">
        <v>5930</v>
      </c>
      <c r="AN206" s="72">
        <v>6068</v>
      </c>
      <c r="AO206" s="72">
        <v>6178</v>
      </c>
      <c r="AP206" s="72">
        <v>6127</v>
      </c>
      <c r="AQ206" s="72">
        <v>6138</v>
      </c>
      <c r="AR206" s="72">
        <v>6153</v>
      </c>
      <c r="AS206" s="72">
        <v>6282</v>
      </c>
      <c r="AT206" s="72">
        <v>6250</v>
      </c>
      <c r="AU206" s="72">
        <v>6246</v>
      </c>
      <c r="AV206" s="72">
        <v>6394</v>
      </c>
      <c r="AW206" s="72">
        <v>6365</v>
      </c>
      <c r="AX206" s="72">
        <v>6326</v>
      </c>
      <c r="AY206" s="72">
        <v>6226</v>
      </c>
      <c r="AZ206" s="72">
        <v>6247</v>
      </c>
      <c r="BA206" s="72">
        <v>5984</v>
      </c>
      <c r="BB206" s="72">
        <v>5856</v>
      </c>
      <c r="BC206" s="72">
        <v>5739</v>
      </c>
      <c r="BD206" s="72">
        <v>5906</v>
      </c>
      <c r="BE206" s="72">
        <v>5794</v>
      </c>
      <c r="BF206" s="72">
        <v>5858</v>
      </c>
      <c r="BG206" s="72">
        <v>5830</v>
      </c>
      <c r="BH206" s="72">
        <v>6040</v>
      </c>
      <c r="BI206" s="72">
        <v>6240</v>
      </c>
      <c r="BJ206" s="72">
        <v>6264</v>
      </c>
      <c r="BK206" s="72">
        <v>6088</v>
      </c>
      <c r="BL206" s="2">
        <v>5739</v>
      </c>
    </row>
    <row r="207" spans="1:64">
      <c r="A207" s="65" t="s">
        <v>461</v>
      </c>
      <c r="B207" s="1" t="s">
        <v>73</v>
      </c>
      <c r="C207" s="57">
        <f>_xll.RssMarket("7011","高値")</f>
        <v>3905</v>
      </c>
      <c r="D207" s="16">
        <f t="shared" si="3"/>
        <v>0</v>
      </c>
      <c r="E207" s="2">
        <v>3905</v>
      </c>
      <c r="F207" s="2">
        <v>3838</v>
      </c>
      <c r="G207" s="2">
        <v>3720</v>
      </c>
      <c r="H207" s="2">
        <v>3594</v>
      </c>
      <c r="I207" s="2">
        <v>3502</v>
      </c>
      <c r="J207" s="2">
        <v>3686</v>
      </c>
      <c r="K207" s="2">
        <v>3783</v>
      </c>
      <c r="L207" s="2">
        <v>3828</v>
      </c>
      <c r="M207" s="2">
        <v>3772</v>
      </c>
      <c r="N207" s="2">
        <v>3640</v>
      </c>
      <c r="O207" s="2">
        <v>3516</v>
      </c>
      <c r="P207" s="2">
        <v>3836</v>
      </c>
      <c r="Q207" s="2">
        <v>3999</v>
      </c>
      <c r="R207" s="2">
        <v>4050</v>
      </c>
      <c r="S207" s="2">
        <v>3944</v>
      </c>
      <c r="T207" s="2">
        <v>4023</v>
      </c>
      <c r="U207" s="2">
        <v>4032</v>
      </c>
      <c r="V207" s="2">
        <v>4100</v>
      </c>
      <c r="W207" s="2">
        <v>4255</v>
      </c>
      <c r="X207" s="2">
        <v>4140</v>
      </c>
      <c r="Y207" s="2">
        <v>4148</v>
      </c>
      <c r="Z207" s="2">
        <v>4405</v>
      </c>
      <c r="AA207" s="2">
        <v>4456</v>
      </c>
      <c r="AB207" s="2">
        <v>4363</v>
      </c>
      <c r="AC207" s="2">
        <v>4543</v>
      </c>
      <c r="AD207" s="2">
        <v>4571</v>
      </c>
      <c r="AE207" s="2">
        <v>4620</v>
      </c>
      <c r="AF207" s="2">
        <v>4638</v>
      </c>
      <c r="AG207" s="2">
        <v>4640</v>
      </c>
      <c r="AH207" s="2">
        <v>4823</v>
      </c>
      <c r="AI207" s="2">
        <v>4733</v>
      </c>
      <c r="AJ207" s="2">
        <v>4810</v>
      </c>
      <c r="AK207" s="2">
        <v>4770</v>
      </c>
      <c r="AL207" s="2">
        <v>4532</v>
      </c>
      <c r="AM207" s="2">
        <v>4570</v>
      </c>
      <c r="AN207" s="2">
        <v>4593</v>
      </c>
      <c r="AO207" s="2">
        <v>4511</v>
      </c>
      <c r="AP207" s="2">
        <v>4607</v>
      </c>
      <c r="AQ207" s="2">
        <v>4735</v>
      </c>
      <c r="AR207" s="2">
        <v>4815</v>
      </c>
      <c r="AS207" s="2">
        <v>4834</v>
      </c>
      <c r="AT207" s="2">
        <v>4819</v>
      </c>
      <c r="AU207" s="2">
        <v>4854</v>
      </c>
      <c r="AV207" s="2">
        <v>4924</v>
      </c>
      <c r="AW207" s="2">
        <v>4875</v>
      </c>
      <c r="AX207" s="2">
        <v>4847</v>
      </c>
      <c r="AY207" s="2">
        <v>4862</v>
      </c>
      <c r="AZ207" s="2">
        <v>4876</v>
      </c>
      <c r="BA207" s="2">
        <v>4594</v>
      </c>
      <c r="BB207" s="2">
        <v>4331</v>
      </c>
      <c r="BC207" s="2">
        <v>4444</v>
      </c>
      <c r="BD207" s="2">
        <v>4593</v>
      </c>
      <c r="BE207" s="2">
        <v>4653</v>
      </c>
      <c r="BF207" s="2">
        <v>4599</v>
      </c>
      <c r="BG207" s="2">
        <v>4600</v>
      </c>
      <c r="BH207" s="2">
        <v>4711</v>
      </c>
      <c r="BI207" s="2">
        <v>4984</v>
      </c>
      <c r="BJ207" s="2">
        <v>5000</v>
      </c>
      <c r="BK207" s="2">
        <v>4980</v>
      </c>
      <c r="BL207" s="2">
        <v>4827</v>
      </c>
    </row>
    <row r="208" spans="1:64">
      <c r="A208" s="65" t="s">
        <v>462</v>
      </c>
      <c r="B208" s="1" t="s">
        <v>74</v>
      </c>
      <c r="C208" s="57">
        <f>_xll.RssMarket("1812","高値")</f>
        <v>6044</v>
      </c>
      <c r="D208" s="16">
        <f t="shared" si="3"/>
        <v>0</v>
      </c>
      <c r="E208" s="2">
        <v>6044</v>
      </c>
      <c r="F208" s="2">
        <v>6138</v>
      </c>
      <c r="G208" s="2">
        <v>6163</v>
      </c>
      <c r="H208" s="2">
        <v>5634</v>
      </c>
      <c r="I208" s="2">
        <v>5502</v>
      </c>
      <c r="J208" s="2">
        <v>5578</v>
      </c>
      <c r="K208" s="2">
        <v>5551</v>
      </c>
      <c r="L208" s="2">
        <v>5566</v>
      </c>
      <c r="M208" s="2">
        <v>5551</v>
      </c>
      <c r="N208" s="2">
        <v>5599</v>
      </c>
      <c r="O208" s="2">
        <v>5550</v>
      </c>
      <c r="P208" s="2">
        <v>5953</v>
      </c>
      <c r="Q208" s="2">
        <v>5903</v>
      </c>
      <c r="R208" s="2">
        <v>6074</v>
      </c>
      <c r="S208" s="2">
        <v>5740</v>
      </c>
      <c r="T208" s="2">
        <v>5591</v>
      </c>
      <c r="U208" s="2">
        <v>5695</v>
      </c>
      <c r="V208" s="2">
        <v>5766</v>
      </c>
      <c r="W208" s="2">
        <v>5952</v>
      </c>
      <c r="X208" s="2">
        <v>5843</v>
      </c>
      <c r="Y208" s="2">
        <v>6264</v>
      </c>
      <c r="Z208" s="2">
        <v>6536</v>
      </c>
      <c r="AA208" s="2">
        <v>6751</v>
      </c>
      <c r="AB208" s="2">
        <v>6599</v>
      </c>
      <c r="AC208" s="2">
        <v>6279</v>
      </c>
      <c r="AD208" s="2">
        <v>6269</v>
      </c>
      <c r="AE208" s="2">
        <v>6314</v>
      </c>
      <c r="AF208" s="2">
        <v>6243</v>
      </c>
      <c r="AG208" s="2">
        <v>6429</v>
      </c>
      <c r="AH208" s="2">
        <v>6499</v>
      </c>
      <c r="AI208" s="2">
        <v>6011</v>
      </c>
      <c r="AJ208" s="2">
        <v>5980</v>
      </c>
      <c r="AK208" s="2">
        <v>5998</v>
      </c>
      <c r="AL208" s="2">
        <v>5987</v>
      </c>
      <c r="AM208" s="2">
        <v>6120</v>
      </c>
      <c r="AN208" s="2">
        <v>6092</v>
      </c>
      <c r="AO208" s="2">
        <v>6134</v>
      </c>
      <c r="AP208" s="2">
        <v>6203</v>
      </c>
      <c r="AQ208" s="2">
        <v>6320</v>
      </c>
      <c r="AR208" s="2">
        <v>6238</v>
      </c>
      <c r="AS208" s="2">
        <v>6266</v>
      </c>
      <c r="AT208" s="2">
        <v>6318</v>
      </c>
      <c r="AU208" s="2">
        <v>6460</v>
      </c>
      <c r="AV208" s="2">
        <v>6344</v>
      </c>
      <c r="AW208" s="2">
        <v>6093</v>
      </c>
      <c r="AX208" s="2">
        <v>6131</v>
      </c>
      <c r="AY208" s="2">
        <v>6148</v>
      </c>
      <c r="AZ208" s="2">
        <v>6388</v>
      </c>
      <c r="BA208" s="2">
        <v>6288</v>
      </c>
      <c r="BB208" s="2">
        <v>6011</v>
      </c>
      <c r="BC208" s="2">
        <v>5952</v>
      </c>
      <c r="BD208" s="2">
        <v>6105</v>
      </c>
      <c r="BE208" s="2">
        <v>6196</v>
      </c>
      <c r="BF208" s="2">
        <v>6140</v>
      </c>
      <c r="BG208" s="2">
        <v>5891</v>
      </c>
      <c r="BH208" s="2">
        <v>5945</v>
      </c>
      <c r="BI208" s="2">
        <v>6330</v>
      </c>
      <c r="BJ208" s="2">
        <v>6305</v>
      </c>
      <c r="BK208" s="2">
        <v>6206</v>
      </c>
      <c r="BL208" s="2">
        <v>6137</v>
      </c>
    </row>
    <row r="209" spans="1:64">
      <c r="A209" s="65" t="s">
        <v>488</v>
      </c>
      <c r="B209" s="1" t="str">
        <f>銘柄管理!C209</f>
        <v>キーエンス</v>
      </c>
      <c r="C209" s="57">
        <f>_xll.RssMarket("6861","高値")</f>
        <v>76250</v>
      </c>
      <c r="D209" s="16"/>
      <c r="E209" s="2">
        <v>76250</v>
      </c>
      <c r="F209" s="2">
        <v>76090</v>
      </c>
      <c r="G209" s="2">
        <v>76740</v>
      </c>
      <c r="H209" s="2">
        <v>73460</v>
      </c>
      <c r="I209" s="2">
        <v>71660</v>
      </c>
      <c r="J209" s="2">
        <v>73890</v>
      </c>
      <c r="K209" s="2">
        <v>75030</v>
      </c>
      <c r="L209" s="2">
        <v>78800</v>
      </c>
      <c r="M209" s="2">
        <v>80870</v>
      </c>
      <c r="N209" s="2">
        <v>81100</v>
      </c>
      <c r="O209" s="2">
        <v>79400</v>
      </c>
      <c r="P209" s="2">
        <v>81380</v>
      </c>
      <c r="Q209" s="2">
        <v>77000</v>
      </c>
      <c r="R209" s="2">
        <v>77330</v>
      </c>
      <c r="S209" s="2">
        <v>79740</v>
      </c>
      <c r="T209" s="2">
        <v>80220</v>
      </c>
      <c r="U209" s="2">
        <v>77840</v>
      </c>
      <c r="V209" s="2">
        <v>75410</v>
      </c>
      <c r="W209" s="2">
        <v>76670</v>
      </c>
      <c r="X209" s="2">
        <v>77190</v>
      </c>
      <c r="Y209" s="2">
        <v>78840</v>
      </c>
      <c r="Z209" s="2">
        <v>79680</v>
      </c>
      <c r="AA209" s="2">
        <v>79830</v>
      </c>
      <c r="AB209" s="2">
        <v>83000</v>
      </c>
      <c r="AC209" s="2">
        <v>83460</v>
      </c>
      <c r="AD209" s="2">
        <v>84170</v>
      </c>
      <c r="AE209" s="2">
        <v>81720</v>
      </c>
      <c r="AF209" s="2">
        <v>76790</v>
      </c>
      <c r="AG209" s="2">
        <v>73980</v>
      </c>
      <c r="AH209" s="2">
        <v>76100</v>
      </c>
      <c r="AI209" s="2">
        <v>73180</v>
      </c>
      <c r="AJ209" s="2">
        <v>64190</v>
      </c>
      <c r="AK209" s="2">
        <v>64700</v>
      </c>
      <c r="AL209" s="2">
        <v>64340</v>
      </c>
      <c r="AM209" s="2">
        <v>64600</v>
      </c>
      <c r="AN209" s="2">
        <v>64360</v>
      </c>
      <c r="AO209" s="2">
        <v>64150</v>
      </c>
      <c r="AP209" s="2">
        <v>63660</v>
      </c>
      <c r="AQ209" s="2">
        <v>62940</v>
      </c>
      <c r="AR209" s="2">
        <v>64100</v>
      </c>
      <c r="AS209" s="2">
        <v>63760</v>
      </c>
      <c r="AT209" s="2">
        <v>62500</v>
      </c>
      <c r="AU209" s="2">
        <v>61960</v>
      </c>
      <c r="AV209" s="2">
        <v>60960</v>
      </c>
      <c r="AW209" s="2">
        <v>58550</v>
      </c>
      <c r="AX209" s="2">
        <v>59080</v>
      </c>
      <c r="AY209" s="2">
        <v>58270</v>
      </c>
      <c r="AZ209" s="2">
        <v>59100</v>
      </c>
      <c r="BA209" s="2">
        <v>57990</v>
      </c>
      <c r="BB209" s="2">
        <v>55980</v>
      </c>
      <c r="BC209" s="2">
        <v>55800</v>
      </c>
      <c r="BD209" s="2">
        <v>57700</v>
      </c>
      <c r="BE209" s="2">
        <v>58660</v>
      </c>
      <c r="BF209" s="2">
        <v>58650</v>
      </c>
      <c r="BG209" s="2">
        <v>57850</v>
      </c>
      <c r="BH209" s="2">
        <v>58860</v>
      </c>
      <c r="BI209" s="2">
        <v>60170</v>
      </c>
      <c r="BJ209" s="2">
        <v>60880</v>
      </c>
      <c r="BK209" s="2">
        <v>60470</v>
      </c>
      <c r="BL209" s="2">
        <v>60230</v>
      </c>
    </row>
    <row r="210" spans="1:64">
      <c r="A210" s="65" t="s">
        <v>463</v>
      </c>
      <c r="B210" s="1" t="s">
        <v>75</v>
      </c>
      <c r="C210" s="57">
        <f>_xll.RssMarket("6324","高値")</f>
        <v>7890</v>
      </c>
      <c r="D210" s="16">
        <f t="shared" si="3"/>
        <v>0</v>
      </c>
      <c r="E210" s="2">
        <v>7890</v>
      </c>
      <c r="F210" s="2">
        <v>7160</v>
      </c>
      <c r="G210" s="2">
        <v>6920</v>
      </c>
      <c r="H210" s="2">
        <v>6890</v>
      </c>
      <c r="I210" s="2">
        <v>6300</v>
      </c>
      <c r="J210" s="2">
        <v>6750</v>
      </c>
      <c r="K210" s="2">
        <v>7440</v>
      </c>
      <c r="L210" s="2">
        <v>7220</v>
      </c>
      <c r="M210" s="2">
        <v>7450</v>
      </c>
      <c r="N210" s="2">
        <v>7720</v>
      </c>
      <c r="O210" s="2">
        <v>7560</v>
      </c>
      <c r="P210" s="2">
        <v>7970</v>
      </c>
      <c r="Q210" s="2">
        <v>7870</v>
      </c>
      <c r="R210" s="2">
        <v>8400</v>
      </c>
      <c r="S210" s="2">
        <v>7850</v>
      </c>
      <c r="T210" s="2">
        <v>7180</v>
      </c>
      <c r="U210" s="2">
        <v>6590</v>
      </c>
      <c r="V210" s="2">
        <v>6050</v>
      </c>
      <c r="W210" s="2">
        <v>6720</v>
      </c>
      <c r="X210" s="2">
        <v>7070</v>
      </c>
      <c r="Y210" s="2">
        <v>7380</v>
      </c>
      <c r="Z210" s="2">
        <v>7230</v>
      </c>
      <c r="AA210" s="2">
        <v>7060</v>
      </c>
      <c r="AB210" s="2">
        <v>6750</v>
      </c>
      <c r="AC210" s="2">
        <v>6560</v>
      </c>
      <c r="AD210" s="2">
        <v>6280</v>
      </c>
      <c r="AE210" s="2">
        <v>5750</v>
      </c>
      <c r="AF210" s="2">
        <v>5290</v>
      </c>
      <c r="AG210" s="2">
        <v>5310</v>
      </c>
      <c r="AH210" s="2">
        <v>4930</v>
      </c>
      <c r="AI210" s="2">
        <v>4895</v>
      </c>
      <c r="AJ210" s="2">
        <v>4330</v>
      </c>
      <c r="AK210" s="2">
        <v>4465</v>
      </c>
      <c r="AL210" s="2">
        <v>4425</v>
      </c>
      <c r="AM210" s="2">
        <v>4710</v>
      </c>
      <c r="AN210" s="2">
        <v>4675</v>
      </c>
      <c r="AO210" s="2">
        <v>4585</v>
      </c>
      <c r="AP210" s="2">
        <v>4815</v>
      </c>
      <c r="AQ210" s="2">
        <v>4405</v>
      </c>
      <c r="AR210" s="2">
        <v>4255</v>
      </c>
      <c r="AS210" s="2">
        <v>4225</v>
      </c>
      <c r="AT210" s="2">
        <v>4040</v>
      </c>
      <c r="AU210" s="2">
        <v>4140</v>
      </c>
      <c r="AV210" s="2">
        <v>4155</v>
      </c>
      <c r="AW210" s="2">
        <v>3870</v>
      </c>
      <c r="AX210" s="2">
        <v>3870</v>
      </c>
      <c r="AY210" s="2">
        <v>3725</v>
      </c>
      <c r="AZ210" s="2">
        <v>3780</v>
      </c>
      <c r="BA210" s="2">
        <v>3670</v>
      </c>
      <c r="BB210" s="2">
        <v>3610</v>
      </c>
      <c r="BC210" s="2">
        <v>3895</v>
      </c>
      <c r="BD210" s="2">
        <v>4125</v>
      </c>
      <c r="BE210" s="2">
        <v>4285</v>
      </c>
      <c r="BF210" s="2">
        <v>4095</v>
      </c>
      <c r="BG210" s="2">
        <v>4005</v>
      </c>
      <c r="BH210" s="2">
        <v>3915</v>
      </c>
      <c r="BI210" s="2">
        <v>4340</v>
      </c>
      <c r="BJ210" s="2">
        <v>4380</v>
      </c>
      <c r="BK210" s="2">
        <v>4445</v>
      </c>
      <c r="BL210" s="2">
        <v>4295</v>
      </c>
    </row>
    <row r="211" spans="1:64">
      <c r="A211" s="65" t="s">
        <v>464</v>
      </c>
      <c r="B211" s="1" t="s">
        <v>76</v>
      </c>
      <c r="C211" s="57">
        <f>_xll.RssMarket("6273","高値")</f>
        <v>72760</v>
      </c>
      <c r="D211" s="16">
        <f t="shared" si="3"/>
        <v>0</v>
      </c>
      <c r="E211" s="2">
        <v>72760</v>
      </c>
      <c r="F211" s="2">
        <v>70480</v>
      </c>
      <c r="G211" s="2">
        <v>70430</v>
      </c>
      <c r="H211" s="2">
        <v>67040</v>
      </c>
      <c r="I211" s="2">
        <v>62270</v>
      </c>
      <c r="J211" s="2">
        <v>61840</v>
      </c>
      <c r="K211" s="2">
        <v>62820</v>
      </c>
      <c r="L211" s="2">
        <v>65540</v>
      </c>
      <c r="M211" s="2">
        <v>66000</v>
      </c>
      <c r="N211" s="2">
        <v>66210</v>
      </c>
      <c r="O211" s="2">
        <v>65960</v>
      </c>
      <c r="P211" s="2">
        <v>70050</v>
      </c>
      <c r="Q211" s="2">
        <v>69390</v>
      </c>
      <c r="R211" s="2">
        <v>68860</v>
      </c>
      <c r="S211" s="2">
        <v>67120</v>
      </c>
      <c r="T211" s="2">
        <v>66590</v>
      </c>
      <c r="U211" s="2">
        <v>66140</v>
      </c>
      <c r="V211" s="2">
        <v>65620</v>
      </c>
      <c r="W211" s="2">
        <v>68310</v>
      </c>
      <c r="X211" s="2">
        <v>68000</v>
      </c>
      <c r="Y211" s="2">
        <v>74660</v>
      </c>
      <c r="Z211" s="2">
        <v>86800</v>
      </c>
      <c r="AA211" s="2">
        <v>84880</v>
      </c>
      <c r="AB211" s="2">
        <v>85140</v>
      </c>
      <c r="AC211" s="2">
        <v>84580</v>
      </c>
      <c r="AD211" s="2">
        <v>82860</v>
      </c>
      <c r="AE211" s="2">
        <v>79790</v>
      </c>
      <c r="AF211" s="2">
        <v>77580</v>
      </c>
      <c r="AG211" s="2">
        <v>78670</v>
      </c>
      <c r="AH211" s="2">
        <v>78530</v>
      </c>
      <c r="AI211" s="2">
        <v>78160</v>
      </c>
      <c r="AJ211" s="2">
        <v>70920</v>
      </c>
      <c r="AK211" s="2">
        <v>72240</v>
      </c>
      <c r="AL211" s="2">
        <v>71700</v>
      </c>
      <c r="AM211" s="2">
        <v>72180</v>
      </c>
      <c r="AN211" s="2">
        <v>71770</v>
      </c>
      <c r="AO211" s="2">
        <v>71940</v>
      </c>
      <c r="AP211" s="2">
        <v>72990</v>
      </c>
      <c r="AQ211" s="2">
        <v>72520</v>
      </c>
      <c r="AR211" s="2">
        <v>73150</v>
      </c>
      <c r="AS211" s="2">
        <v>72200</v>
      </c>
      <c r="AT211" s="2">
        <v>70500</v>
      </c>
      <c r="AU211" s="2">
        <v>68510</v>
      </c>
      <c r="AV211" s="2">
        <v>66810</v>
      </c>
      <c r="AW211" s="2">
        <v>63080</v>
      </c>
      <c r="AX211" s="2">
        <v>63420</v>
      </c>
      <c r="AY211" s="2">
        <v>62900</v>
      </c>
      <c r="AZ211" s="2">
        <v>64940</v>
      </c>
      <c r="BA211" s="2">
        <v>63860</v>
      </c>
      <c r="BB211" s="2">
        <v>61150</v>
      </c>
      <c r="BC211" s="2">
        <v>61050</v>
      </c>
      <c r="BD211" s="2">
        <v>63290</v>
      </c>
      <c r="BE211" s="2">
        <v>66460</v>
      </c>
      <c r="BF211" s="2">
        <v>65290</v>
      </c>
      <c r="BG211" s="2">
        <v>63210</v>
      </c>
      <c r="BH211" s="2">
        <v>61710</v>
      </c>
      <c r="BI211" s="2">
        <v>66500</v>
      </c>
      <c r="BJ211" s="2">
        <v>68040</v>
      </c>
      <c r="BK211" s="2">
        <v>67210</v>
      </c>
      <c r="BL211" s="2">
        <v>65860</v>
      </c>
    </row>
    <row r="212" spans="1:64">
      <c r="A212" s="65" t="s">
        <v>465</v>
      </c>
      <c r="B212" s="1" t="s">
        <v>77</v>
      </c>
      <c r="C212" s="57">
        <f>_xll.RssMarket("4502","高値")</f>
        <v>5037</v>
      </c>
      <c r="D212" s="16">
        <f t="shared" si="3"/>
        <v>0</v>
      </c>
      <c r="E212" s="2">
        <v>5037</v>
      </c>
      <c r="F212" s="2">
        <v>5045</v>
      </c>
      <c r="G212" s="2">
        <v>5158</v>
      </c>
      <c r="H212" s="2">
        <v>5100</v>
      </c>
      <c r="I212" s="2">
        <v>5062</v>
      </c>
      <c r="J212" s="2">
        <v>5086</v>
      </c>
      <c r="K212" s="2">
        <v>5050</v>
      </c>
      <c r="L212" s="2">
        <v>4977</v>
      </c>
      <c r="M212" s="2">
        <v>4880</v>
      </c>
      <c r="N212" s="2">
        <v>4809</v>
      </c>
      <c r="O212" s="2">
        <v>4905</v>
      </c>
      <c r="P212" s="2">
        <v>5146</v>
      </c>
      <c r="Q212" s="2">
        <v>5182</v>
      </c>
      <c r="R212" s="2">
        <v>5130</v>
      </c>
      <c r="S212" s="2">
        <v>5166</v>
      </c>
      <c r="T212" s="2">
        <v>5206</v>
      </c>
      <c r="U212" s="2">
        <v>5320</v>
      </c>
      <c r="V212" s="2">
        <v>5362</v>
      </c>
      <c r="W212" s="2">
        <v>5352</v>
      </c>
      <c r="X212" s="2">
        <v>5309</v>
      </c>
      <c r="Y212" s="2">
        <v>5327</v>
      </c>
      <c r="Z212" s="2">
        <v>5288</v>
      </c>
      <c r="AA212" s="2">
        <v>5234</v>
      </c>
      <c r="AB212" s="2">
        <v>5196</v>
      </c>
      <c r="AC212" s="2">
        <v>5222</v>
      </c>
      <c r="AD212" s="2">
        <v>5339</v>
      </c>
      <c r="AE212" s="2">
        <v>5338</v>
      </c>
      <c r="AF212" s="2">
        <v>5260</v>
      </c>
      <c r="AG212" s="2">
        <v>5270</v>
      </c>
      <c r="AH212" s="2">
        <v>5295</v>
      </c>
      <c r="AI212" s="2">
        <v>5269</v>
      </c>
      <c r="AJ212" s="2">
        <v>5378</v>
      </c>
      <c r="AK212" s="2">
        <v>5336</v>
      </c>
      <c r="AL212" s="2">
        <v>5494</v>
      </c>
      <c r="AM212" s="2">
        <v>5555</v>
      </c>
      <c r="AN212" s="2">
        <v>5626</v>
      </c>
      <c r="AO212" s="2">
        <v>5660</v>
      </c>
      <c r="AP212" s="2">
        <v>5716</v>
      </c>
      <c r="AQ212" s="2">
        <v>5667</v>
      </c>
      <c r="AR212" s="2">
        <v>5685</v>
      </c>
      <c r="AS212" s="2">
        <v>5757</v>
      </c>
      <c r="AT212" s="2">
        <v>5774</v>
      </c>
      <c r="AU212" s="2">
        <v>5936</v>
      </c>
      <c r="AV212" s="2">
        <v>5920</v>
      </c>
      <c r="AW212" s="2">
        <v>5815</v>
      </c>
      <c r="AX212" s="2">
        <v>5834</v>
      </c>
      <c r="AY212" s="2">
        <v>5888</v>
      </c>
      <c r="AZ212" s="2">
        <v>6033</v>
      </c>
      <c r="BA212" s="2">
        <v>5888</v>
      </c>
      <c r="BB212" s="2">
        <v>5769</v>
      </c>
      <c r="BC212" s="2">
        <v>5721</v>
      </c>
      <c r="BD212" s="2">
        <v>5855</v>
      </c>
      <c r="BE212" s="2">
        <v>5816</v>
      </c>
      <c r="BF212" s="2">
        <v>5825</v>
      </c>
      <c r="BG212" s="2">
        <v>5674</v>
      </c>
      <c r="BH212" s="2">
        <v>5680</v>
      </c>
      <c r="BI212" s="2">
        <v>5813</v>
      </c>
      <c r="BJ212" s="2">
        <v>5877</v>
      </c>
      <c r="BK212" s="2">
        <v>5864</v>
      </c>
      <c r="BL212" s="2">
        <v>5760</v>
      </c>
    </row>
    <row r="213" spans="1:64">
      <c r="A213" s="65" t="s">
        <v>466</v>
      </c>
      <c r="B213" s="1" t="s">
        <v>78</v>
      </c>
      <c r="C213" s="57">
        <f>_xll.RssMarket("4004","高値")</f>
        <v>18535</v>
      </c>
      <c r="D213" s="16">
        <f t="shared" si="3"/>
        <v>0</v>
      </c>
      <c r="E213" s="2">
        <v>18535</v>
      </c>
      <c r="F213" s="2">
        <v>18730</v>
      </c>
      <c r="G213" s="2">
        <v>18665</v>
      </c>
      <c r="H213" s="2">
        <v>17790</v>
      </c>
      <c r="I213" s="2">
        <v>16430</v>
      </c>
      <c r="J213" s="2">
        <v>16660</v>
      </c>
      <c r="K213" s="2">
        <v>16415</v>
      </c>
      <c r="L213" s="2">
        <v>17670</v>
      </c>
      <c r="M213" s="2">
        <v>18735</v>
      </c>
      <c r="N213" s="2">
        <v>19450</v>
      </c>
      <c r="O213" s="2">
        <v>18620</v>
      </c>
      <c r="P213" s="2">
        <v>18980</v>
      </c>
      <c r="Q213" s="2">
        <v>19150</v>
      </c>
      <c r="R213" s="2">
        <v>19945</v>
      </c>
      <c r="S213" s="2">
        <v>20195</v>
      </c>
      <c r="T213" s="2">
        <v>18310</v>
      </c>
      <c r="U213" s="2">
        <v>17485</v>
      </c>
      <c r="V213" s="2">
        <v>16630</v>
      </c>
      <c r="W213" s="2">
        <v>16890</v>
      </c>
      <c r="X213" s="2">
        <v>17600</v>
      </c>
      <c r="Y213" s="2">
        <v>19000</v>
      </c>
      <c r="Z213" s="2">
        <v>20495</v>
      </c>
      <c r="AA213" s="2">
        <v>18150</v>
      </c>
      <c r="AB213" s="2">
        <v>17925</v>
      </c>
      <c r="AC213" s="2">
        <v>16935</v>
      </c>
      <c r="AD213" s="2">
        <v>16085</v>
      </c>
      <c r="AE213" s="2">
        <v>15700</v>
      </c>
      <c r="AF213" s="2">
        <v>14410</v>
      </c>
      <c r="AG213" s="2">
        <v>14335</v>
      </c>
      <c r="AH213" s="2">
        <v>14155</v>
      </c>
      <c r="AI213" s="2">
        <v>14160</v>
      </c>
      <c r="AJ213" s="2">
        <v>14550</v>
      </c>
      <c r="AK213" s="2">
        <v>14520</v>
      </c>
      <c r="AL213" s="2">
        <v>14530</v>
      </c>
      <c r="AM213" s="2">
        <v>13545</v>
      </c>
      <c r="AN213" s="2">
        <v>12785</v>
      </c>
      <c r="AO213" s="2">
        <v>13075</v>
      </c>
      <c r="AP213" s="2">
        <v>13315</v>
      </c>
      <c r="AQ213" s="2">
        <v>13710</v>
      </c>
      <c r="AR213" s="2">
        <v>13760</v>
      </c>
      <c r="AS213" s="2">
        <v>13310</v>
      </c>
      <c r="AT213" s="2">
        <v>13830</v>
      </c>
      <c r="AU213" s="2">
        <v>13235</v>
      </c>
      <c r="AV213" s="2">
        <v>12995</v>
      </c>
      <c r="AW213" s="2">
        <v>11865</v>
      </c>
      <c r="AX213" s="2">
        <v>12165</v>
      </c>
      <c r="AY213" s="2">
        <v>11420</v>
      </c>
      <c r="AZ213" s="2">
        <v>10890</v>
      </c>
      <c r="BA213" s="2">
        <v>10740</v>
      </c>
      <c r="BB213" s="2">
        <v>10205</v>
      </c>
      <c r="BC213" s="2">
        <v>10435</v>
      </c>
      <c r="BD213" s="2">
        <v>10790</v>
      </c>
      <c r="BE213" s="2">
        <v>11220</v>
      </c>
      <c r="BF213" s="2">
        <v>11345</v>
      </c>
      <c r="BG213" s="2">
        <v>10935</v>
      </c>
      <c r="BH213" s="2">
        <v>10530</v>
      </c>
      <c r="BI213" s="2">
        <v>11270</v>
      </c>
      <c r="BJ213" s="2">
        <v>11500</v>
      </c>
      <c r="BK213" s="2">
        <v>11425</v>
      </c>
      <c r="BL213" s="2">
        <v>11220</v>
      </c>
    </row>
    <row r="214" spans="1:64">
      <c r="A214" s="65" t="s">
        <v>467</v>
      </c>
      <c r="B214" s="1" t="s">
        <v>79</v>
      </c>
      <c r="C214" s="57">
        <f>_xll.RssMarket("9519","高値")</f>
        <v>893</v>
      </c>
      <c r="D214" s="16">
        <f t="shared" si="3"/>
        <v>0</v>
      </c>
      <c r="E214" s="2">
        <v>893</v>
      </c>
      <c r="F214" s="2">
        <v>916</v>
      </c>
      <c r="G214" s="2">
        <v>918</v>
      </c>
      <c r="H214" s="2">
        <v>915</v>
      </c>
      <c r="I214" s="2">
        <v>911</v>
      </c>
      <c r="J214" s="2">
        <v>933</v>
      </c>
      <c r="K214" s="2">
        <v>1030</v>
      </c>
      <c r="L214" s="2">
        <v>1043</v>
      </c>
      <c r="M214" s="2">
        <v>1009</v>
      </c>
      <c r="N214" s="2">
        <v>1090</v>
      </c>
      <c r="O214" s="2">
        <v>1181</v>
      </c>
      <c r="P214" s="2">
        <v>1346</v>
      </c>
      <c r="Q214" s="2">
        <v>1288</v>
      </c>
      <c r="R214" s="2">
        <v>1318</v>
      </c>
      <c r="S214" s="2">
        <v>1395</v>
      </c>
      <c r="T214" s="2">
        <v>1400</v>
      </c>
      <c r="U214" s="2">
        <v>1338</v>
      </c>
      <c r="V214" s="2">
        <v>1363</v>
      </c>
      <c r="W214" s="2">
        <v>1388</v>
      </c>
      <c r="X214" s="2">
        <v>1365</v>
      </c>
      <c r="Y214" s="2">
        <v>1234</v>
      </c>
      <c r="Z214" s="2">
        <v>1262</v>
      </c>
      <c r="AA214" s="2">
        <v>1245</v>
      </c>
      <c r="AB214" s="2">
        <v>1187</v>
      </c>
      <c r="AC214" s="2">
        <v>1144</v>
      </c>
      <c r="AD214" s="2">
        <v>1150</v>
      </c>
      <c r="AE214" s="2">
        <v>1146</v>
      </c>
      <c r="AF214" s="2">
        <v>1134</v>
      </c>
      <c r="AG214" s="2">
        <v>1085</v>
      </c>
      <c r="AH214" s="2">
        <v>1073</v>
      </c>
      <c r="AI214" s="2">
        <v>1006</v>
      </c>
      <c r="AJ214" s="2">
        <v>985</v>
      </c>
      <c r="AK214" s="2">
        <v>1048</v>
      </c>
      <c r="AL214" s="2">
        <v>1060</v>
      </c>
      <c r="AM214" s="2">
        <v>1073</v>
      </c>
      <c r="AN214" s="2">
        <v>1120</v>
      </c>
      <c r="AO214" s="2">
        <v>1060</v>
      </c>
      <c r="AP214" s="2">
        <v>1023</v>
      </c>
      <c r="AQ214" s="2">
        <v>1006</v>
      </c>
      <c r="AR214" s="2">
        <v>1023</v>
      </c>
      <c r="AS214" s="2">
        <v>991</v>
      </c>
      <c r="AT214" s="2">
        <v>950</v>
      </c>
      <c r="AU214" s="2">
        <v>909</v>
      </c>
      <c r="AV214" s="2">
        <v>951</v>
      </c>
      <c r="AW214" s="2">
        <v>960</v>
      </c>
      <c r="AX214" s="2">
        <v>895</v>
      </c>
      <c r="AY214" s="2">
        <v>896</v>
      </c>
      <c r="AZ214" s="2">
        <v>885</v>
      </c>
      <c r="BA214" s="2">
        <v>898</v>
      </c>
      <c r="BB214" s="2">
        <v>810</v>
      </c>
      <c r="BC214" s="2">
        <v>798</v>
      </c>
      <c r="BD214" s="2">
        <v>802</v>
      </c>
      <c r="BE214" s="2">
        <v>779</v>
      </c>
      <c r="BF214" s="2">
        <v>761</v>
      </c>
      <c r="BG214" s="2">
        <v>808</v>
      </c>
      <c r="BH214" s="2">
        <v>838</v>
      </c>
      <c r="BI214" s="2">
        <v>850</v>
      </c>
      <c r="BJ214" s="2">
        <v>836</v>
      </c>
      <c r="BK214" s="2">
        <v>783</v>
      </c>
      <c r="BL214" s="2">
        <v>748</v>
      </c>
    </row>
    <row r="215" spans="1:64">
      <c r="A215" s="65" t="s">
        <v>468</v>
      </c>
      <c r="B215" s="1" t="s">
        <v>80</v>
      </c>
      <c r="C215" s="57">
        <f>_xll.RssMarket("6752","高値")</f>
        <v>4272</v>
      </c>
      <c r="D215" s="16">
        <f t="shared" si="3"/>
        <v>0</v>
      </c>
      <c r="E215" s="2">
        <v>4272</v>
      </c>
      <c r="F215" s="2">
        <v>4144</v>
      </c>
      <c r="G215" s="2">
        <v>4039</v>
      </c>
      <c r="H215" s="2">
        <v>3929</v>
      </c>
      <c r="I215" s="2">
        <v>3799</v>
      </c>
      <c r="J215" s="2">
        <v>3851</v>
      </c>
      <c r="K215" s="2">
        <v>3607</v>
      </c>
      <c r="L215" s="2">
        <v>3805</v>
      </c>
      <c r="M215" s="2">
        <v>3801</v>
      </c>
      <c r="N215" s="2">
        <v>3994</v>
      </c>
      <c r="O215" s="2">
        <v>3640</v>
      </c>
      <c r="P215" s="2">
        <v>3774</v>
      </c>
      <c r="Q215" s="2">
        <v>3596</v>
      </c>
      <c r="R215" s="2">
        <v>3702</v>
      </c>
      <c r="S215" s="2">
        <v>3615</v>
      </c>
      <c r="T215" s="2">
        <v>3589</v>
      </c>
      <c r="U215" s="2">
        <v>3474</v>
      </c>
      <c r="V215" s="2">
        <v>3302</v>
      </c>
      <c r="W215" s="2">
        <v>3418</v>
      </c>
      <c r="X215" s="2">
        <v>3370</v>
      </c>
      <c r="Y215" s="2">
        <v>3465</v>
      </c>
      <c r="Z215" s="2">
        <v>3460</v>
      </c>
      <c r="AA215" s="2">
        <v>3317</v>
      </c>
      <c r="AB215" s="2">
        <v>3467</v>
      </c>
      <c r="AC215" s="2">
        <v>3359</v>
      </c>
      <c r="AD215" s="2">
        <v>3335</v>
      </c>
      <c r="AE215" s="2">
        <v>3450</v>
      </c>
      <c r="AF215" s="2">
        <v>3339</v>
      </c>
      <c r="AG215" s="2">
        <v>3203</v>
      </c>
      <c r="AH215" s="2">
        <v>3116</v>
      </c>
      <c r="AI215" s="2">
        <v>3119</v>
      </c>
      <c r="AJ215" s="2">
        <v>2905</v>
      </c>
      <c r="AK215" s="2">
        <v>2965</v>
      </c>
      <c r="AL215" s="2">
        <v>3010</v>
      </c>
      <c r="AM215" s="2">
        <v>3082</v>
      </c>
      <c r="AN215" s="2">
        <v>2983</v>
      </c>
      <c r="AO215" s="2">
        <v>2988</v>
      </c>
      <c r="AP215" s="2">
        <v>3008</v>
      </c>
      <c r="AQ215" s="2">
        <v>2950</v>
      </c>
      <c r="AR215" s="2">
        <v>2951.5</v>
      </c>
      <c r="AS215" s="2">
        <v>2917</v>
      </c>
      <c r="AT215" s="2">
        <v>2960</v>
      </c>
      <c r="AU215" s="2">
        <v>2939.5</v>
      </c>
      <c r="AV215" s="2">
        <v>3033</v>
      </c>
      <c r="AW215" s="2">
        <v>2857.5</v>
      </c>
      <c r="AX215" s="2">
        <v>2794</v>
      </c>
      <c r="AY215" s="2">
        <v>2785</v>
      </c>
      <c r="AZ215" s="2">
        <v>2807.5</v>
      </c>
      <c r="BA215" s="2">
        <v>2777.5</v>
      </c>
      <c r="BB215" s="2">
        <v>2646.5</v>
      </c>
      <c r="BC215" s="2">
        <v>2625</v>
      </c>
      <c r="BD215" s="2">
        <v>2733.5</v>
      </c>
      <c r="BE215" s="2">
        <v>2723</v>
      </c>
      <c r="BF215" s="2">
        <v>2661</v>
      </c>
      <c r="BG215" s="2">
        <v>2602.5</v>
      </c>
      <c r="BH215" s="2">
        <v>2528</v>
      </c>
      <c r="BI215" s="2">
        <v>2679</v>
      </c>
      <c r="BJ215" s="2">
        <v>2666.5</v>
      </c>
      <c r="BK215" s="2">
        <v>2656</v>
      </c>
      <c r="BL215" s="2">
        <v>2631</v>
      </c>
    </row>
    <row r="216" spans="1:64">
      <c r="A216" s="65" t="s">
        <v>469</v>
      </c>
      <c r="B216" s="1" t="s">
        <v>81</v>
      </c>
      <c r="C216" s="57">
        <f>_xll.RssMarket("6622","高値")</f>
        <v>16830</v>
      </c>
      <c r="D216" s="16">
        <f t="shared" si="3"/>
        <v>0</v>
      </c>
      <c r="E216" s="2">
        <v>16830</v>
      </c>
      <c r="F216" s="2">
        <v>16500</v>
      </c>
      <c r="G216" s="2">
        <v>16220</v>
      </c>
      <c r="H216" s="2">
        <v>15320</v>
      </c>
      <c r="I216" s="2">
        <v>14610</v>
      </c>
      <c r="J216" s="2">
        <v>15320</v>
      </c>
      <c r="K216" s="2">
        <v>15470</v>
      </c>
      <c r="L216" s="2">
        <v>16270</v>
      </c>
      <c r="M216" s="2">
        <v>15880</v>
      </c>
      <c r="N216" s="2">
        <v>15870</v>
      </c>
      <c r="O216" s="2">
        <v>15740</v>
      </c>
      <c r="P216" s="2">
        <v>16650</v>
      </c>
      <c r="Q216" s="2">
        <v>16540</v>
      </c>
      <c r="R216" s="2">
        <v>17720</v>
      </c>
      <c r="S216" s="2">
        <v>17360</v>
      </c>
      <c r="T216" s="2">
        <v>16690</v>
      </c>
      <c r="U216" s="2">
        <v>16040</v>
      </c>
      <c r="V216" s="2">
        <v>15530</v>
      </c>
      <c r="W216" s="2">
        <v>16840</v>
      </c>
      <c r="X216" s="2">
        <v>17320</v>
      </c>
      <c r="Y216" s="2">
        <v>18180</v>
      </c>
      <c r="Z216" s="2">
        <v>18220</v>
      </c>
      <c r="AA216" s="2">
        <v>19790</v>
      </c>
      <c r="AB216" s="2">
        <v>18140</v>
      </c>
      <c r="AC216" s="2">
        <v>17280</v>
      </c>
      <c r="AD216" s="2">
        <v>17150</v>
      </c>
      <c r="AE216" s="2">
        <v>16100</v>
      </c>
      <c r="AF216" s="2">
        <v>15710</v>
      </c>
      <c r="AG216" s="2">
        <v>14990</v>
      </c>
      <c r="AH216" s="2">
        <v>14950</v>
      </c>
      <c r="AI216" s="2">
        <v>14040</v>
      </c>
      <c r="AJ216" s="2">
        <v>14150</v>
      </c>
      <c r="AK216" s="2">
        <v>14080</v>
      </c>
      <c r="AL216" s="2">
        <v>14210</v>
      </c>
      <c r="AM216" s="2">
        <v>14090</v>
      </c>
      <c r="AN216" s="2">
        <v>14320</v>
      </c>
      <c r="AO216" s="2">
        <v>14440</v>
      </c>
      <c r="AP216" s="2">
        <v>14830</v>
      </c>
      <c r="AQ216" s="2">
        <v>14620</v>
      </c>
      <c r="AR216" s="2">
        <v>14140</v>
      </c>
      <c r="AS216" s="2">
        <v>14060</v>
      </c>
      <c r="AT216" s="2">
        <v>13650</v>
      </c>
      <c r="AU216" s="2">
        <v>13730</v>
      </c>
      <c r="AV216" s="2">
        <v>12550</v>
      </c>
      <c r="AW216" s="2">
        <v>12750</v>
      </c>
      <c r="AX216" s="2">
        <v>12270</v>
      </c>
      <c r="AY216" s="2">
        <v>12650</v>
      </c>
      <c r="AZ216" s="2">
        <v>12340</v>
      </c>
      <c r="BA216" s="2">
        <v>11510</v>
      </c>
      <c r="BB216" s="2">
        <v>11530</v>
      </c>
      <c r="BC216" s="2">
        <v>12150</v>
      </c>
      <c r="BD216" s="2">
        <v>12780</v>
      </c>
      <c r="BE216" s="2">
        <v>12690</v>
      </c>
      <c r="BF216" s="2">
        <v>12180</v>
      </c>
      <c r="BG216" s="2">
        <v>12000</v>
      </c>
      <c r="BH216" s="2">
        <v>12640</v>
      </c>
      <c r="BI216" s="2">
        <v>13130</v>
      </c>
      <c r="BJ216" s="2">
        <v>12700</v>
      </c>
      <c r="BK216" s="2">
        <v>12470</v>
      </c>
      <c r="BL216" s="2">
        <v>12290</v>
      </c>
    </row>
    <row r="217" spans="1:64">
      <c r="A217" s="65" t="s">
        <v>470</v>
      </c>
      <c r="B217" s="1" t="s">
        <v>82</v>
      </c>
      <c r="C217" s="57">
        <f>_xll.RssMarket("1407","高値")</f>
        <v>2350</v>
      </c>
      <c r="D217" s="16">
        <f t="shared" si="3"/>
        <v>0</v>
      </c>
      <c r="E217" s="2">
        <v>2350</v>
      </c>
      <c r="F217" s="2">
        <v>2357</v>
      </c>
      <c r="G217" s="2">
        <v>2336</v>
      </c>
      <c r="H217" s="2">
        <v>2355</v>
      </c>
      <c r="I217" s="2">
        <v>2348</v>
      </c>
      <c r="J217" s="2">
        <v>2369</v>
      </c>
      <c r="K217" s="2">
        <v>2506</v>
      </c>
      <c r="L217" s="2">
        <v>2491</v>
      </c>
      <c r="M217" s="2">
        <v>2630</v>
      </c>
      <c r="N217" s="2">
        <v>2612</v>
      </c>
      <c r="O217" s="2">
        <v>2600</v>
      </c>
      <c r="P217" s="2">
        <v>2928</v>
      </c>
      <c r="Q217" s="2">
        <v>3045</v>
      </c>
      <c r="R217" s="2">
        <v>3270</v>
      </c>
      <c r="S217" s="2">
        <v>2992</v>
      </c>
      <c r="T217" s="2">
        <v>2964</v>
      </c>
      <c r="U217" s="2">
        <v>3150</v>
      </c>
      <c r="V217" s="2">
        <v>3120</v>
      </c>
      <c r="W217" s="2">
        <v>3085</v>
      </c>
      <c r="X217" s="2">
        <v>3065</v>
      </c>
      <c r="Y217" s="2">
        <v>3200</v>
      </c>
      <c r="Z217" s="2">
        <v>3185</v>
      </c>
      <c r="AA217" s="2">
        <v>3025</v>
      </c>
      <c r="AB217" s="2">
        <v>3200</v>
      </c>
      <c r="AC217" s="2">
        <v>3230</v>
      </c>
      <c r="AD217" s="2">
        <v>3000</v>
      </c>
      <c r="AE217" s="2">
        <v>2947</v>
      </c>
      <c r="AF217" s="2">
        <v>3090</v>
      </c>
      <c r="AG217" s="2">
        <v>2915</v>
      </c>
      <c r="AH217" s="2">
        <v>2762</v>
      </c>
      <c r="AI217" s="2">
        <v>2710</v>
      </c>
      <c r="AJ217" s="2">
        <v>2598</v>
      </c>
      <c r="AK217" s="2">
        <v>2424</v>
      </c>
      <c r="AL217" s="2">
        <v>2295</v>
      </c>
      <c r="AM217" s="2">
        <v>2357</v>
      </c>
      <c r="AN217" s="2">
        <v>2330</v>
      </c>
      <c r="AO217" s="2">
        <v>2374</v>
      </c>
      <c r="AP217" s="2">
        <v>2371</v>
      </c>
      <c r="AQ217" s="2">
        <v>2163</v>
      </c>
      <c r="AR217" s="2">
        <v>1947</v>
      </c>
      <c r="AS217" s="2">
        <v>1863</v>
      </c>
      <c r="AT217" s="2">
        <v>1920</v>
      </c>
      <c r="AU217" s="2">
        <v>1841</v>
      </c>
      <c r="AV217" s="2">
        <v>1903</v>
      </c>
      <c r="AW217" s="2">
        <v>1906</v>
      </c>
      <c r="AX217" s="2">
        <v>1944</v>
      </c>
      <c r="AY217" s="2">
        <v>1932</v>
      </c>
      <c r="AZ217" s="2">
        <v>1899</v>
      </c>
      <c r="BA217" s="2">
        <v>1830</v>
      </c>
      <c r="BB217" s="2">
        <v>1816</v>
      </c>
      <c r="BC217" s="2">
        <v>1809</v>
      </c>
      <c r="BD217" s="2">
        <v>1768</v>
      </c>
      <c r="BE217" s="2">
        <v>1806</v>
      </c>
      <c r="BF217" s="2">
        <v>1816</v>
      </c>
      <c r="BG217" s="2">
        <v>1748</v>
      </c>
      <c r="BH217" s="2">
        <v>1693</v>
      </c>
      <c r="BI217" s="2">
        <v>1799</v>
      </c>
      <c r="BJ217" s="2">
        <v>1870</v>
      </c>
      <c r="BK217" s="2">
        <v>2050</v>
      </c>
      <c r="BL217" s="2">
        <v>2040</v>
      </c>
    </row>
    <row r="218" spans="1:64">
      <c r="A218" s="65" t="s">
        <v>260</v>
      </c>
      <c r="B218" s="1" t="s">
        <v>259</v>
      </c>
      <c r="C218" s="57">
        <f>_xll.RssMarket("285A","高値")</f>
        <v>96400</v>
      </c>
      <c r="D218" s="16">
        <f>C218-E218</f>
        <v>0</v>
      </c>
      <c r="E218" s="2">
        <v>96400</v>
      </c>
      <c r="F218" s="2">
        <v>97610</v>
      </c>
      <c r="G218" s="2">
        <v>90990</v>
      </c>
      <c r="H218" s="2">
        <v>83140</v>
      </c>
      <c r="I218" s="2">
        <v>77360</v>
      </c>
      <c r="J218" s="2">
        <v>75680</v>
      </c>
      <c r="K218" s="2">
        <v>74500</v>
      </c>
      <c r="L218" s="2">
        <v>78840</v>
      </c>
      <c r="M218" s="2">
        <v>79830</v>
      </c>
      <c r="N218" s="2">
        <v>83140</v>
      </c>
      <c r="O218" s="2">
        <v>77540</v>
      </c>
      <c r="P218" s="2">
        <v>65850</v>
      </c>
      <c r="Q218" s="2">
        <v>61840</v>
      </c>
      <c r="R218" s="2">
        <v>67340</v>
      </c>
      <c r="S218" s="2">
        <v>65790</v>
      </c>
      <c r="T218" s="2">
        <v>58880</v>
      </c>
      <c r="U218" s="2">
        <v>59420</v>
      </c>
      <c r="V218" s="2">
        <v>51450</v>
      </c>
      <c r="W218" s="2">
        <v>52590</v>
      </c>
      <c r="X218" s="2">
        <v>51450</v>
      </c>
      <c r="Y218" s="2">
        <v>48470</v>
      </c>
      <c r="Z218" s="2">
        <v>53490</v>
      </c>
      <c r="AA218" s="2">
        <v>50670</v>
      </c>
      <c r="AB218" s="2">
        <v>47180</v>
      </c>
      <c r="AC218" s="2">
        <v>49430</v>
      </c>
      <c r="AD218" s="2">
        <v>45550</v>
      </c>
      <c r="AE218" s="2">
        <v>43410</v>
      </c>
      <c r="AF218" s="2">
        <v>36990</v>
      </c>
      <c r="AG218" s="2">
        <v>38270</v>
      </c>
      <c r="AH218" s="2">
        <v>37430</v>
      </c>
      <c r="AI218" s="2">
        <v>36440</v>
      </c>
      <c r="AJ218" s="2">
        <v>35600</v>
      </c>
      <c r="AK218" s="2">
        <v>36680</v>
      </c>
      <c r="AL218" s="2">
        <v>35080</v>
      </c>
      <c r="AM218" s="2">
        <v>32880</v>
      </c>
      <c r="AN218" s="2">
        <v>31730</v>
      </c>
      <c r="AO218" s="2">
        <v>33480</v>
      </c>
      <c r="AP218" s="2">
        <v>33950</v>
      </c>
      <c r="AQ218" s="2">
        <v>35150</v>
      </c>
      <c r="AR218" s="2">
        <v>36870</v>
      </c>
      <c r="AS218" s="2">
        <v>31380</v>
      </c>
      <c r="AT218" s="2">
        <v>30490</v>
      </c>
      <c r="AU218" s="2">
        <v>28215</v>
      </c>
      <c r="AV218" s="2">
        <v>27815</v>
      </c>
      <c r="AW218" s="2">
        <v>23400</v>
      </c>
      <c r="AX218" s="2">
        <v>22835</v>
      </c>
      <c r="AY218" s="2">
        <v>22080</v>
      </c>
      <c r="AZ218" s="2">
        <v>22400</v>
      </c>
      <c r="BA218" s="2">
        <v>21815</v>
      </c>
      <c r="BB218" s="2">
        <v>19675</v>
      </c>
      <c r="BC218" s="2">
        <v>20060</v>
      </c>
      <c r="BD218" s="2">
        <v>20580</v>
      </c>
      <c r="BE218" s="2">
        <v>21900</v>
      </c>
      <c r="BF218" s="2">
        <v>22445</v>
      </c>
      <c r="BG218" s="2">
        <v>22280</v>
      </c>
      <c r="BH218" s="2">
        <v>21835</v>
      </c>
      <c r="BI218" s="2">
        <v>23240</v>
      </c>
      <c r="BJ218" s="2">
        <v>23410</v>
      </c>
      <c r="BK218" s="2">
        <v>23380</v>
      </c>
      <c r="BL218" s="2">
        <v>22630</v>
      </c>
    </row>
    <row r="219" spans="1:64">
      <c r="A219" s="65" t="s">
        <v>261</v>
      </c>
      <c r="B219" s="1" t="s">
        <v>471</v>
      </c>
      <c r="C219" s="57">
        <f>_xll.RssMarket("141A","高値")</f>
        <v>2850</v>
      </c>
      <c r="D219" s="16">
        <f>C219-E219</f>
        <v>0</v>
      </c>
      <c r="E219" s="2">
        <v>2850</v>
      </c>
      <c r="F219" s="2">
        <v>2865</v>
      </c>
      <c r="G219" s="2">
        <v>2873</v>
      </c>
      <c r="H219" s="2">
        <v>2937</v>
      </c>
      <c r="I219" s="2">
        <v>2925</v>
      </c>
      <c r="J219" s="2">
        <v>2841</v>
      </c>
      <c r="K219" s="2">
        <v>2873</v>
      </c>
      <c r="L219" s="2">
        <v>2849</v>
      </c>
      <c r="M219" s="2">
        <v>2792</v>
      </c>
      <c r="N219" s="2">
        <v>2734</v>
      </c>
      <c r="O219" s="2">
        <v>2645</v>
      </c>
      <c r="P219" s="2">
        <v>2965</v>
      </c>
      <c r="Q219" s="2">
        <v>3015</v>
      </c>
      <c r="R219" s="2">
        <v>2913</v>
      </c>
      <c r="S219" s="2">
        <v>3075</v>
      </c>
      <c r="T219" s="2">
        <v>3060</v>
      </c>
      <c r="U219" s="2">
        <v>3145</v>
      </c>
      <c r="V219" s="2">
        <v>3270</v>
      </c>
      <c r="W219" s="2">
        <v>3195</v>
      </c>
      <c r="X219" s="2">
        <v>3505</v>
      </c>
      <c r="Y219" s="2">
        <v>3735</v>
      </c>
      <c r="Z219" s="2">
        <v>4465</v>
      </c>
      <c r="AA219" s="2">
        <v>4460</v>
      </c>
      <c r="AB219" s="2">
        <v>4410</v>
      </c>
      <c r="AC219" s="2">
        <v>4290</v>
      </c>
      <c r="AD219" s="2">
        <v>4315</v>
      </c>
      <c r="AE219" s="2">
        <v>4225</v>
      </c>
      <c r="AF219" s="2">
        <v>3995</v>
      </c>
      <c r="AG219" s="2">
        <v>4055</v>
      </c>
      <c r="AH219" s="2">
        <v>4050</v>
      </c>
      <c r="AI219" s="2">
        <v>4010</v>
      </c>
      <c r="AJ219" s="2">
        <v>4215</v>
      </c>
      <c r="AK219" s="2">
        <v>4400</v>
      </c>
      <c r="AL219" s="2">
        <v>4790</v>
      </c>
      <c r="AM219" s="2">
        <v>4785</v>
      </c>
      <c r="AN219" s="2">
        <v>4655</v>
      </c>
      <c r="AO219" s="2">
        <v>4555</v>
      </c>
      <c r="AP219" s="2">
        <v>4495</v>
      </c>
      <c r="AQ219" s="2">
        <v>4445</v>
      </c>
      <c r="AR219" s="2">
        <v>4285</v>
      </c>
      <c r="AS219" s="2">
        <v>4385</v>
      </c>
      <c r="AT219" s="2">
        <v>4725</v>
      </c>
      <c r="AU219" s="2">
        <v>4670</v>
      </c>
      <c r="AV219" s="2">
        <v>4840</v>
      </c>
      <c r="AW219" s="2">
        <v>4820</v>
      </c>
      <c r="AX219" s="2">
        <v>4795</v>
      </c>
      <c r="AY219" s="2">
        <v>4675</v>
      </c>
      <c r="AZ219" s="2">
        <v>4710</v>
      </c>
      <c r="BA219" s="2">
        <v>4450</v>
      </c>
      <c r="BB219" s="2">
        <v>4250</v>
      </c>
      <c r="BC219" s="2">
        <v>4260</v>
      </c>
      <c r="BD219" s="2">
        <v>4280</v>
      </c>
      <c r="BE219" s="2">
        <v>4235</v>
      </c>
      <c r="BF219" s="2">
        <v>4285</v>
      </c>
      <c r="BG219" s="2">
        <v>4170</v>
      </c>
      <c r="BH219" s="2">
        <v>4205</v>
      </c>
      <c r="BI219" s="2">
        <v>4360</v>
      </c>
      <c r="BJ219" s="2">
        <v>4510</v>
      </c>
      <c r="BK219" s="2">
        <v>4235</v>
      </c>
      <c r="BL219" s="2">
        <v>4125</v>
      </c>
    </row>
    <row r="220" spans="1:64">
      <c r="A220" s="65" t="s">
        <v>262</v>
      </c>
      <c r="B220" s="1" t="s">
        <v>475</v>
      </c>
      <c r="C220" s="57">
        <f>_xll.RssMarket("464A","高値")</f>
        <v>2430</v>
      </c>
      <c r="D220" s="16">
        <f>C220-E220</f>
        <v>0</v>
      </c>
      <c r="E220" s="2">
        <v>2430</v>
      </c>
      <c r="F220" s="2">
        <v>2424</v>
      </c>
      <c r="G220" s="2">
        <v>2749</v>
      </c>
      <c r="H220" s="2">
        <v>2839</v>
      </c>
      <c r="I220" s="2">
        <v>2629</v>
      </c>
      <c r="J220" s="2">
        <v>2630</v>
      </c>
      <c r="K220" s="2">
        <v>2923</v>
      </c>
      <c r="L220" s="2">
        <v>3165</v>
      </c>
      <c r="M220" s="2">
        <v>2783</v>
      </c>
      <c r="N220" s="2">
        <v>3160</v>
      </c>
      <c r="O220" s="2">
        <v>3185</v>
      </c>
      <c r="P220" s="2">
        <v>4485</v>
      </c>
      <c r="Q220" s="2">
        <v>4460</v>
      </c>
      <c r="R220" s="2">
        <v>4475</v>
      </c>
      <c r="S220" s="2">
        <v>4060</v>
      </c>
      <c r="T220" s="2">
        <v>3850</v>
      </c>
      <c r="U220" s="2">
        <v>3505</v>
      </c>
      <c r="V220" s="2">
        <v>3510</v>
      </c>
      <c r="W220" s="2">
        <v>3680</v>
      </c>
      <c r="X220" s="2">
        <v>3350</v>
      </c>
      <c r="Y220" s="2">
        <v>3485</v>
      </c>
      <c r="Z220" s="2">
        <v>3440</v>
      </c>
      <c r="AA220" s="2">
        <v>3145</v>
      </c>
      <c r="AB220" s="2">
        <v>3070</v>
      </c>
      <c r="AC220" s="2">
        <v>3065</v>
      </c>
      <c r="AD220" s="2">
        <v>2840</v>
      </c>
      <c r="AE220" s="2">
        <v>2708</v>
      </c>
      <c r="AF220" s="2">
        <v>2596</v>
      </c>
      <c r="AG220" s="2">
        <v>2604</v>
      </c>
      <c r="AH220" s="2">
        <v>2564</v>
      </c>
      <c r="AI220" s="2">
        <v>2616</v>
      </c>
      <c r="AJ220" s="2">
        <v>2630</v>
      </c>
      <c r="AK220" s="2">
        <v>2726</v>
      </c>
      <c r="AL220" s="2">
        <v>2793</v>
      </c>
      <c r="AM220" s="2">
        <v>2771</v>
      </c>
      <c r="AN220" s="2">
        <v>2740</v>
      </c>
      <c r="AO220" s="2">
        <v>2714</v>
      </c>
      <c r="AP220" s="2">
        <v>2644</v>
      </c>
      <c r="AQ220" s="2">
        <v>2745</v>
      </c>
      <c r="AR220" s="2">
        <v>2780</v>
      </c>
      <c r="AS220" s="2">
        <v>2839</v>
      </c>
      <c r="AT220" s="2">
        <v>2854</v>
      </c>
      <c r="AU220" s="2">
        <v>2685</v>
      </c>
      <c r="AV220" s="2">
        <v>2715</v>
      </c>
      <c r="AW220" s="2">
        <v>2490</v>
      </c>
      <c r="AX220" s="2">
        <v>2463</v>
      </c>
      <c r="AY220" s="2">
        <v>2388</v>
      </c>
      <c r="AZ220" s="2">
        <v>2449</v>
      </c>
      <c r="BA220" s="2">
        <v>2245</v>
      </c>
      <c r="BB220" s="2">
        <v>2155</v>
      </c>
      <c r="BC220" s="2">
        <v>2222</v>
      </c>
      <c r="BD220" s="2">
        <v>2400</v>
      </c>
      <c r="BE220" s="2">
        <v>2488</v>
      </c>
      <c r="BF220" s="2">
        <v>2504</v>
      </c>
      <c r="BG220" s="2">
        <v>2402</v>
      </c>
      <c r="BH220" s="2">
        <v>2484</v>
      </c>
      <c r="BI220" s="2">
        <v>2698</v>
      </c>
      <c r="BJ220" s="2">
        <v>2632</v>
      </c>
      <c r="BK220" s="2">
        <v>2362</v>
      </c>
      <c r="BL220" s="2">
        <v>2327</v>
      </c>
    </row>
    <row r="221" spans="1:64">
      <c r="A221" s="65" t="s">
        <v>473</v>
      </c>
      <c r="B221" s="1" t="s">
        <v>474</v>
      </c>
      <c r="C221" s="57">
        <f>_xll.RssMarket("485A","高値")</f>
        <v>2488</v>
      </c>
      <c r="D221" s="16">
        <f>C221-E221</f>
        <v>0</v>
      </c>
      <c r="E221" s="2">
        <v>2488</v>
      </c>
      <c r="F221" s="2">
        <v>2869</v>
      </c>
      <c r="G221" s="2">
        <v>2677</v>
      </c>
      <c r="H221" s="2">
        <v>2730</v>
      </c>
      <c r="I221" s="2">
        <v>2693</v>
      </c>
      <c r="J221" s="2">
        <v>2439</v>
      </c>
      <c r="K221" s="2">
        <v>2934</v>
      </c>
      <c r="L221" s="2">
        <v>2980</v>
      </c>
      <c r="M221" s="2">
        <v>3870</v>
      </c>
      <c r="N221" s="2">
        <v>3635</v>
      </c>
      <c r="O221" s="2">
        <v>3500</v>
      </c>
      <c r="P221" s="2">
        <v>4490</v>
      </c>
      <c r="Q221" s="2">
        <v>4980</v>
      </c>
      <c r="R221" s="2">
        <v>14260</v>
      </c>
      <c r="S221" s="2">
        <v>14850</v>
      </c>
      <c r="T221" s="2">
        <v>13790</v>
      </c>
      <c r="U221" s="2">
        <v>14300</v>
      </c>
      <c r="V221" s="2">
        <v>14490</v>
      </c>
      <c r="W221" s="2">
        <v>16280</v>
      </c>
      <c r="X221" s="2">
        <v>15320</v>
      </c>
      <c r="Y221" s="2">
        <v>14540</v>
      </c>
      <c r="Z221" s="2">
        <v>13730</v>
      </c>
      <c r="AA221" s="2">
        <v>13260</v>
      </c>
      <c r="AB221" s="2">
        <v>15570</v>
      </c>
      <c r="AC221" s="2">
        <v>16730</v>
      </c>
      <c r="AD221" s="2">
        <v>14090</v>
      </c>
      <c r="AE221" s="2">
        <v>11400</v>
      </c>
      <c r="AF221" s="2">
        <v>11680</v>
      </c>
      <c r="AG221" s="2">
        <v>10850</v>
      </c>
      <c r="AH221" s="2">
        <v>10030</v>
      </c>
      <c r="AI221" s="2">
        <v>9240</v>
      </c>
      <c r="AJ221" s="2">
        <v>7970</v>
      </c>
      <c r="AK221" s="2">
        <v>7850</v>
      </c>
      <c r="AL221" s="2">
        <v>7690</v>
      </c>
      <c r="AM221" s="2">
        <v>7180</v>
      </c>
      <c r="AN221" s="2">
        <v>6940</v>
      </c>
      <c r="AO221" s="2">
        <v>7420</v>
      </c>
      <c r="AP221" s="2">
        <v>7490</v>
      </c>
      <c r="AQ221" s="2">
        <v>7200</v>
      </c>
      <c r="AR221" s="2">
        <v>7340</v>
      </c>
      <c r="AS221" s="2">
        <v>7820</v>
      </c>
      <c r="AT221" s="2">
        <v>7700</v>
      </c>
      <c r="AU221" s="2">
        <v>7100</v>
      </c>
      <c r="AV221" s="2">
        <v>6440</v>
      </c>
      <c r="AW221" s="2">
        <v>6020</v>
      </c>
      <c r="AX221" s="2">
        <v>6570</v>
      </c>
      <c r="AY221" s="2">
        <v>5930</v>
      </c>
      <c r="AZ221" s="2">
        <v>5390</v>
      </c>
      <c r="BA221" s="2">
        <v>5330</v>
      </c>
      <c r="BB221" s="2">
        <v>4925</v>
      </c>
      <c r="BC221" s="2">
        <v>4725</v>
      </c>
      <c r="BD221" s="2">
        <v>4370</v>
      </c>
      <c r="BE221" s="2">
        <v>4355</v>
      </c>
      <c r="BF221" s="2">
        <v>4900</v>
      </c>
      <c r="BG221" s="2">
        <v>5900</v>
      </c>
      <c r="BH221" s="2">
        <v>5980</v>
      </c>
      <c r="BI221" s="2">
        <v>6150</v>
      </c>
      <c r="BJ221" s="2">
        <v>5840</v>
      </c>
      <c r="BK221" s="2">
        <v>5950</v>
      </c>
      <c r="BL221" s="2">
        <v>5900</v>
      </c>
    </row>
    <row r="222" spans="1:64">
      <c r="A222" s="65" t="s">
        <v>490</v>
      </c>
      <c r="B222" s="1" t="str">
        <f>銘柄管理!C222</f>
        <v>ＮＦ日経レバ</v>
      </c>
      <c r="C222" s="57">
        <f>_xll.RssMarket("1570","高値")</f>
        <v>79880</v>
      </c>
      <c r="D222" s="16"/>
      <c r="E222" s="2">
        <v>79880</v>
      </c>
      <c r="F222" s="2">
        <v>79600</v>
      </c>
      <c r="G222" s="2">
        <v>78840</v>
      </c>
      <c r="H222" s="2">
        <v>73130</v>
      </c>
      <c r="I222" s="2">
        <v>67630</v>
      </c>
      <c r="J222" s="2">
        <v>69190</v>
      </c>
      <c r="K222" s="2">
        <v>68570</v>
      </c>
      <c r="L222" s="2">
        <v>73450</v>
      </c>
      <c r="M222" s="2">
        <v>75470</v>
      </c>
      <c r="N222" s="2">
        <v>77440</v>
      </c>
      <c r="O222" s="2">
        <v>73930</v>
      </c>
      <c r="P222" s="2">
        <v>72510</v>
      </c>
      <c r="Q222" s="2">
        <v>69710</v>
      </c>
      <c r="R222" s="2">
        <v>72490</v>
      </c>
      <c r="S222" s="2">
        <v>70160</v>
      </c>
      <c r="T222" s="2">
        <v>66050</v>
      </c>
      <c r="U222" s="2">
        <v>63230</v>
      </c>
      <c r="V222" s="2">
        <v>60220</v>
      </c>
      <c r="W222" s="2">
        <v>62230</v>
      </c>
      <c r="X222" s="2">
        <v>62900</v>
      </c>
      <c r="Y222" s="2">
        <v>65900</v>
      </c>
      <c r="Z222" s="2">
        <v>67090</v>
      </c>
      <c r="AA222" s="2">
        <v>66140</v>
      </c>
      <c r="AB222" s="2">
        <v>65870</v>
      </c>
      <c r="AC222" s="2">
        <v>66320</v>
      </c>
      <c r="AD222" s="2">
        <v>64950</v>
      </c>
      <c r="AE222" s="2">
        <v>65900</v>
      </c>
      <c r="AF222" s="2">
        <v>59010</v>
      </c>
      <c r="AG222" s="2">
        <v>58630</v>
      </c>
      <c r="AH222" s="2">
        <v>60560</v>
      </c>
      <c r="AI222" s="2">
        <v>61420</v>
      </c>
      <c r="AJ222" s="2">
        <v>59150</v>
      </c>
      <c r="AK222" s="2">
        <v>60050</v>
      </c>
      <c r="AL222" s="2">
        <v>59090</v>
      </c>
      <c r="AM222" s="2">
        <v>58930</v>
      </c>
      <c r="AN222" s="2">
        <v>58080</v>
      </c>
      <c r="AO222" s="2">
        <v>58580</v>
      </c>
      <c r="AP222" s="2">
        <v>59150</v>
      </c>
      <c r="AQ222" s="2">
        <v>57000</v>
      </c>
      <c r="AR222" s="2">
        <v>55860</v>
      </c>
      <c r="AS222" s="2">
        <v>53580</v>
      </c>
      <c r="AT222" s="2">
        <v>54020</v>
      </c>
      <c r="AU222" s="2">
        <v>52980</v>
      </c>
      <c r="AV222" s="2">
        <v>53020</v>
      </c>
      <c r="AW222" s="2">
        <v>48520</v>
      </c>
      <c r="AX222" s="2">
        <v>48750</v>
      </c>
      <c r="AY222" s="2">
        <v>47650</v>
      </c>
      <c r="AZ222" s="2">
        <v>49200</v>
      </c>
      <c r="BA222" s="2">
        <v>48330</v>
      </c>
      <c r="BB222" s="2">
        <v>45640</v>
      </c>
      <c r="BC222" s="2">
        <v>45000</v>
      </c>
      <c r="BD222" s="2">
        <v>47740</v>
      </c>
      <c r="BE222" s="2">
        <v>48580</v>
      </c>
      <c r="BF222" s="2">
        <v>48320</v>
      </c>
      <c r="BG222" s="2">
        <v>46090</v>
      </c>
      <c r="BH222" s="2">
        <v>44370</v>
      </c>
      <c r="BI222" s="2">
        <v>48290</v>
      </c>
      <c r="BJ222" s="2">
        <v>50850</v>
      </c>
      <c r="BK222" s="2">
        <v>49220</v>
      </c>
      <c r="BL222" s="2">
        <v>48520</v>
      </c>
    </row>
    <row r="223" spans="1:64">
      <c r="A223" s="65" t="s">
        <v>489</v>
      </c>
      <c r="B223" s="1" t="str">
        <f>銘柄管理!C223</f>
        <v>牧野フライス</v>
      </c>
      <c r="C223" s="57">
        <f>_xll.RssMarket("6135","高値")</f>
        <v>14480</v>
      </c>
      <c r="D223" s="16"/>
      <c r="E223" s="2">
        <v>14480</v>
      </c>
      <c r="F223" s="1">
        <v>14430</v>
      </c>
      <c r="G223" s="1">
        <v>14400</v>
      </c>
      <c r="H223" s="1">
        <v>14320</v>
      </c>
      <c r="I223" s="1">
        <v>14410</v>
      </c>
      <c r="J223" s="1">
        <v>14950</v>
      </c>
      <c r="K223" s="1">
        <v>14250</v>
      </c>
      <c r="L223" s="1">
        <v>14630</v>
      </c>
      <c r="M223" s="1">
        <v>14180</v>
      </c>
      <c r="N223" s="1">
        <v>14080</v>
      </c>
      <c r="O223" s="1">
        <v>14100</v>
      </c>
      <c r="P223" s="1">
        <v>13570</v>
      </c>
      <c r="Q223" s="1">
        <v>13280</v>
      </c>
      <c r="R223" s="1">
        <v>13310</v>
      </c>
      <c r="S223" s="1">
        <v>13750</v>
      </c>
      <c r="T223" s="1">
        <v>13240</v>
      </c>
      <c r="U223" s="1">
        <v>13370</v>
      </c>
      <c r="V223" s="1">
        <v>13750</v>
      </c>
      <c r="W223" s="1">
        <v>13850</v>
      </c>
      <c r="X223" s="1">
        <v>13970</v>
      </c>
      <c r="Y223" s="1">
        <v>14100</v>
      </c>
      <c r="Z223" s="1">
        <v>14160</v>
      </c>
      <c r="AA223" s="1">
        <v>13780</v>
      </c>
      <c r="AB223" s="1">
        <v>13770</v>
      </c>
      <c r="AC223" s="1">
        <v>13820</v>
      </c>
      <c r="AD223" s="1">
        <v>14030</v>
      </c>
      <c r="AE223" s="1">
        <v>14170</v>
      </c>
      <c r="AF223" s="1">
        <v>12710</v>
      </c>
      <c r="AG223" s="1">
        <v>11940</v>
      </c>
      <c r="AH223" s="1">
        <v>11800</v>
      </c>
      <c r="AI223" s="1">
        <v>11840</v>
      </c>
      <c r="AJ223" s="1">
        <v>11880</v>
      </c>
      <c r="AK223" s="1">
        <v>10870</v>
      </c>
      <c r="AL223" s="1">
        <v>11630</v>
      </c>
      <c r="AM223" s="1">
        <v>11630</v>
      </c>
      <c r="AN223" s="1">
        <v>11640</v>
      </c>
      <c r="AO223" s="1">
        <v>11630</v>
      </c>
      <c r="AP223" s="1">
        <v>11610</v>
      </c>
      <c r="AQ223" s="1">
        <v>11650</v>
      </c>
      <c r="AR223" s="1">
        <v>11610</v>
      </c>
      <c r="AS223" s="1">
        <v>11590</v>
      </c>
      <c r="AT223" s="1">
        <v>11630</v>
      </c>
      <c r="AU223" s="1">
        <v>11610</v>
      </c>
      <c r="AV223" s="1">
        <v>11570</v>
      </c>
      <c r="AW223" s="1">
        <v>11560</v>
      </c>
      <c r="AX223" s="1">
        <v>11560</v>
      </c>
      <c r="AY223" s="1">
        <v>11550</v>
      </c>
      <c r="AZ223" s="1">
        <v>11580</v>
      </c>
      <c r="BA223" s="1">
        <v>11560</v>
      </c>
      <c r="BB223" s="1">
        <v>11490</v>
      </c>
      <c r="BC223" s="1">
        <v>11500</v>
      </c>
      <c r="BD223" s="1">
        <v>11550</v>
      </c>
      <c r="BE223" s="1">
        <v>11570</v>
      </c>
      <c r="BF223" s="1">
        <v>11540</v>
      </c>
      <c r="BG223" s="1">
        <v>11520</v>
      </c>
      <c r="BH223" s="1">
        <v>11530</v>
      </c>
      <c r="BI223" s="1">
        <v>11600</v>
      </c>
      <c r="BJ223" s="1">
        <v>11610</v>
      </c>
      <c r="BK223" s="1">
        <v>11580</v>
      </c>
      <c r="BL223" s="1">
        <v>11540</v>
      </c>
    </row>
    <row r="224" spans="1:64">
      <c r="A224" s="65" t="s">
        <v>546</v>
      </c>
      <c r="B224" s="1" t="str">
        <f>銘柄管理!C224</f>
        <v>ジャパンマテリアル</v>
      </c>
      <c r="C224" s="57">
        <f>_xll.RssMarket("6055","高値")</f>
        <v>2416</v>
      </c>
      <c r="D224" s="16"/>
      <c r="E224" s="2">
        <v>2416</v>
      </c>
      <c r="F224" s="1">
        <v>2486</v>
      </c>
      <c r="G224" s="1">
        <v>2470</v>
      </c>
      <c r="H224" s="1">
        <v>2340</v>
      </c>
      <c r="I224" s="1">
        <v>2174</v>
      </c>
      <c r="J224" s="1">
        <v>2230</v>
      </c>
      <c r="K224" s="1">
        <v>2174</v>
      </c>
      <c r="L224" s="1">
        <v>2320</v>
      </c>
      <c r="M224" s="1">
        <v>2425</v>
      </c>
      <c r="N224" s="1">
        <v>2165</v>
      </c>
      <c r="O224" s="1">
        <v>2127</v>
      </c>
      <c r="P224" s="1">
        <v>2099</v>
      </c>
      <c r="Q224" s="1">
        <v>2093</v>
      </c>
      <c r="R224" s="1">
        <v>2182</v>
      </c>
      <c r="S224" s="1">
        <v>2156</v>
      </c>
      <c r="T224" s="1">
        <v>2060</v>
      </c>
      <c r="U224" s="1">
        <v>2076</v>
      </c>
      <c r="V224" s="1">
        <v>1944</v>
      </c>
      <c r="W224" s="1">
        <v>2123</v>
      </c>
      <c r="X224" s="1">
        <v>2230</v>
      </c>
      <c r="Y224" s="1">
        <v>2052</v>
      </c>
      <c r="Z224" s="1">
        <v>2244</v>
      </c>
      <c r="AA224" s="1">
        <v>2200</v>
      </c>
      <c r="AB224" s="1">
        <v>2253</v>
      </c>
      <c r="AC224" s="1">
        <v>2099</v>
      </c>
      <c r="AD224" s="1">
        <v>1988</v>
      </c>
      <c r="AE224" s="1">
        <v>1996</v>
      </c>
      <c r="AF224" s="1">
        <v>1820</v>
      </c>
      <c r="AG224" s="1">
        <v>1819</v>
      </c>
      <c r="AH224" s="1">
        <v>1865</v>
      </c>
      <c r="AI224" s="1">
        <v>1885</v>
      </c>
      <c r="AJ224" s="1">
        <v>1826</v>
      </c>
      <c r="AK224" s="1">
        <v>1876</v>
      </c>
      <c r="AL224" s="1">
        <v>1846</v>
      </c>
      <c r="AM224" s="1">
        <v>1888</v>
      </c>
      <c r="AN224" s="1">
        <v>1886</v>
      </c>
      <c r="AO224" s="1">
        <v>1906</v>
      </c>
      <c r="AP224" s="1">
        <v>1940</v>
      </c>
      <c r="AQ224" s="1">
        <v>1946</v>
      </c>
      <c r="AR224" s="1">
        <v>1908</v>
      </c>
      <c r="AS224" s="1">
        <v>1816</v>
      </c>
      <c r="AT224" s="1">
        <v>1833</v>
      </c>
      <c r="AU224" s="1">
        <v>1792</v>
      </c>
      <c r="AV224" s="1">
        <v>1816</v>
      </c>
      <c r="AW224" s="1">
        <v>1673</v>
      </c>
      <c r="AX224" s="1">
        <v>1653</v>
      </c>
      <c r="AY224" s="1">
        <v>1644</v>
      </c>
      <c r="AZ224" s="1">
        <v>1719</v>
      </c>
      <c r="BA224" s="1">
        <v>1659</v>
      </c>
      <c r="BB224" s="1">
        <v>1599</v>
      </c>
      <c r="BC224" s="1">
        <v>1641</v>
      </c>
      <c r="BD224" s="1">
        <v>1739</v>
      </c>
      <c r="BE224" s="1">
        <v>1764</v>
      </c>
      <c r="BF224" s="1">
        <v>1782</v>
      </c>
      <c r="BG224" s="1">
        <v>1690</v>
      </c>
      <c r="BH224" s="1">
        <v>1650</v>
      </c>
      <c r="BI224" s="1">
        <v>1778</v>
      </c>
      <c r="BJ224" s="1">
        <v>1837</v>
      </c>
      <c r="BK224" s="1">
        <v>1851</v>
      </c>
      <c r="BL224" s="1">
        <v>1848</v>
      </c>
    </row>
    <row r="225" spans="1:64">
      <c r="A225" s="65" t="s">
        <v>476</v>
      </c>
      <c r="B225" s="1" t="str">
        <f>銘柄管理!C225</f>
        <v>ミナトホールディングス</v>
      </c>
      <c r="C225" s="1">
        <f>_xll.RssMarket("6862","高値")</f>
        <v>2259</v>
      </c>
      <c r="E225" s="2">
        <v>2259</v>
      </c>
      <c r="F225" s="1">
        <v>2210</v>
      </c>
      <c r="G225" s="1">
        <v>2062</v>
      </c>
      <c r="H225" s="1">
        <v>2018</v>
      </c>
      <c r="I225" s="1">
        <v>1972</v>
      </c>
      <c r="J225" s="1">
        <v>2054</v>
      </c>
      <c r="K225" s="1">
        <v>2149</v>
      </c>
      <c r="L225" s="1">
        <v>2275</v>
      </c>
      <c r="M225" s="1">
        <v>2196</v>
      </c>
      <c r="N225" s="1">
        <v>2306</v>
      </c>
      <c r="O225" s="1">
        <v>2216</v>
      </c>
      <c r="P225" s="1">
        <v>2317</v>
      </c>
      <c r="Q225" s="1">
        <v>2300</v>
      </c>
      <c r="R225" s="1">
        <v>2549</v>
      </c>
      <c r="S225" s="1">
        <v>2724</v>
      </c>
      <c r="T225" s="1">
        <v>2670</v>
      </c>
      <c r="U225" s="1">
        <v>2530</v>
      </c>
      <c r="V225" s="1">
        <v>2521</v>
      </c>
      <c r="W225" s="1">
        <v>2743</v>
      </c>
      <c r="X225" s="1">
        <v>2930</v>
      </c>
      <c r="Y225" s="1">
        <v>2947</v>
      </c>
      <c r="Z225" s="1">
        <v>3330</v>
      </c>
      <c r="AA225" s="1">
        <v>2930</v>
      </c>
      <c r="AB225" s="1">
        <v>3820</v>
      </c>
      <c r="AC225" s="1">
        <v>4165</v>
      </c>
      <c r="AD225" s="1">
        <v>3930</v>
      </c>
      <c r="AE225" s="1">
        <v>3760</v>
      </c>
      <c r="AF225" s="1">
        <v>3155</v>
      </c>
      <c r="AG225" s="1">
        <v>2996</v>
      </c>
      <c r="AH225" s="1">
        <v>2709</v>
      </c>
      <c r="AI225" s="1">
        <v>2818</v>
      </c>
      <c r="AJ225" s="1">
        <v>2580</v>
      </c>
      <c r="AK225" s="1">
        <v>2575</v>
      </c>
      <c r="AL225" s="1">
        <v>2560</v>
      </c>
      <c r="AM225" s="1">
        <v>2560</v>
      </c>
      <c r="AN225" s="1">
        <v>2585</v>
      </c>
      <c r="AO225" s="1">
        <v>2497</v>
      </c>
      <c r="AP225" s="1">
        <v>2499</v>
      </c>
      <c r="AQ225" s="1">
        <v>2604</v>
      </c>
      <c r="AR225" s="1">
        <v>2625</v>
      </c>
      <c r="AS225" s="1">
        <v>2385</v>
      </c>
      <c r="AT225" s="1">
        <v>2240</v>
      </c>
      <c r="AU225" s="1">
        <v>2334</v>
      </c>
      <c r="AV225" s="1">
        <v>2359</v>
      </c>
      <c r="AW225" s="1">
        <v>2105</v>
      </c>
      <c r="AX225" s="1">
        <v>2168</v>
      </c>
      <c r="AY225" s="1">
        <v>2137</v>
      </c>
      <c r="AZ225" s="1">
        <v>2182</v>
      </c>
      <c r="BA225" s="1">
        <v>2129</v>
      </c>
      <c r="BB225" s="1">
        <v>2113</v>
      </c>
      <c r="BC225" s="1">
        <v>2230</v>
      </c>
      <c r="BD225" s="1">
        <v>2404</v>
      </c>
      <c r="BE225" s="1">
        <v>2631</v>
      </c>
      <c r="BF225" s="1">
        <v>2248</v>
      </c>
      <c r="BG225" s="1">
        <v>2185</v>
      </c>
      <c r="BH225" s="1">
        <v>2180</v>
      </c>
      <c r="BI225" s="1">
        <v>2345</v>
      </c>
      <c r="BJ225" s="1">
        <v>2411</v>
      </c>
      <c r="BK225" s="1">
        <v>2549</v>
      </c>
      <c r="BL225" s="1">
        <v>2450</v>
      </c>
    </row>
    <row r="226" spans="1:64">
      <c r="A226" s="65" t="s">
        <v>491</v>
      </c>
      <c r="B226" s="1" t="str">
        <f>銘柄管理!C226</f>
        <v>ヤクルト</v>
      </c>
      <c r="C226" s="1">
        <f>_xll.RssMarket("2267","高値")</f>
        <v>2664</v>
      </c>
      <c r="E226" s="2">
        <v>2664</v>
      </c>
      <c r="F226" s="1">
        <v>2661</v>
      </c>
      <c r="G226" s="1">
        <v>2686</v>
      </c>
      <c r="H226" s="1">
        <v>2712.5</v>
      </c>
      <c r="I226" s="1">
        <v>2721</v>
      </c>
      <c r="J226" s="1">
        <v>2717</v>
      </c>
      <c r="K226" s="1">
        <v>2688</v>
      </c>
      <c r="L226" s="1">
        <v>2718</v>
      </c>
      <c r="M226" s="1">
        <v>2709</v>
      </c>
      <c r="N226" s="1">
        <v>2742</v>
      </c>
      <c r="O226" s="1">
        <v>2715</v>
      </c>
      <c r="P226" s="1">
        <v>2709.5</v>
      </c>
      <c r="Q226" s="1">
        <v>2756.5</v>
      </c>
      <c r="R226" s="1">
        <v>2733.5</v>
      </c>
      <c r="S226" s="1">
        <v>2827.5</v>
      </c>
      <c r="T226" s="1">
        <v>2807</v>
      </c>
      <c r="U226" s="1">
        <v>2808</v>
      </c>
      <c r="V226" s="1">
        <v>2847</v>
      </c>
      <c r="W226" s="1">
        <v>2820</v>
      </c>
      <c r="X226" s="1">
        <v>2778.5</v>
      </c>
      <c r="Y226" s="1">
        <v>2783</v>
      </c>
      <c r="Z226" s="1">
        <v>2826.5</v>
      </c>
      <c r="AA226" s="1">
        <v>2818.5</v>
      </c>
      <c r="AB226" s="1">
        <v>2938</v>
      </c>
      <c r="AC226" s="1">
        <v>2916.5</v>
      </c>
      <c r="AD226" s="1">
        <v>3025</v>
      </c>
      <c r="AE226" s="1">
        <v>3057</v>
      </c>
      <c r="AF226" s="1">
        <v>3092</v>
      </c>
      <c r="AG226" s="1">
        <v>2745.5</v>
      </c>
      <c r="AH226" s="1">
        <v>2763.5</v>
      </c>
      <c r="AI226" s="1">
        <v>2779.5</v>
      </c>
      <c r="AJ226" s="1">
        <v>2916.5</v>
      </c>
      <c r="AK226" s="1">
        <v>2642.5</v>
      </c>
      <c r="AL226" s="1">
        <v>2615.5</v>
      </c>
      <c r="AM226" s="1">
        <v>2633.5</v>
      </c>
      <c r="AN226" s="1">
        <v>2680</v>
      </c>
      <c r="AO226" s="1">
        <v>2681</v>
      </c>
      <c r="AP226" s="1">
        <v>2700</v>
      </c>
      <c r="AQ226" s="1">
        <v>2724</v>
      </c>
      <c r="AR226" s="1">
        <v>2645</v>
      </c>
      <c r="AS226" s="1">
        <v>2670</v>
      </c>
      <c r="AT226" s="1">
        <v>2719.5</v>
      </c>
      <c r="AU226" s="1">
        <v>2795</v>
      </c>
      <c r="AV226" s="1">
        <v>2843</v>
      </c>
      <c r="AW226" s="1">
        <v>2776.5</v>
      </c>
      <c r="AX226" s="1">
        <v>2733</v>
      </c>
      <c r="AY226" s="1">
        <v>2713</v>
      </c>
      <c r="AZ226" s="1">
        <v>2695</v>
      </c>
      <c r="BA226" s="1">
        <v>2678</v>
      </c>
      <c r="BB226" s="1">
        <v>2698.5</v>
      </c>
      <c r="BC226" s="1">
        <v>2659</v>
      </c>
      <c r="BD226" s="1">
        <v>2679.5</v>
      </c>
      <c r="BE226" s="1">
        <v>2641</v>
      </c>
      <c r="BF226" s="1">
        <v>2619</v>
      </c>
      <c r="BG226" s="1">
        <v>2606</v>
      </c>
      <c r="BH226" s="1">
        <v>2602</v>
      </c>
      <c r="BI226" s="1">
        <v>2632</v>
      </c>
      <c r="BJ226" s="1">
        <v>2628.5</v>
      </c>
      <c r="BK226" s="1">
        <v>2600</v>
      </c>
      <c r="BL226" s="1">
        <v>2602</v>
      </c>
    </row>
    <row r="227" spans="1:64">
      <c r="A227" s="65" t="s">
        <v>492</v>
      </c>
      <c r="B227" s="1" t="str">
        <f>銘柄管理!C227</f>
        <v>ＮＦエネ資源Ｔ１７</v>
      </c>
      <c r="C227" s="1">
        <f>_xll.RssMarket("1618","高値")</f>
        <v>32690</v>
      </c>
      <c r="E227" s="2">
        <v>32690</v>
      </c>
      <c r="F227" s="1">
        <v>32580</v>
      </c>
      <c r="G227" s="1">
        <v>33760</v>
      </c>
      <c r="H227" s="1">
        <v>33000</v>
      </c>
      <c r="I227" s="1">
        <v>33190</v>
      </c>
      <c r="J227" s="1">
        <v>33360</v>
      </c>
      <c r="K227" s="1">
        <v>33540</v>
      </c>
      <c r="L227" s="1">
        <v>34440</v>
      </c>
      <c r="M227" s="1">
        <v>34510</v>
      </c>
      <c r="N227" s="1">
        <v>34950</v>
      </c>
      <c r="O227" s="1">
        <v>33760</v>
      </c>
      <c r="P227" s="1">
        <v>34200</v>
      </c>
      <c r="Q227" s="1">
        <v>34190</v>
      </c>
      <c r="R227" s="1">
        <v>34490</v>
      </c>
      <c r="S227" s="1">
        <v>35770</v>
      </c>
      <c r="T227" s="1">
        <v>34860</v>
      </c>
      <c r="U227" s="1">
        <v>35900</v>
      </c>
      <c r="V227" s="1">
        <v>36280</v>
      </c>
      <c r="W227" s="1">
        <v>36500</v>
      </c>
      <c r="X227" s="1">
        <v>36950</v>
      </c>
      <c r="Y227" s="1">
        <v>36390</v>
      </c>
      <c r="Z227" s="1">
        <v>36110</v>
      </c>
      <c r="AA227" s="1">
        <v>36600</v>
      </c>
      <c r="AB227" s="1">
        <v>36690</v>
      </c>
      <c r="AC227" s="1">
        <v>35570</v>
      </c>
      <c r="AD227" s="1">
        <v>35140</v>
      </c>
      <c r="AE227" s="1">
        <v>36060</v>
      </c>
      <c r="AF227" s="1">
        <v>36580</v>
      </c>
      <c r="AG227" s="1">
        <v>37000</v>
      </c>
      <c r="AH227" s="1">
        <v>36270</v>
      </c>
      <c r="AI227" s="1">
        <v>35740</v>
      </c>
      <c r="AJ227" s="1">
        <v>36140</v>
      </c>
      <c r="AK227" s="1">
        <v>35790</v>
      </c>
      <c r="AL227" s="1">
        <v>35980</v>
      </c>
      <c r="AM227" s="1">
        <v>36360</v>
      </c>
      <c r="AN227" s="1">
        <v>36790</v>
      </c>
      <c r="AO227" s="1">
        <v>37830</v>
      </c>
      <c r="AP227" s="1">
        <v>38480</v>
      </c>
      <c r="AQ227" s="1">
        <v>38430</v>
      </c>
      <c r="AR227" s="1">
        <v>39000</v>
      </c>
      <c r="AS227" s="1">
        <v>39780</v>
      </c>
      <c r="AT227" s="1">
        <v>39350</v>
      </c>
      <c r="AU227" s="1">
        <v>39780</v>
      </c>
      <c r="AV227" s="1">
        <v>40930</v>
      </c>
      <c r="AW227" s="1">
        <v>41270</v>
      </c>
      <c r="AX227" s="1">
        <v>41750</v>
      </c>
      <c r="AY227" s="1">
        <v>41000</v>
      </c>
      <c r="AZ227" s="1">
        <v>41190</v>
      </c>
      <c r="BA227" s="1">
        <v>41560</v>
      </c>
      <c r="BB227" s="1">
        <v>42010</v>
      </c>
      <c r="BC227" s="1">
        <v>43900</v>
      </c>
      <c r="BD227" s="1">
        <v>41240</v>
      </c>
      <c r="BE227" s="1">
        <v>40000</v>
      </c>
      <c r="BF227" s="1">
        <v>39660</v>
      </c>
      <c r="BG227" s="1">
        <v>38890</v>
      </c>
      <c r="BH227" s="1">
        <v>39410</v>
      </c>
      <c r="BI227" s="1">
        <v>40640</v>
      </c>
      <c r="BJ227" s="1">
        <v>40830</v>
      </c>
      <c r="BK227" s="1">
        <v>39200</v>
      </c>
      <c r="BL227" s="1">
        <v>38950</v>
      </c>
    </row>
    <row r="228" spans="1:64">
      <c r="A228" s="65" t="s">
        <v>493</v>
      </c>
      <c r="C228" s="1">
        <f>_xll.RssMarket("3696","高値")</f>
        <v>1845</v>
      </c>
      <c r="E228" s="2">
        <v>1845</v>
      </c>
      <c r="F228" s="1">
        <v>1826</v>
      </c>
      <c r="G228" s="1">
        <v>1855</v>
      </c>
      <c r="H228" s="1">
        <v>1797</v>
      </c>
      <c r="I228" s="1">
        <v>1779</v>
      </c>
      <c r="J228" s="1">
        <v>1813</v>
      </c>
      <c r="K228" s="1">
        <v>1786</v>
      </c>
      <c r="L228" s="1">
        <v>1805</v>
      </c>
      <c r="M228" s="1">
        <v>1777</v>
      </c>
      <c r="N228" s="1">
        <v>1817</v>
      </c>
      <c r="O228" s="1">
        <v>1889</v>
      </c>
      <c r="P228" s="1">
        <v>1825</v>
      </c>
      <c r="Q228" s="1">
        <v>1784</v>
      </c>
      <c r="R228" s="1">
        <v>1789</v>
      </c>
      <c r="S228" s="1">
        <v>1829</v>
      </c>
      <c r="T228" s="1">
        <v>1842</v>
      </c>
      <c r="U228" s="1">
        <v>1864</v>
      </c>
      <c r="V228" s="1">
        <v>1876</v>
      </c>
      <c r="W228" s="1">
        <v>1918</v>
      </c>
      <c r="X228" s="1">
        <v>1954</v>
      </c>
      <c r="Y228" s="1">
        <v>1943</v>
      </c>
      <c r="Z228" s="1">
        <v>1913</v>
      </c>
      <c r="AA228" s="1">
        <v>1945</v>
      </c>
      <c r="AB228" s="1">
        <v>4410</v>
      </c>
      <c r="AC228" s="1">
        <v>4290</v>
      </c>
      <c r="AD228" s="1">
        <v>4315</v>
      </c>
      <c r="AE228" s="1">
        <v>4225</v>
      </c>
      <c r="AF228" s="1">
        <v>3995</v>
      </c>
      <c r="AG228" s="1">
        <v>4055</v>
      </c>
      <c r="AH228" s="1">
        <v>4050</v>
      </c>
      <c r="AI228" s="1">
        <v>4010</v>
      </c>
      <c r="AJ228" s="1">
        <v>4215</v>
      </c>
      <c r="AK228" s="1">
        <v>4400</v>
      </c>
      <c r="AL228" s="1">
        <v>4790</v>
      </c>
      <c r="AM228" s="1">
        <v>4785</v>
      </c>
      <c r="AN228" s="1">
        <v>4655</v>
      </c>
      <c r="AO228" s="1">
        <v>4555</v>
      </c>
      <c r="AP228" s="1">
        <v>4495</v>
      </c>
      <c r="AQ228" s="1">
        <v>4445</v>
      </c>
      <c r="AR228" s="1">
        <v>4285</v>
      </c>
      <c r="AS228" s="1">
        <v>4385</v>
      </c>
      <c r="AT228" s="1">
        <v>4725</v>
      </c>
      <c r="AU228" s="1">
        <v>4670</v>
      </c>
      <c r="AV228" s="1">
        <v>4840</v>
      </c>
      <c r="AW228" s="1">
        <v>4820</v>
      </c>
      <c r="AX228" s="1">
        <v>4795</v>
      </c>
      <c r="AY228" s="1">
        <v>4675</v>
      </c>
      <c r="AZ228" s="1">
        <v>4710</v>
      </c>
      <c r="BA228" s="1">
        <v>4450</v>
      </c>
      <c r="BB228" s="1">
        <v>4250</v>
      </c>
      <c r="BC228" s="1">
        <v>4260</v>
      </c>
      <c r="BD228" s="1">
        <v>4280</v>
      </c>
      <c r="BE228" s="1">
        <v>4235</v>
      </c>
      <c r="BF228" s="1">
        <v>4285</v>
      </c>
      <c r="BG228" s="1">
        <v>4170</v>
      </c>
      <c r="BH228" s="1">
        <v>4205</v>
      </c>
      <c r="BI228" s="1">
        <v>4360</v>
      </c>
      <c r="BJ228" s="1">
        <v>4510</v>
      </c>
      <c r="BK228" s="1">
        <v>4235</v>
      </c>
      <c r="BL228" s="1">
        <v>4125</v>
      </c>
    </row>
    <row r="229" spans="1:64">
      <c r="A229" s="65" t="s">
        <v>494</v>
      </c>
      <c r="B229" s="1" t="str">
        <f>銘柄管理!C229</f>
        <v>児玉化学</v>
      </c>
      <c r="C229" s="1">
        <f>_xll.RssMarket("4222","高値")</f>
        <v>729</v>
      </c>
      <c r="E229" s="2">
        <v>729</v>
      </c>
      <c r="F229" s="1">
        <v>703</v>
      </c>
      <c r="G229" s="1">
        <v>710</v>
      </c>
      <c r="H229" s="1">
        <v>684</v>
      </c>
      <c r="I229" s="1">
        <v>688</v>
      </c>
      <c r="J229" s="1">
        <v>691</v>
      </c>
      <c r="K229" s="1">
        <v>695</v>
      </c>
      <c r="L229" s="1">
        <v>725</v>
      </c>
      <c r="M229" s="1">
        <v>712</v>
      </c>
      <c r="N229" s="1">
        <v>722</v>
      </c>
      <c r="O229" s="1">
        <v>703</v>
      </c>
      <c r="P229" s="1">
        <v>758</v>
      </c>
      <c r="Q229" s="1">
        <v>764</v>
      </c>
      <c r="R229" s="1">
        <v>790</v>
      </c>
      <c r="S229" s="1">
        <v>826</v>
      </c>
      <c r="T229" s="1">
        <v>802</v>
      </c>
      <c r="U229" s="1">
        <v>828</v>
      </c>
      <c r="V229" s="1">
        <v>856</v>
      </c>
      <c r="W229" s="1">
        <v>896</v>
      </c>
      <c r="X229" s="1">
        <v>924</v>
      </c>
      <c r="Y229" s="1">
        <v>986</v>
      </c>
      <c r="Z229" s="1">
        <v>1227</v>
      </c>
      <c r="AA229" s="1">
        <v>1260</v>
      </c>
      <c r="AB229" s="1">
        <v>1344</v>
      </c>
      <c r="AC229" s="1">
        <v>1268</v>
      </c>
      <c r="AD229" s="1">
        <v>1165</v>
      </c>
      <c r="AE229" s="1">
        <v>1157</v>
      </c>
      <c r="AF229" s="1">
        <v>1115</v>
      </c>
      <c r="AG229" s="1">
        <v>1139</v>
      </c>
      <c r="AH229" s="1">
        <v>1165</v>
      </c>
      <c r="AI229" s="1">
        <v>1162</v>
      </c>
      <c r="AJ229" s="1">
        <v>1155</v>
      </c>
      <c r="AK229" s="1">
        <v>1165</v>
      </c>
      <c r="AL229" s="1">
        <v>1184</v>
      </c>
      <c r="AM229" s="1">
        <v>1200</v>
      </c>
      <c r="AN229" s="1">
        <v>1200</v>
      </c>
      <c r="AO229" s="1">
        <v>1179</v>
      </c>
      <c r="AP229" s="1">
        <v>1189</v>
      </c>
      <c r="AQ229" s="1">
        <v>1187</v>
      </c>
      <c r="AR229" s="1">
        <v>1158</v>
      </c>
      <c r="AS229" s="1">
        <v>1122</v>
      </c>
      <c r="AT229" s="1">
        <v>1147</v>
      </c>
      <c r="AU229" s="1">
        <v>1159</v>
      </c>
      <c r="AV229" s="1">
        <v>1142</v>
      </c>
      <c r="AW229" s="1">
        <v>1061</v>
      </c>
      <c r="AX229" s="1">
        <v>1052</v>
      </c>
      <c r="AY229" s="1">
        <v>1030</v>
      </c>
      <c r="AZ229" s="1">
        <v>1051</v>
      </c>
      <c r="BA229" s="1">
        <v>1031</v>
      </c>
      <c r="BB229" s="1">
        <v>1029</v>
      </c>
      <c r="BC229" s="1">
        <v>1040</v>
      </c>
      <c r="BD229" s="1">
        <v>1113</v>
      </c>
      <c r="BE229" s="1">
        <v>1219</v>
      </c>
      <c r="BF229" s="1">
        <v>1094</v>
      </c>
      <c r="BG229" s="1">
        <v>1022</v>
      </c>
      <c r="BH229" s="1">
        <v>991</v>
      </c>
      <c r="BI229" s="1">
        <v>1110</v>
      </c>
      <c r="BJ229" s="1">
        <v>1098</v>
      </c>
      <c r="BK229" s="1">
        <v>1092</v>
      </c>
      <c r="BL229" s="1">
        <v>1082</v>
      </c>
    </row>
    <row r="230" spans="1:64">
      <c r="A230" s="65" t="s">
        <v>512</v>
      </c>
      <c r="B230" s="1" t="str">
        <f>銘柄管理!C230</f>
        <v>ＦＯＯＤ＆ＬＩＦＥＣＯＭＰＡＮ</v>
      </c>
      <c r="C230" s="1">
        <f>_xll.RssMarket("3563","高値")</f>
        <v>10525</v>
      </c>
      <c r="E230" s="1">
        <v>10525</v>
      </c>
      <c r="F230" s="1">
        <v>10170</v>
      </c>
      <c r="G230" s="1">
        <v>10175</v>
      </c>
      <c r="H230" s="1">
        <v>10030</v>
      </c>
      <c r="I230" s="1">
        <v>10045</v>
      </c>
      <c r="J230" s="1">
        <v>9975</v>
      </c>
      <c r="K230" s="1">
        <v>9927</v>
      </c>
      <c r="L230" s="1">
        <v>10075</v>
      </c>
      <c r="M230" s="1">
        <v>10270</v>
      </c>
      <c r="N230" s="1">
        <v>10720</v>
      </c>
      <c r="O230" s="1">
        <v>10515</v>
      </c>
      <c r="P230" s="1">
        <v>10935</v>
      </c>
      <c r="Q230" s="1">
        <v>10480</v>
      </c>
      <c r="R230" s="1">
        <v>10265</v>
      </c>
      <c r="S230" s="1">
        <v>10900</v>
      </c>
      <c r="T230" s="1">
        <v>10920</v>
      </c>
      <c r="U230" s="1">
        <v>11175</v>
      </c>
      <c r="V230" s="1">
        <v>10875</v>
      </c>
      <c r="W230" s="1">
        <v>10955</v>
      </c>
      <c r="X230" s="1">
        <v>10575</v>
      </c>
      <c r="Y230" s="1">
        <v>10840</v>
      </c>
      <c r="Z230" s="1">
        <v>10740</v>
      </c>
      <c r="AA230" s="1">
        <v>10975</v>
      </c>
      <c r="AB230" s="1">
        <v>10785</v>
      </c>
      <c r="AC230" s="1">
        <v>10670</v>
      </c>
      <c r="AD230" s="1">
        <v>10845</v>
      </c>
      <c r="AE230" s="1">
        <v>9582</v>
      </c>
      <c r="AF230" s="1">
        <v>9299</v>
      </c>
      <c r="AG230" s="1">
        <v>9120</v>
      </c>
      <c r="AH230" s="1">
        <v>9094</v>
      </c>
      <c r="AI230" s="1">
        <v>9161</v>
      </c>
      <c r="AJ230" s="1">
        <v>9225</v>
      </c>
      <c r="AK230" s="1">
        <v>9209</v>
      </c>
      <c r="AL230" s="1">
        <v>9312</v>
      </c>
      <c r="AM230" s="1">
        <v>9599</v>
      </c>
      <c r="AN230" s="1">
        <v>9575</v>
      </c>
      <c r="AO230" s="1">
        <v>9550</v>
      </c>
      <c r="AP230" s="1">
        <v>9564</v>
      </c>
      <c r="AQ230" s="1">
        <v>9769</v>
      </c>
      <c r="AR230" s="1">
        <v>9684</v>
      </c>
      <c r="AS230" s="1">
        <v>9596</v>
      </c>
      <c r="AT230" s="1">
        <v>9588</v>
      </c>
      <c r="AU230" s="1">
        <v>9653</v>
      </c>
      <c r="AV230" s="1">
        <v>9853</v>
      </c>
      <c r="AW230" s="1">
        <v>9748</v>
      </c>
      <c r="AX230" s="1">
        <v>9785</v>
      </c>
      <c r="AY230" s="1">
        <v>9797</v>
      </c>
      <c r="AZ230" s="1">
        <v>9912</v>
      </c>
      <c r="BA230" s="1">
        <v>9725</v>
      </c>
      <c r="BB230" s="1">
        <v>9499</v>
      </c>
      <c r="BC230" s="1">
        <v>9465</v>
      </c>
      <c r="BD230" s="1">
        <v>9893</v>
      </c>
      <c r="BE230" s="1">
        <v>10005</v>
      </c>
      <c r="BF230" s="1">
        <v>10170</v>
      </c>
      <c r="BG230" s="1">
        <v>9940</v>
      </c>
      <c r="BH230" s="1">
        <v>9555</v>
      </c>
      <c r="BI230" s="1">
        <v>9734</v>
      </c>
      <c r="BJ230" s="1">
        <v>9739</v>
      </c>
      <c r="BK230" s="1">
        <v>9730</v>
      </c>
      <c r="BL230" s="1">
        <v>9708</v>
      </c>
    </row>
    <row r="231" spans="1:64">
      <c r="A231" s="65" t="s">
        <v>513</v>
      </c>
      <c r="B231" s="1" t="str">
        <f>銘柄管理!C231</f>
        <v>ＩＨＩ</v>
      </c>
      <c r="C231" s="1">
        <f>_xll.RssMarket("7013","高値")</f>
        <v>2958.5</v>
      </c>
      <c r="E231" s="1">
        <v>2958.5</v>
      </c>
      <c r="F231" s="1">
        <v>2907.5</v>
      </c>
      <c r="G231" s="1">
        <v>2729</v>
      </c>
      <c r="H231" s="1">
        <v>2455</v>
      </c>
      <c r="I231" s="1">
        <v>2375</v>
      </c>
      <c r="J231" s="1">
        <v>2514</v>
      </c>
      <c r="K231" s="1">
        <v>2552.5</v>
      </c>
      <c r="L231" s="1">
        <v>2635.5</v>
      </c>
      <c r="M231" s="1">
        <v>2608.5</v>
      </c>
      <c r="N231" s="1">
        <v>2571.5</v>
      </c>
      <c r="O231" s="1">
        <v>2640</v>
      </c>
      <c r="P231" s="1">
        <v>2822.5</v>
      </c>
      <c r="Q231" s="1">
        <v>2835</v>
      </c>
      <c r="R231" s="1">
        <v>2978</v>
      </c>
      <c r="S231" s="1">
        <v>2846</v>
      </c>
      <c r="T231" s="1">
        <v>2859</v>
      </c>
      <c r="U231" s="1">
        <v>2722</v>
      </c>
      <c r="V231" s="1">
        <v>2592.5</v>
      </c>
      <c r="W231" s="1">
        <v>2693.5</v>
      </c>
      <c r="X231" s="1">
        <v>2761</v>
      </c>
      <c r="Y231" s="1">
        <v>2734.5</v>
      </c>
      <c r="Z231" s="1">
        <v>2750.5</v>
      </c>
      <c r="AA231" s="1">
        <v>2852</v>
      </c>
      <c r="AB231" s="1">
        <v>2899.5</v>
      </c>
      <c r="AC231" s="1">
        <v>2958</v>
      </c>
      <c r="AD231" s="1">
        <v>3323</v>
      </c>
      <c r="AE231" s="1">
        <v>3068</v>
      </c>
      <c r="AF231" s="1">
        <v>2920</v>
      </c>
      <c r="AG231" s="1">
        <v>2988</v>
      </c>
      <c r="AH231" s="1">
        <v>3020</v>
      </c>
      <c r="AI231" s="1">
        <v>2941</v>
      </c>
      <c r="AJ231" s="1">
        <v>3075</v>
      </c>
      <c r="AK231" s="1">
        <v>3108</v>
      </c>
      <c r="AL231" s="1">
        <v>3069</v>
      </c>
      <c r="AM231" s="1">
        <v>3137</v>
      </c>
      <c r="AN231" s="1">
        <v>3183</v>
      </c>
      <c r="AO231" s="1">
        <v>3186</v>
      </c>
      <c r="AP231" s="1">
        <v>3227</v>
      </c>
      <c r="AQ231" s="1">
        <v>3311</v>
      </c>
      <c r="AR231" s="1">
        <v>3356</v>
      </c>
      <c r="AS231" s="1">
        <v>3414</v>
      </c>
      <c r="AT231" s="1">
        <v>3375</v>
      </c>
      <c r="AU231" s="1">
        <v>3475</v>
      </c>
      <c r="AV231" s="1">
        <v>3494</v>
      </c>
      <c r="AW231" s="1">
        <v>3425</v>
      </c>
      <c r="AX231" s="1">
        <v>3450</v>
      </c>
      <c r="AY231" s="1">
        <v>3510</v>
      </c>
      <c r="AZ231" s="1">
        <v>3539</v>
      </c>
      <c r="BA231" s="1">
        <v>3330</v>
      </c>
      <c r="BB231" s="1">
        <v>3253</v>
      </c>
      <c r="BC231" s="1">
        <v>3332</v>
      </c>
      <c r="BD231" s="1">
        <v>3500</v>
      </c>
      <c r="BE231" s="1">
        <v>3604</v>
      </c>
      <c r="BF231" s="1">
        <v>3568</v>
      </c>
      <c r="BG231" s="1">
        <v>3572</v>
      </c>
      <c r="BH231" s="1">
        <v>3669</v>
      </c>
      <c r="BI231" s="1">
        <v>3902</v>
      </c>
      <c r="BJ231" s="1">
        <v>3930</v>
      </c>
      <c r="BK231" s="1">
        <v>3888</v>
      </c>
      <c r="BL231" s="1">
        <v>3786</v>
      </c>
    </row>
    <row r="232" spans="1:64">
      <c r="A232" s="65" t="s">
        <v>516</v>
      </c>
      <c r="B232" s="1" t="str">
        <f>銘柄管理!C232</f>
        <v>ＮＥＣキャピタルソリューション</v>
      </c>
      <c r="C232" s="1">
        <f>_xll.RssMarket("8793","高値")</f>
        <v>4180</v>
      </c>
      <c r="E232" s="1">
        <v>4180</v>
      </c>
      <c r="F232" s="1">
        <v>4165</v>
      </c>
      <c r="G232" s="1">
        <v>4185</v>
      </c>
      <c r="H232" s="1">
        <v>4160</v>
      </c>
      <c r="I232" s="1">
        <v>4230</v>
      </c>
      <c r="J232" s="1">
        <v>4070</v>
      </c>
      <c r="K232" s="1">
        <v>4045</v>
      </c>
      <c r="L232" s="1">
        <v>3960</v>
      </c>
      <c r="M232" s="1">
        <v>3930</v>
      </c>
      <c r="N232" s="1">
        <v>3915</v>
      </c>
      <c r="O232" s="1">
        <v>4020</v>
      </c>
      <c r="P232" s="1">
        <v>3960</v>
      </c>
      <c r="Q232" s="1">
        <v>3975</v>
      </c>
      <c r="R232" s="1">
        <v>3980</v>
      </c>
      <c r="S232" s="1">
        <v>4025</v>
      </c>
      <c r="T232" s="1">
        <v>4030</v>
      </c>
      <c r="U232" s="1">
        <v>3980</v>
      </c>
      <c r="V232" s="1">
        <v>3985</v>
      </c>
      <c r="W232" s="1">
        <v>3975</v>
      </c>
      <c r="X232" s="1">
        <v>4020</v>
      </c>
      <c r="Y232" s="1">
        <v>4010</v>
      </c>
      <c r="Z232" s="1">
        <v>4040</v>
      </c>
      <c r="AA232" s="1">
        <v>4055</v>
      </c>
      <c r="AB232" s="1">
        <v>4060</v>
      </c>
      <c r="AC232" s="1">
        <v>4065</v>
      </c>
      <c r="AD232" s="1">
        <v>4060</v>
      </c>
      <c r="AE232" s="1">
        <v>4090</v>
      </c>
      <c r="AF232" s="1">
        <v>4200</v>
      </c>
      <c r="AG232" s="1">
        <v>4280</v>
      </c>
      <c r="AH232" s="1">
        <v>4280</v>
      </c>
      <c r="AI232" s="1">
        <v>4270</v>
      </c>
      <c r="AJ232" s="1">
        <v>4215</v>
      </c>
      <c r="AK232" s="1">
        <v>4270</v>
      </c>
      <c r="AL232" s="1">
        <v>4315</v>
      </c>
      <c r="AM232" s="1">
        <v>4285</v>
      </c>
      <c r="AN232" s="1">
        <v>4295</v>
      </c>
      <c r="AO232" s="1">
        <v>4320</v>
      </c>
      <c r="AP232" s="1">
        <v>4275</v>
      </c>
      <c r="AQ232" s="1">
        <v>4215</v>
      </c>
      <c r="AR232" s="1">
        <v>4190</v>
      </c>
      <c r="AS232" s="1">
        <v>4245</v>
      </c>
      <c r="AT232" s="1">
        <v>4285</v>
      </c>
      <c r="AU232" s="1">
        <v>4275</v>
      </c>
      <c r="AV232" s="1">
        <v>4230</v>
      </c>
      <c r="AW232" s="1">
        <v>4180</v>
      </c>
      <c r="AX232" s="1">
        <v>4175</v>
      </c>
      <c r="AY232" s="1">
        <v>4195</v>
      </c>
      <c r="AZ232" s="1">
        <v>4115</v>
      </c>
      <c r="BA232" s="1">
        <v>4090</v>
      </c>
      <c r="BB232" s="1">
        <v>4040</v>
      </c>
      <c r="BC232" s="1">
        <v>4190</v>
      </c>
      <c r="BD232" s="1">
        <v>4185</v>
      </c>
      <c r="BE232" s="1">
        <v>4195</v>
      </c>
      <c r="BF232" s="1">
        <v>4115</v>
      </c>
      <c r="BG232" s="1">
        <v>4060</v>
      </c>
      <c r="BH232" s="1">
        <v>4155</v>
      </c>
      <c r="BI232" s="1">
        <v>4160</v>
      </c>
      <c r="BJ232" s="1">
        <v>4105</v>
      </c>
      <c r="BK232" s="1">
        <v>4095</v>
      </c>
      <c r="BL232" s="1">
        <v>4125</v>
      </c>
    </row>
    <row r="233" spans="1:64">
      <c r="A233" s="65" t="s">
        <v>517</v>
      </c>
      <c r="B233" s="1" t="str">
        <f>銘柄管理!C233</f>
        <v>ミスミグループ本社</v>
      </c>
      <c r="C233" s="1">
        <f>_xll.RssMarket("9962","高値")</f>
        <v>3915</v>
      </c>
      <c r="E233" s="1">
        <v>3915</v>
      </c>
      <c r="F233" s="1">
        <v>3945</v>
      </c>
      <c r="G233" s="1">
        <v>3862</v>
      </c>
      <c r="H233" s="1">
        <v>3818</v>
      </c>
      <c r="I233" s="1">
        <v>3645</v>
      </c>
      <c r="J233" s="1">
        <v>3643</v>
      </c>
      <c r="K233" s="1">
        <v>3788</v>
      </c>
      <c r="L233" s="1">
        <v>3805</v>
      </c>
      <c r="M233" s="1">
        <v>3841</v>
      </c>
      <c r="N233" s="1">
        <v>3680</v>
      </c>
      <c r="O233" s="1">
        <v>3814</v>
      </c>
      <c r="P233" s="1">
        <v>3663</v>
      </c>
      <c r="Q233" s="1">
        <v>3654</v>
      </c>
      <c r="R233" s="1">
        <v>3509</v>
      </c>
      <c r="S233" s="1">
        <v>3491</v>
      </c>
      <c r="T233" s="1">
        <v>3300</v>
      </c>
      <c r="U233" s="1">
        <v>3135</v>
      </c>
      <c r="V233" s="1">
        <v>3212</v>
      </c>
      <c r="W233" s="1">
        <v>3195</v>
      </c>
      <c r="X233" s="1">
        <v>3403</v>
      </c>
      <c r="Y233" s="1">
        <v>3486</v>
      </c>
      <c r="Z233" s="1">
        <v>3385</v>
      </c>
      <c r="AA233" s="1">
        <v>3493</v>
      </c>
      <c r="AB233" s="1">
        <v>3487</v>
      </c>
      <c r="AC233" s="1">
        <v>3530</v>
      </c>
      <c r="AD233" s="1">
        <v>3545</v>
      </c>
      <c r="AE233" s="1">
        <v>3500</v>
      </c>
      <c r="AF233" s="1">
        <v>3723</v>
      </c>
      <c r="AG233" s="1">
        <v>3395</v>
      </c>
      <c r="AH233" s="1">
        <v>3393</v>
      </c>
      <c r="AI233" s="1">
        <v>3042</v>
      </c>
      <c r="AJ233" s="1">
        <v>3078</v>
      </c>
      <c r="AK233" s="1">
        <v>3113</v>
      </c>
      <c r="AL233" s="1">
        <v>3166</v>
      </c>
      <c r="AM233" s="1">
        <v>3156</v>
      </c>
      <c r="AN233" s="1">
        <v>3060</v>
      </c>
      <c r="AO233" s="1">
        <v>3072</v>
      </c>
      <c r="AP233" s="1">
        <v>3034</v>
      </c>
      <c r="AQ233" s="1">
        <v>3032</v>
      </c>
      <c r="AR233" s="1">
        <v>2998.5</v>
      </c>
      <c r="AS233" s="1">
        <v>3038</v>
      </c>
      <c r="AT233" s="1">
        <v>3034</v>
      </c>
      <c r="AU233" s="1">
        <v>2958.5</v>
      </c>
      <c r="AV233" s="1">
        <v>2816</v>
      </c>
      <c r="AW233" s="1">
        <v>2824.5</v>
      </c>
      <c r="AX233" s="1">
        <v>2769</v>
      </c>
      <c r="AY233" s="1">
        <v>2809.5</v>
      </c>
      <c r="AZ233" s="1">
        <v>2765</v>
      </c>
      <c r="BA233" s="1">
        <v>2650.5</v>
      </c>
      <c r="BB233" s="1">
        <v>2673.5</v>
      </c>
      <c r="BC233" s="1">
        <v>2803</v>
      </c>
      <c r="BD233" s="1">
        <v>2875.5</v>
      </c>
      <c r="BE233" s="1">
        <v>2844.5</v>
      </c>
      <c r="BF233" s="1">
        <v>2771</v>
      </c>
      <c r="BG233" s="1">
        <v>2740</v>
      </c>
      <c r="BH233" s="1">
        <v>2871.5</v>
      </c>
      <c r="BI233" s="1">
        <v>2966</v>
      </c>
      <c r="BJ233" s="1">
        <v>2933</v>
      </c>
      <c r="BK233" s="1">
        <v>2903</v>
      </c>
      <c r="BL233" s="1">
        <v>2961</v>
      </c>
    </row>
    <row r="234" spans="1:64">
      <c r="A234" s="65" t="s">
        <v>518</v>
      </c>
      <c r="B234" s="1" t="str">
        <f>銘柄管理!C234</f>
        <v>ＴＤＫ</v>
      </c>
      <c r="C234" s="1">
        <f>_xll.RssMarket("6762","高値")</f>
        <v>3888</v>
      </c>
      <c r="E234" s="1">
        <v>3888</v>
      </c>
      <c r="F234" s="1">
        <v>3962</v>
      </c>
      <c r="G234" s="1">
        <v>3928</v>
      </c>
      <c r="H234" s="1">
        <v>3756</v>
      </c>
      <c r="I234" s="1">
        <v>3575</v>
      </c>
      <c r="J234" s="1">
        <v>3833</v>
      </c>
      <c r="K234" s="1">
        <v>3824</v>
      </c>
      <c r="L234" s="1">
        <v>4174</v>
      </c>
      <c r="M234" s="1">
        <v>3995</v>
      </c>
      <c r="N234" s="1">
        <v>4068</v>
      </c>
      <c r="O234" s="1">
        <v>4095</v>
      </c>
      <c r="P234" s="1">
        <v>4200</v>
      </c>
      <c r="Q234" s="1">
        <v>3911</v>
      </c>
      <c r="R234" s="1">
        <v>3803</v>
      </c>
      <c r="S234" s="1">
        <v>3795</v>
      </c>
      <c r="T234" s="1">
        <v>3383</v>
      </c>
      <c r="U234" s="1">
        <v>3236</v>
      </c>
      <c r="V234" s="1">
        <v>2959</v>
      </c>
      <c r="W234" s="1">
        <v>3026</v>
      </c>
      <c r="X234" s="1">
        <v>3019</v>
      </c>
      <c r="Y234" s="1">
        <v>3185</v>
      </c>
      <c r="Z234" s="1">
        <v>3118</v>
      </c>
      <c r="AA234" s="1">
        <v>2949.5</v>
      </c>
      <c r="AB234" s="1">
        <v>2984</v>
      </c>
      <c r="AC234" s="1">
        <v>3015</v>
      </c>
      <c r="AD234" s="1">
        <v>2996.5</v>
      </c>
      <c r="AE234" s="1">
        <v>2955.5</v>
      </c>
      <c r="AF234" s="1">
        <v>2956</v>
      </c>
      <c r="AG234" s="1">
        <v>2985</v>
      </c>
      <c r="AH234" s="1">
        <v>2752.5</v>
      </c>
      <c r="AI234" s="1">
        <v>2768</v>
      </c>
      <c r="AJ234" s="1">
        <v>2765.5</v>
      </c>
      <c r="AK234" s="1">
        <v>2772</v>
      </c>
      <c r="AL234" s="1">
        <v>2725</v>
      </c>
      <c r="AM234" s="1">
        <v>2576</v>
      </c>
      <c r="AN234" s="1">
        <v>2621</v>
      </c>
      <c r="AO234" s="1">
        <v>2632.5</v>
      </c>
      <c r="AP234" s="1">
        <v>2548.5</v>
      </c>
      <c r="AQ234" s="1">
        <v>2308</v>
      </c>
      <c r="AR234" s="1">
        <v>2310</v>
      </c>
      <c r="AS234" s="1">
        <v>2314.5</v>
      </c>
      <c r="AT234" s="1">
        <v>2322</v>
      </c>
      <c r="AU234" s="1">
        <v>2225</v>
      </c>
      <c r="AV234" s="1">
        <v>2222</v>
      </c>
      <c r="AW234" s="1">
        <v>2079.5</v>
      </c>
      <c r="AX234" s="1">
        <v>2064</v>
      </c>
      <c r="AY234" s="1">
        <v>2027.5</v>
      </c>
      <c r="AZ234" s="1">
        <v>2089.5</v>
      </c>
      <c r="BA234" s="1">
        <v>2073</v>
      </c>
      <c r="BB234" s="1">
        <v>2005</v>
      </c>
      <c r="BC234" s="1">
        <v>2000</v>
      </c>
      <c r="BD234" s="1">
        <v>2123</v>
      </c>
      <c r="BE234" s="1">
        <v>2112.5</v>
      </c>
      <c r="BF234" s="1">
        <v>2109</v>
      </c>
      <c r="BG234" s="1">
        <v>2098.5</v>
      </c>
      <c r="BH234" s="1">
        <v>2042.5</v>
      </c>
      <c r="BI234" s="1">
        <v>2160</v>
      </c>
      <c r="BJ234" s="1">
        <v>2203.5</v>
      </c>
      <c r="BK234" s="1">
        <v>2142</v>
      </c>
      <c r="BL234" s="1">
        <v>2148.5</v>
      </c>
    </row>
    <row r="235" spans="1:64">
      <c r="A235" s="65" t="s">
        <v>519</v>
      </c>
      <c r="B235" s="1" t="str">
        <f>銘柄管理!C235</f>
        <v>ＦＩＧ</v>
      </c>
      <c r="C235" s="1">
        <f>_xll.RssMarket("4392","高値")</f>
        <v>1295</v>
      </c>
      <c r="E235" s="1">
        <v>1295</v>
      </c>
      <c r="F235" s="1">
        <v>1320</v>
      </c>
      <c r="G235" s="1">
        <v>1456</v>
      </c>
      <c r="H235" s="1">
        <v>1532</v>
      </c>
      <c r="I235" s="1">
        <v>1771</v>
      </c>
      <c r="J235" s="1">
        <v>1693</v>
      </c>
      <c r="K235" s="1">
        <v>1650</v>
      </c>
      <c r="L235" s="1">
        <v>1546</v>
      </c>
      <c r="M235" s="1">
        <v>1597</v>
      </c>
      <c r="N235" s="1">
        <v>1707</v>
      </c>
      <c r="O235" s="1">
        <v>1915</v>
      </c>
      <c r="P235" s="1">
        <v>2200</v>
      </c>
      <c r="Q235" s="1">
        <v>2458</v>
      </c>
      <c r="R235" s="1">
        <v>3075</v>
      </c>
      <c r="S235" s="1">
        <v>2185</v>
      </c>
      <c r="T235" s="1">
        <v>2045</v>
      </c>
      <c r="U235" s="1">
        <v>1981</v>
      </c>
      <c r="V235" s="1">
        <v>1966</v>
      </c>
      <c r="W235" s="1">
        <v>1360</v>
      </c>
      <c r="X235" s="1">
        <v>1060</v>
      </c>
      <c r="Y235" s="1">
        <v>910</v>
      </c>
      <c r="Z235" s="1">
        <v>880</v>
      </c>
      <c r="AA235" s="1">
        <v>840</v>
      </c>
      <c r="AB235" s="1">
        <v>874</v>
      </c>
      <c r="AC235" s="1">
        <v>509</v>
      </c>
      <c r="AD235" s="1">
        <v>429</v>
      </c>
      <c r="AE235" s="1">
        <v>354</v>
      </c>
      <c r="AF235" s="1">
        <v>346</v>
      </c>
      <c r="AG235" s="1">
        <v>352</v>
      </c>
      <c r="AH235" s="1">
        <v>367</v>
      </c>
      <c r="AI235" s="1">
        <v>360</v>
      </c>
      <c r="AJ235" s="1">
        <v>352</v>
      </c>
      <c r="AK235" s="1">
        <v>360</v>
      </c>
      <c r="AL235" s="1">
        <v>355</v>
      </c>
      <c r="AM235" s="1">
        <v>351</v>
      </c>
      <c r="AN235" s="1">
        <v>339</v>
      </c>
      <c r="AO235" s="1">
        <v>330</v>
      </c>
      <c r="AP235" s="1">
        <v>331</v>
      </c>
      <c r="AQ235" s="1">
        <v>327</v>
      </c>
      <c r="AR235" s="1">
        <v>326</v>
      </c>
      <c r="AS235" s="1">
        <v>324</v>
      </c>
      <c r="AT235" s="1">
        <v>329</v>
      </c>
      <c r="AU235" s="1">
        <v>332</v>
      </c>
      <c r="AV235" s="1">
        <v>333</v>
      </c>
      <c r="AW235" s="1">
        <v>328</v>
      </c>
      <c r="AX235" s="1">
        <v>324</v>
      </c>
      <c r="AY235" s="1">
        <v>322</v>
      </c>
      <c r="AZ235" s="1">
        <v>325</v>
      </c>
      <c r="BA235" s="1">
        <v>321</v>
      </c>
      <c r="BB235" s="1">
        <v>315</v>
      </c>
      <c r="BC235" s="1">
        <v>311</v>
      </c>
      <c r="BD235" s="1">
        <v>325</v>
      </c>
      <c r="BE235" s="1">
        <v>332</v>
      </c>
      <c r="BF235" s="1">
        <v>328</v>
      </c>
      <c r="BG235" s="1">
        <v>313</v>
      </c>
      <c r="BH235" s="1">
        <v>303</v>
      </c>
      <c r="BI235" s="1">
        <v>320</v>
      </c>
      <c r="BJ235" s="1">
        <v>326</v>
      </c>
      <c r="BK235" s="1">
        <v>322</v>
      </c>
      <c r="BL235" s="1">
        <v>319</v>
      </c>
    </row>
    <row r="236" spans="1:64">
      <c r="A236" s="65" t="s">
        <v>520</v>
      </c>
      <c r="B236" s="1" t="str">
        <f>銘柄管理!C236</f>
        <v>スクロール</v>
      </c>
      <c r="C236" s="1">
        <f>_xll.RssMarket("8005","高値")</f>
        <v>1657</v>
      </c>
      <c r="E236" s="1">
        <v>1657</v>
      </c>
      <c r="F236" s="1">
        <v>1638</v>
      </c>
      <c r="G236" s="1">
        <v>1631</v>
      </c>
      <c r="H236" s="1">
        <v>1630</v>
      </c>
      <c r="I236" s="1">
        <v>1639</v>
      </c>
      <c r="J236" s="1">
        <v>1642</v>
      </c>
      <c r="K236" s="1">
        <v>1627</v>
      </c>
      <c r="L236" s="1">
        <v>1644</v>
      </c>
      <c r="M236" s="1">
        <v>1649</v>
      </c>
      <c r="N236" s="1">
        <v>1655</v>
      </c>
      <c r="O236" s="1">
        <v>1676</v>
      </c>
      <c r="P236" s="1">
        <v>1667</v>
      </c>
      <c r="Q236" s="1">
        <v>1639</v>
      </c>
      <c r="R236" s="1">
        <v>1642</v>
      </c>
      <c r="S236" s="1">
        <v>1645</v>
      </c>
      <c r="T236" s="1">
        <v>1651</v>
      </c>
      <c r="U236" s="1">
        <v>1670</v>
      </c>
      <c r="V236" s="1">
        <v>1669</v>
      </c>
      <c r="W236" s="1">
        <v>1685</v>
      </c>
      <c r="X236" s="1">
        <v>1662</v>
      </c>
      <c r="Y236" s="1">
        <v>1664</v>
      </c>
      <c r="Z236" s="1">
        <v>1644</v>
      </c>
      <c r="AA236" s="1">
        <v>1678</v>
      </c>
      <c r="AB236" s="1">
        <v>1705</v>
      </c>
      <c r="AC236" s="1">
        <v>1805</v>
      </c>
      <c r="AD236" s="1">
        <v>1597</v>
      </c>
      <c r="AE236" s="1">
        <v>1330</v>
      </c>
      <c r="AF236" s="1">
        <v>1322</v>
      </c>
      <c r="AG236" s="1">
        <v>1326</v>
      </c>
      <c r="AH236" s="1">
        <v>1333</v>
      </c>
      <c r="AI236" s="1">
        <v>1327</v>
      </c>
      <c r="AJ236" s="1">
        <v>1322</v>
      </c>
      <c r="AK236" s="1">
        <v>1324</v>
      </c>
      <c r="AL236" s="1">
        <v>1345</v>
      </c>
      <c r="AM236" s="1">
        <v>1365</v>
      </c>
      <c r="AN236" s="1">
        <v>1357</v>
      </c>
      <c r="AO236" s="1">
        <v>1360</v>
      </c>
      <c r="AP236" s="1">
        <v>1363</v>
      </c>
      <c r="AQ236" s="1">
        <v>1345</v>
      </c>
      <c r="AR236" s="1">
        <v>1322</v>
      </c>
      <c r="AS236" s="1">
        <v>1333</v>
      </c>
      <c r="AT236" s="1">
        <v>1356</v>
      </c>
      <c r="AU236" s="1">
        <v>1370</v>
      </c>
      <c r="AV236" s="1">
        <v>1362</v>
      </c>
      <c r="AW236" s="1">
        <v>1361</v>
      </c>
      <c r="AX236" s="1">
        <v>1348</v>
      </c>
      <c r="AY236" s="1">
        <v>1347</v>
      </c>
      <c r="AZ236" s="1">
        <v>1364</v>
      </c>
      <c r="BA236" s="1">
        <v>1347</v>
      </c>
      <c r="BB236" s="1">
        <v>1337</v>
      </c>
      <c r="BC236" s="1">
        <v>1298</v>
      </c>
      <c r="BD236" s="1">
        <v>1348</v>
      </c>
      <c r="BE236" s="1">
        <v>1333</v>
      </c>
      <c r="BF236" s="1">
        <v>1338</v>
      </c>
      <c r="BG236" s="1">
        <v>1314</v>
      </c>
      <c r="BH236" s="1">
        <v>1300</v>
      </c>
      <c r="BI236" s="1">
        <v>1330</v>
      </c>
      <c r="BJ236" s="1">
        <v>1336</v>
      </c>
      <c r="BK236" s="1">
        <v>1323</v>
      </c>
      <c r="BL236" s="1">
        <v>1319</v>
      </c>
    </row>
    <row r="237" spans="1:64">
      <c r="A237" s="65" t="s">
        <v>521</v>
      </c>
      <c r="B237" s="1" t="str">
        <f>銘柄管理!C237</f>
        <v>デジタルアーツ</v>
      </c>
      <c r="C237" s="1">
        <f>_xll.RssMarket("2326","高値")</f>
        <v>3650</v>
      </c>
      <c r="E237" s="1">
        <v>3650</v>
      </c>
      <c r="F237" s="1">
        <v>3620</v>
      </c>
      <c r="G237" s="1">
        <v>3660</v>
      </c>
      <c r="H237" s="1">
        <v>3610</v>
      </c>
      <c r="I237" s="1">
        <v>3675</v>
      </c>
      <c r="J237" s="1">
        <v>3700</v>
      </c>
      <c r="K237" s="1">
        <v>3845</v>
      </c>
      <c r="L237" s="1">
        <v>3880</v>
      </c>
      <c r="M237" s="1">
        <v>3735</v>
      </c>
      <c r="N237" s="1">
        <v>3745</v>
      </c>
      <c r="O237" s="1">
        <v>3865</v>
      </c>
      <c r="P237" s="1">
        <v>4090</v>
      </c>
      <c r="Q237" s="1">
        <v>4085</v>
      </c>
      <c r="R237" s="1">
        <v>4160</v>
      </c>
      <c r="S237" s="1">
        <v>4185</v>
      </c>
      <c r="T237" s="1">
        <v>4150</v>
      </c>
      <c r="U237" s="1">
        <v>4165</v>
      </c>
      <c r="V237" s="1">
        <v>4295</v>
      </c>
      <c r="W237" s="1">
        <v>4420</v>
      </c>
      <c r="X237" s="1">
        <v>4290</v>
      </c>
      <c r="Y237" s="1">
        <v>4240</v>
      </c>
      <c r="Z237" s="1">
        <v>4035</v>
      </c>
      <c r="AA237" s="1">
        <v>4150</v>
      </c>
      <c r="AB237" s="1">
        <v>4155</v>
      </c>
      <c r="AC237" s="1">
        <v>4315</v>
      </c>
      <c r="AD237" s="1">
        <v>4940</v>
      </c>
      <c r="AE237" s="1">
        <v>5990</v>
      </c>
      <c r="AF237" s="1">
        <v>5640</v>
      </c>
      <c r="AG237" s="1">
        <v>5620</v>
      </c>
      <c r="AH237" s="1">
        <v>5550</v>
      </c>
      <c r="AI237" s="1">
        <v>5570</v>
      </c>
      <c r="AJ237" s="1">
        <v>5640</v>
      </c>
      <c r="AK237" s="1">
        <v>6010</v>
      </c>
      <c r="AL237" s="1">
        <v>6120</v>
      </c>
      <c r="AM237" s="1">
        <v>6020</v>
      </c>
      <c r="AN237" s="1">
        <v>6000</v>
      </c>
      <c r="AO237" s="1">
        <v>5880</v>
      </c>
      <c r="AP237" s="1">
        <v>5920</v>
      </c>
      <c r="AQ237" s="1">
        <v>5630</v>
      </c>
      <c r="AR237" s="1">
        <v>5620</v>
      </c>
      <c r="AS237" s="1">
        <v>5460</v>
      </c>
      <c r="AT237" s="1">
        <v>5460</v>
      </c>
      <c r="AU237" s="1">
        <v>5550</v>
      </c>
      <c r="AV237" s="1">
        <v>5690</v>
      </c>
      <c r="AW237" s="1">
        <v>5480</v>
      </c>
      <c r="AX237" s="1">
        <v>5460</v>
      </c>
      <c r="AY237" s="1">
        <v>5380</v>
      </c>
      <c r="AZ237" s="1">
        <v>5390</v>
      </c>
      <c r="BA237" s="1">
        <v>5400</v>
      </c>
      <c r="BB237" s="1">
        <v>5260</v>
      </c>
      <c r="BC237" s="1">
        <v>5090</v>
      </c>
      <c r="BD237" s="1">
        <v>5250</v>
      </c>
      <c r="BE237" s="1">
        <v>5120</v>
      </c>
      <c r="BF237" s="1">
        <v>5090</v>
      </c>
      <c r="BG237" s="1">
        <v>5000</v>
      </c>
      <c r="BH237" s="1">
        <v>4950</v>
      </c>
      <c r="BI237" s="1">
        <v>5210</v>
      </c>
      <c r="BJ237" s="1">
        <v>5210</v>
      </c>
      <c r="BK237" s="1">
        <v>5320</v>
      </c>
      <c r="BL237" s="1">
        <v>5380</v>
      </c>
    </row>
    <row r="238" spans="1:64">
      <c r="A238" s="65" t="s">
        <v>522</v>
      </c>
      <c r="B238" s="1" t="str">
        <f>銘柄管理!C238</f>
        <v>ＴＯＡ</v>
      </c>
      <c r="C238" s="1">
        <f>_xll.RssMarket("6809","高値")</f>
        <v>1583</v>
      </c>
      <c r="E238" s="1">
        <v>1583</v>
      </c>
      <c r="F238" s="1">
        <v>1565</v>
      </c>
      <c r="G238" s="1">
        <v>1580</v>
      </c>
      <c r="H238" s="1">
        <v>1562</v>
      </c>
      <c r="I238" s="1">
        <v>1563</v>
      </c>
      <c r="J238" s="1">
        <v>1586</v>
      </c>
      <c r="K238" s="1">
        <v>1553</v>
      </c>
      <c r="L238" s="1">
        <v>1582</v>
      </c>
      <c r="M238" s="1">
        <v>1555</v>
      </c>
      <c r="N238" s="1">
        <v>1560</v>
      </c>
      <c r="O238" s="1">
        <v>1558</v>
      </c>
      <c r="P238" s="1">
        <v>1568</v>
      </c>
      <c r="Q238" s="1">
        <v>1549</v>
      </c>
      <c r="R238" s="1">
        <v>1563</v>
      </c>
      <c r="S238" s="1">
        <v>1582</v>
      </c>
      <c r="T238" s="1">
        <v>1559</v>
      </c>
      <c r="U238" s="1">
        <v>1550</v>
      </c>
      <c r="V238" s="1">
        <v>1602</v>
      </c>
      <c r="W238" s="1">
        <v>1599</v>
      </c>
      <c r="X238" s="1">
        <v>1598</v>
      </c>
      <c r="Y238" s="1">
        <v>1614</v>
      </c>
      <c r="Z238" s="1">
        <v>1585</v>
      </c>
      <c r="AA238" s="1">
        <v>1584</v>
      </c>
      <c r="AB238" s="1">
        <v>1575</v>
      </c>
      <c r="AC238" s="1">
        <v>1600</v>
      </c>
      <c r="AD238" s="1">
        <v>1608</v>
      </c>
      <c r="AE238" s="1">
        <v>1805</v>
      </c>
      <c r="AF238" s="1">
        <v>1756</v>
      </c>
      <c r="AG238" s="1">
        <v>1730</v>
      </c>
      <c r="AH238" s="1">
        <v>1744</v>
      </c>
      <c r="AI238" s="1">
        <v>1734</v>
      </c>
      <c r="AJ238" s="1">
        <v>1757</v>
      </c>
      <c r="AK238" s="1">
        <v>1761</v>
      </c>
      <c r="AL238" s="1">
        <v>1786</v>
      </c>
      <c r="AM238" s="1">
        <v>1790</v>
      </c>
      <c r="AN238" s="1">
        <v>1807</v>
      </c>
      <c r="AO238" s="1">
        <v>1792</v>
      </c>
      <c r="AP238" s="1">
        <v>1796</v>
      </c>
      <c r="AQ238" s="1">
        <v>1817</v>
      </c>
      <c r="AR238" s="1">
        <v>1806</v>
      </c>
      <c r="AS238" s="1">
        <v>1820</v>
      </c>
      <c r="AT238" s="1">
        <v>1836</v>
      </c>
      <c r="AU238" s="1">
        <v>1852</v>
      </c>
      <c r="AV238" s="1">
        <v>1845</v>
      </c>
      <c r="AW238" s="1">
        <v>1826</v>
      </c>
      <c r="AX238" s="1">
        <v>1804</v>
      </c>
      <c r="AY238" s="1">
        <v>1810</v>
      </c>
      <c r="AZ238" s="1">
        <v>1830</v>
      </c>
      <c r="BA238" s="1">
        <v>1799</v>
      </c>
      <c r="BB238" s="1">
        <v>1782</v>
      </c>
      <c r="BC238" s="1">
        <v>1818</v>
      </c>
      <c r="BD238" s="1">
        <v>1907</v>
      </c>
      <c r="BE238" s="1">
        <v>1926</v>
      </c>
      <c r="BF238" s="1">
        <v>1888</v>
      </c>
      <c r="BG238" s="1">
        <v>1829</v>
      </c>
      <c r="BH238" s="1">
        <v>1804</v>
      </c>
      <c r="BI238" s="1">
        <v>1838</v>
      </c>
      <c r="BJ238" s="1">
        <v>1794</v>
      </c>
      <c r="BK238" s="1">
        <v>1766</v>
      </c>
      <c r="BL238" s="1">
        <v>1762</v>
      </c>
    </row>
    <row r="239" spans="1:64">
      <c r="A239" s="65" t="s">
        <v>523</v>
      </c>
      <c r="B239" s="1" t="str">
        <f>銘柄管理!C239</f>
        <v>ユーザーローカル</v>
      </c>
      <c r="C239" s="1">
        <f>_xll.RssMarket("3984","高値")</f>
        <v>1828</v>
      </c>
      <c r="E239" s="1">
        <v>1828</v>
      </c>
      <c r="F239" s="1">
        <v>1785</v>
      </c>
      <c r="G239" s="1">
        <v>1794</v>
      </c>
      <c r="H239" s="1">
        <v>1844</v>
      </c>
      <c r="I239" s="1">
        <v>1800</v>
      </c>
      <c r="J239" s="1">
        <v>1836</v>
      </c>
      <c r="K239" s="1">
        <v>1890</v>
      </c>
      <c r="L239" s="1">
        <v>1915</v>
      </c>
      <c r="M239" s="1">
        <v>1826</v>
      </c>
      <c r="N239" s="1">
        <v>1824</v>
      </c>
      <c r="O239" s="1">
        <v>1834</v>
      </c>
      <c r="P239" s="1">
        <v>1767</v>
      </c>
      <c r="Q239" s="1">
        <v>1708</v>
      </c>
      <c r="R239" s="1">
        <v>1732</v>
      </c>
      <c r="S239" s="1">
        <v>1797</v>
      </c>
      <c r="T239" s="1">
        <v>1796</v>
      </c>
      <c r="U239" s="1">
        <v>1783</v>
      </c>
      <c r="V239" s="1">
        <v>1778</v>
      </c>
      <c r="W239" s="1">
        <v>1746</v>
      </c>
      <c r="X239" s="1">
        <v>1730</v>
      </c>
      <c r="Y239" s="1">
        <v>1732</v>
      </c>
      <c r="Z239" s="1">
        <v>1745</v>
      </c>
      <c r="AA239" s="1">
        <v>1753</v>
      </c>
      <c r="AB239" s="1">
        <v>1807</v>
      </c>
      <c r="AC239" s="1">
        <v>1845</v>
      </c>
      <c r="AD239" s="1">
        <v>1833</v>
      </c>
      <c r="AE239" s="1">
        <v>1605</v>
      </c>
      <c r="AF239" s="1">
        <v>1549</v>
      </c>
      <c r="AG239" s="1">
        <v>1566</v>
      </c>
      <c r="AH239" s="1">
        <v>1563</v>
      </c>
      <c r="AI239" s="1">
        <v>1589</v>
      </c>
      <c r="AJ239" s="1">
        <v>1579</v>
      </c>
      <c r="AK239" s="1">
        <v>1605</v>
      </c>
      <c r="AL239" s="1">
        <v>1629</v>
      </c>
      <c r="AM239" s="1">
        <v>1600</v>
      </c>
      <c r="AN239" s="1">
        <v>1575</v>
      </c>
      <c r="AO239" s="1">
        <v>1600</v>
      </c>
      <c r="AP239" s="1">
        <v>1583</v>
      </c>
      <c r="AQ239" s="1">
        <v>1517</v>
      </c>
      <c r="AR239" s="1">
        <v>1504</v>
      </c>
      <c r="AS239" s="1">
        <v>1454</v>
      </c>
      <c r="AT239" s="1">
        <v>1492</v>
      </c>
      <c r="AU239" s="1">
        <v>1522</v>
      </c>
      <c r="AV239" s="1">
        <v>1544</v>
      </c>
      <c r="AW239" s="1">
        <v>1491</v>
      </c>
      <c r="AX239" s="1">
        <v>1475</v>
      </c>
      <c r="AY239" s="1">
        <v>1490</v>
      </c>
      <c r="AZ239" s="1">
        <v>1498</v>
      </c>
      <c r="BA239" s="1">
        <v>1497</v>
      </c>
      <c r="BB239" s="1">
        <v>1424</v>
      </c>
      <c r="BC239" s="1">
        <v>1388</v>
      </c>
      <c r="BD239" s="1">
        <v>1444</v>
      </c>
      <c r="BE239" s="1">
        <v>1480</v>
      </c>
      <c r="BF239" s="1">
        <v>1489</v>
      </c>
      <c r="BG239" s="1">
        <v>1479</v>
      </c>
      <c r="BH239" s="1">
        <v>1452</v>
      </c>
      <c r="BI239" s="1">
        <v>1521</v>
      </c>
      <c r="BJ239" s="1">
        <v>1543</v>
      </c>
      <c r="BK239" s="1">
        <v>1550</v>
      </c>
      <c r="BL239" s="1">
        <v>1548</v>
      </c>
    </row>
    <row r="240" spans="1:64">
      <c r="A240" s="65" t="s">
        <v>524</v>
      </c>
      <c r="B240" s="1" t="str">
        <f>銘柄管理!C240</f>
        <v>ダイトロン</v>
      </c>
      <c r="C240" s="1">
        <f>_xll.RssMarket("7609","高値")</f>
        <v>3650</v>
      </c>
      <c r="E240" s="1">
        <v>3650</v>
      </c>
      <c r="F240" s="1">
        <v>3630</v>
      </c>
      <c r="G240" s="1">
        <v>3640</v>
      </c>
      <c r="H240" s="1">
        <v>3540</v>
      </c>
      <c r="I240" s="1">
        <v>3435</v>
      </c>
      <c r="J240" s="1">
        <v>3560</v>
      </c>
      <c r="K240" s="1">
        <v>3650</v>
      </c>
      <c r="L240" s="1">
        <v>3785</v>
      </c>
      <c r="M240" s="1">
        <v>3795</v>
      </c>
      <c r="N240" s="1">
        <v>3730</v>
      </c>
      <c r="O240" s="1">
        <v>3615</v>
      </c>
      <c r="P240" s="1">
        <v>3655</v>
      </c>
      <c r="Q240" s="1">
        <v>3580</v>
      </c>
      <c r="R240" s="1">
        <v>3700</v>
      </c>
      <c r="S240" s="1">
        <v>3690</v>
      </c>
      <c r="T240" s="1">
        <v>3680</v>
      </c>
      <c r="U240" s="1">
        <v>3625</v>
      </c>
      <c r="V240" s="1">
        <v>3535</v>
      </c>
      <c r="W240" s="1">
        <v>3875</v>
      </c>
      <c r="X240" s="1">
        <v>3910</v>
      </c>
      <c r="Y240" s="1">
        <v>4075</v>
      </c>
      <c r="Z240" s="1">
        <v>4090</v>
      </c>
      <c r="AA240" s="1">
        <v>3895</v>
      </c>
      <c r="AB240" s="1">
        <v>3985</v>
      </c>
      <c r="AC240" s="1">
        <v>4015</v>
      </c>
      <c r="AD240" s="1">
        <v>3975</v>
      </c>
      <c r="AE240" s="1">
        <v>3420</v>
      </c>
      <c r="AF240" s="1">
        <v>3205</v>
      </c>
      <c r="AG240" s="1">
        <v>2941</v>
      </c>
      <c r="AH240" s="1">
        <v>2908</v>
      </c>
      <c r="AI240" s="1">
        <v>2917</v>
      </c>
      <c r="AJ240" s="1">
        <v>2906</v>
      </c>
      <c r="AK240" s="1">
        <v>2864</v>
      </c>
      <c r="AL240" s="1">
        <v>2882</v>
      </c>
      <c r="AM240" s="1">
        <v>2912</v>
      </c>
      <c r="AN240" s="1">
        <v>2886</v>
      </c>
      <c r="AO240" s="1">
        <v>2957</v>
      </c>
      <c r="AP240" s="1">
        <v>2961</v>
      </c>
      <c r="AQ240" s="1">
        <v>2987</v>
      </c>
      <c r="AR240" s="1">
        <v>2930</v>
      </c>
      <c r="AS240" s="1">
        <v>2855</v>
      </c>
      <c r="AT240" s="1">
        <v>2823</v>
      </c>
      <c r="AU240" s="1">
        <v>2843</v>
      </c>
      <c r="AV240" s="1">
        <v>2843</v>
      </c>
      <c r="AW240" s="1">
        <v>2735</v>
      </c>
      <c r="AX240" s="1">
        <v>2750</v>
      </c>
      <c r="AY240" s="1">
        <v>2750</v>
      </c>
      <c r="AZ240" s="1">
        <v>2826</v>
      </c>
      <c r="BA240" s="1">
        <v>2778</v>
      </c>
      <c r="BB240" s="1">
        <v>2716</v>
      </c>
      <c r="BC240" s="1">
        <v>2780</v>
      </c>
      <c r="BD240" s="1">
        <v>2866</v>
      </c>
      <c r="BE240" s="1">
        <v>2874</v>
      </c>
      <c r="BF240" s="1">
        <v>2874</v>
      </c>
      <c r="BG240" s="1">
        <v>2817</v>
      </c>
      <c r="BH240" s="1">
        <v>2778</v>
      </c>
      <c r="BI240" s="1">
        <v>2898</v>
      </c>
      <c r="BJ240" s="1">
        <v>2948</v>
      </c>
      <c r="BK240" s="1">
        <v>2916</v>
      </c>
      <c r="BL240" s="1">
        <v>3000</v>
      </c>
    </row>
    <row r="241" spans="1:64">
      <c r="A241" s="65" t="s">
        <v>525</v>
      </c>
      <c r="B241" s="1" t="str">
        <f>銘柄管理!C241</f>
        <v>イトーキ</v>
      </c>
      <c r="C241" s="1">
        <f>_xll.RssMarket("7972","高値")</f>
        <v>2470</v>
      </c>
      <c r="E241" s="1">
        <v>2470</v>
      </c>
      <c r="F241" s="1">
        <v>2477</v>
      </c>
      <c r="G241" s="1">
        <v>2485</v>
      </c>
      <c r="H241" s="1">
        <v>2454</v>
      </c>
      <c r="I241" s="1">
        <v>2429</v>
      </c>
      <c r="J241" s="1">
        <v>2430</v>
      </c>
      <c r="K241" s="1">
        <v>2428</v>
      </c>
      <c r="L241" s="1">
        <v>2460</v>
      </c>
      <c r="M241" s="1">
        <v>2434</v>
      </c>
      <c r="N241" s="1">
        <v>2477</v>
      </c>
      <c r="O241" s="1">
        <v>2486</v>
      </c>
      <c r="P241" s="1">
        <v>2620</v>
      </c>
      <c r="Q241" s="1">
        <v>2700</v>
      </c>
      <c r="R241" s="1">
        <v>2757</v>
      </c>
      <c r="S241" s="1">
        <v>2639</v>
      </c>
      <c r="T241" s="1">
        <v>2649</v>
      </c>
      <c r="U241" s="1">
        <v>2699</v>
      </c>
      <c r="V241" s="1">
        <v>2719</v>
      </c>
      <c r="W241" s="1">
        <v>2813</v>
      </c>
      <c r="X241" s="1">
        <v>2725</v>
      </c>
      <c r="Y241" s="1">
        <v>2801</v>
      </c>
      <c r="Z241" s="1">
        <v>2827</v>
      </c>
      <c r="AA241" s="1">
        <v>2833</v>
      </c>
      <c r="AB241" s="1">
        <v>2837</v>
      </c>
      <c r="AC241" s="1">
        <v>2922</v>
      </c>
      <c r="AD241" s="1">
        <v>2964</v>
      </c>
      <c r="AE241" s="1">
        <v>3295</v>
      </c>
      <c r="AF241" s="1">
        <v>3160</v>
      </c>
      <c r="AG241" s="1">
        <v>3220</v>
      </c>
      <c r="AH241" s="1">
        <v>3300</v>
      </c>
      <c r="AI241" s="1">
        <v>3270</v>
      </c>
      <c r="AJ241" s="1">
        <v>3225</v>
      </c>
      <c r="AK241" s="1">
        <v>3240</v>
      </c>
      <c r="AL241" s="1">
        <v>3325</v>
      </c>
      <c r="AM241" s="1">
        <v>3370</v>
      </c>
      <c r="AN241" s="1">
        <v>3355</v>
      </c>
      <c r="AO241" s="1">
        <v>3335</v>
      </c>
      <c r="AP241" s="1">
        <v>3380</v>
      </c>
      <c r="AQ241" s="1">
        <v>3600</v>
      </c>
      <c r="AR241" s="1">
        <v>3620</v>
      </c>
      <c r="AS241" s="1">
        <v>3585</v>
      </c>
      <c r="AT241" s="1">
        <v>3535</v>
      </c>
      <c r="AU241" s="1">
        <v>3525</v>
      </c>
      <c r="AV241" s="1">
        <v>3540</v>
      </c>
      <c r="AW241" s="1">
        <v>3365</v>
      </c>
      <c r="AX241" s="1">
        <v>3325</v>
      </c>
      <c r="AY241" s="1">
        <v>3305</v>
      </c>
      <c r="AZ241" s="1">
        <v>3375</v>
      </c>
      <c r="BA241" s="1">
        <v>3245</v>
      </c>
      <c r="BB241" s="1">
        <v>3110</v>
      </c>
      <c r="BC241" s="1">
        <v>3135</v>
      </c>
      <c r="BD241" s="1">
        <v>3295</v>
      </c>
      <c r="BE241" s="1">
        <v>3390</v>
      </c>
      <c r="BF241" s="1">
        <v>3415</v>
      </c>
      <c r="BG241" s="1">
        <v>3335</v>
      </c>
      <c r="BH241" s="1">
        <v>3235</v>
      </c>
      <c r="BI241" s="1">
        <v>3380</v>
      </c>
      <c r="BJ241" s="1">
        <v>3480</v>
      </c>
      <c r="BK241" s="1">
        <v>3515</v>
      </c>
      <c r="BL241" s="1">
        <v>3480</v>
      </c>
    </row>
    <row r="242" spans="1:64">
      <c r="A242" s="65" t="s">
        <v>526</v>
      </c>
      <c r="B242" s="1" t="str">
        <f>銘柄管理!C242</f>
        <v>オキサイド</v>
      </c>
      <c r="C242" s="1">
        <f>_xll.RssMarket("6521","高値")</f>
        <v>4900</v>
      </c>
      <c r="E242" s="1">
        <v>4900</v>
      </c>
      <c r="F242" s="1">
        <v>4800</v>
      </c>
      <c r="G242" s="1">
        <v>4610</v>
      </c>
      <c r="H242" s="1">
        <v>4575</v>
      </c>
      <c r="I242" s="1">
        <v>4455</v>
      </c>
      <c r="J242" s="1">
        <v>4730</v>
      </c>
      <c r="K242" s="1">
        <v>4935</v>
      </c>
      <c r="L242" s="1">
        <v>5170</v>
      </c>
      <c r="M242" s="1">
        <v>5000</v>
      </c>
      <c r="N242" s="1">
        <v>5380</v>
      </c>
      <c r="O242" s="1">
        <v>5290</v>
      </c>
      <c r="P242" s="1">
        <v>5940</v>
      </c>
      <c r="Q242" s="1">
        <v>6180</v>
      </c>
      <c r="R242" s="1">
        <v>5950</v>
      </c>
      <c r="S242" s="1">
        <v>6450</v>
      </c>
      <c r="T242" s="1">
        <v>6440</v>
      </c>
      <c r="U242" s="1">
        <v>5940</v>
      </c>
      <c r="V242" s="1">
        <v>6000</v>
      </c>
      <c r="W242" s="1">
        <v>6710</v>
      </c>
      <c r="X242" s="1">
        <v>6800</v>
      </c>
      <c r="Y242" s="1">
        <v>6520</v>
      </c>
      <c r="Z242" s="1">
        <v>6890</v>
      </c>
      <c r="AA242" s="1">
        <v>6390</v>
      </c>
      <c r="AB242" s="1">
        <v>7420</v>
      </c>
      <c r="AC242" s="1">
        <v>7050</v>
      </c>
      <c r="AD242" s="1">
        <v>6210</v>
      </c>
      <c r="AE242" s="1">
        <v>5350</v>
      </c>
      <c r="AF242" s="1">
        <v>4835</v>
      </c>
      <c r="AG242" s="1">
        <v>4840</v>
      </c>
      <c r="AH242" s="1">
        <v>4755</v>
      </c>
      <c r="AI242" s="1">
        <v>4835</v>
      </c>
      <c r="AJ242" s="1">
        <v>4850</v>
      </c>
      <c r="AK242" s="1">
        <v>4935</v>
      </c>
      <c r="AL242" s="1">
        <v>5220</v>
      </c>
      <c r="AM242" s="1">
        <v>5090</v>
      </c>
      <c r="AN242" s="1">
        <v>4425</v>
      </c>
      <c r="AO242" s="1">
        <v>4485</v>
      </c>
      <c r="AP242" s="1">
        <v>4555</v>
      </c>
      <c r="AQ242" s="1">
        <v>5290</v>
      </c>
      <c r="AR242" s="1">
        <v>5640</v>
      </c>
      <c r="AS242" s="1">
        <v>5070</v>
      </c>
      <c r="AT242" s="1">
        <v>4725</v>
      </c>
      <c r="AU242" s="1">
        <v>4545</v>
      </c>
      <c r="AV242" s="1">
        <v>4735</v>
      </c>
      <c r="AW242" s="1">
        <v>4595</v>
      </c>
      <c r="AX242" s="1">
        <v>4740</v>
      </c>
      <c r="AY242" s="1">
        <v>4410</v>
      </c>
      <c r="AZ242" s="1">
        <v>4500</v>
      </c>
      <c r="BA242" s="1">
        <v>4570</v>
      </c>
      <c r="BB242" s="1">
        <v>4460</v>
      </c>
      <c r="BC242" s="1">
        <v>4200</v>
      </c>
      <c r="BD242" s="1">
        <v>4480</v>
      </c>
      <c r="BE242" s="1">
        <v>4625</v>
      </c>
      <c r="BF242" s="1">
        <v>5120</v>
      </c>
      <c r="BG242" s="1">
        <v>5260</v>
      </c>
      <c r="BH242" s="1">
        <v>5090</v>
      </c>
      <c r="BI242" s="1">
        <v>5290</v>
      </c>
      <c r="BJ242" s="1">
        <v>5180</v>
      </c>
      <c r="BK242" s="1">
        <v>5640</v>
      </c>
      <c r="BL242" s="1">
        <v>5040</v>
      </c>
    </row>
    <row r="243" spans="1:64">
      <c r="A243" s="65" t="s">
        <v>527</v>
      </c>
      <c r="B243" s="1" t="str">
        <f>銘柄管理!C243</f>
        <v>クオルテック</v>
      </c>
      <c r="C243" s="1">
        <f>_xll.RssMarket("9165","高値")</f>
        <v>1772</v>
      </c>
      <c r="E243" s="1">
        <v>1772</v>
      </c>
      <c r="F243" s="1">
        <v>1723</v>
      </c>
      <c r="G243" s="1">
        <v>1740</v>
      </c>
      <c r="H243" s="1">
        <v>1725</v>
      </c>
      <c r="I243" s="1">
        <v>1690</v>
      </c>
      <c r="J243" s="1">
        <v>1714</v>
      </c>
      <c r="K243" s="1">
        <v>1761</v>
      </c>
      <c r="L243" s="1">
        <v>1876</v>
      </c>
      <c r="M243" s="1">
        <v>1879</v>
      </c>
      <c r="N243" s="1">
        <v>1839</v>
      </c>
      <c r="O243" s="1">
        <v>1818</v>
      </c>
      <c r="P243" s="1">
        <v>1910</v>
      </c>
      <c r="Q243" s="1">
        <v>1964</v>
      </c>
      <c r="R243" s="1">
        <v>2171</v>
      </c>
      <c r="S243" s="1">
        <v>2350</v>
      </c>
      <c r="T243" s="1">
        <v>2005</v>
      </c>
      <c r="U243" s="1">
        <v>1825</v>
      </c>
      <c r="V243" s="1">
        <v>1917</v>
      </c>
      <c r="W243" s="1">
        <v>1850</v>
      </c>
      <c r="X243" s="1">
        <v>1847</v>
      </c>
      <c r="Y243" s="1">
        <v>1799</v>
      </c>
      <c r="Z243" s="1">
        <v>1786</v>
      </c>
      <c r="AA243" s="1">
        <v>1777</v>
      </c>
      <c r="AB243" s="1">
        <v>1850</v>
      </c>
      <c r="AC243" s="1">
        <v>1864</v>
      </c>
      <c r="AD243" s="1">
        <v>1959</v>
      </c>
      <c r="AE243" s="1">
        <v>1611</v>
      </c>
      <c r="AF243" s="1">
        <v>1490</v>
      </c>
      <c r="AG243" s="1">
        <v>1479</v>
      </c>
      <c r="AH243" s="1">
        <v>1470</v>
      </c>
      <c r="AI243" s="1">
        <v>1480</v>
      </c>
      <c r="AJ243" s="1">
        <v>1469</v>
      </c>
      <c r="AK243" s="1">
        <v>1469</v>
      </c>
      <c r="AL243" s="1">
        <v>1470</v>
      </c>
      <c r="AM243" s="1">
        <v>1477</v>
      </c>
      <c r="AN243" s="1">
        <v>1472</v>
      </c>
      <c r="AO243" s="1">
        <v>1477</v>
      </c>
      <c r="AP243" s="1">
        <v>1472</v>
      </c>
      <c r="AQ243" s="1">
        <v>1457</v>
      </c>
      <c r="AR243" s="1">
        <v>1446</v>
      </c>
      <c r="AS243" s="1">
        <v>1437</v>
      </c>
      <c r="AT243" s="1">
        <v>1448</v>
      </c>
      <c r="AU243" s="1">
        <v>1500</v>
      </c>
      <c r="AV243" s="1">
        <v>1436</v>
      </c>
      <c r="AW243" s="1">
        <v>1435</v>
      </c>
      <c r="AX243" s="1">
        <v>1427</v>
      </c>
      <c r="AY243" s="1">
        <v>1419</v>
      </c>
      <c r="AZ243" s="1">
        <v>1429</v>
      </c>
      <c r="BA243" s="1">
        <v>1420</v>
      </c>
      <c r="BB243" s="1">
        <v>1403</v>
      </c>
      <c r="BC243" s="1">
        <v>1408</v>
      </c>
      <c r="BD243" s="1">
        <v>1415</v>
      </c>
      <c r="BE243" s="1">
        <v>1415</v>
      </c>
      <c r="BF243" s="1">
        <v>1424</v>
      </c>
      <c r="BG243" s="1">
        <v>1428</v>
      </c>
      <c r="BH243" s="1">
        <v>1406</v>
      </c>
      <c r="BI243" s="1">
        <v>1410</v>
      </c>
      <c r="BJ243" s="1">
        <v>1443</v>
      </c>
      <c r="BK243" s="1">
        <v>1448</v>
      </c>
      <c r="BL243" s="1">
        <v>1412</v>
      </c>
    </row>
    <row r="244" spans="1:64">
      <c r="A244" s="65" t="s">
        <v>528</v>
      </c>
      <c r="B244" s="1" t="str">
        <f>銘柄管理!C244</f>
        <v>デンソー</v>
      </c>
      <c r="C244" s="1">
        <f>_xll.RssMarket("6902","高値")</f>
        <v>1923</v>
      </c>
      <c r="E244" s="1">
        <v>1923</v>
      </c>
      <c r="F244" s="1">
        <v>1902</v>
      </c>
      <c r="G244" s="1">
        <v>1923</v>
      </c>
      <c r="H244" s="1">
        <v>1863.5</v>
      </c>
      <c r="I244" s="1">
        <v>1842</v>
      </c>
      <c r="J244" s="1">
        <v>1925</v>
      </c>
      <c r="K244" s="1">
        <v>1931</v>
      </c>
      <c r="L244" s="1">
        <v>1914.5</v>
      </c>
      <c r="M244" s="1">
        <v>1941</v>
      </c>
      <c r="N244" s="1">
        <v>1942.5</v>
      </c>
      <c r="O244" s="1">
        <v>1873</v>
      </c>
      <c r="P244" s="1">
        <v>1927.5</v>
      </c>
      <c r="Q244" s="1">
        <v>1904.5</v>
      </c>
      <c r="R244" s="1">
        <v>1894</v>
      </c>
      <c r="S244" s="1">
        <v>1865.5</v>
      </c>
      <c r="T244" s="1">
        <v>1851</v>
      </c>
      <c r="U244" s="1">
        <v>1869</v>
      </c>
      <c r="V244" s="1">
        <v>1872.5</v>
      </c>
      <c r="W244" s="1">
        <v>1870</v>
      </c>
      <c r="X244" s="1">
        <v>1908</v>
      </c>
      <c r="Y244" s="1">
        <v>1958.5</v>
      </c>
      <c r="Z244" s="1">
        <v>1910</v>
      </c>
      <c r="AA244" s="1">
        <v>1928</v>
      </c>
      <c r="AB244" s="1">
        <v>1896</v>
      </c>
      <c r="AC244" s="1">
        <v>1914</v>
      </c>
      <c r="AD244" s="1">
        <v>1948.5</v>
      </c>
      <c r="AE244" s="1">
        <v>1927</v>
      </c>
      <c r="AF244" s="1">
        <v>1903.5</v>
      </c>
      <c r="AG244" s="1">
        <v>1899.5</v>
      </c>
      <c r="AH244" s="1">
        <v>1945</v>
      </c>
      <c r="AI244" s="1">
        <v>1942</v>
      </c>
      <c r="AJ244" s="1">
        <v>1900</v>
      </c>
      <c r="AK244" s="1">
        <v>1923.5</v>
      </c>
      <c r="AL244" s="1">
        <v>1941</v>
      </c>
      <c r="AM244" s="1">
        <v>1972</v>
      </c>
      <c r="AN244" s="1">
        <v>1962.5</v>
      </c>
      <c r="AO244" s="1">
        <v>1942.5</v>
      </c>
      <c r="AP244" s="1">
        <v>1950</v>
      </c>
      <c r="AQ244" s="1">
        <v>1988</v>
      </c>
      <c r="AR244" s="1">
        <v>1941</v>
      </c>
      <c r="AS244" s="1">
        <v>1932.5</v>
      </c>
      <c r="AT244" s="1">
        <v>1965.5</v>
      </c>
      <c r="AU244" s="1">
        <v>1987</v>
      </c>
      <c r="AV244" s="1">
        <v>1979</v>
      </c>
      <c r="AW244" s="1">
        <v>1917.5</v>
      </c>
      <c r="AX244" s="1">
        <v>1943</v>
      </c>
      <c r="AY244" s="1">
        <v>1942</v>
      </c>
      <c r="AZ244" s="1">
        <v>1987</v>
      </c>
      <c r="BA244" s="1">
        <v>1985</v>
      </c>
      <c r="BB244" s="1">
        <v>1978.5</v>
      </c>
      <c r="BC244" s="1">
        <v>1895.5</v>
      </c>
      <c r="BD244" s="1">
        <v>1969</v>
      </c>
      <c r="BE244" s="1">
        <v>1953</v>
      </c>
      <c r="BF244" s="1">
        <v>1955</v>
      </c>
      <c r="BG244" s="1">
        <v>1914</v>
      </c>
      <c r="BH244" s="1">
        <v>1870</v>
      </c>
      <c r="BI244" s="1">
        <v>1940</v>
      </c>
      <c r="BJ244" s="1">
        <v>1985</v>
      </c>
      <c r="BK244" s="1">
        <v>1964</v>
      </c>
      <c r="BL244" s="1">
        <v>1947.5</v>
      </c>
    </row>
    <row r="245" spans="1:64">
      <c r="A245" s="65" t="s">
        <v>529</v>
      </c>
      <c r="B245" s="1" t="str">
        <f>銘柄管理!C245</f>
        <v>グローバルウェイ</v>
      </c>
      <c r="C245" s="1">
        <f>_xll.RssMarket("3936","高値")</f>
        <v>157</v>
      </c>
      <c r="E245" s="1">
        <v>157</v>
      </c>
      <c r="F245" s="1">
        <v>164</v>
      </c>
      <c r="G245" s="1">
        <v>170</v>
      </c>
      <c r="H245" s="1">
        <v>165</v>
      </c>
      <c r="I245" s="1">
        <v>168</v>
      </c>
      <c r="J245" s="1">
        <v>175</v>
      </c>
      <c r="K245" s="1">
        <v>184</v>
      </c>
      <c r="L245" s="1">
        <v>188</v>
      </c>
      <c r="M245" s="1">
        <v>178</v>
      </c>
      <c r="N245" s="1">
        <v>171</v>
      </c>
      <c r="O245" s="1">
        <v>170</v>
      </c>
      <c r="P245" s="1">
        <v>173</v>
      </c>
      <c r="Q245" s="1">
        <v>178</v>
      </c>
      <c r="R245" s="1">
        <v>209</v>
      </c>
      <c r="S245" s="1">
        <v>168</v>
      </c>
      <c r="T245" s="1">
        <v>165</v>
      </c>
      <c r="U245" s="1">
        <v>169</v>
      </c>
      <c r="V245" s="1">
        <v>171</v>
      </c>
      <c r="W245" s="1">
        <v>181</v>
      </c>
      <c r="X245" s="1">
        <v>177</v>
      </c>
      <c r="Y245" s="1">
        <v>176</v>
      </c>
      <c r="Z245" s="1">
        <v>214</v>
      </c>
      <c r="AA245" s="1">
        <v>206</v>
      </c>
      <c r="AB245" s="1">
        <v>172</v>
      </c>
      <c r="AC245" s="1">
        <v>179</v>
      </c>
      <c r="AD245" s="1">
        <v>178</v>
      </c>
      <c r="AE245" s="1">
        <v>176</v>
      </c>
      <c r="AF245" s="1">
        <v>182</v>
      </c>
      <c r="AG245" s="1">
        <v>193</v>
      </c>
      <c r="AH245" s="1">
        <v>193</v>
      </c>
      <c r="AI245" s="1">
        <v>235</v>
      </c>
      <c r="AJ245" s="1">
        <v>239</v>
      </c>
      <c r="AK245" s="1">
        <v>279</v>
      </c>
      <c r="AL245" s="1">
        <v>237</v>
      </c>
      <c r="AM245" s="1">
        <v>249</v>
      </c>
      <c r="AN245" s="1">
        <v>199</v>
      </c>
      <c r="AO245" s="1">
        <v>165</v>
      </c>
      <c r="AP245" s="1">
        <v>131</v>
      </c>
      <c r="AQ245" s="1">
        <v>128</v>
      </c>
      <c r="AR245" s="1">
        <v>125</v>
      </c>
      <c r="AS245" s="1">
        <v>126</v>
      </c>
      <c r="AT245" s="1">
        <v>128</v>
      </c>
      <c r="AU245" s="1">
        <v>129</v>
      </c>
      <c r="AV245" s="1">
        <v>129</v>
      </c>
      <c r="AW245" s="1">
        <v>127</v>
      </c>
      <c r="AX245" s="1">
        <v>127</v>
      </c>
      <c r="AY245" s="1">
        <v>129</v>
      </c>
      <c r="AZ245" s="1">
        <v>131</v>
      </c>
      <c r="BA245" s="1">
        <v>130</v>
      </c>
      <c r="BB245" s="1">
        <v>130</v>
      </c>
      <c r="BC245" s="1">
        <v>128</v>
      </c>
      <c r="BD245" s="1">
        <v>128</v>
      </c>
      <c r="BE245" s="1">
        <v>132</v>
      </c>
      <c r="BF245" s="1">
        <v>133</v>
      </c>
      <c r="BG245" s="1">
        <v>128</v>
      </c>
      <c r="BH245" s="1">
        <v>129</v>
      </c>
      <c r="BI245" s="1">
        <v>136</v>
      </c>
      <c r="BJ245" s="1">
        <v>138</v>
      </c>
      <c r="BK245" s="1">
        <v>134</v>
      </c>
      <c r="BL245" s="1">
        <v>134</v>
      </c>
    </row>
    <row r="246" spans="1:64">
      <c r="A246" s="65" t="s">
        <v>547</v>
      </c>
      <c r="B246" s="1" t="str">
        <f>銘柄管理!C246</f>
        <v>エノモト</v>
      </c>
      <c r="C246" s="1">
        <f>_xll.RssMarket("6928","高値")</f>
        <v>3400</v>
      </c>
      <c r="E246" s="1">
        <v>3400</v>
      </c>
      <c r="F246" s="1">
        <v>3385</v>
      </c>
      <c r="G246" s="1">
        <v>3355</v>
      </c>
      <c r="H246" s="1">
        <v>3390</v>
      </c>
      <c r="I246" s="1">
        <v>3385</v>
      </c>
      <c r="J246" s="1">
        <v>3530</v>
      </c>
      <c r="K246" s="1">
        <v>3495</v>
      </c>
      <c r="L246" s="1">
        <v>3690</v>
      </c>
      <c r="M246" s="1">
        <v>3720</v>
      </c>
      <c r="N246" s="1">
        <v>3820</v>
      </c>
      <c r="O246" s="1">
        <v>3880</v>
      </c>
      <c r="P246" s="1">
        <v>3905</v>
      </c>
      <c r="Q246" s="1">
        <v>3735</v>
      </c>
      <c r="R246" s="1">
        <v>3745</v>
      </c>
      <c r="S246" s="1">
        <v>3700</v>
      </c>
      <c r="T246" s="1">
        <v>3670</v>
      </c>
      <c r="U246" s="1">
        <v>3580</v>
      </c>
      <c r="V246" s="1">
        <v>3520</v>
      </c>
      <c r="W246" s="1">
        <v>3560</v>
      </c>
      <c r="X246" s="1">
        <v>3560</v>
      </c>
      <c r="Y246" s="1">
        <v>3680</v>
      </c>
      <c r="Z246" s="1">
        <v>3620</v>
      </c>
      <c r="AA246" s="1">
        <v>3540</v>
      </c>
      <c r="AB246" s="1">
        <v>3620</v>
      </c>
      <c r="AC246" s="1">
        <v>3980</v>
      </c>
      <c r="AD246" s="1">
        <v>3620</v>
      </c>
      <c r="AE246" s="1">
        <v>3655</v>
      </c>
      <c r="AF246" s="1">
        <v>3470</v>
      </c>
      <c r="AG246" s="1">
        <v>3305</v>
      </c>
      <c r="AH246" s="1">
        <v>3235</v>
      </c>
      <c r="AI246" s="1">
        <v>3165</v>
      </c>
      <c r="AJ246" s="1">
        <v>3210</v>
      </c>
      <c r="AK246" s="1">
        <v>3230</v>
      </c>
      <c r="AL246" s="1">
        <v>3230</v>
      </c>
      <c r="AM246" s="1">
        <v>3295</v>
      </c>
      <c r="AN246" s="1">
        <v>3270</v>
      </c>
      <c r="AO246" s="1">
        <v>3335</v>
      </c>
      <c r="AP246" s="1">
        <v>3370</v>
      </c>
      <c r="AQ246" s="1">
        <v>3345</v>
      </c>
      <c r="AR246" s="1">
        <v>3245</v>
      </c>
      <c r="AS246" s="1">
        <v>3160</v>
      </c>
      <c r="AT246" s="1">
        <v>3200</v>
      </c>
      <c r="AU246" s="1">
        <v>3110</v>
      </c>
      <c r="AV246" s="1">
        <v>3120</v>
      </c>
      <c r="AW246" s="1">
        <v>2941</v>
      </c>
      <c r="AX246" s="1">
        <v>2897</v>
      </c>
      <c r="AY246" s="1">
        <v>2911</v>
      </c>
      <c r="AZ246" s="1">
        <v>2940</v>
      </c>
      <c r="BA246" s="1">
        <v>2914</v>
      </c>
      <c r="BB246" s="1">
        <v>2845</v>
      </c>
      <c r="BC246" s="1">
        <v>2850</v>
      </c>
      <c r="BD246" s="1">
        <v>2916</v>
      </c>
      <c r="BE246" s="1">
        <v>2940</v>
      </c>
      <c r="BF246" s="1">
        <v>2931</v>
      </c>
      <c r="BG246" s="1">
        <v>2865</v>
      </c>
      <c r="BH246" s="1">
        <v>2800</v>
      </c>
      <c r="BI246" s="1">
        <v>3000</v>
      </c>
      <c r="BJ246" s="1">
        <v>3060</v>
      </c>
      <c r="BK246" s="1">
        <v>3070</v>
      </c>
      <c r="BL246" s="1">
        <v>3070</v>
      </c>
    </row>
    <row r="247" spans="1:64">
      <c r="A247" s="65" t="s">
        <v>548</v>
      </c>
      <c r="B247" s="1" t="str">
        <f>銘柄管理!C247</f>
        <v>三菱製鋼</v>
      </c>
      <c r="C247" s="1">
        <f>_xll.RssMarket("5632","高値")</f>
        <v>2185</v>
      </c>
      <c r="E247" s="1">
        <v>2185</v>
      </c>
      <c r="F247" s="1">
        <v>2207</v>
      </c>
      <c r="G247" s="1">
        <v>2215</v>
      </c>
      <c r="H247" s="1">
        <v>2188</v>
      </c>
      <c r="I247" s="1">
        <v>2111</v>
      </c>
      <c r="J247" s="1">
        <v>2123</v>
      </c>
      <c r="K247" s="1">
        <v>2111</v>
      </c>
      <c r="L247" s="1">
        <v>2157</v>
      </c>
      <c r="M247" s="1">
        <v>2117</v>
      </c>
      <c r="N247" s="1">
        <v>2137</v>
      </c>
      <c r="O247" s="1">
        <v>2115</v>
      </c>
      <c r="P247" s="1">
        <v>2195</v>
      </c>
      <c r="Q247" s="1">
        <v>2142</v>
      </c>
      <c r="R247" s="1">
        <v>2170</v>
      </c>
      <c r="S247" s="1">
        <v>2169</v>
      </c>
      <c r="T247" s="1">
        <v>2158</v>
      </c>
      <c r="U247" s="1">
        <v>2122</v>
      </c>
      <c r="V247" s="1">
        <v>2061</v>
      </c>
      <c r="W247" s="1">
        <v>2094</v>
      </c>
      <c r="X247" s="1">
        <v>2145</v>
      </c>
      <c r="Y247" s="1">
        <v>2210</v>
      </c>
      <c r="Z247" s="1">
        <v>2077</v>
      </c>
      <c r="AA247" s="1">
        <v>2020</v>
      </c>
      <c r="AB247" s="1">
        <v>1915</v>
      </c>
      <c r="AC247" s="1">
        <v>1908</v>
      </c>
      <c r="AD247" s="1">
        <v>1853</v>
      </c>
      <c r="AE247" s="1">
        <v>1857</v>
      </c>
      <c r="AF247" s="1">
        <v>1814</v>
      </c>
      <c r="AG247" s="1">
        <v>1808</v>
      </c>
      <c r="AH247" s="1">
        <v>1824</v>
      </c>
      <c r="AI247" s="1">
        <v>1796</v>
      </c>
      <c r="AJ247" s="1">
        <v>1811</v>
      </c>
      <c r="AK247" s="1">
        <v>1816</v>
      </c>
      <c r="AL247" s="1">
        <v>1833</v>
      </c>
      <c r="AM247" s="1">
        <v>1851</v>
      </c>
      <c r="AN247" s="1">
        <v>1845</v>
      </c>
      <c r="AO247" s="1">
        <v>1841</v>
      </c>
      <c r="AP247" s="1">
        <v>1848</v>
      </c>
      <c r="AQ247" s="1">
        <v>1847</v>
      </c>
      <c r="AR247" s="1">
        <v>1821</v>
      </c>
      <c r="AS247" s="1">
        <v>1809</v>
      </c>
      <c r="AT247" s="1">
        <v>1834</v>
      </c>
      <c r="AU247" s="1">
        <v>1846</v>
      </c>
      <c r="AV247" s="1">
        <v>1860</v>
      </c>
      <c r="AW247" s="1">
        <v>1824</v>
      </c>
      <c r="AX247" s="1">
        <v>1821</v>
      </c>
      <c r="AY247" s="1">
        <v>1844</v>
      </c>
      <c r="AZ247" s="1">
        <v>1866</v>
      </c>
      <c r="BA247" s="1">
        <v>1843</v>
      </c>
      <c r="BB247" s="1">
        <v>1823</v>
      </c>
      <c r="BC247" s="1">
        <v>1811</v>
      </c>
      <c r="BD247" s="1">
        <v>1898</v>
      </c>
      <c r="BE247" s="1">
        <v>1904</v>
      </c>
      <c r="BF247" s="1">
        <v>1885</v>
      </c>
      <c r="BG247" s="1">
        <v>1837</v>
      </c>
      <c r="BH247" s="1">
        <v>1798</v>
      </c>
      <c r="BI247" s="1">
        <v>1870</v>
      </c>
      <c r="BJ247" s="1">
        <v>1897</v>
      </c>
      <c r="BK247" s="1">
        <v>1849</v>
      </c>
      <c r="BL247" s="1">
        <v>1835</v>
      </c>
    </row>
    <row r="248" spans="1:64">
      <c r="A248" s="65" t="s">
        <v>549</v>
      </c>
      <c r="B248" s="1" t="str">
        <f>銘柄管理!C248</f>
        <v>リクルートホールディングス</v>
      </c>
      <c r="C248" s="1">
        <f>_xll.RssMarket("6098","高値")</f>
        <v>10800</v>
      </c>
      <c r="E248" s="1">
        <v>10800</v>
      </c>
      <c r="F248" s="1">
        <v>10815</v>
      </c>
      <c r="G248" s="1">
        <v>10980</v>
      </c>
      <c r="H248" s="1">
        <v>11140</v>
      </c>
      <c r="I248" s="1">
        <v>11410</v>
      </c>
      <c r="J248" s="1">
        <v>11755</v>
      </c>
      <c r="K248" s="1">
        <v>10845</v>
      </c>
      <c r="L248" s="1">
        <v>10915</v>
      </c>
      <c r="M248" s="1">
        <v>10775</v>
      </c>
      <c r="N248" s="1">
        <v>11015</v>
      </c>
      <c r="O248" s="1">
        <v>11190</v>
      </c>
      <c r="P248" s="1">
        <v>10855</v>
      </c>
      <c r="Q248" s="1">
        <v>10275</v>
      </c>
      <c r="R248" s="1">
        <v>10100</v>
      </c>
      <c r="S248" s="1">
        <v>9819</v>
      </c>
      <c r="T248" s="1">
        <v>9817</v>
      </c>
      <c r="U248" s="1">
        <v>9747</v>
      </c>
      <c r="V248" s="1">
        <v>10010</v>
      </c>
      <c r="W248" s="1">
        <v>9912</v>
      </c>
      <c r="X248" s="1">
        <v>9320</v>
      </c>
      <c r="Y248" s="1">
        <v>7842</v>
      </c>
      <c r="Z248" s="1">
        <v>7837</v>
      </c>
      <c r="AA248" s="1">
        <v>7846</v>
      </c>
      <c r="AB248" s="1">
        <v>7722</v>
      </c>
      <c r="AC248" s="1">
        <v>7871</v>
      </c>
      <c r="AD248" s="1">
        <v>7987</v>
      </c>
      <c r="AE248" s="1">
        <v>7592</v>
      </c>
      <c r="AF248" s="1">
        <v>7387</v>
      </c>
      <c r="AG248" s="1">
        <v>7400</v>
      </c>
      <c r="AH248" s="1">
        <v>7481</v>
      </c>
      <c r="AI248" s="1">
        <v>7435</v>
      </c>
      <c r="AJ248" s="1">
        <v>7451</v>
      </c>
      <c r="AK248" s="1">
        <v>7682</v>
      </c>
      <c r="AL248" s="1">
        <v>8011</v>
      </c>
      <c r="AM248" s="1">
        <v>7860</v>
      </c>
      <c r="AN248" s="1">
        <v>7627</v>
      </c>
      <c r="AO248" s="1">
        <v>7614</v>
      </c>
      <c r="AP248" s="1">
        <v>7345</v>
      </c>
      <c r="AQ248" s="1">
        <v>7163</v>
      </c>
      <c r="AR248" s="1">
        <v>7140</v>
      </c>
      <c r="AS248" s="1">
        <v>7113</v>
      </c>
      <c r="AT248" s="1">
        <v>7161</v>
      </c>
      <c r="AU248" s="1">
        <v>7284</v>
      </c>
      <c r="AV248" s="1">
        <v>7333</v>
      </c>
      <c r="AW248" s="1">
        <v>7077</v>
      </c>
      <c r="AX248" s="1">
        <v>7034</v>
      </c>
      <c r="AY248" s="1">
        <v>7128</v>
      </c>
      <c r="AZ248" s="1">
        <v>7188</v>
      </c>
      <c r="BA248" s="1">
        <v>7145</v>
      </c>
      <c r="BB248" s="1">
        <v>6645</v>
      </c>
      <c r="BC248" s="1">
        <v>6340</v>
      </c>
      <c r="BD248" s="1">
        <v>6546</v>
      </c>
      <c r="BE248" s="1">
        <v>6472</v>
      </c>
      <c r="BF248" s="1">
        <v>6546</v>
      </c>
      <c r="BG248" s="1">
        <v>6539</v>
      </c>
      <c r="BH248" s="1">
        <v>6378</v>
      </c>
      <c r="BI248" s="1">
        <v>6452</v>
      </c>
      <c r="BJ248" s="1">
        <v>6606</v>
      </c>
      <c r="BK248" s="1">
        <v>6593</v>
      </c>
      <c r="BL248" s="1">
        <v>6627</v>
      </c>
    </row>
    <row r="249" spans="1:64">
      <c r="A249" s="65" t="s">
        <v>550</v>
      </c>
      <c r="B249" s="1" t="str">
        <f>銘柄管理!C249</f>
        <v>荏原製作所</v>
      </c>
      <c r="C249" s="1">
        <f>_xll.RssMarket("6361","高値")</f>
        <v>6527</v>
      </c>
      <c r="E249" s="1">
        <v>6527</v>
      </c>
      <c r="F249" s="1">
        <v>6300</v>
      </c>
      <c r="G249" s="1">
        <v>6204</v>
      </c>
      <c r="H249" s="1">
        <v>5609</v>
      </c>
      <c r="I249" s="1">
        <v>5316</v>
      </c>
      <c r="J249" s="1">
        <v>5388</v>
      </c>
      <c r="K249" s="1">
        <v>5184</v>
      </c>
      <c r="L249" s="1">
        <v>5553</v>
      </c>
      <c r="M249" s="1">
        <v>5613</v>
      </c>
      <c r="N249" s="1">
        <v>5782</v>
      </c>
      <c r="O249" s="1">
        <v>5700</v>
      </c>
      <c r="P249" s="1">
        <v>5683</v>
      </c>
      <c r="Q249" s="1">
        <v>5625</v>
      </c>
      <c r="R249" s="1">
        <v>5875</v>
      </c>
      <c r="S249" s="1">
        <v>5830</v>
      </c>
      <c r="T249" s="1">
        <v>5465</v>
      </c>
      <c r="U249" s="1">
        <v>5160</v>
      </c>
      <c r="V249" s="1">
        <v>5055</v>
      </c>
      <c r="W249" s="1">
        <v>5454</v>
      </c>
      <c r="X249" s="1">
        <v>5650</v>
      </c>
      <c r="Y249" s="1">
        <v>5892</v>
      </c>
      <c r="Z249" s="1">
        <v>5895</v>
      </c>
      <c r="AA249" s="1">
        <v>5778</v>
      </c>
      <c r="AB249" s="1">
        <v>6073</v>
      </c>
      <c r="AC249" s="1">
        <v>5955</v>
      </c>
      <c r="AD249" s="1">
        <v>5863</v>
      </c>
      <c r="AE249" s="1">
        <v>5942</v>
      </c>
      <c r="AF249" s="1">
        <v>5356</v>
      </c>
      <c r="AG249" s="1">
        <v>5538</v>
      </c>
      <c r="AH249" s="1">
        <v>5563</v>
      </c>
      <c r="AI249" s="1">
        <v>5477</v>
      </c>
      <c r="AJ249" s="1">
        <v>5461</v>
      </c>
      <c r="AK249" s="1">
        <v>5400</v>
      </c>
      <c r="AL249" s="1">
        <v>5471</v>
      </c>
      <c r="AM249" s="1">
        <v>5205</v>
      </c>
      <c r="AN249" s="1">
        <v>5185</v>
      </c>
      <c r="AO249" s="1">
        <v>5115</v>
      </c>
      <c r="AP249" s="1">
        <v>5244</v>
      </c>
      <c r="AQ249" s="1">
        <v>5280</v>
      </c>
      <c r="AR249" s="1">
        <v>5278</v>
      </c>
      <c r="AS249" s="1">
        <v>5150</v>
      </c>
      <c r="AT249" s="1">
        <v>5197</v>
      </c>
      <c r="AU249" s="1">
        <v>5080</v>
      </c>
      <c r="AV249" s="1">
        <v>5089</v>
      </c>
      <c r="AW249" s="1">
        <v>4666</v>
      </c>
      <c r="AX249" s="1">
        <v>4607</v>
      </c>
      <c r="AY249" s="1">
        <v>4589</v>
      </c>
      <c r="AZ249" s="1">
        <v>4689</v>
      </c>
      <c r="BA249" s="1">
        <v>4560</v>
      </c>
      <c r="BB249" s="1">
        <v>4344</v>
      </c>
      <c r="BC249" s="1">
        <v>4278</v>
      </c>
      <c r="BD249" s="1">
        <v>4526</v>
      </c>
      <c r="BE249" s="1">
        <v>4910</v>
      </c>
      <c r="BF249" s="1">
        <v>4866</v>
      </c>
      <c r="BG249" s="1">
        <v>4594</v>
      </c>
      <c r="BH249" s="1">
        <v>4464</v>
      </c>
      <c r="BI249" s="1">
        <v>4867</v>
      </c>
      <c r="BJ249" s="1">
        <v>4988</v>
      </c>
      <c r="BK249" s="1">
        <v>4770</v>
      </c>
      <c r="BL249" s="1">
        <v>4806</v>
      </c>
    </row>
    <row r="250" spans="1:64">
      <c r="A250" s="65" t="s">
        <v>551</v>
      </c>
      <c r="B250" s="1" t="str">
        <f>銘柄管理!C250</f>
        <v>情報戦略テクノロジー</v>
      </c>
      <c r="C250" s="1">
        <f>_xll.RssMarket("155A","高値")</f>
        <v>878</v>
      </c>
      <c r="E250" s="1">
        <v>878</v>
      </c>
      <c r="F250" s="1">
        <v>847</v>
      </c>
      <c r="G250" s="1">
        <v>854</v>
      </c>
      <c r="H250" s="1">
        <v>873</v>
      </c>
      <c r="I250" s="1">
        <v>889</v>
      </c>
      <c r="J250" s="1">
        <v>850</v>
      </c>
      <c r="K250" s="1">
        <v>882</v>
      </c>
      <c r="L250" s="1">
        <v>864</v>
      </c>
      <c r="M250" s="1">
        <v>889</v>
      </c>
      <c r="N250" s="1">
        <v>838</v>
      </c>
      <c r="O250" s="1">
        <v>908</v>
      </c>
      <c r="P250" s="1">
        <v>881</v>
      </c>
      <c r="Q250" s="1">
        <v>880</v>
      </c>
      <c r="R250" s="1">
        <v>854</v>
      </c>
      <c r="S250" s="1">
        <v>869</v>
      </c>
      <c r="T250" s="1">
        <v>877</v>
      </c>
      <c r="U250" s="1">
        <v>923</v>
      </c>
      <c r="V250" s="1">
        <v>913</v>
      </c>
      <c r="W250" s="1">
        <v>889</v>
      </c>
      <c r="X250" s="1">
        <v>782</v>
      </c>
      <c r="Y250" s="1">
        <v>788</v>
      </c>
      <c r="Z250" s="1">
        <v>809</v>
      </c>
      <c r="AA250" s="1">
        <v>825</v>
      </c>
      <c r="AB250" s="1">
        <v>834</v>
      </c>
      <c r="AC250" s="1">
        <v>823</v>
      </c>
      <c r="AD250" s="1">
        <v>806</v>
      </c>
      <c r="AE250" s="1">
        <v>813</v>
      </c>
      <c r="AF250" s="1">
        <v>822</v>
      </c>
      <c r="AG250" s="1">
        <v>825</v>
      </c>
      <c r="AH250" s="1">
        <v>836</v>
      </c>
      <c r="AI250" s="1">
        <v>864</v>
      </c>
      <c r="AJ250" s="1">
        <v>862</v>
      </c>
      <c r="AK250" s="1">
        <v>865</v>
      </c>
      <c r="AL250" s="1">
        <v>849</v>
      </c>
      <c r="AM250" s="1">
        <v>850</v>
      </c>
      <c r="AN250" s="1">
        <v>851</v>
      </c>
      <c r="AO250" s="1">
        <v>845</v>
      </c>
      <c r="AP250" s="1">
        <v>820</v>
      </c>
      <c r="AQ250" s="1">
        <v>824</v>
      </c>
      <c r="AR250" s="1">
        <v>847</v>
      </c>
      <c r="AS250" s="1">
        <v>877</v>
      </c>
      <c r="AT250" s="1">
        <v>880</v>
      </c>
      <c r="AU250" s="1">
        <v>875</v>
      </c>
      <c r="AV250" s="1">
        <v>860</v>
      </c>
      <c r="AW250" s="1">
        <v>854</v>
      </c>
      <c r="AX250" s="1">
        <v>876</v>
      </c>
      <c r="AY250" s="1">
        <v>864</v>
      </c>
      <c r="AZ250" s="1">
        <v>830</v>
      </c>
      <c r="BA250" s="1">
        <v>857</v>
      </c>
      <c r="BB250" s="1">
        <v>881</v>
      </c>
      <c r="BC250" s="1">
        <v>897</v>
      </c>
      <c r="BD250" s="1">
        <v>903</v>
      </c>
      <c r="BE250" s="1">
        <v>907</v>
      </c>
      <c r="BF250" s="1">
        <v>882</v>
      </c>
      <c r="BG250" s="1">
        <v>911</v>
      </c>
      <c r="BH250" s="1">
        <v>943</v>
      </c>
      <c r="BI250" s="1">
        <v>903</v>
      </c>
      <c r="BJ250" s="1">
        <v>893</v>
      </c>
      <c r="BK250" s="1">
        <v>902</v>
      </c>
      <c r="BL250" s="1">
        <v>917</v>
      </c>
    </row>
    <row r="251" spans="1:64">
      <c r="A251" s="65" t="s">
        <v>552</v>
      </c>
      <c r="B251" s="1" t="str">
        <f>銘柄管理!C251</f>
        <v>ＴＥＲＲＡＤＲＯＮＥ</v>
      </c>
      <c r="C251" s="1">
        <f>_xll.RssMarket("278A","高値")</f>
        <v>10120</v>
      </c>
      <c r="E251" s="1">
        <v>10120</v>
      </c>
      <c r="F251" s="1">
        <v>8750</v>
      </c>
      <c r="G251" s="1">
        <v>7950</v>
      </c>
      <c r="H251" s="1">
        <v>8820</v>
      </c>
      <c r="I251" s="1">
        <v>8880</v>
      </c>
      <c r="J251" s="1">
        <v>9710</v>
      </c>
      <c r="K251" s="1">
        <v>9150</v>
      </c>
      <c r="L251" s="1">
        <v>8800</v>
      </c>
      <c r="M251" s="1">
        <v>8600</v>
      </c>
      <c r="N251" s="1">
        <v>8800</v>
      </c>
      <c r="O251" s="1">
        <v>9110</v>
      </c>
      <c r="P251" s="1">
        <v>10750</v>
      </c>
      <c r="Q251" s="1">
        <v>10600</v>
      </c>
      <c r="R251" s="1">
        <v>9780</v>
      </c>
      <c r="S251" s="1">
        <v>11300</v>
      </c>
      <c r="T251" s="1">
        <v>11480</v>
      </c>
      <c r="U251" s="1">
        <v>11580</v>
      </c>
      <c r="V251" s="1">
        <v>12560</v>
      </c>
      <c r="W251" s="1">
        <v>14410</v>
      </c>
      <c r="X251" s="1">
        <v>12900</v>
      </c>
      <c r="Y251" s="1">
        <v>12930</v>
      </c>
      <c r="Z251" s="1">
        <v>13200</v>
      </c>
      <c r="AA251" s="1">
        <v>12270</v>
      </c>
      <c r="AB251" s="1">
        <v>19610</v>
      </c>
      <c r="AC251" s="1">
        <v>16400</v>
      </c>
      <c r="AD251" s="1">
        <v>14530</v>
      </c>
      <c r="AE251" s="1">
        <v>13660</v>
      </c>
      <c r="AF251" s="1">
        <v>10770</v>
      </c>
      <c r="AG251" s="1">
        <v>9270</v>
      </c>
      <c r="AH251" s="1">
        <v>7920</v>
      </c>
      <c r="AI251" s="1">
        <v>8050</v>
      </c>
      <c r="AJ251" s="1">
        <v>8480</v>
      </c>
      <c r="AK251" s="1">
        <v>8640</v>
      </c>
      <c r="AL251" s="1">
        <v>7220</v>
      </c>
      <c r="AM251" s="1">
        <v>6790</v>
      </c>
      <c r="AN251" s="1">
        <v>6900</v>
      </c>
      <c r="AO251" s="1">
        <v>6950</v>
      </c>
      <c r="AP251" s="1">
        <v>7000</v>
      </c>
      <c r="AQ251" s="1">
        <v>6020</v>
      </c>
      <c r="AR251" s="1">
        <v>6190</v>
      </c>
      <c r="AS251" s="1">
        <v>5660</v>
      </c>
      <c r="AT251" s="1">
        <v>4965</v>
      </c>
      <c r="AU251" s="1">
        <v>4625</v>
      </c>
      <c r="AV251" s="1">
        <v>4350</v>
      </c>
      <c r="AW251" s="1">
        <v>4690</v>
      </c>
      <c r="AX251" s="1">
        <v>4930</v>
      </c>
      <c r="AY251" s="1">
        <v>5070</v>
      </c>
      <c r="AZ251" s="1">
        <v>5200</v>
      </c>
      <c r="BA251" s="1">
        <v>4495</v>
      </c>
      <c r="BB251" s="1">
        <v>3830</v>
      </c>
      <c r="BC251" s="1">
        <v>4225</v>
      </c>
      <c r="BD251" s="1">
        <v>4290</v>
      </c>
      <c r="BE251" s="1">
        <v>4340</v>
      </c>
      <c r="BF251" s="1">
        <v>4095</v>
      </c>
      <c r="BG251" s="1">
        <v>3395</v>
      </c>
      <c r="BH251" s="1">
        <v>2938</v>
      </c>
      <c r="BI251" s="1">
        <v>3335</v>
      </c>
      <c r="BJ251" s="1">
        <v>3050</v>
      </c>
      <c r="BK251" s="1">
        <v>3125</v>
      </c>
      <c r="BL251" s="1">
        <v>2678</v>
      </c>
    </row>
    <row r="252" spans="1:64">
      <c r="A252" s="65" t="s">
        <v>553</v>
      </c>
      <c r="B252" s="1" t="str">
        <f>銘柄管理!C252</f>
        <v>ＭＩＣ</v>
      </c>
      <c r="C252" s="1">
        <f>_xll.RssMarket("300A","高値")</f>
        <v>2874</v>
      </c>
      <c r="E252" s="1">
        <v>2874</v>
      </c>
      <c r="F252" s="1">
        <v>2835</v>
      </c>
      <c r="G252" s="1">
        <v>2918</v>
      </c>
      <c r="H252" s="1">
        <v>2867</v>
      </c>
      <c r="I252" s="1">
        <v>2797</v>
      </c>
      <c r="J252" s="1">
        <v>2821</v>
      </c>
      <c r="K252" s="1">
        <v>2799</v>
      </c>
      <c r="L252" s="1">
        <v>2845</v>
      </c>
      <c r="M252" s="1">
        <v>2842</v>
      </c>
      <c r="N252" s="1">
        <v>2848</v>
      </c>
      <c r="O252" s="1">
        <v>2899</v>
      </c>
      <c r="P252" s="1">
        <v>2887</v>
      </c>
      <c r="Q252" s="1">
        <v>2871</v>
      </c>
      <c r="R252" s="1">
        <v>2918</v>
      </c>
      <c r="S252" s="1">
        <v>2940</v>
      </c>
      <c r="T252" s="1">
        <v>2938</v>
      </c>
      <c r="U252" s="1">
        <v>2934</v>
      </c>
      <c r="V252" s="1">
        <v>2926</v>
      </c>
      <c r="W252" s="1">
        <v>2930</v>
      </c>
      <c r="X252" s="1">
        <v>3040</v>
      </c>
      <c r="Y252" s="1">
        <v>2800</v>
      </c>
      <c r="Z252" s="1">
        <v>2821</v>
      </c>
      <c r="AA252" s="1">
        <v>2815</v>
      </c>
      <c r="AB252" s="1">
        <v>2818</v>
      </c>
      <c r="AC252" s="1">
        <v>2792</v>
      </c>
      <c r="AD252" s="1">
        <v>2811</v>
      </c>
      <c r="AE252" s="1">
        <v>2795</v>
      </c>
      <c r="AF252" s="1">
        <v>2885</v>
      </c>
      <c r="AG252" s="1">
        <v>2849</v>
      </c>
      <c r="AH252" s="1">
        <v>2851</v>
      </c>
      <c r="AI252" s="1">
        <v>2953</v>
      </c>
      <c r="AJ252" s="1">
        <v>3070</v>
      </c>
      <c r="AK252" s="1">
        <v>3110</v>
      </c>
      <c r="AL252" s="1">
        <v>3085</v>
      </c>
      <c r="AM252" s="1">
        <v>3045</v>
      </c>
      <c r="AN252" s="1">
        <v>3045</v>
      </c>
      <c r="AO252" s="1">
        <v>3055</v>
      </c>
      <c r="AP252" s="1">
        <v>2953</v>
      </c>
      <c r="AQ252" s="1">
        <v>2955</v>
      </c>
      <c r="AR252" s="1">
        <v>2910</v>
      </c>
      <c r="AS252" s="1">
        <v>2980</v>
      </c>
      <c r="AT252" s="1">
        <v>2859</v>
      </c>
      <c r="AU252" s="1">
        <v>2839</v>
      </c>
      <c r="AV252" s="1">
        <v>2838</v>
      </c>
      <c r="AW252" s="1">
        <v>2858</v>
      </c>
      <c r="AX252" s="1">
        <v>2869</v>
      </c>
      <c r="AY252" s="1">
        <v>2899</v>
      </c>
      <c r="AZ252" s="1">
        <v>2879</v>
      </c>
      <c r="BA252" s="1">
        <v>2785</v>
      </c>
      <c r="BB252" s="1">
        <v>2794</v>
      </c>
      <c r="BC252" s="1">
        <v>2848</v>
      </c>
      <c r="BD252" s="1">
        <v>2828</v>
      </c>
      <c r="BE252" s="1">
        <v>2818</v>
      </c>
      <c r="BF252" s="1">
        <v>2740</v>
      </c>
      <c r="BG252" s="1">
        <v>2751</v>
      </c>
      <c r="BH252" s="1">
        <v>2847</v>
      </c>
      <c r="BI252" s="1">
        <v>2834</v>
      </c>
      <c r="BJ252" s="1">
        <v>2803</v>
      </c>
      <c r="BK252" s="1">
        <v>2804</v>
      </c>
      <c r="BL252" s="1">
        <v>2836</v>
      </c>
    </row>
    <row r="253" spans="1:64">
      <c r="A253" s="65" t="s">
        <v>554</v>
      </c>
      <c r="B253" s="1" t="str">
        <f>銘柄管理!C253</f>
        <v>サイボウズ</v>
      </c>
      <c r="C253" s="1">
        <f>_xll.RssMarket("4776","高値")</f>
        <v>2340</v>
      </c>
      <c r="E253" s="1">
        <v>2340</v>
      </c>
      <c r="F253" s="1">
        <v>2353</v>
      </c>
      <c r="G253" s="1">
        <v>2359</v>
      </c>
      <c r="H253" s="1">
        <v>2317</v>
      </c>
      <c r="I253" s="1">
        <v>2400</v>
      </c>
      <c r="J253" s="1">
        <v>2372</v>
      </c>
      <c r="K253" s="1">
        <v>2470</v>
      </c>
      <c r="L253" s="1">
        <v>2477</v>
      </c>
      <c r="M253" s="1">
        <v>2439</v>
      </c>
      <c r="N253" s="1">
        <v>2570</v>
      </c>
      <c r="O253" s="1">
        <v>2670</v>
      </c>
      <c r="P253" s="1">
        <v>2642</v>
      </c>
      <c r="Q253" s="1">
        <v>2606</v>
      </c>
      <c r="R253" s="1">
        <v>2586</v>
      </c>
      <c r="S253" s="1">
        <v>2601</v>
      </c>
      <c r="T253" s="1">
        <v>2525</v>
      </c>
      <c r="U253" s="1">
        <v>2563</v>
      </c>
      <c r="V253" s="1">
        <v>2502</v>
      </c>
      <c r="W253" s="1">
        <v>2458</v>
      </c>
      <c r="X253" s="1">
        <v>2434</v>
      </c>
      <c r="Y253" s="1">
        <v>2396</v>
      </c>
      <c r="Z253" s="1">
        <v>2163</v>
      </c>
      <c r="AA253" s="1">
        <v>2197</v>
      </c>
      <c r="AB253" s="1">
        <v>2166</v>
      </c>
      <c r="AC253" s="1">
        <v>2190</v>
      </c>
      <c r="AD253" s="1">
        <v>2199</v>
      </c>
      <c r="AE253" s="1">
        <v>2121</v>
      </c>
      <c r="AF253" s="1">
        <v>2120</v>
      </c>
      <c r="AG253" s="1">
        <v>2106</v>
      </c>
      <c r="AH253" s="1">
        <v>2130</v>
      </c>
      <c r="AI253" s="1">
        <v>2138</v>
      </c>
      <c r="AJ253" s="1">
        <v>2133</v>
      </c>
      <c r="AK253" s="1">
        <v>2144</v>
      </c>
      <c r="AL253" s="1">
        <v>2175</v>
      </c>
      <c r="AM253" s="1">
        <v>2210</v>
      </c>
      <c r="AN253" s="1">
        <v>2268</v>
      </c>
      <c r="AO253" s="1">
        <v>2337</v>
      </c>
      <c r="AP253" s="1">
        <v>2274</v>
      </c>
      <c r="AQ253" s="1">
        <v>2122</v>
      </c>
      <c r="AR253" s="1">
        <v>2072</v>
      </c>
      <c r="AS253" s="1">
        <v>1989</v>
      </c>
      <c r="AT253" s="1">
        <v>2018</v>
      </c>
      <c r="AU253" s="1">
        <v>2083</v>
      </c>
      <c r="AV253" s="1">
        <v>2121</v>
      </c>
      <c r="AW253" s="1">
        <v>2118</v>
      </c>
      <c r="AX253" s="1">
        <v>2067</v>
      </c>
      <c r="AY253" s="1">
        <v>2087</v>
      </c>
      <c r="AZ253" s="1">
        <v>2090</v>
      </c>
      <c r="BA253" s="1">
        <v>2100</v>
      </c>
      <c r="BB253" s="1">
        <v>2108</v>
      </c>
      <c r="BC253" s="1">
        <v>2062</v>
      </c>
      <c r="BD253" s="1">
        <v>2102</v>
      </c>
      <c r="BE253" s="1">
        <v>2074</v>
      </c>
      <c r="BF253" s="1">
        <v>2079</v>
      </c>
      <c r="BG253" s="1">
        <v>2056</v>
      </c>
      <c r="BH253" s="1">
        <v>2052</v>
      </c>
      <c r="BI253" s="1">
        <v>2124</v>
      </c>
      <c r="BJ253" s="1">
        <v>2155</v>
      </c>
      <c r="BK253" s="1">
        <v>2154</v>
      </c>
      <c r="BL253" s="1">
        <v>2186</v>
      </c>
    </row>
    <row r="254" spans="1:64">
      <c r="A254" s="65" t="s">
        <v>555</v>
      </c>
      <c r="B254" s="1" t="str">
        <f>銘柄管理!C254</f>
        <v>トレンドマイクロ</v>
      </c>
      <c r="C254" s="1">
        <f>_xll.RssMarket("4704","高値")</f>
        <v>5852</v>
      </c>
      <c r="E254" s="1">
        <v>5852</v>
      </c>
      <c r="F254" s="1">
        <v>5876</v>
      </c>
      <c r="G254" s="1">
        <v>6003</v>
      </c>
      <c r="H254" s="1">
        <v>6200</v>
      </c>
      <c r="I254" s="1">
        <v>6261</v>
      </c>
      <c r="J254" s="1">
        <v>6263</v>
      </c>
      <c r="K254" s="1">
        <v>6571</v>
      </c>
      <c r="L254" s="1">
        <v>6900</v>
      </c>
      <c r="M254" s="1">
        <v>6451</v>
      </c>
      <c r="N254" s="1">
        <v>6375</v>
      </c>
      <c r="O254" s="1">
        <v>6575</v>
      </c>
      <c r="P254" s="1">
        <v>6232</v>
      </c>
      <c r="Q254" s="1">
        <v>6085</v>
      </c>
      <c r="R254" s="1">
        <v>6166</v>
      </c>
      <c r="S254" s="1">
        <v>6371</v>
      </c>
      <c r="T254" s="1">
        <v>6235</v>
      </c>
      <c r="U254" s="1">
        <v>6007</v>
      </c>
      <c r="V254" s="1">
        <v>6125</v>
      </c>
      <c r="W254" s="1">
        <v>6138</v>
      </c>
      <c r="X254" s="1">
        <v>5913</v>
      </c>
      <c r="Y254" s="1">
        <v>5681</v>
      </c>
      <c r="Z254" s="1">
        <v>5560</v>
      </c>
      <c r="AA254" s="1">
        <v>5775</v>
      </c>
      <c r="AB254" s="1">
        <v>5696</v>
      </c>
      <c r="AC254" s="1">
        <v>5746</v>
      </c>
      <c r="AD254" s="1">
        <v>5776</v>
      </c>
      <c r="AE254" s="1">
        <v>5538</v>
      </c>
      <c r="AF254" s="1">
        <v>5452</v>
      </c>
      <c r="AG254" s="1">
        <v>5558</v>
      </c>
      <c r="AH254" s="1">
        <v>5627</v>
      </c>
      <c r="AI254" s="1">
        <v>5673</v>
      </c>
      <c r="AJ254" s="1">
        <v>5700</v>
      </c>
      <c r="AK254" s="1">
        <v>5880</v>
      </c>
      <c r="AL254" s="1">
        <v>6115</v>
      </c>
      <c r="AM254" s="1">
        <v>5986</v>
      </c>
      <c r="AN254" s="1">
        <v>6002</v>
      </c>
      <c r="AO254" s="1">
        <v>6092</v>
      </c>
      <c r="AP254" s="1">
        <v>6294</v>
      </c>
      <c r="AQ254" s="1">
        <v>5591</v>
      </c>
      <c r="AR254" s="1">
        <v>5390</v>
      </c>
      <c r="AS254" s="1">
        <v>5166</v>
      </c>
      <c r="AT254" s="1">
        <v>5284</v>
      </c>
      <c r="AU254" s="1">
        <v>5471</v>
      </c>
      <c r="AV254" s="1">
        <v>5565</v>
      </c>
      <c r="AW254" s="1">
        <v>5375</v>
      </c>
      <c r="AX254" s="1">
        <v>5352</v>
      </c>
      <c r="AY254" s="1">
        <v>5377</v>
      </c>
      <c r="AZ254" s="1">
        <v>5358</v>
      </c>
      <c r="BA254" s="1">
        <v>5377</v>
      </c>
      <c r="BB254" s="1">
        <v>5336</v>
      </c>
      <c r="BC254" s="1">
        <v>5172</v>
      </c>
      <c r="BD254" s="1">
        <v>5353</v>
      </c>
      <c r="BE254" s="1">
        <v>5257</v>
      </c>
      <c r="BF254" s="1">
        <v>5325</v>
      </c>
      <c r="BG254" s="1">
        <v>5373</v>
      </c>
      <c r="BH254" s="1">
        <v>5356</v>
      </c>
      <c r="BI254" s="1">
        <v>5363</v>
      </c>
      <c r="BJ254" s="1">
        <v>5352</v>
      </c>
      <c r="BK254" s="1">
        <v>5364</v>
      </c>
      <c r="BL254" s="1">
        <v>5460</v>
      </c>
    </row>
    <row r="255" spans="1:64">
      <c r="A255" s="65" t="s">
        <v>556</v>
      </c>
      <c r="B255" s="1" t="str">
        <f>銘柄管理!C255</f>
        <v>栗田工業</v>
      </c>
      <c r="C255" s="1">
        <f>_xll.RssMarket("6370","高値")</f>
        <v>9450</v>
      </c>
      <c r="E255" s="1">
        <v>9450</v>
      </c>
      <c r="F255" s="1">
        <v>9213</v>
      </c>
      <c r="G255" s="1">
        <v>8766</v>
      </c>
      <c r="H255" s="1">
        <v>8559</v>
      </c>
      <c r="I255" s="1">
        <v>8146</v>
      </c>
      <c r="J255" s="1">
        <v>8351</v>
      </c>
      <c r="K255" s="1">
        <v>8387</v>
      </c>
      <c r="L255" s="1">
        <v>8870</v>
      </c>
      <c r="M255" s="1">
        <v>8866</v>
      </c>
      <c r="N255" s="1">
        <v>8981</v>
      </c>
      <c r="O255" s="1">
        <v>8600</v>
      </c>
      <c r="P255" s="1">
        <v>8892</v>
      </c>
      <c r="Q255" s="1">
        <v>8789</v>
      </c>
      <c r="R255" s="1">
        <v>9227</v>
      </c>
      <c r="S255" s="1">
        <v>8972</v>
      </c>
      <c r="T255" s="1">
        <v>8792</v>
      </c>
      <c r="U255" s="1">
        <v>8647</v>
      </c>
      <c r="V255" s="1">
        <v>8705</v>
      </c>
      <c r="W255" s="1">
        <v>8961</v>
      </c>
      <c r="X255" s="1">
        <v>9024</v>
      </c>
      <c r="Y255" s="1">
        <v>9508</v>
      </c>
      <c r="Z255" s="1">
        <v>9318</v>
      </c>
      <c r="AA255" s="1">
        <v>9000</v>
      </c>
      <c r="AB255" s="1">
        <v>9257</v>
      </c>
      <c r="AC255" s="1">
        <v>9063</v>
      </c>
      <c r="AD255" s="1">
        <v>8648</v>
      </c>
      <c r="AE255" s="1">
        <v>8410</v>
      </c>
      <c r="AF255" s="1">
        <v>8333</v>
      </c>
      <c r="AG255" s="1">
        <v>8573</v>
      </c>
      <c r="AH255" s="1">
        <v>8514</v>
      </c>
      <c r="AI255" s="1">
        <v>8303</v>
      </c>
      <c r="AJ255" s="1">
        <v>7954</v>
      </c>
      <c r="AK255" s="1">
        <v>7976</v>
      </c>
      <c r="AL255" s="1">
        <v>8064</v>
      </c>
      <c r="AM255" s="1">
        <v>8200</v>
      </c>
      <c r="AN255" s="1">
        <v>8224</v>
      </c>
      <c r="AO255" s="1">
        <v>8120</v>
      </c>
      <c r="AP255" s="1">
        <v>8002</v>
      </c>
      <c r="AQ255" s="1">
        <v>8080</v>
      </c>
      <c r="AR255" s="1">
        <v>8214</v>
      </c>
      <c r="AS255" s="1">
        <v>8144</v>
      </c>
      <c r="AT255" s="1">
        <v>8163</v>
      </c>
      <c r="AU255" s="1">
        <v>8240</v>
      </c>
      <c r="AV255" s="1">
        <v>8150</v>
      </c>
      <c r="AW255" s="1">
        <v>7811</v>
      </c>
      <c r="AX255" s="1">
        <v>7808</v>
      </c>
      <c r="AY255" s="1">
        <v>7713</v>
      </c>
      <c r="AZ255" s="1">
        <v>7932</v>
      </c>
      <c r="BA255" s="1">
        <v>7759</v>
      </c>
      <c r="BB255" s="1">
        <v>7440</v>
      </c>
      <c r="BC255" s="1">
        <v>7359</v>
      </c>
      <c r="BD255" s="1">
        <v>7734</v>
      </c>
      <c r="BE255" s="1">
        <v>7832</v>
      </c>
      <c r="BF255" s="1">
        <v>7734</v>
      </c>
      <c r="BG255" s="1">
        <v>7544</v>
      </c>
      <c r="BH255" s="1">
        <v>7294</v>
      </c>
      <c r="BI255" s="1">
        <v>7740</v>
      </c>
      <c r="BJ255" s="1">
        <v>7974</v>
      </c>
      <c r="BK255" s="1">
        <v>8004</v>
      </c>
      <c r="BL255" s="1">
        <v>7881</v>
      </c>
    </row>
    <row r="256" spans="1:64">
      <c r="A256" s="65" t="s">
        <v>557</v>
      </c>
      <c r="B256" s="1" t="str">
        <f>銘柄管理!C256</f>
        <v>名村造船所</v>
      </c>
      <c r="C256" s="1">
        <f>_xll.RssMarket("7014","高値")</f>
        <v>3965</v>
      </c>
      <c r="E256" s="1">
        <v>3965</v>
      </c>
      <c r="F256" s="1">
        <v>3865</v>
      </c>
      <c r="G256" s="1">
        <v>3850</v>
      </c>
      <c r="H256" s="1">
        <v>3625</v>
      </c>
      <c r="I256" s="1">
        <v>3510</v>
      </c>
      <c r="J256" s="1">
        <v>3550</v>
      </c>
      <c r="K256" s="1">
        <v>3655</v>
      </c>
      <c r="L256" s="1">
        <v>3735</v>
      </c>
      <c r="M256" s="1">
        <v>3545</v>
      </c>
      <c r="N256" s="1">
        <v>3645</v>
      </c>
      <c r="O256" s="1">
        <v>3490</v>
      </c>
      <c r="P256" s="1">
        <v>3800</v>
      </c>
      <c r="Q256" s="1">
        <v>4110</v>
      </c>
      <c r="R256" s="1">
        <v>4295</v>
      </c>
      <c r="S256" s="1">
        <v>4080</v>
      </c>
      <c r="T256" s="1">
        <v>3895</v>
      </c>
      <c r="U256" s="1">
        <v>8647</v>
      </c>
      <c r="V256" s="1">
        <v>8705</v>
      </c>
      <c r="W256" s="1">
        <v>8961</v>
      </c>
      <c r="X256" s="1">
        <v>9024</v>
      </c>
      <c r="Y256" s="1">
        <v>9508</v>
      </c>
      <c r="Z256" s="1">
        <v>9318</v>
      </c>
      <c r="AA256" s="1">
        <v>9000</v>
      </c>
      <c r="AB256" s="1">
        <v>9257</v>
      </c>
      <c r="AC256" s="1">
        <v>9063</v>
      </c>
      <c r="AD256" s="1">
        <v>8648</v>
      </c>
      <c r="AE256" s="1">
        <v>8410</v>
      </c>
      <c r="AF256" s="1">
        <v>8333</v>
      </c>
      <c r="AG256" s="1">
        <v>8573</v>
      </c>
      <c r="AH256" s="1">
        <v>8514</v>
      </c>
      <c r="AI256" s="1">
        <v>8303</v>
      </c>
      <c r="AJ256" s="1">
        <v>7954</v>
      </c>
      <c r="AK256" s="1">
        <v>7976</v>
      </c>
      <c r="AL256" s="1">
        <v>8064</v>
      </c>
      <c r="AM256" s="1">
        <v>8200</v>
      </c>
      <c r="AN256" s="1">
        <v>8224</v>
      </c>
      <c r="AO256" s="1">
        <v>8120</v>
      </c>
      <c r="AP256" s="1">
        <v>8002</v>
      </c>
      <c r="AQ256" s="1">
        <v>8080</v>
      </c>
      <c r="AR256" s="1">
        <v>8214</v>
      </c>
      <c r="AS256" s="1">
        <v>8144</v>
      </c>
      <c r="AT256" s="1">
        <v>8163</v>
      </c>
      <c r="AU256" s="1">
        <v>8240</v>
      </c>
      <c r="AV256" s="1">
        <v>8150</v>
      </c>
      <c r="AW256" s="1">
        <v>7811</v>
      </c>
      <c r="AX256" s="1">
        <v>7808</v>
      </c>
      <c r="AY256" s="1">
        <v>7713</v>
      </c>
      <c r="AZ256" s="1">
        <v>7932</v>
      </c>
      <c r="BA256" s="1">
        <v>7759</v>
      </c>
      <c r="BB256" s="1">
        <v>7440</v>
      </c>
      <c r="BC256" s="1">
        <v>7359</v>
      </c>
      <c r="BD256" s="1">
        <v>7734</v>
      </c>
      <c r="BE256" s="1">
        <v>7832</v>
      </c>
      <c r="BF256" s="1">
        <v>7734</v>
      </c>
      <c r="BG256" s="1">
        <v>7544</v>
      </c>
      <c r="BH256" s="1">
        <v>7294</v>
      </c>
      <c r="BI256" s="1">
        <v>7740</v>
      </c>
      <c r="BJ256" s="1">
        <v>7974</v>
      </c>
      <c r="BK256" s="1">
        <v>8004</v>
      </c>
      <c r="BL256" s="1">
        <v>7881</v>
      </c>
    </row>
    <row r="257" spans="1:64">
      <c r="A257" s="65" t="s">
        <v>558</v>
      </c>
      <c r="B257" s="1" t="str">
        <f>銘柄管理!C257</f>
        <v>イノテック</v>
      </c>
      <c r="C257" s="1">
        <f>_xll.RssMarket("9880","高値")</f>
        <v>4195</v>
      </c>
      <c r="E257" s="1">
        <v>4195</v>
      </c>
      <c r="F257" s="1">
        <v>4135</v>
      </c>
      <c r="G257" s="1">
        <v>4210</v>
      </c>
      <c r="H257" s="1">
        <v>4195</v>
      </c>
      <c r="I257" s="1">
        <v>4095</v>
      </c>
      <c r="J257" s="1">
        <v>4235</v>
      </c>
      <c r="K257" s="1">
        <v>4260</v>
      </c>
      <c r="L257" s="1">
        <v>4545</v>
      </c>
      <c r="M257" s="1">
        <v>4600</v>
      </c>
      <c r="N257" s="1">
        <v>4495</v>
      </c>
      <c r="O257" s="1">
        <v>4365</v>
      </c>
      <c r="P257" s="1">
        <v>4360</v>
      </c>
      <c r="Q257" s="1">
        <v>4340</v>
      </c>
      <c r="R257" s="1">
        <v>4680</v>
      </c>
      <c r="S257" s="1">
        <v>4670</v>
      </c>
      <c r="T257" s="1">
        <v>4490</v>
      </c>
      <c r="U257" s="1">
        <v>4465</v>
      </c>
      <c r="V257" s="1">
        <v>4250</v>
      </c>
      <c r="W257" s="1">
        <v>4760</v>
      </c>
      <c r="X257" s="1">
        <v>4540</v>
      </c>
      <c r="Y257" s="1">
        <v>4045</v>
      </c>
      <c r="Z257" s="1">
        <v>3460</v>
      </c>
      <c r="AA257" s="1">
        <v>3315</v>
      </c>
      <c r="AB257" s="1">
        <v>3445</v>
      </c>
      <c r="AC257" s="1">
        <v>3445</v>
      </c>
      <c r="AD257" s="1">
        <v>3220</v>
      </c>
      <c r="AE257" s="1">
        <v>3325</v>
      </c>
      <c r="AF257" s="1">
        <v>2850</v>
      </c>
      <c r="AG257" s="1">
        <v>2879</v>
      </c>
      <c r="AH257" s="1">
        <v>2814</v>
      </c>
      <c r="AI257" s="1">
        <v>2805</v>
      </c>
      <c r="AJ257" s="1">
        <v>2756</v>
      </c>
      <c r="AK257" s="1">
        <v>2728</v>
      </c>
      <c r="AL257" s="1">
        <v>2758</v>
      </c>
      <c r="AM257" s="1">
        <v>2803</v>
      </c>
      <c r="AN257" s="1">
        <v>2826</v>
      </c>
      <c r="AO257" s="1">
        <v>2899</v>
      </c>
      <c r="AP257" s="1">
        <v>2939</v>
      </c>
      <c r="AQ257" s="1">
        <v>2910</v>
      </c>
      <c r="AR257" s="1">
        <v>2711</v>
      </c>
      <c r="AS257" s="1">
        <v>2631</v>
      </c>
      <c r="AT257" s="1">
        <v>2613</v>
      </c>
      <c r="AU257" s="1">
        <v>2604</v>
      </c>
      <c r="AV257" s="1">
        <v>2624</v>
      </c>
      <c r="AW257" s="1">
        <v>2516</v>
      </c>
      <c r="AX257" s="1">
        <v>2523</v>
      </c>
      <c r="AY257" s="1">
        <v>2497</v>
      </c>
      <c r="AZ257" s="1">
        <v>2533</v>
      </c>
      <c r="BA257" s="1">
        <v>2496</v>
      </c>
      <c r="BB257" s="1">
        <v>2439</v>
      </c>
      <c r="BC257" s="1">
        <v>2409</v>
      </c>
      <c r="BD257" s="1">
        <v>2579</v>
      </c>
      <c r="BE257" s="1">
        <v>2780</v>
      </c>
      <c r="BF257" s="1">
        <v>2570</v>
      </c>
      <c r="BG257" s="1">
        <v>2535</v>
      </c>
      <c r="BH257" s="1">
        <v>2425</v>
      </c>
      <c r="BI257" s="1">
        <v>2588</v>
      </c>
      <c r="BJ257" s="1">
        <v>2662</v>
      </c>
      <c r="BK257" s="1">
        <v>2657</v>
      </c>
      <c r="BL257" s="1">
        <v>2654</v>
      </c>
    </row>
    <row r="258" spans="1:64">
      <c r="A258" s="65" t="s">
        <v>559</v>
      </c>
      <c r="B258" s="1" t="str">
        <f>銘柄管理!C258</f>
        <v>カバー</v>
      </c>
      <c r="C258" s="1">
        <f>_xll.RssMarket("5253","高値")</f>
        <v>1458</v>
      </c>
      <c r="E258" s="1">
        <v>1458</v>
      </c>
      <c r="F258" s="1">
        <v>1443</v>
      </c>
      <c r="G258" s="1">
        <v>1460</v>
      </c>
      <c r="H258" s="1">
        <v>1522</v>
      </c>
      <c r="I258" s="1">
        <v>1538</v>
      </c>
      <c r="J258" s="1">
        <v>1620</v>
      </c>
      <c r="K258" s="1">
        <v>1642</v>
      </c>
      <c r="L258" s="1">
        <v>1685</v>
      </c>
      <c r="M258" s="1">
        <v>1669</v>
      </c>
      <c r="N258" s="1">
        <v>1657</v>
      </c>
      <c r="O258" s="1">
        <v>1639</v>
      </c>
      <c r="P258" s="1">
        <v>1647</v>
      </c>
      <c r="Q258" s="1">
        <v>1596</v>
      </c>
      <c r="R258" s="1">
        <v>1621</v>
      </c>
      <c r="S258" s="1">
        <v>1764</v>
      </c>
      <c r="T258" s="1">
        <v>1832</v>
      </c>
      <c r="U258" s="1">
        <v>1765</v>
      </c>
      <c r="V258" s="1">
        <v>1700</v>
      </c>
      <c r="W258" s="1">
        <v>1708</v>
      </c>
      <c r="X258" s="1">
        <v>1585</v>
      </c>
      <c r="Y258" s="1">
        <v>1529</v>
      </c>
      <c r="Z258" s="1">
        <v>1447</v>
      </c>
      <c r="AA258" s="1">
        <v>1452</v>
      </c>
      <c r="AB258" s="1">
        <v>1417</v>
      </c>
      <c r="AC258" s="1">
        <v>1453</v>
      </c>
      <c r="AD258" s="1">
        <v>1450</v>
      </c>
      <c r="AE258" s="1">
        <v>1428</v>
      </c>
      <c r="AF258" s="1">
        <v>1436</v>
      </c>
      <c r="AG258" s="1">
        <v>1385</v>
      </c>
      <c r="AH258" s="1">
        <v>1394</v>
      </c>
      <c r="AI258" s="1">
        <v>1373</v>
      </c>
      <c r="AJ258" s="1">
        <v>1408</v>
      </c>
      <c r="AK258" s="1">
        <v>1430</v>
      </c>
      <c r="AL258" s="1">
        <v>1452</v>
      </c>
      <c r="AM258" s="1">
        <v>1458</v>
      </c>
      <c r="AN258" s="1">
        <v>1475</v>
      </c>
      <c r="AO258" s="1">
        <v>1474</v>
      </c>
      <c r="AP258" s="1">
        <v>1504</v>
      </c>
      <c r="AQ258" s="1">
        <v>1482</v>
      </c>
      <c r="AR258" s="1">
        <v>1449</v>
      </c>
      <c r="AS258" s="1">
        <v>1432</v>
      </c>
      <c r="AT258" s="1">
        <v>1473</v>
      </c>
      <c r="AU258" s="1">
        <v>1482</v>
      </c>
      <c r="AV258" s="1">
        <v>1542</v>
      </c>
      <c r="AW258" s="1">
        <v>1440</v>
      </c>
      <c r="AX258" s="1">
        <v>1404</v>
      </c>
      <c r="AY258" s="1">
        <v>1403</v>
      </c>
      <c r="AZ258" s="1">
        <v>1410</v>
      </c>
      <c r="BA258" s="1">
        <v>1394</v>
      </c>
      <c r="BB258" s="1">
        <v>1388</v>
      </c>
      <c r="BC258" s="1">
        <v>1349</v>
      </c>
      <c r="BD258" s="1">
        <v>1428</v>
      </c>
      <c r="BE258" s="1">
        <v>1466</v>
      </c>
      <c r="BF258" s="1">
        <v>1477</v>
      </c>
      <c r="BG258" s="1">
        <v>1450</v>
      </c>
      <c r="BH258" s="1">
        <v>1532</v>
      </c>
      <c r="BI258" s="1">
        <v>1642</v>
      </c>
      <c r="BJ258" s="1">
        <v>1655</v>
      </c>
      <c r="BK258" s="1">
        <v>1663</v>
      </c>
      <c r="BL258" s="1">
        <v>1628</v>
      </c>
    </row>
    <row r="259" spans="1:64">
      <c r="A259" s="65" t="s">
        <v>560</v>
      </c>
      <c r="B259" s="1" t="str">
        <f>銘柄管理!C259</f>
        <v>商船三井</v>
      </c>
      <c r="C259" s="1">
        <f>_xll.RssMarket("9104","高値")</f>
        <v>5532</v>
      </c>
      <c r="E259" s="1">
        <v>5532</v>
      </c>
      <c r="F259" s="1">
        <v>5750</v>
      </c>
      <c r="G259" s="1">
        <v>5811</v>
      </c>
      <c r="H259" s="1">
        <v>5785</v>
      </c>
      <c r="I259" s="1">
        <v>5815</v>
      </c>
      <c r="J259" s="1">
        <v>5878</v>
      </c>
      <c r="K259" s="1">
        <v>5849</v>
      </c>
      <c r="L259" s="1">
        <v>5856</v>
      </c>
      <c r="M259" s="1">
        <v>5608</v>
      </c>
      <c r="N259" s="1">
        <v>5485</v>
      </c>
      <c r="O259" s="1">
        <v>5509</v>
      </c>
      <c r="P259" s="1">
        <v>5532</v>
      </c>
      <c r="Q259" s="1">
        <v>5508</v>
      </c>
      <c r="R259" s="1">
        <v>5581</v>
      </c>
      <c r="S259" s="1">
        <v>5693</v>
      </c>
      <c r="T259" s="1">
        <v>5705</v>
      </c>
      <c r="U259" s="1">
        <v>5828</v>
      </c>
      <c r="V259" s="1">
        <v>5810</v>
      </c>
      <c r="W259" s="1">
        <v>5888</v>
      </c>
      <c r="X259" s="1">
        <v>5942</v>
      </c>
      <c r="Y259" s="1">
        <v>5925</v>
      </c>
      <c r="Z259" s="1">
        <v>5901</v>
      </c>
      <c r="AA259" s="1">
        <v>5989</v>
      </c>
      <c r="AB259" s="1">
        <v>5971</v>
      </c>
      <c r="AC259" s="1">
        <v>5898</v>
      </c>
      <c r="AD259" s="1">
        <v>5810</v>
      </c>
      <c r="AE259" s="1">
        <v>5980</v>
      </c>
      <c r="AF259" s="1">
        <v>5992</v>
      </c>
      <c r="AG259" s="1">
        <v>6127</v>
      </c>
      <c r="AH259" s="1">
        <v>6039</v>
      </c>
      <c r="AI259" s="1">
        <v>5950</v>
      </c>
      <c r="AJ259" s="1">
        <v>6187</v>
      </c>
      <c r="AK259" s="1">
        <v>6155</v>
      </c>
      <c r="AL259" s="1">
        <v>6156</v>
      </c>
      <c r="AM259" s="1">
        <v>6140</v>
      </c>
      <c r="AN259" s="1">
        <v>6284</v>
      </c>
      <c r="AO259" s="1">
        <v>6419</v>
      </c>
      <c r="AP259" s="1">
        <v>6433</v>
      </c>
      <c r="AQ259" s="1">
        <v>6448</v>
      </c>
      <c r="AR259" s="1">
        <v>6475</v>
      </c>
      <c r="AS259" s="1">
        <v>6596</v>
      </c>
      <c r="AT259" s="1">
        <v>6604</v>
      </c>
      <c r="AU259" s="1">
        <v>6716</v>
      </c>
      <c r="AV259" s="1">
        <v>6912</v>
      </c>
      <c r="AW259" s="1">
        <v>6952</v>
      </c>
      <c r="AX259" s="1">
        <v>6948</v>
      </c>
      <c r="AY259" s="1">
        <v>6808</v>
      </c>
      <c r="AZ259" s="1">
        <v>6842</v>
      </c>
      <c r="BA259" s="1">
        <v>6518</v>
      </c>
      <c r="BB259" s="1">
        <v>6799</v>
      </c>
      <c r="BC259" s="1">
        <v>6810</v>
      </c>
      <c r="BD259" s="1">
        <v>7053</v>
      </c>
      <c r="BE259" s="1">
        <v>6904</v>
      </c>
      <c r="BF259" s="1">
        <v>6597</v>
      </c>
      <c r="BG259" s="1">
        <v>6511</v>
      </c>
      <c r="BH259" s="1">
        <v>6836</v>
      </c>
      <c r="BI259" s="1">
        <v>7325</v>
      </c>
      <c r="BJ259" s="1">
        <v>7060</v>
      </c>
      <c r="BK259" s="1">
        <v>6380</v>
      </c>
      <c r="BL259" s="1">
        <v>6191</v>
      </c>
    </row>
    <row r="260" spans="1:64">
      <c r="A260" s="65" t="s">
        <v>561</v>
      </c>
      <c r="B260" s="1" t="str">
        <f>銘柄管理!C260</f>
        <v>千代田化工建</v>
      </c>
      <c r="C260" s="1">
        <f>_xll.RssMarket("6366","高値")</f>
        <v>821</v>
      </c>
      <c r="E260" s="1">
        <v>821</v>
      </c>
      <c r="F260" s="1">
        <v>770</v>
      </c>
      <c r="G260" s="1">
        <v>837</v>
      </c>
      <c r="H260" s="1">
        <v>730</v>
      </c>
      <c r="I260" s="1">
        <v>669</v>
      </c>
      <c r="J260" s="1">
        <v>699</v>
      </c>
      <c r="K260" s="1">
        <v>718</v>
      </c>
      <c r="L260" s="1">
        <v>743</v>
      </c>
      <c r="M260" s="1">
        <v>731</v>
      </c>
      <c r="N260" s="1">
        <v>733</v>
      </c>
      <c r="O260" s="1">
        <v>726</v>
      </c>
      <c r="P260" s="1">
        <v>770</v>
      </c>
      <c r="Q260" s="1">
        <v>776</v>
      </c>
      <c r="R260" s="1">
        <v>835</v>
      </c>
      <c r="S260" s="1">
        <v>868</v>
      </c>
      <c r="T260" s="1">
        <v>750</v>
      </c>
      <c r="U260" s="1">
        <v>740</v>
      </c>
      <c r="V260" s="1">
        <v>757</v>
      </c>
      <c r="W260" s="1">
        <v>785</v>
      </c>
      <c r="X260" s="1">
        <v>817</v>
      </c>
      <c r="Y260" s="1">
        <v>842</v>
      </c>
      <c r="Z260" s="1">
        <v>856</v>
      </c>
      <c r="AA260" s="1">
        <v>859</v>
      </c>
      <c r="AB260" s="1">
        <v>833</v>
      </c>
      <c r="AC260" s="1">
        <v>994</v>
      </c>
      <c r="AD260" s="1">
        <v>1008</v>
      </c>
      <c r="AE260" s="1">
        <v>1059</v>
      </c>
      <c r="AF260" s="1">
        <v>1025</v>
      </c>
      <c r="AG260" s="1">
        <v>1071</v>
      </c>
      <c r="AH260" s="1">
        <v>1074</v>
      </c>
      <c r="AI260" s="1">
        <v>1060</v>
      </c>
      <c r="AJ260" s="1">
        <v>1074</v>
      </c>
      <c r="AK260" s="1">
        <v>1083</v>
      </c>
      <c r="AL260" s="1">
        <v>1072</v>
      </c>
      <c r="AM260" s="1">
        <v>1116</v>
      </c>
      <c r="AN260" s="1">
        <v>1173</v>
      </c>
      <c r="AO260" s="1">
        <v>1226</v>
      </c>
      <c r="AP260" s="1">
        <v>1190</v>
      </c>
      <c r="AQ260" s="1">
        <v>1193</v>
      </c>
      <c r="AR260" s="1">
        <v>1178</v>
      </c>
      <c r="AS260" s="1">
        <v>1163</v>
      </c>
      <c r="AT260" s="1">
        <v>1213</v>
      </c>
      <c r="AU260" s="1">
        <v>1239</v>
      </c>
      <c r="AV260" s="1">
        <v>1116</v>
      </c>
      <c r="AW260" s="1">
        <v>1007</v>
      </c>
      <c r="AX260" s="1">
        <v>1004</v>
      </c>
      <c r="AY260" s="1">
        <v>1010</v>
      </c>
      <c r="AZ260" s="1">
        <v>1043</v>
      </c>
      <c r="BA260" s="1">
        <v>993</v>
      </c>
      <c r="BB260" s="1">
        <v>916</v>
      </c>
      <c r="BC260" s="1">
        <v>919</v>
      </c>
      <c r="BD260" s="1">
        <v>930</v>
      </c>
      <c r="BE260" s="1">
        <v>1025</v>
      </c>
      <c r="BF260" s="1">
        <v>1128</v>
      </c>
      <c r="BG260" s="1">
        <v>1071</v>
      </c>
      <c r="BH260" s="1">
        <v>1065</v>
      </c>
      <c r="BI260" s="1">
        <v>1235</v>
      </c>
      <c r="BJ260" s="1">
        <v>1258</v>
      </c>
      <c r="BK260" s="1">
        <v>1097</v>
      </c>
      <c r="BL260" s="1">
        <v>1075</v>
      </c>
    </row>
    <row r="261" spans="1:64">
      <c r="A261" s="65" t="s">
        <v>562</v>
      </c>
      <c r="B261" s="1" t="str">
        <f>銘柄管理!C261</f>
        <v>旭ダイヤモンド</v>
      </c>
      <c r="C261" s="1">
        <f>_xll.RssMarket("6140","高値")</f>
        <v>1348</v>
      </c>
      <c r="E261" s="1">
        <v>1348</v>
      </c>
      <c r="F261" s="1">
        <v>1329</v>
      </c>
      <c r="G261" s="1">
        <v>1319</v>
      </c>
      <c r="H261" s="1">
        <v>1263</v>
      </c>
      <c r="I261" s="1">
        <v>1221</v>
      </c>
      <c r="J261" s="1">
        <v>1260</v>
      </c>
      <c r="K261" s="1">
        <v>1315</v>
      </c>
      <c r="L261" s="1">
        <v>1353</v>
      </c>
      <c r="M261" s="1">
        <v>1329</v>
      </c>
      <c r="N261" s="1">
        <v>1346</v>
      </c>
      <c r="O261" s="1">
        <v>1358</v>
      </c>
      <c r="P261" s="1">
        <v>1385</v>
      </c>
      <c r="Q261" s="1">
        <v>1368</v>
      </c>
      <c r="R261" s="1">
        <v>1439</v>
      </c>
      <c r="S261" s="1">
        <v>1399</v>
      </c>
      <c r="T261" s="1">
        <v>1380</v>
      </c>
      <c r="U261" s="1">
        <v>1320</v>
      </c>
      <c r="V261" s="1">
        <v>1295</v>
      </c>
      <c r="W261" s="1">
        <v>1316</v>
      </c>
      <c r="X261" s="1">
        <v>1318</v>
      </c>
      <c r="Y261" s="1">
        <v>1387</v>
      </c>
      <c r="Z261" s="1">
        <v>1417</v>
      </c>
      <c r="AA261" s="1">
        <v>1397</v>
      </c>
      <c r="AB261" s="1">
        <v>1372</v>
      </c>
      <c r="AC261" s="1">
        <v>1348</v>
      </c>
      <c r="AD261" s="1">
        <v>1336</v>
      </c>
      <c r="AE261" s="1">
        <v>1327</v>
      </c>
      <c r="AF261" s="1">
        <v>1301</v>
      </c>
      <c r="AG261" s="1">
        <v>1305</v>
      </c>
      <c r="AH261" s="1">
        <v>1319</v>
      </c>
      <c r="AI261" s="1">
        <v>1324</v>
      </c>
      <c r="AJ261" s="1">
        <v>1352</v>
      </c>
      <c r="AK261" s="1">
        <v>1331</v>
      </c>
      <c r="AL261" s="1">
        <v>1325</v>
      </c>
      <c r="AM261" s="1">
        <v>1363</v>
      </c>
      <c r="AN261" s="1">
        <v>1430</v>
      </c>
      <c r="AO261" s="1">
        <v>1339</v>
      </c>
      <c r="AP261" s="1">
        <v>1192</v>
      </c>
      <c r="AQ261" s="1">
        <v>1202</v>
      </c>
      <c r="AR261" s="1">
        <v>1186</v>
      </c>
      <c r="AS261" s="1">
        <v>1181</v>
      </c>
      <c r="AT261" s="1">
        <v>1194</v>
      </c>
      <c r="AU261" s="1">
        <v>1200</v>
      </c>
      <c r="AV261" s="1">
        <v>1210</v>
      </c>
      <c r="AW261" s="1">
        <v>1187</v>
      </c>
      <c r="AX261" s="1">
        <v>1208</v>
      </c>
      <c r="AY261" s="1">
        <v>1248</v>
      </c>
      <c r="AZ261" s="1">
        <v>1276</v>
      </c>
      <c r="BA261" s="1">
        <v>1247</v>
      </c>
      <c r="BB261" s="1">
        <v>1221</v>
      </c>
      <c r="BC261" s="1">
        <v>1240</v>
      </c>
      <c r="BD261" s="1">
        <v>1309</v>
      </c>
      <c r="BE261" s="1">
        <v>1288</v>
      </c>
      <c r="BF261" s="1">
        <v>1286</v>
      </c>
      <c r="BG261" s="1">
        <v>1295</v>
      </c>
      <c r="BH261" s="1">
        <v>1287</v>
      </c>
      <c r="BI261" s="1">
        <v>1389</v>
      </c>
      <c r="BJ261" s="1">
        <v>1397</v>
      </c>
      <c r="BK261" s="1">
        <v>1431</v>
      </c>
      <c r="BL261" s="1">
        <v>1426</v>
      </c>
    </row>
    <row r="262" spans="1:64">
      <c r="A262" s="65" t="s">
        <v>563</v>
      </c>
      <c r="B262" s="1" t="str">
        <f>銘柄管理!C262</f>
        <v>住石ホールディングス</v>
      </c>
      <c r="C262" s="1">
        <f>_xll.RssMarket("1514","高値")</f>
        <v>566</v>
      </c>
      <c r="E262" s="1">
        <v>566</v>
      </c>
      <c r="F262" s="1">
        <v>555</v>
      </c>
      <c r="G262" s="1">
        <v>557</v>
      </c>
      <c r="H262" s="1">
        <v>560</v>
      </c>
      <c r="I262" s="1">
        <v>555</v>
      </c>
      <c r="J262" s="1">
        <v>561</v>
      </c>
      <c r="K262" s="1">
        <v>583</v>
      </c>
      <c r="L262" s="1">
        <v>588</v>
      </c>
      <c r="M262" s="1">
        <v>569</v>
      </c>
      <c r="N262" s="1">
        <v>571</v>
      </c>
      <c r="O262" s="1">
        <v>595</v>
      </c>
      <c r="P262" s="1">
        <v>615</v>
      </c>
      <c r="Q262" s="1">
        <v>629</v>
      </c>
      <c r="R262" s="1">
        <v>606</v>
      </c>
      <c r="S262" s="1">
        <v>612</v>
      </c>
      <c r="T262" s="1">
        <v>605</v>
      </c>
      <c r="U262" s="1">
        <v>617</v>
      </c>
      <c r="V262" s="1">
        <v>634</v>
      </c>
      <c r="W262" s="1">
        <v>681</v>
      </c>
      <c r="X262" s="1">
        <v>725</v>
      </c>
      <c r="Y262" s="1">
        <v>731</v>
      </c>
      <c r="Z262" s="1">
        <v>742</v>
      </c>
      <c r="AA262" s="1">
        <v>753</v>
      </c>
      <c r="AB262" s="1">
        <v>755</v>
      </c>
      <c r="AC262" s="1">
        <v>760</v>
      </c>
      <c r="AD262" s="1">
        <v>755</v>
      </c>
      <c r="AE262" s="1">
        <v>766</v>
      </c>
      <c r="AF262" s="1">
        <v>795</v>
      </c>
      <c r="AG262" s="1">
        <v>784</v>
      </c>
      <c r="AH262" s="1">
        <v>784</v>
      </c>
      <c r="AI262" s="1">
        <v>818</v>
      </c>
      <c r="AJ262" s="1">
        <v>847</v>
      </c>
      <c r="AK262" s="1">
        <v>872</v>
      </c>
      <c r="AL262" s="1">
        <v>870</v>
      </c>
      <c r="AM262" s="1">
        <v>876</v>
      </c>
      <c r="AN262" s="1">
        <v>878</v>
      </c>
      <c r="AO262" s="1">
        <v>902</v>
      </c>
      <c r="AP262" s="1">
        <v>856</v>
      </c>
      <c r="AQ262" s="1">
        <v>856</v>
      </c>
      <c r="AR262" s="1">
        <v>886</v>
      </c>
      <c r="AS262" s="1">
        <v>880</v>
      </c>
      <c r="AT262" s="1">
        <v>908</v>
      </c>
      <c r="AU262" s="1">
        <v>893</v>
      </c>
      <c r="AV262" s="1">
        <v>939</v>
      </c>
      <c r="AW262" s="1">
        <v>956</v>
      </c>
      <c r="AX262" s="1">
        <v>985</v>
      </c>
      <c r="AY262" s="1">
        <v>980</v>
      </c>
      <c r="AZ262" s="1">
        <v>986</v>
      </c>
      <c r="BA262" s="1">
        <v>1129</v>
      </c>
      <c r="BB262" s="1">
        <v>1144</v>
      </c>
      <c r="BC262" s="1">
        <v>1009</v>
      </c>
      <c r="BD262" s="1">
        <v>909</v>
      </c>
      <c r="BE262" s="1">
        <v>901</v>
      </c>
      <c r="BF262" s="1">
        <v>900</v>
      </c>
      <c r="BG262" s="1">
        <v>990</v>
      </c>
      <c r="BH262" s="1">
        <v>1068</v>
      </c>
      <c r="BI262" s="1">
        <v>1020</v>
      </c>
      <c r="BJ262" s="1">
        <v>1091</v>
      </c>
      <c r="BK262" s="1">
        <v>1200</v>
      </c>
      <c r="BL262" s="1">
        <v>1138</v>
      </c>
    </row>
    <row r="263" spans="1:64">
      <c r="A263" s="65" t="s">
        <v>564</v>
      </c>
      <c r="B263" s="1" t="str">
        <f>銘柄管理!C263</f>
        <v>日本製鋼所</v>
      </c>
      <c r="C263" s="1">
        <f>_xll.RssMarket("5631","高値")</f>
        <v>8479</v>
      </c>
      <c r="E263" s="1">
        <v>8479</v>
      </c>
      <c r="F263" s="1">
        <v>7883</v>
      </c>
      <c r="G263" s="1">
        <v>7963</v>
      </c>
      <c r="H263" s="1">
        <v>7628</v>
      </c>
      <c r="I263" s="1">
        <v>7173</v>
      </c>
      <c r="J263" s="1">
        <v>7320</v>
      </c>
      <c r="K263" s="1">
        <v>7786</v>
      </c>
      <c r="L263" s="1">
        <v>8143</v>
      </c>
      <c r="M263" s="1">
        <v>7466</v>
      </c>
      <c r="N263" s="1">
        <v>7438</v>
      </c>
      <c r="O263" s="1">
        <v>7451</v>
      </c>
      <c r="P263" s="1">
        <v>7922</v>
      </c>
      <c r="Q263" s="1">
        <v>8210</v>
      </c>
      <c r="R263" s="1">
        <v>8450</v>
      </c>
      <c r="S263" s="1">
        <v>8122</v>
      </c>
      <c r="T263" s="1">
        <v>7965</v>
      </c>
      <c r="U263" s="1">
        <v>8085</v>
      </c>
      <c r="V263" s="1">
        <v>8179</v>
      </c>
      <c r="W263" s="1">
        <v>8141</v>
      </c>
      <c r="X263" s="1">
        <v>7901</v>
      </c>
      <c r="Y263" s="1">
        <v>8253</v>
      </c>
      <c r="Z263" s="1">
        <v>8870</v>
      </c>
      <c r="AA263" s="1">
        <v>8928</v>
      </c>
      <c r="AB263" s="1">
        <v>9169</v>
      </c>
      <c r="AC263" s="1">
        <v>9387</v>
      </c>
      <c r="AD263" s="1">
        <v>9375</v>
      </c>
      <c r="AE263" s="1">
        <v>9432</v>
      </c>
      <c r="AF263" s="1">
        <v>9530</v>
      </c>
      <c r="AG263" s="1">
        <v>9768</v>
      </c>
      <c r="AH263" s="1">
        <v>9880</v>
      </c>
      <c r="AI263" s="1">
        <v>9807</v>
      </c>
      <c r="AJ263" s="1">
        <v>9973</v>
      </c>
      <c r="AK263" s="1">
        <v>9837</v>
      </c>
      <c r="AL263" s="1">
        <v>9525</v>
      </c>
      <c r="AM263" s="1">
        <v>9545</v>
      </c>
      <c r="AN263" s="1">
        <v>9292</v>
      </c>
      <c r="AO263" s="1">
        <v>9245</v>
      </c>
      <c r="AP263" s="1">
        <v>9376</v>
      </c>
      <c r="AQ263" s="1">
        <v>9850</v>
      </c>
      <c r="AR263" s="1">
        <v>9916</v>
      </c>
      <c r="AS263" s="1">
        <v>9862</v>
      </c>
      <c r="AT263" s="1">
        <v>10005</v>
      </c>
      <c r="AU263" s="1">
        <v>9972</v>
      </c>
      <c r="AV263" s="1">
        <v>10020</v>
      </c>
      <c r="AW263" s="1">
        <v>9880</v>
      </c>
      <c r="AX263" s="1">
        <v>9824</v>
      </c>
      <c r="AY263" s="1">
        <v>9598</v>
      </c>
      <c r="AZ263" s="1">
        <v>9512</v>
      </c>
      <c r="BA263" s="1">
        <v>9249</v>
      </c>
      <c r="BB263" s="1">
        <v>8686</v>
      </c>
      <c r="BC263" s="1">
        <v>8830</v>
      </c>
      <c r="BD263" s="1">
        <v>9266</v>
      </c>
      <c r="BE263" s="1">
        <v>9847</v>
      </c>
      <c r="BF263" s="1">
        <v>9584</v>
      </c>
      <c r="BG263" s="1">
        <v>9948</v>
      </c>
      <c r="BH263" s="1">
        <v>10135</v>
      </c>
      <c r="BI263" s="1">
        <v>10165</v>
      </c>
      <c r="BJ263" s="1">
        <v>10305</v>
      </c>
      <c r="BK263" s="1">
        <v>10095</v>
      </c>
      <c r="BL263" s="1">
        <v>10055</v>
      </c>
    </row>
    <row r="264" spans="1:64">
      <c r="A264" s="65" t="s">
        <v>565</v>
      </c>
      <c r="B264" s="1" t="str">
        <f>銘柄管理!C264</f>
        <v>ジーエス・ユアサコーポ</v>
      </c>
      <c r="C264" s="1">
        <f>_xll.RssMarket("6674","高値")</f>
        <v>6880</v>
      </c>
      <c r="E264" s="1">
        <v>6880</v>
      </c>
      <c r="F264" s="1">
        <v>6750</v>
      </c>
      <c r="G264" s="1">
        <v>6432</v>
      </c>
      <c r="H264" s="1">
        <v>6536</v>
      </c>
      <c r="I264" s="1">
        <v>6357</v>
      </c>
      <c r="J264" s="1">
        <v>6819</v>
      </c>
      <c r="K264" s="1">
        <v>6940</v>
      </c>
      <c r="L264" s="1">
        <v>7466</v>
      </c>
      <c r="M264" s="1">
        <v>7600</v>
      </c>
      <c r="N264" s="1">
        <v>7542</v>
      </c>
      <c r="O264" s="1">
        <v>7070</v>
      </c>
      <c r="P264" s="1">
        <v>6790</v>
      </c>
      <c r="Q264" s="1">
        <v>6471</v>
      </c>
      <c r="R264" s="1">
        <v>6524</v>
      </c>
      <c r="S264" s="1">
        <v>6373</v>
      </c>
      <c r="T264" s="1">
        <v>6244</v>
      </c>
      <c r="U264" s="1">
        <v>6184</v>
      </c>
      <c r="V264" s="1">
        <v>6336</v>
      </c>
      <c r="W264" s="1">
        <v>6420</v>
      </c>
      <c r="X264" s="1">
        <v>6432</v>
      </c>
      <c r="Y264" s="1">
        <v>6712</v>
      </c>
      <c r="Z264" s="1">
        <v>6515</v>
      </c>
      <c r="AA264" s="1">
        <v>6948</v>
      </c>
      <c r="AB264" s="1">
        <v>6841</v>
      </c>
      <c r="AC264" s="1">
        <v>6863</v>
      </c>
      <c r="AD264" s="1">
        <v>6635</v>
      </c>
      <c r="AE264" s="1">
        <v>6670</v>
      </c>
      <c r="AF264" s="1">
        <v>6392</v>
      </c>
      <c r="AG264" s="1">
        <v>6362</v>
      </c>
      <c r="AH264" s="1">
        <v>6200</v>
      </c>
      <c r="AI264" s="1">
        <v>6361</v>
      </c>
      <c r="AJ264" s="1">
        <v>6323</v>
      </c>
      <c r="AK264" s="1">
        <v>6437</v>
      </c>
      <c r="AL264" s="1">
        <v>6536</v>
      </c>
      <c r="AM264" s="1">
        <v>6820</v>
      </c>
      <c r="AN264" s="1">
        <v>6801</v>
      </c>
      <c r="AO264" s="1">
        <v>6813</v>
      </c>
      <c r="AP264" s="1">
        <v>6846</v>
      </c>
      <c r="AQ264" s="1">
        <v>6812</v>
      </c>
      <c r="AR264" s="1">
        <v>6688</v>
      </c>
      <c r="AS264" s="1">
        <v>6436</v>
      </c>
      <c r="AT264" s="1">
        <v>6331</v>
      </c>
      <c r="AU264" s="1">
        <v>6273</v>
      </c>
      <c r="AV264" s="1">
        <v>6208</v>
      </c>
      <c r="AW264" s="1">
        <v>5981</v>
      </c>
      <c r="AX264" s="1">
        <v>6040</v>
      </c>
      <c r="AY264" s="1">
        <v>5859</v>
      </c>
      <c r="AZ264" s="1">
        <v>5851</v>
      </c>
      <c r="BA264" s="1">
        <v>5715</v>
      </c>
      <c r="BB264" s="1">
        <v>5471</v>
      </c>
      <c r="BC264" s="1">
        <v>5391</v>
      </c>
      <c r="BD264" s="1">
        <v>5542</v>
      </c>
      <c r="BE264" s="1">
        <v>5278</v>
      </c>
      <c r="BF264" s="1">
        <v>5240</v>
      </c>
      <c r="BG264" s="1">
        <v>5072</v>
      </c>
      <c r="BH264" s="1">
        <v>4902</v>
      </c>
      <c r="BI264" s="1">
        <v>5277</v>
      </c>
      <c r="BJ264" s="1">
        <v>5256</v>
      </c>
      <c r="BK264" s="1">
        <v>5512</v>
      </c>
      <c r="BL264" s="1">
        <v>5185</v>
      </c>
    </row>
    <row r="265" spans="1:64">
      <c r="A265" s="65" t="s">
        <v>566</v>
      </c>
      <c r="B265" s="1" t="str">
        <f>銘柄管理!C265</f>
        <v>ＦＤＫ</v>
      </c>
      <c r="C265" s="1">
        <f>_xll.RssMarket("6955","高値")</f>
        <v>536</v>
      </c>
      <c r="E265" s="1">
        <v>536</v>
      </c>
      <c r="F265" s="1">
        <v>520</v>
      </c>
      <c r="G265" s="1">
        <v>517</v>
      </c>
      <c r="H265" s="1">
        <v>523</v>
      </c>
      <c r="I265" s="1">
        <v>517</v>
      </c>
      <c r="J265" s="1">
        <v>600</v>
      </c>
      <c r="K265" s="1">
        <v>674</v>
      </c>
      <c r="L265" s="1">
        <v>574</v>
      </c>
      <c r="M265" s="1">
        <v>549</v>
      </c>
      <c r="N265" s="1">
        <v>517</v>
      </c>
      <c r="O265" s="1">
        <v>470</v>
      </c>
      <c r="P265" s="1">
        <v>451</v>
      </c>
      <c r="Q265" s="1">
        <v>452</v>
      </c>
      <c r="R265" s="1">
        <v>434</v>
      </c>
      <c r="S265" s="1">
        <v>416</v>
      </c>
      <c r="T265" s="1">
        <v>418</v>
      </c>
      <c r="U265" s="1">
        <v>415</v>
      </c>
      <c r="V265" s="1">
        <v>420</v>
      </c>
      <c r="W265" s="1">
        <v>422</v>
      </c>
      <c r="X265" s="1">
        <v>418</v>
      </c>
      <c r="Y265" s="1">
        <v>437</v>
      </c>
      <c r="Z265" s="1">
        <v>434</v>
      </c>
      <c r="AA265" s="1">
        <v>436</v>
      </c>
      <c r="AB265" s="1">
        <v>442</v>
      </c>
      <c r="AC265" s="1">
        <v>443</v>
      </c>
      <c r="AD265" s="1">
        <v>459</v>
      </c>
      <c r="AE265" s="1">
        <v>479</v>
      </c>
      <c r="AF265" s="1">
        <v>434</v>
      </c>
      <c r="AG265" s="1">
        <v>447</v>
      </c>
      <c r="AH265" s="1">
        <v>454</v>
      </c>
      <c r="AI265" s="1">
        <v>460</v>
      </c>
      <c r="AJ265" s="1">
        <v>456</v>
      </c>
      <c r="AK265" s="1">
        <v>456</v>
      </c>
      <c r="AL265" s="1">
        <v>450</v>
      </c>
      <c r="AM265" s="1">
        <v>465</v>
      </c>
      <c r="AN265" s="1">
        <v>462</v>
      </c>
      <c r="AO265" s="1">
        <v>461</v>
      </c>
      <c r="AP265" s="1">
        <v>469</v>
      </c>
      <c r="AQ265" s="1">
        <v>466</v>
      </c>
      <c r="AR265" s="1">
        <v>460</v>
      </c>
      <c r="AS265" s="1">
        <v>454</v>
      </c>
      <c r="AT265" s="1">
        <v>484</v>
      </c>
      <c r="AU265" s="1">
        <v>492</v>
      </c>
      <c r="AV265" s="1">
        <v>491</v>
      </c>
      <c r="AW265" s="1">
        <v>481</v>
      </c>
      <c r="AX265" s="1">
        <v>491</v>
      </c>
      <c r="AY265" s="1">
        <v>477</v>
      </c>
      <c r="AZ265" s="1">
        <v>486</v>
      </c>
      <c r="BA265" s="1">
        <v>485</v>
      </c>
      <c r="BB265" s="1">
        <v>483</v>
      </c>
      <c r="BC265" s="1">
        <v>479</v>
      </c>
      <c r="BD265" s="1">
        <v>491</v>
      </c>
      <c r="BE265" s="1">
        <v>519</v>
      </c>
      <c r="BF265" s="1">
        <v>496</v>
      </c>
      <c r="BG265" s="1">
        <v>487</v>
      </c>
      <c r="BH265" s="1">
        <v>506</v>
      </c>
      <c r="BI265" s="1">
        <v>527</v>
      </c>
      <c r="BJ265" s="1">
        <v>542</v>
      </c>
      <c r="BK265" s="1">
        <v>529</v>
      </c>
      <c r="BL265" s="1">
        <v>454</v>
      </c>
    </row>
    <row r="266" spans="1:64">
      <c r="A266" s="65" t="s">
        <v>567</v>
      </c>
      <c r="B266" s="1" t="str">
        <f>銘柄管理!C266</f>
        <v>インフォメティス</v>
      </c>
      <c r="C266" s="1">
        <f>_xll.RssMarket("281A","高値")</f>
        <v>657</v>
      </c>
      <c r="E266" s="1">
        <v>657</v>
      </c>
      <c r="F266" s="1">
        <v>728</v>
      </c>
      <c r="G266" s="1">
        <v>634</v>
      </c>
      <c r="H266" s="1">
        <v>566</v>
      </c>
      <c r="I266" s="1">
        <v>572</v>
      </c>
      <c r="J266" s="1">
        <v>555</v>
      </c>
      <c r="K266" s="1">
        <v>601</v>
      </c>
      <c r="L266" s="1">
        <v>645</v>
      </c>
      <c r="M266" s="1">
        <v>705</v>
      </c>
      <c r="N266" s="1">
        <v>709</v>
      </c>
      <c r="O266" s="1">
        <v>740</v>
      </c>
      <c r="P266" s="1">
        <v>859</v>
      </c>
      <c r="Q266" s="1">
        <v>891</v>
      </c>
      <c r="R266" s="1">
        <v>897</v>
      </c>
      <c r="S266" s="1">
        <v>923</v>
      </c>
      <c r="T266" s="1">
        <v>823</v>
      </c>
      <c r="U266" s="1">
        <v>788</v>
      </c>
      <c r="V266" s="1">
        <v>841</v>
      </c>
      <c r="W266" s="1">
        <v>932</v>
      </c>
      <c r="X266" s="1">
        <v>850</v>
      </c>
      <c r="Y266" s="1">
        <v>860</v>
      </c>
      <c r="Z266" s="1">
        <v>771</v>
      </c>
      <c r="AA266" s="1">
        <v>772</v>
      </c>
      <c r="AB266" s="1">
        <v>840</v>
      </c>
      <c r="AC266" s="1">
        <v>842</v>
      </c>
      <c r="AD266" s="1">
        <v>819</v>
      </c>
      <c r="AE266" s="1">
        <v>762</v>
      </c>
      <c r="AF266" s="1">
        <v>752</v>
      </c>
      <c r="AG266" s="1">
        <v>730</v>
      </c>
      <c r="AH266" s="1">
        <v>785</v>
      </c>
      <c r="AI266" s="1">
        <v>849</v>
      </c>
      <c r="AJ266" s="1">
        <v>822</v>
      </c>
      <c r="AK266" s="1">
        <v>822</v>
      </c>
      <c r="AL266" s="1">
        <v>885</v>
      </c>
      <c r="AM266" s="1">
        <v>1060</v>
      </c>
      <c r="AN266" s="1">
        <v>958</v>
      </c>
      <c r="AO266" s="1">
        <v>857</v>
      </c>
      <c r="AP266" s="1">
        <v>840</v>
      </c>
      <c r="AQ266" s="1">
        <v>780</v>
      </c>
      <c r="AR266" s="1">
        <v>764</v>
      </c>
      <c r="AS266" s="1">
        <v>718</v>
      </c>
      <c r="AT266" s="1">
        <v>743</v>
      </c>
      <c r="AU266" s="1">
        <v>643</v>
      </c>
      <c r="AV266" s="1">
        <v>574</v>
      </c>
      <c r="AW266" s="1">
        <v>680</v>
      </c>
      <c r="AX266" s="1">
        <v>617</v>
      </c>
      <c r="AY266" s="1">
        <v>517</v>
      </c>
      <c r="AZ266" s="1">
        <v>461</v>
      </c>
      <c r="BA266" s="1">
        <v>497</v>
      </c>
      <c r="BB266" s="1">
        <v>512</v>
      </c>
      <c r="BC266" s="1">
        <v>527</v>
      </c>
      <c r="BD266" s="1">
        <v>497</v>
      </c>
      <c r="BE266" s="1">
        <v>549</v>
      </c>
      <c r="BF266" s="1">
        <v>695</v>
      </c>
      <c r="BG266" s="1">
        <v>660</v>
      </c>
      <c r="BH266" s="1">
        <v>696</v>
      </c>
      <c r="BI266" s="1">
        <v>656</v>
      </c>
      <c r="BJ266" s="1">
        <v>577</v>
      </c>
      <c r="BK266" s="1">
        <v>497</v>
      </c>
      <c r="BL266" s="1">
        <v>417</v>
      </c>
    </row>
    <row r="267" spans="1:64">
      <c r="A267" s="65" t="s">
        <v>568</v>
      </c>
      <c r="B267" s="1" t="str">
        <f>銘柄管理!C267</f>
        <v>日本ギア工業</v>
      </c>
      <c r="C267" s="1">
        <f>_xll.RssMarket("6356","高値")</f>
        <v>1678</v>
      </c>
      <c r="E267" s="1">
        <v>1678</v>
      </c>
      <c r="F267" s="1">
        <v>1445</v>
      </c>
      <c r="G267" s="1">
        <v>1460</v>
      </c>
      <c r="H267" s="1">
        <v>1475</v>
      </c>
      <c r="I267" s="1">
        <v>1391</v>
      </c>
      <c r="J267" s="1">
        <v>1555</v>
      </c>
      <c r="K267" s="1">
        <v>1534</v>
      </c>
      <c r="L267" s="1">
        <v>1653</v>
      </c>
      <c r="M267" s="1">
        <v>1507</v>
      </c>
      <c r="N267" s="1">
        <v>1530</v>
      </c>
      <c r="O267" s="1">
        <v>1515</v>
      </c>
      <c r="P267" s="1">
        <v>1741</v>
      </c>
      <c r="Q267" s="1">
        <v>1728</v>
      </c>
      <c r="R267" s="1">
        <v>1845</v>
      </c>
      <c r="S267" s="1">
        <v>1594</v>
      </c>
      <c r="T267" s="1">
        <v>1509</v>
      </c>
      <c r="U267" s="1">
        <v>1395</v>
      </c>
      <c r="V267" s="1">
        <v>1415</v>
      </c>
      <c r="W267" s="1">
        <v>1473</v>
      </c>
      <c r="X267" s="1">
        <v>1511</v>
      </c>
      <c r="Y267" s="1">
        <v>1439</v>
      </c>
      <c r="Z267" s="1">
        <v>1514</v>
      </c>
      <c r="AA267" s="1">
        <v>1680</v>
      </c>
      <c r="AB267" s="1">
        <v>1591</v>
      </c>
      <c r="AC267" s="1">
        <v>1550</v>
      </c>
      <c r="AD267" s="1">
        <v>1542</v>
      </c>
      <c r="AE267" s="1">
        <v>1507</v>
      </c>
      <c r="AF267" s="1">
        <v>1628</v>
      </c>
      <c r="AG267" s="1">
        <v>1743</v>
      </c>
      <c r="AH267" s="1">
        <v>1764</v>
      </c>
      <c r="AI267" s="1">
        <v>1693</v>
      </c>
      <c r="AJ267" s="1">
        <v>1768</v>
      </c>
      <c r="AK267" s="1">
        <v>1526</v>
      </c>
      <c r="AL267" s="1">
        <v>1269</v>
      </c>
      <c r="AM267" s="1">
        <v>1326</v>
      </c>
      <c r="AN267" s="1">
        <v>1362</v>
      </c>
      <c r="AO267" s="1">
        <v>1365</v>
      </c>
      <c r="AP267" s="1">
        <v>1406</v>
      </c>
      <c r="AQ267" s="1">
        <v>1368</v>
      </c>
      <c r="AR267" s="1">
        <v>1352</v>
      </c>
      <c r="AS267" s="1">
        <v>1315</v>
      </c>
      <c r="AT267" s="1">
        <v>1364</v>
      </c>
      <c r="AU267" s="1">
        <v>1314</v>
      </c>
      <c r="AV267" s="1">
        <v>1318</v>
      </c>
      <c r="AW267" s="1">
        <v>1230</v>
      </c>
      <c r="AX267" s="1">
        <v>1228</v>
      </c>
      <c r="AY267" s="1">
        <v>1246</v>
      </c>
      <c r="AZ267" s="1">
        <v>1303</v>
      </c>
      <c r="BA267" s="1">
        <v>1368</v>
      </c>
      <c r="BB267" s="1">
        <v>1399</v>
      </c>
      <c r="BC267" s="1">
        <v>1430</v>
      </c>
      <c r="BD267" s="1">
        <v>1542</v>
      </c>
      <c r="BE267" s="1">
        <v>1600</v>
      </c>
      <c r="BF267" s="1">
        <v>1610</v>
      </c>
      <c r="BG267" s="1">
        <v>1619</v>
      </c>
      <c r="BH267" s="1">
        <v>1841</v>
      </c>
      <c r="BI267" s="1">
        <v>1937</v>
      </c>
      <c r="BJ267" s="1">
        <v>1965</v>
      </c>
      <c r="BK267" s="1">
        <v>1860</v>
      </c>
      <c r="BL267" s="1">
        <v>1935</v>
      </c>
    </row>
    <row r="268" spans="1:64">
      <c r="A268" s="65" t="s">
        <v>569</v>
      </c>
      <c r="B268" s="1" t="str">
        <f>銘柄管理!C268</f>
        <v>助川電気工業</v>
      </c>
      <c r="C268" s="1">
        <f>_xll.RssMarket("7711","高値")</f>
        <v>5650</v>
      </c>
      <c r="E268" s="1">
        <v>5650</v>
      </c>
      <c r="F268" s="1">
        <v>4985</v>
      </c>
      <c r="G268" s="1">
        <v>4940</v>
      </c>
      <c r="H268" s="1">
        <v>4880</v>
      </c>
      <c r="I268" s="1">
        <v>4655</v>
      </c>
      <c r="J268" s="1">
        <v>4840</v>
      </c>
      <c r="K268" s="1">
        <v>5240</v>
      </c>
      <c r="L268" s="1">
        <v>5720</v>
      </c>
      <c r="M268" s="1">
        <v>5140</v>
      </c>
      <c r="N268" s="1">
        <v>5240</v>
      </c>
      <c r="O268" s="1">
        <v>5340</v>
      </c>
      <c r="P268" s="1">
        <v>5450</v>
      </c>
      <c r="Q268" s="1">
        <v>5510</v>
      </c>
      <c r="R268" s="1">
        <v>5980</v>
      </c>
      <c r="S268" s="1">
        <v>5560</v>
      </c>
      <c r="T268" s="1">
        <v>5370</v>
      </c>
      <c r="U268" s="1">
        <v>5180</v>
      </c>
      <c r="V268" s="1">
        <v>5210</v>
      </c>
      <c r="W268" s="1">
        <v>5440</v>
      </c>
      <c r="X268" s="1">
        <v>5470</v>
      </c>
      <c r="Y268" s="1">
        <v>5610</v>
      </c>
      <c r="Z268" s="1">
        <v>5710</v>
      </c>
      <c r="AA268" s="1">
        <v>5730</v>
      </c>
      <c r="AB268" s="1">
        <v>5860</v>
      </c>
      <c r="AC268" s="1">
        <v>6070</v>
      </c>
      <c r="AD268" s="1">
        <v>6200</v>
      </c>
      <c r="AE268" s="1">
        <v>6830</v>
      </c>
      <c r="AF268" s="1">
        <v>6010</v>
      </c>
      <c r="AG268" s="1">
        <v>6110</v>
      </c>
      <c r="AH268" s="1">
        <v>6220</v>
      </c>
      <c r="AI268" s="1">
        <v>6380</v>
      </c>
      <c r="AJ268" s="1">
        <v>6640</v>
      </c>
      <c r="AK268" s="1">
        <v>6720</v>
      </c>
      <c r="AL268" s="1">
        <v>6620</v>
      </c>
      <c r="AM268" s="1">
        <v>6390</v>
      </c>
      <c r="AN268" s="1">
        <v>6450</v>
      </c>
      <c r="AO268" s="1">
        <v>6370</v>
      </c>
      <c r="AP268" s="1">
        <v>6470</v>
      </c>
      <c r="AQ268" s="1">
        <v>6350</v>
      </c>
      <c r="AR268" s="1">
        <v>6420</v>
      </c>
      <c r="AS268" s="1">
        <v>6400</v>
      </c>
      <c r="AT268" s="1">
        <v>6490</v>
      </c>
      <c r="AU268" s="1">
        <v>6680</v>
      </c>
      <c r="AV268" s="1">
        <v>6760</v>
      </c>
      <c r="AW268" s="1">
        <v>6490</v>
      </c>
      <c r="AX268" s="1">
        <v>6650</v>
      </c>
      <c r="AY268" s="1">
        <v>6630</v>
      </c>
      <c r="AZ268" s="1">
        <v>6890</v>
      </c>
      <c r="BA268" s="1">
        <v>6780</v>
      </c>
      <c r="BB268" s="1">
        <v>6680</v>
      </c>
      <c r="BC268" s="1">
        <v>6730</v>
      </c>
      <c r="BD268" s="1">
        <v>6790</v>
      </c>
      <c r="BE268" s="1">
        <v>7030</v>
      </c>
      <c r="BF268" s="1">
        <v>7070</v>
      </c>
      <c r="BG268" s="1">
        <v>6880</v>
      </c>
      <c r="BH268" s="1">
        <v>6910</v>
      </c>
      <c r="BI268" s="1">
        <v>7420</v>
      </c>
      <c r="BJ268" s="1">
        <v>7530</v>
      </c>
      <c r="BK268" s="1">
        <v>7340</v>
      </c>
      <c r="BL268" s="1">
        <v>7490</v>
      </c>
    </row>
    <row r="269" spans="1:64">
      <c r="A269" s="65" t="s">
        <v>570</v>
      </c>
      <c r="B269" s="1" t="str">
        <f>銘柄管理!C269</f>
        <v>日機装</v>
      </c>
      <c r="C269" s="1">
        <f>_xll.RssMarket("6376","高値")</f>
        <v>3970</v>
      </c>
      <c r="E269" s="1">
        <v>3970</v>
      </c>
      <c r="F269" s="1">
        <v>3780</v>
      </c>
      <c r="G269" s="1">
        <v>3900</v>
      </c>
      <c r="H269" s="1">
        <v>3695</v>
      </c>
      <c r="I269" s="1">
        <v>3600</v>
      </c>
      <c r="J269" s="1">
        <v>3665</v>
      </c>
      <c r="K269" s="1">
        <v>3295</v>
      </c>
      <c r="L269" s="1">
        <v>3345</v>
      </c>
      <c r="M269" s="1">
        <v>3215</v>
      </c>
      <c r="N269" s="1">
        <v>3200</v>
      </c>
      <c r="O269" s="1">
        <v>3300</v>
      </c>
      <c r="P269" s="1">
        <v>3340</v>
      </c>
      <c r="Q269" s="1">
        <v>3300</v>
      </c>
      <c r="R269" s="1">
        <v>3530</v>
      </c>
      <c r="S269" s="1">
        <v>3475</v>
      </c>
      <c r="T269" s="1">
        <v>3250</v>
      </c>
      <c r="U269" s="1">
        <v>3120</v>
      </c>
      <c r="V269" s="1">
        <v>2941</v>
      </c>
      <c r="W269" s="1">
        <v>3100</v>
      </c>
      <c r="X269" s="1">
        <v>3050</v>
      </c>
      <c r="Y269" s="1">
        <v>2939</v>
      </c>
      <c r="Z269" s="1">
        <v>2687</v>
      </c>
      <c r="AA269" s="1">
        <v>2682</v>
      </c>
      <c r="AB269" s="1">
        <v>2739</v>
      </c>
      <c r="AC269" s="1">
        <v>2693</v>
      </c>
      <c r="AD269" s="1">
        <v>2664</v>
      </c>
      <c r="AE269" s="1">
        <v>2717</v>
      </c>
      <c r="AF269" s="1">
        <v>2673</v>
      </c>
      <c r="AG269" s="1">
        <v>2683</v>
      </c>
      <c r="AH269" s="1">
        <v>2634</v>
      </c>
      <c r="AI269" s="1">
        <v>2680</v>
      </c>
      <c r="AJ269" s="1">
        <v>2694</v>
      </c>
      <c r="AK269" s="1">
        <v>2588</v>
      </c>
      <c r="AL269" s="1">
        <v>2581</v>
      </c>
      <c r="AM269" s="1">
        <v>2670</v>
      </c>
      <c r="AN269" s="1">
        <v>2680</v>
      </c>
      <c r="AO269" s="1">
        <v>2734</v>
      </c>
      <c r="AP269" s="1">
        <v>2778</v>
      </c>
      <c r="AQ269" s="1">
        <v>2890</v>
      </c>
      <c r="AR269" s="1">
        <v>2899</v>
      </c>
      <c r="AS269" s="1">
        <v>2845</v>
      </c>
      <c r="AT269" s="1">
        <v>2840</v>
      </c>
      <c r="AU269" s="1">
        <v>2750</v>
      </c>
      <c r="AV269" s="1">
        <v>2776</v>
      </c>
      <c r="AW269" s="1">
        <v>2734</v>
      </c>
      <c r="AX269" s="1">
        <v>2717</v>
      </c>
      <c r="AY269" s="1">
        <v>2668</v>
      </c>
      <c r="AZ269" s="1">
        <v>2697</v>
      </c>
      <c r="BA269" s="1">
        <v>2644</v>
      </c>
      <c r="BB269" s="1">
        <v>2517</v>
      </c>
      <c r="BC269" s="1">
        <v>2420</v>
      </c>
      <c r="BD269" s="1">
        <v>2489</v>
      </c>
      <c r="BE269" s="1">
        <v>2329</v>
      </c>
      <c r="BF269" s="1">
        <v>2324</v>
      </c>
      <c r="BG269" s="1">
        <v>2305</v>
      </c>
      <c r="BH269" s="1">
        <v>2261</v>
      </c>
      <c r="BI269" s="1">
        <v>2378</v>
      </c>
      <c r="BJ269" s="1">
        <v>2442</v>
      </c>
      <c r="BK269" s="1">
        <v>2489</v>
      </c>
      <c r="BL269" s="1">
        <v>2410</v>
      </c>
    </row>
    <row r="270" spans="1:64">
      <c r="A270" s="65" t="s">
        <v>571</v>
      </c>
      <c r="B270" s="1" t="str">
        <f>銘柄管理!C270</f>
        <v>明海グループ</v>
      </c>
      <c r="C270" s="1">
        <f>_xll.RssMarket("9115","高値")</f>
        <v>839</v>
      </c>
      <c r="E270" s="1">
        <v>839</v>
      </c>
      <c r="F270" s="1">
        <v>848</v>
      </c>
      <c r="G270" s="1">
        <v>853</v>
      </c>
      <c r="H270" s="1">
        <v>905</v>
      </c>
      <c r="I270" s="1">
        <v>919</v>
      </c>
      <c r="J270" s="1">
        <v>940</v>
      </c>
      <c r="K270" s="1">
        <v>989</v>
      </c>
      <c r="L270" s="1">
        <v>1017</v>
      </c>
      <c r="M270" s="1">
        <v>1011</v>
      </c>
      <c r="N270" s="1">
        <v>1066</v>
      </c>
      <c r="O270" s="1">
        <v>1070</v>
      </c>
      <c r="P270" s="1">
        <v>1145</v>
      </c>
      <c r="Q270" s="1">
        <v>1170</v>
      </c>
      <c r="R270" s="1">
        <v>1197</v>
      </c>
      <c r="S270" s="1">
        <v>1198</v>
      </c>
      <c r="T270" s="1">
        <v>1156</v>
      </c>
      <c r="U270" s="1">
        <v>1147</v>
      </c>
      <c r="V270" s="1">
        <v>1146</v>
      </c>
      <c r="W270" s="1">
        <v>1208</v>
      </c>
      <c r="X270" s="1">
        <v>1247</v>
      </c>
      <c r="Y270" s="1">
        <v>1253</v>
      </c>
      <c r="Z270" s="1">
        <v>1272</v>
      </c>
      <c r="AA270" s="1">
        <v>1232</v>
      </c>
      <c r="AB270" s="1">
        <v>1278</v>
      </c>
      <c r="AC270" s="1">
        <v>1278</v>
      </c>
      <c r="AD270" s="1">
        <v>1303</v>
      </c>
      <c r="AE270" s="1">
        <v>1335</v>
      </c>
      <c r="AF270" s="1">
        <v>1313</v>
      </c>
      <c r="AG270" s="1">
        <v>1277</v>
      </c>
      <c r="AH270" s="1">
        <v>1281</v>
      </c>
      <c r="AI270" s="1">
        <v>1217</v>
      </c>
      <c r="AJ270" s="1">
        <v>1209</v>
      </c>
      <c r="AK270" s="1">
        <v>1245</v>
      </c>
      <c r="AL270" s="1">
        <v>1253</v>
      </c>
      <c r="AM270" s="1">
        <v>1300</v>
      </c>
      <c r="AN270" s="1">
        <v>1313</v>
      </c>
      <c r="AO270" s="1">
        <v>1313</v>
      </c>
      <c r="AP270" s="1">
        <v>1315</v>
      </c>
      <c r="AQ270" s="1">
        <v>1377</v>
      </c>
      <c r="AR270" s="1">
        <v>1340</v>
      </c>
      <c r="AS270" s="1">
        <v>1450</v>
      </c>
      <c r="AT270" s="1">
        <v>1330</v>
      </c>
      <c r="AU270" s="1">
        <v>1375</v>
      </c>
      <c r="AV270" s="1">
        <v>1271</v>
      </c>
      <c r="AW270" s="1">
        <v>1333</v>
      </c>
      <c r="AX270" s="1">
        <v>1402</v>
      </c>
      <c r="AY270" s="1">
        <v>1322</v>
      </c>
      <c r="AZ270" s="1">
        <v>1370</v>
      </c>
      <c r="BA270" s="1">
        <v>1416</v>
      </c>
      <c r="BB270" s="1">
        <v>1573</v>
      </c>
      <c r="BC270" s="1">
        <v>1603</v>
      </c>
      <c r="BD270" s="1">
        <v>1628</v>
      </c>
      <c r="BE270" s="1">
        <v>1690</v>
      </c>
      <c r="BF270" s="1">
        <v>1630</v>
      </c>
      <c r="BG270" s="1">
        <v>1760</v>
      </c>
      <c r="BH270" s="1">
        <v>1567</v>
      </c>
      <c r="BI270" s="1">
        <v>1413</v>
      </c>
      <c r="BJ270" s="1">
        <v>1117</v>
      </c>
      <c r="BK270" s="1">
        <v>1002</v>
      </c>
      <c r="BL270" s="1">
        <v>955</v>
      </c>
    </row>
    <row r="271" spans="1:64">
      <c r="A271" s="65" t="s">
        <v>572</v>
      </c>
      <c r="B271" s="1" t="str">
        <f>銘柄管理!C271</f>
        <v>三菱製紙</v>
      </c>
      <c r="C271" s="1">
        <f>_xll.RssMarket("3864","高値")</f>
        <v>1087</v>
      </c>
      <c r="E271" s="1">
        <v>1087</v>
      </c>
      <c r="F271" s="1">
        <v>1091</v>
      </c>
      <c r="G271" s="1">
        <v>1106</v>
      </c>
      <c r="H271" s="1">
        <v>1078</v>
      </c>
      <c r="I271" s="1">
        <v>1070</v>
      </c>
      <c r="J271" s="1">
        <v>1081</v>
      </c>
      <c r="K271" s="1">
        <v>1058</v>
      </c>
      <c r="L271" s="1">
        <v>1061</v>
      </c>
      <c r="M271" s="1">
        <v>1063</v>
      </c>
      <c r="N271" s="1">
        <v>1072</v>
      </c>
      <c r="O271" s="1">
        <v>1064</v>
      </c>
      <c r="P271" s="1">
        <v>1137</v>
      </c>
      <c r="Q271" s="1">
        <v>1136</v>
      </c>
      <c r="R271" s="1">
        <v>1117</v>
      </c>
      <c r="S271" s="1">
        <v>1106</v>
      </c>
      <c r="T271" s="1">
        <v>1119</v>
      </c>
      <c r="U271" s="1">
        <v>1090</v>
      </c>
      <c r="V271" s="1">
        <v>1038</v>
      </c>
      <c r="W271" s="1">
        <v>1079</v>
      </c>
      <c r="X271" s="1">
        <v>1038</v>
      </c>
      <c r="Y271" s="1">
        <v>1017</v>
      </c>
      <c r="Z271" s="1">
        <v>941</v>
      </c>
      <c r="AA271" s="1">
        <v>931</v>
      </c>
      <c r="AB271" s="1">
        <v>945</v>
      </c>
      <c r="AC271" s="1">
        <v>949</v>
      </c>
      <c r="AD271" s="1">
        <v>953</v>
      </c>
      <c r="AE271" s="1">
        <v>941</v>
      </c>
      <c r="AF271" s="1">
        <v>939</v>
      </c>
      <c r="AG271" s="1">
        <v>943</v>
      </c>
      <c r="AH271" s="1">
        <v>952</v>
      </c>
      <c r="AI271" s="1">
        <v>967</v>
      </c>
      <c r="AJ271" s="1">
        <v>961</v>
      </c>
      <c r="AK271" s="1">
        <v>965</v>
      </c>
      <c r="AL271" s="1">
        <v>991</v>
      </c>
      <c r="AM271" s="1">
        <v>987</v>
      </c>
      <c r="AN271" s="1">
        <v>996</v>
      </c>
      <c r="AO271" s="1">
        <v>998</v>
      </c>
      <c r="AP271" s="1">
        <v>995</v>
      </c>
      <c r="AQ271" s="1">
        <v>951</v>
      </c>
      <c r="AR271" s="1">
        <v>932</v>
      </c>
      <c r="AS271" s="1">
        <v>934</v>
      </c>
      <c r="AT271" s="1">
        <v>923</v>
      </c>
      <c r="AU271" s="1">
        <v>907</v>
      </c>
      <c r="AV271" s="1">
        <v>898</v>
      </c>
      <c r="AW271" s="1">
        <v>879</v>
      </c>
      <c r="AX271" s="1">
        <v>860</v>
      </c>
      <c r="AY271" s="1">
        <v>870</v>
      </c>
      <c r="AZ271" s="1">
        <v>857</v>
      </c>
      <c r="BA271" s="1">
        <v>844</v>
      </c>
      <c r="BB271" s="1">
        <v>835</v>
      </c>
      <c r="BC271" s="1">
        <v>817</v>
      </c>
      <c r="BD271" s="1">
        <v>828</v>
      </c>
      <c r="BE271" s="1">
        <v>823</v>
      </c>
      <c r="BF271" s="1">
        <v>818</v>
      </c>
      <c r="BG271" s="1">
        <v>811</v>
      </c>
      <c r="BH271" s="1">
        <v>803</v>
      </c>
      <c r="BI271" s="1">
        <v>841</v>
      </c>
      <c r="BJ271" s="1">
        <v>847</v>
      </c>
      <c r="BK271" s="1">
        <v>843</v>
      </c>
      <c r="BL271" s="1">
        <v>846</v>
      </c>
    </row>
    <row r="272" spans="1:64">
      <c r="A272" s="65" t="s">
        <v>573</v>
      </c>
      <c r="B272" s="1" t="str">
        <f>銘柄管理!C272</f>
        <v>日本ケミコン</v>
      </c>
      <c r="C272" s="1">
        <f>_xll.RssMarket("6997","高値")</f>
        <v>5240</v>
      </c>
      <c r="E272" s="1">
        <v>5240</v>
      </c>
      <c r="F272" s="1">
        <v>4800</v>
      </c>
      <c r="G272" s="1">
        <v>4790</v>
      </c>
      <c r="H272" s="1">
        <v>4545</v>
      </c>
      <c r="I272" s="1">
        <v>4225</v>
      </c>
      <c r="J272" s="1">
        <v>4420</v>
      </c>
      <c r="K272" s="1">
        <v>4730</v>
      </c>
      <c r="L272" s="1">
        <v>5160</v>
      </c>
      <c r="M272" s="1">
        <v>5130</v>
      </c>
      <c r="N272" s="1">
        <v>5020</v>
      </c>
      <c r="O272" s="1">
        <v>5670</v>
      </c>
      <c r="P272" s="1">
        <v>5080</v>
      </c>
      <c r="Q272" s="1">
        <v>4380</v>
      </c>
      <c r="R272" s="1">
        <v>4210</v>
      </c>
      <c r="S272" s="1">
        <v>4065</v>
      </c>
      <c r="T272" s="1">
        <v>3425</v>
      </c>
      <c r="U272" s="1">
        <v>3110</v>
      </c>
      <c r="V272" s="1">
        <v>3110</v>
      </c>
      <c r="W272" s="1">
        <v>3080</v>
      </c>
      <c r="X272" s="1">
        <v>3120</v>
      </c>
      <c r="Y272" s="1">
        <v>3550</v>
      </c>
      <c r="Z272" s="1">
        <v>3540</v>
      </c>
      <c r="AA272" s="1">
        <v>3205</v>
      </c>
      <c r="AB272" s="1">
        <v>3300</v>
      </c>
      <c r="AC272" s="1">
        <v>3300</v>
      </c>
      <c r="AD272" s="1">
        <v>3255</v>
      </c>
      <c r="AE272" s="1">
        <v>3140</v>
      </c>
      <c r="AF272" s="1">
        <v>2670</v>
      </c>
      <c r="AG272" s="1">
        <v>2741</v>
      </c>
      <c r="AH272" s="1">
        <v>2462</v>
      </c>
      <c r="AI272" s="1">
        <v>2397</v>
      </c>
      <c r="AJ272" s="1">
        <v>2350</v>
      </c>
      <c r="AK272" s="1">
        <v>2454</v>
      </c>
      <c r="AL272" s="1">
        <v>2457</v>
      </c>
      <c r="AM272" s="1">
        <v>2494</v>
      </c>
      <c r="AN272" s="1">
        <v>2484</v>
      </c>
      <c r="AO272" s="1">
        <v>2277</v>
      </c>
      <c r="AP272" s="1">
        <v>2290</v>
      </c>
      <c r="AQ272" s="1">
        <v>2074</v>
      </c>
      <c r="AR272" s="1">
        <v>1958</v>
      </c>
      <c r="AS272" s="1">
        <v>1769</v>
      </c>
      <c r="AT272" s="1">
        <v>1718</v>
      </c>
      <c r="AU272" s="1">
        <v>1669</v>
      </c>
      <c r="AV272" s="1">
        <v>1668</v>
      </c>
      <c r="AW272" s="1">
        <v>1517</v>
      </c>
      <c r="AX272" s="1">
        <v>1500</v>
      </c>
      <c r="AY272" s="1">
        <v>1497</v>
      </c>
      <c r="AZ272" s="1">
        <v>1522</v>
      </c>
      <c r="BA272" s="1">
        <v>1497</v>
      </c>
      <c r="BB272" s="1">
        <v>1464</v>
      </c>
      <c r="BC272" s="1">
        <v>1537</v>
      </c>
      <c r="BD272" s="1">
        <v>1458</v>
      </c>
      <c r="BE272" s="1">
        <v>1477</v>
      </c>
      <c r="BF272" s="1">
        <v>1486</v>
      </c>
      <c r="BG272" s="1">
        <v>1447</v>
      </c>
      <c r="BH272" s="1">
        <v>1428</v>
      </c>
      <c r="BI272" s="1">
        <v>1549</v>
      </c>
      <c r="BJ272" s="1">
        <v>1615</v>
      </c>
      <c r="BK272" s="1">
        <v>1586</v>
      </c>
      <c r="BL272" s="1">
        <v>1545</v>
      </c>
    </row>
    <row r="273" spans="1:64">
      <c r="A273" s="65" t="s">
        <v>574</v>
      </c>
      <c r="B273" s="1" t="str">
        <f>銘柄管理!C273</f>
        <v>ＨＵグループＨＤ</v>
      </c>
      <c r="C273" s="1">
        <f>_xll.RssMarket("4544","高値")</f>
        <v>3251</v>
      </c>
      <c r="E273" s="1">
        <v>3251</v>
      </c>
      <c r="F273" s="1">
        <v>3257</v>
      </c>
      <c r="G273" s="1">
        <v>3392</v>
      </c>
      <c r="H273" s="1">
        <v>3439</v>
      </c>
      <c r="I273" s="1">
        <v>3479</v>
      </c>
      <c r="J273" s="1">
        <v>3485</v>
      </c>
      <c r="K273" s="1">
        <v>3366</v>
      </c>
      <c r="L273" s="1">
        <v>3419</v>
      </c>
      <c r="M273" s="1">
        <v>3298</v>
      </c>
      <c r="N273" s="1">
        <v>3339</v>
      </c>
      <c r="O273" s="1">
        <v>3164</v>
      </c>
      <c r="P273" s="1">
        <v>3210</v>
      </c>
      <c r="Q273" s="1">
        <v>3168</v>
      </c>
      <c r="R273" s="1">
        <v>3173</v>
      </c>
      <c r="S273" s="1">
        <v>3195</v>
      </c>
      <c r="T273" s="1">
        <v>3251</v>
      </c>
      <c r="U273" s="1">
        <v>3264</v>
      </c>
      <c r="V273" s="1">
        <v>3256</v>
      </c>
      <c r="W273" s="1">
        <v>3224</v>
      </c>
      <c r="X273" s="1">
        <v>3235</v>
      </c>
      <c r="Y273" s="1">
        <v>3274</v>
      </c>
      <c r="Z273" s="1">
        <v>3161</v>
      </c>
      <c r="AA273" s="1">
        <v>3147</v>
      </c>
      <c r="AB273" s="1">
        <v>3130</v>
      </c>
      <c r="AC273" s="1">
        <v>3188</v>
      </c>
      <c r="AD273" s="1">
        <v>3173</v>
      </c>
      <c r="AE273" s="1">
        <v>3111</v>
      </c>
      <c r="AF273" s="1">
        <v>3141</v>
      </c>
      <c r="AG273" s="1">
        <v>3281</v>
      </c>
      <c r="AH273" s="1">
        <v>3285</v>
      </c>
      <c r="AI273" s="1">
        <v>3202</v>
      </c>
      <c r="AJ273" s="1">
        <v>3194</v>
      </c>
      <c r="AK273" s="1">
        <v>3180</v>
      </c>
      <c r="AL273" s="1">
        <v>3188</v>
      </c>
      <c r="AM273" s="1">
        <v>3174</v>
      </c>
      <c r="AN273" s="1">
        <v>3189</v>
      </c>
      <c r="AO273" s="1">
        <v>3200</v>
      </c>
      <c r="AP273" s="1">
        <v>3212</v>
      </c>
      <c r="AQ273" s="1">
        <v>3169</v>
      </c>
      <c r="AR273" s="1">
        <v>3143</v>
      </c>
      <c r="AS273" s="1">
        <v>3216</v>
      </c>
      <c r="AT273" s="1">
        <v>3258</v>
      </c>
      <c r="AU273" s="1">
        <v>3295</v>
      </c>
      <c r="AV273" s="1">
        <v>3266</v>
      </c>
      <c r="AW273" s="1">
        <v>3254</v>
      </c>
      <c r="AX273" s="1">
        <v>3251</v>
      </c>
      <c r="AY273" s="1">
        <v>3259</v>
      </c>
      <c r="AZ273" s="1">
        <v>3241</v>
      </c>
      <c r="BA273" s="1">
        <v>3230</v>
      </c>
      <c r="BB273" s="1">
        <v>3235</v>
      </c>
      <c r="BC273" s="1">
        <v>3327</v>
      </c>
      <c r="BD273" s="1">
        <v>3191</v>
      </c>
      <c r="BE273" s="1">
        <v>3121</v>
      </c>
      <c r="BF273" s="1">
        <v>3039</v>
      </c>
      <c r="BG273" s="1">
        <v>3010</v>
      </c>
      <c r="BH273" s="1">
        <v>3149</v>
      </c>
      <c r="BI273" s="1">
        <v>3144</v>
      </c>
      <c r="BJ273" s="1">
        <v>3145</v>
      </c>
      <c r="BK273" s="1">
        <v>3127</v>
      </c>
      <c r="BL273" s="1">
        <v>3114</v>
      </c>
    </row>
    <row r="274" spans="1:64">
      <c r="A274" s="65" t="s">
        <v>575</v>
      </c>
      <c r="B274" s="1" t="str">
        <f>銘柄管理!C274</f>
        <v>東亜ディーケーケー</v>
      </c>
      <c r="C274" s="1">
        <f>_xll.RssMarket("6848","高値")</f>
        <v>871</v>
      </c>
      <c r="E274" s="1">
        <v>871</v>
      </c>
      <c r="F274" s="1">
        <v>859</v>
      </c>
      <c r="G274" s="1">
        <v>877</v>
      </c>
      <c r="H274" s="1">
        <v>878</v>
      </c>
      <c r="I274" s="1">
        <v>857</v>
      </c>
      <c r="J274" s="1">
        <v>867</v>
      </c>
      <c r="K274" s="1">
        <v>886</v>
      </c>
      <c r="L274" s="1">
        <v>861</v>
      </c>
      <c r="M274" s="1">
        <v>878</v>
      </c>
      <c r="N274" s="1">
        <v>870</v>
      </c>
      <c r="O274" s="1">
        <v>864</v>
      </c>
      <c r="P274" s="1">
        <v>865</v>
      </c>
      <c r="Q274" s="1">
        <v>869</v>
      </c>
      <c r="R274" s="1">
        <v>865</v>
      </c>
      <c r="S274" s="1">
        <v>862</v>
      </c>
      <c r="T274" s="1">
        <v>875</v>
      </c>
      <c r="U274" s="1">
        <v>878</v>
      </c>
      <c r="V274" s="1">
        <v>877</v>
      </c>
      <c r="W274" s="1">
        <v>871</v>
      </c>
      <c r="X274" s="1">
        <v>880</v>
      </c>
      <c r="Y274" s="1">
        <v>881</v>
      </c>
      <c r="Z274" s="1">
        <v>880</v>
      </c>
      <c r="AA274" s="1">
        <v>883</v>
      </c>
      <c r="AB274" s="1">
        <v>880</v>
      </c>
      <c r="AC274" s="1">
        <v>877</v>
      </c>
      <c r="AD274" s="1">
        <v>868</v>
      </c>
      <c r="AE274" s="1">
        <v>883</v>
      </c>
      <c r="AF274" s="1">
        <v>876</v>
      </c>
      <c r="AG274" s="1">
        <v>880</v>
      </c>
      <c r="AH274" s="1">
        <v>881</v>
      </c>
      <c r="AI274" s="1">
        <v>883</v>
      </c>
      <c r="AJ274" s="1">
        <v>884</v>
      </c>
      <c r="AK274" s="1">
        <v>880</v>
      </c>
      <c r="AL274" s="1">
        <v>888</v>
      </c>
      <c r="AM274" s="1">
        <v>879</v>
      </c>
      <c r="AN274" s="1">
        <v>874</v>
      </c>
      <c r="AO274" s="1">
        <v>875</v>
      </c>
      <c r="AP274" s="1">
        <v>875</v>
      </c>
      <c r="AQ274" s="1">
        <v>878</v>
      </c>
      <c r="AR274" s="1">
        <v>882</v>
      </c>
      <c r="AS274" s="1">
        <v>891</v>
      </c>
      <c r="AT274" s="1">
        <v>891</v>
      </c>
      <c r="AU274" s="1">
        <v>880</v>
      </c>
      <c r="AV274" s="1">
        <v>891</v>
      </c>
      <c r="AW274" s="1">
        <v>891</v>
      </c>
      <c r="AX274" s="1">
        <v>889</v>
      </c>
      <c r="AY274" s="1">
        <v>887</v>
      </c>
      <c r="AZ274" s="1">
        <v>890</v>
      </c>
      <c r="BA274" s="1">
        <v>900</v>
      </c>
      <c r="BB274" s="1">
        <v>909</v>
      </c>
      <c r="BC274" s="1">
        <v>903</v>
      </c>
      <c r="BD274" s="1">
        <v>900</v>
      </c>
      <c r="BE274" s="1">
        <v>896</v>
      </c>
      <c r="BF274" s="1">
        <v>915</v>
      </c>
      <c r="BG274" s="1">
        <v>926</v>
      </c>
      <c r="BH274" s="1">
        <v>925</v>
      </c>
      <c r="BI274" s="1">
        <v>919</v>
      </c>
      <c r="BJ274" s="1">
        <v>925</v>
      </c>
      <c r="BK274" s="1">
        <v>926</v>
      </c>
      <c r="BL274" s="1">
        <v>918</v>
      </c>
    </row>
    <row r="275" spans="1:64">
      <c r="A275" s="65" t="s">
        <v>576</v>
      </c>
      <c r="B275" s="1" t="str">
        <f>銘柄管理!C275</f>
        <v>大紀アルミニウム</v>
      </c>
      <c r="C275" s="1">
        <f>_xll.RssMarket("5702","高値")</f>
        <v>1753</v>
      </c>
      <c r="E275" s="1">
        <v>1753</v>
      </c>
      <c r="F275" s="1">
        <v>1798</v>
      </c>
      <c r="G275" s="1">
        <v>1877</v>
      </c>
      <c r="H275" s="1">
        <v>1880</v>
      </c>
      <c r="I275" s="1">
        <v>1831</v>
      </c>
      <c r="J275" s="1">
        <v>1861</v>
      </c>
      <c r="K275" s="1">
        <v>1879</v>
      </c>
      <c r="L275" s="1">
        <v>1938</v>
      </c>
      <c r="M275" s="1">
        <v>1958</v>
      </c>
      <c r="N275" s="1">
        <v>2039</v>
      </c>
      <c r="O275" s="1">
        <v>1965</v>
      </c>
      <c r="P275" s="1">
        <v>2017</v>
      </c>
      <c r="Q275" s="1">
        <v>1973</v>
      </c>
      <c r="R275" s="1">
        <v>2074</v>
      </c>
      <c r="S275" s="1">
        <v>1997</v>
      </c>
      <c r="T275" s="1">
        <v>1922</v>
      </c>
      <c r="U275" s="1">
        <v>1877</v>
      </c>
      <c r="V275" s="1">
        <v>1821</v>
      </c>
      <c r="W275" s="1">
        <v>1839</v>
      </c>
      <c r="X275" s="1">
        <v>1840</v>
      </c>
      <c r="Y275" s="1">
        <v>1899</v>
      </c>
      <c r="Z275" s="1">
        <v>1941</v>
      </c>
      <c r="AA275" s="1">
        <v>1609</v>
      </c>
      <c r="AB275" s="1">
        <v>1627</v>
      </c>
      <c r="AC275" s="1">
        <v>1621</v>
      </c>
      <c r="AD275" s="1">
        <v>1613</v>
      </c>
      <c r="AE275" s="1">
        <v>1544</v>
      </c>
      <c r="AF275" s="1">
        <v>1508</v>
      </c>
      <c r="AG275" s="1">
        <v>1524</v>
      </c>
      <c r="AH275" s="1">
        <v>1491</v>
      </c>
      <c r="AI275" s="1">
        <v>1467</v>
      </c>
      <c r="AJ275" s="1">
        <v>1468</v>
      </c>
      <c r="AK275" s="1">
        <v>1491</v>
      </c>
      <c r="AL275" s="1">
        <v>1497</v>
      </c>
      <c r="AM275" s="1">
        <v>1545</v>
      </c>
      <c r="AN275" s="1">
        <v>1520</v>
      </c>
      <c r="AO275" s="1">
        <v>1556</v>
      </c>
      <c r="AP275" s="1">
        <v>1578</v>
      </c>
      <c r="AQ275" s="1">
        <v>1612</v>
      </c>
      <c r="AR275" s="1">
        <v>1619</v>
      </c>
      <c r="AS275" s="1">
        <v>1580</v>
      </c>
      <c r="AT275" s="1">
        <v>1598</v>
      </c>
      <c r="AU275" s="1">
        <v>1589</v>
      </c>
      <c r="AV275" s="1">
        <v>1569</v>
      </c>
      <c r="AW275" s="1">
        <v>1519</v>
      </c>
      <c r="AX275" s="1">
        <v>1504</v>
      </c>
      <c r="AY275" s="1">
        <v>1475</v>
      </c>
      <c r="AZ275" s="1">
        <v>1490</v>
      </c>
      <c r="BA275" s="1">
        <v>1461</v>
      </c>
      <c r="BB275" s="1">
        <v>1520</v>
      </c>
      <c r="BC275" s="1">
        <v>1397</v>
      </c>
      <c r="BD275" s="1">
        <v>1323</v>
      </c>
      <c r="BE275" s="1">
        <v>1311</v>
      </c>
      <c r="BF275" s="1">
        <v>1313</v>
      </c>
      <c r="BG275" s="1">
        <v>1272</v>
      </c>
      <c r="BH275" s="1">
        <v>1252</v>
      </c>
      <c r="BI275" s="1">
        <v>1356</v>
      </c>
      <c r="BJ275" s="1">
        <v>1378</v>
      </c>
      <c r="BK275" s="1">
        <v>1377</v>
      </c>
      <c r="BL275" s="1">
        <v>1373</v>
      </c>
    </row>
    <row r="276" spans="1:64">
      <c r="A276" s="65" t="s">
        <v>577</v>
      </c>
      <c r="B276" s="1" t="str">
        <f>銘柄管理!C276</f>
        <v>河合楽器</v>
      </c>
      <c r="C276" s="1">
        <f>_xll.RssMarket("7952","高値")</f>
        <v>3340</v>
      </c>
      <c r="E276" s="1">
        <v>3340</v>
      </c>
      <c r="F276" s="1">
        <v>3295</v>
      </c>
      <c r="G276" s="1">
        <v>3220</v>
      </c>
      <c r="H276" s="1">
        <v>3050</v>
      </c>
      <c r="I276" s="1">
        <v>3090</v>
      </c>
      <c r="J276" s="1">
        <v>3245</v>
      </c>
      <c r="K276" s="1">
        <v>3230</v>
      </c>
      <c r="L276" s="1">
        <v>3240</v>
      </c>
      <c r="M276" s="1">
        <v>3235</v>
      </c>
      <c r="N276" s="1">
        <v>3245</v>
      </c>
      <c r="O276" s="1">
        <v>3250</v>
      </c>
      <c r="P276" s="1">
        <v>3320</v>
      </c>
      <c r="Q276" s="1">
        <v>3240</v>
      </c>
      <c r="R276" s="1">
        <v>3055</v>
      </c>
      <c r="S276" s="1">
        <v>3035</v>
      </c>
      <c r="T276" s="1">
        <v>2993</v>
      </c>
      <c r="U276" s="1">
        <v>2984</v>
      </c>
      <c r="V276" s="1">
        <v>3100</v>
      </c>
      <c r="W276" s="1">
        <v>3155</v>
      </c>
      <c r="X276" s="1">
        <v>3170</v>
      </c>
      <c r="Y276" s="1">
        <v>3225</v>
      </c>
      <c r="Z276" s="1">
        <v>3015</v>
      </c>
      <c r="AA276" s="1">
        <v>3000</v>
      </c>
      <c r="AB276" s="1">
        <v>2959</v>
      </c>
      <c r="AC276" s="1">
        <v>2828</v>
      </c>
      <c r="AD276" s="1">
        <v>2783</v>
      </c>
      <c r="AE276" s="1">
        <v>2840</v>
      </c>
      <c r="AF276" s="1">
        <v>2794</v>
      </c>
      <c r="AG276" s="1">
        <v>2801</v>
      </c>
      <c r="AH276" s="1">
        <v>2876</v>
      </c>
      <c r="AI276" s="1">
        <v>2834</v>
      </c>
      <c r="AJ276" s="1">
        <v>2899</v>
      </c>
      <c r="AK276" s="1">
        <v>3020</v>
      </c>
      <c r="AL276" s="1">
        <v>3090</v>
      </c>
      <c r="AM276" s="1">
        <v>3100</v>
      </c>
      <c r="AN276" s="1">
        <v>3070</v>
      </c>
      <c r="AO276" s="1">
        <v>3130</v>
      </c>
      <c r="AP276" s="1">
        <v>3155</v>
      </c>
      <c r="AQ276" s="1">
        <v>3070</v>
      </c>
      <c r="AR276" s="1">
        <v>3035</v>
      </c>
      <c r="AS276" s="1">
        <v>3045</v>
      </c>
      <c r="AT276" s="1">
        <v>3045</v>
      </c>
      <c r="AU276" s="1">
        <v>3000</v>
      </c>
      <c r="AV276" s="1">
        <v>3070</v>
      </c>
      <c r="AW276" s="1">
        <v>3015</v>
      </c>
      <c r="AX276" s="1">
        <v>3005</v>
      </c>
      <c r="AY276" s="1">
        <v>3060</v>
      </c>
      <c r="AZ276" s="1">
        <v>3090</v>
      </c>
      <c r="BA276" s="1">
        <v>2987</v>
      </c>
      <c r="BB276" s="1">
        <v>2859</v>
      </c>
      <c r="BC276" s="1">
        <v>2785</v>
      </c>
      <c r="BD276" s="1">
        <v>2873</v>
      </c>
      <c r="BE276" s="1">
        <v>2798</v>
      </c>
      <c r="BF276" s="1">
        <v>2778</v>
      </c>
      <c r="BG276" s="1">
        <v>2744</v>
      </c>
      <c r="BH276" s="1">
        <v>2702</v>
      </c>
      <c r="BI276" s="1">
        <v>2794</v>
      </c>
      <c r="BJ276" s="1">
        <v>2829</v>
      </c>
      <c r="BK276" s="1">
        <v>2802</v>
      </c>
      <c r="BL276" s="1">
        <v>2804</v>
      </c>
    </row>
    <row r="277" spans="1:64">
      <c r="A277" s="65" t="s">
        <v>578</v>
      </c>
      <c r="B277" s="1" t="str">
        <f>銘柄管理!C277</f>
        <v>グンゼ</v>
      </c>
      <c r="C277" s="1">
        <f>_xll.RssMarket("3002","高値")</f>
        <v>3835</v>
      </c>
      <c r="E277" s="1">
        <v>3835</v>
      </c>
      <c r="F277" s="1">
        <v>3820</v>
      </c>
      <c r="G277" s="1">
        <v>3865</v>
      </c>
      <c r="H277" s="1">
        <v>3880</v>
      </c>
      <c r="I277" s="1">
        <v>3750</v>
      </c>
      <c r="J277" s="1">
        <v>3780</v>
      </c>
      <c r="K277" s="1">
        <v>3700</v>
      </c>
      <c r="L277" s="1">
        <v>3745</v>
      </c>
      <c r="M277" s="1">
        <v>3695</v>
      </c>
      <c r="N277" s="1">
        <v>3710</v>
      </c>
      <c r="O277" s="1">
        <v>3690</v>
      </c>
      <c r="P277" s="1">
        <v>3745</v>
      </c>
      <c r="Q277" s="1">
        <v>3710</v>
      </c>
      <c r="R277" s="1">
        <v>3725</v>
      </c>
      <c r="S277" s="1">
        <v>3675</v>
      </c>
      <c r="T277" s="1">
        <v>3695</v>
      </c>
      <c r="U277" s="1">
        <v>3705</v>
      </c>
      <c r="V277" s="1">
        <v>3725</v>
      </c>
      <c r="W277" s="1">
        <v>3735</v>
      </c>
      <c r="X277" s="1">
        <v>3740</v>
      </c>
      <c r="Y277" s="1">
        <v>3765</v>
      </c>
      <c r="Z277" s="1">
        <v>3825</v>
      </c>
      <c r="AA277" s="1">
        <v>3615</v>
      </c>
      <c r="AB277" s="1">
        <v>3635</v>
      </c>
      <c r="AC277" s="1">
        <v>3645</v>
      </c>
      <c r="AD277" s="1">
        <v>3630</v>
      </c>
      <c r="AE277" s="1">
        <v>3640</v>
      </c>
      <c r="AF277" s="1">
        <v>3630</v>
      </c>
      <c r="AG277" s="1">
        <v>3670</v>
      </c>
      <c r="AH277" s="1">
        <v>3710</v>
      </c>
      <c r="AI277" s="1">
        <v>3685</v>
      </c>
      <c r="AJ277" s="1">
        <v>3730</v>
      </c>
      <c r="AK277" s="1">
        <v>3730</v>
      </c>
      <c r="AL277" s="1">
        <v>3830</v>
      </c>
      <c r="AM277" s="1">
        <v>3950</v>
      </c>
      <c r="AN277" s="1">
        <v>3950</v>
      </c>
      <c r="AO277" s="1">
        <v>3940</v>
      </c>
      <c r="AP277" s="1">
        <v>3935</v>
      </c>
      <c r="AQ277" s="1">
        <v>3915</v>
      </c>
      <c r="AR277" s="1">
        <v>3930</v>
      </c>
      <c r="AS277" s="1">
        <v>3955</v>
      </c>
      <c r="AT277" s="1">
        <v>3995</v>
      </c>
      <c r="AU277" s="1">
        <v>4000</v>
      </c>
      <c r="AV277" s="1">
        <v>3960</v>
      </c>
      <c r="AW277" s="1">
        <v>3925</v>
      </c>
      <c r="AX277" s="1">
        <v>3860</v>
      </c>
      <c r="AY277" s="1">
        <v>3850</v>
      </c>
      <c r="AZ277" s="1">
        <v>3840</v>
      </c>
      <c r="BA277" s="1">
        <v>3810</v>
      </c>
      <c r="BB277" s="1">
        <v>3750</v>
      </c>
      <c r="BC277" s="1">
        <v>3795</v>
      </c>
      <c r="BD277" s="1">
        <v>4245</v>
      </c>
      <c r="BE277" s="1">
        <v>4210</v>
      </c>
      <c r="BF277" s="1">
        <v>4275</v>
      </c>
      <c r="BG277" s="1">
        <v>4205</v>
      </c>
      <c r="BH277" s="1">
        <v>4205</v>
      </c>
      <c r="BI277" s="1">
        <v>4320</v>
      </c>
      <c r="BJ277" s="1">
        <v>4380</v>
      </c>
      <c r="BK277" s="1">
        <v>4320</v>
      </c>
      <c r="BL277" s="1">
        <v>4320</v>
      </c>
    </row>
    <row r="278" spans="1:64">
      <c r="A278" s="65" t="s">
        <v>579</v>
      </c>
      <c r="B278" s="1" t="str">
        <f>銘柄管理!C278</f>
        <v>ゴールドクレスト</v>
      </c>
      <c r="C278" s="1">
        <f>_xll.RssMarket("8871","高値")</f>
        <v>3345</v>
      </c>
      <c r="E278" s="1">
        <v>3345</v>
      </c>
      <c r="F278" s="1">
        <v>3350</v>
      </c>
      <c r="G278" s="1">
        <v>3420</v>
      </c>
      <c r="H278" s="1">
        <v>3370</v>
      </c>
      <c r="I278" s="1">
        <v>3375</v>
      </c>
      <c r="J278" s="1">
        <v>3350</v>
      </c>
      <c r="K278" s="1">
        <v>3300</v>
      </c>
      <c r="L278" s="1">
        <v>3280</v>
      </c>
      <c r="M278" s="1">
        <v>3300</v>
      </c>
      <c r="N278" s="1">
        <v>3400</v>
      </c>
      <c r="O278" s="1">
        <v>3480</v>
      </c>
      <c r="P278" s="1">
        <v>3645</v>
      </c>
      <c r="Q278" s="1">
        <v>3605</v>
      </c>
      <c r="R278" s="1">
        <v>3670</v>
      </c>
      <c r="S278" s="1">
        <v>3515</v>
      </c>
      <c r="T278" s="1">
        <v>3585</v>
      </c>
      <c r="U278" s="1">
        <v>3620</v>
      </c>
      <c r="V278" s="1">
        <v>3665</v>
      </c>
      <c r="W278" s="1">
        <v>3770</v>
      </c>
      <c r="X278" s="1">
        <v>3725</v>
      </c>
      <c r="Y278" s="1">
        <v>3850</v>
      </c>
      <c r="Z278" s="1">
        <v>3320</v>
      </c>
      <c r="AA278" s="1">
        <v>3360</v>
      </c>
      <c r="AB278" s="1">
        <v>3350</v>
      </c>
      <c r="AC278" s="1">
        <v>3335</v>
      </c>
      <c r="AD278" s="1">
        <v>3340</v>
      </c>
      <c r="AE278" s="1">
        <v>3365</v>
      </c>
      <c r="AF278" s="1">
        <v>3355</v>
      </c>
      <c r="AG278" s="1">
        <v>3340</v>
      </c>
      <c r="AH278" s="1">
        <v>3375</v>
      </c>
      <c r="AI278" s="1">
        <v>3370</v>
      </c>
      <c r="AJ278" s="1">
        <v>3325</v>
      </c>
      <c r="AK278" s="1">
        <v>3335</v>
      </c>
      <c r="AL278" s="1">
        <v>3400</v>
      </c>
      <c r="AM278" s="1">
        <v>3440</v>
      </c>
      <c r="AN278" s="1">
        <v>3445</v>
      </c>
      <c r="AO278" s="1">
        <v>3485</v>
      </c>
      <c r="AP278" s="1">
        <v>3495</v>
      </c>
      <c r="AQ278" s="1">
        <v>3505</v>
      </c>
      <c r="AR278" s="1">
        <v>3500</v>
      </c>
      <c r="AS278" s="1">
        <v>3510</v>
      </c>
      <c r="AT278" s="1">
        <v>3550</v>
      </c>
      <c r="AU278" s="1">
        <v>3535</v>
      </c>
      <c r="AV278" s="1">
        <v>3585</v>
      </c>
      <c r="AW278" s="1">
        <v>3520</v>
      </c>
      <c r="AX278" s="1">
        <v>3460</v>
      </c>
      <c r="AY278" s="1">
        <v>3465</v>
      </c>
      <c r="AZ278" s="1">
        <v>3515</v>
      </c>
      <c r="BA278" s="1">
        <v>3425</v>
      </c>
      <c r="BB278" s="1">
        <v>3380</v>
      </c>
      <c r="BC278" s="1">
        <v>3355</v>
      </c>
      <c r="BD278" s="1">
        <v>3380</v>
      </c>
      <c r="BE278" s="1">
        <v>3360</v>
      </c>
      <c r="BF278" s="1">
        <v>3355</v>
      </c>
      <c r="BG278" s="1">
        <v>3325</v>
      </c>
      <c r="BH278" s="1">
        <v>3310</v>
      </c>
      <c r="BI278" s="1">
        <v>3360</v>
      </c>
      <c r="BJ278" s="1">
        <v>3350</v>
      </c>
      <c r="BK278" s="1">
        <v>3370</v>
      </c>
      <c r="BL278" s="1">
        <v>3345</v>
      </c>
    </row>
    <row r="279" spans="1:64">
      <c r="A279" s="65" t="s">
        <v>583</v>
      </c>
      <c r="B279" s="1" t="str">
        <f>銘柄管理!C279</f>
        <v>アバールデータ</v>
      </c>
      <c r="C279" s="1">
        <f>_xll.RssMarket("6918","高値")</f>
        <v>3345</v>
      </c>
      <c r="E279" s="1">
        <v>3345</v>
      </c>
      <c r="F279" s="1">
        <v>3335</v>
      </c>
      <c r="G279" s="1">
        <v>3240</v>
      </c>
      <c r="H279" s="1">
        <v>3130</v>
      </c>
      <c r="I279" s="1">
        <v>2978</v>
      </c>
      <c r="J279" s="1">
        <v>3070</v>
      </c>
      <c r="K279" s="1">
        <v>3090</v>
      </c>
      <c r="L279" s="1">
        <v>3295</v>
      </c>
      <c r="M279" s="1">
        <v>3350</v>
      </c>
      <c r="N279" s="1">
        <v>3430</v>
      </c>
      <c r="O279" s="1">
        <v>3530</v>
      </c>
      <c r="P279" s="1">
        <v>3570</v>
      </c>
      <c r="Q279" s="1">
        <v>3565</v>
      </c>
      <c r="R279" s="1">
        <v>3430</v>
      </c>
      <c r="S279" s="1">
        <v>3515</v>
      </c>
      <c r="T279" s="1">
        <v>3505</v>
      </c>
      <c r="U279" s="1">
        <v>3485</v>
      </c>
      <c r="V279" s="1">
        <v>3525</v>
      </c>
      <c r="W279" s="1">
        <v>3750</v>
      </c>
      <c r="X279" s="1">
        <v>3790</v>
      </c>
      <c r="Y279" s="1">
        <v>3615</v>
      </c>
      <c r="Z279" s="1">
        <v>3645</v>
      </c>
      <c r="AA279" s="1">
        <v>3665</v>
      </c>
      <c r="AB279" s="1">
        <v>3750</v>
      </c>
      <c r="AC279" s="1">
        <v>3700</v>
      </c>
      <c r="AD279" s="1">
        <v>3330</v>
      </c>
      <c r="AE279" s="1">
        <v>3320</v>
      </c>
      <c r="AF279" s="1">
        <v>3140</v>
      </c>
      <c r="AG279" s="1">
        <v>2944</v>
      </c>
      <c r="AH279" s="1">
        <v>3000</v>
      </c>
      <c r="AI279" s="1">
        <v>3050</v>
      </c>
      <c r="AJ279" s="1">
        <v>3070</v>
      </c>
      <c r="AK279" s="1">
        <v>3030</v>
      </c>
      <c r="AL279" s="1">
        <v>3100</v>
      </c>
      <c r="AM279" s="1">
        <v>3075</v>
      </c>
      <c r="AN279" s="1">
        <v>2980</v>
      </c>
      <c r="AO279" s="1">
        <v>2875</v>
      </c>
      <c r="AP279" s="1">
        <v>2854</v>
      </c>
      <c r="AQ279" s="1">
        <v>2896</v>
      </c>
      <c r="AR279" s="1">
        <v>2894</v>
      </c>
      <c r="AS279" s="1">
        <v>2814</v>
      </c>
      <c r="AT279" s="1">
        <v>2786</v>
      </c>
      <c r="AU279" s="1">
        <v>2750</v>
      </c>
      <c r="AV279" s="1">
        <v>2710</v>
      </c>
      <c r="AW279" s="1">
        <v>2645</v>
      </c>
      <c r="AX279" s="1">
        <v>2640</v>
      </c>
      <c r="AY279" s="1">
        <v>2694</v>
      </c>
      <c r="AZ279" s="1">
        <v>2700</v>
      </c>
      <c r="BA279" s="1">
        <v>2669</v>
      </c>
      <c r="BB279" s="1">
        <v>2601</v>
      </c>
      <c r="BC279" s="1">
        <v>2669</v>
      </c>
      <c r="BD279" s="1">
        <v>2779</v>
      </c>
      <c r="BE279" s="1">
        <v>2820</v>
      </c>
      <c r="BF279" s="1">
        <v>2818</v>
      </c>
      <c r="BG279" s="1">
        <v>2761</v>
      </c>
      <c r="BH279" s="1">
        <v>2727</v>
      </c>
      <c r="BI279" s="1">
        <v>2777</v>
      </c>
      <c r="BJ279" s="1">
        <v>2844</v>
      </c>
      <c r="BK279" s="1">
        <v>2865</v>
      </c>
      <c r="BL279" s="1">
        <v>2801</v>
      </c>
    </row>
    <row r="280" spans="1:64">
      <c r="A280" s="65" t="s">
        <v>580</v>
      </c>
      <c r="B280" s="1" t="str">
        <f>銘柄管理!C280</f>
        <v>ヨシタケ</v>
      </c>
      <c r="C280" s="1">
        <f>_xll.RssMarket("6488","高値")</f>
        <v>930</v>
      </c>
      <c r="E280" s="1">
        <v>930</v>
      </c>
      <c r="F280" s="1">
        <v>920</v>
      </c>
      <c r="G280" s="1">
        <v>921</v>
      </c>
      <c r="H280" s="1">
        <v>920</v>
      </c>
      <c r="I280" s="1">
        <v>931</v>
      </c>
      <c r="J280" s="1">
        <v>933</v>
      </c>
      <c r="K280" s="1">
        <v>939</v>
      </c>
      <c r="L280" s="1">
        <v>938</v>
      </c>
      <c r="M280" s="1">
        <v>939</v>
      </c>
      <c r="N280" s="1">
        <v>931</v>
      </c>
      <c r="O280" s="1">
        <v>933</v>
      </c>
      <c r="P280" s="1">
        <v>939</v>
      </c>
      <c r="Q280" s="1">
        <v>943</v>
      </c>
      <c r="R280" s="1">
        <v>960</v>
      </c>
      <c r="S280" s="1">
        <v>972</v>
      </c>
      <c r="T280" s="1">
        <v>973</v>
      </c>
      <c r="U280" s="1">
        <v>967</v>
      </c>
      <c r="V280" s="1">
        <v>980</v>
      </c>
      <c r="W280" s="1">
        <v>988</v>
      </c>
      <c r="X280" s="1">
        <v>995</v>
      </c>
      <c r="Y280" s="1">
        <v>1014</v>
      </c>
      <c r="Z280" s="1">
        <v>938</v>
      </c>
      <c r="AA280" s="1">
        <v>940</v>
      </c>
      <c r="AB280" s="1">
        <v>947</v>
      </c>
      <c r="AC280" s="1">
        <v>946</v>
      </c>
      <c r="AD280" s="1">
        <v>935</v>
      </c>
      <c r="AE280" s="1">
        <v>943</v>
      </c>
      <c r="AF280" s="1">
        <v>944</v>
      </c>
      <c r="AG280" s="1">
        <v>944</v>
      </c>
      <c r="AH280" s="1">
        <v>940</v>
      </c>
      <c r="AI280" s="1">
        <v>940</v>
      </c>
      <c r="AJ280" s="1">
        <v>934</v>
      </c>
      <c r="AK280" s="1">
        <v>935</v>
      </c>
      <c r="AL280" s="1">
        <v>953</v>
      </c>
      <c r="AM280" s="1">
        <v>959</v>
      </c>
      <c r="AN280" s="1">
        <v>960</v>
      </c>
      <c r="AO280" s="1">
        <v>956</v>
      </c>
      <c r="AP280" s="1">
        <v>946</v>
      </c>
      <c r="AQ280" s="1">
        <v>948</v>
      </c>
      <c r="AR280" s="1">
        <v>945</v>
      </c>
      <c r="AS280" s="1">
        <v>945</v>
      </c>
      <c r="AT280" s="1">
        <v>948</v>
      </c>
      <c r="AU280" s="1">
        <v>957</v>
      </c>
      <c r="AV280" s="1">
        <v>936</v>
      </c>
      <c r="AW280" s="1">
        <v>938</v>
      </c>
      <c r="AX280" s="1">
        <v>941</v>
      </c>
      <c r="AY280" s="1">
        <v>940</v>
      </c>
      <c r="AZ280" s="1">
        <v>940</v>
      </c>
      <c r="BA280" s="1">
        <v>938</v>
      </c>
      <c r="BB280" s="1">
        <v>926</v>
      </c>
      <c r="BC280" s="1">
        <v>967</v>
      </c>
      <c r="BD280" s="1">
        <v>965</v>
      </c>
      <c r="BE280" s="1">
        <v>963</v>
      </c>
      <c r="BF280" s="1">
        <v>950</v>
      </c>
      <c r="BG280" s="1">
        <v>955</v>
      </c>
      <c r="BH280" s="1">
        <v>965</v>
      </c>
      <c r="BI280" s="1">
        <v>973</v>
      </c>
      <c r="BJ280" s="1">
        <v>981</v>
      </c>
      <c r="BK280" s="1">
        <v>975</v>
      </c>
      <c r="BL280" s="1">
        <v>990</v>
      </c>
    </row>
    <row r="281" spans="1:64">
      <c r="A281" s="65" t="s">
        <v>581</v>
      </c>
      <c r="B281" s="1" t="str">
        <f>銘柄管理!C281</f>
        <v>高島</v>
      </c>
      <c r="C281" s="1">
        <f>_xll.RssMarket("8007","高値")</f>
        <v>761</v>
      </c>
      <c r="E281" s="1">
        <v>761</v>
      </c>
      <c r="F281" s="1">
        <v>765</v>
      </c>
      <c r="G281" s="1">
        <v>763</v>
      </c>
      <c r="H281" s="1">
        <v>746</v>
      </c>
      <c r="I281" s="1">
        <v>740</v>
      </c>
      <c r="J281" s="1">
        <v>744</v>
      </c>
      <c r="K281" s="1">
        <v>740</v>
      </c>
      <c r="L281" s="1">
        <v>744</v>
      </c>
      <c r="M281" s="1">
        <v>735</v>
      </c>
      <c r="N281" s="1">
        <v>734</v>
      </c>
      <c r="O281" s="1">
        <v>729</v>
      </c>
      <c r="P281" s="1">
        <v>767</v>
      </c>
      <c r="Q281" s="1">
        <v>765</v>
      </c>
      <c r="R281" s="1">
        <v>755</v>
      </c>
      <c r="S281" s="1">
        <v>750</v>
      </c>
      <c r="T281" s="1">
        <v>748</v>
      </c>
      <c r="U281" s="1">
        <v>746</v>
      </c>
      <c r="V281" s="1">
        <v>745</v>
      </c>
      <c r="W281" s="1">
        <v>758</v>
      </c>
      <c r="X281" s="1">
        <v>770</v>
      </c>
      <c r="Y281" s="1">
        <v>802</v>
      </c>
      <c r="Z281" s="1">
        <v>785</v>
      </c>
      <c r="AA281" s="1">
        <v>777</v>
      </c>
      <c r="AB281" s="1">
        <v>779</v>
      </c>
      <c r="AC281" s="1">
        <v>782</v>
      </c>
      <c r="AD281" s="1">
        <v>789</v>
      </c>
      <c r="AE281" s="1">
        <v>796</v>
      </c>
      <c r="AF281" s="1">
        <v>794</v>
      </c>
      <c r="AG281" s="1">
        <v>799</v>
      </c>
      <c r="AH281" s="1">
        <v>798</v>
      </c>
      <c r="AI281" s="1">
        <v>774</v>
      </c>
      <c r="AJ281" s="1">
        <v>777</v>
      </c>
      <c r="AK281" s="1">
        <v>776</v>
      </c>
      <c r="AL281" s="1">
        <v>787</v>
      </c>
      <c r="AM281" s="1">
        <v>797</v>
      </c>
      <c r="AN281" s="1">
        <v>805</v>
      </c>
      <c r="AO281" s="1">
        <v>812</v>
      </c>
      <c r="AP281" s="1">
        <v>816</v>
      </c>
      <c r="AQ281" s="1">
        <v>821</v>
      </c>
      <c r="AR281" s="1">
        <v>818</v>
      </c>
      <c r="AS281" s="1">
        <v>820</v>
      </c>
      <c r="AT281" s="1">
        <v>830</v>
      </c>
      <c r="AU281" s="1">
        <v>837</v>
      </c>
      <c r="AV281" s="1">
        <v>838</v>
      </c>
      <c r="AW281" s="1">
        <v>830</v>
      </c>
      <c r="AX281" s="1">
        <v>822</v>
      </c>
      <c r="AY281" s="1">
        <v>825</v>
      </c>
      <c r="AZ281" s="1">
        <v>834</v>
      </c>
      <c r="BA281" s="1">
        <v>825</v>
      </c>
      <c r="BB281" s="1">
        <v>822</v>
      </c>
      <c r="BC281" s="1">
        <v>814</v>
      </c>
      <c r="BD281" s="1">
        <v>856</v>
      </c>
      <c r="BE281" s="1">
        <v>855</v>
      </c>
      <c r="BF281" s="1">
        <v>853</v>
      </c>
      <c r="BG281" s="1">
        <v>836</v>
      </c>
      <c r="BH281" s="1">
        <v>827</v>
      </c>
      <c r="BI281" s="1">
        <v>848</v>
      </c>
      <c r="BJ281" s="1">
        <v>857</v>
      </c>
      <c r="BK281" s="1">
        <v>844</v>
      </c>
      <c r="BL281" s="1">
        <v>846</v>
      </c>
    </row>
    <row r="282" spans="1:64">
      <c r="A282" s="65" t="s">
        <v>582</v>
      </c>
      <c r="B282" s="1" t="str">
        <f>銘柄管理!C282</f>
        <v>ニチバン</v>
      </c>
      <c r="C282" s="1">
        <f>_xll.RssMarket("4218","高値")</f>
        <v>1855</v>
      </c>
      <c r="E282" s="1">
        <v>1855</v>
      </c>
      <c r="F282" s="1">
        <v>1845</v>
      </c>
      <c r="G282" s="1">
        <v>1848</v>
      </c>
      <c r="H282" s="1">
        <v>1850</v>
      </c>
      <c r="I282" s="1">
        <v>1841</v>
      </c>
      <c r="J282" s="1">
        <v>1829</v>
      </c>
      <c r="K282" s="1">
        <v>1822</v>
      </c>
      <c r="L282" s="1">
        <v>1811</v>
      </c>
      <c r="M282" s="1">
        <v>1816</v>
      </c>
      <c r="N282" s="1">
        <v>1813</v>
      </c>
      <c r="O282" s="1">
        <v>1818</v>
      </c>
      <c r="P282" s="1">
        <v>1852</v>
      </c>
      <c r="Q282" s="1">
        <v>1866</v>
      </c>
      <c r="R282" s="1">
        <v>1865</v>
      </c>
      <c r="S282" s="1">
        <v>1875</v>
      </c>
      <c r="T282" s="1">
        <v>1874</v>
      </c>
      <c r="U282" s="1">
        <v>1875</v>
      </c>
      <c r="V282" s="1">
        <v>1881</v>
      </c>
      <c r="W282" s="1">
        <v>1897</v>
      </c>
      <c r="X282" s="1">
        <v>1900</v>
      </c>
      <c r="Y282" s="1">
        <v>1914</v>
      </c>
      <c r="Z282" s="1">
        <v>1920</v>
      </c>
      <c r="AA282" s="1">
        <v>1854</v>
      </c>
      <c r="AB282" s="1">
        <v>1833</v>
      </c>
      <c r="AC282" s="1">
        <v>1830</v>
      </c>
      <c r="AD282" s="1">
        <v>1846</v>
      </c>
      <c r="AE282" s="1">
        <v>1857</v>
      </c>
      <c r="AF282" s="1">
        <v>1838</v>
      </c>
      <c r="AG282" s="1">
        <v>1825</v>
      </c>
      <c r="AH282" s="1">
        <v>1825</v>
      </c>
      <c r="AI282" s="1">
        <v>1825</v>
      </c>
      <c r="AJ282" s="1">
        <v>1846</v>
      </c>
      <c r="AK282" s="1">
        <v>1857</v>
      </c>
      <c r="AL282" s="1">
        <v>1883</v>
      </c>
      <c r="AM282" s="1">
        <v>1889</v>
      </c>
      <c r="AN282" s="1">
        <v>1898</v>
      </c>
      <c r="AO282" s="1">
        <v>1893</v>
      </c>
      <c r="AP282" s="1">
        <v>1897</v>
      </c>
      <c r="AQ282" s="1">
        <v>1895</v>
      </c>
      <c r="AR282" s="1">
        <v>1898</v>
      </c>
      <c r="AS282" s="1">
        <v>1898</v>
      </c>
      <c r="AT282" s="1">
        <v>1913</v>
      </c>
      <c r="AU282" s="1">
        <v>1913</v>
      </c>
      <c r="AV282" s="1">
        <v>1920</v>
      </c>
      <c r="AW282" s="1">
        <v>1913</v>
      </c>
      <c r="AX282" s="1">
        <v>1908</v>
      </c>
      <c r="AY282" s="1">
        <v>1901</v>
      </c>
      <c r="AZ282" s="1">
        <v>1905</v>
      </c>
      <c r="BA282" s="1">
        <v>1897</v>
      </c>
      <c r="BB282" s="1">
        <v>1889</v>
      </c>
      <c r="BC282" s="1">
        <v>1878</v>
      </c>
      <c r="BD282" s="1">
        <v>1933</v>
      </c>
      <c r="BE282" s="1">
        <v>1922</v>
      </c>
      <c r="BF282" s="1">
        <v>1912</v>
      </c>
      <c r="BG282" s="1">
        <v>1898</v>
      </c>
      <c r="BH282" s="1">
        <v>1890</v>
      </c>
      <c r="BI282" s="1">
        <v>1907</v>
      </c>
      <c r="BJ282" s="1">
        <v>1914</v>
      </c>
      <c r="BK282" s="1">
        <v>1909</v>
      </c>
      <c r="BL282" s="1">
        <v>1906</v>
      </c>
    </row>
    <row r="283" spans="1:64">
      <c r="A283" s="65" t="s">
        <v>584</v>
      </c>
      <c r="B283" s="1" t="str">
        <f>銘柄管理!C283</f>
        <v>ＳＣＲＥＥＮホールディングス</v>
      </c>
      <c r="C283" s="1">
        <f>_xll.RssMarket("7735","高値")</f>
        <v>15375</v>
      </c>
      <c r="E283" s="1">
        <v>15375</v>
      </c>
      <c r="F283" s="1">
        <v>15720</v>
      </c>
      <c r="G283" s="1">
        <v>14985</v>
      </c>
      <c r="H283" s="1">
        <v>14225</v>
      </c>
      <c r="I283" s="1">
        <v>13080</v>
      </c>
      <c r="J283" s="1">
        <v>13690</v>
      </c>
      <c r="K283" s="1">
        <v>11940</v>
      </c>
      <c r="L283" s="1">
        <v>13075</v>
      </c>
      <c r="M283" s="1">
        <v>13465</v>
      </c>
      <c r="N283" s="1">
        <v>13420</v>
      </c>
      <c r="O283" s="1">
        <v>11370</v>
      </c>
      <c r="P283" s="1">
        <v>11290</v>
      </c>
      <c r="Q283" s="1">
        <v>11215</v>
      </c>
      <c r="R283" s="1">
        <v>11550</v>
      </c>
      <c r="S283" s="1">
        <v>11180</v>
      </c>
      <c r="T283" s="1">
        <v>11105</v>
      </c>
      <c r="U283" s="1">
        <v>10990</v>
      </c>
      <c r="V283" s="1">
        <v>10730</v>
      </c>
      <c r="W283" s="1">
        <v>11035</v>
      </c>
      <c r="X283" s="1">
        <v>11405</v>
      </c>
      <c r="Y283" s="1">
        <v>12525</v>
      </c>
      <c r="Z283" s="1">
        <v>13155</v>
      </c>
      <c r="AA283" s="1">
        <v>11460</v>
      </c>
      <c r="AB283" s="1">
        <v>11630</v>
      </c>
      <c r="AC283" s="1">
        <v>11675</v>
      </c>
      <c r="AD283" s="1">
        <v>11380</v>
      </c>
      <c r="AE283" s="1">
        <v>11325</v>
      </c>
      <c r="AF283" s="1">
        <v>10680</v>
      </c>
      <c r="AG283" s="1">
        <v>10450</v>
      </c>
      <c r="AH283" s="1">
        <v>10795</v>
      </c>
      <c r="AI283" s="1">
        <v>11070</v>
      </c>
      <c r="AJ283" s="1">
        <v>10730</v>
      </c>
      <c r="AK283" s="1">
        <v>10765</v>
      </c>
      <c r="AL283" s="1">
        <v>10625</v>
      </c>
      <c r="AM283" s="1">
        <v>10920</v>
      </c>
      <c r="AN283" s="1">
        <v>10815</v>
      </c>
      <c r="AO283" s="1">
        <v>11120</v>
      </c>
      <c r="AP283" s="1">
        <v>11310</v>
      </c>
      <c r="AQ283" s="1">
        <v>11370</v>
      </c>
      <c r="AR283" s="1">
        <v>11230</v>
      </c>
      <c r="AS283" s="1">
        <v>10815</v>
      </c>
      <c r="AT283" s="1">
        <v>10780</v>
      </c>
      <c r="AU283" s="1">
        <v>10290</v>
      </c>
      <c r="AV283" s="1">
        <v>10055</v>
      </c>
      <c r="AW283" s="1">
        <v>9410</v>
      </c>
      <c r="AX283" s="1">
        <v>9533</v>
      </c>
      <c r="AY283" s="1">
        <v>9309</v>
      </c>
      <c r="AZ283" s="1">
        <v>9677</v>
      </c>
      <c r="BA283" s="1">
        <v>9498</v>
      </c>
      <c r="BB283" s="1">
        <v>9260</v>
      </c>
      <c r="BC283" s="1">
        <v>9119</v>
      </c>
      <c r="BD283" s="1">
        <v>9627.5</v>
      </c>
      <c r="BE283" s="1">
        <v>10037.5</v>
      </c>
      <c r="BF283" s="1">
        <v>10065</v>
      </c>
      <c r="BG283" s="1">
        <v>9845</v>
      </c>
      <c r="BH283" s="1">
        <v>9512.5</v>
      </c>
      <c r="BI283" s="1">
        <v>9970</v>
      </c>
      <c r="BJ283" s="1">
        <v>10040</v>
      </c>
      <c r="BK283" s="1">
        <v>10005</v>
      </c>
      <c r="BL283" s="1">
        <v>9627.5</v>
      </c>
    </row>
    <row r="284" spans="1:64">
      <c r="A284" s="65" t="s">
        <v>585</v>
      </c>
      <c r="B284" s="1" t="str">
        <f>銘柄管理!C284</f>
        <v>データセクション</v>
      </c>
      <c r="C284" s="1">
        <f>_xll.RssMarket("3905","高値")</f>
        <v>5030</v>
      </c>
      <c r="E284" s="1">
        <v>5030</v>
      </c>
      <c r="F284" s="1">
        <v>5240</v>
      </c>
      <c r="G284" s="1">
        <v>5100</v>
      </c>
      <c r="H284" s="1">
        <v>4645</v>
      </c>
      <c r="I284" s="1">
        <v>4715</v>
      </c>
      <c r="J284" s="1">
        <v>4470</v>
      </c>
      <c r="K284" s="1">
        <v>5040</v>
      </c>
      <c r="L284" s="1">
        <v>5740</v>
      </c>
      <c r="M284" s="1">
        <v>5690</v>
      </c>
      <c r="N284" s="1">
        <v>5060</v>
      </c>
      <c r="O284" s="1">
        <v>4865</v>
      </c>
      <c r="P284" s="1">
        <v>6140</v>
      </c>
      <c r="Q284" s="1">
        <v>5140</v>
      </c>
      <c r="R284" s="1">
        <v>4820</v>
      </c>
      <c r="S284" s="1">
        <v>5000</v>
      </c>
      <c r="T284" s="1">
        <v>4800</v>
      </c>
      <c r="U284" s="1">
        <v>4100</v>
      </c>
      <c r="V284" s="1">
        <v>3465</v>
      </c>
      <c r="W284" s="1">
        <v>3345</v>
      </c>
      <c r="X284" s="1">
        <v>2843</v>
      </c>
      <c r="Y284" s="1">
        <v>2465</v>
      </c>
      <c r="Z284" s="1">
        <v>2367</v>
      </c>
      <c r="AA284" s="1">
        <v>2318</v>
      </c>
      <c r="AB284" s="1">
        <v>2498</v>
      </c>
      <c r="AC284" s="1">
        <v>2550</v>
      </c>
      <c r="AD284" s="1">
        <v>2089</v>
      </c>
      <c r="AE284" s="1">
        <v>1689</v>
      </c>
      <c r="AF284" s="1">
        <v>1509</v>
      </c>
      <c r="AG284" s="1">
        <v>1515</v>
      </c>
      <c r="AH284" s="1">
        <v>1503</v>
      </c>
      <c r="AI284" s="1">
        <v>1478</v>
      </c>
      <c r="AJ284" s="1">
        <v>1519</v>
      </c>
      <c r="AK284" s="1">
        <v>1545</v>
      </c>
      <c r="AL284" s="1">
        <v>1590</v>
      </c>
      <c r="AM284" s="1">
        <v>1673</v>
      </c>
      <c r="AN284" s="1">
        <v>1648</v>
      </c>
      <c r="AO284" s="1">
        <v>1619</v>
      </c>
      <c r="AP284" s="1">
        <v>1680</v>
      </c>
      <c r="AQ284" s="1">
        <v>1509</v>
      </c>
      <c r="AR284" s="1">
        <v>1451</v>
      </c>
      <c r="AS284" s="1">
        <v>1369</v>
      </c>
      <c r="AT284" s="1">
        <v>1418</v>
      </c>
      <c r="AU284" s="1">
        <v>1385</v>
      </c>
      <c r="AV284" s="1">
        <v>1400</v>
      </c>
      <c r="AW284" s="1">
        <v>1341</v>
      </c>
      <c r="AX284" s="1">
        <v>1345</v>
      </c>
      <c r="AY284" s="1">
        <v>1383</v>
      </c>
      <c r="AZ284" s="1">
        <v>1394</v>
      </c>
      <c r="BA284" s="1">
        <v>1384</v>
      </c>
      <c r="BB284" s="1">
        <v>1331</v>
      </c>
      <c r="BC284" s="1">
        <v>1339</v>
      </c>
      <c r="BD284" s="1">
        <v>1404</v>
      </c>
      <c r="BE284" s="1">
        <v>1422</v>
      </c>
      <c r="BF284" s="1">
        <v>1449</v>
      </c>
      <c r="BG284" s="1">
        <v>1349</v>
      </c>
      <c r="BH284" s="1">
        <v>1412</v>
      </c>
      <c r="BI284" s="1">
        <v>1517</v>
      </c>
      <c r="BJ284" s="1">
        <v>1579</v>
      </c>
      <c r="BK284" s="1">
        <v>1646</v>
      </c>
      <c r="BL284" s="1">
        <v>1629</v>
      </c>
    </row>
    <row r="285" spans="1:64">
      <c r="A285" s="65" t="s">
        <v>586</v>
      </c>
      <c r="B285" s="1" t="str">
        <f>銘柄管理!C285</f>
        <v>トリドールホールディングス</v>
      </c>
      <c r="C285" s="1">
        <f>_xll.RssMarket("3397","高値")</f>
        <v>3742</v>
      </c>
      <c r="E285" s="1">
        <v>3742</v>
      </c>
      <c r="F285" s="1">
        <v>3754</v>
      </c>
      <c r="G285" s="1">
        <v>3820</v>
      </c>
      <c r="H285" s="1">
        <v>3913</v>
      </c>
      <c r="I285" s="1">
        <v>3923</v>
      </c>
      <c r="J285" s="1">
        <v>3869</v>
      </c>
      <c r="K285" s="1">
        <v>3809</v>
      </c>
      <c r="L285" s="1">
        <v>3755</v>
      </c>
      <c r="M285" s="1">
        <v>3822</v>
      </c>
      <c r="N285" s="1">
        <v>3869</v>
      </c>
      <c r="O285" s="1">
        <v>3853</v>
      </c>
      <c r="P285" s="1">
        <v>3841</v>
      </c>
      <c r="Q285" s="1">
        <v>3790</v>
      </c>
      <c r="R285" s="1">
        <v>3739</v>
      </c>
      <c r="S285" s="1">
        <v>3913</v>
      </c>
      <c r="T285" s="1">
        <v>3858</v>
      </c>
      <c r="U285" s="1">
        <v>3897</v>
      </c>
      <c r="V285" s="1">
        <v>3925</v>
      </c>
      <c r="W285" s="1">
        <v>3864</v>
      </c>
      <c r="X285" s="1">
        <v>3806</v>
      </c>
      <c r="Y285" s="1">
        <v>3965</v>
      </c>
      <c r="Z285" s="1">
        <v>3980</v>
      </c>
      <c r="AA285" s="1">
        <v>4030</v>
      </c>
      <c r="AB285" s="1">
        <v>3950</v>
      </c>
      <c r="AC285" s="1">
        <v>3975</v>
      </c>
      <c r="AD285" s="1">
        <v>4052</v>
      </c>
      <c r="AE285" s="1">
        <v>4014</v>
      </c>
      <c r="AF285" s="1">
        <v>4039</v>
      </c>
      <c r="AG285" s="1">
        <v>4099</v>
      </c>
      <c r="AH285" s="1">
        <v>4108</v>
      </c>
      <c r="AI285" s="1">
        <v>4106</v>
      </c>
      <c r="AJ285" s="1">
        <v>4100</v>
      </c>
      <c r="AK285" s="1">
        <v>4139</v>
      </c>
      <c r="AL285" s="1">
        <v>4169</v>
      </c>
      <c r="AM285" s="1">
        <v>4230</v>
      </c>
      <c r="AN285" s="1">
        <v>4215</v>
      </c>
      <c r="AO285" s="1">
        <v>4212</v>
      </c>
      <c r="AP285" s="1">
        <v>4320</v>
      </c>
      <c r="AQ285" s="1">
        <v>4272</v>
      </c>
      <c r="AR285" s="1">
        <v>4277</v>
      </c>
      <c r="AS285" s="1">
        <v>4330</v>
      </c>
      <c r="AT285" s="1">
        <v>4365</v>
      </c>
      <c r="AU285" s="1">
        <v>4510</v>
      </c>
      <c r="AV285" s="1">
        <v>4540</v>
      </c>
      <c r="AW285" s="1">
        <v>4563</v>
      </c>
      <c r="AX285" s="1">
        <v>4558</v>
      </c>
      <c r="AY285" s="1">
        <v>4560</v>
      </c>
      <c r="AZ285" s="1">
        <v>4553</v>
      </c>
      <c r="BA285" s="1">
        <v>4500</v>
      </c>
      <c r="BB285" s="1">
        <v>4382</v>
      </c>
      <c r="BC285" s="1">
        <v>4332</v>
      </c>
      <c r="BD285" s="1">
        <v>4407</v>
      </c>
      <c r="BE285" s="1">
        <v>4396</v>
      </c>
      <c r="BF285" s="1">
        <v>4411</v>
      </c>
      <c r="BG285" s="1">
        <v>4391</v>
      </c>
      <c r="BH285" s="1">
        <v>4355</v>
      </c>
      <c r="BI285" s="1">
        <v>4347</v>
      </c>
      <c r="BJ285" s="1">
        <v>4345</v>
      </c>
      <c r="BK285" s="1">
        <v>4332</v>
      </c>
      <c r="BL285" s="1">
        <v>4325</v>
      </c>
    </row>
    <row r="286" spans="1:64">
      <c r="A286" s="65" t="s">
        <v>587</v>
      </c>
      <c r="B286" s="1" t="str">
        <f>銘柄管理!C286</f>
        <v>ＳＵＢＡＲＵ</v>
      </c>
      <c r="C286" s="1">
        <f>_xll.RssMarket("7270","高値")</f>
        <v>2601.5</v>
      </c>
      <c r="E286" s="1">
        <v>2601.5</v>
      </c>
      <c r="F286" s="1">
        <v>2564.5</v>
      </c>
      <c r="G286" s="1">
        <v>2585</v>
      </c>
      <c r="H286" s="1">
        <v>2533.5</v>
      </c>
      <c r="I286" s="1">
        <v>2512</v>
      </c>
      <c r="J286" s="1">
        <v>2582</v>
      </c>
      <c r="K286" s="1">
        <v>2535</v>
      </c>
      <c r="L286" s="1">
        <v>2501</v>
      </c>
      <c r="M286" s="1">
        <v>2523.5</v>
      </c>
      <c r="N286" s="1">
        <v>2492</v>
      </c>
      <c r="O286" s="1">
        <v>2448.5</v>
      </c>
      <c r="P286" s="1">
        <v>2488</v>
      </c>
      <c r="Q286" s="1">
        <v>2487.5</v>
      </c>
      <c r="R286" s="1">
        <v>2470</v>
      </c>
      <c r="S286" s="1">
        <v>2497.5</v>
      </c>
      <c r="T286" s="1">
        <v>2489</v>
      </c>
      <c r="U286" s="1">
        <v>2507.5</v>
      </c>
      <c r="V286" s="1">
        <v>2471.5</v>
      </c>
      <c r="W286" s="1">
        <v>2451</v>
      </c>
      <c r="X286" s="1">
        <v>2461.5</v>
      </c>
      <c r="Y286" s="1">
        <v>2717.5</v>
      </c>
      <c r="Z286" s="1">
        <v>2402</v>
      </c>
      <c r="AA286" s="1">
        <v>2348.5</v>
      </c>
      <c r="AB286" s="1">
        <v>2326</v>
      </c>
      <c r="AC286" s="1">
        <v>2389.5</v>
      </c>
      <c r="AD286" s="1">
        <v>2398.5</v>
      </c>
      <c r="AE286" s="1">
        <v>2379.5</v>
      </c>
      <c r="AF286" s="1">
        <v>2381</v>
      </c>
      <c r="AG286" s="1">
        <v>2377.5</v>
      </c>
      <c r="AH286" s="1">
        <v>2490.5</v>
      </c>
      <c r="AI286" s="1">
        <v>2461</v>
      </c>
      <c r="AJ286" s="1">
        <v>2498</v>
      </c>
      <c r="AK286" s="1">
        <v>2522</v>
      </c>
      <c r="AL286" s="1">
        <v>2537.5</v>
      </c>
      <c r="AM286" s="1">
        <v>2571.5</v>
      </c>
      <c r="AN286" s="1">
        <v>2576.5</v>
      </c>
      <c r="AO286" s="1">
        <v>2565.5</v>
      </c>
      <c r="AP286" s="1">
        <v>2578</v>
      </c>
      <c r="AQ286" s="1">
        <v>2538</v>
      </c>
      <c r="AR286" s="1">
        <v>2548</v>
      </c>
      <c r="AS286" s="1">
        <v>2529.5</v>
      </c>
      <c r="AT286" s="1">
        <v>2558</v>
      </c>
      <c r="AU286" s="1">
        <v>2591</v>
      </c>
      <c r="AV286" s="1">
        <v>2609</v>
      </c>
      <c r="AW286" s="1">
        <v>2535.5</v>
      </c>
      <c r="AX286" s="1">
        <v>2551</v>
      </c>
      <c r="AY286" s="1">
        <v>2549.5</v>
      </c>
      <c r="AZ286" s="1">
        <v>2585.5</v>
      </c>
      <c r="BA286" s="1">
        <v>2569</v>
      </c>
      <c r="BB286" s="1">
        <v>2533.5</v>
      </c>
      <c r="BC286" s="1">
        <v>2487.5</v>
      </c>
      <c r="BD286" s="1">
        <v>2633.5</v>
      </c>
      <c r="BE286" s="1">
        <v>2617</v>
      </c>
      <c r="BF286" s="1">
        <v>2631.5</v>
      </c>
      <c r="BG286" s="1">
        <v>2560</v>
      </c>
      <c r="BH286" s="1">
        <v>2513.5</v>
      </c>
      <c r="BI286" s="1">
        <v>2578.5</v>
      </c>
      <c r="BJ286" s="1">
        <v>2615.5</v>
      </c>
      <c r="BK286" s="1">
        <v>2589.5</v>
      </c>
      <c r="BL286" s="1">
        <v>2615</v>
      </c>
    </row>
    <row r="287" spans="1:64">
      <c r="A287" s="65" t="s">
        <v>588</v>
      </c>
      <c r="B287" s="1" t="str">
        <f>銘柄管理!C287</f>
        <v>サン電子</v>
      </c>
      <c r="C287" s="1">
        <f>_xll.RssMarket("6736","高値")</f>
        <v>9250</v>
      </c>
      <c r="E287" s="1">
        <v>9250</v>
      </c>
      <c r="F287" s="1">
        <v>9170</v>
      </c>
      <c r="G287" s="1">
        <v>8890</v>
      </c>
      <c r="H287" s="1">
        <v>9060</v>
      </c>
      <c r="I287" s="1">
        <v>9270</v>
      </c>
      <c r="J287" s="1">
        <v>8730</v>
      </c>
      <c r="K287" s="1">
        <v>8760</v>
      </c>
      <c r="L287" s="1">
        <v>9090</v>
      </c>
      <c r="M287" s="1">
        <v>9250</v>
      </c>
      <c r="N287" s="1">
        <v>9500</v>
      </c>
      <c r="O287" s="1">
        <v>9320</v>
      </c>
      <c r="P287" s="1">
        <v>9240</v>
      </c>
      <c r="Q287" s="1">
        <v>9320</v>
      </c>
      <c r="R287" s="1">
        <v>9340</v>
      </c>
      <c r="S287" s="1">
        <v>9420</v>
      </c>
      <c r="T287" s="1">
        <v>9800</v>
      </c>
      <c r="U287" s="1">
        <v>9030</v>
      </c>
      <c r="V287" s="1">
        <v>9690</v>
      </c>
      <c r="W287" s="1">
        <v>9720</v>
      </c>
      <c r="X287" s="1">
        <v>9120</v>
      </c>
      <c r="Y287" s="1">
        <v>8760</v>
      </c>
      <c r="Z287" s="1">
        <v>8600</v>
      </c>
      <c r="AA287" s="1">
        <v>8920</v>
      </c>
      <c r="AB287" s="1">
        <v>9070</v>
      </c>
      <c r="AC287" s="1">
        <v>8830</v>
      </c>
      <c r="AD287" s="1">
        <v>8630</v>
      </c>
      <c r="AE287" s="1">
        <v>8660</v>
      </c>
      <c r="AF287" s="1">
        <v>8690</v>
      </c>
      <c r="AG287" s="1">
        <v>8340</v>
      </c>
      <c r="AH287" s="1">
        <v>8310</v>
      </c>
      <c r="AI287" s="1">
        <v>8180</v>
      </c>
      <c r="AJ287" s="1">
        <v>8240</v>
      </c>
      <c r="AK287" s="1">
        <v>8360</v>
      </c>
      <c r="AL287" s="1">
        <v>8050</v>
      </c>
      <c r="AM287" s="1">
        <v>8210</v>
      </c>
      <c r="AN287" s="1">
        <v>8440</v>
      </c>
      <c r="AO287" s="1">
        <v>8010</v>
      </c>
      <c r="AP287" s="1">
        <v>7840</v>
      </c>
      <c r="AQ287" s="1">
        <v>8000</v>
      </c>
      <c r="AR287" s="1">
        <v>8220</v>
      </c>
      <c r="AS287" s="1">
        <v>8850</v>
      </c>
      <c r="AT287" s="1">
        <v>9150</v>
      </c>
      <c r="AU287" s="1">
        <v>9320</v>
      </c>
      <c r="AV287" s="1">
        <v>8500</v>
      </c>
      <c r="AW287" s="1">
        <v>8550</v>
      </c>
      <c r="AX287" s="1">
        <v>8510</v>
      </c>
      <c r="AY287" s="1">
        <v>8530</v>
      </c>
      <c r="AZ287" s="1">
        <v>8530</v>
      </c>
      <c r="BA287" s="1">
        <v>8320</v>
      </c>
      <c r="BB287" s="1">
        <v>8290</v>
      </c>
      <c r="BC287" s="1">
        <v>8660</v>
      </c>
      <c r="BD287" s="1">
        <v>8620</v>
      </c>
      <c r="BE287" s="1">
        <v>8160</v>
      </c>
      <c r="BF287" s="1">
        <v>7920</v>
      </c>
      <c r="BG287" s="1">
        <v>7740</v>
      </c>
      <c r="BH287" s="1">
        <v>7820</v>
      </c>
      <c r="BI287" s="1">
        <v>7850</v>
      </c>
      <c r="BJ287" s="1">
        <v>7990</v>
      </c>
      <c r="BK287" s="1">
        <v>8050</v>
      </c>
      <c r="BL287" s="1">
        <v>7800</v>
      </c>
    </row>
    <row r="288" spans="1:64">
      <c r="A288" s="65" t="s">
        <v>589</v>
      </c>
      <c r="B288" s="1" t="str">
        <f>銘柄管理!C288</f>
        <v>紀文食品</v>
      </c>
      <c r="C288" s="1">
        <f>_xll.RssMarket("2933","高値")</f>
        <v>1057</v>
      </c>
      <c r="E288" s="1">
        <v>1057</v>
      </c>
      <c r="F288" s="1">
        <v>1050</v>
      </c>
      <c r="G288" s="1">
        <v>1053</v>
      </c>
      <c r="H288" s="1">
        <v>1054</v>
      </c>
      <c r="I288" s="1">
        <v>1051</v>
      </c>
      <c r="J288" s="1">
        <v>1048</v>
      </c>
      <c r="K288" s="1">
        <v>1041</v>
      </c>
      <c r="L288" s="1">
        <v>1029</v>
      </c>
      <c r="M288" s="1">
        <v>1028</v>
      </c>
      <c r="N288" s="1">
        <v>1027</v>
      </c>
      <c r="O288" s="1">
        <v>1049</v>
      </c>
      <c r="P288" s="1">
        <v>1047</v>
      </c>
      <c r="Q288" s="1">
        <v>1038</v>
      </c>
      <c r="R288" s="1">
        <v>1043</v>
      </c>
      <c r="S288" s="1">
        <v>1046</v>
      </c>
      <c r="T288" s="1">
        <v>1048</v>
      </c>
      <c r="U288" s="1">
        <v>1050</v>
      </c>
      <c r="V288" s="1">
        <v>1048</v>
      </c>
      <c r="W288" s="1">
        <v>1059</v>
      </c>
      <c r="X288" s="1">
        <v>1042</v>
      </c>
      <c r="Y288" s="1">
        <v>1033</v>
      </c>
      <c r="Z288" s="1">
        <v>1037</v>
      </c>
      <c r="AA288" s="1">
        <v>1033</v>
      </c>
      <c r="AB288" s="1">
        <v>1029</v>
      </c>
      <c r="AC288" s="1">
        <v>1034</v>
      </c>
      <c r="AD288" s="1">
        <v>1039</v>
      </c>
      <c r="AE288" s="1">
        <v>1041</v>
      </c>
      <c r="AF288" s="1">
        <v>1032</v>
      </c>
      <c r="AG288" s="1">
        <v>1028</v>
      </c>
      <c r="AH288" s="1">
        <v>1033</v>
      </c>
      <c r="AI288" s="1">
        <v>1044</v>
      </c>
      <c r="AJ288" s="1">
        <v>1041</v>
      </c>
      <c r="AK288" s="1">
        <v>1052</v>
      </c>
      <c r="AL288" s="1">
        <v>1065</v>
      </c>
      <c r="AM288" s="1">
        <v>1066</v>
      </c>
      <c r="AN288" s="1">
        <v>1064</v>
      </c>
      <c r="AO288" s="1">
        <v>1062</v>
      </c>
      <c r="AP288" s="1">
        <v>1058</v>
      </c>
      <c r="AQ288" s="1">
        <v>1059</v>
      </c>
      <c r="AR288" s="1">
        <v>1064</v>
      </c>
      <c r="AS288" s="1">
        <v>1064</v>
      </c>
      <c r="AT288" s="1">
        <v>1069</v>
      </c>
      <c r="AU288" s="1">
        <v>1073</v>
      </c>
      <c r="AV288" s="1">
        <v>1069</v>
      </c>
      <c r="AW288" s="1">
        <v>1063</v>
      </c>
      <c r="AX288" s="1">
        <v>1059</v>
      </c>
      <c r="AY288" s="1">
        <v>1059</v>
      </c>
      <c r="AZ288" s="1">
        <v>1056</v>
      </c>
      <c r="BA288" s="1">
        <v>1048</v>
      </c>
      <c r="BB288" s="1">
        <v>1040</v>
      </c>
      <c r="BC288" s="1">
        <v>1063</v>
      </c>
      <c r="BD288" s="1">
        <v>1057</v>
      </c>
      <c r="BE288" s="1">
        <v>1053</v>
      </c>
      <c r="BF288" s="1">
        <v>1044</v>
      </c>
      <c r="BG288" s="1">
        <v>1038</v>
      </c>
      <c r="BH288" s="1">
        <v>1047</v>
      </c>
      <c r="BI288" s="1">
        <v>1053</v>
      </c>
      <c r="BJ288" s="1">
        <v>1049</v>
      </c>
      <c r="BK288" s="1">
        <v>1041</v>
      </c>
      <c r="BL288" s="1">
        <v>1039</v>
      </c>
    </row>
    <row r="289" spans="1:64">
      <c r="A289" s="65" t="s">
        <v>590</v>
      </c>
      <c r="B289" s="1" t="str">
        <f>銘柄管理!C289</f>
        <v>関東電化</v>
      </c>
      <c r="C289" s="1">
        <f>_xll.RssMarket("4047","高値")</f>
        <v>3965</v>
      </c>
      <c r="E289" s="1">
        <v>3965</v>
      </c>
      <c r="F289" s="1">
        <v>3870</v>
      </c>
      <c r="G289" s="1">
        <v>4170</v>
      </c>
      <c r="H289" s="1">
        <v>4270</v>
      </c>
      <c r="I289" s="1">
        <v>4025</v>
      </c>
      <c r="J289" s="1">
        <v>4165</v>
      </c>
      <c r="K289" s="1">
        <v>3985</v>
      </c>
      <c r="L289" s="1">
        <v>4400</v>
      </c>
      <c r="M289" s="1">
        <v>4405</v>
      </c>
      <c r="N289" s="1">
        <v>3860</v>
      </c>
      <c r="O289" s="1">
        <v>3565</v>
      </c>
      <c r="P289" s="1">
        <v>3775</v>
      </c>
      <c r="Q289" s="1">
        <v>3485</v>
      </c>
      <c r="R289" s="1">
        <v>3550</v>
      </c>
      <c r="S289" s="1">
        <v>3490</v>
      </c>
      <c r="T289" s="1">
        <v>3125</v>
      </c>
      <c r="U289" s="1">
        <v>2970</v>
      </c>
      <c r="V289" s="1">
        <v>2775</v>
      </c>
      <c r="W289" s="1">
        <v>2940</v>
      </c>
      <c r="X289" s="1">
        <v>2550</v>
      </c>
      <c r="Y289" s="1">
        <v>2148</v>
      </c>
      <c r="Z289" s="1">
        <v>2187</v>
      </c>
      <c r="AA289" s="1">
        <v>2120</v>
      </c>
      <c r="AB289" s="1">
        <v>2029</v>
      </c>
      <c r="AC289" s="1">
        <v>1914</v>
      </c>
      <c r="AD289" s="1">
        <v>1864</v>
      </c>
      <c r="AE289" s="1">
        <v>1860</v>
      </c>
      <c r="AF289" s="1">
        <v>1719</v>
      </c>
      <c r="AG289" s="1">
        <v>1694</v>
      </c>
      <c r="AH289" s="1">
        <v>1700</v>
      </c>
      <c r="AI289" s="1">
        <v>1679</v>
      </c>
      <c r="AJ289" s="1">
        <v>1660</v>
      </c>
      <c r="AK289" s="1">
        <v>1661</v>
      </c>
      <c r="AL289" s="1">
        <v>1671</v>
      </c>
      <c r="AM289" s="1">
        <v>1681</v>
      </c>
      <c r="AN289" s="1">
        <v>1654</v>
      </c>
      <c r="AO289" s="1">
        <v>1665</v>
      </c>
      <c r="AP289" s="1">
        <v>1687</v>
      </c>
      <c r="AQ289" s="1">
        <v>1764</v>
      </c>
      <c r="AR289" s="1">
        <v>1709</v>
      </c>
      <c r="AS289" s="1">
        <v>1653</v>
      </c>
      <c r="AT289" s="1">
        <v>1635</v>
      </c>
      <c r="AU289" s="1">
        <v>1607</v>
      </c>
      <c r="AV289" s="1">
        <v>1615</v>
      </c>
      <c r="AW289" s="1">
        <v>1442</v>
      </c>
      <c r="AX289" s="1">
        <v>1404</v>
      </c>
      <c r="AY289" s="1">
        <v>1388</v>
      </c>
      <c r="AZ289" s="1">
        <v>1429</v>
      </c>
      <c r="BA289" s="1">
        <v>1428</v>
      </c>
      <c r="BB289" s="1">
        <v>1402</v>
      </c>
      <c r="BC289" s="1">
        <v>1419</v>
      </c>
      <c r="BD289" s="1">
        <v>1508</v>
      </c>
      <c r="BE289" s="1">
        <v>1540</v>
      </c>
      <c r="BF289" s="1">
        <v>1495</v>
      </c>
      <c r="BG289" s="1">
        <v>1421</v>
      </c>
      <c r="BH289" s="1">
        <v>1402</v>
      </c>
      <c r="BI289" s="1">
        <v>1508</v>
      </c>
      <c r="BJ289" s="1">
        <v>1572</v>
      </c>
      <c r="BK289" s="1">
        <v>1589</v>
      </c>
      <c r="BL289" s="1">
        <v>1575</v>
      </c>
    </row>
    <row r="290" spans="1:64">
      <c r="A290" s="65" t="s">
        <v>591</v>
      </c>
      <c r="B290" s="1" t="str">
        <f>銘柄管理!C290</f>
        <v>ＹＵＳＨＩＮ</v>
      </c>
      <c r="C290" s="1">
        <f>_xll.RssMarket("6482","高値")</f>
        <v>780</v>
      </c>
      <c r="E290" s="1">
        <v>780</v>
      </c>
      <c r="F290" s="1">
        <v>713</v>
      </c>
      <c r="G290" s="1">
        <v>704</v>
      </c>
      <c r="H290" s="1">
        <v>684</v>
      </c>
      <c r="I290" s="1">
        <v>675</v>
      </c>
      <c r="J290" s="1">
        <v>689</v>
      </c>
      <c r="K290" s="1">
        <v>667</v>
      </c>
      <c r="L290" s="1">
        <v>673</v>
      </c>
      <c r="M290" s="1">
        <v>671</v>
      </c>
      <c r="N290" s="1">
        <v>662</v>
      </c>
      <c r="O290" s="1">
        <v>658</v>
      </c>
      <c r="P290" s="1">
        <v>678</v>
      </c>
      <c r="Q290" s="1">
        <v>681</v>
      </c>
      <c r="R290" s="1">
        <v>678</v>
      </c>
      <c r="S290" s="1">
        <v>722</v>
      </c>
      <c r="T290" s="1">
        <v>721</v>
      </c>
      <c r="U290" s="1">
        <v>714</v>
      </c>
      <c r="V290" s="1">
        <v>712</v>
      </c>
      <c r="W290" s="1">
        <v>736</v>
      </c>
      <c r="X290" s="1">
        <v>746</v>
      </c>
      <c r="Y290" s="1">
        <v>755</v>
      </c>
      <c r="Z290" s="1">
        <v>756</v>
      </c>
      <c r="AA290" s="1">
        <v>735</v>
      </c>
      <c r="AB290" s="1">
        <v>744</v>
      </c>
      <c r="AC290" s="1">
        <v>703</v>
      </c>
      <c r="AD290" s="1">
        <v>686</v>
      </c>
      <c r="AE290" s="1">
        <v>695</v>
      </c>
      <c r="AF290" s="1">
        <v>681</v>
      </c>
      <c r="AG290" s="1">
        <v>669</v>
      </c>
      <c r="AH290" s="1">
        <v>669</v>
      </c>
      <c r="AI290" s="1">
        <v>663</v>
      </c>
      <c r="AJ290" s="1">
        <v>672</v>
      </c>
      <c r="AK290" s="1">
        <v>671</v>
      </c>
      <c r="AL290" s="1">
        <v>680</v>
      </c>
      <c r="AM290" s="1">
        <v>685</v>
      </c>
      <c r="AN290" s="1">
        <v>680</v>
      </c>
      <c r="AO290" s="1">
        <v>678</v>
      </c>
      <c r="AP290" s="1">
        <v>685</v>
      </c>
      <c r="AQ290" s="1">
        <v>689</v>
      </c>
      <c r="AR290" s="1">
        <v>686</v>
      </c>
      <c r="AS290" s="1">
        <v>686</v>
      </c>
      <c r="AT290" s="1">
        <v>688</v>
      </c>
      <c r="AU290" s="1">
        <v>698</v>
      </c>
      <c r="AV290" s="1">
        <v>700</v>
      </c>
      <c r="AW290" s="1">
        <v>692</v>
      </c>
      <c r="AX290" s="1">
        <v>680</v>
      </c>
      <c r="AY290" s="1">
        <v>675</v>
      </c>
      <c r="AZ290" s="1">
        <v>681</v>
      </c>
      <c r="BA290" s="1">
        <v>679</v>
      </c>
      <c r="BB290" s="1">
        <v>670</v>
      </c>
      <c r="BC290" s="1">
        <v>672</v>
      </c>
      <c r="BD290" s="1">
        <v>692</v>
      </c>
      <c r="BE290" s="1">
        <v>701</v>
      </c>
      <c r="BF290" s="1">
        <v>696</v>
      </c>
      <c r="BG290" s="1">
        <v>687</v>
      </c>
      <c r="BH290" s="1">
        <v>682</v>
      </c>
      <c r="BI290" s="1">
        <v>708</v>
      </c>
      <c r="BJ290" s="1">
        <v>726</v>
      </c>
      <c r="BK290" s="1">
        <v>720</v>
      </c>
      <c r="BL290" s="1">
        <v>712</v>
      </c>
    </row>
    <row r="291" spans="1:64">
      <c r="A291" s="65" t="s">
        <v>592</v>
      </c>
      <c r="B291" s="1" t="str">
        <f>銘柄管理!C291</f>
        <v>電気興業</v>
      </c>
      <c r="C291" s="1">
        <f>_xll.RssMarket("6706","高値")</f>
        <v>3240</v>
      </c>
      <c r="E291" s="1">
        <v>3240</v>
      </c>
      <c r="F291" s="1">
        <v>3275</v>
      </c>
      <c r="G291" s="1">
        <v>3300</v>
      </c>
      <c r="H291" s="1">
        <v>3245</v>
      </c>
      <c r="I291" s="1">
        <v>3290</v>
      </c>
      <c r="J291" s="1">
        <v>3385</v>
      </c>
      <c r="K291" s="1">
        <v>3435</v>
      </c>
      <c r="L291" s="1">
        <v>3505</v>
      </c>
      <c r="M291" s="1">
        <v>3500</v>
      </c>
      <c r="N291" s="1">
        <v>3545</v>
      </c>
      <c r="O291" s="1">
        <v>3515</v>
      </c>
      <c r="P291" s="1">
        <v>3580</v>
      </c>
      <c r="Q291" s="1">
        <v>3520</v>
      </c>
      <c r="R291" s="1">
        <v>3510</v>
      </c>
      <c r="S291" s="1">
        <v>3535</v>
      </c>
      <c r="T291" s="1">
        <v>3440</v>
      </c>
      <c r="U291" s="1">
        <v>3485</v>
      </c>
      <c r="V291" s="1">
        <v>3430</v>
      </c>
      <c r="W291" s="1">
        <v>3490</v>
      </c>
      <c r="X291" s="1">
        <v>3545</v>
      </c>
      <c r="Y291" s="1">
        <v>3500</v>
      </c>
      <c r="Z291" s="1">
        <v>3515</v>
      </c>
      <c r="AA291" s="1">
        <v>3515</v>
      </c>
      <c r="AB291" s="1">
        <v>3565</v>
      </c>
      <c r="AC291" s="1">
        <v>3455</v>
      </c>
      <c r="AD291" s="1">
        <v>3435</v>
      </c>
      <c r="AE291" s="1">
        <v>3500</v>
      </c>
      <c r="AF291" s="1">
        <v>3360</v>
      </c>
      <c r="AG291" s="1">
        <v>3335</v>
      </c>
      <c r="AH291" s="1">
        <v>3345</v>
      </c>
      <c r="AI291" s="1">
        <v>3325</v>
      </c>
      <c r="AJ291" s="1">
        <v>3340</v>
      </c>
      <c r="AK291" s="1">
        <v>3330</v>
      </c>
      <c r="AL291" s="1">
        <v>3320</v>
      </c>
      <c r="AM291" s="1">
        <v>3335</v>
      </c>
      <c r="AN291" s="1">
        <v>3340</v>
      </c>
      <c r="AO291" s="1">
        <v>3330</v>
      </c>
      <c r="AP291" s="1">
        <v>3305</v>
      </c>
      <c r="AQ291" s="1">
        <v>3335</v>
      </c>
      <c r="AR291" s="1">
        <v>3250</v>
      </c>
      <c r="AS291" s="1">
        <v>3175</v>
      </c>
      <c r="AT291" s="1">
        <v>3115</v>
      </c>
      <c r="AU291" s="1">
        <v>3155</v>
      </c>
      <c r="AV291" s="1">
        <v>3190</v>
      </c>
      <c r="AW291" s="1">
        <v>3095</v>
      </c>
      <c r="AX291" s="1">
        <v>3120</v>
      </c>
      <c r="AY291" s="1">
        <v>3095</v>
      </c>
      <c r="AZ291" s="1">
        <v>3110</v>
      </c>
      <c r="BA291" s="1">
        <v>3090</v>
      </c>
      <c r="BB291" s="1">
        <v>3055</v>
      </c>
      <c r="BC291" s="1">
        <v>3050</v>
      </c>
      <c r="BD291" s="1">
        <v>3100</v>
      </c>
      <c r="BE291" s="1">
        <v>3120</v>
      </c>
      <c r="BF291" s="1">
        <v>3135</v>
      </c>
      <c r="BG291" s="1">
        <v>3100</v>
      </c>
      <c r="BH291" s="1">
        <v>3080</v>
      </c>
      <c r="BI291" s="1">
        <v>3225</v>
      </c>
      <c r="BJ291" s="1">
        <v>3230</v>
      </c>
      <c r="BK291" s="1">
        <v>3260</v>
      </c>
      <c r="BL291" s="1">
        <v>3275</v>
      </c>
    </row>
    <row r="292" spans="1:64">
      <c r="A292" s="65" t="s">
        <v>593</v>
      </c>
      <c r="B292" s="1" t="str">
        <f>銘柄管理!C292</f>
        <v>新光商事</v>
      </c>
      <c r="C292" s="1">
        <f>_xll.RssMarket("8141","高値")</f>
        <v>1584</v>
      </c>
      <c r="E292" s="1">
        <v>1584</v>
      </c>
      <c r="F292" s="1">
        <v>1581</v>
      </c>
      <c r="G292" s="1">
        <v>1582</v>
      </c>
      <c r="H292" s="1">
        <v>1584</v>
      </c>
      <c r="I292" s="1">
        <v>1582</v>
      </c>
      <c r="J292" s="1">
        <v>1584</v>
      </c>
      <c r="K292" s="1">
        <v>1585</v>
      </c>
      <c r="L292" s="1">
        <v>1588</v>
      </c>
      <c r="M292" s="1">
        <v>1590</v>
      </c>
      <c r="N292" s="1">
        <v>1580</v>
      </c>
      <c r="O292" s="1">
        <v>1579</v>
      </c>
      <c r="P292" s="1">
        <v>1584</v>
      </c>
      <c r="Q292" s="1">
        <v>1601</v>
      </c>
      <c r="R292" s="1">
        <v>1606</v>
      </c>
      <c r="S292" s="1">
        <v>1616</v>
      </c>
      <c r="T292" s="1">
        <v>1617</v>
      </c>
      <c r="U292" s="1">
        <v>1613</v>
      </c>
      <c r="V292" s="1">
        <v>1620</v>
      </c>
      <c r="W292" s="1">
        <v>1642</v>
      </c>
      <c r="X292" s="1">
        <v>1565</v>
      </c>
      <c r="Y292" s="1">
        <v>1606</v>
      </c>
      <c r="Z292" s="1">
        <v>1638</v>
      </c>
      <c r="AA292" s="1">
        <v>1717</v>
      </c>
      <c r="AB292" s="1">
        <v>1772</v>
      </c>
      <c r="AC292" s="1">
        <v>1719</v>
      </c>
      <c r="AD292" s="1">
        <v>1772</v>
      </c>
      <c r="AE292" s="1">
        <v>1671</v>
      </c>
      <c r="AF292" s="1">
        <v>1662</v>
      </c>
      <c r="AG292" s="1">
        <v>1601</v>
      </c>
      <c r="AH292" s="1">
        <v>1554</v>
      </c>
      <c r="AI292" s="1">
        <v>1565</v>
      </c>
      <c r="AJ292" s="1">
        <v>1599</v>
      </c>
      <c r="AK292" s="1">
        <v>1584</v>
      </c>
      <c r="AL292" s="1">
        <v>1583</v>
      </c>
      <c r="AM292" s="1">
        <v>1570</v>
      </c>
      <c r="AN292" s="1">
        <v>1497</v>
      </c>
      <c r="AO292" s="1">
        <v>1491</v>
      </c>
      <c r="AP292" s="1">
        <v>1434</v>
      </c>
      <c r="AQ292" s="1">
        <v>1470</v>
      </c>
      <c r="AR292" s="1">
        <v>1483</v>
      </c>
      <c r="AS292" s="1">
        <v>1421</v>
      </c>
      <c r="AT292" s="1">
        <v>1407</v>
      </c>
      <c r="AU292" s="1">
        <v>1395</v>
      </c>
      <c r="AV292" s="1">
        <v>1366</v>
      </c>
      <c r="AW292" s="1">
        <v>1318</v>
      </c>
      <c r="AX292" s="1">
        <v>1318</v>
      </c>
      <c r="AY292" s="1">
        <v>1293</v>
      </c>
      <c r="AZ292" s="1">
        <v>1295</v>
      </c>
      <c r="BA292" s="1">
        <v>1310</v>
      </c>
      <c r="BB292" s="1">
        <v>1256</v>
      </c>
      <c r="BC292" s="1">
        <v>1248</v>
      </c>
      <c r="BD292" s="1">
        <v>1221</v>
      </c>
      <c r="BE292" s="1">
        <v>1274</v>
      </c>
      <c r="BF292" s="1">
        <v>1107</v>
      </c>
      <c r="BG292" s="1">
        <v>1091</v>
      </c>
      <c r="BH292" s="1">
        <v>1107</v>
      </c>
      <c r="BI292" s="1">
        <v>1110</v>
      </c>
      <c r="BJ292" s="1">
        <v>1107</v>
      </c>
      <c r="BK292" s="1">
        <v>1106</v>
      </c>
      <c r="BL292" s="1">
        <v>1090</v>
      </c>
    </row>
    <row r="293" spans="1:64">
      <c r="A293" s="65" t="s">
        <v>594</v>
      </c>
      <c r="B293" s="1" t="str">
        <f>銘柄管理!C293</f>
        <v>山形銀行</v>
      </c>
      <c r="C293" s="1">
        <f>_xll.RssMarket("8344","高値")</f>
        <v>3660</v>
      </c>
      <c r="E293" s="1">
        <v>3660</v>
      </c>
      <c r="F293" s="1">
        <v>3580</v>
      </c>
      <c r="G293" s="1">
        <v>3600</v>
      </c>
      <c r="H293" s="1">
        <v>3540</v>
      </c>
      <c r="I293" s="1">
        <v>3445</v>
      </c>
      <c r="J293" s="1">
        <v>3430</v>
      </c>
      <c r="K293" s="1">
        <v>3075</v>
      </c>
      <c r="L293" s="1">
        <v>3105</v>
      </c>
      <c r="M293" s="1">
        <v>3080</v>
      </c>
      <c r="N293" s="1">
        <v>3065</v>
      </c>
      <c r="O293" s="1">
        <v>3060</v>
      </c>
      <c r="P293" s="1">
        <v>3175</v>
      </c>
      <c r="Q293" s="1">
        <v>3115</v>
      </c>
      <c r="R293" s="1">
        <v>3105</v>
      </c>
      <c r="S293" s="1">
        <v>3025</v>
      </c>
      <c r="T293" s="1">
        <v>3165</v>
      </c>
      <c r="U293" s="1">
        <v>3150</v>
      </c>
      <c r="V293" s="1">
        <v>3010</v>
      </c>
      <c r="W293" s="1">
        <v>2980</v>
      </c>
      <c r="X293" s="1">
        <v>2891</v>
      </c>
      <c r="Y293" s="1">
        <v>2678</v>
      </c>
      <c r="Z293" s="1">
        <v>2637</v>
      </c>
      <c r="AA293" s="1">
        <v>2616</v>
      </c>
      <c r="AB293" s="1">
        <v>2586</v>
      </c>
      <c r="AC293" s="1">
        <v>2552</v>
      </c>
      <c r="AD293" s="1">
        <v>2570</v>
      </c>
      <c r="AE293" s="1">
        <v>2627</v>
      </c>
      <c r="AF293" s="1">
        <v>2545</v>
      </c>
      <c r="AG293" s="1">
        <v>2545</v>
      </c>
      <c r="AH293" s="1">
        <v>2563</v>
      </c>
      <c r="AI293" s="1">
        <v>2413</v>
      </c>
      <c r="AJ293" s="1">
        <v>2482</v>
      </c>
      <c r="AK293" s="1">
        <v>2521</v>
      </c>
      <c r="AL293" s="1">
        <v>2630</v>
      </c>
      <c r="AM293" s="1">
        <v>2736</v>
      </c>
      <c r="AN293" s="1">
        <v>2799</v>
      </c>
      <c r="AO293" s="1">
        <v>2807</v>
      </c>
      <c r="AP293" s="1">
        <v>2797</v>
      </c>
      <c r="AQ293" s="1">
        <v>2780</v>
      </c>
      <c r="AR293" s="1">
        <v>2706</v>
      </c>
      <c r="AS293" s="1">
        <v>2702</v>
      </c>
      <c r="AT293" s="1">
        <v>2729</v>
      </c>
      <c r="AU293" s="1">
        <v>2704</v>
      </c>
      <c r="AV293" s="1">
        <v>2692</v>
      </c>
      <c r="AW293" s="1">
        <v>2611</v>
      </c>
      <c r="AX293" s="1">
        <v>2565</v>
      </c>
      <c r="AY293" s="1">
        <v>2550</v>
      </c>
      <c r="AZ293" s="1">
        <v>2583</v>
      </c>
      <c r="BA293" s="1">
        <v>2525</v>
      </c>
      <c r="BB293" s="1">
        <v>2425</v>
      </c>
      <c r="BC293" s="1">
        <v>2423</v>
      </c>
      <c r="BD293" s="1">
        <v>2517</v>
      </c>
      <c r="BE293" s="1">
        <v>2521</v>
      </c>
      <c r="BF293" s="1">
        <v>2518</v>
      </c>
      <c r="BG293" s="1">
        <v>2408</v>
      </c>
      <c r="BH293" s="1">
        <v>2310</v>
      </c>
      <c r="BI293" s="1">
        <v>2436</v>
      </c>
      <c r="BJ293" s="1">
        <v>2471</v>
      </c>
      <c r="BK293" s="1">
        <v>2460</v>
      </c>
      <c r="BL293" s="1">
        <v>2405</v>
      </c>
    </row>
    <row r="294" spans="1:64">
      <c r="A294" s="65" t="s">
        <v>595</v>
      </c>
      <c r="B294" s="1" t="str">
        <f>銘柄管理!C294</f>
        <v>小野建</v>
      </c>
      <c r="C294" s="1">
        <f>_xll.RssMarket("7414","高値")</f>
        <v>1344</v>
      </c>
      <c r="E294" s="1">
        <v>1344</v>
      </c>
      <c r="F294" s="1">
        <v>1329</v>
      </c>
      <c r="G294" s="1">
        <v>1332</v>
      </c>
      <c r="H294" s="1">
        <v>1323</v>
      </c>
      <c r="I294" s="1">
        <v>1315</v>
      </c>
      <c r="J294" s="1">
        <v>1311</v>
      </c>
      <c r="K294" s="1">
        <v>1325</v>
      </c>
      <c r="L294" s="1">
        <v>1333</v>
      </c>
      <c r="M294" s="1">
        <v>1315</v>
      </c>
      <c r="N294" s="1">
        <v>1317</v>
      </c>
      <c r="O294" s="1">
        <v>1312</v>
      </c>
      <c r="P294" s="1">
        <v>1360</v>
      </c>
      <c r="Q294" s="1">
        <v>1346</v>
      </c>
      <c r="R294" s="1">
        <v>1343</v>
      </c>
      <c r="S294" s="1">
        <v>1329</v>
      </c>
      <c r="T294" s="1">
        <v>1331</v>
      </c>
      <c r="U294" s="1">
        <v>1339</v>
      </c>
      <c r="V294" s="1">
        <v>1349</v>
      </c>
      <c r="W294" s="1">
        <v>1351</v>
      </c>
      <c r="X294" s="1">
        <v>1379</v>
      </c>
      <c r="Y294" s="1">
        <v>1463</v>
      </c>
      <c r="Z294" s="1">
        <v>1446</v>
      </c>
      <c r="AA294" s="1">
        <v>1448</v>
      </c>
      <c r="AB294" s="1">
        <v>1455</v>
      </c>
      <c r="AC294" s="1">
        <v>1437</v>
      </c>
      <c r="AD294" s="1">
        <v>1447</v>
      </c>
      <c r="AE294" s="1">
        <v>1448</v>
      </c>
      <c r="AF294" s="1">
        <v>1415</v>
      </c>
      <c r="AG294" s="1">
        <v>1396</v>
      </c>
      <c r="AH294" s="1">
        <v>1402</v>
      </c>
      <c r="AI294" s="1">
        <v>1388</v>
      </c>
      <c r="AJ294" s="1">
        <v>1390</v>
      </c>
      <c r="AK294" s="1">
        <v>1385</v>
      </c>
      <c r="AL294" s="1">
        <v>1399</v>
      </c>
      <c r="AM294" s="1">
        <v>1413</v>
      </c>
      <c r="AN294" s="1">
        <v>1410</v>
      </c>
      <c r="AO294" s="1">
        <v>1407</v>
      </c>
      <c r="AP294" s="1">
        <v>1419</v>
      </c>
      <c r="AQ294" s="1">
        <v>1425</v>
      </c>
      <c r="AR294" s="1">
        <v>1418</v>
      </c>
      <c r="AS294" s="1">
        <v>1423</v>
      </c>
      <c r="AT294" s="1">
        <v>1432</v>
      </c>
      <c r="AU294" s="1">
        <v>1437</v>
      </c>
      <c r="AV294" s="1">
        <v>1438</v>
      </c>
      <c r="AW294" s="1">
        <v>1430</v>
      </c>
      <c r="AX294" s="1">
        <v>1402</v>
      </c>
      <c r="AY294" s="1">
        <v>1404</v>
      </c>
      <c r="AZ294" s="1">
        <v>1419</v>
      </c>
      <c r="BA294" s="1">
        <v>1409</v>
      </c>
      <c r="BB294" s="1">
        <v>1403</v>
      </c>
      <c r="BC294" s="1">
        <v>1393</v>
      </c>
      <c r="BD294" s="1">
        <v>1442</v>
      </c>
      <c r="BE294" s="1">
        <v>1447</v>
      </c>
      <c r="BF294" s="1">
        <v>1445</v>
      </c>
      <c r="BG294" s="1">
        <v>1422</v>
      </c>
      <c r="BH294" s="1">
        <v>1408</v>
      </c>
      <c r="BI294" s="1">
        <v>1441</v>
      </c>
      <c r="BJ294" s="1">
        <v>1446</v>
      </c>
      <c r="BK294" s="1">
        <v>1435</v>
      </c>
      <c r="BL294" s="1">
        <v>1423</v>
      </c>
    </row>
    <row r="295" spans="1:64">
      <c r="A295" s="65" t="s">
        <v>596</v>
      </c>
      <c r="B295" s="1" t="str">
        <f>銘柄管理!C295</f>
        <v>ＣＫＤ</v>
      </c>
      <c r="C295" s="1">
        <f>_xll.RssMarket("6407","高値")</f>
        <v>7540</v>
      </c>
      <c r="E295" s="1">
        <v>7540</v>
      </c>
      <c r="F295" s="1">
        <v>7560</v>
      </c>
      <c r="G295" s="1">
        <v>7450</v>
      </c>
      <c r="H295" s="1">
        <v>6910</v>
      </c>
      <c r="I295" s="1">
        <v>6200</v>
      </c>
      <c r="J295" s="1">
        <v>6320</v>
      </c>
      <c r="K295" s="1">
        <v>5990</v>
      </c>
      <c r="L295" s="1">
        <v>6370</v>
      </c>
      <c r="M295" s="1">
        <v>6540</v>
      </c>
      <c r="N295" s="1">
        <v>6630</v>
      </c>
      <c r="O295" s="1">
        <v>6420</v>
      </c>
      <c r="P295" s="1">
        <v>6760</v>
      </c>
      <c r="Q295" s="1">
        <v>6800</v>
      </c>
      <c r="R295" s="1">
        <v>7100</v>
      </c>
      <c r="S295" s="1">
        <v>7240</v>
      </c>
      <c r="T295" s="1">
        <v>7340</v>
      </c>
      <c r="U295" s="1">
        <v>6420</v>
      </c>
      <c r="V295" s="1">
        <v>6100</v>
      </c>
      <c r="W295" s="1">
        <v>6200</v>
      </c>
      <c r="X295" s="1">
        <v>6600</v>
      </c>
      <c r="Y295" s="1">
        <v>7470</v>
      </c>
      <c r="Z295" s="1">
        <v>7170</v>
      </c>
      <c r="AA295" s="1">
        <v>6960</v>
      </c>
      <c r="AB295" s="1">
        <v>7170</v>
      </c>
      <c r="AC295" s="1">
        <v>6820</v>
      </c>
      <c r="AD295" s="1">
        <v>6650</v>
      </c>
      <c r="AE295" s="1">
        <v>6950</v>
      </c>
      <c r="AF295" s="1">
        <v>6100</v>
      </c>
      <c r="AG295" s="1">
        <v>6110</v>
      </c>
      <c r="AH295" s="1">
        <v>5870</v>
      </c>
      <c r="AI295" s="1">
        <v>5900</v>
      </c>
      <c r="AJ295" s="1">
        <v>5580</v>
      </c>
      <c r="AK295" s="1">
        <v>5810</v>
      </c>
      <c r="AL295" s="1">
        <v>5810</v>
      </c>
      <c r="AM295" s="1">
        <v>5690</v>
      </c>
      <c r="AN295" s="1">
        <v>5760</v>
      </c>
      <c r="AO295" s="1">
        <v>5700</v>
      </c>
      <c r="AP295" s="1">
        <v>5790</v>
      </c>
      <c r="AQ295" s="1">
        <v>5860</v>
      </c>
      <c r="AR295" s="1">
        <v>5870</v>
      </c>
      <c r="AS295" s="1">
        <v>6010</v>
      </c>
      <c r="AT295" s="1">
        <v>5620</v>
      </c>
      <c r="AU295" s="1">
        <v>5210</v>
      </c>
      <c r="AV295" s="1">
        <v>5210</v>
      </c>
      <c r="AW295" s="1">
        <v>4960</v>
      </c>
      <c r="AX295" s="1">
        <v>5010</v>
      </c>
      <c r="AY295" s="1">
        <v>4920</v>
      </c>
      <c r="AZ295" s="1">
        <v>4890</v>
      </c>
      <c r="BA295" s="1">
        <v>4750</v>
      </c>
      <c r="BB295" s="1">
        <v>4400</v>
      </c>
      <c r="BC295" s="1">
        <v>4310</v>
      </c>
      <c r="BD295" s="1">
        <v>4390</v>
      </c>
      <c r="BE295" s="1">
        <v>4695</v>
      </c>
      <c r="BF295" s="1">
        <v>4890</v>
      </c>
      <c r="BG295" s="1">
        <v>4415</v>
      </c>
      <c r="BH295" s="1">
        <v>4235</v>
      </c>
      <c r="BI295" s="1">
        <v>4570</v>
      </c>
      <c r="BJ295" s="1">
        <v>4780</v>
      </c>
      <c r="BK295" s="1">
        <v>4590</v>
      </c>
      <c r="BL295" s="1">
        <v>4475</v>
      </c>
    </row>
    <row r="296" spans="1:64">
      <c r="A296" s="65" t="s">
        <v>597</v>
      </c>
      <c r="B296" s="1" t="str">
        <f>銘柄管理!C296</f>
        <v>ベルトラ</v>
      </c>
      <c r="C296" s="1">
        <f>_xll.RssMarket("7048","高値")</f>
        <v>133</v>
      </c>
      <c r="E296" s="1">
        <v>133</v>
      </c>
      <c r="F296" s="1">
        <v>129</v>
      </c>
      <c r="G296" s="1">
        <v>163</v>
      </c>
      <c r="H296" s="1">
        <v>119</v>
      </c>
      <c r="I296" s="1">
        <v>121</v>
      </c>
      <c r="J296" s="1">
        <v>124</v>
      </c>
      <c r="K296" s="1">
        <v>129</v>
      </c>
      <c r="L296" s="1">
        <v>133</v>
      </c>
      <c r="M296" s="1">
        <v>128</v>
      </c>
      <c r="N296" s="1">
        <v>130</v>
      </c>
      <c r="O296" s="1">
        <v>132</v>
      </c>
      <c r="P296" s="1">
        <v>136</v>
      </c>
      <c r="Q296" s="1">
        <v>137</v>
      </c>
      <c r="R296" s="1">
        <v>143</v>
      </c>
      <c r="S296" s="1">
        <v>145</v>
      </c>
      <c r="T296" s="1">
        <v>147</v>
      </c>
      <c r="U296" s="1">
        <v>150</v>
      </c>
      <c r="V296" s="1">
        <v>151</v>
      </c>
      <c r="W296" s="1">
        <v>154</v>
      </c>
      <c r="X296" s="1">
        <v>163</v>
      </c>
      <c r="Y296" s="1">
        <v>165</v>
      </c>
      <c r="Z296" s="1">
        <v>164</v>
      </c>
      <c r="AA296" s="1">
        <v>166</v>
      </c>
      <c r="AB296" s="1">
        <v>165</v>
      </c>
      <c r="AC296" s="1">
        <v>163</v>
      </c>
      <c r="AD296" s="1">
        <v>163</v>
      </c>
      <c r="AE296" s="1">
        <v>162</v>
      </c>
      <c r="AF296" s="1">
        <v>166</v>
      </c>
      <c r="AG296" s="1">
        <v>165</v>
      </c>
      <c r="AH296" s="1">
        <v>167</v>
      </c>
      <c r="AI296" s="1">
        <v>171</v>
      </c>
      <c r="AJ296" s="1">
        <v>178</v>
      </c>
      <c r="AK296" s="1">
        <v>186</v>
      </c>
      <c r="AL296" s="1">
        <v>190</v>
      </c>
      <c r="AM296" s="1">
        <v>190</v>
      </c>
      <c r="AN296" s="1">
        <v>182</v>
      </c>
      <c r="AO296" s="1">
        <v>179</v>
      </c>
      <c r="AP296" s="1">
        <v>176</v>
      </c>
      <c r="AQ296" s="1">
        <v>174</v>
      </c>
      <c r="AR296" s="1">
        <v>178</v>
      </c>
      <c r="AS296" s="1">
        <v>190</v>
      </c>
      <c r="AT296" s="1">
        <v>189</v>
      </c>
      <c r="AU296" s="1">
        <v>182</v>
      </c>
      <c r="AV296" s="1">
        <v>181</v>
      </c>
      <c r="AW296" s="1">
        <v>179</v>
      </c>
      <c r="AX296" s="1">
        <v>183</v>
      </c>
      <c r="AY296" s="1">
        <v>183</v>
      </c>
      <c r="AZ296" s="1">
        <v>177</v>
      </c>
      <c r="BA296" s="1">
        <v>175</v>
      </c>
      <c r="BB296" s="1">
        <v>182</v>
      </c>
      <c r="BC296" s="1">
        <v>185</v>
      </c>
      <c r="BD296" s="1">
        <v>191</v>
      </c>
      <c r="BE296" s="1">
        <v>179</v>
      </c>
      <c r="BF296" s="1">
        <v>178</v>
      </c>
      <c r="BG296" s="1">
        <v>188</v>
      </c>
      <c r="BH296" s="1">
        <v>192</v>
      </c>
      <c r="BI296" s="1">
        <v>191</v>
      </c>
      <c r="BJ296" s="1">
        <v>188</v>
      </c>
      <c r="BK296" s="1">
        <v>191</v>
      </c>
      <c r="BL296" s="1">
        <v>199</v>
      </c>
    </row>
    <row r="297" spans="1:64">
      <c r="A297" s="65" t="s">
        <v>598</v>
      </c>
      <c r="B297" s="1" t="str">
        <f>銘柄管理!C297</f>
        <v>長谷工コーポレーシヨン</v>
      </c>
      <c r="C297" s="1">
        <f>_xll.RssMarket("1808","高値")</f>
        <v>2743</v>
      </c>
      <c r="E297" s="1">
        <v>2743</v>
      </c>
      <c r="F297" s="1">
        <v>2729.5</v>
      </c>
      <c r="G297" s="1">
        <v>2762</v>
      </c>
      <c r="H297" s="1">
        <v>2770</v>
      </c>
      <c r="I297" s="1">
        <v>2763</v>
      </c>
      <c r="J297" s="1">
        <v>2732</v>
      </c>
      <c r="K297" s="1">
        <v>2659</v>
      </c>
      <c r="L297" s="1">
        <v>2672.5</v>
      </c>
      <c r="M297" s="1">
        <v>2648.5</v>
      </c>
      <c r="N297" s="1">
        <v>2644</v>
      </c>
      <c r="O297" s="1">
        <v>2638</v>
      </c>
      <c r="P297" s="1">
        <v>2741</v>
      </c>
      <c r="Q297" s="1">
        <v>2730.5</v>
      </c>
      <c r="R297" s="1">
        <v>2721</v>
      </c>
      <c r="S297" s="1">
        <v>2724.5</v>
      </c>
      <c r="T297" s="1">
        <v>2745</v>
      </c>
      <c r="U297" s="1">
        <v>2769.5</v>
      </c>
      <c r="V297" s="1">
        <v>2790</v>
      </c>
      <c r="W297" s="1">
        <v>2871</v>
      </c>
      <c r="X297" s="1">
        <v>2897.5</v>
      </c>
      <c r="Y297" s="1">
        <v>2728</v>
      </c>
      <c r="Z297" s="1">
        <v>2790</v>
      </c>
      <c r="AA297" s="1">
        <v>2822</v>
      </c>
      <c r="AB297" s="1">
        <v>2827</v>
      </c>
      <c r="AC297" s="1">
        <v>2790</v>
      </c>
      <c r="AD297" s="1">
        <v>2780</v>
      </c>
      <c r="AE297" s="1">
        <v>2799</v>
      </c>
      <c r="AF297" s="1">
        <v>2748.5</v>
      </c>
      <c r="AG297" s="1">
        <v>2801</v>
      </c>
      <c r="AH297" s="1">
        <v>2818</v>
      </c>
      <c r="AI297" s="1">
        <v>2743.5</v>
      </c>
      <c r="AJ297" s="1">
        <v>2727</v>
      </c>
      <c r="AK297" s="1">
        <v>2749</v>
      </c>
      <c r="AL297" s="1">
        <v>2767.5</v>
      </c>
      <c r="AM297" s="1">
        <v>2816</v>
      </c>
      <c r="AN297" s="1">
        <v>2839</v>
      </c>
      <c r="AO297" s="1">
        <v>2782.5</v>
      </c>
      <c r="AP297" s="1">
        <v>2833.5</v>
      </c>
      <c r="AQ297" s="1">
        <v>2765.5</v>
      </c>
      <c r="AR297" s="1">
        <v>2884.5</v>
      </c>
      <c r="AS297" s="1">
        <v>2915.5</v>
      </c>
      <c r="AT297" s="1">
        <v>2931.5</v>
      </c>
      <c r="AU297" s="1">
        <v>3001</v>
      </c>
      <c r="AV297" s="1">
        <v>3000</v>
      </c>
      <c r="AW297" s="1">
        <v>2937.5</v>
      </c>
      <c r="AX297" s="1">
        <v>2927</v>
      </c>
      <c r="AY297" s="1">
        <v>2956.5</v>
      </c>
      <c r="AZ297" s="1">
        <v>3026</v>
      </c>
      <c r="BA297" s="1">
        <v>2966</v>
      </c>
      <c r="BB297" s="1">
        <v>2917.5</v>
      </c>
      <c r="BC297" s="1">
        <v>2885</v>
      </c>
      <c r="BD297" s="1">
        <v>3017</v>
      </c>
      <c r="BE297" s="1">
        <v>3007</v>
      </c>
      <c r="BF297" s="1">
        <v>2985</v>
      </c>
      <c r="BG297" s="1">
        <v>2931.5</v>
      </c>
      <c r="BH297" s="1">
        <v>2888</v>
      </c>
      <c r="BI297" s="1">
        <v>3015</v>
      </c>
      <c r="BJ297" s="1">
        <v>3074</v>
      </c>
      <c r="BK297" s="1">
        <v>3050</v>
      </c>
      <c r="BL297" s="1">
        <v>3021</v>
      </c>
    </row>
    <row r="298" spans="1:64">
      <c r="A298" s="65" t="s">
        <v>770</v>
      </c>
      <c r="B298" s="1" t="str">
        <f>銘柄管理!C298</f>
        <v>ＵＢＥ</v>
      </c>
      <c r="C298" s="1">
        <f>_xll.RssMarket("4208","高値")</f>
        <v>3200</v>
      </c>
      <c r="E298" s="1">
        <v>3200</v>
      </c>
      <c r="F298" s="1">
        <v>3244</v>
      </c>
      <c r="G298" s="1">
        <v>3214</v>
      </c>
      <c r="H298" s="1">
        <v>3090</v>
      </c>
      <c r="I298" s="1">
        <v>3015</v>
      </c>
      <c r="J298" s="1">
        <v>3028</v>
      </c>
      <c r="K298" s="1">
        <v>2955</v>
      </c>
      <c r="L298" s="1">
        <v>2992</v>
      </c>
      <c r="M298" s="1">
        <v>3006</v>
      </c>
      <c r="N298" s="1">
        <v>2951.5</v>
      </c>
      <c r="O298" s="1">
        <v>3004</v>
      </c>
      <c r="P298" s="1">
        <v>2984.5</v>
      </c>
      <c r="Q298" s="1">
        <v>3051</v>
      </c>
      <c r="R298" s="1">
        <v>3044</v>
      </c>
      <c r="S298" s="1">
        <v>3049</v>
      </c>
      <c r="T298" s="1">
        <v>3067</v>
      </c>
      <c r="U298" s="1">
        <v>2890.5</v>
      </c>
      <c r="V298" s="1">
        <v>2425.5</v>
      </c>
      <c r="W298" s="1">
        <v>2418</v>
      </c>
      <c r="X298" s="1">
        <v>2450</v>
      </c>
      <c r="Y298" s="1">
        <v>2501</v>
      </c>
      <c r="Z298" s="1">
        <v>2361.5</v>
      </c>
      <c r="AA298" s="1">
        <v>2362</v>
      </c>
      <c r="AB298" s="1">
        <v>2394</v>
      </c>
      <c r="AC298" s="1">
        <v>2396.5</v>
      </c>
      <c r="AD298" s="1">
        <v>2412.5</v>
      </c>
      <c r="AE298" s="1">
        <v>2383.5</v>
      </c>
      <c r="AF298" s="1">
        <v>2374</v>
      </c>
      <c r="AG298" s="1">
        <v>2397.5</v>
      </c>
      <c r="AH298" s="1">
        <v>2376.5</v>
      </c>
      <c r="AI298" s="1">
        <v>2370</v>
      </c>
      <c r="AJ298" s="1">
        <v>2363</v>
      </c>
      <c r="AK298" s="1">
        <v>2411.5</v>
      </c>
      <c r="AL298" s="1">
        <v>2427.5</v>
      </c>
      <c r="AM298" s="1">
        <v>2457</v>
      </c>
      <c r="AN298" s="1">
        <v>2454</v>
      </c>
      <c r="AO298" s="1">
        <v>2437.5</v>
      </c>
      <c r="AP298" s="1">
        <v>2437.5</v>
      </c>
      <c r="AQ298" s="1">
        <v>2438</v>
      </c>
      <c r="AR298" s="1">
        <v>2448</v>
      </c>
      <c r="AS298" s="1">
        <v>2489</v>
      </c>
      <c r="AT298" s="1">
        <v>2522</v>
      </c>
      <c r="AU298" s="1">
        <v>2527</v>
      </c>
      <c r="AV298" s="1">
        <v>2469</v>
      </c>
      <c r="AW298" s="1">
        <v>2479</v>
      </c>
      <c r="AX298" s="1">
        <v>2473</v>
      </c>
      <c r="AY298" s="1">
        <v>2528</v>
      </c>
      <c r="AZ298" s="1">
        <v>2501.5</v>
      </c>
      <c r="BA298" s="1">
        <v>2475.5</v>
      </c>
      <c r="BB298" s="1">
        <v>2446.5</v>
      </c>
      <c r="BC298" s="1">
        <v>2546</v>
      </c>
      <c r="BD298" s="1">
        <v>2540</v>
      </c>
      <c r="BE298" s="1">
        <v>2535</v>
      </c>
      <c r="BF298" s="1">
        <v>2490</v>
      </c>
      <c r="BG298" s="1">
        <v>2454</v>
      </c>
      <c r="BH298" s="1">
        <v>2560</v>
      </c>
      <c r="BI298" s="1">
        <v>2603.5</v>
      </c>
      <c r="BJ298" s="1">
        <v>2563</v>
      </c>
      <c r="BK298" s="1">
        <v>2560.5</v>
      </c>
      <c r="BL298" s="1">
        <v>2579</v>
      </c>
    </row>
    <row r="299" spans="1:64">
      <c r="A299" s="65" t="s">
        <v>772</v>
      </c>
      <c r="B299" s="1" t="str">
        <f>銘柄管理!C299</f>
        <v>アストロスケールホールディンク</v>
      </c>
      <c r="C299" s="1">
        <f>_xll.RssMarket("186A","高値")</f>
        <v>1454</v>
      </c>
      <c r="E299" s="1">
        <v>1454</v>
      </c>
      <c r="F299" s="1">
        <v>1478</v>
      </c>
      <c r="G299" s="1">
        <v>1676</v>
      </c>
      <c r="H299" s="1">
        <v>1975</v>
      </c>
      <c r="I299" s="1">
        <v>1819</v>
      </c>
      <c r="J299" s="1">
        <v>1837</v>
      </c>
      <c r="K299" s="1">
        <v>2150</v>
      </c>
      <c r="L299" s="1">
        <v>2220</v>
      </c>
      <c r="M299" s="1">
        <v>1997</v>
      </c>
      <c r="N299" s="1">
        <v>2245</v>
      </c>
      <c r="O299" s="1">
        <v>2200</v>
      </c>
      <c r="P299" s="1">
        <v>2958</v>
      </c>
      <c r="Q299" s="1">
        <v>2993</v>
      </c>
      <c r="R299" s="1">
        <v>3015</v>
      </c>
      <c r="S299" s="1">
        <v>2852</v>
      </c>
      <c r="T299" s="1">
        <v>2352</v>
      </c>
      <c r="U299" s="1">
        <v>2079</v>
      </c>
      <c r="V299" s="1">
        <v>2148</v>
      </c>
      <c r="W299" s="1">
        <v>2170</v>
      </c>
      <c r="X299" s="1">
        <v>2100</v>
      </c>
      <c r="Y299" s="1">
        <v>2048</v>
      </c>
      <c r="Z299" s="1">
        <v>1899</v>
      </c>
      <c r="AA299" s="1">
        <v>1854</v>
      </c>
      <c r="AB299" s="1">
        <v>1866</v>
      </c>
      <c r="AC299" s="1">
        <v>1810</v>
      </c>
      <c r="AD299" s="1">
        <v>1570</v>
      </c>
      <c r="AE299" s="1">
        <v>1437</v>
      </c>
      <c r="AF299" s="1">
        <v>1347</v>
      </c>
      <c r="AG299" s="1">
        <v>1311</v>
      </c>
      <c r="AH299" s="1">
        <v>1320</v>
      </c>
      <c r="AI299" s="1">
        <v>1334</v>
      </c>
      <c r="AJ299" s="1">
        <v>1405</v>
      </c>
      <c r="AK299" s="1">
        <v>1459</v>
      </c>
      <c r="AL299" s="1">
        <v>1484</v>
      </c>
      <c r="AM299" s="1">
        <v>1500</v>
      </c>
      <c r="AN299" s="1">
        <v>1493</v>
      </c>
      <c r="AO299" s="1">
        <v>1422</v>
      </c>
      <c r="AP299" s="1">
        <v>1409</v>
      </c>
      <c r="AQ299" s="1">
        <v>1435</v>
      </c>
      <c r="AR299" s="1">
        <v>1420</v>
      </c>
      <c r="AS299" s="1">
        <v>1352</v>
      </c>
      <c r="AT299" s="1">
        <v>1373</v>
      </c>
      <c r="AU299" s="1">
        <v>1257</v>
      </c>
      <c r="AV299" s="1">
        <v>1193</v>
      </c>
      <c r="AW299" s="1">
        <v>1117</v>
      </c>
      <c r="AX299" s="1">
        <v>1103</v>
      </c>
      <c r="AY299" s="1">
        <v>1075</v>
      </c>
      <c r="AZ299" s="1">
        <v>1073</v>
      </c>
      <c r="BA299" s="1">
        <v>924</v>
      </c>
      <c r="BB299" s="1">
        <v>916</v>
      </c>
      <c r="BC299" s="1">
        <v>934</v>
      </c>
      <c r="BD299" s="1">
        <v>1000</v>
      </c>
      <c r="BE299" s="1">
        <v>1045</v>
      </c>
      <c r="BF299" s="1">
        <v>1046</v>
      </c>
      <c r="BG299" s="1">
        <v>1033</v>
      </c>
      <c r="BH299" s="1">
        <v>1049</v>
      </c>
      <c r="BI299" s="1">
        <v>1199</v>
      </c>
      <c r="BJ299" s="1">
        <v>1250</v>
      </c>
      <c r="BK299" s="1">
        <v>1216</v>
      </c>
      <c r="BL299" s="1">
        <v>1124</v>
      </c>
    </row>
    <row r="300" spans="1:64">
      <c r="A300" s="65" t="s">
        <v>773</v>
      </c>
      <c r="B300" s="1" t="str">
        <f>銘柄管理!C300</f>
        <v>浜松ホトニクス</v>
      </c>
      <c r="C300" s="1">
        <f>_xll.RssMarket("6965","高値")</f>
        <v>2794.5</v>
      </c>
      <c r="E300" s="1">
        <v>2794.5</v>
      </c>
      <c r="F300" s="1">
        <v>2669.5</v>
      </c>
      <c r="G300" s="1">
        <v>2676</v>
      </c>
      <c r="H300" s="1">
        <v>2587</v>
      </c>
      <c r="I300" s="1">
        <v>2428</v>
      </c>
      <c r="J300" s="1">
        <v>2504</v>
      </c>
      <c r="K300" s="1">
        <v>2696.5</v>
      </c>
      <c r="L300" s="1">
        <v>2912.5</v>
      </c>
      <c r="M300" s="1">
        <v>2964</v>
      </c>
      <c r="N300" s="1">
        <v>2915</v>
      </c>
      <c r="O300" s="1">
        <v>2855</v>
      </c>
      <c r="P300" s="1">
        <v>2997</v>
      </c>
      <c r="Q300" s="1">
        <v>2824</v>
      </c>
      <c r="R300" s="1">
        <v>2941.5</v>
      </c>
      <c r="S300" s="1">
        <v>3100</v>
      </c>
      <c r="T300" s="1">
        <v>2923</v>
      </c>
      <c r="U300" s="1">
        <v>2759</v>
      </c>
      <c r="V300" s="1">
        <v>2668.5</v>
      </c>
      <c r="W300" s="1">
        <v>2829.5</v>
      </c>
      <c r="X300" s="1">
        <v>2875</v>
      </c>
      <c r="Y300" s="1">
        <v>2657</v>
      </c>
      <c r="Z300" s="1">
        <v>2241</v>
      </c>
      <c r="AA300" s="1">
        <v>2162.5</v>
      </c>
      <c r="AB300" s="1">
        <v>2239.5</v>
      </c>
      <c r="AC300" s="1">
        <v>2245</v>
      </c>
      <c r="AD300" s="1">
        <v>2207.5</v>
      </c>
      <c r="AE300" s="1">
        <v>2163</v>
      </c>
      <c r="AF300" s="1">
        <v>2034.5</v>
      </c>
      <c r="AG300" s="1">
        <v>2062</v>
      </c>
      <c r="AH300" s="1">
        <v>2047</v>
      </c>
      <c r="AI300" s="1">
        <v>2068.5</v>
      </c>
      <c r="AJ300" s="1">
        <v>1942</v>
      </c>
      <c r="AK300" s="1">
        <v>1967.5</v>
      </c>
      <c r="AL300" s="1">
        <v>1963</v>
      </c>
      <c r="AM300" s="1">
        <v>1972</v>
      </c>
      <c r="AN300" s="1">
        <v>1986.5</v>
      </c>
      <c r="AO300" s="1">
        <v>1994</v>
      </c>
      <c r="AP300" s="1">
        <v>1977</v>
      </c>
      <c r="AQ300" s="1">
        <v>1956.5</v>
      </c>
      <c r="AR300" s="1">
        <v>1973</v>
      </c>
      <c r="AS300" s="1">
        <v>1961.5</v>
      </c>
      <c r="AT300" s="1">
        <v>1970.5</v>
      </c>
      <c r="AU300" s="1">
        <v>1977</v>
      </c>
      <c r="AV300" s="1">
        <v>1966.5</v>
      </c>
      <c r="AW300" s="1">
        <v>1879.5</v>
      </c>
      <c r="AX300" s="1">
        <v>1904</v>
      </c>
      <c r="AY300" s="1">
        <v>1871.5</v>
      </c>
      <c r="AZ300" s="1">
        <v>1909</v>
      </c>
      <c r="BA300" s="1">
        <v>1870</v>
      </c>
      <c r="BB300" s="1">
        <v>1810</v>
      </c>
      <c r="BC300" s="1">
        <v>1843.5</v>
      </c>
      <c r="BD300" s="1">
        <v>1972</v>
      </c>
      <c r="BE300" s="1">
        <v>2049.5</v>
      </c>
      <c r="BF300" s="1">
        <v>1985</v>
      </c>
      <c r="BG300" s="1">
        <v>1854.5</v>
      </c>
      <c r="BH300" s="1">
        <v>1845</v>
      </c>
      <c r="BI300" s="1">
        <v>1953.5</v>
      </c>
      <c r="BJ300" s="1">
        <v>2014.5</v>
      </c>
      <c r="BK300" s="1">
        <v>2100</v>
      </c>
      <c r="BL300" s="1">
        <v>2092</v>
      </c>
    </row>
    <row r="301" spans="1:64">
      <c r="A301" s="65" t="s">
        <v>793</v>
      </c>
      <c r="B301" s="1" t="str">
        <f>銘柄管理!C301</f>
        <v>三菱化工機</v>
      </c>
      <c r="C301" s="1">
        <f>_xll.RssMarket("6331","高値")</f>
        <v>4100</v>
      </c>
      <c r="E301" s="1">
        <v>4100</v>
      </c>
      <c r="F301" s="1">
        <v>3910</v>
      </c>
      <c r="G301" s="1">
        <v>3840</v>
      </c>
      <c r="H301" s="1">
        <v>3740</v>
      </c>
      <c r="I301" s="1">
        <v>3645</v>
      </c>
      <c r="J301" s="1">
        <v>3720</v>
      </c>
      <c r="K301" s="1">
        <v>3590</v>
      </c>
      <c r="L301" s="1">
        <v>3635</v>
      </c>
      <c r="M301" s="1">
        <v>3720</v>
      </c>
      <c r="N301" s="1">
        <v>3680</v>
      </c>
      <c r="O301" s="1">
        <v>3450</v>
      </c>
      <c r="P301" s="1">
        <v>3690</v>
      </c>
      <c r="Q301" s="1">
        <v>3705</v>
      </c>
      <c r="R301" s="1">
        <v>3800</v>
      </c>
      <c r="S301" s="1">
        <v>3525</v>
      </c>
      <c r="T301" s="1">
        <v>3560</v>
      </c>
      <c r="U301" s="1">
        <v>3560</v>
      </c>
      <c r="V301" s="1">
        <v>3610</v>
      </c>
      <c r="W301" s="1">
        <v>3880</v>
      </c>
      <c r="X301" s="1">
        <v>3845</v>
      </c>
      <c r="Y301" s="1">
        <v>3675</v>
      </c>
      <c r="Z301" s="1">
        <v>3385</v>
      </c>
      <c r="AA301" s="1">
        <v>3345</v>
      </c>
      <c r="AB301" s="1">
        <v>3350</v>
      </c>
      <c r="AC301" s="1">
        <v>3320</v>
      </c>
      <c r="AD301" s="1">
        <v>3295</v>
      </c>
      <c r="AE301" s="1">
        <v>3345</v>
      </c>
      <c r="AF301" s="1">
        <v>3310</v>
      </c>
      <c r="AG301" s="1">
        <v>3225</v>
      </c>
      <c r="AH301" s="1">
        <v>3280</v>
      </c>
      <c r="AI301" s="1">
        <v>3320</v>
      </c>
      <c r="AJ301" s="1">
        <v>3235</v>
      </c>
      <c r="AK301" s="1">
        <v>3185</v>
      </c>
      <c r="AL301" s="1">
        <v>3065</v>
      </c>
      <c r="AM301" s="1">
        <v>3065</v>
      </c>
      <c r="AN301" s="1">
        <v>3065</v>
      </c>
      <c r="AO301" s="1">
        <v>3060</v>
      </c>
      <c r="AP301" s="1">
        <v>3075</v>
      </c>
      <c r="AQ301" s="1">
        <v>3150</v>
      </c>
      <c r="AR301" s="1">
        <v>3140</v>
      </c>
      <c r="AS301" s="1">
        <v>3175</v>
      </c>
      <c r="AT301" s="1">
        <v>3255</v>
      </c>
      <c r="AU301" s="1">
        <v>3235</v>
      </c>
      <c r="AV301" s="1">
        <v>3240</v>
      </c>
      <c r="AW301" s="1">
        <v>3120</v>
      </c>
      <c r="AX301" s="1">
        <v>3105</v>
      </c>
      <c r="AY301" s="1">
        <v>3080</v>
      </c>
      <c r="AZ301" s="1">
        <v>3190</v>
      </c>
      <c r="BA301" s="1">
        <v>3120</v>
      </c>
      <c r="BB301" s="1">
        <v>2999</v>
      </c>
      <c r="BC301" s="1">
        <v>3020</v>
      </c>
      <c r="BD301" s="1">
        <v>3150</v>
      </c>
      <c r="BE301" s="1">
        <v>3240</v>
      </c>
      <c r="BF301" s="1">
        <v>3245</v>
      </c>
      <c r="BG301" s="1">
        <v>3200</v>
      </c>
      <c r="BH301" s="1">
        <v>3120</v>
      </c>
      <c r="BI301" s="1">
        <v>3390</v>
      </c>
      <c r="BJ301" s="1">
        <v>3465</v>
      </c>
      <c r="BK301" s="1">
        <v>3335</v>
      </c>
      <c r="BL301" s="1">
        <v>3310</v>
      </c>
    </row>
    <row r="302" spans="1:64">
      <c r="A302" s="65" t="s">
        <v>795</v>
      </c>
      <c r="B302" s="1" t="str">
        <f>銘柄管理!C302</f>
        <v>ＨＯＹＡ</v>
      </c>
      <c r="C302" s="1">
        <f>_xll.RssMarket("7741","高値")</f>
        <v>27685</v>
      </c>
      <c r="E302" s="1">
        <v>27685</v>
      </c>
      <c r="F302" s="1">
        <v>27255</v>
      </c>
      <c r="G302" s="1">
        <v>26975</v>
      </c>
      <c r="H302" s="1">
        <v>26545</v>
      </c>
      <c r="I302" s="1">
        <v>25920</v>
      </c>
      <c r="J302" s="1">
        <v>25750</v>
      </c>
      <c r="K302" s="1">
        <v>25800</v>
      </c>
      <c r="L302" s="1">
        <v>26395</v>
      </c>
      <c r="M302" s="1">
        <v>27495</v>
      </c>
      <c r="N302" s="1">
        <v>27575</v>
      </c>
      <c r="O302" s="1">
        <v>26385</v>
      </c>
      <c r="P302" s="1">
        <v>27510</v>
      </c>
      <c r="Q302" s="1">
        <v>27400</v>
      </c>
      <c r="R302" s="1">
        <v>27835</v>
      </c>
      <c r="S302" s="1">
        <v>26455</v>
      </c>
      <c r="T302" s="1">
        <v>26885</v>
      </c>
      <c r="U302" s="1">
        <v>27130</v>
      </c>
      <c r="V302" s="1">
        <v>26970</v>
      </c>
      <c r="W302" s="1">
        <v>27700</v>
      </c>
      <c r="X302" s="1">
        <v>28050</v>
      </c>
      <c r="Y302" s="1">
        <v>28465</v>
      </c>
      <c r="Z302" s="1">
        <v>28135</v>
      </c>
      <c r="AA302" s="1">
        <v>27825</v>
      </c>
      <c r="AB302" s="1">
        <v>27870</v>
      </c>
      <c r="AC302" s="1">
        <v>27585</v>
      </c>
      <c r="AD302" s="1">
        <v>27940</v>
      </c>
      <c r="AE302" s="1">
        <v>28345</v>
      </c>
      <c r="AF302" s="1">
        <v>29200</v>
      </c>
      <c r="AG302" s="1">
        <v>29700</v>
      </c>
      <c r="AH302" s="1">
        <v>29380</v>
      </c>
      <c r="AI302" s="1">
        <v>29260</v>
      </c>
      <c r="AJ302" s="1">
        <v>28670</v>
      </c>
      <c r="AK302" s="1">
        <v>28700</v>
      </c>
      <c r="AL302" s="1">
        <v>29185</v>
      </c>
      <c r="AM302" s="1">
        <v>29555</v>
      </c>
      <c r="AN302" s="1">
        <v>29795</v>
      </c>
      <c r="AO302" s="1">
        <v>29840</v>
      </c>
      <c r="AP302" s="1">
        <v>30030</v>
      </c>
      <c r="AQ302" s="1">
        <v>30400</v>
      </c>
      <c r="AR302" s="1">
        <v>29770</v>
      </c>
      <c r="AS302" s="1">
        <v>29390</v>
      </c>
      <c r="AT302" s="1">
        <v>30030</v>
      </c>
      <c r="AU302" s="1">
        <v>29360</v>
      </c>
      <c r="AV302" s="1">
        <v>29400</v>
      </c>
      <c r="AW302" s="1">
        <v>28440</v>
      </c>
      <c r="AX302" s="1">
        <v>28495</v>
      </c>
      <c r="AY302" s="1">
        <v>27945</v>
      </c>
      <c r="AZ302" s="1">
        <v>28185</v>
      </c>
      <c r="BA302" s="1">
        <v>27620</v>
      </c>
      <c r="BB302" s="1">
        <v>27215</v>
      </c>
      <c r="BC302" s="1">
        <v>27025</v>
      </c>
      <c r="BD302" s="1">
        <v>27780</v>
      </c>
      <c r="BE302" s="1">
        <v>28280</v>
      </c>
      <c r="BF302" s="1">
        <v>28720</v>
      </c>
      <c r="BG302" s="1">
        <v>28540</v>
      </c>
      <c r="BH302" s="1">
        <v>27490</v>
      </c>
      <c r="BI302" s="1">
        <v>27885</v>
      </c>
      <c r="BJ302" s="1">
        <v>28450</v>
      </c>
      <c r="BK302" s="1">
        <v>28200</v>
      </c>
      <c r="BL302" s="1">
        <v>27710</v>
      </c>
    </row>
    <row r="303" spans="1:64">
      <c r="A303" s="67"/>
    </row>
    <row r="304" spans="1:64">
      <c r="A304" s="67"/>
    </row>
    <row r="305" spans="1:1">
      <c r="A305" s="67"/>
    </row>
    <row r="306" spans="1:1">
      <c r="A306" s="67"/>
    </row>
    <row r="307" spans="1:1">
      <c r="A307" s="67"/>
    </row>
    <row r="308" spans="1:1">
      <c r="A308" s="67"/>
    </row>
    <row r="309" spans="1:1">
      <c r="A309" s="67"/>
    </row>
    <row r="310" spans="1:1">
      <c r="A310" s="67"/>
    </row>
    <row r="311" spans="1:1">
      <c r="A311" s="67"/>
    </row>
    <row r="312" spans="1:1">
      <c r="A312" s="67"/>
    </row>
    <row r="313" spans="1:1">
      <c r="A313" s="67"/>
    </row>
    <row r="314" spans="1:1">
      <c r="A314" s="67"/>
    </row>
    <row r="315" spans="1:1">
      <c r="A315" s="67"/>
    </row>
    <row r="316" spans="1:1">
      <c r="A316" s="67"/>
    </row>
    <row r="317" spans="1:1">
      <c r="A317" s="67"/>
    </row>
    <row r="318" spans="1:1">
      <c r="A318" s="67"/>
    </row>
    <row r="319" spans="1:1">
      <c r="A319" s="67"/>
    </row>
    <row r="320" spans="1:1">
      <c r="A320" s="67"/>
    </row>
    <row r="321" spans="1:1">
      <c r="A321" s="67"/>
    </row>
    <row r="322" spans="1:1">
      <c r="A322" s="67"/>
    </row>
    <row r="323" spans="1:1">
      <c r="A323" s="67"/>
    </row>
    <row r="324" spans="1:1">
      <c r="A324" s="67"/>
    </row>
    <row r="325" spans="1:1">
      <c r="A325" s="67"/>
    </row>
    <row r="326" spans="1:1">
      <c r="A326" s="67"/>
    </row>
    <row r="327" spans="1:1">
      <c r="A327" s="67"/>
    </row>
    <row r="328" spans="1:1">
      <c r="A328" s="67"/>
    </row>
    <row r="329" spans="1:1">
      <c r="A329" s="67"/>
    </row>
    <row r="330" spans="1:1">
      <c r="A330" s="67"/>
    </row>
    <row r="331" spans="1:1">
      <c r="A331" s="67"/>
    </row>
    <row r="332" spans="1:1">
      <c r="A332" s="67"/>
    </row>
    <row r="333" spans="1:1">
      <c r="A333" s="67"/>
    </row>
    <row r="334" spans="1:1">
      <c r="A334" s="67"/>
    </row>
    <row r="335" spans="1:1">
      <c r="A335" s="67"/>
    </row>
    <row r="336" spans="1:1">
      <c r="A336" s="67"/>
    </row>
    <row r="337" spans="1:1">
      <c r="A337" s="67"/>
    </row>
    <row r="338" spans="1:1">
      <c r="A338" s="67"/>
    </row>
    <row r="339" spans="1:1">
      <c r="A339" s="67"/>
    </row>
    <row r="340" spans="1:1">
      <c r="A340" s="67"/>
    </row>
    <row r="341" spans="1:1">
      <c r="A341" s="67"/>
    </row>
    <row r="342" spans="1:1">
      <c r="A342" s="67"/>
    </row>
    <row r="343" spans="1:1">
      <c r="A343" s="67"/>
    </row>
    <row r="344" spans="1:1">
      <c r="A344" s="67"/>
    </row>
    <row r="345" spans="1:1">
      <c r="A345" s="67"/>
    </row>
    <row r="346" spans="1:1">
      <c r="A346" s="67"/>
    </row>
    <row r="347" spans="1:1">
      <c r="A347" s="67"/>
    </row>
    <row r="348" spans="1:1">
      <c r="A348" s="67"/>
    </row>
    <row r="349" spans="1:1">
      <c r="A349" s="67"/>
    </row>
    <row r="350" spans="1:1">
      <c r="A350" s="67"/>
    </row>
    <row r="351" spans="1:1">
      <c r="A351" s="67"/>
    </row>
    <row r="352" spans="1:1">
      <c r="A352" s="67"/>
    </row>
    <row r="353" spans="1:1">
      <c r="A353" s="67"/>
    </row>
    <row r="354" spans="1:1">
      <c r="A354" s="67"/>
    </row>
    <row r="355" spans="1:1">
      <c r="A355" s="67"/>
    </row>
    <row r="356" spans="1:1">
      <c r="A356" s="67"/>
    </row>
    <row r="357" spans="1:1">
      <c r="A357" s="67"/>
    </row>
    <row r="358" spans="1:1">
      <c r="A358" s="67"/>
    </row>
    <row r="359" spans="1:1">
      <c r="A359" s="67"/>
    </row>
    <row r="360" spans="1:1">
      <c r="A360" s="67"/>
    </row>
    <row r="361" spans="1:1">
      <c r="A361" s="67"/>
    </row>
    <row r="362" spans="1:1">
      <c r="A362" s="67"/>
    </row>
    <row r="363" spans="1:1">
      <c r="A363" s="67"/>
    </row>
    <row r="364" spans="1:1">
      <c r="A364" s="67"/>
    </row>
    <row r="365" spans="1:1">
      <c r="A365" s="67"/>
    </row>
    <row r="366" spans="1:1">
      <c r="A366" s="67"/>
    </row>
    <row r="367" spans="1:1">
      <c r="A367" s="67"/>
    </row>
    <row r="368" spans="1:1">
      <c r="A368" s="67"/>
    </row>
    <row r="369" spans="1:1">
      <c r="A369" s="67"/>
    </row>
    <row r="370" spans="1:1">
      <c r="A370" s="67"/>
    </row>
    <row r="371" spans="1:1">
      <c r="A371" s="67"/>
    </row>
    <row r="372" spans="1:1">
      <c r="A372" s="67"/>
    </row>
    <row r="373" spans="1:1">
      <c r="A373" s="67"/>
    </row>
    <row r="374" spans="1:1">
      <c r="A374" s="67"/>
    </row>
    <row r="375" spans="1:1">
      <c r="A375" s="67"/>
    </row>
    <row r="376" spans="1:1">
      <c r="A376" s="67"/>
    </row>
    <row r="377" spans="1:1">
      <c r="A377" s="67"/>
    </row>
    <row r="378" spans="1:1">
      <c r="A378" s="67"/>
    </row>
    <row r="379" spans="1:1">
      <c r="A379" s="67"/>
    </row>
    <row r="380" spans="1:1">
      <c r="A380" s="67"/>
    </row>
    <row r="381" spans="1:1">
      <c r="A381" s="67"/>
    </row>
    <row r="382" spans="1:1">
      <c r="A382" s="67"/>
    </row>
    <row r="383" spans="1:1">
      <c r="A383" s="67"/>
    </row>
    <row r="384" spans="1:1">
      <c r="A384" s="67"/>
    </row>
    <row r="385" spans="1:1">
      <c r="A385" s="67"/>
    </row>
    <row r="386" spans="1:1">
      <c r="A386" s="67"/>
    </row>
    <row r="387" spans="1:1">
      <c r="A387" s="67"/>
    </row>
    <row r="388" spans="1:1">
      <c r="A388" s="67"/>
    </row>
    <row r="389" spans="1:1">
      <c r="A389" s="67"/>
    </row>
    <row r="390" spans="1:1">
      <c r="A390" s="67"/>
    </row>
    <row r="391" spans="1:1">
      <c r="A391" s="67"/>
    </row>
    <row r="392" spans="1:1">
      <c r="A392" s="67"/>
    </row>
    <row r="393" spans="1:1">
      <c r="A393" s="67"/>
    </row>
    <row r="394" spans="1:1">
      <c r="A394" s="67"/>
    </row>
    <row r="395" spans="1:1">
      <c r="A395" s="67"/>
    </row>
    <row r="396" spans="1:1">
      <c r="A396" s="67"/>
    </row>
    <row r="397" spans="1:1">
      <c r="A397" s="67"/>
    </row>
    <row r="398" spans="1:1">
      <c r="A398" s="67"/>
    </row>
    <row r="399" spans="1:1">
      <c r="A399" s="67"/>
    </row>
    <row r="400" spans="1:1">
      <c r="A400" s="67"/>
    </row>
    <row r="401" spans="1:1">
      <c r="A401" s="67"/>
    </row>
    <row r="402" spans="1:1">
      <c r="A402" s="67"/>
    </row>
    <row r="403" spans="1:1">
      <c r="A403" s="67"/>
    </row>
    <row r="404" spans="1:1">
      <c r="A404" s="67"/>
    </row>
    <row r="405" spans="1:1">
      <c r="A405" s="67"/>
    </row>
    <row r="406" spans="1:1">
      <c r="A406" s="67"/>
    </row>
    <row r="407" spans="1:1">
      <c r="A407" s="67"/>
    </row>
    <row r="408" spans="1:1">
      <c r="A408" s="67"/>
    </row>
    <row r="409" spans="1:1">
      <c r="A409" s="67"/>
    </row>
    <row r="410" spans="1:1">
      <c r="A410" s="67"/>
    </row>
    <row r="411" spans="1:1">
      <c r="A411" s="67"/>
    </row>
    <row r="412" spans="1:1">
      <c r="A412" s="67"/>
    </row>
    <row r="413" spans="1:1">
      <c r="A413" s="67"/>
    </row>
    <row r="414" spans="1:1">
      <c r="A414" s="67"/>
    </row>
    <row r="415" spans="1:1">
      <c r="A415" s="67"/>
    </row>
    <row r="416" spans="1:1">
      <c r="A416" s="67"/>
    </row>
    <row r="417" spans="1:1">
      <c r="A417" s="67"/>
    </row>
    <row r="418" spans="1:1">
      <c r="A418" s="67"/>
    </row>
    <row r="419" spans="1:1">
      <c r="A419" s="67"/>
    </row>
    <row r="420" spans="1:1">
      <c r="A420" s="67"/>
    </row>
    <row r="421" spans="1:1">
      <c r="A421" s="67"/>
    </row>
    <row r="422" spans="1:1">
      <c r="A422" s="67"/>
    </row>
    <row r="423" spans="1:1">
      <c r="A423" s="67"/>
    </row>
    <row r="424" spans="1:1">
      <c r="A424" s="67"/>
    </row>
    <row r="425" spans="1:1">
      <c r="A425" s="67"/>
    </row>
    <row r="426" spans="1:1">
      <c r="A426" s="67"/>
    </row>
    <row r="427" spans="1:1">
      <c r="A427" s="67"/>
    </row>
    <row r="428" spans="1:1">
      <c r="A428" s="67"/>
    </row>
    <row r="429" spans="1:1">
      <c r="A429" s="67"/>
    </row>
    <row r="430" spans="1:1">
      <c r="A430" s="67"/>
    </row>
    <row r="431" spans="1:1">
      <c r="A431" s="67"/>
    </row>
    <row r="432" spans="1:1">
      <c r="A432" s="67"/>
    </row>
    <row r="433" spans="1:1">
      <c r="A433" s="67"/>
    </row>
    <row r="434" spans="1:1">
      <c r="A434" s="67"/>
    </row>
    <row r="435" spans="1:1">
      <c r="A435" s="67"/>
    </row>
    <row r="436" spans="1:1">
      <c r="A436" s="67"/>
    </row>
    <row r="437" spans="1:1">
      <c r="A437" s="67"/>
    </row>
    <row r="438" spans="1:1">
      <c r="A438" s="67"/>
    </row>
    <row r="439" spans="1:1">
      <c r="A439" s="67"/>
    </row>
    <row r="440" spans="1:1">
      <c r="A440" s="67"/>
    </row>
    <row r="441" spans="1:1">
      <c r="A441" s="67"/>
    </row>
    <row r="442" spans="1:1">
      <c r="A442" s="67"/>
    </row>
    <row r="443" spans="1:1">
      <c r="A443" s="67"/>
    </row>
    <row r="444" spans="1:1">
      <c r="A444" s="67"/>
    </row>
    <row r="445" spans="1:1">
      <c r="A445" s="67"/>
    </row>
    <row r="446" spans="1:1">
      <c r="A446" s="67"/>
    </row>
    <row r="447" spans="1:1">
      <c r="A447" s="67"/>
    </row>
    <row r="448" spans="1:1">
      <c r="A448" s="67"/>
    </row>
    <row r="449" spans="1:1">
      <c r="A449" s="67"/>
    </row>
    <row r="450" spans="1:1">
      <c r="A450" s="67"/>
    </row>
    <row r="451" spans="1:1">
      <c r="A451" s="67"/>
    </row>
    <row r="452" spans="1:1">
      <c r="A452" s="67"/>
    </row>
    <row r="453" spans="1:1">
      <c r="A453" s="67"/>
    </row>
    <row r="454" spans="1:1">
      <c r="A454" s="67"/>
    </row>
    <row r="455" spans="1:1">
      <c r="A455" s="67"/>
    </row>
    <row r="456" spans="1:1">
      <c r="A456" s="67"/>
    </row>
    <row r="457" spans="1:1">
      <c r="A457" s="67"/>
    </row>
    <row r="458" spans="1:1">
      <c r="A458" s="67"/>
    </row>
    <row r="459" spans="1:1">
      <c r="A459" s="67"/>
    </row>
    <row r="460" spans="1:1">
      <c r="A460" s="67"/>
    </row>
    <row r="461" spans="1:1">
      <c r="A461" s="67"/>
    </row>
    <row r="462" spans="1:1">
      <c r="A462" s="67"/>
    </row>
    <row r="463" spans="1:1">
      <c r="A463" s="67"/>
    </row>
    <row r="464" spans="1:1">
      <c r="A464" s="67"/>
    </row>
    <row r="465" spans="1:1">
      <c r="A465" s="67"/>
    </row>
    <row r="466" spans="1:1">
      <c r="A466" s="67"/>
    </row>
    <row r="467" spans="1:1">
      <c r="A467" s="67"/>
    </row>
    <row r="468" spans="1:1">
      <c r="A468" s="67"/>
    </row>
    <row r="469" spans="1:1">
      <c r="A469" s="67"/>
    </row>
    <row r="470" spans="1:1">
      <c r="A470" s="67"/>
    </row>
    <row r="471" spans="1:1">
      <c r="A471" s="67"/>
    </row>
    <row r="472" spans="1:1">
      <c r="A472" s="67"/>
    </row>
    <row r="473" spans="1:1">
      <c r="A473" s="67"/>
    </row>
    <row r="474" spans="1:1">
      <c r="A474" s="67"/>
    </row>
    <row r="475" spans="1:1">
      <c r="A475" s="67"/>
    </row>
    <row r="476" spans="1:1">
      <c r="A476" s="67"/>
    </row>
    <row r="477" spans="1:1">
      <c r="A477" s="67"/>
    </row>
    <row r="478" spans="1:1">
      <c r="A478" s="67"/>
    </row>
    <row r="479" spans="1:1">
      <c r="A479" s="67"/>
    </row>
    <row r="480" spans="1:1">
      <c r="A480" s="67"/>
    </row>
    <row r="481" spans="1:1">
      <c r="A481" s="67"/>
    </row>
    <row r="482" spans="1:1">
      <c r="A482" s="67"/>
    </row>
    <row r="483" spans="1:1">
      <c r="A483" s="67"/>
    </row>
    <row r="484" spans="1:1">
      <c r="A484" s="67"/>
    </row>
    <row r="485" spans="1:1">
      <c r="A485" s="67"/>
    </row>
    <row r="486" spans="1:1">
      <c r="A486" s="67"/>
    </row>
    <row r="487" spans="1:1">
      <c r="A487" s="67"/>
    </row>
    <row r="488" spans="1:1">
      <c r="A488" s="67"/>
    </row>
    <row r="489" spans="1:1">
      <c r="A489" s="67"/>
    </row>
    <row r="490" spans="1:1">
      <c r="A490" s="67"/>
    </row>
    <row r="491" spans="1:1">
      <c r="A491" s="67"/>
    </row>
    <row r="492" spans="1:1">
      <c r="A492" s="67"/>
    </row>
    <row r="493" spans="1:1">
      <c r="A493" s="67"/>
    </row>
    <row r="494" spans="1:1">
      <c r="A494" s="67"/>
    </row>
    <row r="495" spans="1:1">
      <c r="A495" s="67"/>
    </row>
    <row r="496" spans="1:1">
      <c r="A496" s="67"/>
    </row>
    <row r="497" spans="1:1">
      <c r="A497" s="67"/>
    </row>
    <row r="498" spans="1:1">
      <c r="A498" s="67"/>
    </row>
    <row r="499" spans="1:1">
      <c r="A499" s="67"/>
    </row>
    <row r="500" spans="1:1">
      <c r="A500" s="67"/>
    </row>
    <row r="501" spans="1:1">
      <c r="A501" s="67"/>
    </row>
    <row r="502" spans="1:1">
      <c r="A502" s="67"/>
    </row>
    <row r="503" spans="1:1">
      <c r="A503" s="67"/>
    </row>
    <row r="504" spans="1:1">
      <c r="A504" s="67"/>
    </row>
    <row r="505" spans="1:1">
      <c r="A505" s="67"/>
    </row>
  </sheetData>
  <sheetProtection algorithmName="SHA-512" hashValue="ykZXlSeF0QEkBsrI663wCA/D3iyMeaHUW/jeMmK7/eowqIjIPmaEcsRX082YW2lLR/6yJAJhvENvfUPvUIZblQ==" saltValue="5lv81EGshcD9ScZfENbcY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Q30" sqref="Q30"/>
    </sheetView>
  </sheetViews>
  <sheetFormatPr defaultRowHeight="13.5"/>
  <cols>
    <col min="1" max="1" width="9" style="1" customWidth="1"/>
    <col min="2" max="2" width="18" style="1" customWidth="1"/>
    <col min="3" max="4" width="10" style="1" customWidth="1"/>
    <col min="5" max="64" width="7" style="1" customWidth="1"/>
    <col min="65" max="16384" width="9" style="1"/>
  </cols>
  <sheetData>
    <row r="1" spans="1:64" ht="30" customHeight="1">
      <c r="A1" s="550" t="s">
        <v>43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201" t="s">
        <v>2</v>
      </c>
      <c r="B2" s="201" t="s">
        <v>3</v>
      </c>
      <c r="C2" s="201" t="s">
        <v>44</v>
      </c>
      <c r="D2" s="201" t="s">
        <v>39</v>
      </c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202"/>
      <c r="AQ2" s="202"/>
      <c r="AR2" s="202"/>
      <c r="AS2" s="202"/>
      <c r="AT2" s="202"/>
      <c r="AU2" s="202"/>
      <c r="AV2" s="202"/>
      <c r="AW2" s="202"/>
      <c r="AX2" s="202"/>
      <c r="AY2" s="202"/>
      <c r="AZ2" s="202"/>
      <c r="BA2" s="202"/>
      <c r="BB2" s="202"/>
      <c r="BC2" s="202"/>
      <c r="BD2" s="202"/>
      <c r="BE2" s="202"/>
      <c r="BF2" s="202"/>
      <c r="BG2" s="202"/>
      <c r="BH2" s="202"/>
      <c r="BI2" s="202"/>
      <c r="BJ2" s="202"/>
      <c r="BK2" s="202"/>
      <c r="BL2" s="202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15.95" customHeight="1">
      <c r="A5" s="27" t="str">
        <f>IF(銘柄管理!B5="","",銘柄管理!B5)</f>
        <v>TOPX</v>
      </c>
      <c r="B5" s="44">
        <f>IF(銘柄管理!C5="","",銘柄管理!C5)</f>
        <v>4013.23</v>
      </c>
      <c r="C5" s="45" cm="1">
        <f t="array" ref="C5">_xll.RssIndexMarket("TOPX", "安値")</f>
        <v>3989.06</v>
      </c>
      <c r="D5" s="46">
        <f>IF(OR(C5=0,E5=0),"",C5-E5)</f>
        <v>0</v>
      </c>
      <c r="E5" s="21">
        <v>3989.06</v>
      </c>
      <c r="F5" s="21">
        <v>3980.34</v>
      </c>
      <c r="G5" s="21">
        <v>3927.17</v>
      </c>
      <c r="H5" s="21">
        <v>3859.97</v>
      </c>
      <c r="I5" s="21">
        <v>3766</v>
      </c>
      <c r="J5" s="21">
        <v>3828.49</v>
      </c>
      <c r="K5" s="21">
        <v>3820.06</v>
      </c>
      <c r="L5" s="21">
        <v>3931.13</v>
      </c>
      <c r="M5" s="21">
        <v>3932.81</v>
      </c>
      <c r="N5" s="21">
        <v>3943.25</v>
      </c>
      <c r="O5" s="21">
        <v>3874.88</v>
      </c>
      <c r="P5" s="21">
        <v>3914.77</v>
      </c>
      <c r="Q5" s="21">
        <v>3864.22</v>
      </c>
      <c r="R5" s="21">
        <v>3917.49</v>
      </c>
      <c r="S5" s="21">
        <v>3891.62</v>
      </c>
      <c r="T5" s="21">
        <v>3855.77</v>
      </c>
      <c r="U5" s="21">
        <v>3816.66</v>
      </c>
      <c r="V5" s="21">
        <v>3764.5</v>
      </c>
      <c r="W5" s="21">
        <v>3833.64</v>
      </c>
      <c r="X5" s="21">
        <v>3814.22</v>
      </c>
      <c r="Y5" s="21">
        <v>3830.54</v>
      </c>
      <c r="Z5" s="21">
        <v>3877.44</v>
      </c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</row>
    <row r="6" spans="1:64" ht="15.95" customHeight="1">
      <c r="A6" s="68" t="s">
        <v>263</v>
      </c>
      <c r="B6" s="44" t="s">
        <v>477</v>
      </c>
      <c r="C6" s="48">
        <f>_xll.RssMarket("5706","安値")</f>
        <v>46090</v>
      </c>
      <c r="D6" s="16">
        <f t="shared" ref="D6:D69" si="0">C6-E6</f>
        <v>0</v>
      </c>
      <c r="E6" s="21">
        <v>46090</v>
      </c>
      <c r="F6" s="21">
        <v>44990</v>
      </c>
      <c r="G6" s="21">
        <v>44610</v>
      </c>
      <c r="H6" s="21">
        <v>40530</v>
      </c>
      <c r="I6" s="21">
        <v>35040</v>
      </c>
      <c r="J6" s="21">
        <v>36240</v>
      </c>
      <c r="K6" s="21">
        <v>40040</v>
      </c>
      <c r="L6" s="21">
        <v>42530</v>
      </c>
      <c r="M6" s="21">
        <v>45100</v>
      </c>
      <c r="N6" s="21">
        <v>47220</v>
      </c>
      <c r="O6" s="21">
        <v>48260</v>
      </c>
      <c r="P6" s="21">
        <v>48810</v>
      </c>
      <c r="Q6" s="21">
        <v>47830</v>
      </c>
      <c r="R6" s="21">
        <v>51630</v>
      </c>
      <c r="S6" s="21">
        <v>50080</v>
      </c>
      <c r="T6" s="21">
        <v>47080</v>
      </c>
      <c r="U6" s="21">
        <v>44570</v>
      </c>
      <c r="V6" s="21">
        <v>43020</v>
      </c>
      <c r="W6" s="21">
        <v>43900</v>
      </c>
      <c r="X6" s="21">
        <v>45210</v>
      </c>
      <c r="Y6" s="21">
        <v>45280</v>
      </c>
      <c r="Z6" s="21">
        <v>47900</v>
      </c>
      <c r="AA6" s="21">
        <v>49810</v>
      </c>
      <c r="AB6" s="21">
        <v>49640</v>
      </c>
      <c r="AC6" s="21">
        <v>50300</v>
      </c>
      <c r="AD6" s="21">
        <v>47320</v>
      </c>
      <c r="AE6" s="21">
        <v>45500</v>
      </c>
      <c r="AF6" s="21">
        <v>41050</v>
      </c>
      <c r="AG6" s="21">
        <v>40560</v>
      </c>
      <c r="AH6" s="21">
        <v>39380</v>
      </c>
      <c r="AI6" s="21">
        <v>37120</v>
      </c>
      <c r="AJ6" s="21">
        <v>37620</v>
      </c>
      <c r="AK6" s="21">
        <v>36400</v>
      </c>
      <c r="AL6" s="21">
        <v>36230</v>
      </c>
      <c r="AM6" s="21">
        <v>35770</v>
      </c>
      <c r="AN6" s="21">
        <v>35400</v>
      </c>
      <c r="AO6" s="21">
        <v>36390</v>
      </c>
      <c r="AP6" s="22">
        <v>35730</v>
      </c>
      <c r="AQ6" s="22">
        <v>35380</v>
      </c>
      <c r="AR6" s="22">
        <v>37950</v>
      </c>
      <c r="AS6" s="22">
        <v>35470</v>
      </c>
      <c r="AT6" s="22">
        <v>34800</v>
      </c>
      <c r="AU6" s="22">
        <v>33740</v>
      </c>
      <c r="AV6" s="22">
        <v>33470</v>
      </c>
      <c r="AW6" s="22">
        <v>30850</v>
      </c>
      <c r="AX6" s="22">
        <v>31300</v>
      </c>
      <c r="AY6" s="22">
        <v>30800</v>
      </c>
      <c r="AZ6" s="22">
        <v>29250</v>
      </c>
      <c r="BA6" s="22">
        <v>29685</v>
      </c>
      <c r="BB6" s="22">
        <v>27390</v>
      </c>
      <c r="BC6" s="22">
        <v>28990</v>
      </c>
      <c r="BD6" s="22">
        <v>29350</v>
      </c>
      <c r="BE6" s="22">
        <v>30550</v>
      </c>
      <c r="BF6" s="22">
        <v>31010</v>
      </c>
      <c r="BG6" s="22">
        <v>28910</v>
      </c>
      <c r="BH6" s="22">
        <v>27880</v>
      </c>
      <c r="BI6" s="22">
        <v>30270</v>
      </c>
      <c r="BJ6" s="22">
        <v>30700</v>
      </c>
      <c r="BK6" s="22">
        <v>30110</v>
      </c>
      <c r="BL6" s="22">
        <v>30310</v>
      </c>
    </row>
    <row r="7" spans="1:64" ht="15.95" customHeight="1">
      <c r="A7" s="68" t="s">
        <v>264</v>
      </c>
      <c r="B7" s="44" t="s">
        <v>83</v>
      </c>
      <c r="C7" s="48">
        <f>_xll.RssMarket("5423","安値")</f>
        <v>1749</v>
      </c>
      <c r="D7" s="16">
        <f t="shared" si="0"/>
        <v>0</v>
      </c>
      <c r="E7" s="21">
        <v>1749</v>
      </c>
      <c r="F7" s="21">
        <v>1722</v>
      </c>
      <c r="G7" s="21">
        <v>1713</v>
      </c>
      <c r="H7" s="21">
        <v>1703</v>
      </c>
      <c r="I7" s="21">
        <v>1645</v>
      </c>
      <c r="J7" s="21">
        <v>1664</v>
      </c>
      <c r="K7" s="21">
        <v>1683</v>
      </c>
      <c r="L7" s="21">
        <v>1686</v>
      </c>
      <c r="M7" s="21">
        <v>1696</v>
      </c>
      <c r="N7" s="21">
        <v>1681</v>
      </c>
      <c r="O7" s="21">
        <v>1663</v>
      </c>
      <c r="P7" s="21">
        <v>1696</v>
      </c>
      <c r="Q7" s="21">
        <v>1688</v>
      </c>
      <c r="R7" s="21">
        <v>1697</v>
      </c>
      <c r="S7" s="21">
        <v>1700</v>
      </c>
      <c r="T7" s="21">
        <v>1725</v>
      </c>
      <c r="U7" s="21">
        <v>1709</v>
      </c>
      <c r="V7" s="21">
        <v>1694</v>
      </c>
      <c r="W7" s="21">
        <v>1740</v>
      </c>
      <c r="X7" s="21">
        <v>1782</v>
      </c>
      <c r="Y7" s="21">
        <v>1816</v>
      </c>
      <c r="Z7" s="21">
        <v>1717</v>
      </c>
      <c r="AA7" s="21">
        <v>1661</v>
      </c>
      <c r="AB7" s="21">
        <v>1660</v>
      </c>
      <c r="AC7" s="21">
        <v>1642</v>
      </c>
      <c r="AD7" s="21">
        <v>1653</v>
      </c>
      <c r="AE7" s="21">
        <v>1664</v>
      </c>
      <c r="AF7" s="21">
        <v>1659</v>
      </c>
      <c r="AG7" s="21">
        <v>1662</v>
      </c>
      <c r="AH7" s="21">
        <v>1651</v>
      </c>
      <c r="AI7" s="21">
        <v>1605</v>
      </c>
      <c r="AJ7" s="21">
        <v>1616</v>
      </c>
      <c r="AK7" s="21">
        <v>1736</v>
      </c>
      <c r="AL7" s="21">
        <v>1786</v>
      </c>
      <c r="AM7" s="21">
        <v>1783</v>
      </c>
      <c r="AN7" s="21">
        <v>1758</v>
      </c>
      <c r="AO7" s="21">
        <v>1748</v>
      </c>
      <c r="AP7" s="22">
        <v>1741</v>
      </c>
      <c r="AQ7" s="22">
        <v>1707</v>
      </c>
      <c r="AR7" s="22">
        <v>1714</v>
      </c>
      <c r="AS7" s="22">
        <v>1700</v>
      </c>
      <c r="AT7" s="22">
        <v>1736</v>
      </c>
      <c r="AU7" s="22">
        <v>1777</v>
      </c>
      <c r="AV7" s="22">
        <v>1805</v>
      </c>
      <c r="AW7" s="22">
        <v>1781</v>
      </c>
      <c r="AX7" s="22">
        <v>1865</v>
      </c>
      <c r="AY7" s="22">
        <v>1870</v>
      </c>
      <c r="AZ7" s="22">
        <v>1600</v>
      </c>
      <c r="BA7" s="22">
        <v>1599</v>
      </c>
      <c r="BB7" s="22">
        <v>1612</v>
      </c>
      <c r="BC7" s="22">
        <v>1600</v>
      </c>
      <c r="BD7" s="22">
        <v>1640</v>
      </c>
      <c r="BE7" s="22">
        <v>1608</v>
      </c>
      <c r="BF7" s="22">
        <v>1601</v>
      </c>
      <c r="BG7" s="22">
        <v>1577</v>
      </c>
      <c r="BH7" s="22">
        <v>1558</v>
      </c>
      <c r="BI7" s="22">
        <v>1608</v>
      </c>
      <c r="BJ7" s="22">
        <v>1625</v>
      </c>
      <c r="BK7" s="22">
        <v>1620</v>
      </c>
      <c r="BL7" s="22">
        <v>1603</v>
      </c>
    </row>
    <row r="8" spans="1:64" ht="15.95" customHeight="1">
      <c r="A8" s="68" t="s">
        <v>265</v>
      </c>
      <c r="B8" s="44" t="s">
        <v>84</v>
      </c>
      <c r="C8" s="48">
        <f>_xll.RssMarket("5713","安値")</f>
        <v>8779</v>
      </c>
      <c r="D8" s="16">
        <f t="shared" si="0"/>
        <v>0</v>
      </c>
      <c r="E8" s="23">
        <v>8779</v>
      </c>
      <c r="F8" s="23">
        <v>8863</v>
      </c>
      <c r="G8" s="23">
        <v>8851</v>
      </c>
      <c r="H8" s="23">
        <v>8215</v>
      </c>
      <c r="I8" s="23">
        <v>7477</v>
      </c>
      <c r="J8" s="23">
        <v>7597</v>
      </c>
      <c r="K8" s="23">
        <v>7881</v>
      </c>
      <c r="L8" s="23">
        <v>8509</v>
      </c>
      <c r="M8" s="23">
        <v>8617</v>
      </c>
      <c r="N8" s="23">
        <v>9000</v>
      </c>
      <c r="O8" s="23">
        <v>8413</v>
      </c>
      <c r="P8" s="23">
        <v>8810</v>
      </c>
      <c r="Q8" s="23">
        <v>8691</v>
      </c>
      <c r="R8" s="23">
        <v>9580</v>
      </c>
      <c r="S8" s="23">
        <v>9681</v>
      </c>
      <c r="T8" s="23">
        <v>9363</v>
      </c>
      <c r="U8" s="23">
        <v>9003</v>
      </c>
      <c r="V8" s="23">
        <v>8872</v>
      </c>
      <c r="W8" s="23">
        <v>9088</v>
      </c>
      <c r="X8" s="23">
        <v>9538</v>
      </c>
      <c r="Y8" s="23">
        <v>10110</v>
      </c>
      <c r="Z8" s="23">
        <v>10560</v>
      </c>
      <c r="AA8" s="23">
        <v>10620</v>
      </c>
      <c r="AB8" s="23">
        <v>10565</v>
      </c>
      <c r="AC8" s="23">
        <v>9532</v>
      </c>
      <c r="AD8" s="23">
        <v>10030</v>
      </c>
      <c r="AE8" s="23">
        <v>9845</v>
      </c>
      <c r="AF8" s="23">
        <v>9259</v>
      </c>
      <c r="AG8" s="23">
        <v>9306</v>
      </c>
      <c r="AH8" s="23">
        <v>9631</v>
      </c>
      <c r="AI8" s="23">
        <v>9663</v>
      </c>
      <c r="AJ8" s="23">
        <v>9558</v>
      </c>
      <c r="AK8" s="23">
        <v>9826</v>
      </c>
      <c r="AL8" s="23">
        <v>10030</v>
      </c>
      <c r="AM8" s="23">
        <v>10005</v>
      </c>
      <c r="AN8" s="23">
        <v>10150</v>
      </c>
      <c r="AO8" s="23">
        <v>10530</v>
      </c>
      <c r="AP8" s="22">
        <v>10440</v>
      </c>
      <c r="AQ8" s="22">
        <v>10130</v>
      </c>
      <c r="AR8" s="22">
        <v>9755</v>
      </c>
      <c r="AS8" s="22">
        <v>9820</v>
      </c>
      <c r="AT8" s="22">
        <v>9795</v>
      </c>
      <c r="AU8" s="22">
        <v>9988</v>
      </c>
      <c r="AV8" s="22">
        <v>9350</v>
      </c>
      <c r="AW8" s="22">
        <v>9414</v>
      </c>
      <c r="AX8" s="22">
        <v>9427</v>
      </c>
      <c r="AY8" s="22">
        <v>9162</v>
      </c>
      <c r="AZ8" s="22">
        <v>9380</v>
      </c>
      <c r="BA8" s="22">
        <v>8668</v>
      </c>
      <c r="BB8" s="22">
        <v>9036</v>
      </c>
      <c r="BC8" s="22">
        <v>8995</v>
      </c>
      <c r="BD8" s="22">
        <v>9150</v>
      </c>
      <c r="BE8" s="22">
        <v>9082</v>
      </c>
      <c r="BF8" s="22">
        <v>8532</v>
      </c>
      <c r="BG8" s="22">
        <v>8315</v>
      </c>
      <c r="BH8" s="22">
        <v>9137</v>
      </c>
      <c r="BI8" s="22">
        <v>9682</v>
      </c>
      <c r="BJ8" s="22">
        <v>9482</v>
      </c>
      <c r="BK8" s="22">
        <v>9388</v>
      </c>
      <c r="BL8" s="22">
        <v>9752</v>
      </c>
    </row>
    <row r="9" spans="1:64" ht="15.95" customHeight="1">
      <c r="A9" s="68" t="s">
        <v>266</v>
      </c>
      <c r="B9" s="44" t="s">
        <v>85</v>
      </c>
      <c r="C9" s="48">
        <f>_xll.RssMarket("5711","安値")</f>
        <v>4842</v>
      </c>
      <c r="D9" s="16">
        <f t="shared" si="0"/>
        <v>0</v>
      </c>
      <c r="E9" s="22">
        <v>4842</v>
      </c>
      <c r="F9" s="22">
        <v>4898</v>
      </c>
      <c r="G9" s="22">
        <v>4883</v>
      </c>
      <c r="H9" s="22">
        <v>4510</v>
      </c>
      <c r="I9" s="22">
        <v>4276</v>
      </c>
      <c r="J9" s="22">
        <v>4448</v>
      </c>
      <c r="K9" s="22">
        <v>4537</v>
      </c>
      <c r="L9" s="22">
        <v>4850</v>
      </c>
      <c r="M9" s="22">
        <v>4950</v>
      </c>
      <c r="N9" s="22">
        <v>5087</v>
      </c>
      <c r="O9" s="22">
        <v>4920</v>
      </c>
      <c r="P9" s="22">
        <v>5048</v>
      </c>
      <c r="Q9" s="22">
        <v>5036</v>
      </c>
      <c r="R9" s="22">
        <v>5260</v>
      </c>
      <c r="S9" s="22">
        <v>5132</v>
      </c>
      <c r="T9" s="22">
        <v>5036</v>
      </c>
      <c r="U9" s="22">
        <v>4782</v>
      </c>
      <c r="V9" s="22">
        <v>4691</v>
      </c>
      <c r="W9" s="22">
        <v>4903</v>
      </c>
      <c r="X9" s="22">
        <v>5035</v>
      </c>
      <c r="Y9" s="22">
        <v>5321</v>
      </c>
      <c r="Z9" s="22">
        <v>5285</v>
      </c>
      <c r="AA9" s="22">
        <v>5833</v>
      </c>
      <c r="AB9" s="22">
        <v>5560</v>
      </c>
      <c r="AC9" s="22">
        <v>5511</v>
      </c>
      <c r="AD9" s="22">
        <v>5284</v>
      </c>
      <c r="AE9" s="22">
        <v>5243</v>
      </c>
      <c r="AF9" s="22">
        <v>5010</v>
      </c>
      <c r="AG9" s="22">
        <v>4990</v>
      </c>
      <c r="AH9" s="22">
        <v>5145</v>
      </c>
      <c r="AI9" s="22">
        <v>5229</v>
      </c>
      <c r="AJ9" s="22">
        <v>5209</v>
      </c>
      <c r="AK9" s="22">
        <v>5358</v>
      </c>
      <c r="AL9" s="22">
        <v>5500</v>
      </c>
      <c r="AM9" s="22">
        <v>5473</v>
      </c>
      <c r="AN9" s="22">
        <v>5523</v>
      </c>
      <c r="AO9" s="22">
        <v>5678</v>
      </c>
      <c r="AP9" s="22">
        <v>5557</v>
      </c>
      <c r="AQ9" s="22">
        <v>5586</v>
      </c>
      <c r="AR9" s="22">
        <v>5390</v>
      </c>
      <c r="AS9" s="22">
        <v>5505</v>
      </c>
      <c r="AT9" s="22">
        <v>5510</v>
      </c>
      <c r="AU9" s="22">
        <v>5415</v>
      </c>
      <c r="AV9" s="22">
        <v>5144</v>
      </c>
      <c r="AW9" s="22">
        <v>5147</v>
      </c>
      <c r="AX9" s="22">
        <v>5127</v>
      </c>
      <c r="AY9" s="22">
        <v>4988</v>
      </c>
      <c r="AZ9" s="22">
        <v>5017</v>
      </c>
      <c r="BA9" s="22">
        <v>4725</v>
      </c>
      <c r="BB9" s="22">
        <v>4825</v>
      </c>
      <c r="BC9" s="22">
        <v>4951</v>
      </c>
      <c r="BD9" s="22">
        <v>5090</v>
      </c>
      <c r="BE9" s="22">
        <v>5158</v>
      </c>
      <c r="BF9" s="22">
        <v>4818</v>
      </c>
      <c r="BG9" s="22">
        <v>4683</v>
      </c>
      <c r="BH9" s="22">
        <v>5201</v>
      </c>
      <c r="BI9" s="22">
        <v>5256</v>
      </c>
      <c r="BJ9" s="22">
        <v>4890</v>
      </c>
      <c r="BK9" s="22">
        <v>4840</v>
      </c>
      <c r="BL9" s="22">
        <v>4919</v>
      </c>
    </row>
    <row r="10" spans="1:64" ht="15.95" customHeight="1">
      <c r="A10" s="68" t="s">
        <v>267</v>
      </c>
      <c r="B10" s="44" t="s">
        <v>86</v>
      </c>
      <c r="C10" s="48">
        <f>_xll.RssMarket("5714","安値")</f>
        <v>9615</v>
      </c>
      <c r="D10" s="16">
        <f t="shared" si="0"/>
        <v>0</v>
      </c>
      <c r="E10" s="22">
        <v>9615</v>
      </c>
      <c r="F10" s="22">
        <v>9685</v>
      </c>
      <c r="G10" s="22">
        <v>9652</v>
      </c>
      <c r="H10" s="22">
        <v>9139</v>
      </c>
      <c r="I10" s="22">
        <v>8656</v>
      </c>
      <c r="J10" s="22">
        <v>8910</v>
      </c>
      <c r="K10" s="22">
        <v>9165</v>
      </c>
      <c r="L10" s="22">
        <v>9800</v>
      </c>
      <c r="M10" s="22">
        <v>9710</v>
      </c>
      <c r="N10" s="22">
        <v>10230</v>
      </c>
      <c r="O10" s="22">
        <v>9886</v>
      </c>
      <c r="P10" s="22">
        <v>10270</v>
      </c>
      <c r="Q10" s="22">
        <v>10285</v>
      </c>
      <c r="R10" s="22">
        <v>10605</v>
      </c>
      <c r="S10" s="22">
        <v>10720</v>
      </c>
      <c r="T10" s="22">
        <v>10240</v>
      </c>
      <c r="U10" s="22">
        <v>10020</v>
      </c>
      <c r="V10" s="22">
        <v>9897</v>
      </c>
      <c r="W10" s="22">
        <v>10300</v>
      </c>
      <c r="X10" s="22">
        <v>11120</v>
      </c>
      <c r="Y10" s="22">
        <v>11390</v>
      </c>
      <c r="Z10" s="22">
        <v>9914</v>
      </c>
      <c r="AA10" s="22">
        <v>10200</v>
      </c>
      <c r="AB10" s="22">
        <v>10260</v>
      </c>
      <c r="AC10" s="22">
        <v>10270</v>
      </c>
      <c r="AD10" s="22">
        <v>9729</v>
      </c>
      <c r="AE10" s="22">
        <v>9573</v>
      </c>
      <c r="AF10" s="22">
        <v>9390</v>
      </c>
      <c r="AG10" s="22">
        <v>9356</v>
      </c>
      <c r="AH10" s="22">
        <v>9506</v>
      </c>
      <c r="AI10" s="22">
        <v>9378</v>
      </c>
      <c r="AJ10" s="22">
        <v>9524</v>
      </c>
      <c r="AK10" s="22">
        <v>9543</v>
      </c>
      <c r="AL10" s="22">
        <v>9650</v>
      </c>
      <c r="AM10" s="22">
        <v>9838</v>
      </c>
      <c r="AN10" s="22">
        <v>9724</v>
      </c>
      <c r="AO10" s="22">
        <v>9916</v>
      </c>
      <c r="AP10" s="22">
        <v>10065</v>
      </c>
      <c r="AQ10" s="22">
        <v>9920</v>
      </c>
      <c r="AR10" s="22">
        <v>9781</v>
      </c>
      <c r="AS10" s="22">
        <v>9582</v>
      </c>
      <c r="AT10" s="22">
        <v>9718</v>
      </c>
      <c r="AU10" s="22">
        <v>9749</v>
      </c>
      <c r="AV10" s="22">
        <v>9677</v>
      </c>
      <c r="AW10" s="22">
        <v>9100</v>
      </c>
      <c r="AX10" s="22">
        <v>9073</v>
      </c>
      <c r="AY10" s="22">
        <v>9037</v>
      </c>
      <c r="AZ10" s="22">
        <v>8895</v>
      </c>
      <c r="BA10" s="22">
        <v>9044</v>
      </c>
      <c r="BB10" s="22">
        <v>8550</v>
      </c>
      <c r="BC10" s="22">
        <v>8613</v>
      </c>
      <c r="BD10" s="22">
        <v>9196</v>
      </c>
      <c r="BE10" s="22">
        <v>9338</v>
      </c>
      <c r="BF10" s="22">
        <v>9255</v>
      </c>
      <c r="BG10" s="22">
        <v>8765</v>
      </c>
      <c r="BH10" s="22">
        <v>8392</v>
      </c>
      <c r="BI10" s="22">
        <v>9271</v>
      </c>
      <c r="BJ10" s="22">
        <v>9861</v>
      </c>
      <c r="BK10" s="22">
        <v>9559</v>
      </c>
      <c r="BL10" s="22">
        <v>9412</v>
      </c>
    </row>
    <row r="11" spans="1:64" ht="15.95" customHeight="1">
      <c r="A11" s="68" t="s">
        <v>268</v>
      </c>
      <c r="B11" s="44" t="s">
        <v>87</v>
      </c>
      <c r="C11" s="48">
        <f>_xll.RssMarket("6701","安値")</f>
        <v>3796</v>
      </c>
      <c r="D11" s="16">
        <f t="shared" si="0"/>
        <v>0</v>
      </c>
      <c r="E11" s="22">
        <v>3796</v>
      </c>
      <c r="F11" s="22">
        <v>3773</v>
      </c>
      <c r="G11" s="22">
        <v>3818</v>
      </c>
      <c r="H11" s="22">
        <v>3862</v>
      </c>
      <c r="I11" s="22">
        <v>3970</v>
      </c>
      <c r="J11" s="22">
        <v>3921</v>
      </c>
      <c r="K11" s="22">
        <v>4060</v>
      </c>
      <c r="L11" s="22">
        <v>4208</v>
      </c>
      <c r="M11" s="22">
        <v>4178</v>
      </c>
      <c r="N11" s="22">
        <v>4187</v>
      </c>
      <c r="O11" s="22">
        <v>4282</v>
      </c>
      <c r="P11" s="22">
        <v>4076</v>
      </c>
      <c r="Q11" s="22">
        <v>4058</v>
      </c>
      <c r="R11" s="22">
        <v>4002</v>
      </c>
      <c r="S11" s="22">
        <v>4036</v>
      </c>
      <c r="T11" s="22">
        <v>4065</v>
      </c>
      <c r="U11" s="22">
        <v>4118</v>
      </c>
      <c r="V11" s="22">
        <v>4055</v>
      </c>
      <c r="W11" s="22">
        <v>4236</v>
      </c>
      <c r="X11" s="22">
        <v>4093</v>
      </c>
      <c r="Y11" s="22">
        <v>3961</v>
      </c>
      <c r="Z11" s="22">
        <v>3988</v>
      </c>
      <c r="AA11" s="22">
        <v>4169</v>
      </c>
      <c r="AB11" s="22">
        <v>4058</v>
      </c>
      <c r="AC11" s="22">
        <v>4073</v>
      </c>
      <c r="AD11" s="22">
        <v>4095</v>
      </c>
      <c r="AE11" s="22">
        <v>3989</v>
      </c>
      <c r="AF11" s="22">
        <v>3960</v>
      </c>
      <c r="AG11" s="22">
        <v>4027</v>
      </c>
      <c r="AH11" s="22">
        <v>4577</v>
      </c>
      <c r="AI11" s="22">
        <v>4452</v>
      </c>
      <c r="AJ11" s="22">
        <v>4258</v>
      </c>
      <c r="AK11" s="22">
        <v>4411</v>
      </c>
      <c r="AL11" s="22">
        <v>4385</v>
      </c>
      <c r="AM11" s="22">
        <v>4276</v>
      </c>
      <c r="AN11" s="22">
        <v>4328</v>
      </c>
      <c r="AO11" s="22">
        <v>4300</v>
      </c>
      <c r="AP11" s="22">
        <v>4156</v>
      </c>
      <c r="AQ11" s="22">
        <v>4043</v>
      </c>
      <c r="AR11" s="22">
        <v>3792</v>
      </c>
      <c r="AS11" s="22">
        <v>3860</v>
      </c>
      <c r="AT11" s="22">
        <v>4021</v>
      </c>
      <c r="AU11" s="22">
        <v>4120</v>
      </c>
      <c r="AV11" s="22">
        <v>4007</v>
      </c>
      <c r="AW11" s="22">
        <v>3974</v>
      </c>
      <c r="AX11" s="22">
        <v>4021</v>
      </c>
      <c r="AY11" s="22">
        <v>4021</v>
      </c>
      <c r="AZ11" s="22">
        <v>3965</v>
      </c>
      <c r="BA11" s="22">
        <v>3965</v>
      </c>
      <c r="BB11" s="22">
        <v>3937</v>
      </c>
      <c r="BC11" s="22">
        <v>3937</v>
      </c>
      <c r="BD11" s="22">
        <v>3937</v>
      </c>
      <c r="BE11" s="22">
        <v>3805</v>
      </c>
      <c r="BF11" s="22">
        <v>3805</v>
      </c>
      <c r="BG11" s="22">
        <v>3805</v>
      </c>
      <c r="BH11" s="22">
        <v>3697</v>
      </c>
      <c r="BI11" s="22">
        <v>3697</v>
      </c>
      <c r="BJ11" s="22">
        <v>3697</v>
      </c>
      <c r="BK11" s="22">
        <v>3941</v>
      </c>
      <c r="BL11" s="22">
        <v>3941</v>
      </c>
    </row>
    <row r="12" spans="1:64" ht="15.95" customHeight="1">
      <c r="A12" s="68" t="s">
        <v>269</v>
      </c>
      <c r="B12" s="44" t="s">
        <v>88</v>
      </c>
      <c r="C12" s="48">
        <f>_xll.RssMarket("1605","安値")</f>
        <v>3293</v>
      </c>
      <c r="D12" s="16">
        <f t="shared" si="0"/>
        <v>0</v>
      </c>
      <c r="E12" s="22">
        <v>3293</v>
      </c>
      <c r="F12" s="22">
        <v>3361</v>
      </c>
      <c r="G12" s="22">
        <v>3468</v>
      </c>
      <c r="H12" s="22">
        <v>3518</v>
      </c>
      <c r="I12" s="22">
        <v>3561</v>
      </c>
      <c r="J12" s="22">
        <v>3450</v>
      </c>
      <c r="K12" s="22">
        <v>3604</v>
      </c>
      <c r="L12" s="22">
        <v>3639</v>
      </c>
      <c r="M12" s="22">
        <v>3585</v>
      </c>
      <c r="N12" s="22">
        <v>3649</v>
      </c>
      <c r="O12" s="22">
        <v>3428</v>
      </c>
      <c r="P12" s="22">
        <v>3578</v>
      </c>
      <c r="Q12" s="22">
        <v>3588</v>
      </c>
      <c r="R12" s="22">
        <v>3643</v>
      </c>
      <c r="S12" s="22">
        <v>3640</v>
      </c>
      <c r="T12" s="22">
        <v>3778</v>
      </c>
      <c r="U12" s="22">
        <v>3859</v>
      </c>
      <c r="V12" s="22">
        <v>3952</v>
      </c>
      <c r="W12" s="22">
        <v>3948</v>
      </c>
      <c r="X12" s="22">
        <v>3913</v>
      </c>
      <c r="Y12" s="22">
        <v>3788</v>
      </c>
      <c r="Z12" s="22">
        <v>3811</v>
      </c>
      <c r="AA12" s="22">
        <v>3921</v>
      </c>
      <c r="AB12" s="22">
        <v>3900</v>
      </c>
      <c r="AC12" s="22">
        <v>3776</v>
      </c>
      <c r="AD12" s="22">
        <v>3719</v>
      </c>
      <c r="AE12" s="22">
        <v>3821</v>
      </c>
      <c r="AF12" s="22">
        <v>4043</v>
      </c>
      <c r="AG12" s="22">
        <v>4063</v>
      </c>
      <c r="AH12" s="22">
        <v>3985</v>
      </c>
      <c r="AI12" s="22">
        <v>3882</v>
      </c>
      <c r="AJ12" s="22">
        <v>3969</v>
      </c>
      <c r="AK12" s="22">
        <v>3840</v>
      </c>
      <c r="AL12" s="22">
        <v>3805</v>
      </c>
      <c r="AM12" s="22">
        <v>3785</v>
      </c>
      <c r="AN12" s="22">
        <v>3831</v>
      </c>
      <c r="AO12" s="22">
        <v>3908</v>
      </c>
      <c r="AP12" s="22">
        <v>3948</v>
      </c>
      <c r="AQ12" s="22">
        <v>3990</v>
      </c>
      <c r="AR12" s="22">
        <v>4094</v>
      </c>
      <c r="AS12" s="22">
        <v>4237</v>
      </c>
      <c r="AT12" s="22">
        <v>4122</v>
      </c>
      <c r="AU12" s="22">
        <v>4182</v>
      </c>
      <c r="AV12" s="22">
        <v>4055</v>
      </c>
      <c r="AW12" s="22">
        <v>4480</v>
      </c>
      <c r="AX12" s="22">
        <v>4512</v>
      </c>
      <c r="AY12" s="22">
        <v>4550</v>
      </c>
      <c r="AZ12" s="22">
        <v>4313</v>
      </c>
      <c r="BA12" s="22">
        <v>4521</v>
      </c>
      <c r="BB12" s="22">
        <v>4678</v>
      </c>
      <c r="BC12" s="22">
        <v>4801</v>
      </c>
      <c r="BD12" s="22">
        <v>4652</v>
      </c>
      <c r="BE12" s="22">
        <v>4576</v>
      </c>
      <c r="BF12" s="22">
        <v>4369</v>
      </c>
      <c r="BG12" s="22">
        <v>4405</v>
      </c>
      <c r="BH12" s="22">
        <v>4391</v>
      </c>
      <c r="BI12" s="22">
        <v>4700</v>
      </c>
      <c r="BJ12" s="22">
        <v>4527</v>
      </c>
      <c r="BK12" s="22">
        <v>4352</v>
      </c>
      <c r="BL12" s="22">
        <v>4343</v>
      </c>
    </row>
    <row r="13" spans="1:64" ht="15.95" customHeight="1">
      <c r="A13" s="68" t="s">
        <v>270</v>
      </c>
      <c r="B13" s="44" t="s">
        <v>89</v>
      </c>
      <c r="C13" s="48">
        <f>_xll.RssMarket("5703","安値")</f>
        <v>2945</v>
      </c>
      <c r="D13" s="16">
        <f t="shared" si="0"/>
        <v>0</v>
      </c>
      <c r="E13" s="22">
        <v>2945</v>
      </c>
      <c r="F13" s="22">
        <v>2999</v>
      </c>
      <c r="G13" s="22">
        <v>3075</v>
      </c>
      <c r="H13" s="22">
        <v>3015</v>
      </c>
      <c r="I13" s="22">
        <v>2893</v>
      </c>
      <c r="J13" s="22">
        <v>3040</v>
      </c>
      <c r="K13" s="22">
        <v>3090</v>
      </c>
      <c r="L13" s="22">
        <v>3115</v>
      </c>
      <c r="M13" s="22">
        <v>3145</v>
      </c>
      <c r="N13" s="22">
        <v>3215</v>
      </c>
      <c r="O13" s="22">
        <v>3045</v>
      </c>
      <c r="P13" s="22">
        <v>3150</v>
      </c>
      <c r="Q13" s="22">
        <v>3040</v>
      </c>
      <c r="R13" s="22">
        <v>3195</v>
      </c>
      <c r="S13" s="22">
        <v>3145</v>
      </c>
      <c r="T13" s="22">
        <v>3035</v>
      </c>
      <c r="U13" s="22">
        <v>3030</v>
      </c>
      <c r="V13" s="22">
        <v>3000</v>
      </c>
      <c r="W13" s="22">
        <v>3035</v>
      </c>
      <c r="X13" s="22">
        <v>3010</v>
      </c>
      <c r="Y13" s="22">
        <v>3025</v>
      </c>
      <c r="Z13" s="22">
        <v>2907</v>
      </c>
      <c r="AA13" s="22">
        <v>2911</v>
      </c>
      <c r="AB13" s="22">
        <v>2901</v>
      </c>
      <c r="AC13" s="22">
        <v>2869</v>
      </c>
      <c r="AD13" s="22">
        <v>2820</v>
      </c>
      <c r="AE13" s="22">
        <v>2856</v>
      </c>
      <c r="AF13" s="22">
        <v>2703</v>
      </c>
      <c r="AG13" s="22">
        <v>2788</v>
      </c>
      <c r="AH13" s="22">
        <v>2838</v>
      </c>
      <c r="AI13" s="22">
        <v>2838</v>
      </c>
      <c r="AJ13" s="22">
        <v>2831</v>
      </c>
      <c r="AK13" s="22">
        <v>2809</v>
      </c>
      <c r="AL13" s="22">
        <v>2898</v>
      </c>
      <c r="AM13" s="22">
        <v>2954</v>
      </c>
      <c r="AN13" s="22">
        <v>2934</v>
      </c>
      <c r="AO13" s="22">
        <v>2979</v>
      </c>
      <c r="AP13" s="22">
        <v>3015</v>
      </c>
      <c r="AQ13" s="22">
        <v>3000</v>
      </c>
      <c r="AR13" s="22">
        <v>3020</v>
      </c>
      <c r="AS13" s="22">
        <v>2959</v>
      </c>
      <c r="AT13" s="22">
        <v>2964</v>
      </c>
      <c r="AU13" s="22">
        <v>2923</v>
      </c>
      <c r="AV13" s="22">
        <v>2936</v>
      </c>
      <c r="AW13" s="22">
        <v>2860</v>
      </c>
      <c r="AX13" s="22">
        <v>2867</v>
      </c>
      <c r="AY13" s="22">
        <v>2801</v>
      </c>
      <c r="AZ13" s="22">
        <v>2756</v>
      </c>
      <c r="BA13" s="22">
        <v>2831</v>
      </c>
      <c r="BB13" s="22">
        <v>2633</v>
      </c>
      <c r="BC13" s="22">
        <v>2571</v>
      </c>
      <c r="BD13" s="22">
        <v>2671</v>
      </c>
      <c r="BE13" s="22">
        <v>2677</v>
      </c>
      <c r="BF13" s="22">
        <v>2701</v>
      </c>
      <c r="BG13" s="22">
        <v>2597</v>
      </c>
      <c r="BH13" s="22">
        <v>2511</v>
      </c>
      <c r="BI13" s="22">
        <v>2726</v>
      </c>
      <c r="BJ13" s="22">
        <v>2839</v>
      </c>
      <c r="BK13" s="22">
        <v>2803</v>
      </c>
      <c r="BL13" s="22">
        <v>2782</v>
      </c>
    </row>
    <row r="14" spans="1:64" ht="15.95" customHeight="1">
      <c r="A14" s="68" t="s">
        <v>271</v>
      </c>
      <c r="B14" s="44" t="s">
        <v>90</v>
      </c>
      <c r="C14" s="48">
        <f>_xll.RssMarket("8002","安値")</f>
        <v>4886</v>
      </c>
      <c r="D14" s="16">
        <f t="shared" si="0"/>
        <v>0</v>
      </c>
      <c r="E14" s="22">
        <v>4886</v>
      </c>
      <c r="F14" s="22">
        <v>4900</v>
      </c>
      <c r="G14" s="22">
        <v>4994</v>
      </c>
      <c r="H14" s="22">
        <v>4848</v>
      </c>
      <c r="I14" s="22">
        <v>4713</v>
      </c>
      <c r="J14" s="22">
        <v>4747</v>
      </c>
      <c r="K14" s="22">
        <v>4820</v>
      </c>
      <c r="L14" s="22">
        <v>4983</v>
      </c>
      <c r="M14" s="22">
        <v>4947</v>
      </c>
      <c r="N14" s="22">
        <v>4873</v>
      </c>
      <c r="O14" s="22">
        <v>4823</v>
      </c>
      <c r="P14" s="22">
        <v>5135</v>
      </c>
      <c r="Q14" s="22">
        <v>5150</v>
      </c>
      <c r="R14" s="22">
        <v>5220</v>
      </c>
      <c r="S14" s="22">
        <v>5216</v>
      </c>
      <c r="T14" s="22">
        <v>5235</v>
      </c>
      <c r="U14" s="22">
        <v>5322</v>
      </c>
      <c r="V14" s="22">
        <v>5287</v>
      </c>
      <c r="W14" s="22">
        <v>5525</v>
      </c>
      <c r="X14" s="22">
        <v>5596</v>
      </c>
      <c r="Y14" s="22">
        <v>5792</v>
      </c>
      <c r="Z14" s="22">
        <v>5800</v>
      </c>
      <c r="AA14" s="22">
        <v>5551</v>
      </c>
      <c r="AB14" s="22">
        <v>5433</v>
      </c>
      <c r="AC14" s="22">
        <v>5351</v>
      </c>
      <c r="AD14" s="22">
        <v>5366</v>
      </c>
      <c r="AE14" s="22">
        <v>5375</v>
      </c>
      <c r="AF14" s="22">
        <v>5744</v>
      </c>
      <c r="AG14" s="22">
        <v>5956</v>
      </c>
      <c r="AH14" s="22">
        <v>5966</v>
      </c>
      <c r="AI14" s="22">
        <v>5822</v>
      </c>
      <c r="AJ14" s="22">
        <v>5916</v>
      </c>
      <c r="AK14" s="22">
        <v>5792</v>
      </c>
      <c r="AL14" s="22">
        <v>5832</v>
      </c>
      <c r="AM14" s="22">
        <v>5852</v>
      </c>
      <c r="AN14" s="22">
        <v>5872</v>
      </c>
      <c r="AO14" s="22">
        <v>5838</v>
      </c>
      <c r="AP14" s="22">
        <v>5899</v>
      </c>
      <c r="AQ14" s="22">
        <v>5882</v>
      </c>
      <c r="AR14" s="22">
        <v>5902</v>
      </c>
      <c r="AS14" s="22">
        <v>5861</v>
      </c>
      <c r="AT14" s="22">
        <v>5892</v>
      </c>
      <c r="AU14" s="22">
        <v>6061</v>
      </c>
      <c r="AV14" s="22">
        <v>6042</v>
      </c>
      <c r="AW14" s="22">
        <v>5851</v>
      </c>
      <c r="AX14" s="22">
        <v>5890</v>
      </c>
      <c r="AY14" s="22">
        <v>5888</v>
      </c>
      <c r="AZ14" s="22">
        <v>5851</v>
      </c>
      <c r="BA14" s="22">
        <v>5789</v>
      </c>
      <c r="BB14" s="22">
        <v>5556</v>
      </c>
      <c r="BC14" s="22">
        <v>5382</v>
      </c>
      <c r="BD14" s="22">
        <v>5582</v>
      </c>
      <c r="BE14" s="22">
        <v>5570</v>
      </c>
      <c r="BF14" s="22">
        <v>5523</v>
      </c>
      <c r="BG14" s="22">
        <v>5229</v>
      </c>
      <c r="BH14" s="22">
        <v>5115</v>
      </c>
      <c r="BI14" s="22">
        <v>5495</v>
      </c>
      <c r="BJ14" s="22">
        <v>5676</v>
      </c>
      <c r="BK14" s="22">
        <v>5654</v>
      </c>
      <c r="BL14" s="22">
        <v>5530</v>
      </c>
    </row>
    <row r="15" spans="1:64" ht="15.95" customHeight="1">
      <c r="A15" s="68" t="s">
        <v>272</v>
      </c>
      <c r="B15" s="44" t="s">
        <v>91</v>
      </c>
      <c r="C15" s="48">
        <f>_xll.RssMarket("5021","安値")</f>
        <v>3617</v>
      </c>
      <c r="D15" s="16">
        <f t="shared" si="0"/>
        <v>0</v>
      </c>
      <c r="E15" s="22">
        <v>3617</v>
      </c>
      <c r="F15" s="22">
        <v>3622</v>
      </c>
      <c r="G15" s="22">
        <v>3600</v>
      </c>
      <c r="H15" s="22">
        <v>3503</v>
      </c>
      <c r="I15" s="22">
        <v>3451</v>
      </c>
      <c r="J15" s="22">
        <v>3452</v>
      </c>
      <c r="K15" s="22">
        <v>3533</v>
      </c>
      <c r="L15" s="22">
        <v>3595</v>
      </c>
      <c r="M15" s="22">
        <v>3636</v>
      </c>
      <c r="N15" s="22">
        <v>3701</v>
      </c>
      <c r="O15" s="22">
        <v>3634</v>
      </c>
      <c r="P15" s="22">
        <v>3676</v>
      </c>
      <c r="Q15" s="22">
        <v>3635</v>
      </c>
      <c r="R15" s="22">
        <v>3630</v>
      </c>
      <c r="S15" s="22">
        <v>3676</v>
      </c>
      <c r="T15" s="22">
        <v>3675</v>
      </c>
      <c r="U15" s="22">
        <v>3689</v>
      </c>
      <c r="V15" s="22">
        <v>3705</v>
      </c>
      <c r="W15" s="22">
        <v>3732</v>
      </c>
      <c r="X15" s="22">
        <v>3733</v>
      </c>
      <c r="Y15" s="22">
        <v>3778</v>
      </c>
      <c r="Z15" s="22">
        <v>3737</v>
      </c>
      <c r="AA15" s="22">
        <v>3760</v>
      </c>
      <c r="AB15" s="22">
        <v>3952</v>
      </c>
      <c r="AC15" s="22">
        <v>3925</v>
      </c>
      <c r="AD15" s="22">
        <v>3868</v>
      </c>
      <c r="AE15" s="22">
        <v>3853</v>
      </c>
      <c r="AF15" s="22">
        <v>3938</v>
      </c>
      <c r="AG15" s="22">
        <v>3919</v>
      </c>
      <c r="AH15" s="22">
        <v>3895</v>
      </c>
      <c r="AI15" s="22">
        <v>3831</v>
      </c>
      <c r="AJ15" s="22">
        <v>3906</v>
      </c>
      <c r="AK15" s="22">
        <v>3863</v>
      </c>
      <c r="AL15" s="22">
        <v>4067</v>
      </c>
      <c r="AM15" s="22">
        <v>4185</v>
      </c>
      <c r="AN15" s="22">
        <v>4228</v>
      </c>
      <c r="AO15" s="22">
        <v>4342</v>
      </c>
      <c r="AP15" s="22">
        <v>4356</v>
      </c>
      <c r="AQ15" s="22">
        <v>4330</v>
      </c>
      <c r="AR15" s="22">
        <v>4303</v>
      </c>
      <c r="AS15" s="22">
        <v>4350</v>
      </c>
      <c r="AT15" s="22">
        <v>4419</v>
      </c>
      <c r="AU15" s="22">
        <v>4477</v>
      </c>
      <c r="AV15" s="22">
        <v>4445</v>
      </c>
      <c r="AW15" s="22">
        <v>4491</v>
      </c>
      <c r="AX15" s="22">
        <v>4461</v>
      </c>
      <c r="AY15" s="22">
        <v>4458</v>
      </c>
      <c r="AZ15" s="22">
        <v>4442</v>
      </c>
      <c r="BA15" s="22">
        <v>4478</v>
      </c>
      <c r="BB15" s="22">
        <v>4432</v>
      </c>
      <c r="BC15" s="22">
        <v>4400</v>
      </c>
      <c r="BD15" s="22">
        <v>4543</v>
      </c>
      <c r="BE15" s="22">
        <v>4494</v>
      </c>
      <c r="BF15" s="22">
        <v>4494</v>
      </c>
      <c r="BG15" s="22">
        <v>4476</v>
      </c>
      <c r="BH15" s="22">
        <v>4341</v>
      </c>
      <c r="BI15" s="22">
        <v>4563</v>
      </c>
      <c r="BJ15" s="22">
        <v>4598</v>
      </c>
      <c r="BK15" s="22">
        <v>4424</v>
      </c>
      <c r="BL15" s="22">
        <v>4439</v>
      </c>
    </row>
    <row r="16" spans="1:64" ht="15.95" customHeight="1">
      <c r="A16" s="68" t="s">
        <v>273</v>
      </c>
      <c r="B16" s="44" t="s">
        <v>92</v>
      </c>
      <c r="C16" s="48">
        <f>_xll.RssMarket("8058","安値")</f>
        <v>4595</v>
      </c>
      <c r="D16" s="16">
        <f t="shared" si="0"/>
        <v>0</v>
      </c>
      <c r="E16" s="22">
        <v>4595</v>
      </c>
      <c r="F16" s="22">
        <v>4588</v>
      </c>
      <c r="G16" s="22">
        <v>4728</v>
      </c>
      <c r="H16" s="22">
        <v>4610</v>
      </c>
      <c r="I16" s="22">
        <v>4522</v>
      </c>
      <c r="J16" s="22">
        <v>4575</v>
      </c>
      <c r="K16" s="22">
        <v>4760</v>
      </c>
      <c r="L16" s="22">
        <v>4855</v>
      </c>
      <c r="M16" s="22">
        <v>4871</v>
      </c>
      <c r="N16" s="22">
        <v>4931</v>
      </c>
      <c r="O16" s="22">
        <v>4864</v>
      </c>
      <c r="P16" s="22">
        <v>4966</v>
      </c>
      <c r="Q16" s="22">
        <v>5003</v>
      </c>
      <c r="R16" s="22">
        <v>5093</v>
      </c>
      <c r="S16" s="22">
        <v>5283</v>
      </c>
      <c r="T16" s="22">
        <v>5290</v>
      </c>
      <c r="U16" s="22">
        <v>5345</v>
      </c>
      <c r="V16" s="22">
        <v>5362</v>
      </c>
      <c r="W16" s="22">
        <v>5492</v>
      </c>
      <c r="X16" s="22">
        <v>5500</v>
      </c>
      <c r="Y16" s="22">
        <v>5780</v>
      </c>
      <c r="Z16" s="22">
        <v>5774</v>
      </c>
      <c r="AA16" s="22">
        <v>5625</v>
      </c>
      <c r="AB16" s="22">
        <v>5301</v>
      </c>
      <c r="AC16" s="22">
        <v>5175</v>
      </c>
      <c r="AD16" s="22">
        <v>5169</v>
      </c>
      <c r="AE16" s="22">
        <v>5108</v>
      </c>
      <c r="AF16" s="22">
        <v>4842</v>
      </c>
      <c r="AG16" s="22">
        <v>4867</v>
      </c>
      <c r="AH16" s="22">
        <v>4835</v>
      </c>
      <c r="AI16" s="22">
        <v>4738</v>
      </c>
      <c r="AJ16" s="22">
        <v>4824</v>
      </c>
      <c r="AK16" s="22">
        <v>4693</v>
      </c>
      <c r="AL16" s="22">
        <v>4744</v>
      </c>
      <c r="AM16" s="22">
        <v>4844</v>
      </c>
      <c r="AN16" s="22">
        <v>4891</v>
      </c>
      <c r="AO16" s="22">
        <v>4938</v>
      </c>
      <c r="AP16" s="22">
        <v>5002</v>
      </c>
      <c r="AQ16" s="22">
        <v>4977</v>
      </c>
      <c r="AR16" s="22">
        <v>5182</v>
      </c>
      <c r="AS16" s="22">
        <v>5255</v>
      </c>
      <c r="AT16" s="22">
        <v>5307</v>
      </c>
      <c r="AU16" s="22">
        <v>5382</v>
      </c>
      <c r="AV16" s="22">
        <v>5411</v>
      </c>
      <c r="AW16" s="22">
        <v>5361</v>
      </c>
      <c r="AX16" s="22">
        <v>5398</v>
      </c>
      <c r="AY16" s="22">
        <v>5400</v>
      </c>
      <c r="AZ16" s="22">
        <v>5385</v>
      </c>
      <c r="BA16" s="22">
        <v>5424</v>
      </c>
      <c r="BB16" s="22">
        <v>5317</v>
      </c>
      <c r="BC16" s="22">
        <v>5497</v>
      </c>
      <c r="BD16" s="22">
        <v>5602</v>
      </c>
      <c r="BE16" s="22">
        <v>5589</v>
      </c>
      <c r="BF16" s="22">
        <v>5518</v>
      </c>
      <c r="BG16" s="22">
        <v>5318</v>
      </c>
      <c r="BH16" s="22">
        <v>5145</v>
      </c>
      <c r="BI16" s="22">
        <v>5397</v>
      </c>
      <c r="BJ16" s="22">
        <v>5450</v>
      </c>
      <c r="BK16" s="22">
        <v>5255</v>
      </c>
      <c r="BL16" s="22">
        <v>5104</v>
      </c>
    </row>
    <row r="17" spans="1:64" ht="15.95" customHeight="1">
      <c r="A17" s="68" t="s">
        <v>274</v>
      </c>
      <c r="B17" s="44" t="s">
        <v>93</v>
      </c>
      <c r="C17" s="48">
        <f>_xll.RssMarket("5333","安値")</f>
        <v>6706</v>
      </c>
      <c r="D17" s="16">
        <f t="shared" si="0"/>
        <v>0</v>
      </c>
      <c r="E17" s="22">
        <v>6706</v>
      </c>
      <c r="F17" s="22">
        <v>6619</v>
      </c>
      <c r="G17" s="22">
        <v>6383</v>
      </c>
      <c r="H17" s="22">
        <v>6106</v>
      </c>
      <c r="I17" s="22">
        <v>5551</v>
      </c>
      <c r="J17" s="22">
        <v>5913</v>
      </c>
      <c r="K17" s="22">
        <v>5966</v>
      </c>
      <c r="L17" s="22">
        <v>6386</v>
      </c>
      <c r="M17" s="22">
        <v>6184</v>
      </c>
      <c r="N17" s="22">
        <v>6265</v>
      </c>
      <c r="O17" s="22">
        <v>6063</v>
      </c>
      <c r="P17" s="22">
        <v>6103</v>
      </c>
      <c r="Q17" s="22">
        <v>5862</v>
      </c>
      <c r="R17" s="22">
        <v>6069</v>
      </c>
      <c r="S17" s="22">
        <v>5906</v>
      </c>
      <c r="T17" s="22">
        <v>5755</v>
      </c>
      <c r="U17" s="22">
        <v>5543</v>
      </c>
      <c r="V17" s="22">
        <v>5292</v>
      </c>
      <c r="W17" s="22">
        <v>5470</v>
      </c>
      <c r="X17" s="22">
        <v>5570</v>
      </c>
      <c r="Y17" s="22">
        <v>5613</v>
      </c>
      <c r="Z17" s="22">
        <v>5707</v>
      </c>
      <c r="AA17" s="22">
        <v>5521</v>
      </c>
      <c r="AB17" s="22">
        <v>5534</v>
      </c>
      <c r="AC17" s="22">
        <v>5444</v>
      </c>
      <c r="AD17" s="22">
        <v>5218</v>
      </c>
      <c r="AE17" s="22">
        <v>5245</v>
      </c>
      <c r="AF17" s="22">
        <v>4887</v>
      </c>
      <c r="AG17" s="22">
        <v>4563</v>
      </c>
      <c r="AH17" s="22">
        <v>4613</v>
      </c>
      <c r="AI17" s="22">
        <v>4422</v>
      </c>
      <c r="AJ17" s="22">
        <v>4386</v>
      </c>
      <c r="AK17" s="22">
        <v>4322</v>
      </c>
      <c r="AL17" s="22">
        <v>4426</v>
      </c>
      <c r="AM17" s="22">
        <v>4530</v>
      </c>
      <c r="AN17" s="22">
        <v>4510</v>
      </c>
      <c r="AO17" s="22">
        <v>4473</v>
      </c>
      <c r="AP17" s="22">
        <v>4423</v>
      </c>
      <c r="AQ17" s="22">
        <v>4420</v>
      </c>
      <c r="AR17" s="22">
        <v>4422</v>
      </c>
      <c r="AS17" s="22">
        <v>4381</v>
      </c>
      <c r="AT17" s="22">
        <v>4411</v>
      </c>
      <c r="AU17" s="22">
        <v>4350</v>
      </c>
      <c r="AV17" s="22">
        <v>4280</v>
      </c>
      <c r="AW17" s="22">
        <v>4100</v>
      </c>
      <c r="AX17" s="22">
        <v>4120</v>
      </c>
      <c r="AY17" s="22">
        <v>4091</v>
      </c>
      <c r="AZ17" s="22">
        <v>4056</v>
      </c>
      <c r="BA17" s="22">
        <v>4084</v>
      </c>
      <c r="BB17" s="22">
        <v>3906</v>
      </c>
      <c r="BC17" s="22">
        <v>3846</v>
      </c>
      <c r="BD17" s="22">
        <v>4071</v>
      </c>
      <c r="BE17" s="22">
        <v>4106</v>
      </c>
      <c r="BF17" s="22">
        <v>4041</v>
      </c>
      <c r="BG17" s="22">
        <v>3875</v>
      </c>
      <c r="BH17" s="22">
        <v>3722</v>
      </c>
      <c r="BI17" s="22">
        <v>3956</v>
      </c>
      <c r="BJ17" s="22">
        <v>4068</v>
      </c>
      <c r="BK17" s="22">
        <v>4035</v>
      </c>
      <c r="BL17" s="22">
        <v>3958</v>
      </c>
    </row>
    <row r="18" spans="1:64" ht="15.95" customHeight="1">
      <c r="A18" s="68" t="s">
        <v>275</v>
      </c>
      <c r="B18" s="44" t="s">
        <v>94</v>
      </c>
      <c r="C18" s="48">
        <f>_xll.RssMarket("1662","安値")</f>
        <v>1621</v>
      </c>
      <c r="D18" s="16">
        <f t="shared" si="0"/>
        <v>0</v>
      </c>
      <c r="E18" s="22">
        <v>1621</v>
      </c>
      <c r="F18" s="22">
        <v>1628</v>
      </c>
      <c r="G18" s="22">
        <v>1635</v>
      </c>
      <c r="H18" s="22">
        <v>1627</v>
      </c>
      <c r="I18" s="22">
        <v>1646</v>
      </c>
      <c r="J18" s="22">
        <v>1631</v>
      </c>
      <c r="K18" s="22">
        <v>1702</v>
      </c>
      <c r="L18" s="22">
        <v>1718</v>
      </c>
      <c r="M18" s="22">
        <v>1708</v>
      </c>
      <c r="N18" s="22">
        <v>1741</v>
      </c>
      <c r="O18" s="22">
        <v>1744</v>
      </c>
      <c r="P18" s="22">
        <v>1789</v>
      </c>
      <c r="Q18" s="22">
        <v>1832</v>
      </c>
      <c r="R18" s="22">
        <v>1839</v>
      </c>
      <c r="S18" s="22">
        <v>1808</v>
      </c>
      <c r="T18" s="22">
        <v>1867</v>
      </c>
      <c r="U18" s="22">
        <v>1878</v>
      </c>
      <c r="V18" s="22">
        <v>1982</v>
      </c>
      <c r="W18" s="22">
        <v>1933</v>
      </c>
      <c r="X18" s="22">
        <v>1924</v>
      </c>
      <c r="Y18" s="22">
        <v>1919</v>
      </c>
      <c r="Z18" s="22">
        <v>1933</v>
      </c>
      <c r="AA18" s="22">
        <v>1972</v>
      </c>
      <c r="AB18" s="22">
        <v>2169</v>
      </c>
      <c r="AC18" s="22">
        <v>2130</v>
      </c>
      <c r="AD18" s="22">
        <v>2084</v>
      </c>
      <c r="AE18" s="22">
        <v>2050</v>
      </c>
      <c r="AF18" s="22">
        <v>2196</v>
      </c>
      <c r="AG18" s="22">
        <v>2235</v>
      </c>
      <c r="AH18" s="22">
        <v>2191</v>
      </c>
      <c r="AI18" s="22">
        <v>2151</v>
      </c>
      <c r="AJ18" s="22">
        <v>2246</v>
      </c>
      <c r="AK18" s="22">
        <v>2182</v>
      </c>
      <c r="AL18" s="22">
        <v>2126</v>
      </c>
      <c r="AM18" s="22">
        <v>2095</v>
      </c>
      <c r="AN18" s="22">
        <v>2130</v>
      </c>
      <c r="AO18" s="22">
        <v>2336</v>
      </c>
      <c r="AP18" s="22">
        <v>2374</v>
      </c>
      <c r="AQ18" s="22">
        <v>2396</v>
      </c>
      <c r="AR18" s="22">
        <v>2365</v>
      </c>
      <c r="AS18" s="22">
        <v>2474</v>
      </c>
      <c r="AT18" s="22">
        <v>2378</v>
      </c>
      <c r="AU18" s="22">
        <v>2444</v>
      </c>
      <c r="AV18" s="22">
        <v>2414</v>
      </c>
      <c r="AW18" s="22">
        <v>2508</v>
      </c>
      <c r="AX18" s="22">
        <v>2512</v>
      </c>
      <c r="AY18" s="22">
        <v>2485</v>
      </c>
      <c r="AZ18" s="22">
        <v>2405</v>
      </c>
      <c r="BA18" s="22">
        <v>2461</v>
      </c>
      <c r="BB18" s="22">
        <v>2572</v>
      </c>
      <c r="BC18" s="22">
        <v>2602</v>
      </c>
      <c r="BD18" s="22">
        <v>2574</v>
      </c>
      <c r="BE18" s="22">
        <v>2469</v>
      </c>
      <c r="BF18" s="22">
        <v>2448</v>
      </c>
      <c r="BG18" s="22">
        <v>2475</v>
      </c>
      <c r="BH18" s="22">
        <v>2444</v>
      </c>
      <c r="BI18" s="22">
        <v>2591</v>
      </c>
      <c r="BJ18" s="22">
        <v>2664</v>
      </c>
      <c r="BK18" s="22">
        <v>2530</v>
      </c>
      <c r="BL18" s="22">
        <v>2537</v>
      </c>
    </row>
    <row r="19" spans="1:64" ht="15.95" customHeight="1">
      <c r="A19" s="68" t="s">
        <v>276</v>
      </c>
      <c r="B19" s="44" t="s">
        <v>95</v>
      </c>
      <c r="C19" s="48">
        <f>_xll.RssMarket("8411","安値")</f>
        <v>7902</v>
      </c>
      <c r="D19" s="16">
        <f t="shared" si="0"/>
        <v>0</v>
      </c>
      <c r="E19" s="22">
        <v>7902</v>
      </c>
      <c r="F19" s="22">
        <v>7702</v>
      </c>
      <c r="G19" s="22">
        <v>7717</v>
      </c>
      <c r="H19" s="22">
        <v>7510</v>
      </c>
      <c r="I19" s="22">
        <v>7322</v>
      </c>
      <c r="J19" s="22">
        <v>7555</v>
      </c>
      <c r="K19" s="22">
        <v>7437</v>
      </c>
      <c r="L19" s="22">
        <v>7698</v>
      </c>
      <c r="M19" s="22">
        <v>7472</v>
      </c>
      <c r="N19" s="22">
        <v>7389</v>
      </c>
      <c r="O19" s="22">
        <v>7064</v>
      </c>
      <c r="P19" s="22">
        <v>7045</v>
      </c>
      <c r="Q19" s="22">
        <v>6996</v>
      </c>
      <c r="R19" s="22">
        <v>7178</v>
      </c>
      <c r="S19" s="22">
        <v>7194</v>
      </c>
      <c r="T19" s="22">
        <v>7302</v>
      </c>
      <c r="U19" s="22">
        <v>7138</v>
      </c>
      <c r="V19" s="22">
        <v>6844</v>
      </c>
      <c r="W19" s="22">
        <v>6685</v>
      </c>
      <c r="X19" s="22">
        <v>6379</v>
      </c>
      <c r="Y19" s="22">
        <v>6827</v>
      </c>
      <c r="Z19" s="22">
        <v>6971</v>
      </c>
      <c r="AA19" s="22">
        <v>6920</v>
      </c>
      <c r="AB19" s="22">
        <v>6833</v>
      </c>
      <c r="AC19" s="22">
        <v>6774</v>
      </c>
      <c r="AD19" s="22">
        <v>6624</v>
      </c>
      <c r="AE19" s="22">
        <v>6791</v>
      </c>
      <c r="AF19" s="22">
        <v>6584</v>
      </c>
      <c r="AG19" s="22">
        <v>6609</v>
      </c>
      <c r="AH19" s="22">
        <v>6598</v>
      </c>
      <c r="AI19" s="22">
        <v>6350</v>
      </c>
      <c r="AJ19" s="22">
        <v>6389</v>
      </c>
      <c r="AK19" s="22">
        <v>6467</v>
      </c>
      <c r="AL19" s="22">
        <v>6552</v>
      </c>
      <c r="AM19" s="22">
        <v>6625</v>
      </c>
      <c r="AN19" s="22">
        <v>6775</v>
      </c>
      <c r="AO19" s="22">
        <v>6700</v>
      </c>
      <c r="AP19" s="22">
        <v>6872</v>
      </c>
      <c r="AQ19" s="22">
        <v>6904</v>
      </c>
      <c r="AR19" s="22">
        <v>6728</v>
      </c>
      <c r="AS19" s="22">
        <v>6701</v>
      </c>
      <c r="AT19" s="22">
        <v>6711</v>
      </c>
      <c r="AU19" s="22">
        <v>6706</v>
      </c>
      <c r="AV19" s="22">
        <v>6729</v>
      </c>
      <c r="AW19" s="22">
        <v>6499</v>
      </c>
      <c r="AX19" s="22">
        <v>6439</v>
      </c>
      <c r="AY19" s="22">
        <v>6391</v>
      </c>
      <c r="AZ19" s="22">
        <v>6392</v>
      </c>
      <c r="BA19" s="22">
        <v>6345</v>
      </c>
      <c r="BB19" s="22">
        <v>5996</v>
      </c>
      <c r="BC19" s="22">
        <v>5981</v>
      </c>
      <c r="BD19" s="22">
        <v>6272</v>
      </c>
      <c r="BE19" s="22">
        <v>6297</v>
      </c>
      <c r="BF19" s="22">
        <v>6351</v>
      </c>
      <c r="BG19" s="22">
        <v>6052</v>
      </c>
      <c r="BH19" s="22">
        <v>5834</v>
      </c>
      <c r="BI19" s="22">
        <v>6102</v>
      </c>
      <c r="BJ19" s="22">
        <v>6208</v>
      </c>
      <c r="BK19" s="22">
        <v>6076</v>
      </c>
      <c r="BL19" s="22">
        <v>6011</v>
      </c>
    </row>
    <row r="20" spans="1:64" ht="15.95" customHeight="1">
      <c r="A20" s="68" t="s">
        <v>277</v>
      </c>
      <c r="B20" s="44" t="s">
        <v>96</v>
      </c>
      <c r="C20" s="48">
        <f>_xll.RssMarket("5541","安値")</f>
        <v>2257</v>
      </c>
      <c r="D20" s="16">
        <f t="shared" si="0"/>
        <v>0</v>
      </c>
      <c r="E20" s="22">
        <v>2257</v>
      </c>
      <c r="F20" s="22">
        <v>2262</v>
      </c>
      <c r="G20" s="22">
        <v>2249</v>
      </c>
      <c r="H20" s="22">
        <v>2118</v>
      </c>
      <c r="I20" s="22">
        <v>2061</v>
      </c>
      <c r="J20" s="22">
        <v>2115</v>
      </c>
      <c r="K20" s="22">
        <v>2164</v>
      </c>
      <c r="L20" s="22">
        <v>2234</v>
      </c>
      <c r="M20" s="22">
        <v>2250</v>
      </c>
      <c r="N20" s="22">
        <v>2182</v>
      </c>
      <c r="O20" s="22">
        <v>2275</v>
      </c>
      <c r="P20" s="22">
        <v>2212</v>
      </c>
      <c r="Q20" s="22">
        <v>2272</v>
      </c>
      <c r="R20" s="22">
        <v>2205</v>
      </c>
      <c r="S20" s="22">
        <v>2140</v>
      </c>
      <c r="T20" s="22">
        <v>2120</v>
      </c>
      <c r="U20" s="22">
        <v>2116</v>
      </c>
      <c r="V20" s="22">
        <v>2180</v>
      </c>
      <c r="W20" s="22">
        <v>2245</v>
      </c>
      <c r="X20" s="22">
        <v>2363</v>
      </c>
      <c r="Y20" s="22">
        <v>2373</v>
      </c>
      <c r="Z20" s="22">
        <v>2370</v>
      </c>
      <c r="AA20" s="22">
        <v>2215</v>
      </c>
      <c r="AB20" s="22">
        <v>2623</v>
      </c>
      <c r="AC20" s="22">
        <v>2563</v>
      </c>
      <c r="AD20" s="22">
        <v>2605</v>
      </c>
      <c r="AE20" s="22">
        <v>2522</v>
      </c>
      <c r="AF20" s="22">
        <v>2491</v>
      </c>
      <c r="AG20" s="22">
        <v>2429</v>
      </c>
      <c r="AH20" s="22">
        <v>2356</v>
      </c>
      <c r="AI20" s="22">
        <v>2430</v>
      </c>
      <c r="AJ20" s="22">
        <v>2440</v>
      </c>
      <c r="AK20" s="22">
        <v>2477</v>
      </c>
      <c r="AL20" s="22">
        <v>2530</v>
      </c>
      <c r="AM20" s="22">
        <v>2515</v>
      </c>
      <c r="AN20" s="22">
        <v>2582</v>
      </c>
      <c r="AO20" s="22">
        <v>2660</v>
      </c>
      <c r="AP20" s="22">
        <v>2626</v>
      </c>
      <c r="AQ20" s="22">
        <v>2619</v>
      </c>
      <c r="AR20" s="22">
        <v>2585</v>
      </c>
      <c r="AS20" s="22">
        <v>2644</v>
      </c>
      <c r="AT20" s="22">
        <v>2692</v>
      </c>
      <c r="AU20" s="22">
        <v>2745</v>
      </c>
      <c r="AV20" s="22">
        <v>2642</v>
      </c>
      <c r="AW20" s="22">
        <v>2688</v>
      </c>
      <c r="AX20" s="22">
        <v>2665</v>
      </c>
      <c r="AY20" s="22">
        <v>2641</v>
      </c>
      <c r="AZ20" s="22">
        <v>2686</v>
      </c>
      <c r="BA20" s="22">
        <v>2617</v>
      </c>
      <c r="BB20" s="22">
        <v>2655</v>
      </c>
      <c r="BC20" s="22">
        <v>2733</v>
      </c>
      <c r="BD20" s="22">
        <v>2727</v>
      </c>
      <c r="BE20" s="22">
        <v>2801</v>
      </c>
      <c r="BF20" s="22">
        <v>2702</v>
      </c>
      <c r="BG20" s="22">
        <v>2654</v>
      </c>
      <c r="BH20" s="22">
        <v>3100</v>
      </c>
      <c r="BI20" s="22">
        <v>3050</v>
      </c>
      <c r="BJ20" s="22">
        <v>3015</v>
      </c>
      <c r="BK20" s="22">
        <v>3015</v>
      </c>
      <c r="BL20" s="22">
        <v>3075</v>
      </c>
    </row>
    <row r="21" spans="1:64" ht="15.95" customHeight="1">
      <c r="A21" s="68" t="s">
        <v>278</v>
      </c>
      <c r="B21" s="44" t="s">
        <v>97</v>
      </c>
      <c r="C21" s="48">
        <f>_xll.RssMarket("5332","安値")</f>
        <v>7938</v>
      </c>
      <c r="D21" s="16">
        <f t="shared" si="0"/>
        <v>0</v>
      </c>
      <c r="E21" s="22">
        <v>7938</v>
      </c>
      <c r="F21" s="22">
        <v>8105</v>
      </c>
      <c r="G21" s="22">
        <v>7887</v>
      </c>
      <c r="H21" s="22">
        <v>7590</v>
      </c>
      <c r="I21" s="22">
        <v>7120</v>
      </c>
      <c r="J21" s="22">
        <v>7397</v>
      </c>
      <c r="K21" s="22">
        <v>7463</v>
      </c>
      <c r="L21" s="22">
        <v>7803</v>
      </c>
      <c r="M21" s="22">
        <v>7898</v>
      </c>
      <c r="N21" s="22">
        <v>7445</v>
      </c>
      <c r="O21" s="22">
        <v>7110</v>
      </c>
      <c r="P21" s="22">
        <v>7430</v>
      </c>
      <c r="Q21" s="22">
        <v>7231</v>
      </c>
      <c r="R21" s="22">
        <v>7172</v>
      </c>
      <c r="S21" s="22">
        <v>6815</v>
      </c>
      <c r="T21" s="22">
        <v>6637</v>
      </c>
      <c r="U21" s="22">
        <v>6523</v>
      </c>
      <c r="V21" s="22">
        <v>6308</v>
      </c>
      <c r="W21" s="22">
        <v>6663</v>
      </c>
      <c r="X21" s="22">
        <v>6855</v>
      </c>
      <c r="Y21" s="22">
        <v>7044</v>
      </c>
      <c r="Z21" s="22">
        <v>6933</v>
      </c>
      <c r="AA21" s="22">
        <v>6810</v>
      </c>
      <c r="AB21" s="22">
        <v>6857</v>
      </c>
      <c r="AC21" s="22">
        <v>7104</v>
      </c>
      <c r="AD21" s="22">
        <v>6741</v>
      </c>
      <c r="AE21" s="22">
        <v>6614</v>
      </c>
      <c r="AF21" s="22">
        <v>6015</v>
      </c>
      <c r="AG21" s="22">
        <v>5377</v>
      </c>
      <c r="AH21" s="22">
        <v>5364</v>
      </c>
      <c r="AI21" s="22">
        <v>5352</v>
      </c>
      <c r="AJ21" s="22">
        <v>5265</v>
      </c>
      <c r="AK21" s="22">
        <v>5182</v>
      </c>
      <c r="AL21" s="22">
        <v>5218</v>
      </c>
      <c r="AM21" s="22">
        <v>5384</v>
      </c>
      <c r="AN21" s="22">
        <v>5532</v>
      </c>
      <c r="AO21" s="22">
        <v>5507</v>
      </c>
      <c r="AP21" s="22">
        <v>5432</v>
      </c>
      <c r="AQ21" s="22">
        <v>5464</v>
      </c>
      <c r="AR21" s="22">
        <v>5385</v>
      </c>
      <c r="AS21" s="22">
        <v>5226</v>
      </c>
      <c r="AT21" s="22">
        <v>5686</v>
      </c>
      <c r="AU21" s="22">
        <v>5670</v>
      </c>
      <c r="AV21" s="22">
        <v>5507</v>
      </c>
      <c r="AW21" s="22">
        <v>5349</v>
      </c>
      <c r="AX21" s="22">
        <v>5193</v>
      </c>
      <c r="AY21" s="22">
        <v>5176</v>
      </c>
      <c r="AZ21" s="22">
        <v>5148</v>
      </c>
      <c r="BA21" s="22">
        <v>5202</v>
      </c>
      <c r="BB21" s="22">
        <v>5053</v>
      </c>
      <c r="BC21" s="22">
        <v>5159</v>
      </c>
      <c r="BD21" s="22">
        <v>5385</v>
      </c>
      <c r="BE21" s="22">
        <v>5525</v>
      </c>
      <c r="BF21" s="22">
        <v>5842</v>
      </c>
      <c r="BG21" s="22">
        <v>5615</v>
      </c>
      <c r="BH21" s="22">
        <v>5463</v>
      </c>
      <c r="BI21" s="22">
        <v>5660</v>
      </c>
      <c r="BJ21" s="22">
        <v>5714</v>
      </c>
      <c r="BK21" s="22">
        <v>5742</v>
      </c>
      <c r="BL21" s="22">
        <v>5703</v>
      </c>
    </row>
    <row r="22" spans="1:64" ht="15.95" customHeight="1">
      <c r="A22" s="68" t="s">
        <v>279</v>
      </c>
      <c r="B22" s="44" t="s">
        <v>98</v>
      </c>
      <c r="C22" s="48">
        <f>_xll.RssMarket("8725","安値")</f>
        <v>4554</v>
      </c>
      <c r="D22" s="16">
        <f t="shared" si="0"/>
        <v>0</v>
      </c>
      <c r="E22" s="22">
        <v>4554</v>
      </c>
      <c r="F22" s="22">
        <v>4556</v>
      </c>
      <c r="G22" s="22">
        <v>4597</v>
      </c>
      <c r="H22" s="22">
        <v>4596</v>
      </c>
      <c r="I22" s="22">
        <v>4516</v>
      </c>
      <c r="J22" s="22">
        <v>4569</v>
      </c>
      <c r="K22" s="22">
        <v>4339</v>
      </c>
      <c r="L22" s="22">
        <v>4299</v>
      </c>
      <c r="M22" s="22">
        <v>4224</v>
      </c>
      <c r="N22" s="22">
        <v>4294</v>
      </c>
      <c r="O22" s="22">
        <v>4169</v>
      </c>
      <c r="P22" s="22">
        <v>4209</v>
      </c>
      <c r="Q22" s="22">
        <v>4219</v>
      </c>
      <c r="R22" s="22">
        <v>4197</v>
      </c>
      <c r="S22" s="22">
        <v>4153</v>
      </c>
      <c r="T22" s="22">
        <v>4182</v>
      </c>
      <c r="U22" s="22">
        <v>4286</v>
      </c>
      <c r="V22" s="22">
        <v>4356</v>
      </c>
      <c r="W22" s="22">
        <v>4403</v>
      </c>
      <c r="X22" s="22">
        <v>4401</v>
      </c>
      <c r="Y22" s="22">
        <v>4356</v>
      </c>
      <c r="Z22" s="22">
        <v>4360</v>
      </c>
      <c r="AA22" s="22">
        <v>4294</v>
      </c>
      <c r="AB22" s="22">
        <v>4150</v>
      </c>
      <c r="AC22" s="22">
        <v>3958</v>
      </c>
      <c r="AD22" s="22">
        <v>3941</v>
      </c>
      <c r="AE22" s="22">
        <v>3970</v>
      </c>
      <c r="AF22" s="22">
        <v>3961</v>
      </c>
      <c r="AG22" s="22">
        <v>3960</v>
      </c>
      <c r="AH22" s="22">
        <v>3939</v>
      </c>
      <c r="AI22" s="22">
        <v>3886</v>
      </c>
      <c r="AJ22" s="22">
        <v>3946</v>
      </c>
      <c r="AK22" s="22">
        <v>3916</v>
      </c>
      <c r="AL22" s="22">
        <v>3996</v>
      </c>
      <c r="AM22" s="22">
        <v>4014</v>
      </c>
      <c r="AN22" s="22">
        <v>4026</v>
      </c>
      <c r="AO22" s="22">
        <v>4052</v>
      </c>
      <c r="AP22" s="22">
        <v>4082</v>
      </c>
      <c r="AQ22" s="22">
        <v>4033</v>
      </c>
      <c r="AR22" s="22">
        <v>4024</v>
      </c>
      <c r="AS22" s="22">
        <v>4035</v>
      </c>
      <c r="AT22" s="22">
        <v>4069</v>
      </c>
      <c r="AU22" s="22">
        <v>4090</v>
      </c>
      <c r="AV22" s="22">
        <v>4154</v>
      </c>
      <c r="AW22" s="22">
        <v>4081</v>
      </c>
      <c r="AX22" s="22">
        <v>4106</v>
      </c>
      <c r="AY22" s="22">
        <v>4094</v>
      </c>
      <c r="AZ22" s="22">
        <v>4087</v>
      </c>
      <c r="BA22" s="22">
        <v>4120</v>
      </c>
      <c r="BB22" s="22">
        <v>4010</v>
      </c>
      <c r="BC22" s="22">
        <v>3961</v>
      </c>
      <c r="BD22" s="22">
        <v>4161</v>
      </c>
      <c r="BE22" s="22">
        <v>4096</v>
      </c>
      <c r="BF22" s="22">
        <v>4130</v>
      </c>
      <c r="BG22" s="22">
        <v>3978</v>
      </c>
      <c r="BH22" s="22">
        <v>3874</v>
      </c>
      <c r="BI22" s="22">
        <v>4028</v>
      </c>
      <c r="BJ22" s="22">
        <v>4083</v>
      </c>
      <c r="BK22" s="22">
        <v>4005</v>
      </c>
      <c r="BL22" s="22">
        <v>3958</v>
      </c>
    </row>
    <row r="23" spans="1:64" ht="15.95" customHeight="1">
      <c r="A23" s="68" t="s">
        <v>280</v>
      </c>
      <c r="B23" s="44" t="s">
        <v>99</v>
      </c>
      <c r="C23" s="48">
        <f>_xll.RssMarket("8795","安値")</f>
        <v>4718</v>
      </c>
      <c r="D23" s="16">
        <f t="shared" si="0"/>
        <v>0</v>
      </c>
      <c r="E23" s="22">
        <v>4718</v>
      </c>
      <c r="F23" s="22">
        <v>4761</v>
      </c>
      <c r="G23" s="22">
        <v>4789</v>
      </c>
      <c r="H23" s="22">
        <v>4648</v>
      </c>
      <c r="I23" s="22">
        <v>4598</v>
      </c>
      <c r="J23" s="22">
        <v>4654</v>
      </c>
      <c r="K23" s="22">
        <v>4351</v>
      </c>
      <c r="L23" s="22">
        <v>4356</v>
      </c>
      <c r="M23" s="22">
        <v>4091</v>
      </c>
      <c r="N23" s="22">
        <v>4130</v>
      </c>
      <c r="O23" s="22">
        <v>4110</v>
      </c>
      <c r="P23" s="22">
        <v>4022</v>
      </c>
      <c r="Q23" s="22">
        <v>4054</v>
      </c>
      <c r="R23" s="22">
        <v>4079</v>
      </c>
      <c r="S23" s="22">
        <v>4030</v>
      </c>
      <c r="T23" s="22">
        <v>4069</v>
      </c>
      <c r="U23" s="22">
        <v>4056</v>
      </c>
      <c r="V23" s="22">
        <v>4077</v>
      </c>
      <c r="W23" s="22">
        <v>4114</v>
      </c>
      <c r="X23" s="22">
        <v>3900</v>
      </c>
      <c r="Y23" s="22">
        <v>3754</v>
      </c>
      <c r="Z23" s="22">
        <v>3943</v>
      </c>
      <c r="AA23" s="22">
        <v>3936</v>
      </c>
      <c r="AB23" s="22">
        <v>3945</v>
      </c>
      <c r="AC23" s="22">
        <v>3861</v>
      </c>
      <c r="AD23" s="22">
        <v>3838</v>
      </c>
      <c r="AE23" s="22">
        <v>3821</v>
      </c>
      <c r="AF23" s="22">
        <v>3727</v>
      </c>
      <c r="AG23" s="22">
        <v>3707</v>
      </c>
      <c r="AH23" s="22">
        <v>3671</v>
      </c>
      <c r="AI23" s="22">
        <v>3606</v>
      </c>
      <c r="AJ23" s="22">
        <v>3679</v>
      </c>
      <c r="AK23" s="22">
        <v>3657</v>
      </c>
      <c r="AL23" s="22">
        <v>3728</v>
      </c>
      <c r="AM23" s="22">
        <v>3820</v>
      </c>
      <c r="AN23" s="22">
        <v>3914</v>
      </c>
      <c r="AO23" s="22">
        <v>4000</v>
      </c>
      <c r="AP23" s="22">
        <v>4020</v>
      </c>
      <c r="AQ23" s="22">
        <v>4012</v>
      </c>
      <c r="AR23" s="22">
        <v>4026</v>
      </c>
      <c r="AS23" s="22">
        <v>3980</v>
      </c>
      <c r="AT23" s="22">
        <v>4013</v>
      </c>
      <c r="AU23" s="22">
        <v>4031</v>
      </c>
      <c r="AV23" s="22">
        <v>4082</v>
      </c>
      <c r="AW23" s="22">
        <v>3897</v>
      </c>
      <c r="AX23" s="22">
        <v>3826</v>
      </c>
      <c r="AY23" s="22">
        <v>4108</v>
      </c>
      <c r="AZ23" s="22">
        <v>4095</v>
      </c>
      <c r="BA23" s="22">
        <v>4053</v>
      </c>
      <c r="BB23" s="22">
        <v>3894</v>
      </c>
      <c r="BC23" s="22">
        <v>3795</v>
      </c>
      <c r="BD23" s="22">
        <v>3947</v>
      </c>
      <c r="BE23" s="22">
        <v>3874</v>
      </c>
      <c r="BF23" s="22">
        <v>3841</v>
      </c>
      <c r="BG23" s="22">
        <v>3675</v>
      </c>
      <c r="BH23" s="22">
        <v>3571</v>
      </c>
      <c r="BI23" s="22">
        <v>3726</v>
      </c>
      <c r="BJ23" s="22">
        <v>3787</v>
      </c>
      <c r="BK23" s="22">
        <v>3703</v>
      </c>
      <c r="BL23" s="22">
        <v>3667</v>
      </c>
    </row>
    <row r="24" spans="1:64" ht="15.95" customHeight="1">
      <c r="A24" s="68" t="s">
        <v>281</v>
      </c>
      <c r="B24" s="44" t="s">
        <v>100</v>
      </c>
      <c r="C24" s="48">
        <f>_xll.RssMarket("5019","安値")</f>
        <v>1251</v>
      </c>
      <c r="D24" s="16">
        <f t="shared" si="0"/>
        <v>0</v>
      </c>
      <c r="E24" s="22">
        <v>1251</v>
      </c>
      <c r="F24" s="22">
        <v>1287.5</v>
      </c>
      <c r="G24" s="22">
        <v>1318.5</v>
      </c>
      <c r="H24" s="22">
        <v>1301</v>
      </c>
      <c r="I24" s="22">
        <v>1333</v>
      </c>
      <c r="J24" s="22">
        <v>1320.5</v>
      </c>
      <c r="K24" s="22">
        <v>1336.5</v>
      </c>
      <c r="L24" s="22">
        <v>1373</v>
      </c>
      <c r="M24" s="22">
        <v>1386</v>
      </c>
      <c r="N24" s="22">
        <v>1360.5</v>
      </c>
      <c r="O24" s="22">
        <v>1318</v>
      </c>
      <c r="P24" s="22">
        <v>1296</v>
      </c>
      <c r="Q24" s="22">
        <v>1300</v>
      </c>
      <c r="R24" s="22">
        <v>1305.5</v>
      </c>
      <c r="S24" s="22">
        <v>1302.5</v>
      </c>
      <c r="T24" s="22">
        <v>1320.5</v>
      </c>
      <c r="U24" s="22">
        <v>1336.5</v>
      </c>
      <c r="V24" s="22">
        <v>1370.5</v>
      </c>
      <c r="W24" s="22">
        <v>1352.5</v>
      </c>
      <c r="X24" s="22">
        <v>1365.5</v>
      </c>
      <c r="Y24" s="22">
        <v>1404.5</v>
      </c>
      <c r="Z24" s="22">
        <v>1366</v>
      </c>
      <c r="AA24" s="22">
        <v>1319</v>
      </c>
      <c r="AB24" s="22">
        <v>1370.5</v>
      </c>
      <c r="AC24" s="22">
        <v>1323</v>
      </c>
      <c r="AD24" s="22">
        <v>1326.5</v>
      </c>
      <c r="AE24" s="22">
        <v>1339.5</v>
      </c>
      <c r="AF24" s="22">
        <v>1325.5</v>
      </c>
      <c r="AG24" s="22">
        <v>1335.5</v>
      </c>
      <c r="AH24" s="22">
        <v>1326.5</v>
      </c>
      <c r="AI24" s="22">
        <v>1300</v>
      </c>
      <c r="AJ24" s="22">
        <v>1335.5</v>
      </c>
      <c r="AK24" s="22">
        <v>1324</v>
      </c>
      <c r="AL24" s="22">
        <v>1385</v>
      </c>
      <c r="AM24" s="22">
        <v>1411.5</v>
      </c>
      <c r="AN24" s="22">
        <v>1443</v>
      </c>
      <c r="AO24" s="22">
        <v>1487.5</v>
      </c>
      <c r="AP24" s="22">
        <v>1505</v>
      </c>
      <c r="AQ24" s="22">
        <v>1498</v>
      </c>
      <c r="AR24" s="22">
        <v>1495</v>
      </c>
      <c r="AS24" s="22">
        <v>1538</v>
      </c>
      <c r="AT24" s="22">
        <v>1537</v>
      </c>
      <c r="AU24" s="22">
        <v>1522</v>
      </c>
      <c r="AV24" s="22">
        <v>1561.5</v>
      </c>
      <c r="AW24" s="22">
        <v>1633.5</v>
      </c>
      <c r="AX24" s="22">
        <v>1592</v>
      </c>
      <c r="AY24" s="22">
        <v>1567</v>
      </c>
      <c r="AZ24" s="22">
        <v>1552</v>
      </c>
      <c r="BA24" s="22">
        <v>1548.5</v>
      </c>
      <c r="BB24" s="22">
        <v>1529</v>
      </c>
      <c r="BC24" s="22">
        <v>1494.5</v>
      </c>
      <c r="BD24" s="22">
        <v>1517</v>
      </c>
      <c r="BE24" s="22">
        <v>1504</v>
      </c>
      <c r="BF24" s="22">
        <v>1476.5</v>
      </c>
      <c r="BG24" s="22">
        <v>1439.5</v>
      </c>
      <c r="BH24" s="22">
        <v>1393</v>
      </c>
      <c r="BI24" s="22">
        <v>1475</v>
      </c>
      <c r="BJ24" s="22">
        <v>1487</v>
      </c>
      <c r="BK24" s="22">
        <v>1438</v>
      </c>
      <c r="BL24" s="22">
        <v>1439.5</v>
      </c>
    </row>
    <row r="25" spans="1:64" ht="15.95" customHeight="1">
      <c r="A25" s="68" t="s">
        <v>282</v>
      </c>
      <c r="B25" s="44" t="s">
        <v>101</v>
      </c>
      <c r="C25" s="48">
        <f>_xll.RssMarket("8053","安値")</f>
        <v>6478</v>
      </c>
      <c r="D25" s="16">
        <f t="shared" si="0"/>
        <v>0</v>
      </c>
      <c r="E25" s="22">
        <v>6478</v>
      </c>
      <c r="F25" s="22">
        <v>6470</v>
      </c>
      <c r="G25" s="22">
        <v>6388</v>
      </c>
      <c r="H25" s="22">
        <v>6200</v>
      </c>
      <c r="I25" s="22">
        <v>6119</v>
      </c>
      <c r="J25" s="22">
        <v>6319</v>
      </c>
      <c r="K25" s="22">
        <v>6539</v>
      </c>
      <c r="L25" s="22">
        <v>6775</v>
      </c>
      <c r="M25" s="22">
        <v>6716</v>
      </c>
      <c r="N25" s="22">
        <v>6842</v>
      </c>
      <c r="O25" s="22">
        <v>6746</v>
      </c>
      <c r="P25" s="22">
        <v>7099</v>
      </c>
      <c r="Q25" s="22">
        <v>6997</v>
      </c>
      <c r="R25" s="22">
        <v>7179</v>
      </c>
      <c r="S25" s="22">
        <v>7098</v>
      </c>
      <c r="T25" s="22">
        <v>7032</v>
      </c>
      <c r="U25" s="22">
        <v>7010</v>
      </c>
      <c r="V25" s="22">
        <v>6936</v>
      </c>
      <c r="W25" s="22">
        <v>7213</v>
      </c>
      <c r="X25" s="22">
        <v>7220</v>
      </c>
      <c r="Y25" s="22">
        <v>7428</v>
      </c>
      <c r="Z25" s="22">
        <v>7375</v>
      </c>
      <c r="AA25" s="22">
        <v>7475</v>
      </c>
      <c r="AB25" s="22">
        <v>7237</v>
      </c>
      <c r="AC25" s="22">
        <v>7180</v>
      </c>
      <c r="AD25" s="22">
        <v>7149</v>
      </c>
      <c r="AE25" s="22">
        <v>6808</v>
      </c>
      <c r="AF25" s="22">
        <v>5691</v>
      </c>
      <c r="AG25" s="22">
        <v>5681</v>
      </c>
      <c r="AH25" s="22">
        <v>5600</v>
      </c>
      <c r="AI25" s="22">
        <v>5665</v>
      </c>
      <c r="AJ25" s="22">
        <v>5781</v>
      </c>
      <c r="AK25" s="22">
        <v>5711</v>
      </c>
      <c r="AL25" s="22">
        <v>5783</v>
      </c>
      <c r="AM25" s="22">
        <v>5961</v>
      </c>
      <c r="AN25" s="22">
        <v>5991</v>
      </c>
      <c r="AO25" s="22">
        <v>5954</v>
      </c>
      <c r="AP25" s="22">
        <v>6071</v>
      </c>
      <c r="AQ25" s="22">
        <v>6043</v>
      </c>
      <c r="AR25" s="22">
        <v>6065</v>
      </c>
      <c r="AS25" s="22">
        <v>5996</v>
      </c>
      <c r="AT25" s="22">
        <v>6084</v>
      </c>
      <c r="AU25" s="22">
        <v>6208</v>
      </c>
      <c r="AV25" s="22">
        <v>6216</v>
      </c>
      <c r="AW25" s="22">
        <v>5961</v>
      </c>
      <c r="AX25" s="22">
        <v>5944</v>
      </c>
      <c r="AY25" s="22">
        <v>5998</v>
      </c>
      <c r="AZ25" s="22">
        <v>5986</v>
      </c>
      <c r="BA25" s="22">
        <v>5967</v>
      </c>
      <c r="BB25" s="22">
        <v>5709</v>
      </c>
      <c r="BC25" s="22">
        <v>5633</v>
      </c>
      <c r="BD25" s="22">
        <v>5845</v>
      </c>
      <c r="BE25" s="22">
        <v>5819</v>
      </c>
      <c r="BF25" s="22">
        <v>5790</v>
      </c>
      <c r="BG25" s="22">
        <v>5548</v>
      </c>
      <c r="BH25" s="22">
        <v>5400</v>
      </c>
      <c r="BI25" s="22">
        <v>5695</v>
      </c>
      <c r="BJ25" s="22">
        <v>5828</v>
      </c>
      <c r="BK25" s="22">
        <v>5687</v>
      </c>
      <c r="BL25" s="22">
        <v>5580</v>
      </c>
    </row>
    <row r="26" spans="1:64" ht="15.95" customHeight="1">
      <c r="A26" s="68" t="s">
        <v>283</v>
      </c>
      <c r="B26" s="44" t="s">
        <v>102</v>
      </c>
      <c r="C26" s="48">
        <f>_xll.RssMarket("8591","安値")</f>
        <v>6280</v>
      </c>
      <c r="D26" s="16">
        <f t="shared" si="0"/>
        <v>0</v>
      </c>
      <c r="E26" s="22">
        <v>6280</v>
      </c>
      <c r="F26" s="22">
        <v>6168</v>
      </c>
      <c r="G26" s="22">
        <v>6142</v>
      </c>
      <c r="H26" s="22">
        <v>6056</v>
      </c>
      <c r="I26" s="22">
        <v>5961</v>
      </c>
      <c r="J26" s="22">
        <v>6145</v>
      </c>
      <c r="K26" s="22">
        <v>6014</v>
      </c>
      <c r="L26" s="22">
        <v>6113</v>
      </c>
      <c r="M26" s="22">
        <v>6211</v>
      </c>
      <c r="N26" s="22">
        <v>6215</v>
      </c>
      <c r="O26" s="22">
        <v>6047</v>
      </c>
      <c r="P26" s="22">
        <v>6087</v>
      </c>
      <c r="Q26" s="22">
        <v>6042</v>
      </c>
      <c r="R26" s="22">
        <v>6156</v>
      </c>
      <c r="S26" s="22">
        <v>6187</v>
      </c>
      <c r="T26" s="22">
        <v>6156</v>
      </c>
      <c r="U26" s="22">
        <v>6210</v>
      </c>
      <c r="V26" s="22">
        <v>5960</v>
      </c>
      <c r="W26" s="22">
        <v>5797</v>
      </c>
      <c r="X26" s="22">
        <v>5716</v>
      </c>
      <c r="Y26" s="22">
        <v>5724</v>
      </c>
      <c r="Z26" s="22">
        <v>5782</v>
      </c>
      <c r="AA26" s="22">
        <v>5875</v>
      </c>
      <c r="AB26" s="22">
        <v>5801</v>
      </c>
      <c r="AC26" s="22">
        <v>5338</v>
      </c>
      <c r="AD26" s="22">
        <v>5247</v>
      </c>
      <c r="AE26" s="22">
        <v>5181</v>
      </c>
      <c r="AF26" s="22">
        <v>5164</v>
      </c>
      <c r="AG26" s="22">
        <v>5112</v>
      </c>
      <c r="AH26" s="22">
        <v>5261</v>
      </c>
      <c r="AI26" s="22">
        <v>4768</v>
      </c>
      <c r="AJ26" s="22">
        <v>4805</v>
      </c>
      <c r="AK26" s="22">
        <v>4811</v>
      </c>
      <c r="AL26" s="22">
        <v>4881</v>
      </c>
      <c r="AM26" s="22">
        <v>4947</v>
      </c>
      <c r="AN26" s="22">
        <v>5005</v>
      </c>
      <c r="AO26" s="22">
        <v>4978</v>
      </c>
      <c r="AP26" s="22">
        <v>5052</v>
      </c>
      <c r="AQ26" s="22">
        <v>5015</v>
      </c>
      <c r="AR26" s="22">
        <v>4891</v>
      </c>
      <c r="AS26" s="22">
        <v>4801</v>
      </c>
      <c r="AT26" s="22">
        <v>4866</v>
      </c>
      <c r="AU26" s="22">
        <v>4830</v>
      </c>
      <c r="AV26" s="22">
        <v>4863</v>
      </c>
      <c r="AW26" s="22">
        <v>4686</v>
      </c>
      <c r="AX26" s="22">
        <v>4673</v>
      </c>
      <c r="AY26" s="22">
        <v>4673</v>
      </c>
      <c r="AZ26" s="22">
        <v>4677</v>
      </c>
      <c r="BA26" s="22">
        <v>4691</v>
      </c>
      <c r="BB26" s="22">
        <v>4573</v>
      </c>
      <c r="BC26" s="22">
        <v>4528</v>
      </c>
      <c r="BD26" s="22">
        <v>4738</v>
      </c>
      <c r="BE26" s="22">
        <v>4714</v>
      </c>
      <c r="BF26" s="22">
        <v>4771</v>
      </c>
      <c r="BG26" s="22">
        <v>4623</v>
      </c>
      <c r="BH26" s="22">
        <v>4539</v>
      </c>
      <c r="BI26" s="22">
        <v>4704</v>
      </c>
      <c r="BJ26" s="22">
        <v>4838</v>
      </c>
      <c r="BK26" s="22">
        <v>4751</v>
      </c>
      <c r="BL26" s="22">
        <v>4729</v>
      </c>
    </row>
    <row r="27" spans="1:64" ht="15.95" customHeight="1">
      <c r="A27" s="68" t="s">
        <v>284</v>
      </c>
      <c r="B27" s="44" t="s">
        <v>103</v>
      </c>
      <c r="C27" s="48">
        <f>_xll.RssMarket("3401","安値")</f>
        <v>1628</v>
      </c>
      <c r="D27" s="16">
        <f t="shared" si="0"/>
        <v>0</v>
      </c>
      <c r="E27" s="22">
        <v>1628</v>
      </c>
      <c r="F27" s="22">
        <v>1625.5</v>
      </c>
      <c r="G27" s="22">
        <v>1654.5</v>
      </c>
      <c r="H27" s="22">
        <v>1625</v>
      </c>
      <c r="I27" s="22">
        <v>1581.5</v>
      </c>
      <c r="J27" s="22">
        <v>1612</v>
      </c>
      <c r="K27" s="22">
        <v>1564.5</v>
      </c>
      <c r="L27" s="22">
        <v>1605</v>
      </c>
      <c r="M27" s="22">
        <v>1601.5</v>
      </c>
      <c r="N27" s="22">
        <v>1608</v>
      </c>
      <c r="O27" s="22">
        <v>1590</v>
      </c>
      <c r="P27" s="22">
        <v>1607.5</v>
      </c>
      <c r="Q27" s="22">
        <v>1585.5</v>
      </c>
      <c r="R27" s="22">
        <v>1601.5</v>
      </c>
      <c r="S27" s="22">
        <v>1561.5</v>
      </c>
      <c r="T27" s="22">
        <v>1596.5</v>
      </c>
      <c r="U27" s="22">
        <v>1594</v>
      </c>
      <c r="V27" s="22">
        <v>1626</v>
      </c>
      <c r="W27" s="22">
        <v>1611</v>
      </c>
      <c r="X27" s="22">
        <v>1642.5</v>
      </c>
      <c r="Y27" s="22">
        <v>1717</v>
      </c>
      <c r="Z27" s="22">
        <v>1653</v>
      </c>
      <c r="AA27" s="22">
        <v>1599</v>
      </c>
      <c r="AB27" s="22">
        <v>1556.5</v>
      </c>
      <c r="AC27" s="22">
        <v>1550</v>
      </c>
      <c r="AD27" s="22">
        <v>1573.5</v>
      </c>
      <c r="AE27" s="22">
        <v>1545.5</v>
      </c>
      <c r="AF27" s="22">
        <v>4838</v>
      </c>
      <c r="AG27" s="22">
        <v>1580</v>
      </c>
      <c r="AH27" s="22">
        <v>4751</v>
      </c>
      <c r="AI27" s="22">
        <v>1568</v>
      </c>
      <c r="AJ27" s="22">
        <v>4729</v>
      </c>
      <c r="AK27" s="22">
        <v>1536</v>
      </c>
      <c r="AL27" s="22">
        <v>4700</v>
      </c>
      <c r="AM27" s="22">
        <v>1549.5</v>
      </c>
      <c r="AN27" s="22">
        <v>4776</v>
      </c>
      <c r="AO27" s="22">
        <v>1562</v>
      </c>
      <c r="AP27" s="22">
        <v>4896</v>
      </c>
      <c r="AQ27" s="22">
        <v>1585</v>
      </c>
      <c r="AR27" s="22">
        <v>4893</v>
      </c>
      <c r="AS27" s="22">
        <v>1559</v>
      </c>
      <c r="AT27" s="22">
        <v>4764</v>
      </c>
      <c r="AU27" s="22">
        <v>1524</v>
      </c>
      <c r="AV27" s="22">
        <v>4890</v>
      </c>
      <c r="AW27" s="22">
        <v>1622</v>
      </c>
      <c r="AX27" s="22">
        <v>4903</v>
      </c>
      <c r="AY27" s="22">
        <v>1647</v>
      </c>
      <c r="AZ27" s="22">
        <v>4805</v>
      </c>
      <c r="BA27" s="22">
        <v>1604.5</v>
      </c>
      <c r="BB27" s="22">
        <v>5122</v>
      </c>
      <c r="BC27" s="22">
        <v>1676</v>
      </c>
      <c r="BD27" s="22">
        <v>5312</v>
      </c>
      <c r="BE27" s="22">
        <v>1687.5</v>
      </c>
      <c r="BF27" s="22">
        <v>5482</v>
      </c>
      <c r="BG27" s="22">
        <v>1689.5</v>
      </c>
      <c r="BH27" s="22">
        <v>5498</v>
      </c>
      <c r="BI27" s="22">
        <v>1681</v>
      </c>
      <c r="BJ27" s="22">
        <v>5407</v>
      </c>
      <c r="BK27" s="22">
        <v>1676</v>
      </c>
      <c r="BL27" s="22">
        <v>5325</v>
      </c>
    </row>
    <row r="28" spans="1:64" ht="15.95" customHeight="1">
      <c r="A28" s="68" t="s">
        <v>285</v>
      </c>
      <c r="B28" s="44" t="s">
        <v>104</v>
      </c>
      <c r="C28" s="48">
        <f>_xll.RssMarket("3436","安値")</f>
        <v>3978</v>
      </c>
      <c r="D28" s="16">
        <f t="shared" si="0"/>
        <v>0</v>
      </c>
      <c r="E28" s="22">
        <v>3978</v>
      </c>
      <c r="F28" s="22">
        <v>4108</v>
      </c>
      <c r="G28" s="22">
        <v>3820</v>
      </c>
      <c r="H28" s="22">
        <v>3562</v>
      </c>
      <c r="I28" s="22">
        <v>2954</v>
      </c>
      <c r="J28" s="22">
        <v>3102</v>
      </c>
      <c r="K28" s="22">
        <v>3461</v>
      </c>
      <c r="L28" s="22">
        <v>3865</v>
      </c>
      <c r="M28" s="22">
        <v>4190</v>
      </c>
      <c r="N28" s="22">
        <v>4178</v>
      </c>
      <c r="O28" s="22">
        <v>4015</v>
      </c>
      <c r="P28" s="22">
        <v>3704</v>
      </c>
      <c r="Q28" s="22">
        <v>3137</v>
      </c>
      <c r="R28" s="22">
        <v>3220</v>
      </c>
      <c r="S28" s="22">
        <v>3317</v>
      </c>
      <c r="T28" s="22">
        <v>3173</v>
      </c>
      <c r="U28" s="22">
        <v>2956.5</v>
      </c>
      <c r="V28" s="22">
        <v>2941</v>
      </c>
      <c r="W28" s="22">
        <v>2922</v>
      </c>
      <c r="X28" s="22">
        <v>2889</v>
      </c>
      <c r="Y28" s="22">
        <v>3033</v>
      </c>
      <c r="Z28" s="22">
        <v>3337</v>
      </c>
      <c r="AA28" s="22">
        <v>3060</v>
      </c>
      <c r="AB28" s="22">
        <v>3535</v>
      </c>
      <c r="AC28" s="22">
        <v>3420</v>
      </c>
      <c r="AD28" s="22">
        <v>2985</v>
      </c>
      <c r="AE28" s="22">
        <v>3033</v>
      </c>
      <c r="AF28" s="22">
        <v>2367</v>
      </c>
      <c r="AG28" s="22">
        <v>2452.5</v>
      </c>
      <c r="AH28" s="22">
        <v>2305.5</v>
      </c>
      <c r="AI28" s="22">
        <v>2239.5</v>
      </c>
      <c r="AJ28" s="22">
        <v>2153.5</v>
      </c>
      <c r="AK28" s="22">
        <v>2110</v>
      </c>
      <c r="AL28" s="22">
        <v>2211</v>
      </c>
      <c r="AM28" s="22">
        <v>2134.5</v>
      </c>
      <c r="AN28" s="22">
        <v>2041</v>
      </c>
      <c r="AO28" s="22">
        <v>2095</v>
      </c>
      <c r="AP28" s="22">
        <v>2238.5</v>
      </c>
      <c r="AQ28" s="22">
        <v>2155</v>
      </c>
      <c r="AR28" s="22">
        <v>2151</v>
      </c>
      <c r="AS28" s="22">
        <v>1990</v>
      </c>
      <c r="AT28" s="22">
        <v>1988.5</v>
      </c>
      <c r="AU28" s="22">
        <v>1882</v>
      </c>
      <c r="AV28" s="22">
        <v>1832</v>
      </c>
      <c r="AW28" s="22">
        <v>1760.5</v>
      </c>
      <c r="AX28" s="22">
        <v>1712.5</v>
      </c>
      <c r="AY28" s="22">
        <v>1733.5</v>
      </c>
      <c r="AZ28" s="22">
        <v>1681</v>
      </c>
      <c r="BA28" s="22">
        <v>1699.5</v>
      </c>
      <c r="BB28" s="22">
        <v>1631.5</v>
      </c>
      <c r="BC28" s="22">
        <v>1701</v>
      </c>
      <c r="BD28" s="22">
        <v>1790.5</v>
      </c>
      <c r="BE28" s="22">
        <v>1762</v>
      </c>
      <c r="BF28" s="22">
        <v>1720.5</v>
      </c>
      <c r="BG28" s="22">
        <v>1600</v>
      </c>
      <c r="BH28" s="22">
        <v>1545</v>
      </c>
      <c r="BI28" s="22">
        <v>1659</v>
      </c>
      <c r="BJ28" s="22">
        <v>1607</v>
      </c>
      <c r="BK28" s="22">
        <v>1615</v>
      </c>
      <c r="BL28" s="22">
        <v>1564</v>
      </c>
    </row>
    <row r="29" spans="1:64" ht="15.95" customHeight="1">
      <c r="A29" s="68" t="s">
        <v>286</v>
      </c>
      <c r="B29" s="44" t="s">
        <v>105</v>
      </c>
      <c r="C29" s="48">
        <f>_xll.RssMarket("5020","安値")</f>
        <v>1228.5</v>
      </c>
      <c r="D29" s="16">
        <f t="shared" si="0"/>
        <v>0</v>
      </c>
      <c r="E29" s="22">
        <v>1228.5</v>
      </c>
      <c r="F29" s="22">
        <v>1219</v>
      </c>
      <c r="G29" s="22">
        <v>1228</v>
      </c>
      <c r="H29" s="22">
        <v>1217</v>
      </c>
      <c r="I29" s="22">
        <v>1201</v>
      </c>
      <c r="J29" s="22">
        <v>1202</v>
      </c>
      <c r="K29" s="22">
        <v>1225.5</v>
      </c>
      <c r="L29" s="22">
        <v>1271.5</v>
      </c>
      <c r="M29" s="22">
        <v>1283</v>
      </c>
      <c r="N29" s="22">
        <v>1305.5</v>
      </c>
      <c r="O29" s="22">
        <v>1242.5</v>
      </c>
      <c r="P29" s="22">
        <v>1280.5</v>
      </c>
      <c r="Q29" s="22">
        <v>1279</v>
      </c>
      <c r="R29" s="22">
        <v>1290</v>
      </c>
      <c r="S29" s="22">
        <v>1277</v>
      </c>
      <c r="T29" s="22">
        <v>1282.5</v>
      </c>
      <c r="U29" s="22">
        <v>1295.5</v>
      </c>
      <c r="V29" s="22">
        <v>1305.5</v>
      </c>
      <c r="W29" s="22">
        <v>1340.5</v>
      </c>
      <c r="X29" s="22">
        <v>1358</v>
      </c>
      <c r="Y29" s="22">
        <v>1350</v>
      </c>
      <c r="Z29" s="22">
        <v>1266</v>
      </c>
      <c r="AA29" s="22">
        <v>1335.5</v>
      </c>
      <c r="AB29" s="22">
        <v>1343.5</v>
      </c>
      <c r="AC29" s="22">
        <v>1280.5</v>
      </c>
      <c r="AD29" s="22">
        <v>1266.5</v>
      </c>
      <c r="AE29" s="22">
        <v>1311</v>
      </c>
      <c r="AF29" s="22">
        <v>1278.5</v>
      </c>
      <c r="AG29" s="22">
        <v>1276</v>
      </c>
      <c r="AH29" s="22">
        <v>1285</v>
      </c>
      <c r="AI29" s="22">
        <v>1257.5</v>
      </c>
      <c r="AJ29" s="22">
        <v>1284.5</v>
      </c>
      <c r="AK29" s="22">
        <v>1287</v>
      </c>
      <c r="AL29" s="22">
        <v>1310</v>
      </c>
      <c r="AM29" s="22">
        <v>1325.5</v>
      </c>
      <c r="AN29" s="22">
        <v>1328.5</v>
      </c>
      <c r="AO29" s="22">
        <v>1375</v>
      </c>
      <c r="AP29" s="22">
        <v>1406.5</v>
      </c>
      <c r="AQ29" s="22">
        <v>1402.5</v>
      </c>
      <c r="AR29" s="22">
        <v>1392.5</v>
      </c>
      <c r="AS29" s="22">
        <v>1426.5</v>
      </c>
      <c r="AT29" s="22">
        <v>1416.5</v>
      </c>
      <c r="AU29" s="22">
        <v>1439</v>
      </c>
      <c r="AV29" s="22">
        <v>1436</v>
      </c>
      <c r="AW29" s="22">
        <v>1463</v>
      </c>
      <c r="AX29" s="22">
        <v>1449.5</v>
      </c>
      <c r="AY29" s="22">
        <v>1439</v>
      </c>
      <c r="AZ29" s="22">
        <v>1436.5</v>
      </c>
      <c r="BA29" s="22">
        <v>1439</v>
      </c>
      <c r="BB29" s="22">
        <v>1394.5</v>
      </c>
      <c r="BC29" s="22">
        <v>1381.5</v>
      </c>
      <c r="BD29" s="22">
        <v>1404</v>
      </c>
      <c r="BE29" s="22">
        <v>1386</v>
      </c>
      <c r="BF29" s="22">
        <v>1368.5</v>
      </c>
      <c r="BG29" s="22">
        <v>1325</v>
      </c>
      <c r="BH29" s="22">
        <v>1267</v>
      </c>
      <c r="BI29" s="22">
        <v>1367.5</v>
      </c>
      <c r="BJ29" s="22">
        <v>1379</v>
      </c>
      <c r="BK29" s="22">
        <v>1332</v>
      </c>
      <c r="BL29" s="22">
        <v>1328</v>
      </c>
    </row>
    <row r="30" spans="1:64" ht="15.95" customHeight="1">
      <c r="A30" s="68" t="s">
        <v>287</v>
      </c>
      <c r="B30" s="44" t="s">
        <v>106</v>
      </c>
      <c r="C30" s="48">
        <f>_xll.RssMarket("6254","安値")</f>
        <v>4495</v>
      </c>
      <c r="D30" s="16">
        <f t="shared" si="0"/>
        <v>0</v>
      </c>
      <c r="E30" s="22">
        <v>4495</v>
      </c>
      <c r="F30" s="22">
        <v>4485</v>
      </c>
      <c r="G30" s="22">
        <v>4525</v>
      </c>
      <c r="H30" s="22">
        <v>4090</v>
      </c>
      <c r="I30" s="22">
        <v>3695</v>
      </c>
      <c r="J30" s="22">
        <v>3915</v>
      </c>
      <c r="K30" s="22">
        <v>3905</v>
      </c>
      <c r="L30" s="22">
        <v>4180</v>
      </c>
      <c r="M30" s="22">
        <v>4290</v>
      </c>
      <c r="N30" s="22">
        <v>4245</v>
      </c>
      <c r="O30" s="22">
        <v>4200</v>
      </c>
      <c r="P30" s="22">
        <v>4575</v>
      </c>
      <c r="Q30" s="22">
        <v>4485</v>
      </c>
      <c r="R30" s="22">
        <v>4625</v>
      </c>
      <c r="S30" s="22">
        <v>5090</v>
      </c>
      <c r="T30" s="22">
        <v>4710</v>
      </c>
      <c r="U30" s="22">
        <v>4475</v>
      </c>
      <c r="V30" s="22">
        <v>4375</v>
      </c>
      <c r="W30" s="22">
        <v>4595</v>
      </c>
      <c r="X30" s="22">
        <v>4710</v>
      </c>
      <c r="Y30" s="22">
        <v>4750</v>
      </c>
      <c r="Z30" s="22">
        <v>4265</v>
      </c>
      <c r="AA30" s="22">
        <v>4260</v>
      </c>
      <c r="AB30" s="22">
        <v>4415</v>
      </c>
      <c r="AC30" s="22">
        <v>4510</v>
      </c>
      <c r="AD30" s="22">
        <v>4005</v>
      </c>
      <c r="AE30" s="22">
        <v>3900</v>
      </c>
      <c r="AF30" s="22">
        <v>3620</v>
      </c>
      <c r="AG30" s="22">
        <v>3655</v>
      </c>
      <c r="AH30" s="22">
        <v>3665</v>
      </c>
      <c r="AI30" s="22">
        <v>3620</v>
      </c>
      <c r="AJ30" s="22">
        <v>3630</v>
      </c>
      <c r="AK30" s="22">
        <v>3600</v>
      </c>
      <c r="AL30" s="22">
        <v>3660</v>
      </c>
      <c r="AM30" s="22">
        <v>3795</v>
      </c>
      <c r="AN30" s="22">
        <v>3785</v>
      </c>
      <c r="AO30" s="22">
        <v>3660</v>
      </c>
      <c r="AP30" s="22">
        <v>3655</v>
      </c>
      <c r="AQ30" s="22">
        <v>3565</v>
      </c>
      <c r="AR30" s="22">
        <v>3590</v>
      </c>
      <c r="AS30" s="22">
        <v>3500</v>
      </c>
      <c r="AT30" s="22">
        <v>3455</v>
      </c>
      <c r="AU30" s="22">
        <v>3335</v>
      </c>
      <c r="AV30" s="22">
        <v>3280</v>
      </c>
      <c r="AW30" s="22">
        <v>3150</v>
      </c>
      <c r="AX30" s="22">
        <v>3140</v>
      </c>
      <c r="AY30" s="22">
        <v>3120</v>
      </c>
      <c r="AZ30" s="22">
        <v>3210</v>
      </c>
      <c r="BA30" s="22">
        <v>3165</v>
      </c>
      <c r="BB30" s="22">
        <v>3010</v>
      </c>
      <c r="BC30" s="22">
        <v>3035</v>
      </c>
      <c r="BD30" s="22">
        <v>3135</v>
      </c>
      <c r="BE30" s="22">
        <v>3110</v>
      </c>
      <c r="BF30" s="22">
        <v>2791</v>
      </c>
      <c r="BG30" s="22">
        <v>2652</v>
      </c>
      <c r="BH30" s="22">
        <v>2606</v>
      </c>
      <c r="BI30" s="22">
        <v>2834</v>
      </c>
      <c r="BJ30" s="22">
        <v>2943</v>
      </c>
      <c r="BK30" s="22">
        <v>2891</v>
      </c>
      <c r="BL30" s="22">
        <v>2833</v>
      </c>
    </row>
    <row r="31" spans="1:64" ht="15.95" customHeight="1">
      <c r="A31" s="68" t="s">
        <v>288</v>
      </c>
      <c r="B31" s="44" t="s">
        <v>107</v>
      </c>
      <c r="C31" s="48">
        <f>_xll.RssMarket("8309","安値")</f>
        <v>6002</v>
      </c>
      <c r="D31" s="16">
        <f t="shared" si="0"/>
        <v>0</v>
      </c>
      <c r="E31" s="22">
        <v>6002</v>
      </c>
      <c r="F31" s="22">
        <v>5911</v>
      </c>
      <c r="G31" s="22">
        <v>6002</v>
      </c>
      <c r="H31" s="22">
        <v>5915</v>
      </c>
      <c r="I31" s="22">
        <v>5832</v>
      </c>
      <c r="J31" s="22">
        <v>5887</v>
      </c>
      <c r="K31" s="22">
        <v>5715</v>
      </c>
      <c r="L31" s="22">
        <v>5805</v>
      </c>
      <c r="M31" s="22">
        <v>5628</v>
      </c>
      <c r="N31" s="22">
        <v>5576</v>
      </c>
      <c r="O31" s="22">
        <v>5380</v>
      </c>
      <c r="P31" s="22">
        <v>5474</v>
      </c>
      <c r="Q31" s="22">
        <v>5499</v>
      </c>
      <c r="R31" s="22">
        <v>5576</v>
      </c>
      <c r="S31" s="22">
        <v>5572</v>
      </c>
      <c r="T31" s="22">
        <v>5596</v>
      </c>
      <c r="U31" s="22">
        <v>5692</v>
      </c>
      <c r="V31" s="22">
        <v>5576</v>
      </c>
      <c r="W31" s="22">
        <v>5557</v>
      </c>
      <c r="X31" s="22">
        <v>5455</v>
      </c>
      <c r="Y31" s="22">
        <v>5533</v>
      </c>
      <c r="Z31" s="22">
        <v>5623</v>
      </c>
      <c r="AA31" s="22">
        <v>5529</v>
      </c>
      <c r="AB31" s="22">
        <v>5526</v>
      </c>
      <c r="AC31" s="22">
        <v>5381</v>
      </c>
      <c r="AD31" s="22">
        <v>5326</v>
      </c>
      <c r="AE31" s="22">
        <v>5394</v>
      </c>
      <c r="AF31" s="22">
        <v>5203</v>
      </c>
      <c r="AG31" s="22">
        <v>5139</v>
      </c>
      <c r="AH31" s="22">
        <v>5124</v>
      </c>
      <c r="AI31" s="22">
        <v>5018</v>
      </c>
      <c r="AJ31" s="22">
        <v>5088</v>
      </c>
      <c r="AK31" s="22">
        <v>5091</v>
      </c>
      <c r="AL31" s="22">
        <v>5135</v>
      </c>
      <c r="AM31" s="22">
        <v>5176</v>
      </c>
      <c r="AN31" s="22">
        <v>5307</v>
      </c>
      <c r="AO31" s="22">
        <v>5365</v>
      </c>
      <c r="AP31" s="22">
        <v>5457</v>
      </c>
      <c r="AQ31" s="22">
        <v>5408</v>
      </c>
      <c r="AR31" s="22">
        <v>5343</v>
      </c>
      <c r="AS31" s="22">
        <v>5305</v>
      </c>
      <c r="AT31" s="22">
        <v>5310</v>
      </c>
      <c r="AU31" s="22">
        <v>5279</v>
      </c>
      <c r="AV31" s="22">
        <v>5298</v>
      </c>
      <c r="AW31" s="22">
        <v>5140</v>
      </c>
      <c r="AX31" s="22">
        <v>5122</v>
      </c>
      <c r="AY31" s="22">
        <v>5086</v>
      </c>
      <c r="AZ31" s="22">
        <v>5080</v>
      </c>
      <c r="BA31" s="22">
        <v>5087</v>
      </c>
      <c r="BB31" s="22">
        <v>4869</v>
      </c>
      <c r="BC31" s="22">
        <v>4817</v>
      </c>
      <c r="BD31" s="22">
        <v>5040</v>
      </c>
      <c r="BE31" s="22">
        <v>5042</v>
      </c>
      <c r="BF31" s="22">
        <v>5088</v>
      </c>
      <c r="BG31" s="22">
        <v>4904</v>
      </c>
      <c r="BH31" s="22">
        <v>4808</v>
      </c>
      <c r="BI31" s="22">
        <v>5014</v>
      </c>
      <c r="BJ31" s="22">
        <v>5023</v>
      </c>
      <c r="BK31" s="22">
        <v>4913</v>
      </c>
      <c r="BL31" s="22">
        <v>4878</v>
      </c>
    </row>
    <row r="32" spans="1:64" ht="15.95" customHeight="1">
      <c r="A32" s="68" t="s">
        <v>289</v>
      </c>
      <c r="B32" s="44" t="s">
        <v>108</v>
      </c>
      <c r="C32" s="48">
        <f>_xll.RssMarket("3863","安値")</f>
        <v>1241</v>
      </c>
      <c r="D32" s="16">
        <f t="shared" si="0"/>
        <v>0</v>
      </c>
      <c r="E32" s="22">
        <v>1241</v>
      </c>
      <c r="F32" s="22">
        <v>1219</v>
      </c>
      <c r="G32" s="22">
        <v>1223</v>
      </c>
      <c r="H32" s="22">
        <v>1204</v>
      </c>
      <c r="I32" s="22">
        <v>1189</v>
      </c>
      <c r="J32" s="22">
        <v>1207</v>
      </c>
      <c r="K32" s="22">
        <v>1214</v>
      </c>
      <c r="L32" s="22">
        <v>1173</v>
      </c>
      <c r="M32" s="22">
        <v>1145</v>
      </c>
      <c r="N32" s="22">
        <v>1172</v>
      </c>
      <c r="O32" s="22">
        <v>1194</v>
      </c>
      <c r="P32" s="22">
        <v>1259</v>
      </c>
      <c r="Q32" s="22">
        <v>1339</v>
      </c>
      <c r="R32" s="22">
        <v>1318</v>
      </c>
      <c r="S32" s="22">
        <v>1359</v>
      </c>
      <c r="T32" s="22">
        <v>1353</v>
      </c>
      <c r="U32" s="22">
        <v>1368</v>
      </c>
      <c r="V32" s="22">
        <v>1348</v>
      </c>
      <c r="W32" s="22">
        <v>1428</v>
      </c>
      <c r="X32" s="22">
        <v>1414</v>
      </c>
      <c r="Y32" s="22">
        <v>1421</v>
      </c>
      <c r="Z32" s="22">
        <v>1456</v>
      </c>
      <c r="AA32" s="22">
        <v>1463</v>
      </c>
      <c r="AB32" s="22">
        <v>1445</v>
      </c>
      <c r="AC32" s="22">
        <v>1422</v>
      </c>
      <c r="AD32" s="22">
        <v>1399</v>
      </c>
      <c r="AE32" s="22">
        <v>1372</v>
      </c>
      <c r="AF32" s="22">
        <v>1300</v>
      </c>
      <c r="AG32" s="22">
        <v>1247</v>
      </c>
      <c r="AH32" s="22">
        <v>1251</v>
      </c>
      <c r="AI32" s="22">
        <v>1288</v>
      </c>
      <c r="AJ32" s="22">
        <v>1416</v>
      </c>
      <c r="AK32" s="22">
        <v>1332</v>
      </c>
      <c r="AL32" s="22">
        <v>1481</v>
      </c>
      <c r="AM32" s="22">
        <v>1457</v>
      </c>
      <c r="AN32" s="22">
        <v>1437</v>
      </c>
      <c r="AO32" s="22">
        <v>1405</v>
      </c>
      <c r="AP32" s="22">
        <v>1372</v>
      </c>
      <c r="AQ32" s="22">
        <v>1332</v>
      </c>
      <c r="AR32" s="22">
        <v>1311</v>
      </c>
      <c r="AS32" s="22">
        <v>1315</v>
      </c>
      <c r="AT32" s="22">
        <v>1307</v>
      </c>
      <c r="AU32" s="22">
        <v>1299</v>
      </c>
      <c r="AV32" s="22">
        <v>1298</v>
      </c>
      <c r="AW32" s="22">
        <v>1290</v>
      </c>
      <c r="AX32" s="22">
        <v>1280</v>
      </c>
      <c r="AY32" s="22">
        <v>1279</v>
      </c>
      <c r="AZ32" s="22">
        <v>1269</v>
      </c>
      <c r="BA32" s="22">
        <v>1272</v>
      </c>
      <c r="BB32" s="22">
        <v>1256</v>
      </c>
      <c r="BC32" s="22">
        <v>1211</v>
      </c>
      <c r="BD32" s="22">
        <v>1245</v>
      </c>
      <c r="BE32" s="22">
        <v>1217</v>
      </c>
      <c r="BF32" s="22">
        <v>1211</v>
      </c>
      <c r="BG32" s="22">
        <v>1182</v>
      </c>
      <c r="BH32" s="22">
        <v>1163</v>
      </c>
      <c r="BI32" s="22">
        <v>1205</v>
      </c>
      <c r="BJ32" s="22">
        <v>1279</v>
      </c>
      <c r="BK32" s="22">
        <v>1268</v>
      </c>
      <c r="BL32" s="22">
        <v>1254</v>
      </c>
    </row>
    <row r="33" spans="1:64" ht="15.95" customHeight="1">
      <c r="A33" s="68" t="s">
        <v>290</v>
      </c>
      <c r="B33" s="44" t="s">
        <v>109</v>
      </c>
      <c r="C33" s="48">
        <f>_xll.RssMarket("8601","安値")</f>
        <v>1593</v>
      </c>
      <c r="D33" s="16">
        <f t="shared" si="0"/>
        <v>0</v>
      </c>
      <c r="E33" s="22">
        <v>1593</v>
      </c>
      <c r="F33" s="22">
        <v>1568</v>
      </c>
      <c r="G33" s="22">
        <v>1591.5</v>
      </c>
      <c r="H33" s="22">
        <v>1546.5</v>
      </c>
      <c r="I33" s="22">
        <v>1518</v>
      </c>
      <c r="J33" s="22">
        <v>1548.5</v>
      </c>
      <c r="K33" s="22">
        <v>1516.5</v>
      </c>
      <c r="L33" s="22">
        <v>1542</v>
      </c>
      <c r="M33" s="22">
        <v>1522.5</v>
      </c>
      <c r="N33" s="22">
        <v>1495</v>
      </c>
      <c r="O33" s="22">
        <v>1478</v>
      </c>
      <c r="P33" s="22">
        <v>1476.5</v>
      </c>
      <c r="Q33" s="22">
        <v>1446</v>
      </c>
      <c r="R33" s="22">
        <v>1442.5</v>
      </c>
      <c r="S33" s="22">
        <v>1471</v>
      </c>
      <c r="T33" s="22">
        <v>1482</v>
      </c>
      <c r="U33" s="22">
        <v>1494</v>
      </c>
      <c r="V33" s="22">
        <v>1468</v>
      </c>
      <c r="W33" s="22">
        <v>1479.5</v>
      </c>
      <c r="X33" s="22">
        <v>1460.5</v>
      </c>
      <c r="Y33" s="22">
        <v>1474</v>
      </c>
      <c r="Z33" s="22">
        <v>1478</v>
      </c>
      <c r="AA33" s="22">
        <v>1464</v>
      </c>
      <c r="AB33" s="22">
        <v>1453</v>
      </c>
      <c r="AC33" s="22">
        <v>1439</v>
      </c>
      <c r="AD33" s="22">
        <v>1437</v>
      </c>
      <c r="AE33" s="22">
        <v>1452.5</v>
      </c>
      <c r="AF33" s="22">
        <v>1423.5</v>
      </c>
      <c r="AG33" s="22">
        <v>1425</v>
      </c>
      <c r="AH33" s="22">
        <v>1412.5</v>
      </c>
      <c r="AI33" s="22">
        <v>1480</v>
      </c>
      <c r="AJ33" s="22">
        <v>1490</v>
      </c>
      <c r="AK33" s="22">
        <v>1491</v>
      </c>
      <c r="AL33" s="22">
        <v>1498.5</v>
      </c>
      <c r="AM33" s="22">
        <v>1519</v>
      </c>
      <c r="AN33" s="22">
        <v>1517</v>
      </c>
      <c r="AO33" s="22">
        <v>1526</v>
      </c>
      <c r="AP33" s="22">
        <v>1559</v>
      </c>
      <c r="AQ33" s="22">
        <v>1565.5</v>
      </c>
      <c r="AR33" s="22">
        <v>1545.5</v>
      </c>
      <c r="AS33" s="22">
        <v>1524</v>
      </c>
      <c r="AT33" s="22">
        <v>1540</v>
      </c>
      <c r="AU33" s="22">
        <v>1531</v>
      </c>
      <c r="AV33" s="22">
        <v>1552.5</v>
      </c>
      <c r="AW33" s="22">
        <v>1496</v>
      </c>
      <c r="AX33" s="22">
        <v>1510.5</v>
      </c>
      <c r="AY33" s="22">
        <v>1509</v>
      </c>
      <c r="AZ33" s="22">
        <v>1501.5</v>
      </c>
      <c r="BA33" s="22">
        <v>1500</v>
      </c>
      <c r="BB33" s="22">
        <v>1460</v>
      </c>
      <c r="BC33" s="22">
        <v>1476.5</v>
      </c>
      <c r="BD33" s="22">
        <v>1554.5</v>
      </c>
      <c r="BE33" s="22">
        <v>1552</v>
      </c>
      <c r="BF33" s="22">
        <v>1530</v>
      </c>
      <c r="BG33" s="22">
        <v>1477.5</v>
      </c>
      <c r="BH33" s="22">
        <v>1450</v>
      </c>
      <c r="BI33" s="22">
        <v>1466.5</v>
      </c>
      <c r="BJ33" s="22">
        <v>1482.5</v>
      </c>
      <c r="BK33" s="22">
        <v>1453.5</v>
      </c>
      <c r="BL33" s="22">
        <v>1427.5</v>
      </c>
    </row>
    <row r="34" spans="1:64" ht="15.95" customHeight="1">
      <c r="A34" s="68" t="s">
        <v>291</v>
      </c>
      <c r="B34" s="44" t="s">
        <v>110</v>
      </c>
      <c r="C34" s="48">
        <f>_xll.RssMarket("5233","安値")</f>
        <v>4302</v>
      </c>
      <c r="D34" s="16">
        <f t="shared" si="0"/>
        <v>0</v>
      </c>
      <c r="E34" s="22">
        <v>4302</v>
      </c>
      <c r="F34" s="22">
        <v>4370</v>
      </c>
      <c r="G34" s="22">
        <v>4301</v>
      </c>
      <c r="H34" s="22">
        <v>4097</v>
      </c>
      <c r="I34" s="22">
        <v>4000</v>
      </c>
      <c r="J34" s="22">
        <v>4115</v>
      </c>
      <c r="K34" s="22">
        <v>4204</v>
      </c>
      <c r="L34" s="22">
        <v>4322</v>
      </c>
      <c r="M34" s="22">
        <v>4361</v>
      </c>
      <c r="N34" s="22">
        <v>4381</v>
      </c>
      <c r="O34" s="22">
        <v>4291</v>
      </c>
      <c r="P34" s="22">
        <v>4475</v>
      </c>
      <c r="Q34" s="22">
        <v>4213</v>
      </c>
      <c r="R34" s="22">
        <v>4171</v>
      </c>
      <c r="S34" s="22">
        <v>4048</v>
      </c>
      <c r="T34" s="22">
        <v>4113</v>
      </c>
      <c r="U34" s="22">
        <v>4028</v>
      </c>
      <c r="V34" s="22">
        <v>3918</v>
      </c>
      <c r="W34" s="22">
        <v>3883</v>
      </c>
      <c r="X34" s="22">
        <v>3803</v>
      </c>
      <c r="Y34" s="22">
        <v>3959</v>
      </c>
      <c r="Z34" s="22">
        <v>4059</v>
      </c>
      <c r="AA34" s="22">
        <v>4053</v>
      </c>
      <c r="AB34" s="22">
        <v>3627</v>
      </c>
      <c r="AC34" s="22">
        <v>3541</v>
      </c>
      <c r="AD34" s="22">
        <v>3600</v>
      </c>
      <c r="AE34" s="22">
        <v>3608</v>
      </c>
      <c r="AF34" s="22">
        <v>3518</v>
      </c>
      <c r="AG34" s="22">
        <v>3523</v>
      </c>
      <c r="AH34" s="22">
        <v>3601</v>
      </c>
      <c r="AI34" s="22">
        <v>3537</v>
      </c>
      <c r="AJ34" s="22">
        <v>3519</v>
      </c>
      <c r="AK34" s="22">
        <v>3486</v>
      </c>
      <c r="AL34" s="22">
        <v>3601</v>
      </c>
      <c r="AM34" s="22">
        <v>3657</v>
      </c>
      <c r="AN34" s="22">
        <v>3661</v>
      </c>
      <c r="AO34" s="22">
        <v>3646</v>
      </c>
      <c r="AP34" s="22">
        <v>3665</v>
      </c>
      <c r="AQ34" s="22">
        <v>3664</v>
      </c>
      <c r="AR34" s="22">
        <v>3691</v>
      </c>
      <c r="AS34" s="22">
        <v>3672</v>
      </c>
      <c r="AT34" s="22">
        <v>3669</v>
      </c>
      <c r="AU34" s="22">
        <v>3689</v>
      </c>
      <c r="AV34" s="22">
        <v>3617</v>
      </c>
      <c r="AW34" s="22">
        <v>3536</v>
      </c>
      <c r="AX34" s="22">
        <v>3506</v>
      </c>
      <c r="AY34" s="22">
        <v>3525</v>
      </c>
      <c r="AZ34" s="22">
        <v>3498</v>
      </c>
      <c r="BA34" s="22">
        <v>3542</v>
      </c>
      <c r="BB34" s="22">
        <v>3399</v>
      </c>
      <c r="BC34" s="22">
        <v>3300</v>
      </c>
      <c r="BD34" s="22">
        <v>3510</v>
      </c>
      <c r="BE34" s="22">
        <v>3497</v>
      </c>
      <c r="BF34" s="22">
        <v>3537</v>
      </c>
      <c r="BG34" s="22">
        <v>3394</v>
      </c>
      <c r="BH34" s="22">
        <v>3265</v>
      </c>
      <c r="BI34" s="22">
        <v>3439</v>
      </c>
      <c r="BJ34" s="22">
        <v>3685</v>
      </c>
      <c r="BK34" s="22">
        <v>3676</v>
      </c>
      <c r="BL34" s="22">
        <v>3637</v>
      </c>
    </row>
    <row r="35" spans="1:64" ht="15.95" customHeight="1">
      <c r="A35" s="68" t="s">
        <v>292</v>
      </c>
      <c r="B35" s="44" t="s">
        <v>111</v>
      </c>
      <c r="C35" s="48">
        <f>_xll.RssMarket("8308","安値")</f>
        <v>2160.5</v>
      </c>
      <c r="D35" s="16">
        <f t="shared" si="0"/>
        <v>0</v>
      </c>
      <c r="E35" s="22">
        <v>2160.5</v>
      </c>
      <c r="F35" s="22">
        <v>2108.5</v>
      </c>
      <c r="G35" s="22">
        <v>2201</v>
      </c>
      <c r="H35" s="22">
        <v>2135.5</v>
      </c>
      <c r="I35" s="22">
        <v>2089.5</v>
      </c>
      <c r="J35" s="22">
        <v>2124</v>
      </c>
      <c r="K35" s="22">
        <v>2043.5</v>
      </c>
      <c r="L35" s="22">
        <v>2117</v>
      </c>
      <c r="M35" s="22">
        <v>2049</v>
      </c>
      <c r="N35" s="22">
        <v>2033.5</v>
      </c>
      <c r="O35" s="22">
        <v>1958</v>
      </c>
      <c r="P35" s="22">
        <v>2032</v>
      </c>
      <c r="Q35" s="22">
        <v>2003</v>
      </c>
      <c r="R35" s="22">
        <v>2023</v>
      </c>
      <c r="S35" s="22">
        <v>2096.5</v>
      </c>
      <c r="T35" s="22">
        <v>2099.5</v>
      </c>
      <c r="U35" s="22">
        <v>2068</v>
      </c>
      <c r="V35" s="22">
        <v>2016</v>
      </c>
      <c r="W35" s="22">
        <v>2033</v>
      </c>
      <c r="X35" s="22">
        <v>2016.5</v>
      </c>
      <c r="Y35" s="22">
        <v>2006</v>
      </c>
      <c r="Z35" s="22">
        <v>2032.5</v>
      </c>
      <c r="AA35" s="22">
        <v>2022.5</v>
      </c>
      <c r="AB35" s="22">
        <v>1996.5</v>
      </c>
      <c r="AC35" s="22">
        <v>1933.5</v>
      </c>
      <c r="AD35" s="22">
        <v>1916.5</v>
      </c>
      <c r="AE35" s="22">
        <v>1980</v>
      </c>
      <c r="AF35" s="22">
        <v>1892.5</v>
      </c>
      <c r="AG35" s="22">
        <v>1885</v>
      </c>
      <c r="AH35" s="22">
        <v>1851</v>
      </c>
      <c r="AI35" s="22">
        <v>1786</v>
      </c>
      <c r="AJ35" s="22">
        <v>1810</v>
      </c>
      <c r="AK35" s="22">
        <v>1796</v>
      </c>
      <c r="AL35" s="22">
        <v>1854</v>
      </c>
      <c r="AM35" s="22">
        <v>1905</v>
      </c>
      <c r="AN35" s="22">
        <v>1948.5</v>
      </c>
      <c r="AO35" s="22">
        <v>1926</v>
      </c>
      <c r="AP35" s="22">
        <v>1909.5</v>
      </c>
      <c r="AQ35" s="22">
        <v>1904.5</v>
      </c>
      <c r="AR35" s="22">
        <v>1857.5</v>
      </c>
      <c r="AS35" s="22">
        <v>1871</v>
      </c>
      <c r="AT35" s="22">
        <v>1883</v>
      </c>
      <c r="AU35" s="22">
        <v>1877</v>
      </c>
      <c r="AV35" s="22">
        <v>1916.5</v>
      </c>
      <c r="AW35" s="22">
        <v>1856</v>
      </c>
      <c r="AX35" s="22">
        <v>1828.5</v>
      </c>
      <c r="AY35" s="22">
        <v>1812</v>
      </c>
      <c r="AZ35" s="22">
        <v>1802.5</v>
      </c>
      <c r="BA35" s="22">
        <v>1802.5</v>
      </c>
      <c r="BB35" s="22">
        <v>1703.5</v>
      </c>
      <c r="BC35" s="22">
        <v>1691.5</v>
      </c>
      <c r="BD35" s="22">
        <v>1794.5</v>
      </c>
      <c r="BE35" s="22">
        <v>1798.5</v>
      </c>
      <c r="BF35" s="22">
        <v>1808.5</v>
      </c>
      <c r="BG35" s="22">
        <v>1748</v>
      </c>
      <c r="BH35" s="22">
        <v>1652.5</v>
      </c>
      <c r="BI35" s="22">
        <v>1761</v>
      </c>
      <c r="BJ35" s="22">
        <v>1757.5</v>
      </c>
      <c r="BK35" s="22">
        <v>1728</v>
      </c>
      <c r="BL35" s="22">
        <v>1717</v>
      </c>
    </row>
    <row r="36" spans="1:64" ht="15.95" customHeight="1">
      <c r="A36" s="68" t="s">
        <v>293</v>
      </c>
      <c r="B36" s="44" t="s">
        <v>112</v>
      </c>
      <c r="C36" s="48">
        <f>_xll.RssMarket("5938","安値")</f>
        <v>1717</v>
      </c>
      <c r="D36" s="16">
        <f t="shared" si="0"/>
        <v>0</v>
      </c>
      <c r="E36" s="22">
        <v>1717</v>
      </c>
      <c r="F36" s="22">
        <v>1727.5</v>
      </c>
      <c r="G36" s="22">
        <v>1726.5</v>
      </c>
      <c r="H36" s="22">
        <v>1721</v>
      </c>
      <c r="I36" s="22">
        <v>1704</v>
      </c>
      <c r="J36" s="22">
        <v>1711.5</v>
      </c>
      <c r="K36" s="22">
        <v>1701</v>
      </c>
      <c r="L36" s="22">
        <v>1693.5</v>
      </c>
      <c r="M36" s="22">
        <v>1690.5</v>
      </c>
      <c r="N36" s="22">
        <v>1677.5</v>
      </c>
      <c r="O36" s="22">
        <v>1652</v>
      </c>
      <c r="P36" s="22">
        <v>1686.5</v>
      </c>
      <c r="Q36" s="22">
        <v>1670.5</v>
      </c>
      <c r="R36" s="22">
        <v>1648</v>
      </c>
      <c r="S36" s="22">
        <v>1644</v>
      </c>
      <c r="T36" s="22">
        <v>1630</v>
      </c>
      <c r="U36" s="22">
        <v>1635</v>
      </c>
      <c r="V36" s="22">
        <v>1616.5</v>
      </c>
      <c r="W36" s="22">
        <v>1646</v>
      </c>
      <c r="X36" s="22">
        <v>1633.5</v>
      </c>
      <c r="Y36" s="22">
        <v>1655</v>
      </c>
      <c r="Z36" s="22">
        <v>1651</v>
      </c>
      <c r="AA36" s="22">
        <v>1673</v>
      </c>
      <c r="AB36" s="22">
        <v>1669.5</v>
      </c>
      <c r="AC36" s="22">
        <v>1662.5</v>
      </c>
      <c r="AD36" s="22">
        <v>1669.5</v>
      </c>
      <c r="AE36" s="22">
        <v>1639</v>
      </c>
      <c r="AF36" s="22">
        <v>1605</v>
      </c>
      <c r="AG36" s="22">
        <v>1571.5</v>
      </c>
      <c r="AH36" s="22">
        <v>1604</v>
      </c>
      <c r="AI36" s="22">
        <v>1595.5</v>
      </c>
      <c r="AJ36" s="22">
        <v>1608</v>
      </c>
      <c r="AK36" s="22">
        <v>1585</v>
      </c>
      <c r="AL36" s="22">
        <v>1615</v>
      </c>
      <c r="AM36" s="22">
        <v>1636</v>
      </c>
      <c r="AN36" s="22">
        <v>1628</v>
      </c>
      <c r="AO36" s="22">
        <v>1615</v>
      </c>
      <c r="AP36" s="22">
        <v>1616.5</v>
      </c>
      <c r="AQ36" s="22">
        <v>1610</v>
      </c>
      <c r="AR36" s="22">
        <v>1598</v>
      </c>
      <c r="AS36" s="22">
        <v>1589</v>
      </c>
      <c r="AT36" s="22">
        <v>1655</v>
      </c>
      <c r="AU36" s="22">
        <v>1658</v>
      </c>
      <c r="AV36" s="22">
        <v>1650.5</v>
      </c>
      <c r="AW36" s="22">
        <v>1635</v>
      </c>
      <c r="AX36" s="22">
        <v>1635</v>
      </c>
      <c r="AY36" s="22">
        <v>1630</v>
      </c>
      <c r="AZ36" s="22">
        <v>1620</v>
      </c>
      <c r="BA36" s="22">
        <v>1632.5</v>
      </c>
      <c r="BB36" s="22">
        <v>1613</v>
      </c>
      <c r="BC36" s="22">
        <v>1600.5</v>
      </c>
      <c r="BD36" s="22">
        <v>1689</v>
      </c>
      <c r="BE36" s="22">
        <v>1685.5</v>
      </c>
      <c r="BF36" s="22">
        <v>1681</v>
      </c>
      <c r="BG36" s="22">
        <v>1640</v>
      </c>
      <c r="BH36" s="22">
        <v>1628</v>
      </c>
      <c r="BI36" s="22">
        <v>1655.5</v>
      </c>
      <c r="BJ36" s="22">
        <v>1700.5</v>
      </c>
      <c r="BK36" s="22">
        <v>1692.5</v>
      </c>
      <c r="BL36" s="22">
        <v>1675</v>
      </c>
    </row>
    <row r="37" spans="1:64" ht="15.95" customHeight="1">
      <c r="A37" s="68" t="s">
        <v>294</v>
      </c>
      <c r="B37" s="44" t="s">
        <v>113</v>
      </c>
      <c r="C37" s="48">
        <f>_xll.RssMarket("8570","安値")</f>
        <v>1491.5</v>
      </c>
      <c r="D37" s="16">
        <f t="shared" si="0"/>
        <v>0</v>
      </c>
      <c r="E37" s="22">
        <v>1491.5</v>
      </c>
      <c r="F37" s="22">
        <v>1485</v>
      </c>
      <c r="G37" s="22">
        <v>1508</v>
      </c>
      <c r="H37" s="22">
        <v>1493</v>
      </c>
      <c r="I37" s="22">
        <v>1488</v>
      </c>
      <c r="J37" s="22">
        <v>1486</v>
      </c>
      <c r="K37" s="22">
        <v>1442</v>
      </c>
      <c r="L37" s="22">
        <v>1441</v>
      </c>
      <c r="M37" s="22">
        <v>1427.5</v>
      </c>
      <c r="N37" s="22">
        <v>1447</v>
      </c>
      <c r="O37" s="22">
        <v>1413.5</v>
      </c>
      <c r="P37" s="22">
        <v>1496</v>
      </c>
      <c r="Q37" s="22">
        <v>1506</v>
      </c>
      <c r="R37" s="22">
        <v>1526.5</v>
      </c>
      <c r="S37" s="22">
        <v>1541</v>
      </c>
      <c r="T37" s="22">
        <v>1550</v>
      </c>
      <c r="U37" s="22">
        <v>1584</v>
      </c>
      <c r="V37" s="22">
        <v>1562</v>
      </c>
      <c r="W37" s="22">
        <v>1563</v>
      </c>
      <c r="X37" s="22">
        <v>1560</v>
      </c>
      <c r="Y37" s="22">
        <v>1545.5</v>
      </c>
      <c r="Z37" s="22">
        <v>1547.5</v>
      </c>
      <c r="AA37" s="22">
        <v>1554.5</v>
      </c>
      <c r="AB37" s="22">
        <v>1545.5</v>
      </c>
      <c r="AC37" s="22">
        <v>1515</v>
      </c>
      <c r="AD37" s="22">
        <v>1499.5</v>
      </c>
      <c r="AE37" s="22">
        <v>1551.5</v>
      </c>
      <c r="AF37" s="22">
        <v>1532.5</v>
      </c>
      <c r="AG37" s="22">
        <v>1531</v>
      </c>
      <c r="AH37" s="22">
        <v>1531.5</v>
      </c>
      <c r="AI37" s="22">
        <v>1521.5</v>
      </c>
      <c r="AJ37" s="22">
        <v>1544.5</v>
      </c>
      <c r="AK37" s="22">
        <v>1538</v>
      </c>
      <c r="AL37" s="22">
        <v>1536.5</v>
      </c>
      <c r="AM37" s="22">
        <v>1537</v>
      </c>
      <c r="AN37" s="22">
        <v>1558.5</v>
      </c>
      <c r="AO37" s="22">
        <v>1564.5</v>
      </c>
      <c r="AP37" s="22">
        <v>1609.5</v>
      </c>
      <c r="AQ37" s="22">
        <v>1606</v>
      </c>
      <c r="AR37" s="22">
        <v>1586</v>
      </c>
      <c r="AS37" s="22">
        <v>1516</v>
      </c>
      <c r="AT37" s="22">
        <v>1523</v>
      </c>
      <c r="AU37" s="22">
        <v>1500</v>
      </c>
      <c r="AV37" s="22">
        <v>1637.5</v>
      </c>
      <c r="AW37" s="22">
        <v>1610.5</v>
      </c>
      <c r="AX37" s="22">
        <v>1605</v>
      </c>
      <c r="AY37" s="22">
        <v>1601.5</v>
      </c>
      <c r="AZ37" s="22">
        <v>1588</v>
      </c>
      <c r="BA37" s="22">
        <v>1575.5</v>
      </c>
      <c r="BB37" s="22">
        <v>1556.5</v>
      </c>
      <c r="BC37" s="22">
        <v>1511.5</v>
      </c>
      <c r="BD37" s="22">
        <v>1571.5</v>
      </c>
      <c r="BE37" s="22">
        <v>1568</v>
      </c>
      <c r="BF37" s="22">
        <v>1591</v>
      </c>
      <c r="BG37" s="22">
        <v>1553.5</v>
      </c>
      <c r="BH37" s="22">
        <v>1528.5</v>
      </c>
      <c r="BI37" s="22">
        <v>1574</v>
      </c>
      <c r="BJ37" s="22">
        <v>1585</v>
      </c>
      <c r="BK37" s="22">
        <v>1567</v>
      </c>
      <c r="BL37" s="22">
        <v>1559</v>
      </c>
    </row>
    <row r="38" spans="1:64" ht="15.95" customHeight="1">
      <c r="A38" s="68" t="s">
        <v>295</v>
      </c>
      <c r="B38" s="44" t="s">
        <v>114</v>
      </c>
      <c r="C38" s="48">
        <f>_xll.RssMarket("5406","安値")</f>
        <v>1973</v>
      </c>
      <c r="D38" s="16">
        <f t="shared" si="0"/>
        <v>0</v>
      </c>
      <c r="E38" s="22">
        <v>1973</v>
      </c>
      <c r="F38" s="22">
        <v>1981.5</v>
      </c>
      <c r="G38" s="22">
        <v>1953</v>
      </c>
      <c r="H38" s="22">
        <v>1918.5</v>
      </c>
      <c r="I38" s="22">
        <v>1860</v>
      </c>
      <c r="J38" s="22">
        <v>1888</v>
      </c>
      <c r="K38" s="22">
        <v>1884</v>
      </c>
      <c r="L38" s="22">
        <v>1932.5</v>
      </c>
      <c r="M38" s="22">
        <v>1933</v>
      </c>
      <c r="N38" s="22">
        <v>1953</v>
      </c>
      <c r="O38" s="22">
        <v>1929</v>
      </c>
      <c r="P38" s="22">
        <v>1952.5</v>
      </c>
      <c r="Q38" s="22">
        <v>1933</v>
      </c>
      <c r="R38" s="22">
        <v>1965.5</v>
      </c>
      <c r="S38" s="22">
        <v>1934</v>
      </c>
      <c r="T38" s="22">
        <v>1930</v>
      </c>
      <c r="U38" s="22">
        <v>1900.5</v>
      </c>
      <c r="V38" s="22">
        <v>1857</v>
      </c>
      <c r="W38" s="22">
        <v>1885</v>
      </c>
      <c r="X38" s="22">
        <v>1873.5</v>
      </c>
      <c r="Y38" s="22">
        <v>1939.5</v>
      </c>
      <c r="Z38" s="22">
        <v>1961.5</v>
      </c>
      <c r="AA38" s="22">
        <v>1960.5</v>
      </c>
      <c r="AB38" s="22">
        <v>1955</v>
      </c>
      <c r="AC38" s="22">
        <v>1912</v>
      </c>
      <c r="AD38" s="22">
        <v>1914</v>
      </c>
      <c r="AE38" s="22">
        <v>1974</v>
      </c>
      <c r="AF38" s="22">
        <v>1895</v>
      </c>
      <c r="AG38" s="22">
        <v>1877</v>
      </c>
      <c r="AH38" s="22">
        <v>1870</v>
      </c>
      <c r="AI38" s="22">
        <v>1840</v>
      </c>
      <c r="AJ38" s="22">
        <v>1843</v>
      </c>
      <c r="AK38" s="22">
        <v>1839</v>
      </c>
      <c r="AL38" s="22">
        <v>1870.5</v>
      </c>
      <c r="AM38" s="22">
        <v>1904</v>
      </c>
      <c r="AN38" s="22">
        <v>1927.5</v>
      </c>
      <c r="AO38" s="22">
        <v>1919</v>
      </c>
      <c r="AP38" s="22">
        <v>1941</v>
      </c>
      <c r="AQ38" s="22">
        <v>1933.5</v>
      </c>
      <c r="AR38" s="22">
        <v>1944</v>
      </c>
      <c r="AS38" s="22">
        <v>1931</v>
      </c>
      <c r="AT38" s="22">
        <v>1950.5</v>
      </c>
      <c r="AU38" s="22">
        <v>1947</v>
      </c>
      <c r="AV38" s="22">
        <v>1955</v>
      </c>
      <c r="AW38" s="22">
        <v>1923.5</v>
      </c>
      <c r="AX38" s="22">
        <v>1928.5</v>
      </c>
      <c r="AY38" s="22">
        <v>1940.5</v>
      </c>
      <c r="AZ38" s="22">
        <v>1924</v>
      </c>
      <c r="BA38" s="22">
        <v>1915</v>
      </c>
      <c r="BB38" s="22">
        <v>1869.5</v>
      </c>
      <c r="BC38" s="22">
        <v>1859</v>
      </c>
      <c r="BD38" s="22">
        <v>1936</v>
      </c>
      <c r="BE38" s="22">
        <v>1911</v>
      </c>
      <c r="BF38" s="22">
        <v>1951</v>
      </c>
      <c r="BG38" s="22">
        <v>1959.5</v>
      </c>
      <c r="BH38" s="22">
        <v>1935.5</v>
      </c>
      <c r="BI38" s="22">
        <v>1993.5</v>
      </c>
      <c r="BJ38" s="22">
        <v>2018</v>
      </c>
      <c r="BK38" s="22">
        <v>2006</v>
      </c>
      <c r="BL38" s="22">
        <v>1978</v>
      </c>
    </row>
    <row r="39" spans="1:64" ht="15.95" customHeight="1">
      <c r="A39" s="68" t="s">
        <v>296</v>
      </c>
      <c r="B39" s="44" t="s">
        <v>115</v>
      </c>
      <c r="C39" s="48">
        <f>_xll.RssMarket("8593","安値")</f>
        <v>1318.5</v>
      </c>
      <c r="D39" s="16">
        <f t="shared" si="0"/>
        <v>0</v>
      </c>
      <c r="E39" s="22">
        <v>1318.5</v>
      </c>
      <c r="F39" s="22">
        <v>1310</v>
      </c>
      <c r="G39" s="22">
        <v>1326.5</v>
      </c>
      <c r="H39" s="22">
        <v>1307</v>
      </c>
      <c r="I39" s="22">
        <v>1303</v>
      </c>
      <c r="J39" s="22">
        <v>1313.5</v>
      </c>
      <c r="K39" s="22">
        <v>1267</v>
      </c>
      <c r="L39" s="22">
        <v>1272</v>
      </c>
      <c r="M39" s="22">
        <v>1254</v>
      </c>
      <c r="N39" s="22">
        <v>1249</v>
      </c>
      <c r="O39" s="22">
        <v>1239.5</v>
      </c>
      <c r="P39" s="22">
        <v>1301.5</v>
      </c>
      <c r="Q39" s="22">
        <v>1300.5</v>
      </c>
      <c r="R39" s="22">
        <v>1308</v>
      </c>
      <c r="S39" s="22">
        <v>1305.5</v>
      </c>
      <c r="T39" s="22">
        <v>1311</v>
      </c>
      <c r="U39" s="22">
        <v>1333</v>
      </c>
      <c r="V39" s="22">
        <v>1337</v>
      </c>
      <c r="W39" s="22">
        <v>1321.5</v>
      </c>
      <c r="X39" s="22">
        <v>1410.5</v>
      </c>
      <c r="Y39" s="22">
        <v>1418</v>
      </c>
      <c r="Z39" s="22">
        <v>1430.5</v>
      </c>
      <c r="AA39" s="22">
        <v>1424</v>
      </c>
      <c r="AB39" s="22">
        <v>1401</v>
      </c>
      <c r="AC39" s="22">
        <v>1397.5</v>
      </c>
      <c r="AD39" s="22">
        <v>1393</v>
      </c>
      <c r="AE39" s="22">
        <v>1400</v>
      </c>
      <c r="AF39" s="22">
        <v>1412</v>
      </c>
      <c r="AG39" s="22">
        <v>1421.5</v>
      </c>
      <c r="AH39" s="22">
        <v>1398</v>
      </c>
      <c r="AI39" s="22">
        <v>1400.5</v>
      </c>
      <c r="AJ39" s="22">
        <v>1399</v>
      </c>
      <c r="AK39" s="22">
        <v>1411</v>
      </c>
      <c r="AL39" s="22">
        <v>1432</v>
      </c>
      <c r="AM39" s="22">
        <v>1446</v>
      </c>
      <c r="AN39" s="22">
        <v>1460</v>
      </c>
      <c r="AO39" s="22">
        <v>1466</v>
      </c>
      <c r="AP39" s="22">
        <v>1462</v>
      </c>
      <c r="AQ39" s="22">
        <v>1459.5</v>
      </c>
      <c r="AR39" s="22">
        <v>1456</v>
      </c>
      <c r="AS39" s="22">
        <v>1467</v>
      </c>
      <c r="AT39" s="22">
        <v>1480</v>
      </c>
      <c r="AU39" s="22">
        <v>1499</v>
      </c>
      <c r="AV39" s="22">
        <v>1474.5</v>
      </c>
      <c r="AW39" s="22">
        <v>1468</v>
      </c>
      <c r="AX39" s="22">
        <v>1460</v>
      </c>
      <c r="AY39" s="22">
        <v>1451</v>
      </c>
      <c r="AZ39" s="22">
        <v>1416</v>
      </c>
      <c r="BA39" s="22">
        <v>1393.5</v>
      </c>
      <c r="BB39" s="22">
        <v>1378</v>
      </c>
      <c r="BC39" s="22">
        <v>1438</v>
      </c>
      <c r="BD39" s="22">
        <v>1427</v>
      </c>
      <c r="BE39" s="22">
        <v>1440</v>
      </c>
      <c r="BF39" s="22">
        <v>1408.5</v>
      </c>
      <c r="BG39" s="22">
        <v>1394</v>
      </c>
      <c r="BH39" s="22">
        <v>1427</v>
      </c>
      <c r="BI39" s="22">
        <v>1435</v>
      </c>
      <c r="BJ39" s="22">
        <v>1418.5</v>
      </c>
      <c r="BK39" s="22">
        <v>1407</v>
      </c>
      <c r="BL39" s="22">
        <v>1400</v>
      </c>
    </row>
    <row r="40" spans="1:64" ht="15.95" customHeight="1">
      <c r="A40" s="68" t="s">
        <v>297</v>
      </c>
      <c r="B40" s="44" t="s">
        <v>116</v>
      </c>
      <c r="C40" s="48">
        <f>_xll.RssMarket("8604","安値")</f>
        <v>1428.5</v>
      </c>
      <c r="D40" s="16">
        <f t="shared" si="0"/>
        <v>0</v>
      </c>
      <c r="E40" s="22">
        <v>1428.5</v>
      </c>
      <c r="F40" s="22">
        <v>1371.5</v>
      </c>
      <c r="G40" s="22">
        <v>1399.5</v>
      </c>
      <c r="H40" s="22">
        <v>1351</v>
      </c>
      <c r="I40" s="22">
        <v>1333.5</v>
      </c>
      <c r="J40" s="22">
        <v>1377</v>
      </c>
      <c r="K40" s="22">
        <v>1328.5</v>
      </c>
      <c r="L40" s="22">
        <v>1360.5</v>
      </c>
      <c r="M40" s="22">
        <v>1336.5</v>
      </c>
      <c r="N40" s="22">
        <v>1321.5</v>
      </c>
      <c r="O40" s="22">
        <v>1285</v>
      </c>
      <c r="P40" s="22">
        <v>1260.5</v>
      </c>
      <c r="Q40" s="22">
        <v>1237</v>
      </c>
      <c r="R40" s="22">
        <v>1247.5</v>
      </c>
      <c r="S40" s="22">
        <v>1264.5</v>
      </c>
      <c r="T40" s="22">
        <v>1287</v>
      </c>
      <c r="U40" s="22">
        <v>1263.5</v>
      </c>
      <c r="V40" s="22">
        <v>1239.5</v>
      </c>
      <c r="W40" s="22">
        <v>1256</v>
      </c>
      <c r="X40" s="22">
        <v>1248</v>
      </c>
      <c r="Y40" s="22">
        <v>1256.5</v>
      </c>
      <c r="Z40" s="22">
        <v>1259</v>
      </c>
      <c r="AA40" s="22">
        <v>1242.5</v>
      </c>
      <c r="AB40" s="22">
        <v>1219</v>
      </c>
      <c r="AC40" s="22">
        <v>1210.5</v>
      </c>
      <c r="AD40" s="22">
        <v>1213.5</v>
      </c>
      <c r="AE40" s="22">
        <v>1224.5</v>
      </c>
      <c r="AF40" s="22">
        <v>1214</v>
      </c>
      <c r="AG40" s="22">
        <v>1236</v>
      </c>
      <c r="AH40" s="22">
        <v>1248</v>
      </c>
      <c r="AI40" s="22">
        <v>1227</v>
      </c>
      <c r="AJ40" s="22">
        <v>1306</v>
      </c>
      <c r="AK40" s="22">
        <v>1315.5</v>
      </c>
      <c r="AL40" s="22">
        <v>1325</v>
      </c>
      <c r="AM40" s="22">
        <v>1334.5</v>
      </c>
      <c r="AN40" s="22">
        <v>1333.5</v>
      </c>
      <c r="AO40" s="22">
        <v>1329.5</v>
      </c>
      <c r="AP40" s="22">
        <v>1382</v>
      </c>
      <c r="AQ40" s="22">
        <v>1351</v>
      </c>
      <c r="AR40" s="22">
        <v>1316.5</v>
      </c>
      <c r="AS40" s="22">
        <v>1295</v>
      </c>
      <c r="AT40" s="22">
        <v>1305</v>
      </c>
      <c r="AU40" s="22">
        <v>1304.5</v>
      </c>
      <c r="AV40" s="22">
        <v>1317</v>
      </c>
      <c r="AW40" s="22">
        <v>1265</v>
      </c>
      <c r="AX40" s="22">
        <v>1255.5</v>
      </c>
      <c r="AY40" s="22">
        <v>1260</v>
      </c>
      <c r="AZ40" s="22">
        <v>1245</v>
      </c>
      <c r="BA40" s="22">
        <v>1235.5</v>
      </c>
      <c r="BB40" s="22">
        <v>1190</v>
      </c>
      <c r="BC40" s="22">
        <v>1182.5</v>
      </c>
      <c r="BD40" s="22">
        <v>1235</v>
      </c>
      <c r="BE40" s="22">
        <v>1246.5</v>
      </c>
      <c r="BF40" s="22">
        <v>1257.5</v>
      </c>
      <c r="BG40" s="22">
        <v>1216.5</v>
      </c>
      <c r="BH40" s="22">
        <v>1197</v>
      </c>
      <c r="BI40" s="22">
        <v>1207</v>
      </c>
      <c r="BJ40" s="22">
        <v>1216.5</v>
      </c>
      <c r="BK40" s="22">
        <v>1181.5</v>
      </c>
      <c r="BL40" s="22">
        <v>1172</v>
      </c>
    </row>
    <row r="41" spans="1:64" ht="15.95" customHeight="1">
      <c r="A41" s="68" t="s">
        <v>298</v>
      </c>
      <c r="B41" s="44" t="s">
        <v>117</v>
      </c>
      <c r="C41" s="48">
        <f>_xll.RssMarket("3861","安値")</f>
        <v>796.8</v>
      </c>
      <c r="D41" s="16">
        <f t="shared" si="0"/>
        <v>0</v>
      </c>
      <c r="E41" s="22">
        <v>796.8</v>
      </c>
      <c r="F41" s="22">
        <v>787.2</v>
      </c>
      <c r="G41" s="22">
        <v>797.3</v>
      </c>
      <c r="H41" s="22">
        <v>783.7</v>
      </c>
      <c r="I41" s="22">
        <v>776.7</v>
      </c>
      <c r="J41" s="22">
        <v>770.2</v>
      </c>
      <c r="K41" s="22">
        <v>770.5</v>
      </c>
      <c r="L41" s="22">
        <v>768.8</v>
      </c>
      <c r="M41" s="22">
        <v>774</v>
      </c>
      <c r="N41" s="22">
        <v>766.6</v>
      </c>
      <c r="O41" s="22">
        <v>754.5</v>
      </c>
      <c r="P41" s="22">
        <v>779.6</v>
      </c>
      <c r="Q41" s="22">
        <v>785.5</v>
      </c>
      <c r="R41" s="22">
        <v>768.6</v>
      </c>
      <c r="S41" s="22">
        <v>771</v>
      </c>
      <c r="T41" s="22">
        <v>777.1</v>
      </c>
      <c r="U41" s="22">
        <v>793.2</v>
      </c>
      <c r="V41" s="22">
        <v>799</v>
      </c>
      <c r="W41" s="22">
        <v>809.1</v>
      </c>
      <c r="X41" s="22">
        <v>810</v>
      </c>
      <c r="Y41" s="22">
        <v>805.7</v>
      </c>
      <c r="Z41" s="22">
        <v>833.7</v>
      </c>
      <c r="AA41" s="22">
        <v>830.9</v>
      </c>
      <c r="AB41" s="22">
        <v>820</v>
      </c>
      <c r="AC41" s="22">
        <v>817.6</v>
      </c>
      <c r="AD41" s="22">
        <v>826.9</v>
      </c>
      <c r="AE41" s="22">
        <v>821.5</v>
      </c>
      <c r="AF41" s="22">
        <v>818.2</v>
      </c>
      <c r="AG41" s="22">
        <v>813.3</v>
      </c>
      <c r="AH41" s="22">
        <v>815.2</v>
      </c>
      <c r="AI41" s="22">
        <v>815.2</v>
      </c>
      <c r="AJ41" s="22">
        <v>818.8</v>
      </c>
      <c r="AK41" s="22">
        <v>815</v>
      </c>
      <c r="AL41" s="22">
        <v>833.6</v>
      </c>
      <c r="AM41" s="22">
        <v>835.7</v>
      </c>
      <c r="AN41" s="22">
        <v>839.5</v>
      </c>
      <c r="AO41" s="22">
        <v>842.1</v>
      </c>
      <c r="AP41" s="22">
        <v>848</v>
      </c>
      <c r="AQ41" s="22">
        <v>844.2</v>
      </c>
      <c r="AR41" s="22">
        <v>850</v>
      </c>
      <c r="AS41" s="22">
        <v>847.7</v>
      </c>
      <c r="AT41" s="22">
        <v>848.4</v>
      </c>
      <c r="AU41" s="22">
        <v>855</v>
      </c>
      <c r="AV41" s="22">
        <v>850.1</v>
      </c>
      <c r="AW41" s="22">
        <v>846.6</v>
      </c>
      <c r="AX41" s="22">
        <v>849.6</v>
      </c>
      <c r="AY41" s="22">
        <v>844.3</v>
      </c>
      <c r="AZ41" s="22">
        <v>844.3</v>
      </c>
      <c r="BA41" s="22">
        <v>843</v>
      </c>
      <c r="BB41" s="22">
        <v>836.3</v>
      </c>
      <c r="BC41" s="22">
        <v>824</v>
      </c>
      <c r="BD41" s="22">
        <v>861.1</v>
      </c>
      <c r="BE41" s="22">
        <v>851.3</v>
      </c>
      <c r="BF41" s="22">
        <v>871.7</v>
      </c>
      <c r="BG41" s="22">
        <v>862.9</v>
      </c>
      <c r="BH41" s="22">
        <v>850</v>
      </c>
      <c r="BI41" s="22">
        <v>875.3</v>
      </c>
      <c r="BJ41" s="22">
        <v>908</v>
      </c>
      <c r="BK41" s="22">
        <v>903</v>
      </c>
      <c r="BL41" s="22">
        <v>898.1</v>
      </c>
    </row>
    <row r="42" spans="1:64" ht="15.95" customHeight="1">
      <c r="A42" s="68" t="s">
        <v>299</v>
      </c>
      <c r="B42" s="44" t="s">
        <v>118</v>
      </c>
      <c r="C42" s="48">
        <f>_xll.RssMarket("5947","安値")</f>
        <v>3428</v>
      </c>
      <c r="D42" s="16">
        <f t="shared" si="0"/>
        <v>0</v>
      </c>
      <c r="E42" s="22">
        <v>3428</v>
      </c>
      <c r="F42" s="22">
        <v>3392</v>
      </c>
      <c r="G42" s="22">
        <v>3461</v>
      </c>
      <c r="H42" s="22">
        <v>3483</v>
      </c>
      <c r="I42" s="22">
        <v>3500</v>
      </c>
      <c r="J42" s="22">
        <v>3522</v>
      </c>
      <c r="K42" s="22">
        <v>3455</v>
      </c>
      <c r="L42" s="22">
        <v>3450</v>
      </c>
      <c r="M42" s="22">
        <v>3377</v>
      </c>
      <c r="N42" s="22">
        <v>3326</v>
      </c>
      <c r="O42" s="22">
        <v>3251</v>
      </c>
      <c r="P42" s="22">
        <v>3393</v>
      </c>
      <c r="Q42" s="22">
        <v>3405</v>
      </c>
      <c r="R42" s="22">
        <v>3403</v>
      </c>
      <c r="S42" s="22">
        <v>3420</v>
      </c>
      <c r="T42" s="22">
        <v>3475</v>
      </c>
      <c r="U42" s="22">
        <v>3528</v>
      </c>
      <c r="V42" s="22">
        <v>3522</v>
      </c>
      <c r="W42" s="22">
        <v>3510</v>
      </c>
      <c r="X42" s="22">
        <v>3427</v>
      </c>
      <c r="Y42" s="22">
        <v>3394</v>
      </c>
      <c r="Z42" s="22">
        <v>3322</v>
      </c>
      <c r="AA42" s="22">
        <v>3211</v>
      </c>
      <c r="AB42" s="22">
        <v>3553</v>
      </c>
      <c r="AC42" s="22">
        <v>3574</v>
      </c>
      <c r="AD42" s="22">
        <v>3647</v>
      </c>
      <c r="AE42" s="22">
        <v>3553</v>
      </c>
      <c r="AF42" s="22">
        <v>3507</v>
      </c>
      <c r="AG42" s="22">
        <v>3536</v>
      </c>
      <c r="AH42" s="22">
        <v>3492</v>
      </c>
      <c r="AI42" s="22">
        <v>3481</v>
      </c>
      <c r="AJ42" s="22">
        <v>3478</v>
      </c>
      <c r="AK42" s="22">
        <v>3479</v>
      </c>
      <c r="AL42" s="22">
        <v>3486</v>
      </c>
      <c r="AM42" s="22">
        <v>3518</v>
      </c>
      <c r="AN42" s="22">
        <v>3492</v>
      </c>
      <c r="AO42" s="22">
        <v>3523</v>
      </c>
      <c r="AP42" s="22">
        <v>3568</v>
      </c>
      <c r="AQ42" s="22">
        <v>3557</v>
      </c>
      <c r="AR42" s="22">
        <v>3697</v>
      </c>
      <c r="AS42" s="22">
        <v>3720</v>
      </c>
      <c r="AT42" s="22">
        <v>3731</v>
      </c>
      <c r="AU42" s="22">
        <v>3703</v>
      </c>
      <c r="AV42" s="22">
        <v>3658</v>
      </c>
      <c r="AW42" s="22">
        <v>3655</v>
      </c>
      <c r="AX42" s="22">
        <v>3648</v>
      </c>
      <c r="AY42" s="22">
        <v>3656</v>
      </c>
      <c r="AZ42" s="22">
        <v>3694</v>
      </c>
      <c r="BA42" s="22">
        <v>3623</v>
      </c>
      <c r="BB42" s="22">
        <v>3587</v>
      </c>
      <c r="BC42" s="22">
        <v>3734</v>
      </c>
      <c r="BD42" s="22">
        <v>3693</v>
      </c>
      <c r="BE42" s="22">
        <v>3731</v>
      </c>
      <c r="BF42" s="22">
        <v>3658</v>
      </c>
      <c r="BG42" s="22">
        <v>3601</v>
      </c>
      <c r="BH42" s="22">
        <v>3656</v>
      </c>
      <c r="BI42" s="22">
        <v>3745</v>
      </c>
      <c r="BJ42" s="22">
        <v>3743</v>
      </c>
      <c r="BK42" s="22">
        <v>3743</v>
      </c>
      <c r="BL42" s="22">
        <v>3770</v>
      </c>
    </row>
    <row r="43" spans="1:64" ht="15.95" customHeight="1">
      <c r="A43" s="68" t="s">
        <v>300</v>
      </c>
      <c r="B43" s="44" t="s">
        <v>119</v>
      </c>
      <c r="C43" s="48">
        <f>_xll.RssMarket("8750","安値")</f>
        <v>1788.5</v>
      </c>
      <c r="D43" s="16">
        <f t="shared" si="0"/>
        <v>0</v>
      </c>
      <c r="E43" s="22">
        <v>1788.5</v>
      </c>
      <c r="F43" s="22">
        <v>1756.5</v>
      </c>
      <c r="G43" s="22">
        <v>1758.5</v>
      </c>
      <c r="H43" s="22">
        <v>1734.5</v>
      </c>
      <c r="I43" s="22">
        <v>1704</v>
      </c>
      <c r="J43" s="22">
        <v>1726</v>
      </c>
      <c r="K43" s="22">
        <v>1623</v>
      </c>
      <c r="L43" s="22">
        <v>1657</v>
      </c>
      <c r="M43" s="22">
        <v>1606</v>
      </c>
      <c r="N43" s="22">
        <v>1626.5</v>
      </c>
      <c r="O43" s="22">
        <v>1587</v>
      </c>
      <c r="P43" s="22">
        <v>1605</v>
      </c>
      <c r="Q43" s="22">
        <v>1615</v>
      </c>
      <c r="R43" s="22">
        <v>1648.5</v>
      </c>
      <c r="S43" s="22">
        <v>1640</v>
      </c>
      <c r="T43" s="22">
        <v>1625.5</v>
      </c>
      <c r="U43" s="22">
        <v>1632</v>
      </c>
      <c r="V43" s="22">
        <v>1619</v>
      </c>
      <c r="W43" s="22">
        <v>1594.5</v>
      </c>
      <c r="X43" s="22">
        <v>1594</v>
      </c>
      <c r="Y43" s="22">
        <v>1474</v>
      </c>
      <c r="Z43" s="22">
        <v>1479.5</v>
      </c>
      <c r="AA43" s="22">
        <v>1476</v>
      </c>
      <c r="AB43" s="22">
        <v>1471.5</v>
      </c>
      <c r="AC43" s="22">
        <v>1421.5</v>
      </c>
      <c r="AD43" s="22">
        <v>1416</v>
      </c>
      <c r="AE43" s="22">
        <v>1433</v>
      </c>
      <c r="AF43" s="22">
        <v>1408.5</v>
      </c>
      <c r="AG43" s="22">
        <v>1411</v>
      </c>
      <c r="AH43" s="22">
        <v>1395</v>
      </c>
      <c r="AI43" s="22">
        <v>1371</v>
      </c>
      <c r="AJ43" s="22">
        <v>1396.5</v>
      </c>
      <c r="AK43" s="22">
        <v>1391</v>
      </c>
      <c r="AL43" s="22">
        <v>1424</v>
      </c>
      <c r="AM43" s="22">
        <v>1439</v>
      </c>
      <c r="AN43" s="22">
        <v>1446.5</v>
      </c>
      <c r="AO43" s="22">
        <v>1454</v>
      </c>
      <c r="AP43" s="22">
        <v>1490</v>
      </c>
      <c r="AQ43" s="22">
        <v>1481</v>
      </c>
      <c r="AR43" s="22">
        <v>1476</v>
      </c>
      <c r="AS43" s="22">
        <v>1463</v>
      </c>
      <c r="AT43" s="22">
        <v>1482</v>
      </c>
      <c r="AU43" s="22">
        <v>1490.5</v>
      </c>
      <c r="AV43" s="22">
        <v>1505</v>
      </c>
      <c r="AW43" s="22">
        <v>1463</v>
      </c>
      <c r="AX43" s="22">
        <v>1441</v>
      </c>
      <c r="AY43" s="22">
        <v>1463</v>
      </c>
      <c r="AZ43" s="22">
        <v>1463.5</v>
      </c>
      <c r="BA43" s="22">
        <v>1473</v>
      </c>
      <c r="BB43" s="22">
        <v>1401.5</v>
      </c>
      <c r="BC43" s="22">
        <v>1367.5</v>
      </c>
      <c r="BD43" s="22">
        <v>1437</v>
      </c>
      <c r="BE43" s="22">
        <v>1413</v>
      </c>
      <c r="BF43" s="22">
        <v>1432.5</v>
      </c>
      <c r="BG43" s="22">
        <v>1386</v>
      </c>
      <c r="BH43" s="22">
        <v>1343.5</v>
      </c>
      <c r="BI43" s="22">
        <v>1400</v>
      </c>
      <c r="BJ43" s="22">
        <v>1443.5</v>
      </c>
      <c r="BK43" s="22">
        <v>1419.5</v>
      </c>
      <c r="BL43" s="22">
        <v>1409</v>
      </c>
    </row>
    <row r="44" spans="1:64" ht="15.95" customHeight="1">
      <c r="A44" s="68" t="s">
        <v>301</v>
      </c>
      <c r="B44" s="44" t="s">
        <v>120</v>
      </c>
      <c r="C44" s="48">
        <f>_xll.RssMarket("3402","安値")</f>
        <v>1170</v>
      </c>
      <c r="D44" s="16">
        <f t="shared" si="0"/>
        <v>0</v>
      </c>
      <c r="E44" s="22">
        <v>1170</v>
      </c>
      <c r="F44" s="22">
        <v>1172</v>
      </c>
      <c r="G44" s="22">
        <v>1188.5</v>
      </c>
      <c r="H44" s="22">
        <v>1126</v>
      </c>
      <c r="I44" s="22">
        <v>1097.5</v>
      </c>
      <c r="J44" s="22">
        <v>1091.5</v>
      </c>
      <c r="K44" s="22">
        <v>1081.5</v>
      </c>
      <c r="L44" s="22">
        <v>1092</v>
      </c>
      <c r="M44" s="22">
        <v>1100</v>
      </c>
      <c r="N44" s="22">
        <v>1152</v>
      </c>
      <c r="O44" s="22">
        <v>1107.5</v>
      </c>
      <c r="P44" s="22">
        <v>1138</v>
      </c>
      <c r="Q44" s="22">
        <v>1116.5</v>
      </c>
      <c r="R44" s="22">
        <v>1140.5</v>
      </c>
      <c r="S44" s="22">
        <v>1099</v>
      </c>
      <c r="T44" s="22">
        <v>1079.5</v>
      </c>
      <c r="U44" s="22">
        <v>1084</v>
      </c>
      <c r="V44" s="22">
        <v>1056</v>
      </c>
      <c r="W44" s="22">
        <v>1071.5</v>
      </c>
      <c r="X44" s="22">
        <v>1074.5</v>
      </c>
      <c r="Y44" s="22">
        <v>1142</v>
      </c>
      <c r="Z44" s="22">
        <v>1158</v>
      </c>
      <c r="AA44" s="22">
        <v>1102</v>
      </c>
      <c r="AB44" s="22">
        <v>1129.5</v>
      </c>
      <c r="AC44" s="22">
        <v>1119</v>
      </c>
      <c r="AD44" s="22">
        <v>1110.5</v>
      </c>
      <c r="AE44" s="22">
        <v>1118.5</v>
      </c>
      <c r="AF44" s="22">
        <v>1104</v>
      </c>
      <c r="AG44" s="22">
        <v>1101.5</v>
      </c>
      <c r="AH44" s="22">
        <v>1123</v>
      </c>
      <c r="AI44" s="22">
        <v>1094</v>
      </c>
      <c r="AJ44" s="22">
        <v>1105</v>
      </c>
      <c r="AK44" s="22">
        <v>1100.5</v>
      </c>
      <c r="AL44" s="22">
        <v>1121</v>
      </c>
      <c r="AM44" s="22">
        <v>1145</v>
      </c>
      <c r="AN44" s="22">
        <v>1145.5</v>
      </c>
      <c r="AO44" s="22">
        <v>1153</v>
      </c>
      <c r="AP44" s="22">
        <v>1143</v>
      </c>
      <c r="AQ44" s="22">
        <v>1143.5</v>
      </c>
      <c r="AR44" s="22">
        <v>1145</v>
      </c>
      <c r="AS44" s="22">
        <v>1150</v>
      </c>
      <c r="AT44" s="22">
        <v>1161</v>
      </c>
      <c r="AU44" s="22">
        <v>1170.5</v>
      </c>
      <c r="AV44" s="22">
        <v>1161.5</v>
      </c>
      <c r="AW44" s="22">
        <v>1115</v>
      </c>
      <c r="AX44" s="22">
        <v>1125</v>
      </c>
      <c r="AY44" s="22">
        <v>1119</v>
      </c>
      <c r="AZ44" s="22">
        <v>1121.5</v>
      </c>
      <c r="BA44" s="22">
        <v>1130.5</v>
      </c>
      <c r="BB44" s="22">
        <v>1082.5</v>
      </c>
      <c r="BC44" s="22">
        <v>1051</v>
      </c>
      <c r="BD44" s="22">
        <v>1101.5</v>
      </c>
      <c r="BE44" s="22">
        <v>1106</v>
      </c>
      <c r="BF44" s="22">
        <v>1104.5</v>
      </c>
      <c r="BG44" s="22">
        <v>1064</v>
      </c>
      <c r="BH44" s="22">
        <v>1037</v>
      </c>
      <c r="BI44" s="22">
        <v>1093</v>
      </c>
      <c r="BJ44" s="22">
        <v>1106</v>
      </c>
      <c r="BK44" s="22">
        <v>1097</v>
      </c>
      <c r="BL44" s="22">
        <v>1100</v>
      </c>
    </row>
    <row r="45" spans="1:64" ht="15.95" customHeight="1">
      <c r="A45" s="68" t="s">
        <v>302</v>
      </c>
      <c r="B45" s="44" t="s">
        <v>121</v>
      </c>
      <c r="C45" s="48">
        <f>_xll.RssMarket("8306","安値")</f>
        <v>3260</v>
      </c>
      <c r="D45" s="16">
        <f t="shared" si="0"/>
        <v>0</v>
      </c>
      <c r="E45" s="22">
        <v>3260</v>
      </c>
      <c r="F45" s="22">
        <v>3186</v>
      </c>
      <c r="G45" s="22">
        <v>3225</v>
      </c>
      <c r="H45" s="22">
        <v>3129</v>
      </c>
      <c r="I45" s="22">
        <v>3080</v>
      </c>
      <c r="J45" s="22">
        <v>3171</v>
      </c>
      <c r="K45" s="22">
        <v>3135</v>
      </c>
      <c r="L45" s="22">
        <v>3202</v>
      </c>
      <c r="M45" s="22">
        <v>3081</v>
      </c>
      <c r="N45" s="22">
        <v>3052</v>
      </c>
      <c r="O45" s="22">
        <v>2972.5</v>
      </c>
      <c r="P45" s="22">
        <v>2984</v>
      </c>
      <c r="Q45" s="22">
        <v>2964</v>
      </c>
      <c r="R45" s="22">
        <v>3017</v>
      </c>
      <c r="S45" s="22">
        <v>3043</v>
      </c>
      <c r="T45" s="22">
        <v>3073</v>
      </c>
      <c r="U45" s="22">
        <v>3067</v>
      </c>
      <c r="V45" s="22">
        <v>3024</v>
      </c>
      <c r="W45" s="22">
        <v>3026</v>
      </c>
      <c r="X45" s="22">
        <v>2973</v>
      </c>
      <c r="Y45" s="22">
        <v>2877.5</v>
      </c>
      <c r="Z45" s="22">
        <v>2875</v>
      </c>
      <c r="AA45" s="22">
        <v>2863</v>
      </c>
      <c r="AB45" s="22">
        <v>2846</v>
      </c>
      <c r="AC45" s="22">
        <v>2801.5</v>
      </c>
      <c r="AD45" s="22">
        <v>2788</v>
      </c>
      <c r="AE45" s="22">
        <v>2817.5</v>
      </c>
      <c r="AF45" s="22">
        <v>2754</v>
      </c>
      <c r="AG45" s="22">
        <v>2785</v>
      </c>
      <c r="AH45" s="22">
        <v>2796.5</v>
      </c>
      <c r="AI45" s="22">
        <v>2715</v>
      </c>
      <c r="AJ45" s="22">
        <v>2740</v>
      </c>
      <c r="AK45" s="22">
        <v>2728</v>
      </c>
      <c r="AL45" s="22">
        <v>2772</v>
      </c>
      <c r="AM45" s="22">
        <v>2830.5</v>
      </c>
      <c r="AN45" s="22">
        <v>2866</v>
      </c>
      <c r="AO45" s="22">
        <v>2847</v>
      </c>
      <c r="AP45" s="22">
        <v>2932</v>
      </c>
      <c r="AQ45" s="22">
        <v>2865</v>
      </c>
      <c r="AR45" s="22">
        <v>2825</v>
      </c>
      <c r="AS45" s="22">
        <v>2829</v>
      </c>
      <c r="AT45" s="22">
        <v>2842</v>
      </c>
      <c r="AU45" s="22">
        <v>2830.5</v>
      </c>
      <c r="AV45" s="22">
        <v>2865</v>
      </c>
      <c r="AW45" s="22">
        <v>2787.5</v>
      </c>
      <c r="AX45" s="22">
        <v>2770</v>
      </c>
      <c r="AY45" s="22">
        <v>2753</v>
      </c>
      <c r="AZ45" s="22">
        <v>2732</v>
      </c>
      <c r="BA45" s="22">
        <v>2691</v>
      </c>
      <c r="BB45" s="22">
        <v>2573</v>
      </c>
      <c r="BC45" s="22">
        <v>2572</v>
      </c>
      <c r="BD45" s="22">
        <v>2676.5</v>
      </c>
      <c r="BE45" s="22">
        <v>2678.5</v>
      </c>
      <c r="BF45" s="22">
        <v>2694</v>
      </c>
      <c r="BG45" s="22">
        <v>2596.5</v>
      </c>
      <c r="BH45" s="22">
        <v>2521</v>
      </c>
      <c r="BI45" s="22">
        <v>2670</v>
      </c>
      <c r="BJ45" s="22">
        <v>2683.5</v>
      </c>
      <c r="BK45" s="22">
        <v>2636.5</v>
      </c>
      <c r="BL45" s="22">
        <v>2601.5</v>
      </c>
    </row>
    <row r="46" spans="1:64" ht="15.95" customHeight="1">
      <c r="A46" s="68" t="s">
        <v>303</v>
      </c>
      <c r="B46" s="44" t="s">
        <v>122</v>
      </c>
      <c r="C46" s="48">
        <f>_xll.RssMarket("5401","安値")</f>
        <v>556.6</v>
      </c>
      <c r="D46" s="16">
        <f t="shared" si="0"/>
        <v>0</v>
      </c>
      <c r="E46" s="22">
        <v>556.6</v>
      </c>
      <c r="F46" s="22">
        <v>564.5</v>
      </c>
      <c r="G46" s="22">
        <v>556.4</v>
      </c>
      <c r="H46" s="22">
        <v>540.1</v>
      </c>
      <c r="I46" s="22">
        <v>531.1</v>
      </c>
      <c r="J46" s="22">
        <v>535.4</v>
      </c>
      <c r="K46" s="22">
        <v>533.29999999999995</v>
      </c>
      <c r="L46" s="22">
        <v>543.5</v>
      </c>
      <c r="M46" s="22">
        <v>537.9</v>
      </c>
      <c r="N46" s="22">
        <v>538.1</v>
      </c>
      <c r="O46" s="22">
        <v>536.4</v>
      </c>
      <c r="P46" s="22">
        <v>565</v>
      </c>
      <c r="Q46" s="22">
        <v>559.6</v>
      </c>
      <c r="R46" s="22">
        <v>556.4</v>
      </c>
      <c r="S46" s="22">
        <v>550.4</v>
      </c>
      <c r="T46" s="22">
        <v>547.29999999999995</v>
      </c>
      <c r="U46" s="22">
        <v>542.5</v>
      </c>
      <c r="V46" s="22">
        <v>539</v>
      </c>
      <c r="W46" s="22">
        <v>547.29999999999995</v>
      </c>
      <c r="X46" s="22">
        <v>548.79999999999995</v>
      </c>
      <c r="Y46" s="22">
        <v>550.20000000000005</v>
      </c>
      <c r="Z46" s="22">
        <v>553.4</v>
      </c>
      <c r="AA46" s="22">
        <v>555.20000000000005</v>
      </c>
      <c r="AB46" s="22">
        <v>553.4</v>
      </c>
      <c r="AC46" s="22">
        <v>559.79999999999995</v>
      </c>
      <c r="AD46" s="22">
        <v>568.1</v>
      </c>
      <c r="AE46" s="22">
        <v>577.70000000000005</v>
      </c>
      <c r="AF46" s="22">
        <v>566.29999999999995</v>
      </c>
      <c r="AG46" s="22">
        <v>570.70000000000005</v>
      </c>
      <c r="AH46" s="22">
        <v>571.1</v>
      </c>
      <c r="AI46" s="22">
        <v>568.6</v>
      </c>
      <c r="AJ46" s="22">
        <v>571.29999999999995</v>
      </c>
      <c r="AK46" s="22">
        <v>577.6</v>
      </c>
      <c r="AL46" s="22">
        <v>586.79999999999995</v>
      </c>
      <c r="AM46" s="22">
        <v>592.20000000000005</v>
      </c>
      <c r="AN46" s="22">
        <v>595.5</v>
      </c>
      <c r="AO46" s="22">
        <v>590.6</v>
      </c>
      <c r="AP46" s="22">
        <v>594.79999999999995</v>
      </c>
      <c r="AQ46" s="22">
        <v>595.1</v>
      </c>
      <c r="AR46" s="22">
        <v>592</v>
      </c>
      <c r="AS46" s="22">
        <v>592.79999999999995</v>
      </c>
      <c r="AT46" s="22">
        <v>597.29999999999995</v>
      </c>
      <c r="AU46" s="22">
        <v>597.79999999999995</v>
      </c>
      <c r="AV46" s="22">
        <v>591.9</v>
      </c>
      <c r="AW46" s="22">
        <v>585.4</v>
      </c>
      <c r="AX46" s="22">
        <v>581.6</v>
      </c>
      <c r="AY46" s="22">
        <v>584.5</v>
      </c>
      <c r="AZ46" s="22">
        <v>581.5</v>
      </c>
      <c r="BA46" s="22">
        <v>581.9</v>
      </c>
      <c r="BB46" s="22">
        <v>572.29999999999995</v>
      </c>
      <c r="BC46" s="22">
        <v>571.5</v>
      </c>
      <c r="BD46" s="22">
        <v>594.1</v>
      </c>
      <c r="BE46" s="22">
        <v>590.29999999999995</v>
      </c>
      <c r="BF46" s="22">
        <v>593.70000000000005</v>
      </c>
      <c r="BG46" s="22">
        <v>586</v>
      </c>
      <c r="BH46" s="22">
        <v>578.6</v>
      </c>
      <c r="BI46" s="22">
        <v>592.70000000000005</v>
      </c>
      <c r="BJ46" s="22">
        <v>598.1</v>
      </c>
      <c r="BK46" s="22">
        <v>588.4</v>
      </c>
      <c r="BL46" s="22">
        <v>582.70000000000005</v>
      </c>
    </row>
    <row r="47" spans="1:64" ht="15.95" customHeight="1">
      <c r="A47" s="68" t="s">
        <v>304</v>
      </c>
      <c r="B47" s="44" t="s">
        <v>123</v>
      </c>
      <c r="C47" s="48">
        <f>_xll.RssMarket("8572","安値")</f>
        <v>449</v>
      </c>
      <c r="D47" s="16">
        <f t="shared" si="0"/>
        <v>0</v>
      </c>
      <c r="E47" s="22">
        <v>449</v>
      </c>
      <c r="F47" s="22">
        <v>446.3</v>
      </c>
      <c r="G47" s="22">
        <v>453.2</v>
      </c>
      <c r="H47" s="22">
        <v>446.4</v>
      </c>
      <c r="I47" s="22">
        <v>446.8</v>
      </c>
      <c r="J47" s="22">
        <v>448.5</v>
      </c>
      <c r="K47" s="22">
        <v>440.5</v>
      </c>
      <c r="L47" s="22">
        <v>445</v>
      </c>
      <c r="M47" s="22">
        <v>441.8</v>
      </c>
      <c r="N47" s="22">
        <v>445.9</v>
      </c>
      <c r="O47" s="22">
        <v>444.3</v>
      </c>
      <c r="P47" s="22">
        <v>466.4</v>
      </c>
      <c r="Q47" s="22">
        <v>464.3</v>
      </c>
      <c r="R47" s="22">
        <v>463.4</v>
      </c>
      <c r="S47" s="22">
        <v>461.1</v>
      </c>
      <c r="T47" s="22">
        <v>463.6</v>
      </c>
      <c r="U47" s="22">
        <v>460.3</v>
      </c>
      <c r="V47" s="22">
        <v>458.1</v>
      </c>
      <c r="W47" s="22">
        <v>459.8</v>
      </c>
      <c r="X47" s="22">
        <v>455.6</v>
      </c>
      <c r="Y47" s="22">
        <v>457</v>
      </c>
      <c r="Z47" s="22">
        <v>454.3</v>
      </c>
      <c r="AA47" s="22">
        <v>451.3</v>
      </c>
      <c r="AB47" s="22">
        <v>489.3</v>
      </c>
      <c r="AC47" s="22">
        <v>488</v>
      </c>
      <c r="AD47" s="22">
        <v>491.2</v>
      </c>
      <c r="AE47" s="22">
        <v>490.9</v>
      </c>
      <c r="AF47" s="22">
        <v>490.6</v>
      </c>
      <c r="AG47" s="22">
        <v>496.1</v>
      </c>
      <c r="AH47" s="22">
        <v>495.4</v>
      </c>
      <c r="AI47" s="22">
        <v>495.3</v>
      </c>
      <c r="AJ47" s="22">
        <v>496</v>
      </c>
      <c r="AK47" s="22">
        <v>499.1</v>
      </c>
      <c r="AL47" s="22">
        <v>510.8</v>
      </c>
      <c r="AM47" s="22">
        <v>501.5</v>
      </c>
      <c r="AN47" s="22">
        <v>481.1</v>
      </c>
      <c r="AO47" s="22">
        <v>481.1</v>
      </c>
      <c r="AP47" s="22">
        <v>478.4</v>
      </c>
      <c r="AQ47" s="22">
        <v>476.6</v>
      </c>
      <c r="AR47" s="22">
        <v>472.4</v>
      </c>
      <c r="AS47" s="22">
        <v>467.6</v>
      </c>
      <c r="AT47" s="22">
        <v>470</v>
      </c>
      <c r="AU47" s="22">
        <v>471.5</v>
      </c>
      <c r="AV47" s="22">
        <v>479.8</v>
      </c>
      <c r="AW47" s="22">
        <v>471.5</v>
      </c>
      <c r="AX47" s="22">
        <v>471.8</v>
      </c>
      <c r="AY47" s="22">
        <v>470.8</v>
      </c>
      <c r="AZ47" s="22">
        <v>469.9</v>
      </c>
      <c r="BA47" s="22">
        <v>468</v>
      </c>
      <c r="BB47" s="22">
        <v>457.1</v>
      </c>
      <c r="BC47" s="22">
        <v>450.3</v>
      </c>
      <c r="BD47" s="22">
        <v>476.3</v>
      </c>
      <c r="BE47" s="22">
        <v>474.8</v>
      </c>
      <c r="BF47" s="22">
        <v>478.6</v>
      </c>
      <c r="BG47" s="22">
        <v>467.9</v>
      </c>
      <c r="BH47" s="22">
        <v>463</v>
      </c>
      <c r="BI47" s="22">
        <v>474.1</v>
      </c>
      <c r="BJ47" s="22">
        <v>478.9</v>
      </c>
      <c r="BK47" s="22">
        <v>476</v>
      </c>
      <c r="BL47" s="22">
        <v>472.6</v>
      </c>
    </row>
    <row r="48" spans="1:64" ht="15.95" customHeight="1">
      <c r="A48" s="68" t="s">
        <v>305</v>
      </c>
      <c r="B48" s="44" t="s">
        <v>124</v>
      </c>
      <c r="C48" s="48">
        <f>_xll.RssMarket("3941","安値")</f>
        <v>1400</v>
      </c>
      <c r="D48" s="16">
        <f t="shared" si="0"/>
        <v>0</v>
      </c>
      <c r="E48" s="22">
        <v>1400</v>
      </c>
      <c r="F48" s="22">
        <v>1391</v>
      </c>
      <c r="G48" s="22">
        <v>1374</v>
      </c>
      <c r="H48" s="22">
        <v>1351</v>
      </c>
      <c r="I48" s="22">
        <v>1386</v>
      </c>
      <c r="J48" s="22">
        <v>1351</v>
      </c>
      <c r="K48" s="22">
        <v>1383.5</v>
      </c>
      <c r="L48" s="22">
        <v>1360.5</v>
      </c>
      <c r="M48" s="22">
        <v>1394.5</v>
      </c>
      <c r="N48" s="22">
        <v>1370</v>
      </c>
      <c r="O48" s="22">
        <v>1422.5</v>
      </c>
      <c r="P48" s="22">
        <v>1405.5</v>
      </c>
      <c r="Q48" s="22">
        <v>1400.5</v>
      </c>
      <c r="R48" s="22">
        <v>1379.5</v>
      </c>
      <c r="S48" s="22">
        <v>1390.5</v>
      </c>
      <c r="T48" s="22">
        <v>1397.5</v>
      </c>
      <c r="U48" s="22">
        <v>1376.5</v>
      </c>
      <c r="V48" s="22">
        <v>1390.5</v>
      </c>
      <c r="W48" s="22">
        <v>1372.5</v>
      </c>
      <c r="X48" s="22">
        <v>1380</v>
      </c>
      <c r="Y48" s="22">
        <v>1251.5</v>
      </c>
      <c r="Z48" s="22">
        <v>1227.5</v>
      </c>
      <c r="AA48" s="22">
        <v>1214</v>
      </c>
      <c r="AB48" s="22">
        <v>1216.5</v>
      </c>
      <c r="AC48" s="22">
        <v>1223.5</v>
      </c>
      <c r="AD48" s="22">
        <v>1212.5</v>
      </c>
      <c r="AE48" s="22">
        <v>1204.5</v>
      </c>
      <c r="AF48" s="22">
        <v>1217</v>
      </c>
      <c r="AG48" s="22">
        <v>1252.5</v>
      </c>
      <c r="AH48" s="22">
        <v>1266</v>
      </c>
      <c r="AI48" s="22">
        <v>1263</v>
      </c>
      <c r="AJ48" s="22">
        <v>1260.5</v>
      </c>
      <c r="AK48" s="22">
        <v>1290</v>
      </c>
      <c r="AL48" s="22">
        <v>1281.5</v>
      </c>
      <c r="AM48" s="22">
        <v>1252</v>
      </c>
      <c r="AN48" s="22">
        <v>1245.5</v>
      </c>
      <c r="AO48" s="22">
        <v>1255</v>
      </c>
      <c r="AP48" s="22">
        <v>1253.5</v>
      </c>
      <c r="AQ48" s="22">
        <v>1258.5</v>
      </c>
      <c r="AR48" s="22">
        <v>1259</v>
      </c>
      <c r="AS48" s="22">
        <v>1264.5</v>
      </c>
      <c r="AT48" s="22">
        <v>1278.5</v>
      </c>
      <c r="AU48" s="22">
        <v>1265</v>
      </c>
      <c r="AV48" s="22">
        <v>1244</v>
      </c>
      <c r="AW48" s="22">
        <v>1240</v>
      </c>
      <c r="AX48" s="22">
        <v>1251</v>
      </c>
      <c r="AY48" s="22">
        <v>1249.5</v>
      </c>
      <c r="AZ48" s="22">
        <v>1273.5</v>
      </c>
      <c r="BA48" s="22">
        <v>1238.5</v>
      </c>
      <c r="BB48" s="22">
        <v>1211.5</v>
      </c>
      <c r="BC48" s="22">
        <v>1279.5</v>
      </c>
      <c r="BD48" s="22">
        <v>1267.5</v>
      </c>
      <c r="BE48" s="22">
        <v>1268.5</v>
      </c>
      <c r="BF48" s="22">
        <v>1233</v>
      </c>
      <c r="BG48" s="22">
        <v>1208.5</v>
      </c>
      <c r="BH48" s="22">
        <v>1254</v>
      </c>
      <c r="BI48" s="22">
        <v>1349.5</v>
      </c>
      <c r="BJ48" s="22">
        <v>1329.5</v>
      </c>
      <c r="BK48" s="22">
        <v>1330.5</v>
      </c>
      <c r="BL48" s="22">
        <v>1335.5</v>
      </c>
    </row>
    <row r="49" spans="1:64" ht="15.95" customHeight="1">
      <c r="A49" s="68" t="s">
        <v>306</v>
      </c>
      <c r="B49" s="44" t="s">
        <v>125</v>
      </c>
      <c r="C49" s="48">
        <f>_xll.RssMarket("5929","安値")</f>
        <v>3698</v>
      </c>
      <c r="D49" s="16">
        <f t="shared" si="0"/>
        <v>0</v>
      </c>
      <c r="E49" s="22">
        <v>3698</v>
      </c>
      <c r="F49" s="22">
        <v>3642</v>
      </c>
      <c r="G49" s="22">
        <v>3666</v>
      </c>
      <c r="H49" s="22">
        <v>3599</v>
      </c>
      <c r="I49" s="22">
        <v>3544</v>
      </c>
      <c r="J49" s="22">
        <v>3577</v>
      </c>
      <c r="K49" s="22">
        <v>3467</v>
      </c>
      <c r="L49" s="22">
        <v>3502</v>
      </c>
      <c r="M49" s="22">
        <v>3429</v>
      </c>
      <c r="N49" s="22">
        <v>3306</v>
      </c>
      <c r="O49" s="22">
        <v>3326</v>
      </c>
      <c r="P49" s="22">
        <v>3512</v>
      </c>
      <c r="Q49" s="22">
        <v>3400</v>
      </c>
      <c r="R49" s="22">
        <v>3307</v>
      </c>
      <c r="S49" s="22">
        <v>3279</v>
      </c>
      <c r="T49" s="22">
        <v>3258</v>
      </c>
      <c r="U49" s="22">
        <v>3297</v>
      </c>
      <c r="V49" s="22">
        <v>3265</v>
      </c>
      <c r="W49" s="22">
        <v>3303</v>
      </c>
      <c r="X49" s="22">
        <v>3315</v>
      </c>
      <c r="Y49" s="22">
        <v>3430</v>
      </c>
      <c r="Z49" s="22">
        <v>3445</v>
      </c>
      <c r="AA49" s="22">
        <v>3462</v>
      </c>
      <c r="AB49" s="22">
        <v>3508</v>
      </c>
      <c r="AC49" s="22">
        <v>3591</v>
      </c>
      <c r="AD49" s="22">
        <v>3599</v>
      </c>
      <c r="AE49" s="22">
        <v>3547</v>
      </c>
      <c r="AF49" s="22">
        <v>3529</v>
      </c>
      <c r="AG49" s="22">
        <v>3545</v>
      </c>
      <c r="AH49" s="22">
        <v>3625</v>
      </c>
      <c r="AI49" s="22">
        <v>3578</v>
      </c>
      <c r="AJ49" s="22">
        <v>3578</v>
      </c>
      <c r="AK49" s="22">
        <v>3587</v>
      </c>
      <c r="AL49" s="22">
        <v>3624</v>
      </c>
      <c r="AM49" s="22">
        <v>3623</v>
      </c>
      <c r="AN49" s="22">
        <v>3615</v>
      </c>
      <c r="AO49" s="22">
        <v>3599</v>
      </c>
      <c r="AP49" s="22">
        <v>3632</v>
      </c>
      <c r="AQ49" s="22">
        <v>3707</v>
      </c>
      <c r="AR49" s="22">
        <v>3677</v>
      </c>
      <c r="AS49" s="22">
        <v>3644</v>
      </c>
      <c r="AT49" s="22">
        <v>3660</v>
      </c>
      <c r="AU49" s="22">
        <v>3687</v>
      </c>
      <c r="AV49" s="22">
        <v>3657</v>
      </c>
      <c r="AW49" s="22">
        <v>3570</v>
      </c>
      <c r="AX49" s="22">
        <v>3539</v>
      </c>
      <c r="AY49" s="22">
        <v>3543</v>
      </c>
      <c r="AZ49" s="22">
        <v>3560</v>
      </c>
      <c r="BA49" s="22">
        <v>3587</v>
      </c>
      <c r="BB49" s="22">
        <v>3504</v>
      </c>
      <c r="BC49" s="22">
        <v>3492</v>
      </c>
      <c r="BD49" s="22">
        <v>3640</v>
      </c>
      <c r="BE49" s="22">
        <v>3674</v>
      </c>
      <c r="BF49" s="22">
        <v>3676</v>
      </c>
      <c r="BG49" s="22">
        <v>3569</v>
      </c>
      <c r="BH49" s="22">
        <v>3497</v>
      </c>
      <c r="BI49" s="22">
        <v>3617</v>
      </c>
      <c r="BJ49" s="22">
        <v>3685</v>
      </c>
      <c r="BK49" s="22">
        <v>3707</v>
      </c>
      <c r="BL49" s="22">
        <v>3679</v>
      </c>
    </row>
    <row r="50" spans="1:64" ht="15.95" customHeight="1">
      <c r="A50" s="68" t="s">
        <v>307</v>
      </c>
      <c r="B50" s="44" t="s">
        <v>126</v>
      </c>
      <c r="C50" s="48">
        <f>_xll.RssMarket("8316","安値")</f>
        <v>6450</v>
      </c>
      <c r="D50" s="16">
        <f t="shared" si="0"/>
        <v>0</v>
      </c>
      <c r="E50" s="22">
        <v>6450</v>
      </c>
      <c r="F50" s="22">
        <v>6363</v>
      </c>
      <c r="G50" s="22">
        <v>6495</v>
      </c>
      <c r="H50" s="22">
        <v>6309</v>
      </c>
      <c r="I50" s="22">
        <v>6077</v>
      </c>
      <c r="J50" s="22">
        <v>6207</v>
      </c>
      <c r="K50" s="22">
        <v>6028</v>
      </c>
      <c r="L50" s="22">
        <v>6213</v>
      </c>
      <c r="M50" s="22">
        <v>6005</v>
      </c>
      <c r="N50" s="22">
        <v>6012</v>
      </c>
      <c r="O50" s="22">
        <v>5794</v>
      </c>
      <c r="P50" s="22">
        <v>5819</v>
      </c>
      <c r="Q50" s="22">
        <v>5810</v>
      </c>
      <c r="R50" s="22">
        <v>5933</v>
      </c>
      <c r="S50" s="22">
        <v>5970</v>
      </c>
      <c r="T50" s="22">
        <v>5978</v>
      </c>
      <c r="U50" s="22">
        <v>6031</v>
      </c>
      <c r="V50" s="22">
        <v>5842</v>
      </c>
      <c r="W50" s="22">
        <v>5845</v>
      </c>
      <c r="X50" s="22">
        <v>5703</v>
      </c>
      <c r="Y50" s="22">
        <v>5630</v>
      </c>
      <c r="Z50" s="22">
        <v>5644</v>
      </c>
      <c r="AA50" s="22">
        <v>5795</v>
      </c>
      <c r="AB50" s="22">
        <v>5676</v>
      </c>
      <c r="AC50" s="22">
        <v>5553</v>
      </c>
      <c r="AD50" s="22">
        <v>5498</v>
      </c>
      <c r="AE50" s="22">
        <v>5574</v>
      </c>
      <c r="AF50" s="22">
        <v>5431</v>
      </c>
      <c r="AG50" s="22">
        <v>5420</v>
      </c>
      <c r="AH50" s="22">
        <v>5437</v>
      </c>
      <c r="AI50" s="22">
        <v>5268</v>
      </c>
      <c r="AJ50" s="22">
        <v>5298</v>
      </c>
      <c r="AK50" s="22">
        <v>5297</v>
      </c>
      <c r="AL50" s="22">
        <v>5388</v>
      </c>
      <c r="AM50" s="22">
        <v>5452</v>
      </c>
      <c r="AN50" s="22">
        <v>5568</v>
      </c>
      <c r="AO50" s="22">
        <v>5559</v>
      </c>
      <c r="AP50" s="22">
        <v>5660</v>
      </c>
      <c r="AQ50" s="22">
        <v>5611</v>
      </c>
      <c r="AR50" s="22">
        <v>5522</v>
      </c>
      <c r="AS50" s="22">
        <v>5520</v>
      </c>
      <c r="AT50" s="22">
        <v>5536</v>
      </c>
      <c r="AU50" s="22">
        <v>5546</v>
      </c>
      <c r="AV50" s="22">
        <v>5598</v>
      </c>
      <c r="AW50" s="22">
        <v>5392</v>
      </c>
      <c r="AX50" s="22">
        <v>5368</v>
      </c>
      <c r="AY50" s="22">
        <v>5351</v>
      </c>
      <c r="AZ50" s="22">
        <v>5342</v>
      </c>
      <c r="BA50" s="22">
        <v>5235</v>
      </c>
      <c r="BB50" s="22">
        <v>4955</v>
      </c>
      <c r="BC50" s="22">
        <v>4927</v>
      </c>
      <c r="BD50" s="22">
        <v>5188</v>
      </c>
      <c r="BE50" s="22">
        <v>5202</v>
      </c>
      <c r="BF50" s="22">
        <v>5262</v>
      </c>
      <c r="BG50" s="22">
        <v>5047</v>
      </c>
      <c r="BH50" s="22">
        <v>4935</v>
      </c>
      <c r="BI50" s="22">
        <v>5128</v>
      </c>
      <c r="BJ50" s="22">
        <v>5162</v>
      </c>
      <c r="BK50" s="22">
        <v>5072</v>
      </c>
      <c r="BL50" s="22">
        <v>5024</v>
      </c>
    </row>
    <row r="51" spans="1:64" ht="15.95" customHeight="1">
      <c r="A51" s="68" t="s">
        <v>308</v>
      </c>
      <c r="B51" s="44" t="s">
        <v>127</v>
      </c>
      <c r="C51" s="48">
        <f>_xll.RssMarket("5449","安値")</f>
        <v>2238</v>
      </c>
      <c r="D51" s="16">
        <f t="shared" si="0"/>
        <v>0</v>
      </c>
      <c r="E51" s="22">
        <v>2238</v>
      </c>
      <c r="F51" s="22">
        <v>2373</v>
      </c>
      <c r="G51" s="22">
        <v>2363</v>
      </c>
      <c r="H51" s="22">
        <v>2320</v>
      </c>
      <c r="I51" s="22">
        <v>2284</v>
      </c>
      <c r="J51" s="22">
        <v>2314</v>
      </c>
      <c r="K51" s="22">
        <v>2245</v>
      </c>
      <c r="L51" s="22">
        <v>2335</v>
      </c>
      <c r="M51" s="22">
        <v>2280</v>
      </c>
      <c r="N51" s="22">
        <v>2321</v>
      </c>
      <c r="O51" s="22">
        <v>2307</v>
      </c>
      <c r="P51" s="22">
        <v>2557</v>
      </c>
      <c r="Q51" s="22">
        <v>2552</v>
      </c>
      <c r="R51" s="22">
        <v>2381</v>
      </c>
      <c r="S51" s="22">
        <v>2325</v>
      </c>
      <c r="T51" s="22">
        <v>2308</v>
      </c>
      <c r="U51" s="22">
        <v>2239</v>
      </c>
      <c r="V51" s="22">
        <v>2245</v>
      </c>
      <c r="W51" s="22">
        <v>2251</v>
      </c>
      <c r="X51" s="22">
        <v>2318</v>
      </c>
      <c r="Y51" s="22">
        <v>2311</v>
      </c>
      <c r="Z51" s="22">
        <v>2288</v>
      </c>
      <c r="AA51" s="22">
        <v>2469</v>
      </c>
      <c r="AB51" s="22">
        <v>2505</v>
      </c>
      <c r="AC51" s="22">
        <v>2489</v>
      </c>
      <c r="AD51" s="22">
        <v>2518</v>
      </c>
      <c r="AE51" s="22">
        <v>2429</v>
      </c>
      <c r="AF51" s="22">
        <v>2443</v>
      </c>
      <c r="AG51" s="22">
        <v>2353</v>
      </c>
      <c r="AH51" s="22">
        <v>2306</v>
      </c>
      <c r="AI51" s="22">
        <v>2284</v>
      </c>
      <c r="AJ51" s="22">
        <v>2297</v>
      </c>
      <c r="AK51" s="22">
        <v>2348</v>
      </c>
      <c r="AL51" s="22">
        <v>2384</v>
      </c>
      <c r="AM51" s="22">
        <v>2424</v>
      </c>
      <c r="AN51" s="22">
        <v>2383</v>
      </c>
      <c r="AO51" s="22">
        <v>2405</v>
      </c>
      <c r="AP51" s="22">
        <v>2435</v>
      </c>
      <c r="AQ51" s="22">
        <v>2368</v>
      </c>
      <c r="AR51" s="22">
        <v>2364</v>
      </c>
      <c r="AS51" s="22">
        <v>2481</v>
      </c>
      <c r="AT51" s="22">
        <v>2648</v>
      </c>
      <c r="AU51" s="22">
        <v>2694</v>
      </c>
      <c r="AV51" s="22">
        <v>2645</v>
      </c>
      <c r="AW51" s="22">
        <v>2665</v>
      </c>
      <c r="AX51" s="22">
        <v>2685</v>
      </c>
      <c r="AY51" s="22">
        <v>2668</v>
      </c>
      <c r="AZ51" s="22">
        <v>2719</v>
      </c>
      <c r="BA51" s="22">
        <v>2684</v>
      </c>
      <c r="BB51" s="22">
        <v>2652</v>
      </c>
      <c r="BC51" s="22">
        <v>2698</v>
      </c>
      <c r="BD51" s="22">
        <v>2666</v>
      </c>
      <c r="BE51" s="22">
        <v>2672</v>
      </c>
      <c r="BF51" s="22">
        <v>2633</v>
      </c>
      <c r="BG51" s="22">
        <v>2585</v>
      </c>
      <c r="BH51" s="22">
        <v>2635</v>
      </c>
      <c r="BI51" s="22">
        <v>2641</v>
      </c>
      <c r="BJ51" s="22">
        <v>2609</v>
      </c>
      <c r="BK51" s="22">
        <v>2584</v>
      </c>
      <c r="BL51" s="22">
        <v>2577</v>
      </c>
    </row>
    <row r="52" spans="1:64" ht="15.95" customHeight="1">
      <c r="A52" s="68" t="s">
        <v>309</v>
      </c>
      <c r="B52" s="44" t="s">
        <v>128</v>
      </c>
      <c r="C52" s="48">
        <f>_xll.RssMarket("8766","安値")</f>
        <v>7252</v>
      </c>
      <c r="D52" s="16">
        <f t="shared" si="0"/>
        <v>0</v>
      </c>
      <c r="E52" s="22">
        <v>7252</v>
      </c>
      <c r="F52" s="22">
        <v>7190</v>
      </c>
      <c r="G52" s="22">
        <v>7210</v>
      </c>
      <c r="H52" s="22">
        <v>7310</v>
      </c>
      <c r="I52" s="22">
        <v>7326</v>
      </c>
      <c r="J52" s="22">
        <v>7368</v>
      </c>
      <c r="K52" s="22">
        <v>6952</v>
      </c>
      <c r="L52" s="22">
        <v>6960</v>
      </c>
      <c r="M52" s="22">
        <v>6891</v>
      </c>
      <c r="N52" s="22">
        <v>7043</v>
      </c>
      <c r="O52" s="22">
        <v>6976</v>
      </c>
      <c r="P52" s="22">
        <v>7075</v>
      </c>
      <c r="Q52" s="22">
        <v>7141</v>
      </c>
      <c r="R52" s="22">
        <v>7322</v>
      </c>
      <c r="S52" s="22">
        <v>7306</v>
      </c>
      <c r="T52" s="22">
        <v>7316</v>
      </c>
      <c r="U52" s="22">
        <v>7623</v>
      </c>
      <c r="V52" s="22">
        <v>7808</v>
      </c>
      <c r="W52" s="22">
        <v>7795</v>
      </c>
      <c r="X52" s="22">
        <v>7592</v>
      </c>
      <c r="Y52" s="22">
        <v>7512</v>
      </c>
      <c r="Z52" s="22">
        <v>7321</v>
      </c>
      <c r="AA52" s="22">
        <v>7145</v>
      </c>
      <c r="AB52" s="22">
        <v>7125</v>
      </c>
      <c r="AC52" s="22">
        <v>6950</v>
      </c>
      <c r="AD52" s="22">
        <v>7030</v>
      </c>
      <c r="AE52" s="22">
        <v>7166</v>
      </c>
      <c r="AF52" s="22">
        <v>7048</v>
      </c>
      <c r="AG52" s="22">
        <v>7125</v>
      </c>
      <c r="AH52" s="22">
        <v>7152</v>
      </c>
      <c r="AI52" s="22">
        <v>7081</v>
      </c>
      <c r="AJ52" s="22">
        <v>7097</v>
      </c>
      <c r="AK52" s="22">
        <v>6934</v>
      </c>
      <c r="AL52" s="22">
        <v>7106</v>
      </c>
      <c r="AM52" s="22">
        <v>7159</v>
      </c>
      <c r="AN52" s="22">
        <v>7033</v>
      </c>
      <c r="AO52" s="22">
        <v>6839</v>
      </c>
      <c r="AP52" s="22">
        <v>6894</v>
      </c>
      <c r="AQ52" s="22">
        <v>6822</v>
      </c>
      <c r="AR52" s="22">
        <v>6913</v>
      </c>
      <c r="AS52" s="22">
        <v>6996</v>
      </c>
      <c r="AT52" s="22">
        <v>7025</v>
      </c>
      <c r="AU52" s="22">
        <v>7202</v>
      </c>
      <c r="AV52" s="22">
        <v>7370</v>
      </c>
      <c r="AW52" s="22">
        <v>7277</v>
      </c>
      <c r="AX52" s="22">
        <v>7268</v>
      </c>
      <c r="AY52" s="22">
        <v>7223</v>
      </c>
      <c r="AZ52" s="22">
        <v>7237</v>
      </c>
      <c r="BA52" s="22">
        <v>7333</v>
      </c>
      <c r="BB52" s="22">
        <v>7268</v>
      </c>
      <c r="BC52" s="22">
        <v>7150</v>
      </c>
      <c r="BD52" s="22">
        <v>7379</v>
      </c>
      <c r="BE52" s="22">
        <v>7497</v>
      </c>
      <c r="BF52" s="22">
        <v>7298</v>
      </c>
      <c r="BG52" s="22">
        <v>6857</v>
      </c>
      <c r="BH52" s="22">
        <v>5788</v>
      </c>
      <c r="BI52" s="22">
        <v>5955</v>
      </c>
      <c r="BJ52" s="22">
        <v>5978</v>
      </c>
      <c r="BK52" s="22">
        <v>5906</v>
      </c>
      <c r="BL52" s="22">
        <v>5843</v>
      </c>
    </row>
    <row r="53" spans="1:64" ht="15.95" customHeight="1">
      <c r="A53" s="68" t="s">
        <v>310</v>
      </c>
      <c r="B53" s="44" t="s">
        <v>129</v>
      </c>
      <c r="C53" s="48">
        <f>_xll.RssMarket("5201","安値")</f>
        <v>7190</v>
      </c>
      <c r="D53" s="16">
        <f t="shared" si="0"/>
        <v>0</v>
      </c>
      <c r="E53" s="22">
        <v>7190</v>
      </c>
      <c r="F53" s="22">
        <v>7270</v>
      </c>
      <c r="G53" s="22">
        <v>7156</v>
      </c>
      <c r="H53" s="22">
        <v>6986</v>
      </c>
      <c r="I53" s="22">
        <v>6636</v>
      </c>
      <c r="J53" s="22">
        <v>6907</v>
      </c>
      <c r="K53" s="22">
        <v>7130</v>
      </c>
      <c r="L53" s="22">
        <v>7659</v>
      </c>
      <c r="M53" s="22">
        <v>7519</v>
      </c>
      <c r="N53" s="22">
        <v>6990</v>
      </c>
      <c r="O53" s="22">
        <v>6840</v>
      </c>
      <c r="P53" s="22">
        <v>6772</v>
      </c>
      <c r="Q53" s="22">
        <v>7011</v>
      </c>
      <c r="R53" s="22">
        <v>6480</v>
      </c>
      <c r="S53" s="22">
        <v>6225</v>
      </c>
      <c r="T53" s="22">
        <v>6067</v>
      </c>
      <c r="U53" s="22">
        <v>5992</v>
      </c>
      <c r="V53" s="22">
        <v>6177</v>
      </c>
      <c r="W53" s="22">
        <v>5861</v>
      </c>
      <c r="X53" s="22">
        <v>5923</v>
      </c>
      <c r="Y53" s="22">
        <v>6020</v>
      </c>
      <c r="Z53" s="22">
        <v>5929</v>
      </c>
      <c r="AA53" s="22">
        <v>5623</v>
      </c>
      <c r="AB53" s="22">
        <v>5573</v>
      </c>
      <c r="AC53" s="22">
        <v>5512</v>
      </c>
      <c r="AD53" s="22">
        <v>5550</v>
      </c>
      <c r="AE53" s="22">
        <v>5470</v>
      </c>
      <c r="AF53" s="22">
        <v>5559</v>
      </c>
      <c r="AG53" s="22">
        <v>5697</v>
      </c>
      <c r="AH53" s="22">
        <v>5577</v>
      </c>
      <c r="AI53" s="22">
        <v>5616</v>
      </c>
      <c r="AJ53" s="22">
        <v>5546</v>
      </c>
      <c r="AK53" s="22">
        <v>5662</v>
      </c>
      <c r="AL53" s="22">
        <v>5739</v>
      </c>
      <c r="AM53" s="22">
        <v>5727</v>
      </c>
      <c r="AN53" s="22">
        <v>5669</v>
      </c>
      <c r="AO53" s="22">
        <v>5642</v>
      </c>
      <c r="AP53" s="22">
        <v>5585</v>
      </c>
      <c r="AQ53" s="22">
        <v>5627</v>
      </c>
      <c r="AR53" s="22">
        <v>5682</v>
      </c>
      <c r="AS53" s="22">
        <v>5827</v>
      </c>
      <c r="AT53" s="22">
        <v>5859</v>
      </c>
      <c r="AU53" s="22">
        <v>5781</v>
      </c>
      <c r="AV53" s="22">
        <v>5555</v>
      </c>
      <c r="AW53" s="22">
        <v>5541</v>
      </c>
      <c r="AX53" s="22">
        <v>5577</v>
      </c>
      <c r="AY53" s="22">
        <v>5625</v>
      </c>
      <c r="AZ53" s="22">
        <v>5605</v>
      </c>
      <c r="BA53" s="22">
        <v>5360</v>
      </c>
      <c r="BB53" s="22">
        <v>5290</v>
      </c>
      <c r="BC53" s="22">
        <v>5500</v>
      </c>
      <c r="BD53" s="22">
        <v>5551</v>
      </c>
      <c r="BE53" s="22">
        <v>5567</v>
      </c>
      <c r="BF53" s="22">
        <v>5431</v>
      </c>
      <c r="BG53" s="22">
        <v>5291</v>
      </c>
      <c r="BH53" s="22">
        <v>5533</v>
      </c>
      <c r="BI53" s="22">
        <v>5662</v>
      </c>
      <c r="BJ53" s="22">
        <v>5620</v>
      </c>
      <c r="BK53" s="22">
        <v>5590</v>
      </c>
      <c r="BL53" s="22">
        <v>5786</v>
      </c>
    </row>
    <row r="54" spans="1:64" ht="15.95" customHeight="1">
      <c r="A54" s="68" t="s">
        <v>311</v>
      </c>
      <c r="B54" s="44" t="s">
        <v>130</v>
      </c>
      <c r="C54" s="48">
        <f>_xll.RssMarket("8630","安値")</f>
        <v>6194</v>
      </c>
      <c r="D54" s="16">
        <f t="shared" si="0"/>
        <v>0</v>
      </c>
      <c r="E54" s="22">
        <v>6194</v>
      </c>
      <c r="F54" s="22">
        <v>6169</v>
      </c>
      <c r="G54" s="22">
        <v>6150</v>
      </c>
      <c r="H54" s="22">
        <v>6040</v>
      </c>
      <c r="I54" s="22">
        <v>6112</v>
      </c>
      <c r="J54" s="22">
        <v>6115</v>
      </c>
      <c r="K54" s="22">
        <v>5880</v>
      </c>
      <c r="L54" s="22">
        <v>5827</v>
      </c>
      <c r="M54" s="22">
        <v>5736</v>
      </c>
      <c r="N54" s="22">
        <v>5870</v>
      </c>
      <c r="O54" s="22">
        <v>5868</v>
      </c>
      <c r="P54" s="22">
        <v>5777</v>
      </c>
      <c r="Q54" s="22">
        <v>5813</v>
      </c>
      <c r="R54" s="22">
        <v>5843</v>
      </c>
      <c r="S54" s="22">
        <v>5523</v>
      </c>
      <c r="T54" s="22">
        <v>5568</v>
      </c>
      <c r="U54" s="22">
        <v>5562</v>
      </c>
      <c r="V54" s="22">
        <v>6145</v>
      </c>
      <c r="W54" s="22">
        <v>6286</v>
      </c>
      <c r="X54" s="22">
        <v>6053</v>
      </c>
      <c r="Y54" s="22">
        <v>6007</v>
      </c>
      <c r="Z54" s="22">
        <v>5977</v>
      </c>
      <c r="AA54" s="22">
        <v>5965</v>
      </c>
      <c r="AB54" s="22">
        <v>5789</v>
      </c>
      <c r="AC54" s="22">
        <v>5670</v>
      </c>
      <c r="AD54" s="22">
        <v>5717</v>
      </c>
      <c r="AE54" s="22">
        <v>5774</v>
      </c>
      <c r="AF54" s="22">
        <v>5615</v>
      </c>
      <c r="AG54" s="22">
        <v>5676</v>
      </c>
      <c r="AH54" s="22">
        <v>5704</v>
      </c>
      <c r="AI54" s="22">
        <v>5620</v>
      </c>
      <c r="AJ54" s="22">
        <v>5805</v>
      </c>
      <c r="AK54" s="22">
        <v>5734</v>
      </c>
      <c r="AL54" s="22">
        <v>5820</v>
      </c>
      <c r="AM54" s="22">
        <v>5870</v>
      </c>
      <c r="AN54" s="22">
        <v>5872</v>
      </c>
      <c r="AO54" s="22">
        <v>5898</v>
      </c>
      <c r="AP54" s="22">
        <v>5950</v>
      </c>
      <c r="AQ54" s="22">
        <v>5884</v>
      </c>
      <c r="AR54" s="22">
        <v>5875</v>
      </c>
      <c r="AS54" s="22">
        <v>5878</v>
      </c>
      <c r="AT54" s="22">
        <v>5967</v>
      </c>
      <c r="AU54" s="22">
        <v>5973</v>
      </c>
      <c r="AV54" s="22">
        <v>6163</v>
      </c>
      <c r="AW54" s="22">
        <v>6041</v>
      </c>
      <c r="AX54" s="22">
        <v>6014</v>
      </c>
      <c r="AY54" s="22">
        <v>6011</v>
      </c>
      <c r="AZ54" s="22">
        <v>6037</v>
      </c>
      <c r="BA54" s="22">
        <v>6092</v>
      </c>
      <c r="BB54" s="22">
        <v>6002</v>
      </c>
      <c r="BC54" s="22">
        <v>5813</v>
      </c>
      <c r="BD54" s="22">
        <v>6047</v>
      </c>
      <c r="BE54" s="22">
        <v>6037</v>
      </c>
      <c r="BF54" s="22">
        <v>5938</v>
      </c>
      <c r="BG54" s="22">
        <v>5722</v>
      </c>
      <c r="BH54" s="22">
        <v>5607</v>
      </c>
      <c r="BI54" s="22">
        <v>5799</v>
      </c>
      <c r="BJ54" s="22">
        <v>5927</v>
      </c>
      <c r="BK54" s="22">
        <v>5840</v>
      </c>
      <c r="BL54" s="22">
        <v>5748</v>
      </c>
    </row>
    <row r="55" spans="1:64" ht="15.95" customHeight="1">
      <c r="A55" s="68" t="s">
        <v>312</v>
      </c>
      <c r="B55" s="44" t="s">
        <v>131</v>
      </c>
      <c r="C55" s="48">
        <f>_xll.RssMarket("5901","安値")</f>
        <v>3964</v>
      </c>
      <c r="D55" s="16">
        <f t="shared" si="0"/>
        <v>0</v>
      </c>
      <c r="E55" s="22">
        <v>3964</v>
      </c>
      <c r="F55" s="22">
        <v>3958</v>
      </c>
      <c r="G55" s="22">
        <v>3945</v>
      </c>
      <c r="H55" s="22">
        <v>3861</v>
      </c>
      <c r="I55" s="22">
        <v>3791</v>
      </c>
      <c r="J55" s="22">
        <v>3804</v>
      </c>
      <c r="K55" s="22">
        <v>3753</v>
      </c>
      <c r="L55" s="22">
        <v>3741</v>
      </c>
      <c r="M55" s="22">
        <v>3786</v>
      </c>
      <c r="N55" s="22">
        <v>3750</v>
      </c>
      <c r="O55" s="22">
        <v>3762</v>
      </c>
      <c r="P55" s="22">
        <v>3870</v>
      </c>
      <c r="Q55" s="22">
        <v>3813</v>
      </c>
      <c r="R55" s="22">
        <v>3885</v>
      </c>
      <c r="S55" s="22">
        <v>3925</v>
      </c>
      <c r="T55" s="22">
        <v>3961</v>
      </c>
      <c r="U55" s="22">
        <v>4088</v>
      </c>
      <c r="V55" s="22">
        <v>3952</v>
      </c>
      <c r="W55" s="22">
        <v>3884</v>
      </c>
      <c r="X55" s="22">
        <v>3740</v>
      </c>
      <c r="Y55" s="22">
        <v>3512</v>
      </c>
      <c r="Z55" s="22">
        <v>3393</v>
      </c>
      <c r="AA55" s="22">
        <v>3369</v>
      </c>
      <c r="AB55" s="22">
        <v>3357</v>
      </c>
      <c r="AC55" s="22">
        <v>3380</v>
      </c>
      <c r="AD55" s="22">
        <v>3531</v>
      </c>
      <c r="AE55" s="22">
        <v>3437</v>
      </c>
      <c r="AF55" s="22">
        <v>3305</v>
      </c>
      <c r="AG55" s="22">
        <v>3116</v>
      </c>
      <c r="AH55" s="22">
        <v>3150</v>
      </c>
      <c r="AI55" s="22">
        <v>3132</v>
      </c>
      <c r="AJ55" s="22">
        <v>3175</v>
      </c>
      <c r="AK55" s="22">
        <v>3173</v>
      </c>
      <c r="AL55" s="22">
        <v>3288</v>
      </c>
      <c r="AM55" s="22">
        <v>3372</v>
      </c>
      <c r="AN55" s="22">
        <v>3335</v>
      </c>
      <c r="AO55" s="22">
        <v>3312</v>
      </c>
      <c r="AP55" s="22">
        <v>3409</v>
      </c>
      <c r="AQ55" s="22">
        <v>3364</v>
      </c>
      <c r="AR55" s="22">
        <v>3331</v>
      </c>
      <c r="AS55" s="22">
        <v>3403</v>
      </c>
      <c r="AT55" s="22">
        <v>3471</v>
      </c>
      <c r="AU55" s="22">
        <v>3492</v>
      </c>
      <c r="AV55" s="22">
        <v>3518</v>
      </c>
      <c r="AW55" s="22">
        <v>3427</v>
      </c>
      <c r="AX55" s="22">
        <v>3427</v>
      </c>
      <c r="AY55" s="22">
        <v>3411</v>
      </c>
      <c r="AZ55" s="22">
        <v>3521</v>
      </c>
      <c r="BA55" s="22">
        <v>3564</v>
      </c>
      <c r="BB55" s="22">
        <v>3473</v>
      </c>
      <c r="BC55" s="22">
        <v>3448</v>
      </c>
      <c r="BD55" s="22">
        <v>3651</v>
      </c>
      <c r="BE55" s="22">
        <v>3655</v>
      </c>
      <c r="BF55" s="22">
        <v>3692</v>
      </c>
      <c r="BG55" s="22">
        <v>3586</v>
      </c>
      <c r="BH55" s="22">
        <v>3517</v>
      </c>
      <c r="BI55" s="22">
        <v>3689</v>
      </c>
      <c r="BJ55" s="22">
        <v>3877</v>
      </c>
      <c r="BK55" s="22">
        <v>3862</v>
      </c>
      <c r="BL55" s="22">
        <v>3810</v>
      </c>
    </row>
    <row r="56" spans="1:64" ht="15.95" customHeight="1">
      <c r="A56" s="68" t="s">
        <v>313</v>
      </c>
      <c r="B56" s="44" t="s">
        <v>132</v>
      </c>
      <c r="C56" s="48">
        <f>_xll.RssMarket("9412","安値")</f>
        <v>3295</v>
      </c>
      <c r="D56" s="16">
        <f t="shared" si="0"/>
        <v>0</v>
      </c>
      <c r="E56" s="22">
        <v>3295</v>
      </c>
      <c r="F56" s="22">
        <v>3240</v>
      </c>
      <c r="G56" s="22">
        <v>3195</v>
      </c>
      <c r="H56" s="22">
        <v>3345</v>
      </c>
      <c r="I56" s="22">
        <v>3085</v>
      </c>
      <c r="J56" s="22">
        <v>3105</v>
      </c>
      <c r="K56" s="22">
        <v>3350</v>
      </c>
      <c r="L56" s="22">
        <v>3525</v>
      </c>
      <c r="M56" s="22">
        <v>3290</v>
      </c>
      <c r="N56" s="22">
        <v>3570</v>
      </c>
      <c r="O56" s="22">
        <v>3595</v>
      </c>
      <c r="P56" s="22">
        <v>4435</v>
      </c>
      <c r="Q56" s="22">
        <v>4265</v>
      </c>
      <c r="R56" s="22">
        <v>4425</v>
      </c>
      <c r="S56" s="22">
        <v>4365</v>
      </c>
      <c r="T56" s="22">
        <v>4050</v>
      </c>
      <c r="U56" s="22">
        <v>4090</v>
      </c>
      <c r="V56" s="22">
        <v>3865</v>
      </c>
      <c r="W56" s="22">
        <v>4035</v>
      </c>
      <c r="X56" s="22">
        <v>3980</v>
      </c>
      <c r="Y56" s="22">
        <v>4085</v>
      </c>
      <c r="Z56" s="22">
        <v>4135</v>
      </c>
      <c r="AA56" s="22">
        <v>3835</v>
      </c>
      <c r="AB56" s="22">
        <v>3750</v>
      </c>
      <c r="AC56" s="22">
        <v>3705</v>
      </c>
      <c r="AD56" s="22">
        <v>3500</v>
      </c>
      <c r="AE56" s="22">
        <v>3470</v>
      </c>
      <c r="AF56" s="22">
        <v>3490</v>
      </c>
      <c r="AG56" s="22">
        <v>3330</v>
      </c>
      <c r="AH56" s="22">
        <v>3085</v>
      </c>
      <c r="AI56" s="22">
        <v>3060</v>
      </c>
      <c r="AJ56" s="22">
        <v>3140</v>
      </c>
      <c r="AK56" s="22">
        <v>3100</v>
      </c>
      <c r="AL56" s="22">
        <v>3170</v>
      </c>
      <c r="AM56" s="22">
        <v>3260</v>
      </c>
      <c r="AN56" s="22">
        <v>3270</v>
      </c>
      <c r="AO56" s="22">
        <v>3215</v>
      </c>
      <c r="AP56" s="22">
        <v>3170</v>
      </c>
      <c r="AQ56" s="22">
        <v>3125</v>
      </c>
      <c r="AR56" s="22">
        <v>3055</v>
      </c>
      <c r="AS56" s="22">
        <v>2980</v>
      </c>
      <c r="AT56" s="22">
        <v>3040</v>
      </c>
      <c r="AU56" s="22">
        <v>3090</v>
      </c>
      <c r="AV56" s="22">
        <v>3080</v>
      </c>
      <c r="AW56" s="22">
        <v>3005</v>
      </c>
      <c r="AX56" s="22">
        <v>3005</v>
      </c>
      <c r="AY56" s="22">
        <v>3020</v>
      </c>
      <c r="AZ56" s="22">
        <v>2951</v>
      </c>
      <c r="BA56" s="22">
        <v>2933</v>
      </c>
      <c r="BB56" s="22">
        <v>2822</v>
      </c>
      <c r="BC56" s="22">
        <v>2872</v>
      </c>
      <c r="BD56" s="22">
        <v>2958</v>
      </c>
      <c r="BE56" s="22">
        <v>3000</v>
      </c>
      <c r="BF56" s="22">
        <v>2935</v>
      </c>
      <c r="BG56" s="22">
        <v>2800</v>
      </c>
      <c r="BH56" s="22">
        <v>2696</v>
      </c>
      <c r="BI56" s="22">
        <v>2760</v>
      </c>
      <c r="BJ56" s="22">
        <v>2816</v>
      </c>
      <c r="BK56" s="22">
        <v>2810</v>
      </c>
      <c r="BL56" s="22">
        <v>2924</v>
      </c>
    </row>
    <row r="57" spans="1:64" ht="15.95" customHeight="1">
      <c r="A57" s="68" t="s">
        <v>314</v>
      </c>
      <c r="B57" s="44" t="s">
        <v>133</v>
      </c>
      <c r="C57" s="48">
        <f>_xll.RssMarket("6203","安値")</f>
        <v>1570</v>
      </c>
      <c r="D57" s="16">
        <f t="shared" si="0"/>
        <v>0</v>
      </c>
      <c r="E57" s="22">
        <v>1570</v>
      </c>
      <c r="F57" s="22">
        <v>1480</v>
      </c>
      <c r="G57" s="22">
        <v>1530</v>
      </c>
      <c r="H57" s="22">
        <v>1500</v>
      </c>
      <c r="I57" s="22">
        <v>1543</v>
      </c>
      <c r="J57" s="22">
        <v>1625</v>
      </c>
      <c r="K57" s="22">
        <v>1700</v>
      </c>
      <c r="L57" s="22">
        <v>1688</v>
      </c>
      <c r="M57" s="22">
        <v>1683</v>
      </c>
      <c r="N57" s="22">
        <v>1820</v>
      </c>
      <c r="O57" s="22">
        <v>1802</v>
      </c>
      <c r="P57" s="22">
        <v>1704</v>
      </c>
      <c r="Q57" s="22">
        <v>1450</v>
      </c>
      <c r="R57" s="22">
        <v>1340</v>
      </c>
      <c r="S57" s="22">
        <v>1349</v>
      </c>
      <c r="T57" s="22">
        <v>1327</v>
      </c>
      <c r="U57" s="22">
        <v>1297</v>
      </c>
      <c r="V57" s="22">
        <v>1262</v>
      </c>
      <c r="W57" s="22">
        <v>1298</v>
      </c>
      <c r="X57" s="22">
        <v>1272</v>
      </c>
      <c r="Y57" s="22">
        <v>1319</v>
      </c>
      <c r="Z57" s="22">
        <v>1380</v>
      </c>
      <c r="AA57" s="22">
        <v>1406</v>
      </c>
      <c r="AB57" s="22">
        <v>1450</v>
      </c>
      <c r="AC57" s="22">
        <v>1491</v>
      </c>
      <c r="AD57" s="22">
        <v>1441</v>
      </c>
      <c r="AE57" s="22">
        <v>1530</v>
      </c>
      <c r="AF57" s="22">
        <v>1503</v>
      </c>
      <c r="AG57" s="22">
        <v>1482</v>
      </c>
      <c r="AH57" s="22">
        <v>1496</v>
      </c>
      <c r="AI57" s="22">
        <v>1459</v>
      </c>
      <c r="AJ57" s="22">
        <v>1457</v>
      </c>
      <c r="AK57" s="22">
        <v>1468</v>
      </c>
      <c r="AL57" s="22">
        <v>1417</v>
      </c>
      <c r="AM57" s="22">
        <v>1334</v>
      </c>
      <c r="AN57" s="22">
        <v>1357</v>
      </c>
      <c r="AO57" s="22">
        <v>1339</v>
      </c>
      <c r="AP57" s="22">
        <v>1336</v>
      </c>
      <c r="AQ57" s="22">
        <v>1389</v>
      </c>
      <c r="AR57" s="22">
        <v>1445</v>
      </c>
      <c r="AS57" s="22">
        <v>1446</v>
      </c>
      <c r="AT57" s="22">
        <v>1468</v>
      </c>
      <c r="AU57" s="22">
        <v>1484</v>
      </c>
      <c r="AV57" s="22">
        <v>1548</v>
      </c>
      <c r="AW57" s="22">
        <v>1485</v>
      </c>
      <c r="AX57" s="22">
        <v>1478</v>
      </c>
      <c r="AY57" s="22">
        <v>1504</v>
      </c>
      <c r="AZ57" s="22">
        <v>1489</v>
      </c>
      <c r="BA57" s="22">
        <v>1450</v>
      </c>
      <c r="BB57" s="22">
        <v>1405</v>
      </c>
      <c r="BC57" s="22">
        <v>1423</v>
      </c>
      <c r="BD57" s="22">
        <v>1514</v>
      </c>
      <c r="BE57" s="22">
        <v>1520</v>
      </c>
      <c r="BF57" s="22">
        <v>1542</v>
      </c>
      <c r="BG57" s="22">
        <v>1490</v>
      </c>
      <c r="BH57" s="22">
        <v>1457</v>
      </c>
      <c r="BI57" s="22">
        <v>1588</v>
      </c>
      <c r="BJ57" s="22">
        <v>1645</v>
      </c>
      <c r="BK57" s="22">
        <v>1632</v>
      </c>
      <c r="BL57" s="22">
        <v>1657</v>
      </c>
    </row>
    <row r="58" spans="1:64" ht="15.95" customHeight="1">
      <c r="A58" s="68" t="s">
        <v>315</v>
      </c>
      <c r="B58" s="44" t="s">
        <v>134</v>
      </c>
      <c r="C58" s="48">
        <f>_xll.RssMarket("4676","安値")</f>
        <v>3999</v>
      </c>
      <c r="D58" s="16">
        <f t="shared" si="0"/>
        <v>0</v>
      </c>
      <c r="E58" s="22">
        <v>3999</v>
      </c>
      <c r="F58" s="22">
        <v>3952</v>
      </c>
      <c r="G58" s="22">
        <v>4026</v>
      </c>
      <c r="H58" s="22">
        <v>4014</v>
      </c>
      <c r="I58" s="22">
        <v>4037</v>
      </c>
      <c r="J58" s="22">
        <v>4092</v>
      </c>
      <c r="K58" s="22">
        <v>4089</v>
      </c>
      <c r="L58" s="22">
        <v>4033</v>
      </c>
      <c r="M58" s="22">
        <v>3787</v>
      </c>
      <c r="N58" s="22">
        <v>3793</v>
      </c>
      <c r="O58" s="22">
        <v>3792</v>
      </c>
      <c r="P58" s="22">
        <v>3703</v>
      </c>
      <c r="Q58" s="22">
        <v>3721</v>
      </c>
      <c r="R58" s="22">
        <v>3639</v>
      </c>
      <c r="S58" s="22">
        <v>3686</v>
      </c>
      <c r="T58" s="22">
        <v>3799</v>
      </c>
      <c r="U58" s="22">
        <v>3758</v>
      </c>
      <c r="V58" s="22">
        <v>3767</v>
      </c>
      <c r="W58" s="22">
        <v>3721</v>
      </c>
      <c r="X58" s="22">
        <v>3615</v>
      </c>
      <c r="Y58" s="22">
        <v>3753</v>
      </c>
      <c r="Z58" s="22">
        <v>3728</v>
      </c>
      <c r="AA58" s="22">
        <v>3635</v>
      </c>
      <c r="AB58" s="22">
        <v>3861</v>
      </c>
      <c r="AC58" s="22">
        <v>3862</v>
      </c>
      <c r="AD58" s="22">
        <v>3874</v>
      </c>
      <c r="AE58" s="22">
        <v>3850</v>
      </c>
      <c r="AF58" s="22">
        <v>3826</v>
      </c>
      <c r="AG58" s="22">
        <v>3728</v>
      </c>
      <c r="AH58" s="22">
        <v>3868</v>
      </c>
      <c r="AI58" s="22">
        <v>3925</v>
      </c>
      <c r="AJ58" s="22">
        <v>3932</v>
      </c>
      <c r="AK58" s="22">
        <v>3901</v>
      </c>
      <c r="AL58" s="22">
        <v>3867</v>
      </c>
      <c r="AM58" s="22">
        <v>3931</v>
      </c>
      <c r="AN58" s="22">
        <v>3831</v>
      </c>
      <c r="AO58" s="22">
        <v>3761</v>
      </c>
      <c r="AP58" s="22">
        <v>3718</v>
      </c>
      <c r="AQ58" s="22">
        <v>4148</v>
      </c>
      <c r="AR58" s="22">
        <v>4171</v>
      </c>
      <c r="AS58" s="22">
        <v>4170</v>
      </c>
      <c r="AT58" s="22">
        <v>4244</v>
      </c>
      <c r="AU58" s="22">
        <v>4268</v>
      </c>
      <c r="AV58" s="22">
        <v>4267</v>
      </c>
      <c r="AW58" s="22">
        <v>4267</v>
      </c>
      <c r="AX58" s="22">
        <v>4196</v>
      </c>
      <c r="AY58" s="22">
        <v>4101</v>
      </c>
      <c r="AZ58" s="22">
        <v>4050</v>
      </c>
      <c r="BA58" s="22">
        <v>4019</v>
      </c>
      <c r="BB58" s="22">
        <v>3995</v>
      </c>
      <c r="BC58" s="22">
        <v>4009</v>
      </c>
      <c r="BD58" s="22">
        <v>4076</v>
      </c>
      <c r="BE58" s="22">
        <v>3986</v>
      </c>
      <c r="BF58" s="22">
        <v>3977</v>
      </c>
      <c r="BG58" s="22">
        <v>3800</v>
      </c>
      <c r="BH58" s="22">
        <v>3814</v>
      </c>
      <c r="BI58" s="22">
        <v>3828</v>
      </c>
      <c r="BJ58" s="22">
        <v>3777</v>
      </c>
      <c r="BK58" s="22">
        <v>3742</v>
      </c>
      <c r="BL58" s="22">
        <v>3722</v>
      </c>
    </row>
    <row r="59" spans="1:64" ht="15.95" customHeight="1">
      <c r="A59" s="68" t="s">
        <v>316</v>
      </c>
      <c r="B59" s="44" t="s">
        <v>135</v>
      </c>
      <c r="C59" s="48">
        <f>_xll.RssMarket("1961","安値")</f>
        <v>2639</v>
      </c>
      <c r="D59" s="16">
        <f t="shared" si="0"/>
        <v>0</v>
      </c>
      <c r="E59" s="22">
        <v>2639</v>
      </c>
      <c r="F59" s="22">
        <v>2556</v>
      </c>
      <c r="G59" s="22">
        <v>2578</v>
      </c>
      <c r="H59" s="22">
        <v>2453</v>
      </c>
      <c r="I59" s="22">
        <v>2383</v>
      </c>
      <c r="J59" s="22">
        <v>2450</v>
      </c>
      <c r="K59" s="22">
        <v>2254</v>
      </c>
      <c r="L59" s="22">
        <v>2287</v>
      </c>
      <c r="M59" s="22">
        <v>2180</v>
      </c>
      <c r="N59" s="22">
        <v>2116</v>
      </c>
      <c r="O59" s="22">
        <v>2114</v>
      </c>
      <c r="P59" s="22">
        <v>2235</v>
      </c>
      <c r="Q59" s="22">
        <v>2196</v>
      </c>
      <c r="R59" s="22">
        <v>2227</v>
      </c>
      <c r="S59" s="22">
        <v>2198</v>
      </c>
      <c r="T59" s="22">
        <v>2170</v>
      </c>
      <c r="U59" s="22">
        <v>2171</v>
      </c>
      <c r="V59" s="22">
        <v>2221</v>
      </c>
      <c r="W59" s="22">
        <v>2387</v>
      </c>
      <c r="X59" s="22">
        <v>2388</v>
      </c>
      <c r="Y59" s="22">
        <v>2529</v>
      </c>
      <c r="Z59" s="22">
        <v>2486</v>
      </c>
      <c r="AA59" s="22">
        <v>2592</v>
      </c>
      <c r="AB59" s="22">
        <v>2636</v>
      </c>
      <c r="AC59" s="22">
        <v>2531</v>
      </c>
      <c r="AD59" s="22">
        <v>2474</v>
      </c>
      <c r="AE59" s="22">
        <v>2498</v>
      </c>
      <c r="AF59" s="22">
        <v>2352</v>
      </c>
      <c r="AG59" s="22">
        <v>2350</v>
      </c>
      <c r="AH59" s="22">
        <v>2264</v>
      </c>
      <c r="AI59" s="22">
        <v>2279</v>
      </c>
      <c r="AJ59" s="22">
        <v>2266</v>
      </c>
      <c r="AK59" s="22">
        <v>2216</v>
      </c>
      <c r="AL59" s="22">
        <v>2319</v>
      </c>
      <c r="AM59" s="22">
        <v>2349</v>
      </c>
      <c r="AN59" s="22">
        <v>2326</v>
      </c>
      <c r="AO59" s="22">
        <v>2356</v>
      </c>
      <c r="AP59" s="22">
        <v>2359</v>
      </c>
      <c r="AQ59" s="22">
        <v>2436</v>
      </c>
      <c r="AR59" s="22">
        <v>2636</v>
      </c>
      <c r="AS59" s="22">
        <v>2699</v>
      </c>
      <c r="AT59" s="22">
        <v>2679</v>
      </c>
      <c r="AU59" s="22">
        <v>2583</v>
      </c>
      <c r="AV59" s="22">
        <v>2529</v>
      </c>
      <c r="AW59" s="22">
        <v>2456</v>
      </c>
      <c r="AX59" s="22">
        <v>2423</v>
      </c>
      <c r="AY59" s="22">
        <v>2403</v>
      </c>
      <c r="AZ59" s="22">
        <v>2366</v>
      </c>
      <c r="BA59" s="22">
        <v>2303</v>
      </c>
      <c r="BB59" s="22">
        <v>2179</v>
      </c>
      <c r="BC59" s="22">
        <v>2176</v>
      </c>
      <c r="BD59" s="22">
        <v>2276</v>
      </c>
      <c r="BE59" s="22">
        <v>2293</v>
      </c>
      <c r="BF59" s="22">
        <v>2299</v>
      </c>
      <c r="BG59" s="22">
        <v>2196</v>
      </c>
      <c r="BH59" s="22">
        <v>2133</v>
      </c>
      <c r="BI59" s="22">
        <v>2253</v>
      </c>
      <c r="BJ59" s="22">
        <v>2233</v>
      </c>
      <c r="BK59" s="22">
        <v>2193</v>
      </c>
      <c r="BL59" s="22">
        <v>2173</v>
      </c>
    </row>
    <row r="60" spans="1:64" ht="15.95" customHeight="1">
      <c r="A60" s="68" t="s">
        <v>317</v>
      </c>
      <c r="B60" s="44" t="s">
        <v>136</v>
      </c>
      <c r="C60" s="48">
        <f>_xll.RssMarket("3107","安値")</f>
        <v>3325</v>
      </c>
      <c r="D60" s="16">
        <f t="shared" si="0"/>
        <v>0</v>
      </c>
      <c r="E60" s="22">
        <v>3325</v>
      </c>
      <c r="F60" s="22">
        <v>3394</v>
      </c>
      <c r="G60" s="22">
        <v>3412</v>
      </c>
      <c r="H60" s="22">
        <v>3411</v>
      </c>
      <c r="I60" s="22">
        <v>3392</v>
      </c>
      <c r="J60" s="22">
        <v>3408</v>
      </c>
      <c r="K60" s="22">
        <v>3461</v>
      </c>
      <c r="L60" s="22">
        <v>3458</v>
      </c>
      <c r="M60" s="22">
        <v>3451</v>
      </c>
      <c r="N60" s="22">
        <v>3534</v>
      </c>
      <c r="O60" s="22">
        <v>3500</v>
      </c>
      <c r="P60" s="22">
        <v>3396</v>
      </c>
      <c r="Q60" s="22">
        <v>3346</v>
      </c>
      <c r="R60" s="22">
        <v>3328</v>
      </c>
      <c r="S60" s="22">
        <v>3329</v>
      </c>
      <c r="T60" s="22">
        <v>3481</v>
      </c>
      <c r="U60" s="22">
        <v>3523</v>
      </c>
      <c r="V60" s="22">
        <v>3477</v>
      </c>
      <c r="W60" s="22">
        <v>3489</v>
      </c>
      <c r="X60" s="22">
        <v>3451</v>
      </c>
      <c r="Y60" s="22">
        <v>3381</v>
      </c>
      <c r="Z60" s="22">
        <v>3401</v>
      </c>
      <c r="AA60" s="22">
        <v>3386</v>
      </c>
      <c r="AB60" s="22">
        <v>3363</v>
      </c>
      <c r="AC60" s="22">
        <v>3372</v>
      </c>
      <c r="AD60" s="22">
        <v>3303</v>
      </c>
      <c r="AE60" s="22">
        <v>3211</v>
      </c>
      <c r="AF60" s="22">
        <v>3136</v>
      </c>
      <c r="AG60" s="22">
        <v>3149</v>
      </c>
      <c r="AH60" s="22">
        <v>3181</v>
      </c>
      <c r="AI60" s="22">
        <v>3122</v>
      </c>
      <c r="AJ60" s="22">
        <v>3091</v>
      </c>
      <c r="AK60" s="22">
        <v>3064</v>
      </c>
      <c r="AL60" s="22">
        <v>3060</v>
      </c>
      <c r="AM60" s="22">
        <v>3083</v>
      </c>
      <c r="AN60" s="22">
        <v>3109</v>
      </c>
      <c r="AO60" s="22">
        <v>3163</v>
      </c>
      <c r="AP60" s="22">
        <v>3165</v>
      </c>
      <c r="AQ60" s="22">
        <v>3150</v>
      </c>
      <c r="AR60" s="22">
        <v>3127</v>
      </c>
      <c r="AS60" s="22">
        <v>3071</v>
      </c>
      <c r="AT60" s="22">
        <v>3098</v>
      </c>
      <c r="AU60" s="22">
        <v>3189</v>
      </c>
      <c r="AV60" s="22">
        <v>3196</v>
      </c>
      <c r="AW60" s="22">
        <v>3190</v>
      </c>
      <c r="AX60" s="22">
        <v>3169</v>
      </c>
      <c r="AY60" s="22">
        <v>3145</v>
      </c>
      <c r="AZ60" s="22">
        <v>3124</v>
      </c>
      <c r="BA60" s="22">
        <v>3127</v>
      </c>
      <c r="BB60" s="22">
        <v>3017</v>
      </c>
      <c r="BC60" s="22">
        <v>2895.5</v>
      </c>
      <c r="BD60" s="22">
        <v>3028</v>
      </c>
      <c r="BE60" s="22">
        <v>2980</v>
      </c>
      <c r="BF60" s="22">
        <v>2984</v>
      </c>
      <c r="BG60" s="22">
        <v>2921.5</v>
      </c>
      <c r="BH60" s="22">
        <v>2840</v>
      </c>
      <c r="BI60" s="22">
        <v>2962.5</v>
      </c>
      <c r="BJ60" s="22">
        <v>2972</v>
      </c>
      <c r="BK60" s="22">
        <v>2926</v>
      </c>
      <c r="BL60" s="22">
        <v>2888.5</v>
      </c>
    </row>
    <row r="61" spans="1:64" ht="15.95" customHeight="1">
      <c r="A61" s="68" t="s">
        <v>318</v>
      </c>
      <c r="B61" s="44" t="s">
        <v>137</v>
      </c>
      <c r="C61" s="48">
        <f>_xll.RssMarket("4045","安値")</f>
        <v>1749</v>
      </c>
      <c r="D61" s="16">
        <f t="shared" si="0"/>
        <v>0</v>
      </c>
      <c r="E61" s="22">
        <v>1749</v>
      </c>
      <c r="F61" s="22">
        <v>1745.5</v>
      </c>
      <c r="G61" s="22">
        <v>1750</v>
      </c>
      <c r="H61" s="22">
        <v>1722</v>
      </c>
      <c r="I61" s="22">
        <v>1683</v>
      </c>
      <c r="J61" s="22">
        <v>1688.5</v>
      </c>
      <c r="K61" s="22">
        <v>1700</v>
      </c>
      <c r="L61" s="22">
        <v>1728</v>
      </c>
      <c r="M61" s="22">
        <v>1729.5</v>
      </c>
      <c r="N61" s="22">
        <v>1738</v>
      </c>
      <c r="O61" s="22">
        <v>1705.5</v>
      </c>
      <c r="P61" s="22">
        <v>1748</v>
      </c>
      <c r="Q61" s="22">
        <v>1725</v>
      </c>
      <c r="R61" s="22">
        <v>1722</v>
      </c>
      <c r="S61" s="22">
        <v>1720</v>
      </c>
      <c r="T61" s="22">
        <v>1705</v>
      </c>
      <c r="U61" s="22">
        <v>1698.5</v>
      </c>
      <c r="V61" s="22">
        <v>1681</v>
      </c>
      <c r="W61" s="22">
        <v>1717</v>
      </c>
      <c r="X61" s="22">
        <v>1734.5</v>
      </c>
      <c r="Y61" s="22">
        <v>1733</v>
      </c>
      <c r="Z61" s="22">
        <v>1747</v>
      </c>
      <c r="AA61" s="22">
        <v>1723.5</v>
      </c>
      <c r="AB61" s="22">
        <v>1718</v>
      </c>
      <c r="AC61" s="22">
        <v>1715</v>
      </c>
      <c r="AD61" s="22">
        <v>1707</v>
      </c>
      <c r="AE61" s="22">
        <v>1724.5</v>
      </c>
      <c r="AF61" s="22">
        <v>1690</v>
      </c>
      <c r="AG61" s="22">
        <v>1666</v>
      </c>
      <c r="AH61" s="22">
        <v>1663.5</v>
      </c>
      <c r="AI61" s="22">
        <v>1708</v>
      </c>
      <c r="AJ61" s="22">
        <v>1743.5</v>
      </c>
      <c r="AK61" s="22">
        <v>1751</v>
      </c>
      <c r="AL61" s="22">
        <v>1748.5</v>
      </c>
      <c r="AM61" s="22">
        <v>1790</v>
      </c>
      <c r="AN61" s="22">
        <v>1783.5</v>
      </c>
      <c r="AO61" s="22">
        <v>1796</v>
      </c>
      <c r="AP61" s="22">
        <v>1783</v>
      </c>
      <c r="AQ61" s="22">
        <v>1782.5</v>
      </c>
      <c r="AR61" s="22">
        <v>1772.5</v>
      </c>
      <c r="AS61" s="22">
        <v>1770.5</v>
      </c>
      <c r="AT61" s="22">
        <v>1780.5</v>
      </c>
      <c r="AU61" s="22">
        <v>1778</v>
      </c>
      <c r="AV61" s="22">
        <v>1786</v>
      </c>
      <c r="AW61" s="22">
        <v>1741.5</v>
      </c>
      <c r="AX61" s="22">
        <v>1735.5</v>
      </c>
      <c r="AY61" s="22">
        <v>1729</v>
      </c>
      <c r="AZ61" s="22">
        <v>1730</v>
      </c>
      <c r="BA61" s="22">
        <v>1721</v>
      </c>
      <c r="BB61" s="22">
        <v>1701</v>
      </c>
      <c r="BC61" s="22">
        <v>1681.5</v>
      </c>
      <c r="BD61" s="22">
        <v>1716</v>
      </c>
      <c r="BE61" s="22">
        <v>1710</v>
      </c>
      <c r="BF61" s="22">
        <v>1724</v>
      </c>
      <c r="BG61" s="22">
        <v>1683.5</v>
      </c>
      <c r="BH61" s="22">
        <v>1634.5</v>
      </c>
      <c r="BI61" s="22">
        <v>1701.5</v>
      </c>
      <c r="BJ61" s="22">
        <v>1753.5</v>
      </c>
      <c r="BK61" s="22">
        <v>1732.5</v>
      </c>
      <c r="BL61" s="22">
        <v>1720</v>
      </c>
    </row>
    <row r="62" spans="1:64" ht="15.95" customHeight="1">
      <c r="A62" s="68" t="s">
        <v>319</v>
      </c>
      <c r="B62" s="44" t="s">
        <v>138</v>
      </c>
      <c r="C62" s="48">
        <f>_xll.RssMarket("5857","安値")</f>
        <v>3190</v>
      </c>
      <c r="D62" s="16">
        <f t="shared" si="0"/>
        <v>0</v>
      </c>
      <c r="E62" s="22">
        <v>3190</v>
      </c>
      <c r="F62" s="22">
        <v>3155</v>
      </c>
      <c r="G62" s="22">
        <v>3135</v>
      </c>
      <c r="H62" s="22">
        <v>2947</v>
      </c>
      <c r="I62" s="22">
        <v>2865</v>
      </c>
      <c r="J62" s="22">
        <v>2982</v>
      </c>
      <c r="K62" s="22">
        <v>3010</v>
      </c>
      <c r="L62" s="22">
        <v>3150</v>
      </c>
      <c r="M62" s="22">
        <v>3130</v>
      </c>
      <c r="N62" s="22">
        <v>3230</v>
      </c>
      <c r="O62" s="22">
        <v>3085</v>
      </c>
      <c r="P62" s="22">
        <v>3260</v>
      </c>
      <c r="Q62" s="22">
        <v>3185</v>
      </c>
      <c r="R62" s="22">
        <v>3305</v>
      </c>
      <c r="S62" s="22">
        <v>3445</v>
      </c>
      <c r="T62" s="22">
        <v>3430</v>
      </c>
      <c r="U62" s="22">
        <v>3420</v>
      </c>
      <c r="V62" s="22">
        <v>3660</v>
      </c>
      <c r="W62" s="22">
        <v>3695</v>
      </c>
      <c r="X62" s="22">
        <v>3840</v>
      </c>
      <c r="Y62" s="22">
        <v>3860</v>
      </c>
      <c r="Z62" s="22">
        <v>3835</v>
      </c>
      <c r="AA62" s="22">
        <v>3855</v>
      </c>
      <c r="AB62" s="22">
        <v>3845</v>
      </c>
      <c r="AC62" s="22">
        <v>3880</v>
      </c>
      <c r="AD62" s="22">
        <v>3690</v>
      </c>
      <c r="AE62" s="22">
        <v>3485</v>
      </c>
      <c r="AF62" s="22">
        <v>3470</v>
      </c>
      <c r="AG62" s="22">
        <v>3610</v>
      </c>
      <c r="AH62" s="22">
        <v>3555</v>
      </c>
      <c r="AI62" s="22">
        <v>3625</v>
      </c>
      <c r="AJ62" s="22">
        <v>3640</v>
      </c>
      <c r="AK62" s="22">
        <v>3755</v>
      </c>
      <c r="AL62" s="22">
        <v>3925</v>
      </c>
      <c r="AM62" s="22">
        <v>3720</v>
      </c>
      <c r="AN62" s="22">
        <v>3775</v>
      </c>
      <c r="AO62" s="22">
        <v>3735</v>
      </c>
      <c r="AP62" s="22">
        <v>3730</v>
      </c>
      <c r="AQ62" s="22">
        <v>3710</v>
      </c>
      <c r="AR62" s="22">
        <v>3650</v>
      </c>
      <c r="AS62" s="22">
        <v>3670</v>
      </c>
      <c r="AT62" s="22">
        <v>3690</v>
      </c>
      <c r="AU62" s="22">
        <v>3715</v>
      </c>
      <c r="AV62" s="22">
        <v>3550</v>
      </c>
      <c r="AW62" s="22">
        <v>3540</v>
      </c>
      <c r="AX62" s="22">
        <v>3535</v>
      </c>
      <c r="AY62" s="22">
        <v>3455</v>
      </c>
      <c r="AZ62" s="22">
        <v>3440</v>
      </c>
      <c r="BA62" s="22">
        <v>3315</v>
      </c>
      <c r="BB62" s="22">
        <v>3315</v>
      </c>
      <c r="BC62" s="22">
        <v>3465</v>
      </c>
      <c r="BD62" s="22">
        <v>3470</v>
      </c>
      <c r="BE62" s="22">
        <v>3545</v>
      </c>
      <c r="BF62" s="22">
        <v>3355</v>
      </c>
      <c r="BG62" s="22">
        <v>3265</v>
      </c>
      <c r="BH62" s="22">
        <v>3600</v>
      </c>
      <c r="BI62" s="22">
        <v>3790</v>
      </c>
      <c r="BJ62" s="22">
        <v>3665</v>
      </c>
      <c r="BK62" s="22">
        <v>3605</v>
      </c>
      <c r="BL62" s="22">
        <v>3770</v>
      </c>
    </row>
    <row r="63" spans="1:64" ht="15.95" customHeight="1">
      <c r="A63" s="68" t="s">
        <v>320</v>
      </c>
      <c r="B63" s="44" t="s">
        <v>139</v>
      </c>
      <c r="C63" s="48">
        <f>_xll.RssMarket("8281","安値")</f>
        <v>1050</v>
      </c>
      <c r="D63" s="16">
        <f t="shared" si="0"/>
        <v>0</v>
      </c>
      <c r="E63" s="22">
        <v>1050</v>
      </c>
      <c r="F63" s="22">
        <v>1044</v>
      </c>
      <c r="G63" s="22">
        <v>1061</v>
      </c>
      <c r="H63" s="22">
        <v>1052</v>
      </c>
      <c r="I63" s="22">
        <v>1048</v>
      </c>
      <c r="J63" s="22">
        <v>1036</v>
      </c>
      <c r="K63" s="22">
        <v>1020</v>
      </c>
      <c r="L63" s="22">
        <v>1018</v>
      </c>
      <c r="M63" s="22">
        <v>999</v>
      </c>
      <c r="N63" s="22">
        <v>1006</v>
      </c>
      <c r="O63" s="22">
        <v>1013</v>
      </c>
      <c r="P63" s="22">
        <v>1058</v>
      </c>
      <c r="Q63" s="22">
        <v>1040</v>
      </c>
      <c r="R63" s="22">
        <v>1029</v>
      </c>
      <c r="S63" s="22">
        <v>1041</v>
      </c>
      <c r="T63" s="22">
        <v>1044</v>
      </c>
      <c r="U63" s="22">
        <v>1035</v>
      </c>
      <c r="V63" s="22">
        <v>1021</v>
      </c>
      <c r="W63" s="22">
        <v>990</v>
      </c>
      <c r="X63" s="22">
        <v>960</v>
      </c>
      <c r="Y63" s="22">
        <v>954</v>
      </c>
      <c r="Z63" s="22">
        <v>957</v>
      </c>
      <c r="AA63" s="22">
        <v>954</v>
      </c>
      <c r="AB63" s="22">
        <v>959</v>
      </c>
      <c r="AC63" s="22">
        <v>962</v>
      </c>
      <c r="AD63" s="22">
        <v>951</v>
      </c>
      <c r="AE63" s="22">
        <v>984</v>
      </c>
      <c r="AF63" s="22">
        <v>986</v>
      </c>
      <c r="AG63" s="22">
        <v>990</v>
      </c>
      <c r="AH63" s="22">
        <v>987</v>
      </c>
      <c r="AI63" s="22">
        <v>991</v>
      </c>
      <c r="AJ63" s="22">
        <v>997</v>
      </c>
      <c r="AK63" s="22">
        <v>1006</v>
      </c>
      <c r="AL63" s="22">
        <v>1020</v>
      </c>
      <c r="AM63" s="22">
        <v>1020</v>
      </c>
      <c r="AN63" s="22">
        <v>1015</v>
      </c>
      <c r="AO63" s="22">
        <v>1015</v>
      </c>
      <c r="AP63" s="22">
        <v>1013</v>
      </c>
      <c r="AQ63" s="22">
        <v>1004</v>
      </c>
      <c r="AR63" s="22">
        <v>1001</v>
      </c>
      <c r="AS63" s="22">
        <v>1008</v>
      </c>
      <c r="AT63" s="22">
        <v>1024</v>
      </c>
      <c r="AU63" s="22">
        <v>1033</v>
      </c>
      <c r="AV63" s="22">
        <v>1023</v>
      </c>
      <c r="AW63" s="22">
        <v>1013</v>
      </c>
      <c r="AX63" s="22">
        <v>1015</v>
      </c>
      <c r="AY63" s="22">
        <v>1003</v>
      </c>
      <c r="AZ63" s="22">
        <v>999</v>
      </c>
      <c r="BA63" s="22">
        <v>984</v>
      </c>
      <c r="BB63" s="22">
        <v>974</v>
      </c>
      <c r="BC63" s="22">
        <v>1010</v>
      </c>
      <c r="BD63" s="22">
        <v>1003</v>
      </c>
      <c r="BE63" s="22">
        <v>1009</v>
      </c>
      <c r="BF63" s="22">
        <v>997</v>
      </c>
      <c r="BG63" s="22">
        <v>987</v>
      </c>
      <c r="BH63" s="22">
        <v>1015</v>
      </c>
      <c r="BI63" s="22">
        <v>1044</v>
      </c>
      <c r="BJ63" s="22">
        <v>1040</v>
      </c>
      <c r="BK63" s="22">
        <v>1031</v>
      </c>
      <c r="BL63" s="22">
        <v>1031</v>
      </c>
    </row>
    <row r="64" spans="1:64" ht="15.95" customHeight="1">
      <c r="A64" s="68" t="s">
        <v>321</v>
      </c>
      <c r="B64" s="44" t="s">
        <v>140</v>
      </c>
      <c r="C64" s="48">
        <f>_xll.RssMarket("4540","安値")</f>
        <v>3703</v>
      </c>
      <c r="D64" s="16">
        <f t="shared" si="0"/>
        <v>0</v>
      </c>
      <c r="E64" s="22">
        <v>3703</v>
      </c>
      <c r="F64" s="22">
        <v>3687</v>
      </c>
      <c r="G64" s="22">
        <v>3716</v>
      </c>
      <c r="H64" s="22">
        <v>3715</v>
      </c>
      <c r="I64" s="22">
        <v>3727</v>
      </c>
      <c r="J64" s="22">
        <v>3700</v>
      </c>
      <c r="K64" s="22">
        <v>3661</v>
      </c>
      <c r="L64" s="22">
        <v>3670</v>
      </c>
      <c r="M64" s="22">
        <v>3705</v>
      </c>
      <c r="N64" s="22">
        <v>3672</v>
      </c>
      <c r="O64" s="22">
        <v>3677</v>
      </c>
      <c r="P64" s="22">
        <v>3784</v>
      </c>
      <c r="Q64" s="22">
        <v>3736</v>
      </c>
      <c r="R64" s="22">
        <v>3723</v>
      </c>
      <c r="S64" s="22">
        <v>3720</v>
      </c>
      <c r="T64" s="22">
        <v>3796</v>
      </c>
      <c r="U64" s="22">
        <v>3895</v>
      </c>
      <c r="V64" s="22">
        <v>3898</v>
      </c>
      <c r="W64" s="22">
        <v>3821</v>
      </c>
      <c r="X64" s="22">
        <v>3780</v>
      </c>
      <c r="Y64" s="22">
        <v>3750</v>
      </c>
      <c r="Z64" s="22">
        <v>3668</v>
      </c>
      <c r="AA64" s="22">
        <v>3536</v>
      </c>
      <c r="AB64" s="22">
        <v>3513</v>
      </c>
      <c r="AC64" s="22">
        <v>3557</v>
      </c>
      <c r="AD64" s="22">
        <v>3569</v>
      </c>
      <c r="AE64" s="22">
        <v>3591</v>
      </c>
      <c r="AF64" s="22">
        <v>3615</v>
      </c>
      <c r="AG64" s="22">
        <v>3628</v>
      </c>
      <c r="AH64" s="22">
        <v>3630</v>
      </c>
      <c r="AI64" s="22">
        <v>3679</v>
      </c>
      <c r="AJ64" s="22">
        <v>3659</v>
      </c>
      <c r="AK64" s="22">
        <v>3667</v>
      </c>
      <c r="AL64" s="22">
        <v>3664</v>
      </c>
      <c r="AM64" s="22">
        <v>3715</v>
      </c>
      <c r="AN64" s="22">
        <v>3742</v>
      </c>
      <c r="AO64" s="22">
        <v>3748</v>
      </c>
      <c r="AP64" s="22">
        <v>3753</v>
      </c>
      <c r="AQ64" s="22">
        <v>3750</v>
      </c>
      <c r="AR64" s="22">
        <v>3735</v>
      </c>
      <c r="AS64" s="22">
        <v>3752</v>
      </c>
      <c r="AT64" s="22">
        <v>3778</v>
      </c>
      <c r="AU64" s="22">
        <v>3814</v>
      </c>
      <c r="AV64" s="22">
        <v>3829</v>
      </c>
      <c r="AW64" s="22">
        <v>3800</v>
      </c>
      <c r="AX64" s="22">
        <v>3831</v>
      </c>
      <c r="AY64" s="22">
        <v>3834</v>
      </c>
      <c r="AZ64" s="22">
        <v>3808</v>
      </c>
      <c r="BA64" s="22">
        <v>3794</v>
      </c>
      <c r="BB64" s="22">
        <v>3714</v>
      </c>
      <c r="BC64" s="22">
        <v>3674</v>
      </c>
      <c r="BD64" s="22">
        <v>3842</v>
      </c>
      <c r="BE64" s="22">
        <v>3808</v>
      </c>
      <c r="BF64" s="22">
        <v>3806</v>
      </c>
      <c r="BG64" s="22">
        <v>3760</v>
      </c>
      <c r="BH64" s="22">
        <v>3712</v>
      </c>
      <c r="BI64" s="22">
        <v>3763</v>
      </c>
      <c r="BJ64" s="22">
        <v>3819</v>
      </c>
      <c r="BK64" s="22">
        <v>3813</v>
      </c>
      <c r="BL64" s="22">
        <v>3818</v>
      </c>
    </row>
    <row r="65" spans="1:64" ht="15.95" customHeight="1">
      <c r="A65" s="68" t="s">
        <v>322</v>
      </c>
      <c r="B65" s="44" t="s">
        <v>141</v>
      </c>
      <c r="C65" s="48">
        <f>_xll.RssMarket("9984","安値")</f>
        <v>6730</v>
      </c>
      <c r="D65" s="16">
        <f t="shared" si="0"/>
        <v>0</v>
      </c>
      <c r="E65" s="22">
        <v>6730</v>
      </c>
      <c r="F65" s="22">
        <v>6854</v>
      </c>
      <c r="G65" s="22">
        <v>7010</v>
      </c>
      <c r="H65" s="22">
        <v>6373</v>
      </c>
      <c r="I65" s="22">
        <v>5977</v>
      </c>
      <c r="J65" s="22">
        <v>6315</v>
      </c>
      <c r="K65" s="22">
        <v>6641</v>
      </c>
      <c r="L65" s="22">
        <v>7105</v>
      </c>
      <c r="M65" s="22">
        <v>7363</v>
      </c>
      <c r="N65" s="22">
        <v>8180</v>
      </c>
      <c r="O65" s="22">
        <v>8261</v>
      </c>
      <c r="P65" s="22">
        <v>7321</v>
      </c>
      <c r="Q65" s="22">
        <v>6861</v>
      </c>
      <c r="R65" s="22">
        <v>7262</v>
      </c>
      <c r="S65" s="22">
        <v>6642</v>
      </c>
      <c r="T65" s="22">
        <v>6614</v>
      </c>
      <c r="U65" s="22">
        <v>5700</v>
      </c>
      <c r="V65" s="22">
        <v>4880</v>
      </c>
      <c r="W65" s="22">
        <v>5278</v>
      </c>
      <c r="X65" s="22">
        <v>5430</v>
      </c>
      <c r="Y65" s="22">
        <v>5686</v>
      </c>
      <c r="Z65" s="22">
        <v>5714</v>
      </c>
      <c r="AA65" s="22">
        <v>5781</v>
      </c>
      <c r="AB65" s="22">
        <v>5812</v>
      </c>
      <c r="AC65" s="22">
        <v>5700</v>
      </c>
      <c r="AD65" s="22">
        <v>6008</v>
      </c>
      <c r="AE65" s="22">
        <v>5887</v>
      </c>
      <c r="AF65" s="22">
        <v>5249</v>
      </c>
      <c r="AG65" s="22">
        <v>4956</v>
      </c>
      <c r="AH65" s="22">
        <v>5227</v>
      </c>
      <c r="AI65" s="22">
        <v>5800</v>
      </c>
      <c r="AJ65" s="22">
        <v>5743</v>
      </c>
      <c r="AK65" s="22">
        <v>5664</v>
      </c>
      <c r="AL65" s="22">
        <v>5114</v>
      </c>
      <c r="AM65" s="22">
        <v>4892</v>
      </c>
      <c r="AN65" s="22">
        <v>4556</v>
      </c>
      <c r="AO65" s="22">
        <v>4493</v>
      </c>
      <c r="AP65" s="22">
        <v>4437</v>
      </c>
      <c r="AQ65" s="22">
        <v>4346</v>
      </c>
      <c r="AR65" s="22">
        <v>3903</v>
      </c>
      <c r="AS65" s="22">
        <v>3648</v>
      </c>
      <c r="AT65" s="22">
        <v>3711</v>
      </c>
      <c r="AU65" s="22">
        <v>3640</v>
      </c>
      <c r="AV65" s="22">
        <v>3721</v>
      </c>
      <c r="AW65" s="22">
        <v>3540</v>
      </c>
      <c r="AX65" s="22">
        <v>3615</v>
      </c>
      <c r="AY65" s="22">
        <v>3555</v>
      </c>
      <c r="AZ65" s="22">
        <v>3575</v>
      </c>
      <c r="BA65" s="22">
        <v>3705</v>
      </c>
      <c r="BB65" s="22">
        <v>3482</v>
      </c>
      <c r="BC65" s="22">
        <v>3562</v>
      </c>
      <c r="BD65" s="22">
        <v>3768</v>
      </c>
      <c r="BE65" s="22">
        <v>3781</v>
      </c>
      <c r="BF65" s="22">
        <v>3635</v>
      </c>
      <c r="BG65" s="22">
        <v>3447</v>
      </c>
      <c r="BH65" s="22">
        <v>3365</v>
      </c>
      <c r="BI65" s="22">
        <v>3539</v>
      </c>
      <c r="BJ65" s="22">
        <v>3657</v>
      </c>
      <c r="BK65" s="22">
        <v>3538</v>
      </c>
      <c r="BL65" s="22">
        <v>3544</v>
      </c>
    </row>
    <row r="66" spans="1:64" ht="15.95" customHeight="1">
      <c r="A66" s="68" t="s">
        <v>323</v>
      </c>
      <c r="B66" s="44" t="s">
        <v>51</v>
      </c>
      <c r="C66" s="47">
        <f>_xll.RssMarket("4063","安値")</f>
        <v>7372</v>
      </c>
      <c r="D66" s="16">
        <f t="shared" si="0"/>
        <v>0</v>
      </c>
      <c r="E66" s="22">
        <v>7372</v>
      </c>
      <c r="F66" s="22">
        <v>7435</v>
      </c>
      <c r="G66" s="22">
        <v>7393</v>
      </c>
      <c r="H66" s="22">
        <v>7025</v>
      </c>
      <c r="I66" s="22">
        <v>6473</v>
      </c>
      <c r="J66" s="22">
        <v>6570</v>
      </c>
      <c r="K66" s="22">
        <v>6783</v>
      </c>
      <c r="L66" s="22">
        <v>7233</v>
      </c>
      <c r="M66" s="22">
        <v>7492</v>
      </c>
      <c r="N66" s="22">
        <v>7526</v>
      </c>
      <c r="O66" s="22">
        <v>7194</v>
      </c>
      <c r="P66" s="22">
        <v>7451</v>
      </c>
      <c r="Q66" s="22">
        <v>7233</v>
      </c>
      <c r="R66" s="22">
        <v>7219</v>
      </c>
      <c r="S66" s="22">
        <v>6996</v>
      </c>
      <c r="T66" s="22">
        <v>6834</v>
      </c>
      <c r="U66" s="22">
        <v>6857</v>
      </c>
      <c r="V66" s="22">
        <v>6766</v>
      </c>
      <c r="W66" s="22">
        <v>6928</v>
      </c>
      <c r="X66" s="22">
        <v>6945</v>
      </c>
      <c r="Y66" s="22">
        <v>7040</v>
      </c>
      <c r="Z66" s="22">
        <v>7363</v>
      </c>
      <c r="AA66" s="22">
        <v>7334</v>
      </c>
      <c r="AB66" s="22">
        <v>7455</v>
      </c>
      <c r="AC66" s="22">
        <v>7509</v>
      </c>
      <c r="AD66" s="22">
        <v>7451</v>
      </c>
      <c r="AE66" s="22">
        <v>7509</v>
      </c>
      <c r="AF66" s="22">
        <v>7054</v>
      </c>
      <c r="AG66" s="22">
        <v>7076</v>
      </c>
      <c r="AH66" s="22">
        <v>6940</v>
      </c>
      <c r="AI66" s="22">
        <v>6780</v>
      </c>
      <c r="AJ66" s="22">
        <v>6722</v>
      </c>
      <c r="AK66" s="22">
        <v>6584</v>
      </c>
      <c r="AL66" s="22">
        <v>6634</v>
      </c>
      <c r="AM66" s="22">
        <v>6733</v>
      </c>
      <c r="AN66" s="22">
        <v>6730</v>
      </c>
      <c r="AO66" s="22">
        <v>6772</v>
      </c>
      <c r="AP66" s="22">
        <v>6654</v>
      </c>
      <c r="AQ66" s="22">
        <v>6725</v>
      </c>
      <c r="AR66" s="22">
        <v>6573</v>
      </c>
      <c r="AS66" s="22">
        <v>6552</v>
      </c>
      <c r="AT66" s="22">
        <v>6490</v>
      </c>
      <c r="AU66" s="22">
        <v>6422</v>
      </c>
      <c r="AV66" s="22">
        <v>6383</v>
      </c>
      <c r="AW66" s="22">
        <v>6551</v>
      </c>
      <c r="AX66" s="22">
        <v>6438</v>
      </c>
      <c r="AY66" s="22">
        <v>6390</v>
      </c>
      <c r="AZ66" s="22">
        <v>6316</v>
      </c>
      <c r="BA66" s="22">
        <v>6313</v>
      </c>
      <c r="BB66" s="22">
        <v>6157</v>
      </c>
      <c r="BC66" s="22">
        <v>5902</v>
      </c>
      <c r="BD66" s="22">
        <v>6125</v>
      </c>
      <c r="BE66" s="22">
        <v>6217</v>
      </c>
      <c r="BF66" s="22">
        <v>6217</v>
      </c>
      <c r="BG66" s="22">
        <v>6015</v>
      </c>
      <c r="BH66" s="22">
        <v>5840</v>
      </c>
      <c r="BI66" s="22">
        <v>6373</v>
      </c>
      <c r="BJ66" s="22">
        <v>6504</v>
      </c>
      <c r="BK66" s="22">
        <v>6426</v>
      </c>
      <c r="BL66" s="22">
        <v>6451</v>
      </c>
    </row>
    <row r="67" spans="1:64" ht="15.95" customHeight="1">
      <c r="A67" s="68" t="s">
        <v>324</v>
      </c>
      <c r="B67" s="44" t="s">
        <v>54</v>
      </c>
      <c r="C67" s="48">
        <f>_xll.RssMarket("4536","安値")</f>
        <v>1863.5</v>
      </c>
      <c r="D67" s="16">
        <f t="shared" si="0"/>
        <v>0</v>
      </c>
      <c r="E67" s="22">
        <v>1863.5</v>
      </c>
      <c r="F67" s="22">
        <v>1883</v>
      </c>
      <c r="G67" s="22">
        <v>1899</v>
      </c>
      <c r="H67" s="22">
        <v>1882.5</v>
      </c>
      <c r="I67" s="22">
        <v>1916.5</v>
      </c>
      <c r="J67" s="22">
        <v>1942</v>
      </c>
      <c r="K67" s="22">
        <v>1936</v>
      </c>
      <c r="L67" s="22">
        <v>1903</v>
      </c>
      <c r="M67" s="22">
        <v>1856</v>
      </c>
      <c r="N67" s="22">
        <v>1829</v>
      </c>
      <c r="O67" s="22">
        <v>1841</v>
      </c>
      <c r="P67" s="22">
        <v>1887</v>
      </c>
      <c r="Q67" s="22">
        <v>1879</v>
      </c>
      <c r="R67" s="22">
        <v>1882</v>
      </c>
      <c r="S67" s="22">
        <v>1919.5</v>
      </c>
      <c r="T67" s="22">
        <v>1875</v>
      </c>
      <c r="U67" s="22">
        <v>1872</v>
      </c>
      <c r="V67" s="22">
        <v>1890.5</v>
      </c>
      <c r="W67" s="22">
        <v>1799</v>
      </c>
      <c r="X67" s="22">
        <v>1820</v>
      </c>
      <c r="Y67" s="22">
        <v>1829</v>
      </c>
      <c r="Z67" s="22">
        <v>1791</v>
      </c>
      <c r="AA67" s="22">
        <v>1652.5</v>
      </c>
      <c r="AB67" s="22">
        <v>1561.5</v>
      </c>
      <c r="AC67" s="22">
        <v>1602.5</v>
      </c>
      <c r="AD67" s="22">
        <v>1588</v>
      </c>
      <c r="AE67" s="22">
        <v>1622</v>
      </c>
      <c r="AF67" s="22">
        <v>1611</v>
      </c>
      <c r="AG67" s="22">
        <v>1595.5</v>
      </c>
      <c r="AH67" s="22">
        <v>1631</v>
      </c>
      <c r="AI67" s="22">
        <v>1643</v>
      </c>
      <c r="AJ67" s="22">
        <v>1664.5</v>
      </c>
      <c r="AK67" s="22">
        <v>1649</v>
      </c>
      <c r="AL67" s="22">
        <v>1679.5</v>
      </c>
      <c r="AM67" s="22">
        <v>1712.5</v>
      </c>
      <c r="AN67" s="22">
        <v>1747</v>
      </c>
      <c r="AO67" s="22">
        <v>1772</v>
      </c>
      <c r="AP67" s="22">
        <v>1772.5</v>
      </c>
      <c r="AQ67" s="22">
        <v>1790.5</v>
      </c>
      <c r="AR67" s="22">
        <v>1789</v>
      </c>
      <c r="AS67" s="22">
        <v>1803</v>
      </c>
      <c r="AT67" s="22">
        <v>1826.5</v>
      </c>
      <c r="AU67" s="22">
        <v>1892</v>
      </c>
      <c r="AV67" s="22">
        <v>1905</v>
      </c>
      <c r="AW67" s="22">
        <v>1869.5</v>
      </c>
      <c r="AX67" s="22">
        <v>1831.5</v>
      </c>
      <c r="AY67" s="22">
        <v>1795</v>
      </c>
      <c r="AZ67" s="22">
        <v>1817.5</v>
      </c>
      <c r="BA67" s="22">
        <v>1788</v>
      </c>
      <c r="BB67" s="22">
        <v>1753</v>
      </c>
      <c r="BC67" s="22">
        <v>1713.5</v>
      </c>
      <c r="BD67" s="22">
        <v>1756</v>
      </c>
      <c r="BE67" s="22">
        <v>1734</v>
      </c>
      <c r="BF67" s="22">
        <v>1730.5</v>
      </c>
      <c r="BG67" s="22">
        <v>1672.5</v>
      </c>
      <c r="BH67" s="22">
        <v>1642.5</v>
      </c>
      <c r="BI67" s="22">
        <v>1679</v>
      </c>
      <c r="BJ67" s="22">
        <v>1665.5</v>
      </c>
      <c r="BK67" s="22">
        <v>1663.5</v>
      </c>
      <c r="BL67" s="22">
        <v>1632</v>
      </c>
    </row>
    <row r="68" spans="1:64" ht="15.95" customHeight="1">
      <c r="A68" s="68" t="s">
        <v>325</v>
      </c>
      <c r="B68" s="44" t="s">
        <v>52</v>
      </c>
      <c r="C68" s="48">
        <f>_xll.RssMarket("6503","安値")</f>
        <v>5790</v>
      </c>
      <c r="D68" s="16">
        <f t="shared" si="0"/>
        <v>0</v>
      </c>
      <c r="E68" s="22">
        <v>5790</v>
      </c>
      <c r="F68" s="22">
        <v>5820</v>
      </c>
      <c r="G68" s="22">
        <v>5676</v>
      </c>
      <c r="H68" s="22">
        <v>5455</v>
      </c>
      <c r="I68" s="22">
        <v>5225</v>
      </c>
      <c r="J68" s="22">
        <v>5471</v>
      </c>
      <c r="K68" s="22">
        <v>5490</v>
      </c>
      <c r="L68" s="22">
        <v>5797</v>
      </c>
      <c r="M68" s="22">
        <v>5908</v>
      </c>
      <c r="N68" s="22">
        <v>6030</v>
      </c>
      <c r="O68" s="22">
        <v>5867</v>
      </c>
      <c r="P68" s="22">
        <v>6290</v>
      </c>
      <c r="Q68" s="22">
        <v>6320</v>
      </c>
      <c r="R68" s="22">
        <v>6488</v>
      </c>
      <c r="S68" s="22">
        <v>6392</v>
      </c>
      <c r="T68" s="22">
        <v>6080</v>
      </c>
      <c r="U68" s="22">
        <v>5957</v>
      </c>
      <c r="V68" s="22">
        <v>5623</v>
      </c>
      <c r="W68" s="22">
        <v>6018</v>
      </c>
      <c r="X68" s="22">
        <v>6200</v>
      </c>
      <c r="Y68" s="22">
        <v>6296</v>
      </c>
      <c r="Z68" s="22">
        <v>6382</v>
      </c>
      <c r="AA68" s="22">
        <v>6296</v>
      </c>
      <c r="AB68" s="22">
        <v>6373</v>
      </c>
      <c r="AC68" s="22">
        <v>6382</v>
      </c>
      <c r="AD68" s="22">
        <v>6401</v>
      </c>
      <c r="AE68" s="22">
        <v>6349</v>
      </c>
      <c r="AF68" s="22">
        <v>6061</v>
      </c>
      <c r="AG68" s="22">
        <v>6115</v>
      </c>
      <c r="AH68" s="22">
        <v>5955</v>
      </c>
      <c r="AI68" s="22">
        <v>5943</v>
      </c>
      <c r="AJ68" s="22">
        <v>5814</v>
      </c>
      <c r="AK68" s="22">
        <v>5739</v>
      </c>
      <c r="AL68" s="22">
        <v>5845</v>
      </c>
      <c r="AM68" s="22">
        <v>6028</v>
      </c>
      <c r="AN68" s="22">
        <v>5866</v>
      </c>
      <c r="AO68" s="22">
        <v>5799</v>
      </c>
      <c r="AP68" s="22">
        <v>5878</v>
      </c>
      <c r="AQ68" s="22">
        <v>5777</v>
      </c>
      <c r="AR68" s="22">
        <v>5835</v>
      </c>
      <c r="AS68" s="22">
        <v>5704</v>
      </c>
      <c r="AT68" s="22">
        <v>5664</v>
      </c>
      <c r="AU68" s="22">
        <v>5590</v>
      </c>
      <c r="AV68" s="22">
        <v>5546</v>
      </c>
      <c r="AW68" s="22">
        <v>5310</v>
      </c>
      <c r="AX68" s="22">
        <v>5299</v>
      </c>
      <c r="AY68" s="22">
        <v>5289</v>
      </c>
      <c r="AZ68" s="22">
        <v>5156</v>
      </c>
      <c r="BA68" s="22">
        <v>5183</v>
      </c>
      <c r="BB68" s="22">
        <v>4931</v>
      </c>
      <c r="BC68" s="22">
        <v>4957</v>
      </c>
      <c r="BD68" s="22">
        <v>5234</v>
      </c>
      <c r="BE68" s="22">
        <v>5383</v>
      </c>
      <c r="BF68" s="22">
        <v>5405</v>
      </c>
      <c r="BG68" s="22">
        <v>5178</v>
      </c>
      <c r="BH68" s="22">
        <v>5069</v>
      </c>
      <c r="BI68" s="22">
        <v>5478</v>
      </c>
      <c r="BJ68" s="22">
        <v>5502</v>
      </c>
      <c r="BK68" s="22">
        <v>5412</v>
      </c>
      <c r="BL68" s="22">
        <v>5290</v>
      </c>
    </row>
    <row r="69" spans="1:64" ht="15.95" customHeight="1">
      <c r="A69" s="68" t="s">
        <v>326</v>
      </c>
      <c r="B69" s="44" t="s">
        <v>55</v>
      </c>
      <c r="C69" s="48">
        <f>_xll.RssMarket("4980","安値")</f>
        <v>4361</v>
      </c>
      <c r="D69" s="16">
        <f t="shared" si="0"/>
        <v>0</v>
      </c>
      <c r="E69" s="22">
        <v>4361</v>
      </c>
      <c r="F69" s="22">
        <v>4280</v>
      </c>
      <c r="G69" s="22">
        <v>4122</v>
      </c>
      <c r="H69" s="22">
        <v>3950</v>
      </c>
      <c r="I69" s="22">
        <v>3567</v>
      </c>
      <c r="J69" s="22">
        <v>3653</v>
      </c>
      <c r="K69" s="22">
        <v>3886</v>
      </c>
      <c r="L69" s="22">
        <v>4217</v>
      </c>
      <c r="M69" s="22">
        <v>4232</v>
      </c>
      <c r="N69" s="22">
        <v>4448</v>
      </c>
      <c r="O69" s="22">
        <v>4300</v>
      </c>
      <c r="P69" s="22">
        <v>3965</v>
      </c>
      <c r="Q69" s="22">
        <v>3913</v>
      </c>
      <c r="R69" s="22">
        <v>3965</v>
      </c>
      <c r="S69" s="22">
        <v>4126</v>
      </c>
      <c r="T69" s="22">
        <v>4081</v>
      </c>
      <c r="U69" s="22">
        <v>3795</v>
      </c>
      <c r="V69" s="22">
        <v>3512</v>
      </c>
      <c r="W69" s="22">
        <v>3750</v>
      </c>
      <c r="X69" s="22">
        <v>4056</v>
      </c>
      <c r="Y69" s="22">
        <v>3849</v>
      </c>
      <c r="Z69" s="22">
        <v>3149</v>
      </c>
      <c r="AA69" s="22">
        <v>2573.5</v>
      </c>
      <c r="AB69" s="22">
        <v>2656</v>
      </c>
      <c r="AC69" s="22">
        <v>2697</v>
      </c>
      <c r="AD69" s="22">
        <v>2601</v>
      </c>
      <c r="AE69" s="22">
        <v>2555</v>
      </c>
      <c r="AF69" s="22">
        <v>2435</v>
      </c>
      <c r="AG69" s="22">
        <v>2436.5</v>
      </c>
      <c r="AH69" s="22">
        <v>2452</v>
      </c>
      <c r="AI69" s="22">
        <v>2463</v>
      </c>
      <c r="AJ69" s="22">
        <v>2415.5</v>
      </c>
      <c r="AK69" s="22">
        <v>2359.5</v>
      </c>
      <c r="AL69" s="22">
        <v>2443.5</v>
      </c>
      <c r="AM69" s="22">
        <v>2413</v>
      </c>
      <c r="AN69" s="22">
        <v>2436</v>
      </c>
      <c r="AO69" s="22">
        <v>2392.5</v>
      </c>
      <c r="AP69" s="22">
        <v>2383</v>
      </c>
      <c r="AQ69" s="22">
        <v>2355</v>
      </c>
      <c r="AR69" s="22">
        <v>2352.5</v>
      </c>
      <c r="AS69" s="22">
        <v>2302</v>
      </c>
      <c r="AT69" s="22">
        <v>2348</v>
      </c>
      <c r="AU69" s="22">
        <v>2300</v>
      </c>
      <c r="AV69" s="22">
        <v>2277</v>
      </c>
      <c r="AW69" s="22">
        <v>2191.5</v>
      </c>
      <c r="AX69" s="22">
        <v>2175</v>
      </c>
      <c r="AY69" s="22">
        <v>2159</v>
      </c>
      <c r="AZ69" s="22">
        <v>2136.5</v>
      </c>
      <c r="BA69" s="22">
        <v>2175</v>
      </c>
      <c r="BB69" s="22">
        <v>2083</v>
      </c>
      <c r="BC69" s="22">
        <v>2092</v>
      </c>
      <c r="BD69" s="22">
        <v>2212.5</v>
      </c>
      <c r="BE69" s="22">
        <v>2221.5</v>
      </c>
      <c r="BF69" s="22">
        <v>2220.5</v>
      </c>
      <c r="BG69" s="22">
        <v>2154.5</v>
      </c>
      <c r="BH69" s="22">
        <v>2112</v>
      </c>
      <c r="BI69" s="22">
        <v>2296</v>
      </c>
      <c r="BJ69" s="22">
        <v>2335.5</v>
      </c>
      <c r="BK69" s="22">
        <v>2313.5</v>
      </c>
      <c r="BL69" s="22">
        <v>2297.5</v>
      </c>
    </row>
    <row r="70" spans="1:64" ht="15.95" customHeight="1">
      <c r="A70" s="68" t="s">
        <v>327</v>
      </c>
      <c r="B70" s="44" t="s">
        <v>56</v>
      </c>
      <c r="C70" s="48">
        <f>_xll.RssMarket("9424","安値")</f>
        <v>113</v>
      </c>
      <c r="D70" s="16">
        <f t="shared" ref="D70:D133" si="1">C70-E70</f>
        <v>0</v>
      </c>
      <c r="E70" s="22">
        <v>113</v>
      </c>
      <c r="F70" s="22">
        <v>112</v>
      </c>
      <c r="G70" s="22">
        <v>111</v>
      </c>
      <c r="H70" s="22">
        <v>112</v>
      </c>
      <c r="I70" s="22">
        <v>111</v>
      </c>
      <c r="J70" s="22">
        <v>114</v>
      </c>
      <c r="K70" s="22">
        <v>113</v>
      </c>
      <c r="L70" s="22">
        <v>111</v>
      </c>
      <c r="M70" s="22">
        <v>113</v>
      </c>
      <c r="N70" s="22">
        <v>120</v>
      </c>
      <c r="O70" s="22">
        <v>121</v>
      </c>
      <c r="P70" s="22">
        <v>120</v>
      </c>
      <c r="Q70" s="22">
        <v>121</v>
      </c>
      <c r="R70" s="22">
        <v>122</v>
      </c>
      <c r="S70" s="22">
        <v>121</v>
      </c>
      <c r="T70" s="22">
        <v>124</v>
      </c>
      <c r="U70" s="22">
        <v>125</v>
      </c>
      <c r="V70" s="22">
        <v>126</v>
      </c>
      <c r="W70" s="22">
        <v>123</v>
      </c>
      <c r="X70" s="22">
        <v>124</v>
      </c>
      <c r="Y70" s="22">
        <v>123</v>
      </c>
      <c r="Z70" s="22">
        <v>123</v>
      </c>
      <c r="AA70" s="22">
        <v>124</v>
      </c>
      <c r="AB70" s="22">
        <v>125</v>
      </c>
      <c r="AC70" s="22">
        <v>124</v>
      </c>
      <c r="AD70" s="22">
        <v>128</v>
      </c>
      <c r="AE70" s="22">
        <v>129</v>
      </c>
      <c r="AF70" s="22">
        <v>128</v>
      </c>
      <c r="AG70" s="22">
        <v>130</v>
      </c>
      <c r="AH70" s="22">
        <v>131</v>
      </c>
      <c r="AI70" s="22">
        <v>126</v>
      </c>
      <c r="AJ70" s="22">
        <v>125</v>
      </c>
      <c r="AK70" s="22">
        <v>124</v>
      </c>
      <c r="AL70" s="22">
        <v>126</v>
      </c>
      <c r="AM70" s="22">
        <v>129</v>
      </c>
      <c r="AN70" s="22">
        <v>129</v>
      </c>
      <c r="AO70" s="22">
        <v>127</v>
      </c>
      <c r="AP70" s="22">
        <v>127</v>
      </c>
      <c r="AQ70" s="22">
        <v>128</v>
      </c>
      <c r="AR70" s="22">
        <v>129</v>
      </c>
      <c r="AS70" s="22">
        <v>129</v>
      </c>
      <c r="AT70" s="22">
        <v>128</v>
      </c>
      <c r="AU70" s="22">
        <v>128</v>
      </c>
      <c r="AV70" s="22">
        <v>130</v>
      </c>
      <c r="AW70" s="22">
        <v>129</v>
      </c>
      <c r="AX70" s="22">
        <v>130</v>
      </c>
      <c r="AY70" s="22">
        <v>128</v>
      </c>
      <c r="AZ70" s="22">
        <v>124</v>
      </c>
      <c r="BA70" s="22">
        <v>128</v>
      </c>
      <c r="BB70" s="22">
        <v>131</v>
      </c>
      <c r="BC70" s="22">
        <v>130</v>
      </c>
      <c r="BD70" s="22">
        <v>128</v>
      </c>
      <c r="BE70" s="22">
        <v>127</v>
      </c>
      <c r="BF70" s="22">
        <v>130</v>
      </c>
      <c r="BG70" s="22">
        <v>135</v>
      </c>
      <c r="BH70" s="22">
        <v>133</v>
      </c>
      <c r="BI70" s="22">
        <v>129</v>
      </c>
      <c r="BJ70" s="22">
        <v>133</v>
      </c>
      <c r="BK70" s="22">
        <v>132</v>
      </c>
      <c r="BL70" s="22">
        <v>126</v>
      </c>
    </row>
    <row r="71" spans="1:64" ht="15.95" customHeight="1">
      <c r="A71" s="68" t="s">
        <v>328</v>
      </c>
      <c r="B71" s="44" t="s">
        <v>57</v>
      </c>
      <c r="C71" s="48">
        <f>_xll.RssMarket("3854","安値")</f>
        <v>2159</v>
      </c>
      <c r="D71" s="16">
        <f t="shared" si="1"/>
        <v>0</v>
      </c>
      <c r="E71" s="22">
        <v>2159</v>
      </c>
      <c r="F71" s="22">
        <v>2160</v>
      </c>
      <c r="G71" s="22">
        <v>2198</v>
      </c>
      <c r="H71" s="22">
        <v>2210</v>
      </c>
      <c r="I71" s="22">
        <v>2250</v>
      </c>
      <c r="J71" s="22">
        <v>2390</v>
      </c>
      <c r="K71" s="22">
        <v>2414</v>
      </c>
      <c r="L71" s="22">
        <v>2490</v>
      </c>
      <c r="M71" s="22">
        <v>2460</v>
      </c>
      <c r="N71" s="22">
        <v>2600</v>
      </c>
      <c r="O71" s="22">
        <v>2551</v>
      </c>
      <c r="P71" s="22">
        <v>2516</v>
      </c>
      <c r="Q71" s="22">
        <v>2471</v>
      </c>
      <c r="R71" s="22">
        <v>2496</v>
      </c>
      <c r="S71" s="22">
        <v>2476</v>
      </c>
      <c r="T71" s="22">
        <v>2446</v>
      </c>
      <c r="U71" s="22">
        <v>2425</v>
      </c>
      <c r="V71" s="22">
        <v>2405</v>
      </c>
      <c r="W71" s="22">
        <v>2384</v>
      </c>
      <c r="X71" s="22">
        <v>2325</v>
      </c>
      <c r="Y71" s="22">
        <v>2307</v>
      </c>
      <c r="Z71" s="22">
        <v>2363</v>
      </c>
      <c r="AA71" s="22">
        <v>2368</v>
      </c>
      <c r="AB71" s="22">
        <v>2391</v>
      </c>
      <c r="AC71" s="22">
        <v>2371</v>
      </c>
      <c r="AD71" s="22">
        <v>2360</v>
      </c>
      <c r="AE71" s="22">
        <v>2334</v>
      </c>
      <c r="AF71" s="22">
        <v>2370</v>
      </c>
      <c r="AG71" s="22">
        <v>2384</v>
      </c>
      <c r="AH71" s="22">
        <v>2382</v>
      </c>
      <c r="AI71" s="22">
        <v>2395</v>
      </c>
      <c r="AJ71" s="22">
        <v>2412</v>
      </c>
      <c r="AK71" s="22">
        <v>2427</v>
      </c>
      <c r="AL71" s="22">
        <v>2436</v>
      </c>
      <c r="AM71" s="22">
        <v>2420</v>
      </c>
      <c r="AN71" s="22">
        <v>2395</v>
      </c>
      <c r="AO71" s="22">
        <v>2381</v>
      </c>
      <c r="AP71" s="22">
        <v>2398</v>
      </c>
      <c r="AQ71" s="22">
        <v>2371</v>
      </c>
      <c r="AR71" s="22">
        <v>2320</v>
      </c>
      <c r="AS71" s="22">
        <v>2341</v>
      </c>
      <c r="AT71" s="22">
        <v>2398</v>
      </c>
      <c r="AU71" s="22">
        <v>2420</v>
      </c>
      <c r="AV71" s="22">
        <v>2389</v>
      </c>
      <c r="AW71" s="22">
        <v>2408</v>
      </c>
      <c r="AX71" s="22">
        <v>2380</v>
      </c>
      <c r="AY71" s="22">
        <v>2372</v>
      </c>
      <c r="AZ71" s="22">
        <v>2396</v>
      </c>
      <c r="BA71" s="22">
        <v>2370</v>
      </c>
      <c r="BB71" s="22">
        <v>2335</v>
      </c>
      <c r="BC71" s="22">
        <v>2378</v>
      </c>
      <c r="BD71" s="22">
        <v>2353</v>
      </c>
      <c r="BE71" s="22">
        <v>2373</v>
      </c>
      <c r="BF71" s="22">
        <v>2357</v>
      </c>
      <c r="BG71" s="22">
        <v>2301</v>
      </c>
      <c r="BH71" s="22">
        <v>2357</v>
      </c>
      <c r="BI71" s="22">
        <v>2372</v>
      </c>
      <c r="BJ71" s="22">
        <v>2378</v>
      </c>
      <c r="BK71" s="22">
        <v>2367</v>
      </c>
      <c r="BL71" s="22">
        <v>2354</v>
      </c>
    </row>
    <row r="72" spans="1:64" ht="15.95" customHeight="1">
      <c r="A72" s="68" t="s">
        <v>329</v>
      </c>
      <c r="B72" s="44" t="s">
        <v>58</v>
      </c>
      <c r="C72" s="48">
        <f>_xll.RssMarket("6027","安値")</f>
        <v>2097</v>
      </c>
      <c r="D72" s="16">
        <f t="shared" si="1"/>
        <v>0</v>
      </c>
      <c r="E72" s="22">
        <v>2097</v>
      </c>
      <c r="F72" s="22">
        <v>2083</v>
      </c>
      <c r="G72" s="22">
        <v>2080</v>
      </c>
      <c r="H72" s="22">
        <v>2105</v>
      </c>
      <c r="I72" s="22">
        <v>2104</v>
      </c>
      <c r="J72" s="22">
        <v>2143</v>
      </c>
      <c r="K72" s="22">
        <v>2200</v>
      </c>
      <c r="L72" s="22">
        <v>2249</v>
      </c>
      <c r="M72" s="22">
        <v>2212</v>
      </c>
      <c r="N72" s="22">
        <v>2235</v>
      </c>
      <c r="O72" s="22">
        <v>2305</v>
      </c>
      <c r="P72" s="22">
        <v>2406</v>
      </c>
      <c r="Q72" s="22">
        <v>2394</v>
      </c>
      <c r="R72" s="22">
        <v>2430</v>
      </c>
      <c r="S72" s="22">
        <v>2486</v>
      </c>
      <c r="T72" s="22">
        <v>2539</v>
      </c>
      <c r="U72" s="22">
        <v>2554</v>
      </c>
      <c r="V72" s="22">
        <v>2562</v>
      </c>
      <c r="W72" s="22">
        <v>2733</v>
      </c>
      <c r="X72" s="22">
        <v>2667</v>
      </c>
      <c r="Y72" s="22">
        <v>2623</v>
      </c>
      <c r="Z72" s="22">
        <v>2598</v>
      </c>
      <c r="AA72" s="22">
        <v>2643</v>
      </c>
      <c r="AB72" s="22">
        <v>2657</v>
      </c>
      <c r="AC72" s="22">
        <v>2731</v>
      </c>
      <c r="AD72" s="22">
        <v>2646</v>
      </c>
      <c r="AE72" s="22">
        <v>2550</v>
      </c>
      <c r="AF72" s="22">
        <v>2470</v>
      </c>
      <c r="AG72" s="22">
        <v>2461</v>
      </c>
      <c r="AH72" s="22">
        <v>2412</v>
      </c>
      <c r="AI72" s="22">
        <v>2410</v>
      </c>
      <c r="AJ72" s="22">
        <v>2500</v>
      </c>
      <c r="AK72" s="22">
        <v>2560</v>
      </c>
      <c r="AL72" s="22">
        <v>2580</v>
      </c>
      <c r="AM72" s="22">
        <v>2557</v>
      </c>
      <c r="AN72" s="22">
        <v>2558</v>
      </c>
      <c r="AO72" s="22">
        <v>2570</v>
      </c>
      <c r="AP72" s="22">
        <v>2635</v>
      </c>
      <c r="AQ72" s="22">
        <v>2609</v>
      </c>
      <c r="AR72" s="22">
        <v>2573</v>
      </c>
      <c r="AS72" s="22">
        <v>2480</v>
      </c>
      <c r="AT72" s="22">
        <v>2565</v>
      </c>
      <c r="AU72" s="22">
        <v>2731</v>
      </c>
      <c r="AV72" s="22">
        <v>2899</v>
      </c>
      <c r="AW72" s="22">
        <v>2848</v>
      </c>
      <c r="AX72" s="22">
        <v>2832</v>
      </c>
      <c r="AY72" s="22">
        <v>2835</v>
      </c>
      <c r="AZ72" s="22">
        <v>2856</v>
      </c>
      <c r="BA72" s="22">
        <v>2868</v>
      </c>
      <c r="BB72" s="22">
        <v>2791</v>
      </c>
      <c r="BC72" s="22">
        <v>2753</v>
      </c>
      <c r="BD72" s="22">
        <v>2889</v>
      </c>
      <c r="BE72" s="22">
        <v>2850</v>
      </c>
      <c r="BF72" s="22">
        <v>2836</v>
      </c>
      <c r="BG72" s="22">
        <v>2792</v>
      </c>
      <c r="BH72" s="22">
        <v>2750</v>
      </c>
      <c r="BI72" s="22">
        <v>2762</v>
      </c>
      <c r="BJ72" s="22">
        <v>2780</v>
      </c>
      <c r="BK72" s="22">
        <v>2780</v>
      </c>
      <c r="BL72" s="22">
        <v>2763</v>
      </c>
    </row>
    <row r="73" spans="1:64" ht="15.95" customHeight="1">
      <c r="A73" s="68" t="s">
        <v>330</v>
      </c>
      <c r="B73" s="44" t="s">
        <v>59</v>
      </c>
      <c r="C73" s="48">
        <f>_xll.RssMarket("7806","安値")</f>
        <v>7150</v>
      </c>
      <c r="D73" s="16">
        <f t="shared" si="1"/>
        <v>0</v>
      </c>
      <c r="E73" s="22">
        <v>7150</v>
      </c>
      <c r="F73" s="22">
        <v>7030</v>
      </c>
      <c r="G73" s="22">
        <v>6940</v>
      </c>
      <c r="H73" s="22">
        <v>6970</v>
      </c>
      <c r="I73" s="22">
        <v>6800</v>
      </c>
      <c r="J73" s="22">
        <v>6930</v>
      </c>
      <c r="K73" s="22">
        <v>6680</v>
      </c>
      <c r="L73" s="22">
        <v>6750</v>
      </c>
      <c r="M73" s="22">
        <v>6650</v>
      </c>
      <c r="N73" s="22">
        <v>7000</v>
      </c>
      <c r="O73" s="22">
        <v>6880</v>
      </c>
      <c r="P73" s="22">
        <v>7310</v>
      </c>
      <c r="Q73" s="22">
        <v>7000</v>
      </c>
      <c r="R73" s="22">
        <v>6970</v>
      </c>
      <c r="S73" s="22">
        <v>6260</v>
      </c>
      <c r="T73" s="22">
        <v>6150</v>
      </c>
      <c r="U73" s="22">
        <v>6300</v>
      </c>
      <c r="V73" s="22">
        <v>6340</v>
      </c>
      <c r="W73" s="22">
        <v>6210</v>
      </c>
      <c r="X73" s="22">
        <v>6240</v>
      </c>
      <c r="Y73" s="22">
        <v>6620</v>
      </c>
      <c r="Z73" s="22">
        <v>6760</v>
      </c>
      <c r="AA73" s="22">
        <v>6540</v>
      </c>
      <c r="AB73" s="22">
        <v>6080</v>
      </c>
      <c r="AC73" s="22">
        <v>6280</v>
      </c>
      <c r="AD73" s="22">
        <v>6160</v>
      </c>
      <c r="AE73" s="22">
        <v>6050</v>
      </c>
      <c r="AF73" s="22">
        <v>5800</v>
      </c>
      <c r="AG73" s="22">
        <v>5720</v>
      </c>
      <c r="AH73" s="22">
        <v>5910</v>
      </c>
      <c r="AI73" s="22">
        <v>5960</v>
      </c>
      <c r="AJ73" s="22">
        <v>6220</v>
      </c>
      <c r="AK73" s="22">
        <v>6350</v>
      </c>
      <c r="AL73" s="22">
        <v>6450</v>
      </c>
      <c r="AM73" s="22">
        <v>6470</v>
      </c>
      <c r="AN73" s="22">
        <v>6520</v>
      </c>
      <c r="AO73" s="22">
        <v>6430</v>
      </c>
      <c r="AP73" s="22">
        <v>6330</v>
      </c>
      <c r="AQ73" s="22">
        <v>6280</v>
      </c>
      <c r="AR73" s="22">
        <v>6190</v>
      </c>
      <c r="AS73" s="22">
        <v>5900</v>
      </c>
      <c r="AT73" s="22">
        <v>5950</v>
      </c>
      <c r="AU73" s="22">
        <v>6020</v>
      </c>
      <c r="AV73" s="22">
        <v>6110</v>
      </c>
      <c r="AW73" s="22">
        <v>5980</v>
      </c>
      <c r="AX73" s="22">
        <v>6120</v>
      </c>
      <c r="AY73" s="22">
        <v>6250</v>
      </c>
      <c r="AZ73" s="22">
        <v>6260</v>
      </c>
      <c r="BA73" s="22">
        <v>6170</v>
      </c>
      <c r="BB73" s="22">
        <v>6090</v>
      </c>
      <c r="BC73" s="22">
        <v>6040</v>
      </c>
      <c r="BD73" s="22">
        <v>6210</v>
      </c>
      <c r="BE73" s="22">
        <v>5860</v>
      </c>
      <c r="BF73" s="22">
        <v>5910</v>
      </c>
      <c r="BG73" s="22">
        <v>5810</v>
      </c>
      <c r="BH73" s="22">
        <v>5690</v>
      </c>
      <c r="BI73" s="22">
        <v>6150</v>
      </c>
      <c r="BJ73" s="22">
        <v>6120</v>
      </c>
      <c r="BK73" s="22">
        <v>6090</v>
      </c>
      <c r="BL73" s="22">
        <v>6130</v>
      </c>
    </row>
    <row r="74" spans="1:64" ht="15.95" customHeight="1">
      <c r="A74" s="68" t="s">
        <v>331</v>
      </c>
      <c r="B74" s="44" t="s">
        <v>60</v>
      </c>
      <c r="C74" s="48">
        <f>_xll.RssMarket("9202","安値")</f>
        <v>3026</v>
      </c>
      <c r="D74" s="16">
        <f t="shared" si="1"/>
        <v>0</v>
      </c>
      <c r="E74" s="22">
        <v>3026</v>
      </c>
      <c r="F74" s="22">
        <v>2988</v>
      </c>
      <c r="G74" s="22">
        <v>2920</v>
      </c>
      <c r="H74" s="22">
        <v>2810</v>
      </c>
      <c r="I74" s="22">
        <v>2780.5</v>
      </c>
      <c r="J74" s="22">
        <v>2788</v>
      </c>
      <c r="K74" s="22">
        <v>2783.5</v>
      </c>
      <c r="L74" s="22">
        <v>2818</v>
      </c>
      <c r="M74" s="22">
        <v>2795.5</v>
      </c>
      <c r="N74" s="22">
        <v>2797</v>
      </c>
      <c r="O74" s="22">
        <v>2844</v>
      </c>
      <c r="P74" s="22">
        <v>2920.5</v>
      </c>
      <c r="Q74" s="22">
        <v>2871</v>
      </c>
      <c r="R74" s="22">
        <v>2858.5</v>
      </c>
      <c r="S74" s="22">
        <v>2804.5</v>
      </c>
      <c r="T74" s="22">
        <v>2770.5</v>
      </c>
      <c r="U74" s="22">
        <v>2762</v>
      </c>
      <c r="V74" s="22">
        <v>2700</v>
      </c>
      <c r="W74" s="22">
        <v>2727</v>
      </c>
      <c r="X74" s="22">
        <v>2717</v>
      </c>
      <c r="Y74" s="22">
        <v>2731.5</v>
      </c>
      <c r="Z74" s="22">
        <v>2763</v>
      </c>
      <c r="AA74" s="22">
        <v>2765.5</v>
      </c>
      <c r="AB74" s="22">
        <v>2772</v>
      </c>
      <c r="AC74" s="22">
        <v>2805</v>
      </c>
      <c r="AD74" s="22">
        <v>2828.5</v>
      </c>
      <c r="AE74" s="22">
        <v>2734.5</v>
      </c>
      <c r="AF74" s="22">
        <v>2623</v>
      </c>
      <c r="AG74" s="22">
        <v>2582</v>
      </c>
      <c r="AH74" s="22">
        <v>2603</v>
      </c>
      <c r="AI74" s="22">
        <v>2666</v>
      </c>
      <c r="AJ74" s="22">
        <v>2690</v>
      </c>
      <c r="AK74" s="22">
        <v>2713</v>
      </c>
      <c r="AL74" s="22">
        <v>2814.5</v>
      </c>
      <c r="AM74" s="22">
        <v>2852.5</v>
      </c>
      <c r="AN74" s="22">
        <v>2845</v>
      </c>
      <c r="AO74" s="22">
        <v>2820</v>
      </c>
      <c r="AP74" s="22">
        <v>2858.5</v>
      </c>
      <c r="AQ74" s="22">
        <v>2847.5</v>
      </c>
      <c r="AR74" s="22">
        <v>2845.5</v>
      </c>
      <c r="AS74" s="22">
        <v>2844.5</v>
      </c>
      <c r="AT74" s="22">
        <v>2882</v>
      </c>
      <c r="AU74" s="22">
        <v>2890</v>
      </c>
      <c r="AV74" s="22">
        <v>2957</v>
      </c>
      <c r="AW74" s="22">
        <v>2888</v>
      </c>
      <c r="AX74" s="22">
        <v>2918</v>
      </c>
      <c r="AY74" s="22">
        <v>2902</v>
      </c>
      <c r="AZ74" s="22">
        <v>2893</v>
      </c>
      <c r="BA74" s="22">
        <v>2846.5</v>
      </c>
      <c r="BB74" s="22">
        <v>2804</v>
      </c>
      <c r="BC74" s="22">
        <v>2815</v>
      </c>
      <c r="BD74" s="22">
        <v>2979</v>
      </c>
      <c r="BE74" s="22">
        <v>2958</v>
      </c>
      <c r="BF74" s="22">
        <v>2965</v>
      </c>
      <c r="BG74" s="22">
        <v>2928</v>
      </c>
      <c r="BH74" s="22">
        <v>2862.5</v>
      </c>
      <c r="BI74" s="22">
        <v>2891.5</v>
      </c>
      <c r="BJ74" s="22">
        <v>2977</v>
      </c>
      <c r="BK74" s="22">
        <v>2931</v>
      </c>
      <c r="BL74" s="22">
        <v>2904.5</v>
      </c>
    </row>
    <row r="75" spans="1:64" ht="15.95" customHeight="1">
      <c r="A75" s="68" t="s">
        <v>332</v>
      </c>
      <c r="B75" s="44" t="s">
        <v>61</v>
      </c>
      <c r="C75" s="48">
        <f>_xll.RssMarket("7846","安値")</f>
        <v>4964</v>
      </c>
      <c r="D75" s="16">
        <f t="shared" si="1"/>
        <v>0</v>
      </c>
      <c r="E75" s="22">
        <v>4964</v>
      </c>
      <c r="F75" s="22">
        <v>4900</v>
      </c>
      <c r="G75" s="22">
        <v>4925</v>
      </c>
      <c r="H75" s="22">
        <v>4881</v>
      </c>
      <c r="I75" s="22">
        <v>4827</v>
      </c>
      <c r="J75" s="22">
        <v>4856</v>
      </c>
      <c r="K75" s="22">
        <v>4855</v>
      </c>
      <c r="L75" s="22">
        <v>4845</v>
      </c>
      <c r="M75" s="22">
        <v>4805</v>
      </c>
      <c r="N75" s="22">
        <v>4851</v>
      </c>
      <c r="O75" s="22">
        <v>4798</v>
      </c>
      <c r="P75" s="22">
        <v>4882</v>
      </c>
      <c r="Q75" s="22">
        <v>4855</v>
      </c>
      <c r="R75" s="22">
        <v>4874</v>
      </c>
      <c r="S75" s="22">
        <v>4896</v>
      </c>
      <c r="T75" s="22">
        <v>4890</v>
      </c>
      <c r="U75" s="22">
        <v>4734</v>
      </c>
      <c r="V75" s="22">
        <v>4690</v>
      </c>
      <c r="W75" s="22">
        <v>4612</v>
      </c>
      <c r="X75" s="22">
        <v>4579</v>
      </c>
      <c r="Y75" s="22">
        <v>4535</v>
      </c>
      <c r="Z75" s="22">
        <v>4509</v>
      </c>
      <c r="AA75" s="22">
        <v>4528</v>
      </c>
      <c r="AB75" s="22">
        <v>4743</v>
      </c>
      <c r="AC75" s="22">
        <v>4720</v>
      </c>
      <c r="AD75" s="22">
        <v>4786</v>
      </c>
      <c r="AE75" s="22">
        <v>4730</v>
      </c>
      <c r="AF75" s="22">
        <v>4753</v>
      </c>
      <c r="AG75" s="22">
        <v>4771</v>
      </c>
      <c r="AH75" s="22">
        <v>4753</v>
      </c>
      <c r="AI75" s="22">
        <v>4775</v>
      </c>
      <c r="AJ75" s="22">
        <v>4736</v>
      </c>
      <c r="AK75" s="22">
        <v>4780</v>
      </c>
      <c r="AL75" s="22">
        <v>4756</v>
      </c>
      <c r="AM75" s="22">
        <v>4800</v>
      </c>
      <c r="AN75" s="22">
        <v>4803</v>
      </c>
      <c r="AO75" s="22">
        <v>4830</v>
      </c>
      <c r="AP75" s="22">
        <v>4832</v>
      </c>
      <c r="AQ75" s="22">
        <v>4830</v>
      </c>
      <c r="AR75" s="22">
        <v>4855</v>
      </c>
      <c r="AS75" s="22">
        <v>4924</v>
      </c>
      <c r="AT75" s="22">
        <v>4955</v>
      </c>
      <c r="AU75" s="22">
        <v>4930</v>
      </c>
      <c r="AV75" s="22">
        <v>4898</v>
      </c>
      <c r="AW75" s="22">
        <v>4846</v>
      </c>
      <c r="AX75" s="22">
        <v>4790</v>
      </c>
      <c r="AY75" s="22">
        <v>4860</v>
      </c>
      <c r="AZ75" s="22">
        <v>4767</v>
      </c>
      <c r="BA75" s="22">
        <v>4624</v>
      </c>
      <c r="BB75" s="22">
        <v>4615</v>
      </c>
      <c r="BC75" s="22">
        <v>4744</v>
      </c>
      <c r="BD75" s="22">
        <v>4756</v>
      </c>
      <c r="BE75" s="22">
        <v>4750</v>
      </c>
      <c r="BF75" s="22">
        <v>4650</v>
      </c>
      <c r="BG75" s="22">
        <v>4502</v>
      </c>
      <c r="BH75" s="22">
        <v>4570</v>
      </c>
      <c r="BI75" s="22">
        <v>4555</v>
      </c>
      <c r="BJ75" s="22">
        <v>4515</v>
      </c>
      <c r="BK75" s="22">
        <v>4493</v>
      </c>
      <c r="BL75" s="22">
        <v>4494</v>
      </c>
    </row>
    <row r="76" spans="1:64" ht="15.95" customHeight="1">
      <c r="A76" s="68" t="s">
        <v>333</v>
      </c>
      <c r="B76" s="44" t="s">
        <v>53</v>
      </c>
      <c r="C76" s="48">
        <f>_xll.RssMarket("2802","安値")</f>
        <v>5084</v>
      </c>
      <c r="D76" s="16">
        <f t="shared" si="1"/>
        <v>0</v>
      </c>
      <c r="E76" s="22">
        <v>5084</v>
      </c>
      <c r="F76" s="22">
        <v>4979</v>
      </c>
      <c r="G76" s="22">
        <v>5052</v>
      </c>
      <c r="H76" s="22">
        <v>5095</v>
      </c>
      <c r="I76" s="22">
        <v>4845</v>
      </c>
      <c r="J76" s="22">
        <v>4674</v>
      </c>
      <c r="K76" s="22">
        <v>4936</v>
      </c>
      <c r="L76" s="22">
        <v>5095</v>
      </c>
      <c r="M76" s="22">
        <v>5147</v>
      </c>
      <c r="N76" s="22">
        <v>5144</v>
      </c>
      <c r="O76" s="22">
        <v>5101</v>
      </c>
      <c r="P76" s="22">
        <v>5110</v>
      </c>
      <c r="Q76" s="22">
        <v>5261</v>
      </c>
      <c r="R76" s="22">
        <v>5195</v>
      </c>
      <c r="S76" s="22">
        <v>5183</v>
      </c>
      <c r="T76" s="22">
        <v>5021</v>
      </c>
      <c r="U76" s="22">
        <v>5006</v>
      </c>
      <c r="V76" s="22">
        <v>5165</v>
      </c>
      <c r="W76" s="22">
        <v>5103</v>
      </c>
      <c r="X76" s="22">
        <v>5252</v>
      </c>
      <c r="Y76" s="22">
        <v>5521</v>
      </c>
      <c r="Z76" s="22">
        <v>5338</v>
      </c>
      <c r="AA76" s="22">
        <v>5425</v>
      </c>
      <c r="AB76" s="22">
        <v>5088</v>
      </c>
      <c r="AC76" s="22">
        <v>4712</v>
      </c>
      <c r="AD76" s="22">
        <v>4739</v>
      </c>
      <c r="AE76" s="22">
        <v>4792</v>
      </c>
      <c r="AF76" s="22">
        <v>4906</v>
      </c>
      <c r="AG76" s="22">
        <v>4750</v>
      </c>
      <c r="AH76" s="22">
        <v>4726</v>
      </c>
      <c r="AI76" s="22">
        <v>4699</v>
      </c>
      <c r="AJ76" s="22">
        <v>4565</v>
      </c>
      <c r="AK76" s="22">
        <v>4621</v>
      </c>
      <c r="AL76" s="22">
        <v>4600</v>
      </c>
      <c r="AM76" s="22">
        <v>4582</v>
      </c>
      <c r="AN76" s="22">
        <v>4574</v>
      </c>
      <c r="AO76" s="22">
        <v>4623</v>
      </c>
      <c r="AP76" s="22">
        <v>4636</v>
      </c>
      <c r="AQ76" s="22">
        <v>4596</v>
      </c>
      <c r="AR76" s="22">
        <v>4565</v>
      </c>
      <c r="AS76" s="22">
        <v>4652</v>
      </c>
      <c r="AT76" s="22">
        <v>4690</v>
      </c>
      <c r="AU76" s="22">
        <v>4735</v>
      </c>
      <c r="AV76" s="22">
        <v>4573</v>
      </c>
      <c r="AW76" s="22">
        <v>4596</v>
      </c>
      <c r="AX76" s="22">
        <v>4608</v>
      </c>
      <c r="AY76" s="22">
        <v>4595</v>
      </c>
      <c r="AZ76" s="22">
        <v>4493</v>
      </c>
      <c r="BA76" s="22">
        <v>4296</v>
      </c>
      <c r="BB76" s="22">
        <v>4295</v>
      </c>
      <c r="BC76" s="22">
        <v>4433</v>
      </c>
      <c r="BD76" s="22">
        <v>4442</v>
      </c>
      <c r="BE76" s="22">
        <v>4401</v>
      </c>
      <c r="BF76" s="22">
        <v>4226</v>
      </c>
      <c r="BG76" s="22">
        <v>4147</v>
      </c>
      <c r="BH76" s="22">
        <v>4375</v>
      </c>
      <c r="BI76" s="22">
        <v>4440</v>
      </c>
      <c r="BJ76" s="22">
        <v>4476</v>
      </c>
      <c r="BK76" s="22">
        <v>4393</v>
      </c>
      <c r="BL76" s="22">
        <v>4310</v>
      </c>
    </row>
    <row r="77" spans="1:64" ht="15.95" customHeight="1">
      <c r="A77" s="68" t="s">
        <v>334</v>
      </c>
      <c r="B77" s="44" t="s">
        <v>62</v>
      </c>
      <c r="C77" s="48">
        <f>_xll.RssMarket("7203","安値")</f>
        <v>2803.5</v>
      </c>
      <c r="D77" s="16">
        <f t="shared" si="1"/>
        <v>0</v>
      </c>
      <c r="E77" s="22">
        <v>2803.5</v>
      </c>
      <c r="F77" s="22">
        <v>2826.5</v>
      </c>
      <c r="G77" s="22">
        <v>2830</v>
      </c>
      <c r="H77" s="22">
        <v>2756.5</v>
      </c>
      <c r="I77" s="22">
        <v>2718.5</v>
      </c>
      <c r="J77" s="22">
        <v>2787.5</v>
      </c>
      <c r="K77" s="22">
        <v>2795.5</v>
      </c>
      <c r="L77" s="22">
        <v>2837</v>
      </c>
      <c r="M77" s="22">
        <v>2835</v>
      </c>
      <c r="N77" s="22">
        <v>2833</v>
      </c>
      <c r="O77" s="22">
        <v>2805</v>
      </c>
      <c r="P77" s="22">
        <v>3022</v>
      </c>
      <c r="Q77" s="22">
        <v>3023</v>
      </c>
      <c r="R77" s="22">
        <v>2998.5</v>
      </c>
      <c r="S77" s="22">
        <v>3006</v>
      </c>
      <c r="T77" s="22">
        <v>2975.5</v>
      </c>
      <c r="U77" s="22">
        <v>2961</v>
      </c>
      <c r="V77" s="22">
        <v>2942</v>
      </c>
      <c r="W77" s="22">
        <v>2931</v>
      </c>
      <c r="X77" s="22">
        <v>2940</v>
      </c>
      <c r="Y77" s="22">
        <v>2987.5</v>
      </c>
      <c r="Z77" s="22">
        <v>2943</v>
      </c>
      <c r="AA77" s="22">
        <v>2879</v>
      </c>
      <c r="AB77" s="22">
        <v>2820</v>
      </c>
      <c r="AC77" s="22">
        <v>2798</v>
      </c>
      <c r="AD77" s="22">
        <v>2874</v>
      </c>
      <c r="AE77" s="22">
        <v>2978</v>
      </c>
      <c r="AF77" s="22">
        <v>2971</v>
      </c>
      <c r="AG77" s="22">
        <v>2997</v>
      </c>
      <c r="AH77" s="22">
        <v>3079</v>
      </c>
      <c r="AI77" s="22">
        <v>3062</v>
      </c>
      <c r="AJ77" s="22">
        <v>3111</v>
      </c>
      <c r="AK77" s="22">
        <v>3191</v>
      </c>
      <c r="AL77" s="22">
        <v>3280</v>
      </c>
      <c r="AM77" s="22">
        <v>3380</v>
      </c>
      <c r="AN77" s="22">
        <v>3343</v>
      </c>
      <c r="AO77" s="22">
        <v>3392</v>
      </c>
      <c r="AP77" s="22">
        <v>3344</v>
      </c>
      <c r="AQ77" s="22">
        <v>3288</v>
      </c>
      <c r="AR77" s="22">
        <v>3280</v>
      </c>
      <c r="AS77" s="22">
        <v>3295</v>
      </c>
      <c r="AT77" s="22">
        <v>3318</v>
      </c>
      <c r="AU77" s="22">
        <v>3333</v>
      </c>
      <c r="AV77" s="22">
        <v>3224</v>
      </c>
      <c r="AW77" s="22">
        <v>3244</v>
      </c>
      <c r="AX77" s="22">
        <v>3255</v>
      </c>
      <c r="AY77" s="22">
        <v>3251</v>
      </c>
      <c r="AZ77" s="22">
        <v>3253</v>
      </c>
      <c r="BA77" s="22">
        <v>3162</v>
      </c>
      <c r="BB77" s="22">
        <v>3168</v>
      </c>
      <c r="BC77" s="22">
        <v>3346</v>
      </c>
      <c r="BD77" s="22">
        <v>3348</v>
      </c>
      <c r="BE77" s="22">
        <v>3328</v>
      </c>
      <c r="BF77" s="22">
        <v>3258</v>
      </c>
      <c r="BG77" s="22">
        <v>3190</v>
      </c>
      <c r="BH77" s="22">
        <v>3316</v>
      </c>
      <c r="BI77" s="22">
        <v>3359</v>
      </c>
      <c r="BJ77" s="22">
        <v>3357</v>
      </c>
      <c r="BK77" s="22">
        <v>3328</v>
      </c>
      <c r="BL77" s="22">
        <v>3360</v>
      </c>
    </row>
    <row r="78" spans="1:64" ht="15.95" customHeight="1">
      <c r="A78" s="68" t="s">
        <v>335</v>
      </c>
      <c r="B78" s="44" t="s">
        <v>63</v>
      </c>
      <c r="C78" s="48">
        <f>_xll.RssMarket("6954","安値")</f>
        <v>7223</v>
      </c>
      <c r="D78" s="16">
        <f t="shared" si="1"/>
        <v>0</v>
      </c>
      <c r="E78" s="22">
        <v>7223</v>
      </c>
      <c r="F78" s="22">
        <v>7275</v>
      </c>
      <c r="G78" s="22">
        <v>7047</v>
      </c>
      <c r="H78" s="22">
        <v>6914</v>
      </c>
      <c r="I78" s="22">
        <v>6290</v>
      </c>
      <c r="J78" s="22">
        <v>6674</v>
      </c>
      <c r="K78" s="22">
        <v>6974</v>
      </c>
      <c r="L78" s="22">
        <v>7441</v>
      </c>
      <c r="M78" s="22">
        <v>7645</v>
      </c>
      <c r="N78" s="22">
        <v>7665</v>
      </c>
      <c r="O78" s="22">
        <v>7453</v>
      </c>
      <c r="P78" s="22">
        <v>7892</v>
      </c>
      <c r="Q78" s="22">
        <v>7841</v>
      </c>
      <c r="R78" s="22">
        <v>8154</v>
      </c>
      <c r="S78" s="22">
        <v>8300</v>
      </c>
      <c r="T78" s="22">
        <v>8013</v>
      </c>
      <c r="U78" s="22">
        <v>7469</v>
      </c>
      <c r="V78" s="22">
        <v>7279</v>
      </c>
      <c r="W78" s="22">
        <v>7620</v>
      </c>
      <c r="X78" s="22">
        <v>7933</v>
      </c>
      <c r="Y78" s="22">
        <v>8085</v>
      </c>
      <c r="Z78" s="22">
        <v>8036</v>
      </c>
      <c r="AA78" s="22">
        <v>7501</v>
      </c>
      <c r="AB78" s="22">
        <v>7570</v>
      </c>
      <c r="AC78" s="22">
        <v>7380</v>
      </c>
      <c r="AD78" s="22">
        <v>7093</v>
      </c>
      <c r="AE78" s="22">
        <v>7076</v>
      </c>
      <c r="AF78" s="22">
        <v>6693</v>
      </c>
      <c r="AG78" s="22">
        <v>6690</v>
      </c>
      <c r="AH78" s="22">
        <v>6937</v>
      </c>
      <c r="AI78" s="22">
        <v>6715</v>
      </c>
      <c r="AJ78" s="22">
        <v>6158</v>
      </c>
      <c r="AK78" s="22">
        <v>6227</v>
      </c>
      <c r="AL78" s="22">
        <v>6415</v>
      </c>
      <c r="AM78" s="22">
        <v>6427</v>
      </c>
      <c r="AN78" s="22">
        <v>6229</v>
      </c>
      <c r="AO78" s="22">
        <v>6210</v>
      </c>
      <c r="AP78" s="22">
        <v>6138</v>
      </c>
      <c r="AQ78" s="22">
        <v>6092</v>
      </c>
      <c r="AR78" s="22">
        <v>6201</v>
      </c>
      <c r="AS78" s="22">
        <v>6092</v>
      </c>
      <c r="AT78" s="22">
        <v>5950</v>
      </c>
      <c r="AU78" s="22">
        <v>5862</v>
      </c>
      <c r="AV78" s="22">
        <v>5790</v>
      </c>
      <c r="AW78" s="22">
        <v>5439</v>
      </c>
      <c r="AX78" s="22">
        <v>5492</v>
      </c>
      <c r="AY78" s="22">
        <v>5453</v>
      </c>
      <c r="AZ78" s="22">
        <v>5463</v>
      </c>
      <c r="BA78" s="22">
        <v>5582</v>
      </c>
      <c r="BB78" s="22">
        <v>5256</v>
      </c>
      <c r="BC78" s="22">
        <v>5252</v>
      </c>
      <c r="BD78" s="22">
        <v>5649</v>
      </c>
      <c r="BE78" s="22">
        <v>5794</v>
      </c>
      <c r="BF78" s="22">
        <v>5876</v>
      </c>
      <c r="BG78" s="22">
        <v>5633</v>
      </c>
      <c r="BH78" s="22">
        <v>5528</v>
      </c>
      <c r="BI78" s="22">
        <v>5903</v>
      </c>
      <c r="BJ78" s="22">
        <v>6000</v>
      </c>
      <c r="BK78" s="22">
        <v>5981</v>
      </c>
      <c r="BL78" s="22">
        <v>5920</v>
      </c>
    </row>
    <row r="79" spans="1:64" ht="15.95" customHeight="1">
      <c r="A79" s="68" t="s">
        <v>336</v>
      </c>
      <c r="B79" s="44" t="s">
        <v>64</v>
      </c>
      <c r="C79" s="48">
        <f>_xll.RssMarket("6479","安値")</f>
        <v>4553</v>
      </c>
      <c r="D79" s="16">
        <f t="shared" si="1"/>
        <v>0</v>
      </c>
      <c r="E79" s="22">
        <v>4553</v>
      </c>
      <c r="F79" s="22">
        <v>4516</v>
      </c>
      <c r="G79" s="22">
        <v>4392</v>
      </c>
      <c r="H79" s="22">
        <v>4211</v>
      </c>
      <c r="I79" s="22">
        <v>4090</v>
      </c>
      <c r="J79" s="22">
        <v>4367</v>
      </c>
      <c r="K79" s="22">
        <v>4480</v>
      </c>
      <c r="L79" s="22">
        <v>4768</v>
      </c>
      <c r="M79" s="22">
        <v>4791</v>
      </c>
      <c r="N79" s="22">
        <v>4766</v>
      </c>
      <c r="O79" s="22">
        <v>4452</v>
      </c>
      <c r="P79" s="22">
        <v>4433</v>
      </c>
      <c r="Q79" s="22">
        <v>4152</v>
      </c>
      <c r="R79" s="22">
        <v>4211</v>
      </c>
      <c r="S79" s="22">
        <v>4002</v>
      </c>
      <c r="T79" s="22">
        <v>3932</v>
      </c>
      <c r="U79" s="22">
        <v>3731</v>
      </c>
      <c r="V79" s="22">
        <v>3682</v>
      </c>
      <c r="W79" s="22">
        <v>3791</v>
      </c>
      <c r="X79" s="22">
        <v>3799</v>
      </c>
      <c r="Y79" s="22">
        <v>3904</v>
      </c>
      <c r="Z79" s="22">
        <v>3912</v>
      </c>
      <c r="AA79" s="22">
        <v>3610</v>
      </c>
      <c r="AB79" s="22">
        <v>3487</v>
      </c>
      <c r="AC79" s="22">
        <v>3323</v>
      </c>
      <c r="AD79" s="22">
        <v>3252</v>
      </c>
      <c r="AE79" s="22">
        <v>3129</v>
      </c>
      <c r="AF79" s="22">
        <v>3071</v>
      </c>
      <c r="AG79" s="22">
        <v>3073</v>
      </c>
      <c r="AH79" s="22">
        <v>3037</v>
      </c>
      <c r="AI79" s="22">
        <v>3062</v>
      </c>
      <c r="AJ79" s="22">
        <v>3046</v>
      </c>
      <c r="AK79" s="22">
        <v>2993</v>
      </c>
      <c r="AL79" s="22">
        <v>3063</v>
      </c>
      <c r="AM79" s="22">
        <v>3084</v>
      </c>
      <c r="AN79" s="22">
        <v>3025</v>
      </c>
      <c r="AO79" s="22">
        <v>2949.5</v>
      </c>
      <c r="AP79" s="22">
        <v>2906</v>
      </c>
      <c r="AQ79" s="22">
        <v>2835</v>
      </c>
      <c r="AR79" s="22">
        <v>2849</v>
      </c>
      <c r="AS79" s="22">
        <v>2812</v>
      </c>
      <c r="AT79" s="22">
        <v>2730</v>
      </c>
      <c r="AU79" s="22">
        <v>2723.5</v>
      </c>
      <c r="AV79" s="22">
        <v>2725.5</v>
      </c>
      <c r="AW79" s="22">
        <v>2602</v>
      </c>
      <c r="AX79" s="22">
        <v>2590.5</v>
      </c>
      <c r="AY79" s="22">
        <v>2575.5</v>
      </c>
      <c r="AZ79" s="22">
        <v>2568.5</v>
      </c>
      <c r="BA79" s="22">
        <v>2620</v>
      </c>
      <c r="BB79" s="22">
        <v>2535</v>
      </c>
      <c r="BC79" s="22">
        <v>2536</v>
      </c>
      <c r="BD79" s="22">
        <v>2666</v>
      </c>
      <c r="BE79" s="22">
        <v>2721</v>
      </c>
      <c r="BF79" s="22">
        <v>2668</v>
      </c>
      <c r="BG79" s="22">
        <v>2588</v>
      </c>
      <c r="BH79" s="22">
        <v>2518</v>
      </c>
      <c r="BI79" s="22">
        <v>2675.5</v>
      </c>
      <c r="BJ79" s="22">
        <v>2735</v>
      </c>
      <c r="BK79" s="22">
        <v>2711</v>
      </c>
      <c r="BL79" s="22">
        <v>2676.5</v>
      </c>
    </row>
    <row r="80" spans="1:64" ht="15.95" customHeight="1">
      <c r="A80" s="68" t="s">
        <v>337</v>
      </c>
      <c r="B80" s="44" t="s">
        <v>65</v>
      </c>
      <c r="C80" s="48">
        <f>_xll.RssMarket("1833","安値")</f>
        <v>5700</v>
      </c>
      <c r="D80" s="16">
        <f t="shared" si="1"/>
        <v>0</v>
      </c>
      <c r="E80" s="22">
        <v>5700</v>
      </c>
      <c r="F80" s="22">
        <v>5680</v>
      </c>
      <c r="G80" s="22">
        <v>5730</v>
      </c>
      <c r="H80" s="22">
        <v>5600</v>
      </c>
      <c r="I80" s="22">
        <v>5470</v>
      </c>
      <c r="J80" s="22">
        <v>5500</v>
      </c>
      <c r="K80" s="22">
        <v>5430</v>
      </c>
      <c r="L80" s="22">
        <v>5530</v>
      </c>
      <c r="M80" s="22">
        <v>5460</v>
      </c>
      <c r="N80" s="22">
        <v>5500</v>
      </c>
      <c r="O80" s="22">
        <v>5420</v>
      </c>
      <c r="P80" s="22">
        <v>5510</v>
      </c>
      <c r="Q80" s="22">
        <v>5490</v>
      </c>
      <c r="R80" s="22">
        <v>5510</v>
      </c>
      <c r="S80" s="22">
        <v>5490</v>
      </c>
      <c r="T80" s="22">
        <v>5450</v>
      </c>
      <c r="U80" s="22">
        <v>5560</v>
      </c>
      <c r="V80" s="22">
        <v>5520</v>
      </c>
      <c r="W80" s="22">
        <v>5680</v>
      </c>
      <c r="X80" s="22">
        <v>5550</v>
      </c>
      <c r="Y80" s="22">
        <v>5870</v>
      </c>
      <c r="Z80" s="22">
        <v>5980</v>
      </c>
      <c r="AA80" s="22">
        <v>6140</v>
      </c>
      <c r="AB80" s="22">
        <v>6200</v>
      </c>
      <c r="AC80" s="22">
        <v>6030</v>
      </c>
      <c r="AD80" s="22">
        <v>6010</v>
      </c>
      <c r="AE80" s="22">
        <v>6160</v>
      </c>
      <c r="AF80" s="22">
        <v>6100</v>
      </c>
      <c r="AG80" s="22">
        <v>6020</v>
      </c>
      <c r="AH80" s="22">
        <v>6000</v>
      </c>
      <c r="AI80" s="22">
        <v>5880</v>
      </c>
      <c r="AJ80" s="22">
        <v>5960</v>
      </c>
      <c r="AK80" s="22">
        <v>5900</v>
      </c>
      <c r="AL80" s="22">
        <v>6010</v>
      </c>
      <c r="AM80" s="22">
        <v>6100</v>
      </c>
      <c r="AN80" s="22">
        <v>6080</v>
      </c>
      <c r="AO80" s="22">
        <v>6110</v>
      </c>
      <c r="AP80" s="22">
        <v>6190</v>
      </c>
      <c r="AQ80" s="22">
        <v>6230</v>
      </c>
      <c r="AR80" s="22">
        <v>6230</v>
      </c>
      <c r="AS80" s="22">
        <v>6190</v>
      </c>
      <c r="AT80" s="22">
        <v>6280</v>
      </c>
      <c r="AU80" s="22">
        <v>6390</v>
      </c>
      <c r="AV80" s="22">
        <v>6470</v>
      </c>
      <c r="AW80" s="22">
        <v>6330</v>
      </c>
      <c r="AX80" s="22">
        <v>6350</v>
      </c>
      <c r="AY80" s="22">
        <v>6430</v>
      </c>
      <c r="AZ80" s="22">
        <v>6410</v>
      </c>
      <c r="BA80" s="22">
        <v>6430</v>
      </c>
      <c r="BB80" s="22">
        <v>6220</v>
      </c>
      <c r="BC80" s="22">
        <v>6120</v>
      </c>
      <c r="BD80" s="22">
        <v>6490</v>
      </c>
      <c r="BE80" s="22">
        <v>6500</v>
      </c>
      <c r="BF80" s="22">
        <v>6590</v>
      </c>
      <c r="BG80" s="22">
        <v>6410</v>
      </c>
      <c r="BH80" s="22">
        <v>6210</v>
      </c>
      <c r="BI80" s="22">
        <v>6560</v>
      </c>
      <c r="BJ80" s="22">
        <v>6610</v>
      </c>
      <c r="BK80" s="22">
        <v>6550</v>
      </c>
      <c r="BL80" s="22">
        <v>6460</v>
      </c>
    </row>
    <row r="81" spans="1:64" ht="15.95" customHeight="1">
      <c r="A81" s="68" t="s">
        <v>338</v>
      </c>
      <c r="B81" s="44" t="s">
        <v>142</v>
      </c>
      <c r="C81" s="48">
        <f>_xll.RssMarket("6841","安値")</f>
        <v>5150</v>
      </c>
      <c r="D81" s="16">
        <f t="shared" si="1"/>
        <v>0</v>
      </c>
      <c r="E81" s="22">
        <v>5150</v>
      </c>
      <c r="F81" s="22">
        <v>5131</v>
      </c>
      <c r="G81" s="22">
        <v>5044</v>
      </c>
      <c r="H81" s="22">
        <v>4848</v>
      </c>
      <c r="I81" s="22">
        <v>4584</v>
      </c>
      <c r="J81" s="22">
        <v>4735</v>
      </c>
      <c r="K81" s="22">
        <v>4890</v>
      </c>
      <c r="L81" s="22">
        <v>5169</v>
      </c>
      <c r="M81" s="22">
        <v>5274</v>
      </c>
      <c r="N81" s="22">
        <v>5195</v>
      </c>
      <c r="O81" s="22">
        <v>5053</v>
      </c>
      <c r="P81" s="22">
        <v>4877</v>
      </c>
      <c r="Q81" s="22">
        <v>4832</v>
      </c>
      <c r="R81" s="22">
        <v>4899</v>
      </c>
      <c r="S81" s="22">
        <v>4895</v>
      </c>
      <c r="T81" s="22">
        <v>4820</v>
      </c>
      <c r="U81" s="22">
        <v>4669</v>
      </c>
      <c r="V81" s="22">
        <v>4607</v>
      </c>
      <c r="W81" s="22">
        <v>4760</v>
      </c>
      <c r="X81" s="22">
        <v>4820</v>
      </c>
      <c r="Y81" s="22">
        <v>4937</v>
      </c>
      <c r="Z81" s="22">
        <v>5093</v>
      </c>
      <c r="AA81" s="22">
        <v>5112</v>
      </c>
      <c r="AB81" s="22">
        <v>5116</v>
      </c>
      <c r="AC81" s="22">
        <v>5175</v>
      </c>
      <c r="AD81" s="22">
        <v>5058</v>
      </c>
      <c r="AE81" s="22">
        <v>5528</v>
      </c>
      <c r="AF81" s="22">
        <v>5376</v>
      </c>
      <c r="AG81" s="22">
        <v>5376</v>
      </c>
      <c r="AH81" s="22">
        <v>5374</v>
      </c>
      <c r="AI81" s="22">
        <v>5247</v>
      </c>
      <c r="AJ81" s="22">
        <v>5214</v>
      </c>
      <c r="AK81" s="22">
        <v>5218</v>
      </c>
      <c r="AL81" s="22">
        <v>5436</v>
      </c>
      <c r="AM81" s="22">
        <v>5509</v>
      </c>
      <c r="AN81" s="22">
        <v>5415</v>
      </c>
      <c r="AO81" s="22">
        <v>5371</v>
      </c>
      <c r="AP81" s="22">
        <v>5399</v>
      </c>
      <c r="AQ81" s="22">
        <v>5375</v>
      </c>
      <c r="AR81" s="22">
        <v>5597</v>
      </c>
      <c r="AS81" s="22">
        <v>5526</v>
      </c>
      <c r="AT81" s="22">
        <v>5609</v>
      </c>
      <c r="AU81" s="22">
        <v>5453</v>
      </c>
      <c r="AV81" s="22">
        <v>5200</v>
      </c>
      <c r="AW81" s="22">
        <v>4937</v>
      </c>
      <c r="AX81" s="22">
        <v>4928</v>
      </c>
      <c r="AY81" s="22">
        <v>4922</v>
      </c>
      <c r="AZ81" s="22">
        <v>4813</v>
      </c>
      <c r="BA81" s="22">
        <v>4943</v>
      </c>
      <c r="BB81" s="22">
        <v>4715</v>
      </c>
      <c r="BC81" s="22">
        <v>4585</v>
      </c>
      <c r="BD81" s="22">
        <v>4957</v>
      </c>
      <c r="BE81" s="22">
        <v>5107</v>
      </c>
      <c r="BF81" s="22">
        <v>5098</v>
      </c>
      <c r="BG81" s="22">
        <v>4919</v>
      </c>
      <c r="BH81" s="22">
        <v>4820</v>
      </c>
      <c r="BI81" s="22">
        <v>5233</v>
      </c>
      <c r="BJ81" s="22">
        <v>5469</v>
      </c>
      <c r="BK81" s="22">
        <v>5432</v>
      </c>
      <c r="BL81" s="22">
        <v>5454</v>
      </c>
    </row>
    <row r="82" spans="1:64" ht="15.95" customHeight="1">
      <c r="A82" s="68" t="s">
        <v>339</v>
      </c>
      <c r="B82" s="44" t="s">
        <v>143</v>
      </c>
      <c r="C82" s="48">
        <f>_xll.RssMarket("7167","安値")</f>
        <v>1388.5</v>
      </c>
      <c r="D82" s="16">
        <f t="shared" si="1"/>
        <v>0</v>
      </c>
      <c r="E82" s="22">
        <v>1388.5</v>
      </c>
      <c r="F82" s="22">
        <v>1381</v>
      </c>
      <c r="G82" s="22">
        <v>1413.5</v>
      </c>
      <c r="H82" s="22">
        <v>1386</v>
      </c>
      <c r="I82" s="22">
        <v>1348.5</v>
      </c>
      <c r="J82" s="22">
        <v>1368.5</v>
      </c>
      <c r="K82" s="22">
        <v>1325.5</v>
      </c>
      <c r="L82" s="22">
        <v>1353.5</v>
      </c>
      <c r="M82" s="22">
        <v>1285.5</v>
      </c>
      <c r="N82" s="22">
        <v>1309</v>
      </c>
      <c r="O82" s="22">
        <v>1255</v>
      </c>
      <c r="P82" s="22">
        <v>1328</v>
      </c>
      <c r="Q82" s="22">
        <v>1338.5</v>
      </c>
      <c r="R82" s="22">
        <v>1354</v>
      </c>
      <c r="S82" s="22">
        <v>1378.5</v>
      </c>
      <c r="T82" s="22">
        <v>1389.5</v>
      </c>
      <c r="U82" s="22">
        <v>1405.5</v>
      </c>
      <c r="V82" s="22">
        <v>1367</v>
      </c>
      <c r="W82" s="22">
        <v>1357.5</v>
      </c>
      <c r="X82" s="22">
        <v>1350.5</v>
      </c>
      <c r="Y82" s="22">
        <v>1360.5</v>
      </c>
      <c r="Z82" s="22">
        <v>1353</v>
      </c>
      <c r="AA82" s="22">
        <v>1336.5</v>
      </c>
      <c r="AB82" s="22">
        <v>1332.5</v>
      </c>
      <c r="AC82" s="22">
        <v>1300</v>
      </c>
      <c r="AD82" s="22">
        <v>1279</v>
      </c>
      <c r="AE82" s="22">
        <v>1320</v>
      </c>
      <c r="AF82" s="22">
        <v>1277</v>
      </c>
      <c r="AG82" s="22">
        <v>1269</v>
      </c>
      <c r="AH82" s="22">
        <v>1242</v>
      </c>
      <c r="AI82" s="22">
        <v>1192</v>
      </c>
      <c r="AJ82" s="22">
        <v>1210</v>
      </c>
      <c r="AK82" s="22">
        <v>1215.5</v>
      </c>
      <c r="AL82" s="22">
        <v>1237.5</v>
      </c>
      <c r="AM82" s="22">
        <v>1281.5</v>
      </c>
      <c r="AN82" s="22">
        <v>1317</v>
      </c>
      <c r="AO82" s="22">
        <v>1339</v>
      </c>
      <c r="AP82" s="22">
        <v>1355</v>
      </c>
      <c r="AQ82" s="22">
        <v>1350.5</v>
      </c>
      <c r="AR82" s="22">
        <v>1333.5</v>
      </c>
      <c r="AS82" s="22">
        <v>1331.5</v>
      </c>
      <c r="AT82" s="22">
        <v>1352</v>
      </c>
      <c r="AU82" s="22">
        <v>1337.5</v>
      </c>
      <c r="AV82" s="22">
        <v>1346</v>
      </c>
      <c r="AW82" s="22">
        <v>1302.5</v>
      </c>
      <c r="AX82" s="22">
        <v>1280</v>
      </c>
      <c r="AY82" s="22">
        <v>1277.5</v>
      </c>
      <c r="AZ82" s="22">
        <v>1275</v>
      </c>
      <c r="BA82" s="22">
        <v>1263.5</v>
      </c>
      <c r="BB82" s="22">
        <v>1186</v>
      </c>
      <c r="BC82" s="22">
        <v>1175.5</v>
      </c>
      <c r="BD82" s="22">
        <v>1229.5</v>
      </c>
      <c r="BE82" s="22">
        <v>1220</v>
      </c>
      <c r="BF82" s="22">
        <v>1235.5</v>
      </c>
      <c r="BG82" s="22">
        <v>1183</v>
      </c>
      <c r="BH82" s="22">
        <v>1143</v>
      </c>
      <c r="BI82" s="22">
        <v>1189</v>
      </c>
      <c r="BJ82" s="22">
        <v>1205.5</v>
      </c>
      <c r="BK82" s="22">
        <v>1176.5</v>
      </c>
      <c r="BL82" s="22">
        <v>1166.5</v>
      </c>
    </row>
    <row r="83" spans="1:64" ht="15.95" customHeight="1">
      <c r="A83" s="68" t="s">
        <v>340</v>
      </c>
      <c r="B83" s="44" t="s">
        <v>144</v>
      </c>
      <c r="C83" s="48">
        <f>_xll.RssMarket("1925","安値")</f>
        <v>4358</v>
      </c>
      <c r="D83" s="16">
        <f t="shared" si="1"/>
        <v>0</v>
      </c>
      <c r="E83" s="22">
        <v>4358</v>
      </c>
      <c r="F83" s="22">
        <v>4304</v>
      </c>
      <c r="G83" s="22">
        <v>4349</v>
      </c>
      <c r="H83" s="22">
        <v>4285</v>
      </c>
      <c r="I83" s="22">
        <v>4272</v>
      </c>
      <c r="J83" s="22">
        <v>4297</v>
      </c>
      <c r="K83" s="22">
        <v>4180</v>
      </c>
      <c r="L83" s="22">
        <v>4191</v>
      </c>
      <c r="M83" s="22">
        <v>4208</v>
      </c>
      <c r="N83" s="22">
        <v>4164</v>
      </c>
      <c r="O83" s="22">
        <v>4081</v>
      </c>
      <c r="P83" s="22">
        <v>4334</v>
      </c>
      <c r="Q83" s="22">
        <v>4374</v>
      </c>
      <c r="R83" s="22">
        <v>4394</v>
      </c>
      <c r="S83" s="22">
        <v>4405</v>
      </c>
      <c r="T83" s="22">
        <v>4407</v>
      </c>
      <c r="U83" s="22">
        <v>4453</v>
      </c>
      <c r="V83" s="22">
        <v>4480</v>
      </c>
      <c r="W83" s="22">
        <v>4501</v>
      </c>
      <c r="X83" s="22">
        <v>4462</v>
      </c>
      <c r="Y83" s="22">
        <v>4509</v>
      </c>
      <c r="Z83" s="22">
        <v>4475</v>
      </c>
      <c r="AA83" s="22">
        <v>4754</v>
      </c>
      <c r="AB83" s="22">
        <v>4749</v>
      </c>
      <c r="AC83" s="22">
        <v>4744</v>
      </c>
      <c r="AD83" s="22">
        <v>4747</v>
      </c>
      <c r="AE83" s="22">
        <v>4746</v>
      </c>
      <c r="AF83" s="22">
        <v>4730</v>
      </c>
      <c r="AG83" s="22">
        <v>4783</v>
      </c>
      <c r="AH83" s="22">
        <v>4740</v>
      </c>
      <c r="AI83" s="22">
        <v>4777</v>
      </c>
      <c r="AJ83" s="22">
        <v>4811</v>
      </c>
      <c r="AK83" s="22">
        <v>4818</v>
      </c>
      <c r="AL83" s="22">
        <v>4896</v>
      </c>
      <c r="AM83" s="22">
        <v>4856</v>
      </c>
      <c r="AN83" s="22">
        <v>4852</v>
      </c>
      <c r="AO83" s="22">
        <v>4905</v>
      </c>
      <c r="AP83" s="22">
        <v>4880</v>
      </c>
      <c r="AQ83" s="22">
        <v>4876</v>
      </c>
      <c r="AR83" s="22">
        <v>4904</v>
      </c>
      <c r="AS83" s="22">
        <v>4973</v>
      </c>
      <c r="AT83" s="22">
        <v>4988</v>
      </c>
      <c r="AU83" s="22">
        <v>5009</v>
      </c>
      <c r="AV83" s="22">
        <v>4963</v>
      </c>
      <c r="AW83" s="22">
        <v>4978</v>
      </c>
      <c r="AX83" s="22">
        <v>4966</v>
      </c>
      <c r="AY83" s="22">
        <v>4984</v>
      </c>
      <c r="AZ83" s="22">
        <v>4944</v>
      </c>
      <c r="BA83" s="22">
        <v>4906</v>
      </c>
      <c r="BB83" s="22">
        <v>4838</v>
      </c>
      <c r="BC83" s="22">
        <v>5022</v>
      </c>
      <c r="BD83" s="22">
        <v>5033</v>
      </c>
      <c r="BE83" s="22">
        <v>5082</v>
      </c>
      <c r="BF83" s="22">
        <v>5062</v>
      </c>
      <c r="BG83" s="22">
        <v>5041</v>
      </c>
      <c r="BH83" s="22">
        <v>5159</v>
      </c>
      <c r="BI83" s="22">
        <v>5202</v>
      </c>
      <c r="BJ83" s="22">
        <v>5201</v>
      </c>
      <c r="BK83" s="22">
        <v>5168</v>
      </c>
      <c r="BL83" s="22">
        <v>5150</v>
      </c>
    </row>
    <row r="84" spans="1:64" ht="15.95" customHeight="1">
      <c r="A84" s="68" t="s">
        <v>341</v>
      </c>
      <c r="B84" s="44" t="s">
        <v>145</v>
      </c>
      <c r="C84" s="48">
        <f>_xll.RssMarket("5411","安値")</f>
        <v>1630.5</v>
      </c>
      <c r="D84" s="16">
        <f t="shared" si="1"/>
        <v>0</v>
      </c>
      <c r="E84" s="22">
        <v>1630.5</v>
      </c>
      <c r="F84" s="22">
        <v>1641.5</v>
      </c>
      <c r="G84" s="22">
        <v>1624.5</v>
      </c>
      <c r="H84" s="22">
        <v>1590</v>
      </c>
      <c r="I84" s="22">
        <v>1556</v>
      </c>
      <c r="J84" s="22">
        <v>1557.5</v>
      </c>
      <c r="K84" s="22">
        <v>1573.5</v>
      </c>
      <c r="L84" s="22">
        <v>1599</v>
      </c>
      <c r="M84" s="22">
        <v>1587</v>
      </c>
      <c r="N84" s="22">
        <v>1591.5</v>
      </c>
      <c r="O84" s="22">
        <v>1596</v>
      </c>
      <c r="P84" s="22">
        <v>1683</v>
      </c>
      <c r="Q84" s="22">
        <v>1663.5</v>
      </c>
      <c r="R84" s="22">
        <v>1650.5</v>
      </c>
      <c r="S84" s="22">
        <v>1626</v>
      </c>
      <c r="T84" s="22">
        <v>1634.5</v>
      </c>
      <c r="U84" s="22">
        <v>1645.5</v>
      </c>
      <c r="V84" s="22">
        <v>1630.5</v>
      </c>
      <c r="W84" s="22">
        <v>1658</v>
      </c>
      <c r="X84" s="22">
        <v>1649</v>
      </c>
      <c r="Y84" s="22">
        <v>1664</v>
      </c>
      <c r="Z84" s="22">
        <v>1688.5</v>
      </c>
      <c r="AA84" s="22">
        <v>1694.5</v>
      </c>
      <c r="AB84" s="22">
        <v>1670.5</v>
      </c>
      <c r="AC84" s="22">
        <v>1676</v>
      </c>
      <c r="AD84" s="22">
        <v>1695</v>
      </c>
      <c r="AE84" s="22">
        <v>1712.5</v>
      </c>
      <c r="AF84" s="22">
        <v>1701</v>
      </c>
      <c r="AG84" s="22">
        <v>1685.5</v>
      </c>
      <c r="AH84" s="22">
        <v>1675</v>
      </c>
      <c r="AI84" s="22">
        <v>1667</v>
      </c>
      <c r="AJ84" s="22">
        <v>1679.5</v>
      </c>
      <c r="AK84" s="22">
        <v>1691</v>
      </c>
      <c r="AL84" s="22">
        <v>1715</v>
      </c>
      <c r="AM84" s="22">
        <v>1747.5</v>
      </c>
      <c r="AN84" s="22">
        <v>1771.5</v>
      </c>
      <c r="AO84" s="22">
        <v>1795.5</v>
      </c>
      <c r="AP84" s="22">
        <v>1821</v>
      </c>
      <c r="AQ84" s="22">
        <v>1818</v>
      </c>
      <c r="AR84" s="22">
        <v>1815.5</v>
      </c>
      <c r="AS84" s="22">
        <v>1835</v>
      </c>
      <c r="AT84" s="22">
        <v>1858.5</v>
      </c>
      <c r="AU84" s="22">
        <v>1862.5</v>
      </c>
      <c r="AV84" s="22">
        <v>1843.5</v>
      </c>
      <c r="AW84" s="22">
        <v>1823</v>
      </c>
      <c r="AX84" s="22">
        <v>1830.5</v>
      </c>
      <c r="AY84" s="22">
        <v>1845</v>
      </c>
      <c r="AZ84" s="22">
        <v>1824.5</v>
      </c>
      <c r="BA84" s="22">
        <v>1837</v>
      </c>
      <c r="BB84" s="22">
        <v>1805</v>
      </c>
      <c r="BC84" s="22">
        <v>1779</v>
      </c>
      <c r="BD84" s="22">
        <v>1870.5</v>
      </c>
      <c r="BE84" s="22">
        <v>1866</v>
      </c>
      <c r="BF84" s="22">
        <v>1887</v>
      </c>
      <c r="BG84" s="22">
        <v>1881.5</v>
      </c>
      <c r="BH84" s="22">
        <v>1837</v>
      </c>
      <c r="BI84" s="22">
        <v>1885</v>
      </c>
      <c r="BJ84" s="22">
        <v>1910</v>
      </c>
      <c r="BK84" s="22">
        <v>1892</v>
      </c>
      <c r="BL84" s="22">
        <v>1882</v>
      </c>
    </row>
    <row r="85" spans="1:64" ht="15.95" customHeight="1">
      <c r="A85" s="68" t="s">
        <v>342</v>
      </c>
      <c r="B85" s="44" t="s">
        <v>146</v>
      </c>
      <c r="C85" s="48">
        <f>_xll.RssMarket("7182","安値")</f>
        <v>3125</v>
      </c>
      <c r="D85" s="16">
        <f t="shared" si="1"/>
        <v>0</v>
      </c>
      <c r="E85" s="22">
        <v>3125</v>
      </c>
      <c r="F85" s="22">
        <v>3110</v>
      </c>
      <c r="G85" s="22">
        <v>3198</v>
      </c>
      <c r="H85" s="22">
        <v>3152</v>
      </c>
      <c r="I85" s="22">
        <v>3060</v>
      </c>
      <c r="J85" s="22">
        <v>3164</v>
      </c>
      <c r="K85" s="22">
        <v>3049</v>
      </c>
      <c r="L85" s="22">
        <v>3145</v>
      </c>
      <c r="M85" s="22">
        <v>3104</v>
      </c>
      <c r="N85" s="22">
        <v>3108</v>
      </c>
      <c r="O85" s="22">
        <v>2952.5</v>
      </c>
      <c r="P85" s="22">
        <v>2968</v>
      </c>
      <c r="Q85" s="22">
        <v>2901</v>
      </c>
      <c r="R85" s="22">
        <v>2968</v>
      </c>
      <c r="S85" s="22">
        <v>3061</v>
      </c>
      <c r="T85" s="22">
        <v>3104</v>
      </c>
      <c r="U85" s="22">
        <v>3140</v>
      </c>
      <c r="V85" s="22">
        <v>3021</v>
      </c>
      <c r="W85" s="22">
        <v>2991.5</v>
      </c>
      <c r="X85" s="22">
        <v>2859</v>
      </c>
      <c r="Y85" s="22">
        <v>2766.5</v>
      </c>
      <c r="Z85" s="22">
        <v>2816</v>
      </c>
      <c r="AA85" s="22">
        <v>2812.5</v>
      </c>
      <c r="AB85" s="22">
        <v>2802</v>
      </c>
      <c r="AC85" s="22">
        <v>2735</v>
      </c>
      <c r="AD85" s="22">
        <v>2700.5</v>
      </c>
      <c r="AE85" s="22">
        <v>2730.5</v>
      </c>
      <c r="AF85" s="22">
        <v>2620</v>
      </c>
      <c r="AG85" s="22">
        <v>2613.5</v>
      </c>
      <c r="AH85" s="22">
        <v>2546.5</v>
      </c>
      <c r="AI85" s="22">
        <v>2461.5</v>
      </c>
      <c r="AJ85" s="22">
        <v>2460.5</v>
      </c>
      <c r="AK85" s="22">
        <v>2513</v>
      </c>
      <c r="AL85" s="22">
        <v>2538.5</v>
      </c>
      <c r="AM85" s="22">
        <v>2600</v>
      </c>
      <c r="AN85" s="22">
        <v>2697.5</v>
      </c>
      <c r="AO85" s="22">
        <v>2731.5</v>
      </c>
      <c r="AP85" s="22">
        <v>2772.5</v>
      </c>
      <c r="AQ85" s="22">
        <v>2753.5</v>
      </c>
      <c r="AR85" s="22">
        <v>2701</v>
      </c>
      <c r="AS85" s="22">
        <v>2685.5</v>
      </c>
      <c r="AT85" s="22">
        <v>2698.5</v>
      </c>
      <c r="AU85" s="22">
        <v>2715</v>
      </c>
      <c r="AV85" s="22">
        <v>2754.5</v>
      </c>
      <c r="AW85" s="22">
        <v>2660</v>
      </c>
      <c r="AX85" s="22">
        <v>2633.5</v>
      </c>
      <c r="AY85" s="22">
        <v>2607.5</v>
      </c>
      <c r="AZ85" s="22">
        <v>2608</v>
      </c>
      <c r="BA85" s="22">
        <v>2640</v>
      </c>
      <c r="BB85" s="22">
        <v>2458.5</v>
      </c>
      <c r="BC85" s="22">
        <v>2452</v>
      </c>
      <c r="BD85" s="22">
        <v>2600</v>
      </c>
      <c r="BE85" s="22">
        <v>2596</v>
      </c>
      <c r="BF85" s="22">
        <v>2626</v>
      </c>
      <c r="BG85" s="22">
        <v>2525.5</v>
      </c>
      <c r="BH85" s="22">
        <v>2465</v>
      </c>
      <c r="BI85" s="22">
        <v>2587</v>
      </c>
      <c r="BJ85" s="22">
        <v>2621.5</v>
      </c>
      <c r="BK85" s="22">
        <v>2570</v>
      </c>
      <c r="BL85" s="22">
        <v>2562</v>
      </c>
    </row>
    <row r="86" spans="1:64" ht="15.95" customHeight="1">
      <c r="A86" s="68" t="s">
        <v>343</v>
      </c>
      <c r="B86" s="44" t="s">
        <v>147</v>
      </c>
      <c r="C86" s="48">
        <f>_xll.RssMarket("1963","安値")</f>
        <v>2673.5</v>
      </c>
      <c r="D86" s="16">
        <f t="shared" si="1"/>
        <v>0</v>
      </c>
      <c r="E86" s="22">
        <v>2673.5</v>
      </c>
      <c r="F86" s="22">
        <v>2622.5</v>
      </c>
      <c r="G86" s="22">
        <v>2659.5</v>
      </c>
      <c r="H86" s="22">
        <v>2512</v>
      </c>
      <c r="I86" s="22">
        <v>2416.5</v>
      </c>
      <c r="J86" s="22">
        <v>2495</v>
      </c>
      <c r="K86" s="22">
        <v>2525.5</v>
      </c>
      <c r="L86" s="22">
        <v>2589</v>
      </c>
      <c r="M86" s="22">
        <v>2580.5</v>
      </c>
      <c r="N86" s="22">
        <v>2615</v>
      </c>
      <c r="O86" s="22">
        <v>2560</v>
      </c>
      <c r="P86" s="22">
        <v>2636.5</v>
      </c>
      <c r="Q86" s="22">
        <v>2623</v>
      </c>
      <c r="R86" s="22">
        <v>2712</v>
      </c>
      <c r="S86" s="22">
        <v>2767</v>
      </c>
      <c r="T86" s="22">
        <v>2683</v>
      </c>
      <c r="U86" s="22">
        <v>2613.5</v>
      </c>
      <c r="V86" s="22">
        <v>2597.5</v>
      </c>
      <c r="W86" s="22">
        <v>2591</v>
      </c>
      <c r="X86" s="22">
        <v>2512.5</v>
      </c>
      <c r="Y86" s="22">
        <v>2614</v>
      </c>
      <c r="Z86" s="22">
        <v>2380</v>
      </c>
      <c r="AA86" s="22">
        <v>2343.5</v>
      </c>
      <c r="AB86" s="22">
        <v>2406</v>
      </c>
      <c r="AC86" s="22">
        <v>2392.5</v>
      </c>
      <c r="AD86" s="22">
        <v>2436</v>
      </c>
      <c r="AE86" s="22">
        <v>2399</v>
      </c>
      <c r="AF86" s="22">
        <v>2342</v>
      </c>
      <c r="AG86" s="22">
        <v>2363</v>
      </c>
      <c r="AH86" s="22">
        <v>2368</v>
      </c>
      <c r="AI86" s="22">
        <v>2276</v>
      </c>
      <c r="AJ86" s="22">
        <v>2331.5</v>
      </c>
      <c r="AK86" s="22">
        <v>2264</v>
      </c>
      <c r="AL86" s="22">
        <v>2313</v>
      </c>
      <c r="AM86" s="22">
        <v>2376.5</v>
      </c>
      <c r="AN86" s="22">
        <v>2423.5</v>
      </c>
      <c r="AO86" s="22">
        <v>2506</v>
      </c>
      <c r="AP86" s="22">
        <v>2497</v>
      </c>
      <c r="AQ86" s="22">
        <v>2569</v>
      </c>
      <c r="AR86" s="22">
        <v>2604.5</v>
      </c>
      <c r="AS86" s="22">
        <v>2688.5</v>
      </c>
      <c r="AT86" s="22">
        <v>2758</v>
      </c>
      <c r="AU86" s="22">
        <v>2674</v>
      </c>
      <c r="AV86" s="22">
        <v>2627</v>
      </c>
      <c r="AW86" s="22">
        <v>2511</v>
      </c>
      <c r="AX86" s="22">
        <v>2455.5</v>
      </c>
      <c r="AY86" s="22">
        <v>2444</v>
      </c>
      <c r="AZ86" s="22">
        <v>2452</v>
      </c>
      <c r="BA86" s="22">
        <v>2360</v>
      </c>
      <c r="BB86" s="22">
        <v>2231.5</v>
      </c>
      <c r="BC86" s="22">
        <v>2050.5</v>
      </c>
      <c r="BD86" s="22">
        <v>2138.5</v>
      </c>
      <c r="BE86" s="22">
        <v>2152</v>
      </c>
      <c r="BF86" s="22">
        <v>2152</v>
      </c>
      <c r="BG86" s="22">
        <v>2078</v>
      </c>
      <c r="BH86" s="22">
        <v>1995</v>
      </c>
      <c r="BI86" s="22">
        <v>2125</v>
      </c>
      <c r="BJ86" s="22">
        <v>2128</v>
      </c>
      <c r="BK86" s="22">
        <v>2063</v>
      </c>
      <c r="BL86" s="22">
        <v>2040.5</v>
      </c>
    </row>
    <row r="87" spans="1:64" ht="15.95" customHeight="1">
      <c r="A87" s="68" t="s">
        <v>344</v>
      </c>
      <c r="B87" s="44" t="s">
        <v>148</v>
      </c>
      <c r="C87" s="48">
        <f>_xll.RssMarket("2914","安値")</f>
        <v>6071</v>
      </c>
      <c r="D87" s="16">
        <f t="shared" si="1"/>
        <v>0</v>
      </c>
      <c r="E87" s="22">
        <v>6071</v>
      </c>
      <c r="F87" s="22">
        <v>6040</v>
      </c>
      <c r="G87" s="22">
        <v>6063</v>
      </c>
      <c r="H87" s="22">
        <v>6177</v>
      </c>
      <c r="I87" s="22">
        <v>6222</v>
      </c>
      <c r="J87" s="22">
        <v>6101</v>
      </c>
      <c r="K87" s="22">
        <v>6002</v>
      </c>
      <c r="L87" s="22">
        <v>5971</v>
      </c>
      <c r="M87" s="22">
        <v>6025</v>
      </c>
      <c r="N87" s="22">
        <v>6083</v>
      </c>
      <c r="O87" s="22">
        <v>6022</v>
      </c>
      <c r="P87" s="22">
        <v>6088</v>
      </c>
      <c r="Q87" s="22">
        <v>6090</v>
      </c>
      <c r="R87" s="22">
        <v>6062</v>
      </c>
      <c r="S87" s="22">
        <v>6060</v>
      </c>
      <c r="T87" s="22">
        <v>6126</v>
      </c>
      <c r="U87" s="22">
        <v>6233</v>
      </c>
      <c r="V87" s="22">
        <v>6308</v>
      </c>
      <c r="W87" s="22">
        <v>6325</v>
      </c>
      <c r="X87" s="22">
        <v>6313</v>
      </c>
      <c r="Y87" s="22">
        <v>6236</v>
      </c>
      <c r="Z87" s="22">
        <v>6172</v>
      </c>
      <c r="AA87" s="22">
        <v>6056</v>
      </c>
      <c r="AB87" s="22">
        <v>6044</v>
      </c>
      <c r="AC87" s="22">
        <v>5990</v>
      </c>
      <c r="AD87" s="22">
        <v>5769</v>
      </c>
      <c r="AE87" s="22">
        <v>5831</v>
      </c>
      <c r="AF87" s="22">
        <v>5795</v>
      </c>
      <c r="AG87" s="22">
        <v>5751</v>
      </c>
      <c r="AH87" s="22">
        <v>5696</v>
      </c>
      <c r="AI87" s="22">
        <v>5735</v>
      </c>
      <c r="AJ87" s="22">
        <v>5822</v>
      </c>
      <c r="AK87" s="22">
        <v>5695</v>
      </c>
      <c r="AL87" s="22">
        <v>5646</v>
      </c>
      <c r="AM87" s="22">
        <v>5757</v>
      </c>
      <c r="AN87" s="22">
        <v>5790</v>
      </c>
      <c r="AO87" s="22">
        <v>5800</v>
      </c>
      <c r="AP87" s="22">
        <v>5826</v>
      </c>
      <c r="AQ87" s="22">
        <v>5867</v>
      </c>
      <c r="AR87" s="22">
        <v>5874</v>
      </c>
      <c r="AS87" s="22">
        <v>5935</v>
      </c>
      <c r="AT87" s="22">
        <v>5971</v>
      </c>
      <c r="AU87" s="22">
        <v>6020</v>
      </c>
      <c r="AV87" s="22">
        <v>6081</v>
      </c>
      <c r="AW87" s="22">
        <v>6065</v>
      </c>
      <c r="AX87" s="22">
        <v>6083</v>
      </c>
      <c r="AY87" s="22">
        <v>6036</v>
      </c>
      <c r="AZ87" s="22">
        <v>5990</v>
      </c>
      <c r="BA87" s="22">
        <v>6008</v>
      </c>
      <c r="BB87" s="22">
        <v>5981</v>
      </c>
      <c r="BC87" s="22">
        <v>5865</v>
      </c>
      <c r="BD87" s="22">
        <v>5940</v>
      </c>
      <c r="BE87" s="22">
        <v>5917</v>
      </c>
      <c r="BF87" s="22">
        <v>5907</v>
      </c>
      <c r="BG87" s="22">
        <v>5752</v>
      </c>
      <c r="BH87" s="22">
        <v>5662</v>
      </c>
      <c r="BI87" s="22">
        <v>5844</v>
      </c>
      <c r="BJ87" s="22">
        <v>5893</v>
      </c>
      <c r="BK87" s="22">
        <v>5829</v>
      </c>
      <c r="BL87" s="22">
        <v>5747</v>
      </c>
    </row>
    <row r="88" spans="1:64" ht="15.95" customHeight="1">
      <c r="A88" s="68" t="s">
        <v>345</v>
      </c>
      <c r="B88" s="44" t="s">
        <v>149</v>
      </c>
      <c r="C88" s="48">
        <f>_xll.RssMarket("3003","安値")</f>
        <v>1702.5</v>
      </c>
      <c r="D88" s="16">
        <f t="shared" si="1"/>
        <v>0</v>
      </c>
      <c r="E88" s="22">
        <v>1702.5</v>
      </c>
      <c r="F88" s="22">
        <v>1698.5</v>
      </c>
      <c r="G88" s="22">
        <v>1733</v>
      </c>
      <c r="H88" s="22">
        <v>1711</v>
      </c>
      <c r="I88" s="22">
        <v>1715.5</v>
      </c>
      <c r="J88" s="22">
        <v>1689.5</v>
      </c>
      <c r="K88" s="22">
        <v>1654</v>
      </c>
      <c r="L88" s="22">
        <v>1647.5</v>
      </c>
      <c r="M88" s="22">
        <v>1630</v>
      </c>
      <c r="N88" s="22">
        <v>1643</v>
      </c>
      <c r="O88" s="22">
        <v>1620.5</v>
      </c>
      <c r="P88" s="22">
        <v>1671</v>
      </c>
      <c r="Q88" s="22">
        <v>1655</v>
      </c>
      <c r="R88" s="22">
        <v>1662.5</v>
      </c>
      <c r="S88" s="22">
        <v>1653</v>
      </c>
      <c r="T88" s="22">
        <v>1641</v>
      </c>
      <c r="U88" s="22">
        <v>1732.5</v>
      </c>
      <c r="V88" s="22">
        <v>1716</v>
      </c>
      <c r="W88" s="22">
        <v>1730</v>
      </c>
      <c r="X88" s="22">
        <v>1712.5</v>
      </c>
      <c r="Y88" s="22">
        <v>1742</v>
      </c>
      <c r="Z88" s="22">
        <v>1744</v>
      </c>
      <c r="AA88" s="22">
        <v>1795</v>
      </c>
      <c r="AB88" s="22">
        <v>1790</v>
      </c>
      <c r="AC88" s="22">
        <v>1782.5</v>
      </c>
      <c r="AD88" s="22">
        <v>1785</v>
      </c>
      <c r="AE88" s="22">
        <v>1788</v>
      </c>
      <c r="AF88" s="22">
        <v>1763</v>
      </c>
      <c r="AG88" s="22">
        <v>1762.5</v>
      </c>
      <c r="AH88" s="22">
        <v>1777</v>
      </c>
      <c r="AI88" s="22">
        <v>1742.5</v>
      </c>
      <c r="AJ88" s="22">
        <v>1810.5</v>
      </c>
      <c r="AK88" s="22">
        <v>1810.5</v>
      </c>
      <c r="AL88" s="22">
        <v>1818</v>
      </c>
      <c r="AM88" s="22">
        <v>1862.5</v>
      </c>
      <c r="AN88" s="22">
        <v>1890.5</v>
      </c>
      <c r="AO88" s="22">
        <v>1883.5</v>
      </c>
      <c r="AP88" s="22">
        <v>1888</v>
      </c>
      <c r="AQ88" s="22">
        <v>1891</v>
      </c>
      <c r="AR88" s="22">
        <v>1882</v>
      </c>
      <c r="AS88" s="22">
        <v>1869</v>
      </c>
      <c r="AT88" s="22">
        <v>1877</v>
      </c>
      <c r="AU88" s="22">
        <v>1895.5</v>
      </c>
      <c r="AV88" s="22">
        <v>1912</v>
      </c>
      <c r="AW88" s="22">
        <v>1881.5</v>
      </c>
      <c r="AX88" s="22">
        <v>1875.5</v>
      </c>
      <c r="AY88" s="22">
        <v>1866</v>
      </c>
      <c r="AZ88" s="22">
        <v>1868.5</v>
      </c>
      <c r="BA88" s="22">
        <v>1852</v>
      </c>
      <c r="BB88" s="22">
        <v>1829.5</v>
      </c>
      <c r="BC88" s="22">
        <v>1806.5</v>
      </c>
      <c r="BD88" s="22">
        <v>1847.5</v>
      </c>
      <c r="BE88" s="22">
        <v>1844.5</v>
      </c>
      <c r="BF88" s="22">
        <v>1850</v>
      </c>
      <c r="BG88" s="22">
        <v>1820.5</v>
      </c>
      <c r="BH88" s="22">
        <v>1796.5</v>
      </c>
      <c r="BI88" s="22">
        <v>1861.5</v>
      </c>
      <c r="BJ88" s="22">
        <v>1894</v>
      </c>
      <c r="BK88" s="22">
        <v>1877</v>
      </c>
      <c r="BL88" s="22">
        <v>1861</v>
      </c>
    </row>
    <row r="89" spans="1:64" ht="15.95" customHeight="1">
      <c r="A89" s="68" t="s">
        <v>346</v>
      </c>
      <c r="B89" s="44" t="s">
        <v>150</v>
      </c>
      <c r="C89" s="48">
        <f>_xll.RssMarket("5892","安値")</f>
        <v>2046</v>
      </c>
      <c r="D89" s="16">
        <f t="shared" si="1"/>
        <v>0</v>
      </c>
      <c r="E89" s="22">
        <v>2046</v>
      </c>
      <c r="F89" s="22">
        <v>1935</v>
      </c>
      <c r="G89" s="22">
        <v>1925</v>
      </c>
      <c r="H89" s="22">
        <v>1979</v>
      </c>
      <c r="I89" s="22">
        <v>2081</v>
      </c>
      <c r="J89" s="22">
        <v>2162</v>
      </c>
      <c r="K89" s="22">
        <v>2183</v>
      </c>
      <c r="L89" s="22">
        <v>2229</v>
      </c>
      <c r="M89" s="22">
        <v>2105</v>
      </c>
      <c r="N89" s="22">
        <v>2081</v>
      </c>
      <c r="O89" s="22">
        <v>2100</v>
      </c>
      <c r="P89" s="22">
        <v>2268</v>
      </c>
      <c r="Q89" s="22">
        <v>2373</v>
      </c>
      <c r="R89" s="22">
        <v>2340</v>
      </c>
      <c r="S89" s="22">
        <v>2371</v>
      </c>
      <c r="T89" s="22">
        <v>2425</v>
      </c>
      <c r="U89" s="22">
        <v>2505</v>
      </c>
      <c r="V89" s="22">
        <v>2557</v>
      </c>
      <c r="W89" s="22">
        <v>2447</v>
      </c>
      <c r="X89" s="22">
        <v>2384</v>
      </c>
      <c r="Y89" s="22">
        <v>1946</v>
      </c>
      <c r="Z89" s="22">
        <v>1936</v>
      </c>
      <c r="AA89" s="22">
        <v>1863</v>
      </c>
      <c r="AB89" s="22">
        <v>1923</v>
      </c>
      <c r="AC89" s="22">
        <v>1951</v>
      </c>
      <c r="AD89" s="22">
        <v>1939</v>
      </c>
      <c r="AE89" s="22">
        <v>1947</v>
      </c>
      <c r="AF89" s="22">
        <v>1902</v>
      </c>
      <c r="AG89" s="22">
        <v>1991</v>
      </c>
      <c r="AH89" s="22">
        <v>2040</v>
      </c>
      <c r="AI89" s="22">
        <v>2049</v>
      </c>
      <c r="AJ89" s="22">
        <v>2057</v>
      </c>
      <c r="AK89" s="22">
        <v>2149</v>
      </c>
      <c r="AL89" s="22">
        <v>2180</v>
      </c>
      <c r="AM89" s="22">
        <v>2167</v>
      </c>
      <c r="AN89" s="22">
        <v>2186</v>
      </c>
      <c r="AO89" s="22">
        <v>2185</v>
      </c>
      <c r="AP89" s="22">
        <v>2189</v>
      </c>
      <c r="AQ89" s="22">
        <v>2213</v>
      </c>
      <c r="AR89" s="22">
        <v>2155</v>
      </c>
      <c r="AS89" s="22">
        <v>2135</v>
      </c>
      <c r="AT89" s="22">
        <v>2145</v>
      </c>
      <c r="AU89" s="22">
        <v>2080</v>
      </c>
      <c r="AV89" s="22">
        <v>2026</v>
      </c>
      <c r="AW89" s="22">
        <v>2006</v>
      </c>
      <c r="AX89" s="22">
        <v>2010</v>
      </c>
      <c r="AY89" s="22">
        <v>2010</v>
      </c>
      <c r="AZ89" s="22">
        <v>2020</v>
      </c>
      <c r="BA89" s="22">
        <v>1980</v>
      </c>
      <c r="BB89" s="22">
        <v>1935</v>
      </c>
      <c r="BC89" s="22">
        <v>2040</v>
      </c>
      <c r="BD89" s="22">
        <v>2041</v>
      </c>
      <c r="BE89" s="22">
        <v>2060</v>
      </c>
      <c r="BF89" s="22">
        <v>2001</v>
      </c>
      <c r="BG89" s="22">
        <v>1945</v>
      </c>
      <c r="BH89" s="22">
        <v>2077</v>
      </c>
      <c r="BI89" s="22">
        <v>2145</v>
      </c>
      <c r="BJ89" s="22">
        <v>2176</v>
      </c>
      <c r="BK89" s="22">
        <v>2231</v>
      </c>
      <c r="BL89" s="22">
        <v>2170</v>
      </c>
    </row>
    <row r="90" spans="1:64" ht="15.95" customHeight="1">
      <c r="A90" s="68" t="s">
        <v>347</v>
      </c>
      <c r="B90" s="44" t="s">
        <v>151</v>
      </c>
      <c r="C90" s="48">
        <f>_xll.RssMarket("6323","安値")</f>
        <v>4305</v>
      </c>
      <c r="D90" s="16">
        <f t="shared" si="1"/>
        <v>0</v>
      </c>
      <c r="E90" s="22">
        <v>4305</v>
      </c>
      <c r="F90" s="22">
        <v>4375</v>
      </c>
      <c r="G90" s="22">
        <v>4286</v>
      </c>
      <c r="H90" s="22">
        <v>4060</v>
      </c>
      <c r="I90" s="22">
        <v>3659</v>
      </c>
      <c r="J90" s="22">
        <v>3788</v>
      </c>
      <c r="K90" s="22">
        <v>3807</v>
      </c>
      <c r="L90" s="22">
        <v>4002</v>
      </c>
      <c r="M90" s="22">
        <v>4213</v>
      </c>
      <c r="N90" s="22">
        <v>3959</v>
      </c>
      <c r="O90" s="22">
        <v>3616</v>
      </c>
      <c r="P90" s="22">
        <v>3843</v>
      </c>
      <c r="Q90" s="22">
        <v>3742</v>
      </c>
      <c r="R90" s="22">
        <v>3854</v>
      </c>
      <c r="S90" s="22">
        <v>3982</v>
      </c>
      <c r="T90" s="22">
        <v>3755</v>
      </c>
      <c r="U90" s="22">
        <v>3604</v>
      </c>
      <c r="V90" s="22">
        <v>3421</v>
      </c>
      <c r="W90" s="22">
        <v>3538</v>
      </c>
      <c r="X90" s="22">
        <v>3633</v>
      </c>
      <c r="Y90" s="22">
        <v>3688</v>
      </c>
      <c r="Z90" s="22">
        <v>3995</v>
      </c>
      <c r="AA90" s="22">
        <v>3882</v>
      </c>
      <c r="AB90" s="22">
        <v>3971</v>
      </c>
      <c r="AC90" s="22">
        <v>3952</v>
      </c>
      <c r="AD90" s="22">
        <v>3857</v>
      </c>
      <c r="AE90" s="22">
        <v>3896</v>
      </c>
      <c r="AF90" s="22">
        <v>3695</v>
      </c>
      <c r="AG90" s="22">
        <v>3643</v>
      </c>
      <c r="AH90" s="22">
        <v>3820</v>
      </c>
      <c r="AI90" s="22">
        <v>3868</v>
      </c>
      <c r="AJ90" s="22">
        <v>3556</v>
      </c>
      <c r="AK90" s="22">
        <v>3491</v>
      </c>
      <c r="AL90" s="22">
        <v>3523</v>
      </c>
      <c r="AM90" s="22">
        <v>3582</v>
      </c>
      <c r="AN90" s="22">
        <v>3624</v>
      </c>
      <c r="AO90" s="22">
        <v>3615</v>
      </c>
      <c r="AP90" s="22">
        <v>3697</v>
      </c>
      <c r="AQ90" s="22">
        <v>3759</v>
      </c>
      <c r="AR90" s="22">
        <v>3895</v>
      </c>
      <c r="AS90" s="22">
        <v>3841</v>
      </c>
      <c r="AT90" s="22">
        <v>3666</v>
      </c>
      <c r="AU90" s="22">
        <v>3113</v>
      </c>
      <c r="AV90" s="22">
        <v>3020</v>
      </c>
      <c r="AW90" s="22">
        <v>2827.5</v>
      </c>
      <c r="AX90" s="22">
        <v>2735</v>
      </c>
      <c r="AY90" s="22">
        <v>2671.5</v>
      </c>
      <c r="AZ90" s="22">
        <v>2596.5</v>
      </c>
      <c r="BA90" s="22">
        <v>2690</v>
      </c>
      <c r="BB90" s="22">
        <v>2461.5</v>
      </c>
      <c r="BC90" s="22">
        <v>2502.5</v>
      </c>
      <c r="BD90" s="22">
        <v>2636.5</v>
      </c>
      <c r="BE90" s="22">
        <v>2744.5</v>
      </c>
      <c r="BF90" s="22">
        <v>2810</v>
      </c>
      <c r="BG90" s="22">
        <v>2663.5</v>
      </c>
      <c r="BH90" s="22">
        <v>2627</v>
      </c>
      <c r="BI90" s="22">
        <v>2758.5</v>
      </c>
      <c r="BJ90" s="22">
        <v>2792</v>
      </c>
      <c r="BK90" s="22">
        <v>2791</v>
      </c>
      <c r="BL90" s="22">
        <v>2838.5</v>
      </c>
    </row>
    <row r="91" spans="1:64" ht="15.95" customHeight="1">
      <c r="A91" s="68" t="s">
        <v>348</v>
      </c>
      <c r="B91" s="44" t="s">
        <v>152</v>
      </c>
      <c r="C91" s="48">
        <f>_xll.RssMarket("6501","安値")</f>
        <v>4670</v>
      </c>
      <c r="D91" s="16">
        <f t="shared" si="1"/>
        <v>0</v>
      </c>
      <c r="E91" s="22">
        <v>4670</v>
      </c>
      <c r="F91" s="22">
        <v>4646</v>
      </c>
      <c r="G91" s="22">
        <v>4703</v>
      </c>
      <c r="H91" s="22">
        <v>4585</v>
      </c>
      <c r="I91" s="22">
        <v>4579</v>
      </c>
      <c r="J91" s="22">
        <v>4782</v>
      </c>
      <c r="K91" s="22">
        <v>4968</v>
      </c>
      <c r="L91" s="22">
        <v>5141</v>
      </c>
      <c r="M91" s="22">
        <v>5131</v>
      </c>
      <c r="N91" s="22">
        <v>5129</v>
      </c>
      <c r="O91" s="22">
        <v>4987</v>
      </c>
      <c r="P91" s="22">
        <v>5166</v>
      </c>
      <c r="Q91" s="22">
        <v>4962</v>
      </c>
      <c r="R91" s="22">
        <v>4955</v>
      </c>
      <c r="S91" s="22">
        <v>5000</v>
      </c>
      <c r="T91" s="22">
        <v>4995</v>
      </c>
      <c r="U91" s="22">
        <v>4882</v>
      </c>
      <c r="V91" s="22">
        <v>4814</v>
      </c>
      <c r="W91" s="22">
        <v>4863</v>
      </c>
      <c r="X91" s="22">
        <v>4723</v>
      </c>
      <c r="Y91" s="22">
        <v>4683</v>
      </c>
      <c r="Z91" s="22">
        <v>4646</v>
      </c>
      <c r="AA91" s="22">
        <v>4702</v>
      </c>
      <c r="AB91" s="22">
        <v>4812</v>
      </c>
      <c r="AC91" s="22">
        <v>4795</v>
      </c>
      <c r="AD91" s="22">
        <v>4806</v>
      </c>
      <c r="AE91" s="22">
        <v>4850</v>
      </c>
      <c r="AF91" s="22">
        <v>4775</v>
      </c>
      <c r="AG91" s="22">
        <v>4828</v>
      </c>
      <c r="AH91" s="22">
        <v>4990</v>
      </c>
      <c r="AI91" s="22">
        <v>5258</v>
      </c>
      <c r="AJ91" s="22">
        <v>5095</v>
      </c>
      <c r="AK91" s="22">
        <v>5130</v>
      </c>
      <c r="AL91" s="22">
        <v>5034</v>
      </c>
      <c r="AM91" s="22">
        <v>5097</v>
      </c>
      <c r="AN91" s="22">
        <v>5117</v>
      </c>
      <c r="AO91" s="22">
        <v>5109</v>
      </c>
      <c r="AP91" s="22">
        <v>5157</v>
      </c>
      <c r="AQ91" s="22">
        <v>5025</v>
      </c>
      <c r="AR91" s="22">
        <v>4855</v>
      </c>
      <c r="AS91" s="22">
        <v>4826</v>
      </c>
      <c r="AT91" s="22">
        <v>4770</v>
      </c>
      <c r="AU91" s="22">
        <v>4818</v>
      </c>
      <c r="AV91" s="22">
        <v>4850</v>
      </c>
      <c r="AW91" s="22">
        <v>4712</v>
      </c>
      <c r="AX91" s="22">
        <v>4719</v>
      </c>
      <c r="AY91" s="22">
        <v>4780</v>
      </c>
      <c r="AZ91" s="22">
        <v>4639</v>
      </c>
      <c r="BA91" s="22">
        <v>4642</v>
      </c>
      <c r="BB91" s="22">
        <v>4446</v>
      </c>
      <c r="BC91" s="22">
        <v>4388</v>
      </c>
      <c r="BD91" s="22">
        <v>4672</v>
      </c>
      <c r="BE91" s="22">
        <v>4719</v>
      </c>
      <c r="BF91" s="22">
        <v>4812</v>
      </c>
      <c r="BG91" s="22">
        <v>4742</v>
      </c>
      <c r="BH91" s="22">
        <v>4636</v>
      </c>
      <c r="BI91" s="22">
        <v>4791</v>
      </c>
      <c r="BJ91" s="22">
        <v>4812</v>
      </c>
      <c r="BK91" s="22">
        <v>4776</v>
      </c>
      <c r="BL91" s="22">
        <v>4762</v>
      </c>
    </row>
    <row r="92" spans="1:64" ht="15.95" customHeight="1">
      <c r="A92" s="68" t="s">
        <v>349</v>
      </c>
      <c r="B92" s="44" t="s">
        <v>153</v>
      </c>
      <c r="C92" s="48">
        <f>_xll.RssMarket("6134","安値")</f>
        <v>8162</v>
      </c>
      <c r="D92" s="16">
        <f t="shared" si="1"/>
        <v>0</v>
      </c>
      <c r="E92" s="22">
        <v>8162</v>
      </c>
      <c r="F92" s="22">
        <v>8135</v>
      </c>
      <c r="G92" s="22">
        <v>7827</v>
      </c>
      <c r="H92" s="22">
        <v>7530</v>
      </c>
      <c r="I92" s="22">
        <v>6890</v>
      </c>
      <c r="J92" s="22">
        <v>7180</v>
      </c>
      <c r="K92" s="22">
        <v>6879</v>
      </c>
      <c r="L92" s="22">
        <v>7462</v>
      </c>
      <c r="M92" s="22">
        <v>7509</v>
      </c>
      <c r="N92" s="22">
        <v>7788</v>
      </c>
      <c r="O92" s="22">
        <v>7637</v>
      </c>
      <c r="P92" s="22">
        <v>7938</v>
      </c>
      <c r="Q92" s="22">
        <v>7568</v>
      </c>
      <c r="R92" s="22">
        <v>7760</v>
      </c>
      <c r="S92" s="22">
        <v>7980</v>
      </c>
      <c r="T92" s="22">
        <v>7652</v>
      </c>
      <c r="U92" s="22">
        <v>7550</v>
      </c>
      <c r="V92" s="22">
        <v>7051</v>
      </c>
      <c r="W92" s="22">
        <v>7385</v>
      </c>
      <c r="X92" s="22">
        <v>7735</v>
      </c>
      <c r="Y92" s="22">
        <v>7694</v>
      </c>
      <c r="Z92" s="22">
        <v>7001</v>
      </c>
      <c r="AA92" s="22">
        <v>6712</v>
      </c>
      <c r="AB92" s="22">
        <v>6751</v>
      </c>
      <c r="AC92" s="22">
        <v>6559</v>
      </c>
      <c r="AD92" s="22">
        <v>6227</v>
      </c>
      <c r="AE92" s="22">
        <v>6188</v>
      </c>
      <c r="AF92" s="22">
        <v>6000</v>
      </c>
      <c r="AG92" s="22">
        <v>5867</v>
      </c>
      <c r="AH92" s="22">
        <v>5970</v>
      </c>
      <c r="AI92" s="22">
        <v>5875</v>
      </c>
      <c r="AJ92" s="22">
        <v>5739</v>
      </c>
      <c r="AK92" s="22">
        <v>5659</v>
      </c>
      <c r="AL92" s="22">
        <v>5893</v>
      </c>
      <c r="AM92" s="22">
        <v>5851</v>
      </c>
      <c r="AN92" s="22">
        <v>5698</v>
      </c>
      <c r="AO92" s="22">
        <v>5625</v>
      </c>
      <c r="AP92" s="22">
        <v>5721</v>
      </c>
      <c r="AQ92" s="22">
        <v>5678</v>
      </c>
      <c r="AR92" s="22">
        <v>5618</v>
      </c>
      <c r="AS92" s="22">
        <v>5416</v>
      </c>
      <c r="AT92" s="22">
        <v>5390</v>
      </c>
      <c r="AU92" s="22">
        <v>5235</v>
      </c>
      <c r="AV92" s="22">
        <v>5198</v>
      </c>
      <c r="AW92" s="22">
        <v>4855</v>
      </c>
      <c r="AX92" s="22">
        <v>4910</v>
      </c>
      <c r="AY92" s="22">
        <v>4875</v>
      </c>
      <c r="AZ92" s="22">
        <v>4810</v>
      </c>
      <c r="BA92" s="22">
        <v>4875</v>
      </c>
      <c r="BB92" s="22">
        <v>4587</v>
      </c>
      <c r="BC92" s="22">
        <v>4644</v>
      </c>
      <c r="BD92" s="22">
        <v>4880</v>
      </c>
      <c r="BE92" s="22">
        <v>5106</v>
      </c>
      <c r="BF92" s="22">
        <v>5069</v>
      </c>
      <c r="BG92" s="22">
        <v>4867</v>
      </c>
      <c r="BH92" s="22">
        <v>4731</v>
      </c>
      <c r="BI92" s="22">
        <v>5060</v>
      </c>
      <c r="BJ92" s="22">
        <v>5254</v>
      </c>
      <c r="BK92" s="22">
        <v>5137</v>
      </c>
      <c r="BL92" s="22">
        <v>5114</v>
      </c>
    </row>
    <row r="93" spans="1:64" ht="15.95" customHeight="1">
      <c r="A93" s="68" t="s">
        <v>350</v>
      </c>
      <c r="B93" s="44" t="s">
        <v>154</v>
      </c>
      <c r="C93" s="48">
        <f>_xll.RssMarket("7746","安値")</f>
        <v>811</v>
      </c>
      <c r="D93" s="16">
        <f t="shared" si="1"/>
        <v>0</v>
      </c>
      <c r="E93" s="22">
        <v>811</v>
      </c>
      <c r="F93" s="22">
        <v>718</v>
      </c>
      <c r="G93" s="22">
        <v>737</v>
      </c>
      <c r="H93" s="22">
        <v>702</v>
      </c>
      <c r="I93" s="22">
        <v>660</v>
      </c>
      <c r="J93" s="22">
        <v>680</v>
      </c>
      <c r="K93" s="22">
        <v>722</v>
      </c>
      <c r="L93" s="22">
        <v>751</v>
      </c>
      <c r="M93" s="22">
        <v>755</v>
      </c>
      <c r="N93" s="22">
        <v>763</v>
      </c>
      <c r="O93" s="22">
        <v>760</v>
      </c>
      <c r="P93" s="22">
        <v>818</v>
      </c>
      <c r="Q93" s="22">
        <v>817</v>
      </c>
      <c r="R93" s="22">
        <v>850</v>
      </c>
      <c r="S93" s="22">
        <v>880</v>
      </c>
      <c r="T93" s="22">
        <v>877</v>
      </c>
      <c r="U93" s="22">
        <v>920</v>
      </c>
      <c r="V93" s="22">
        <v>958</v>
      </c>
      <c r="W93" s="22">
        <v>925</v>
      </c>
      <c r="X93" s="22">
        <v>829</v>
      </c>
      <c r="Y93" s="22">
        <v>746</v>
      </c>
      <c r="Z93" s="22">
        <v>760</v>
      </c>
      <c r="AA93" s="22">
        <v>761</v>
      </c>
      <c r="AB93" s="22">
        <v>758</v>
      </c>
      <c r="AC93" s="22">
        <v>820</v>
      </c>
      <c r="AD93" s="22">
        <v>840</v>
      </c>
      <c r="AE93" s="22">
        <v>833</v>
      </c>
      <c r="AF93" s="22">
        <v>805</v>
      </c>
      <c r="AG93" s="22">
        <v>850</v>
      </c>
      <c r="AH93" s="22">
        <v>920</v>
      </c>
      <c r="AI93" s="22">
        <v>917</v>
      </c>
      <c r="AJ93" s="22">
        <v>955</v>
      </c>
      <c r="AK93" s="22">
        <v>976</v>
      </c>
      <c r="AL93" s="22">
        <v>985</v>
      </c>
      <c r="AM93" s="22">
        <v>983</v>
      </c>
      <c r="AN93" s="22">
        <v>949</v>
      </c>
      <c r="AO93" s="22">
        <v>938</v>
      </c>
      <c r="AP93" s="22">
        <v>958</v>
      </c>
      <c r="AQ93" s="22">
        <v>969</v>
      </c>
      <c r="AR93" s="22">
        <v>972</v>
      </c>
      <c r="AS93" s="22">
        <v>952</v>
      </c>
      <c r="AT93" s="22">
        <v>1010</v>
      </c>
      <c r="AU93" s="22">
        <v>1033</v>
      </c>
      <c r="AV93" s="22">
        <v>1001</v>
      </c>
      <c r="AW93" s="22">
        <v>986</v>
      </c>
      <c r="AX93" s="22">
        <v>995</v>
      </c>
      <c r="AY93" s="22">
        <v>1004</v>
      </c>
      <c r="AZ93" s="22">
        <v>1020</v>
      </c>
      <c r="BA93" s="22">
        <v>1064</v>
      </c>
      <c r="BB93" s="22">
        <v>943</v>
      </c>
      <c r="BC93" s="22">
        <v>910</v>
      </c>
      <c r="BD93" s="22">
        <v>938</v>
      </c>
      <c r="BE93" s="22">
        <v>968</v>
      </c>
      <c r="BF93" s="22">
        <v>997</v>
      </c>
      <c r="BG93" s="22">
        <v>976</v>
      </c>
      <c r="BH93" s="22">
        <v>1008</v>
      </c>
      <c r="BI93" s="22">
        <v>1055</v>
      </c>
      <c r="BJ93" s="22">
        <v>1089</v>
      </c>
      <c r="BK93" s="22">
        <v>1050</v>
      </c>
      <c r="BL93" s="22">
        <v>1113</v>
      </c>
    </row>
    <row r="94" spans="1:64" ht="15.95" customHeight="1">
      <c r="A94" s="68" t="s">
        <v>351</v>
      </c>
      <c r="B94" s="44" t="s">
        <v>155</v>
      </c>
      <c r="C94" s="48">
        <f>_xll.RssMarket("3407","安値")</f>
        <v>1750</v>
      </c>
      <c r="D94" s="16">
        <f t="shared" si="1"/>
        <v>0</v>
      </c>
      <c r="E94" s="22">
        <v>1750</v>
      </c>
      <c r="F94" s="22">
        <v>1730</v>
      </c>
      <c r="G94" s="22">
        <v>1756</v>
      </c>
      <c r="H94" s="22">
        <v>1770</v>
      </c>
      <c r="I94" s="22">
        <v>1707.5</v>
      </c>
      <c r="J94" s="22">
        <v>1732</v>
      </c>
      <c r="K94" s="22">
        <v>1727</v>
      </c>
      <c r="L94" s="22">
        <v>1762.5</v>
      </c>
      <c r="M94" s="22">
        <v>1745</v>
      </c>
      <c r="N94" s="22">
        <v>1743</v>
      </c>
      <c r="O94" s="22">
        <v>1700.5</v>
      </c>
      <c r="P94" s="22">
        <v>1765</v>
      </c>
      <c r="Q94" s="22">
        <v>1707</v>
      </c>
      <c r="R94" s="22">
        <v>1742.5</v>
      </c>
      <c r="S94" s="22">
        <v>1741</v>
      </c>
      <c r="T94" s="22">
        <v>1695.5</v>
      </c>
      <c r="U94" s="22">
        <v>1680.5</v>
      </c>
      <c r="V94" s="22">
        <v>1671.5</v>
      </c>
      <c r="W94" s="22">
        <v>1678.5</v>
      </c>
      <c r="X94" s="22">
        <v>1667</v>
      </c>
      <c r="Y94" s="22">
        <v>1705.5</v>
      </c>
      <c r="Z94" s="22">
        <v>1708</v>
      </c>
      <c r="AA94" s="22">
        <v>1645.5</v>
      </c>
      <c r="AB94" s="22">
        <v>1541</v>
      </c>
      <c r="AC94" s="22">
        <v>1516.5</v>
      </c>
      <c r="AD94" s="22">
        <v>1506.5</v>
      </c>
      <c r="AE94" s="22">
        <v>1537</v>
      </c>
      <c r="AF94" s="22">
        <v>1503.5</v>
      </c>
      <c r="AG94" s="22">
        <v>1508.5</v>
      </c>
      <c r="AH94" s="22">
        <v>1527</v>
      </c>
      <c r="AI94" s="22">
        <v>1505</v>
      </c>
      <c r="AJ94" s="22">
        <v>1508</v>
      </c>
      <c r="AK94" s="22">
        <v>1488</v>
      </c>
      <c r="AL94" s="22">
        <v>1528</v>
      </c>
      <c r="AM94" s="22">
        <v>1558.5</v>
      </c>
      <c r="AN94" s="22">
        <v>1556.5</v>
      </c>
      <c r="AO94" s="22">
        <v>1591</v>
      </c>
      <c r="AP94" s="22">
        <v>1560</v>
      </c>
      <c r="AQ94" s="22">
        <v>1540.5</v>
      </c>
      <c r="AR94" s="22">
        <v>1564</v>
      </c>
      <c r="AS94" s="22">
        <v>1601</v>
      </c>
      <c r="AT94" s="22">
        <v>1634</v>
      </c>
      <c r="AU94" s="22">
        <v>1632.5</v>
      </c>
      <c r="AV94" s="22">
        <v>1621.5</v>
      </c>
      <c r="AW94" s="22">
        <v>1529</v>
      </c>
      <c r="AX94" s="22">
        <v>1537.5</v>
      </c>
      <c r="AY94" s="22">
        <v>1551</v>
      </c>
      <c r="AZ94" s="22">
        <v>1544.5</v>
      </c>
      <c r="BA94" s="22">
        <v>1543</v>
      </c>
      <c r="BB94" s="22">
        <v>1488</v>
      </c>
      <c r="BC94" s="22">
        <v>1450</v>
      </c>
      <c r="BD94" s="22">
        <v>1544</v>
      </c>
      <c r="BE94" s="22">
        <v>1545</v>
      </c>
      <c r="BF94" s="22">
        <v>1555</v>
      </c>
      <c r="BG94" s="22">
        <v>1504.5</v>
      </c>
      <c r="BH94" s="22">
        <v>1459</v>
      </c>
      <c r="BI94" s="22">
        <v>1545</v>
      </c>
      <c r="BJ94" s="22">
        <v>1610</v>
      </c>
      <c r="BK94" s="22">
        <v>1594</v>
      </c>
      <c r="BL94" s="22">
        <v>1572</v>
      </c>
    </row>
    <row r="95" spans="1:64" ht="15.95" customHeight="1">
      <c r="A95" s="68" t="s">
        <v>352</v>
      </c>
      <c r="B95" s="44" t="s">
        <v>156</v>
      </c>
      <c r="C95" s="48">
        <f>_xll.RssMarket("4008","安値")</f>
        <v>1317</v>
      </c>
      <c r="D95" s="16">
        <f t="shared" si="1"/>
        <v>0</v>
      </c>
      <c r="E95" s="2">
        <v>1317</v>
      </c>
      <c r="F95" s="33">
        <v>1313</v>
      </c>
      <c r="G95" s="33">
        <v>1305</v>
      </c>
      <c r="H95" s="33">
        <v>1277</v>
      </c>
      <c r="I95" s="33">
        <v>1226</v>
      </c>
      <c r="J95" s="33">
        <v>1250</v>
      </c>
      <c r="K95" s="33">
        <v>1236</v>
      </c>
      <c r="L95" s="33">
        <v>1265</v>
      </c>
      <c r="M95" s="33">
        <v>1270</v>
      </c>
      <c r="N95" s="33">
        <v>1297</v>
      </c>
      <c r="O95" s="33">
        <v>1233</v>
      </c>
      <c r="P95" s="33">
        <v>1320</v>
      </c>
      <c r="Q95" s="33">
        <v>1297</v>
      </c>
      <c r="R95" s="33">
        <v>1260</v>
      </c>
      <c r="S95" s="33">
        <v>1265</v>
      </c>
      <c r="T95" s="33">
        <v>1240</v>
      </c>
      <c r="U95" s="33">
        <v>1231</v>
      </c>
      <c r="V95" s="33">
        <v>1201</v>
      </c>
      <c r="W95" s="33">
        <v>1218</v>
      </c>
      <c r="X95" s="33">
        <v>1237</v>
      </c>
      <c r="Y95" s="33">
        <v>1228</v>
      </c>
      <c r="Z95" s="33">
        <v>1229</v>
      </c>
      <c r="AA95" s="33">
        <v>1201</v>
      </c>
      <c r="AB95" s="33">
        <v>1151</v>
      </c>
      <c r="AC95" s="33">
        <v>1204</v>
      </c>
      <c r="AD95" s="33">
        <v>1189</v>
      </c>
      <c r="AE95" s="33">
        <v>1206</v>
      </c>
      <c r="AF95" s="33">
        <v>1182</v>
      </c>
      <c r="AG95" s="33">
        <v>1183</v>
      </c>
      <c r="AH95" s="33">
        <v>1191</v>
      </c>
      <c r="AI95" s="33">
        <v>1184</v>
      </c>
      <c r="AJ95" s="33">
        <v>1193</v>
      </c>
      <c r="AK95" s="33">
        <v>1181</v>
      </c>
      <c r="AL95" s="33">
        <v>1196</v>
      </c>
      <c r="AM95" s="33">
        <v>1239</v>
      </c>
      <c r="AN95" s="33">
        <v>1267</v>
      </c>
      <c r="AO95" s="33">
        <v>1264</v>
      </c>
      <c r="AP95" s="33">
        <v>1274</v>
      </c>
      <c r="AQ95" s="33">
        <v>1277</v>
      </c>
      <c r="AR95" s="33">
        <v>1257</v>
      </c>
      <c r="AS95" s="33">
        <v>1244</v>
      </c>
      <c r="AT95" s="33">
        <v>1251</v>
      </c>
      <c r="AU95" s="33">
        <v>1250</v>
      </c>
      <c r="AV95" s="33">
        <v>1252</v>
      </c>
      <c r="AW95" s="33">
        <v>1224</v>
      </c>
      <c r="AX95" s="33">
        <v>1220</v>
      </c>
      <c r="AY95" s="33">
        <v>1210</v>
      </c>
      <c r="AZ95" s="33">
        <v>1205</v>
      </c>
      <c r="BA95" s="33">
        <v>1198</v>
      </c>
      <c r="BB95" s="33">
        <v>1167</v>
      </c>
      <c r="BC95" s="33">
        <v>1141</v>
      </c>
      <c r="BD95" s="33">
        <v>1248</v>
      </c>
      <c r="BE95" s="33">
        <v>1256</v>
      </c>
      <c r="BF95" s="33">
        <v>1264</v>
      </c>
      <c r="BG95" s="33">
        <v>1230</v>
      </c>
      <c r="BH95" s="33">
        <v>1196</v>
      </c>
      <c r="BI95" s="33">
        <v>1268</v>
      </c>
      <c r="BJ95" s="33">
        <v>1320</v>
      </c>
      <c r="BK95" s="33">
        <v>1308</v>
      </c>
      <c r="BL95" s="33">
        <v>1308</v>
      </c>
    </row>
    <row r="96" spans="1:64" ht="15.95" customHeight="1">
      <c r="A96" s="68" t="s">
        <v>353</v>
      </c>
      <c r="B96" s="44" t="s">
        <v>157</v>
      </c>
      <c r="C96" s="48">
        <f>_xll.RssMarket("4062","安値")</f>
        <v>21860</v>
      </c>
      <c r="D96" s="16">
        <f t="shared" si="1"/>
        <v>0</v>
      </c>
      <c r="E96" s="33">
        <v>21860</v>
      </c>
      <c r="F96" s="33">
        <v>22250</v>
      </c>
      <c r="G96" s="33">
        <v>20565</v>
      </c>
      <c r="H96" s="33">
        <v>18905</v>
      </c>
      <c r="I96" s="33">
        <v>16505</v>
      </c>
      <c r="J96" s="33">
        <v>17110</v>
      </c>
      <c r="K96" s="33">
        <v>16120</v>
      </c>
      <c r="L96" s="33">
        <v>17950</v>
      </c>
      <c r="M96" s="33">
        <v>19965</v>
      </c>
      <c r="N96" s="33">
        <v>21125</v>
      </c>
      <c r="O96" s="33">
        <v>20265</v>
      </c>
      <c r="P96" s="33">
        <v>19505</v>
      </c>
      <c r="Q96" s="33">
        <v>19135</v>
      </c>
      <c r="R96" s="33">
        <v>20110</v>
      </c>
      <c r="S96" s="33">
        <v>19535</v>
      </c>
      <c r="T96" s="33">
        <v>17960</v>
      </c>
      <c r="U96" s="33">
        <v>16975</v>
      </c>
      <c r="V96" s="33">
        <v>14650</v>
      </c>
      <c r="W96" s="33">
        <v>15005</v>
      </c>
      <c r="X96" s="33">
        <v>14970</v>
      </c>
      <c r="Y96" s="33">
        <v>15280</v>
      </c>
      <c r="Z96" s="33">
        <v>16625</v>
      </c>
      <c r="AA96" s="33">
        <v>15865</v>
      </c>
      <c r="AB96" s="33">
        <v>15235</v>
      </c>
      <c r="AC96" s="33">
        <v>15200</v>
      </c>
      <c r="AD96" s="33">
        <v>14820</v>
      </c>
      <c r="AE96" s="33">
        <v>14805</v>
      </c>
      <c r="AF96" s="33">
        <v>13035</v>
      </c>
      <c r="AG96" s="33">
        <v>13070</v>
      </c>
      <c r="AH96" s="33">
        <v>12355</v>
      </c>
      <c r="AI96" s="33">
        <v>12200</v>
      </c>
      <c r="AJ96" s="33">
        <v>12090</v>
      </c>
      <c r="AK96" s="33">
        <v>10870</v>
      </c>
      <c r="AL96" s="33">
        <v>10395</v>
      </c>
      <c r="AM96" s="33">
        <v>9769</v>
      </c>
      <c r="AN96" s="33">
        <v>9068</v>
      </c>
      <c r="AO96" s="33">
        <v>9228</v>
      </c>
      <c r="AP96" s="33">
        <v>9401</v>
      </c>
      <c r="AQ96" s="33">
        <v>9215</v>
      </c>
      <c r="AR96" s="33">
        <v>9672</v>
      </c>
      <c r="AS96" s="33">
        <v>9252</v>
      </c>
      <c r="AT96" s="33">
        <v>9772</v>
      </c>
      <c r="AU96" s="33">
        <v>9437</v>
      </c>
      <c r="AV96" s="33">
        <v>9251</v>
      </c>
      <c r="AW96" s="33">
        <v>8490</v>
      </c>
      <c r="AX96" s="33">
        <v>8257</v>
      </c>
      <c r="AY96" s="33">
        <v>7952</v>
      </c>
      <c r="AZ96" s="33">
        <v>7641</v>
      </c>
      <c r="BA96" s="33">
        <v>7821</v>
      </c>
      <c r="BB96" s="33">
        <v>7199</v>
      </c>
      <c r="BC96" s="33">
        <v>7464</v>
      </c>
      <c r="BD96" s="33">
        <v>7870</v>
      </c>
      <c r="BE96" s="33">
        <v>8318</v>
      </c>
      <c r="BF96" s="33">
        <v>8118</v>
      </c>
      <c r="BG96" s="33">
        <v>7607</v>
      </c>
      <c r="BH96" s="33">
        <v>7540</v>
      </c>
      <c r="BI96" s="33">
        <v>8065</v>
      </c>
      <c r="BJ96" s="33">
        <v>8188</v>
      </c>
      <c r="BK96" s="33">
        <v>8239</v>
      </c>
      <c r="BL96" s="33">
        <v>7820</v>
      </c>
    </row>
    <row r="97" spans="1:64" ht="15.95" customHeight="1">
      <c r="A97" s="68" t="s">
        <v>354</v>
      </c>
      <c r="B97" s="44" t="s">
        <v>158</v>
      </c>
      <c r="C97" s="48">
        <f>_xll.RssMarket("4182","安値")</f>
        <v>4945</v>
      </c>
      <c r="D97" s="16">
        <f t="shared" si="1"/>
        <v>0</v>
      </c>
      <c r="E97" s="33">
        <v>4945</v>
      </c>
      <c r="F97" s="33">
        <v>5012</v>
      </c>
      <c r="G97" s="33">
        <v>4961</v>
      </c>
      <c r="H97" s="33">
        <v>4744</v>
      </c>
      <c r="I97" s="33">
        <v>4200</v>
      </c>
      <c r="J97" s="33">
        <v>4406</v>
      </c>
      <c r="K97" s="33">
        <v>4640</v>
      </c>
      <c r="L97" s="33">
        <v>4916</v>
      </c>
      <c r="M97" s="33">
        <v>5203</v>
      </c>
      <c r="N97" s="33">
        <v>5325</v>
      </c>
      <c r="O97" s="33">
        <v>5119</v>
      </c>
      <c r="P97" s="33">
        <v>5450</v>
      </c>
      <c r="Q97" s="33">
        <v>5212</v>
      </c>
      <c r="R97" s="33">
        <v>5283</v>
      </c>
      <c r="S97" s="33">
        <v>5217</v>
      </c>
      <c r="T97" s="33">
        <v>4946</v>
      </c>
      <c r="U97" s="33">
        <v>4742</v>
      </c>
      <c r="V97" s="33">
        <v>4389</v>
      </c>
      <c r="W97" s="33">
        <v>4466</v>
      </c>
      <c r="X97" s="33">
        <v>4443</v>
      </c>
      <c r="Y97" s="33">
        <v>4594</v>
      </c>
      <c r="Z97" s="33">
        <v>4799</v>
      </c>
      <c r="AA97" s="33">
        <v>4650</v>
      </c>
      <c r="AB97" s="33">
        <v>4795</v>
      </c>
      <c r="AC97" s="33">
        <v>4590</v>
      </c>
      <c r="AD97" s="33">
        <v>4477</v>
      </c>
      <c r="AE97" s="33">
        <v>4445</v>
      </c>
      <c r="AF97" s="33">
        <v>4296</v>
      </c>
      <c r="AG97" s="33">
        <v>4335</v>
      </c>
      <c r="AH97" s="33">
        <v>4320</v>
      </c>
      <c r="AI97" s="33">
        <v>4251</v>
      </c>
      <c r="AJ97" s="33">
        <v>4351</v>
      </c>
      <c r="AK97" s="33">
        <v>4212</v>
      </c>
      <c r="AL97" s="33">
        <v>4268</v>
      </c>
      <c r="AM97" s="33">
        <v>4279</v>
      </c>
      <c r="AN97" s="33">
        <v>4231</v>
      </c>
      <c r="AO97" s="33">
        <v>4166</v>
      </c>
      <c r="AP97" s="33">
        <v>4156</v>
      </c>
      <c r="AQ97" s="33">
        <v>4119</v>
      </c>
      <c r="AR97" s="33">
        <v>4190</v>
      </c>
      <c r="AS97" s="33">
        <v>4083</v>
      </c>
      <c r="AT97" s="33">
        <v>4160</v>
      </c>
      <c r="AU97" s="33">
        <v>4131</v>
      </c>
      <c r="AV97" s="33">
        <v>4160</v>
      </c>
      <c r="AW97" s="33">
        <v>3890</v>
      </c>
      <c r="AX97" s="33">
        <v>3772</v>
      </c>
      <c r="AY97" s="33">
        <v>3750</v>
      </c>
      <c r="AZ97" s="33">
        <v>3677</v>
      </c>
      <c r="BA97" s="33">
        <v>3690</v>
      </c>
      <c r="BB97" s="33">
        <v>3508</v>
      </c>
      <c r="BC97" s="33">
        <v>3591</v>
      </c>
      <c r="BD97" s="33">
        <v>3805</v>
      </c>
      <c r="BE97" s="33">
        <v>3890</v>
      </c>
      <c r="BF97" s="33">
        <v>3996</v>
      </c>
      <c r="BG97" s="33">
        <v>3796</v>
      </c>
      <c r="BH97" s="33">
        <v>3712</v>
      </c>
      <c r="BI97" s="33">
        <v>3971</v>
      </c>
      <c r="BJ97" s="33">
        <v>4102</v>
      </c>
      <c r="BK97" s="33">
        <v>4014</v>
      </c>
      <c r="BL97" s="33">
        <v>4060</v>
      </c>
    </row>
    <row r="98" spans="1:64" ht="15.95" customHeight="1">
      <c r="A98" s="68" t="s">
        <v>355</v>
      </c>
      <c r="B98" s="44" t="s">
        <v>159</v>
      </c>
      <c r="C98" s="48">
        <f>_xll.RssMarket("4188","安値")</f>
        <v>1093</v>
      </c>
      <c r="D98" s="16">
        <f t="shared" si="1"/>
        <v>0</v>
      </c>
      <c r="E98" s="33">
        <v>1093</v>
      </c>
      <c r="F98" s="33">
        <v>1103</v>
      </c>
      <c r="G98" s="33">
        <v>1120</v>
      </c>
      <c r="H98" s="33">
        <v>1055.5</v>
      </c>
      <c r="I98" s="33">
        <v>999</v>
      </c>
      <c r="J98" s="33">
        <v>1010</v>
      </c>
      <c r="K98" s="33">
        <v>1020</v>
      </c>
      <c r="L98" s="33">
        <v>1052</v>
      </c>
      <c r="M98" s="33">
        <v>1080</v>
      </c>
      <c r="N98" s="33">
        <v>1078.5</v>
      </c>
      <c r="O98" s="33">
        <v>1056.5</v>
      </c>
      <c r="P98" s="33">
        <v>1117.5</v>
      </c>
      <c r="Q98" s="33">
        <v>1077.5</v>
      </c>
      <c r="R98" s="33">
        <v>1109.5</v>
      </c>
      <c r="S98" s="33">
        <v>1041.5</v>
      </c>
      <c r="T98" s="33">
        <v>1004</v>
      </c>
      <c r="U98" s="33">
        <v>999.2</v>
      </c>
      <c r="V98" s="33">
        <v>986.9</v>
      </c>
      <c r="W98" s="33">
        <v>1005</v>
      </c>
      <c r="X98" s="33">
        <v>991.8</v>
      </c>
      <c r="Y98" s="33">
        <v>985.9</v>
      </c>
      <c r="Z98" s="33">
        <v>1000.5</v>
      </c>
      <c r="AA98" s="33">
        <v>928.6</v>
      </c>
      <c r="AB98" s="33">
        <v>919.4</v>
      </c>
      <c r="AC98" s="33">
        <v>910.1</v>
      </c>
      <c r="AD98" s="33">
        <v>902</v>
      </c>
      <c r="AE98" s="33">
        <v>913.8</v>
      </c>
      <c r="AF98" s="33">
        <v>896.2</v>
      </c>
      <c r="AG98" s="33">
        <v>898.1</v>
      </c>
      <c r="AH98" s="33">
        <v>910.6</v>
      </c>
      <c r="AI98" s="33">
        <v>899.4</v>
      </c>
      <c r="AJ98" s="33">
        <v>909.6</v>
      </c>
      <c r="AK98" s="33">
        <v>901.6</v>
      </c>
      <c r="AL98" s="33">
        <v>937</v>
      </c>
      <c r="AM98" s="33">
        <v>965</v>
      </c>
      <c r="AN98" s="33">
        <v>960.3</v>
      </c>
      <c r="AO98" s="33">
        <v>983.5</v>
      </c>
      <c r="AP98" s="33">
        <v>992.8</v>
      </c>
      <c r="AQ98" s="33">
        <v>991</v>
      </c>
      <c r="AR98" s="33">
        <v>963.9</v>
      </c>
      <c r="AS98" s="33">
        <v>964</v>
      </c>
      <c r="AT98" s="33">
        <v>982.8</v>
      </c>
      <c r="AU98" s="33">
        <v>978.7</v>
      </c>
      <c r="AV98" s="33">
        <v>969.2</v>
      </c>
      <c r="AW98" s="33">
        <v>913.4</v>
      </c>
      <c r="AX98" s="33">
        <v>917.5</v>
      </c>
      <c r="AY98" s="33">
        <v>910.4</v>
      </c>
      <c r="AZ98" s="33">
        <v>906.2</v>
      </c>
      <c r="BA98" s="33">
        <v>918.8</v>
      </c>
      <c r="BB98" s="33">
        <v>890.1</v>
      </c>
      <c r="BC98" s="33">
        <v>879</v>
      </c>
      <c r="BD98" s="33">
        <v>922.6</v>
      </c>
      <c r="BE98" s="33">
        <v>925.6</v>
      </c>
      <c r="BF98" s="33">
        <v>928.7</v>
      </c>
      <c r="BG98" s="33">
        <v>897</v>
      </c>
      <c r="BH98" s="33">
        <v>846.4</v>
      </c>
      <c r="BI98" s="33">
        <v>903.2</v>
      </c>
      <c r="BJ98" s="33">
        <v>921.6</v>
      </c>
      <c r="BK98" s="33">
        <v>910.4</v>
      </c>
      <c r="BL98" s="33">
        <v>900.7</v>
      </c>
    </row>
    <row r="99" spans="1:64" ht="15.95" customHeight="1">
      <c r="A99" s="68" t="s">
        <v>356</v>
      </c>
      <c r="B99" s="44" t="s">
        <v>160</v>
      </c>
      <c r="C99" s="48">
        <f>_xll.RssMarket("4523","安値")</f>
        <v>3813</v>
      </c>
      <c r="D99" s="16">
        <f t="shared" si="1"/>
        <v>0</v>
      </c>
      <c r="E99" s="33">
        <v>3813</v>
      </c>
      <c r="F99" s="33">
        <v>3719</v>
      </c>
      <c r="G99" s="33">
        <v>3779</v>
      </c>
      <c r="H99" s="33">
        <v>3725</v>
      </c>
      <c r="I99" s="33">
        <v>3660</v>
      </c>
      <c r="J99" s="33">
        <v>3706</v>
      </c>
      <c r="K99" s="33">
        <v>3772</v>
      </c>
      <c r="L99" s="33">
        <v>3767</v>
      </c>
      <c r="M99" s="33">
        <v>3785</v>
      </c>
      <c r="N99" s="33">
        <v>3719</v>
      </c>
      <c r="O99" s="33">
        <v>3737</v>
      </c>
      <c r="P99" s="33">
        <v>3901</v>
      </c>
      <c r="Q99" s="33">
        <v>3973</v>
      </c>
      <c r="R99" s="33">
        <v>4120</v>
      </c>
      <c r="S99" s="33">
        <v>4157</v>
      </c>
      <c r="T99" s="33">
        <v>4206</v>
      </c>
      <c r="U99" s="33">
        <v>4231</v>
      </c>
      <c r="V99" s="33">
        <v>4426</v>
      </c>
      <c r="W99" s="33">
        <v>4351</v>
      </c>
      <c r="X99" s="33">
        <v>4615</v>
      </c>
      <c r="Y99" s="33">
        <v>4664</v>
      </c>
      <c r="Z99" s="33">
        <v>4653</v>
      </c>
      <c r="AA99" s="33">
        <v>4639</v>
      </c>
      <c r="AB99" s="33">
        <v>4511</v>
      </c>
      <c r="AC99" s="33">
        <v>4638</v>
      </c>
      <c r="AD99" s="33">
        <v>4640</v>
      </c>
      <c r="AE99" s="33">
        <v>4600</v>
      </c>
      <c r="AF99" s="33">
        <v>4583</v>
      </c>
      <c r="AG99" s="33">
        <v>4539</v>
      </c>
      <c r="AH99" s="33">
        <v>4554</v>
      </c>
      <c r="AI99" s="33">
        <v>4715</v>
      </c>
      <c r="AJ99" s="33">
        <v>4729</v>
      </c>
      <c r="AK99" s="33">
        <v>4825</v>
      </c>
      <c r="AL99" s="33">
        <v>4808</v>
      </c>
      <c r="AM99" s="33">
        <v>4863</v>
      </c>
      <c r="AN99" s="33">
        <v>4891</v>
      </c>
      <c r="AO99" s="33">
        <v>5020</v>
      </c>
      <c r="AP99" s="33">
        <v>4890</v>
      </c>
      <c r="AQ99" s="33">
        <v>4850</v>
      </c>
      <c r="AR99" s="33">
        <v>4935</v>
      </c>
      <c r="AS99" s="33">
        <v>5016</v>
      </c>
      <c r="AT99" s="33">
        <v>5163</v>
      </c>
      <c r="AU99" s="33">
        <v>5152</v>
      </c>
      <c r="AV99" s="33">
        <v>5078</v>
      </c>
      <c r="AW99" s="33">
        <v>5034</v>
      </c>
      <c r="AX99" s="33">
        <v>4995</v>
      </c>
      <c r="AY99" s="33">
        <v>5003</v>
      </c>
      <c r="AZ99" s="33">
        <v>4909</v>
      </c>
      <c r="BA99" s="33">
        <v>4845</v>
      </c>
      <c r="BB99" s="33">
        <v>4705</v>
      </c>
      <c r="BC99" s="33">
        <v>4934</v>
      </c>
      <c r="BD99" s="33">
        <v>4860</v>
      </c>
      <c r="BE99" s="33">
        <v>4854</v>
      </c>
      <c r="BF99" s="33">
        <v>4736</v>
      </c>
      <c r="BG99" s="33">
        <v>4633</v>
      </c>
      <c r="BH99" s="33">
        <v>4764</v>
      </c>
      <c r="BI99" s="33">
        <v>4869</v>
      </c>
      <c r="BJ99" s="33">
        <v>4791</v>
      </c>
      <c r="BK99" s="33">
        <v>4736</v>
      </c>
      <c r="BL99" s="33">
        <v>4731</v>
      </c>
    </row>
    <row r="100" spans="1:64" ht="15.95" customHeight="1">
      <c r="A100" s="68" t="s">
        <v>357</v>
      </c>
      <c r="B100" s="44" t="s">
        <v>161</v>
      </c>
      <c r="C100" s="48">
        <f>_xll.RssMarket("4528","安値")</f>
        <v>2240</v>
      </c>
      <c r="D100" s="16">
        <f t="shared" si="1"/>
        <v>0</v>
      </c>
      <c r="E100" s="33">
        <v>2240</v>
      </c>
      <c r="F100" s="33">
        <v>2245.5</v>
      </c>
      <c r="G100" s="33">
        <v>2263.5</v>
      </c>
      <c r="H100" s="33">
        <v>2187.5</v>
      </c>
      <c r="I100" s="33">
        <v>2186.5</v>
      </c>
      <c r="J100" s="33">
        <v>2189</v>
      </c>
      <c r="K100" s="33">
        <v>2221</v>
      </c>
      <c r="L100" s="33">
        <v>2186.5</v>
      </c>
      <c r="M100" s="33">
        <v>2157</v>
      </c>
      <c r="N100" s="33">
        <v>2114.5</v>
      </c>
      <c r="O100" s="33">
        <v>2207</v>
      </c>
      <c r="P100" s="33">
        <v>2385</v>
      </c>
      <c r="Q100" s="33">
        <v>2362</v>
      </c>
      <c r="R100" s="33">
        <v>2270.5</v>
      </c>
      <c r="S100" s="33">
        <v>2428.5</v>
      </c>
      <c r="T100" s="33">
        <v>2466.5</v>
      </c>
      <c r="U100" s="33">
        <v>2443.5</v>
      </c>
      <c r="V100" s="33">
        <v>2415</v>
      </c>
      <c r="W100" s="33">
        <v>2393.5</v>
      </c>
      <c r="X100" s="33">
        <v>2432.5</v>
      </c>
      <c r="Y100" s="33">
        <v>2518</v>
      </c>
      <c r="Z100" s="33">
        <v>2508.5</v>
      </c>
      <c r="AA100" s="33">
        <v>2489.5</v>
      </c>
      <c r="AB100" s="33">
        <v>2454.5</v>
      </c>
      <c r="AC100" s="33">
        <v>2420.5</v>
      </c>
      <c r="AD100" s="33">
        <v>2251</v>
      </c>
      <c r="AE100" s="33">
        <v>2292.5</v>
      </c>
      <c r="AF100" s="33">
        <v>2268.5</v>
      </c>
      <c r="AG100" s="33">
        <v>2260</v>
      </c>
      <c r="AH100" s="33">
        <v>2272</v>
      </c>
      <c r="AI100" s="33">
        <v>2294</v>
      </c>
      <c r="AJ100" s="33">
        <v>2316</v>
      </c>
      <c r="AK100" s="33">
        <v>2281</v>
      </c>
      <c r="AL100" s="33">
        <v>2304.5</v>
      </c>
      <c r="AM100" s="33">
        <v>2356.5</v>
      </c>
      <c r="AN100" s="33">
        <v>2398.5</v>
      </c>
      <c r="AO100" s="33">
        <v>2399</v>
      </c>
      <c r="AP100" s="33">
        <v>2444</v>
      </c>
      <c r="AQ100" s="33">
        <v>2435.5</v>
      </c>
      <c r="AR100" s="33">
        <v>2470</v>
      </c>
      <c r="AS100" s="33">
        <v>2492</v>
      </c>
      <c r="AT100" s="33">
        <v>2507</v>
      </c>
      <c r="AU100" s="33">
        <v>2545</v>
      </c>
      <c r="AV100" s="33">
        <v>2546.5</v>
      </c>
      <c r="AW100" s="33">
        <v>2517</v>
      </c>
      <c r="AX100" s="33">
        <v>2532</v>
      </c>
      <c r="AY100" s="33">
        <v>2492.5</v>
      </c>
      <c r="AZ100" s="33">
        <v>2524</v>
      </c>
      <c r="BA100" s="33">
        <v>2516.5</v>
      </c>
      <c r="BB100" s="33">
        <v>2486</v>
      </c>
      <c r="BC100" s="33">
        <v>2406</v>
      </c>
      <c r="BD100" s="33">
        <v>2495.5</v>
      </c>
      <c r="BE100" s="33">
        <v>2462</v>
      </c>
      <c r="BF100" s="33">
        <v>2426</v>
      </c>
      <c r="BG100" s="33">
        <v>2360.5</v>
      </c>
      <c r="BH100" s="33">
        <v>2308</v>
      </c>
      <c r="BI100" s="33">
        <v>2348.5</v>
      </c>
      <c r="BJ100" s="33">
        <v>2369.5</v>
      </c>
      <c r="BK100" s="33">
        <v>2346</v>
      </c>
      <c r="BL100" s="33">
        <v>2324</v>
      </c>
    </row>
    <row r="101" spans="1:64" ht="15.95" customHeight="1">
      <c r="A101" s="68" t="s">
        <v>358</v>
      </c>
      <c r="B101" s="44" t="s">
        <v>162</v>
      </c>
      <c r="C101" s="48">
        <f>_xll.RssMarket("4661","安値")</f>
        <v>2260.5</v>
      </c>
      <c r="D101" s="16">
        <f t="shared" si="1"/>
        <v>0</v>
      </c>
      <c r="E101" s="33">
        <v>2260.5</v>
      </c>
      <c r="F101" s="33">
        <v>2242</v>
      </c>
      <c r="G101" s="33">
        <v>2220</v>
      </c>
      <c r="H101" s="33">
        <v>2239.5</v>
      </c>
      <c r="I101" s="33">
        <v>2284</v>
      </c>
      <c r="J101" s="33">
        <v>2211.5</v>
      </c>
      <c r="K101" s="33">
        <v>2189</v>
      </c>
      <c r="L101" s="33">
        <v>2180.5</v>
      </c>
      <c r="M101" s="33">
        <v>2171.5</v>
      </c>
      <c r="N101" s="33">
        <v>2139</v>
      </c>
      <c r="O101" s="33">
        <v>2173.5</v>
      </c>
      <c r="P101" s="33">
        <v>2257</v>
      </c>
      <c r="Q101" s="33">
        <v>2213.5</v>
      </c>
      <c r="R101" s="33">
        <v>2116</v>
      </c>
      <c r="S101" s="33">
        <v>2103</v>
      </c>
      <c r="T101" s="33">
        <v>2111</v>
      </c>
      <c r="U101" s="33">
        <v>2141.5</v>
      </c>
      <c r="V101" s="33">
        <v>2199</v>
      </c>
      <c r="W101" s="33">
        <v>2141.5</v>
      </c>
      <c r="X101" s="33">
        <v>2115.5</v>
      </c>
      <c r="Y101" s="33">
        <v>2128</v>
      </c>
      <c r="Z101" s="33">
        <v>2131</v>
      </c>
      <c r="AA101" s="33">
        <v>2159</v>
      </c>
      <c r="AB101" s="33">
        <v>2168</v>
      </c>
      <c r="AC101" s="33">
        <v>2162</v>
      </c>
      <c r="AD101" s="33">
        <v>2223</v>
      </c>
      <c r="AE101" s="33">
        <v>2144</v>
      </c>
      <c r="AF101" s="33">
        <v>2191</v>
      </c>
      <c r="AG101" s="33">
        <v>2188</v>
      </c>
      <c r="AH101" s="33">
        <v>2395</v>
      </c>
      <c r="AI101" s="33">
        <v>2378</v>
      </c>
      <c r="AJ101" s="33">
        <v>2390</v>
      </c>
      <c r="AK101" s="33">
        <v>2481.5</v>
      </c>
      <c r="AL101" s="33">
        <v>2577.5</v>
      </c>
      <c r="AM101" s="33">
        <v>2613</v>
      </c>
      <c r="AN101" s="33">
        <v>2640</v>
      </c>
      <c r="AO101" s="33">
        <v>2615</v>
      </c>
      <c r="AP101" s="33">
        <v>2638.5</v>
      </c>
      <c r="AQ101" s="33">
        <v>2556.5</v>
      </c>
      <c r="AR101" s="33">
        <v>2548</v>
      </c>
      <c r="AS101" s="33">
        <v>2579</v>
      </c>
      <c r="AT101" s="33">
        <v>2584</v>
      </c>
      <c r="AU101" s="33">
        <v>2612.5</v>
      </c>
      <c r="AV101" s="33">
        <v>2655</v>
      </c>
      <c r="AW101" s="33">
        <v>2642</v>
      </c>
      <c r="AX101" s="33">
        <v>2673</v>
      </c>
      <c r="AY101" s="33">
        <v>2725.5</v>
      </c>
      <c r="AZ101" s="33">
        <v>2710</v>
      </c>
      <c r="BA101" s="33">
        <v>2686</v>
      </c>
      <c r="BB101" s="33">
        <v>2677.5</v>
      </c>
      <c r="BC101" s="33">
        <v>2601</v>
      </c>
      <c r="BD101" s="33">
        <v>2698.5</v>
      </c>
      <c r="BE101" s="33">
        <v>2675</v>
      </c>
      <c r="BF101" s="33">
        <v>2677.5</v>
      </c>
      <c r="BG101" s="33">
        <v>2651</v>
      </c>
      <c r="BH101" s="33">
        <v>2665</v>
      </c>
      <c r="BI101" s="33">
        <v>2724</v>
      </c>
      <c r="BJ101" s="33">
        <v>2799</v>
      </c>
      <c r="BK101" s="33">
        <v>2789</v>
      </c>
      <c r="BL101" s="33">
        <v>2757.5</v>
      </c>
    </row>
    <row r="102" spans="1:64" ht="15.95" customHeight="1">
      <c r="A102" s="68" t="s">
        <v>359</v>
      </c>
      <c r="B102" s="44" t="s">
        <v>163</v>
      </c>
      <c r="C102" s="48">
        <f>_xll.RssMarket("5802","安値")</f>
        <v>11935</v>
      </c>
      <c r="D102" s="16">
        <f t="shared" si="1"/>
        <v>0</v>
      </c>
      <c r="E102" s="33">
        <v>11935</v>
      </c>
      <c r="F102" s="33">
        <v>11475</v>
      </c>
      <c r="G102" s="33">
        <v>11240</v>
      </c>
      <c r="H102" s="33">
        <v>10885</v>
      </c>
      <c r="I102" s="33">
        <v>9817</v>
      </c>
      <c r="J102" s="33">
        <v>10435</v>
      </c>
      <c r="K102" s="33">
        <v>11705</v>
      </c>
      <c r="L102" s="33">
        <v>12660</v>
      </c>
      <c r="M102" s="33">
        <v>13265</v>
      </c>
      <c r="N102" s="33">
        <v>13725</v>
      </c>
      <c r="O102" s="33">
        <v>12315</v>
      </c>
      <c r="P102" s="33">
        <v>11855</v>
      </c>
      <c r="Q102" s="33">
        <v>11565</v>
      </c>
      <c r="R102" s="33">
        <v>11985</v>
      </c>
      <c r="S102" s="33">
        <v>12110</v>
      </c>
      <c r="T102" s="33">
        <v>11400</v>
      </c>
      <c r="U102" s="33">
        <v>10345</v>
      </c>
      <c r="V102" s="33">
        <v>10055</v>
      </c>
      <c r="W102" s="33">
        <v>10650</v>
      </c>
      <c r="X102" s="33">
        <v>10855</v>
      </c>
      <c r="Y102" s="33">
        <v>11675</v>
      </c>
      <c r="Z102" s="33">
        <v>11080</v>
      </c>
      <c r="AA102" s="33">
        <v>10890</v>
      </c>
      <c r="AB102" s="33">
        <v>11210</v>
      </c>
      <c r="AC102" s="33">
        <v>10835</v>
      </c>
      <c r="AD102" s="33">
        <v>10710</v>
      </c>
      <c r="AE102" s="33">
        <v>9900</v>
      </c>
      <c r="AF102" s="33">
        <v>10030</v>
      </c>
      <c r="AG102" s="33">
        <v>9952</v>
      </c>
      <c r="AH102" s="33">
        <v>9940</v>
      </c>
      <c r="AI102" s="33">
        <v>10015</v>
      </c>
      <c r="AJ102" s="33">
        <v>9995</v>
      </c>
      <c r="AK102" s="33">
        <v>10030</v>
      </c>
      <c r="AL102" s="33">
        <v>10190</v>
      </c>
      <c r="AM102" s="33">
        <v>9913</v>
      </c>
      <c r="AN102" s="33">
        <v>9852</v>
      </c>
      <c r="AO102" s="33">
        <v>9627</v>
      </c>
      <c r="AP102" s="33">
        <v>9551</v>
      </c>
      <c r="AQ102" s="33">
        <v>9859</v>
      </c>
      <c r="AR102" s="33">
        <v>9778</v>
      </c>
      <c r="AS102" s="33">
        <v>10100</v>
      </c>
      <c r="AT102" s="33">
        <v>9970</v>
      </c>
      <c r="AU102" s="33">
        <v>9916</v>
      </c>
      <c r="AV102" s="33">
        <v>9079</v>
      </c>
      <c r="AW102" s="33">
        <v>9542</v>
      </c>
      <c r="AX102" s="33">
        <v>9353</v>
      </c>
      <c r="AY102" s="33">
        <v>8916</v>
      </c>
      <c r="AZ102" s="33">
        <v>8750</v>
      </c>
      <c r="BA102" s="33">
        <v>8380</v>
      </c>
      <c r="BB102" s="33">
        <v>8784</v>
      </c>
      <c r="BC102" s="33">
        <v>9120</v>
      </c>
      <c r="BD102" s="33">
        <v>9783</v>
      </c>
      <c r="BE102" s="33">
        <v>10035</v>
      </c>
      <c r="BF102" s="33">
        <v>9290</v>
      </c>
      <c r="BG102" s="33">
        <v>8950</v>
      </c>
      <c r="BH102" s="33">
        <v>9707</v>
      </c>
      <c r="BI102" s="33">
        <v>9725</v>
      </c>
      <c r="BJ102" s="33">
        <v>9466</v>
      </c>
      <c r="BK102" s="33">
        <v>9925</v>
      </c>
      <c r="BL102" s="33">
        <v>9800</v>
      </c>
    </row>
    <row r="103" spans="1:64" ht="15.95" customHeight="1">
      <c r="A103" s="68" t="s">
        <v>360</v>
      </c>
      <c r="B103" s="44" t="s">
        <v>164</v>
      </c>
      <c r="C103" s="48">
        <f>_xll.RssMarket("5803","安値")</f>
        <v>4562</v>
      </c>
      <c r="D103" s="16">
        <f t="shared" si="1"/>
        <v>0</v>
      </c>
      <c r="E103" s="33">
        <v>4562</v>
      </c>
      <c r="F103" s="33">
        <v>4308</v>
      </c>
      <c r="G103" s="33">
        <v>4301</v>
      </c>
      <c r="H103" s="33">
        <v>4136</v>
      </c>
      <c r="I103" s="33">
        <v>3888</v>
      </c>
      <c r="J103" s="33">
        <v>4118</v>
      </c>
      <c r="K103" s="33">
        <v>4337</v>
      </c>
      <c r="L103" s="33">
        <v>4523</v>
      </c>
      <c r="M103" s="33">
        <v>4610</v>
      </c>
      <c r="N103" s="33">
        <v>4745</v>
      </c>
      <c r="O103" s="33">
        <v>4351</v>
      </c>
      <c r="P103" s="33">
        <v>4668</v>
      </c>
      <c r="Q103" s="33">
        <v>4803</v>
      </c>
      <c r="R103" s="33">
        <v>5035</v>
      </c>
      <c r="S103" s="33">
        <v>5151</v>
      </c>
      <c r="T103" s="33">
        <v>4558</v>
      </c>
      <c r="U103" s="33">
        <v>4315</v>
      </c>
      <c r="V103" s="33">
        <v>4156</v>
      </c>
      <c r="W103" s="33">
        <v>4660</v>
      </c>
      <c r="X103" s="33">
        <v>5580</v>
      </c>
      <c r="Y103" s="33">
        <v>5725</v>
      </c>
      <c r="Z103" s="33">
        <v>6355</v>
      </c>
      <c r="AA103" s="33">
        <v>7303</v>
      </c>
      <c r="AB103" s="33">
        <v>7085</v>
      </c>
      <c r="AC103" s="33">
        <v>6634</v>
      </c>
      <c r="AD103" s="33">
        <v>6262</v>
      </c>
      <c r="AE103" s="33">
        <v>6225</v>
      </c>
      <c r="AF103" s="33">
        <v>5803</v>
      </c>
      <c r="AG103" s="33">
        <v>5916</v>
      </c>
      <c r="AH103" s="33">
        <v>6120</v>
      </c>
      <c r="AI103" s="33">
        <v>5993</v>
      </c>
      <c r="AJ103" s="33">
        <v>5894</v>
      </c>
      <c r="AK103" s="33">
        <v>5780</v>
      </c>
      <c r="AL103" s="33">
        <v>5688</v>
      </c>
      <c r="AM103" s="33">
        <v>5574</v>
      </c>
      <c r="AN103" s="33">
        <v>5523</v>
      </c>
      <c r="AO103" s="33">
        <v>5756</v>
      </c>
      <c r="AP103" s="33">
        <v>5550</v>
      </c>
      <c r="AQ103" s="33">
        <v>5625</v>
      </c>
      <c r="AR103" s="33">
        <v>5782</v>
      </c>
      <c r="AS103" s="33">
        <v>5647</v>
      </c>
      <c r="AT103" s="33">
        <v>5173</v>
      </c>
      <c r="AU103" s="33">
        <v>4740</v>
      </c>
      <c r="AV103" s="33">
        <v>4709</v>
      </c>
      <c r="AW103" s="33">
        <v>4320</v>
      </c>
      <c r="AX103" s="33">
        <v>4560</v>
      </c>
      <c r="AY103" s="33">
        <v>4420</v>
      </c>
      <c r="AZ103" s="33">
        <v>4238</v>
      </c>
      <c r="BA103" s="33">
        <v>4291</v>
      </c>
      <c r="BB103" s="33">
        <v>4056</v>
      </c>
      <c r="BC103" s="33">
        <v>4230</v>
      </c>
      <c r="BD103" s="33">
        <v>4416.6000000000004</v>
      </c>
      <c r="BE103" s="33">
        <v>4609.1000000000004</v>
      </c>
      <c r="BF103" s="33">
        <v>4469.1000000000004</v>
      </c>
      <c r="BG103" s="33">
        <v>4125</v>
      </c>
      <c r="BH103" s="33">
        <v>3940</v>
      </c>
      <c r="BI103" s="33">
        <v>4194.1000000000004</v>
      </c>
      <c r="BJ103" s="33">
        <v>4150.8</v>
      </c>
      <c r="BK103" s="33">
        <v>4067.5</v>
      </c>
      <c r="BL103" s="33">
        <v>4116.6000000000004</v>
      </c>
    </row>
    <row r="104" spans="1:64" ht="15.95" customHeight="1">
      <c r="A104" s="68" t="s">
        <v>361</v>
      </c>
      <c r="B104" s="44" t="s">
        <v>165</v>
      </c>
      <c r="C104" s="48">
        <f>_xll.RssMarket("6178","安値")</f>
        <v>2196.5</v>
      </c>
      <c r="D104" s="16">
        <f t="shared" si="1"/>
        <v>0</v>
      </c>
      <c r="E104" s="33">
        <v>2196.5</v>
      </c>
      <c r="F104" s="33">
        <v>2213.5</v>
      </c>
      <c r="G104" s="33">
        <v>2280</v>
      </c>
      <c r="H104" s="33">
        <v>2257</v>
      </c>
      <c r="I104" s="33">
        <v>2182.5</v>
      </c>
      <c r="J104" s="33">
        <v>2189.5</v>
      </c>
      <c r="K104" s="33">
        <v>2095.5</v>
      </c>
      <c r="L104" s="33">
        <v>2106</v>
      </c>
      <c r="M104" s="33">
        <v>2078.5</v>
      </c>
      <c r="N104" s="33">
        <v>2062.5</v>
      </c>
      <c r="O104" s="33">
        <v>1992.5</v>
      </c>
      <c r="P104" s="33">
        <v>2037</v>
      </c>
      <c r="Q104" s="33">
        <v>1995</v>
      </c>
      <c r="R104" s="33">
        <v>2051</v>
      </c>
      <c r="S104" s="33">
        <v>2056.5</v>
      </c>
      <c r="T104" s="33">
        <v>2088.5</v>
      </c>
      <c r="U104" s="33">
        <v>2097</v>
      </c>
      <c r="V104" s="33">
        <v>2068</v>
      </c>
      <c r="W104" s="33">
        <v>2051</v>
      </c>
      <c r="X104" s="33">
        <v>1986.5</v>
      </c>
      <c r="Y104" s="33">
        <v>1935.5</v>
      </c>
      <c r="Z104" s="33">
        <v>1929</v>
      </c>
      <c r="AA104" s="33">
        <v>1895</v>
      </c>
      <c r="AB104" s="33">
        <v>1869.5</v>
      </c>
      <c r="AC104" s="33">
        <v>1844</v>
      </c>
      <c r="AD104" s="33">
        <v>1824</v>
      </c>
      <c r="AE104" s="33">
        <v>1829.5</v>
      </c>
      <c r="AF104" s="33">
        <v>1789</v>
      </c>
      <c r="AG104" s="33">
        <v>1787.5</v>
      </c>
      <c r="AH104" s="33">
        <v>1766.5</v>
      </c>
      <c r="AI104" s="33">
        <v>1740</v>
      </c>
      <c r="AJ104" s="33">
        <v>1761.5</v>
      </c>
      <c r="AK104" s="33">
        <v>1752.5</v>
      </c>
      <c r="AL104" s="33">
        <v>1788.5</v>
      </c>
      <c r="AM104" s="33">
        <v>1812.5</v>
      </c>
      <c r="AN104" s="33">
        <v>1858.5</v>
      </c>
      <c r="AO104" s="33">
        <v>1869</v>
      </c>
      <c r="AP104" s="33">
        <v>1880</v>
      </c>
      <c r="AQ104" s="33">
        <v>1850</v>
      </c>
      <c r="AR104" s="33">
        <v>1836</v>
      </c>
      <c r="AS104" s="33">
        <v>1825</v>
      </c>
      <c r="AT104" s="33">
        <v>1852</v>
      </c>
      <c r="AU104" s="33">
        <v>1863</v>
      </c>
      <c r="AV104" s="33">
        <v>1893</v>
      </c>
      <c r="AW104" s="33">
        <v>1842.5</v>
      </c>
      <c r="AX104" s="33">
        <v>1811</v>
      </c>
      <c r="AY104" s="33">
        <v>1824</v>
      </c>
      <c r="AZ104" s="33">
        <v>1829</v>
      </c>
      <c r="BA104" s="33">
        <v>1836</v>
      </c>
      <c r="BB104" s="33">
        <v>1775.5</v>
      </c>
      <c r="BC104" s="33">
        <v>1736</v>
      </c>
      <c r="BD104" s="33">
        <v>1840.5</v>
      </c>
      <c r="BE104" s="33">
        <v>1821.5</v>
      </c>
      <c r="BF104" s="33">
        <v>1847.5</v>
      </c>
      <c r="BG104" s="33">
        <v>1783.5</v>
      </c>
      <c r="BH104" s="33">
        <v>1739</v>
      </c>
      <c r="BI104" s="33">
        <v>1800</v>
      </c>
      <c r="BJ104" s="33">
        <v>1816.5</v>
      </c>
      <c r="BK104" s="33">
        <v>1772</v>
      </c>
      <c r="BL104" s="33">
        <v>1762.5</v>
      </c>
    </row>
    <row r="105" spans="1:64" ht="15.95" customHeight="1">
      <c r="A105" s="68" t="s">
        <v>362</v>
      </c>
      <c r="B105" s="44" t="s">
        <v>166</v>
      </c>
      <c r="C105" s="48">
        <f>_xll.RssMarket("6925","安値")</f>
        <v>4405</v>
      </c>
      <c r="D105" s="16">
        <f t="shared" si="1"/>
        <v>0</v>
      </c>
      <c r="E105" s="33">
        <v>4405</v>
      </c>
      <c r="F105" s="33">
        <v>4235</v>
      </c>
      <c r="G105" s="33">
        <v>4145</v>
      </c>
      <c r="H105" s="33">
        <v>3960</v>
      </c>
      <c r="I105" s="33">
        <v>3771</v>
      </c>
      <c r="J105" s="33">
        <v>3917</v>
      </c>
      <c r="K105" s="33">
        <v>3883</v>
      </c>
      <c r="L105" s="33">
        <v>4160</v>
      </c>
      <c r="M105" s="33">
        <v>4036</v>
      </c>
      <c r="N105" s="33">
        <v>4048</v>
      </c>
      <c r="O105" s="33">
        <v>3914</v>
      </c>
      <c r="P105" s="33">
        <v>4133</v>
      </c>
      <c r="Q105" s="33">
        <v>4016</v>
      </c>
      <c r="R105" s="33">
        <v>4143</v>
      </c>
      <c r="S105" s="33">
        <v>4084</v>
      </c>
      <c r="T105" s="33">
        <v>4027</v>
      </c>
      <c r="U105" s="33">
        <v>3812</v>
      </c>
      <c r="V105" s="33">
        <v>3756</v>
      </c>
      <c r="W105" s="33">
        <v>3889</v>
      </c>
      <c r="X105" s="33">
        <v>4154</v>
      </c>
      <c r="Y105" s="33">
        <v>4239</v>
      </c>
      <c r="Z105" s="33">
        <v>3410</v>
      </c>
      <c r="AA105" s="33">
        <v>3415</v>
      </c>
      <c r="AB105" s="33">
        <v>3436</v>
      </c>
      <c r="AC105" s="33">
        <v>3370</v>
      </c>
      <c r="AD105" s="33">
        <v>3326</v>
      </c>
      <c r="AE105" s="33">
        <v>3199</v>
      </c>
      <c r="AF105" s="33">
        <v>3095</v>
      </c>
      <c r="AG105" s="33">
        <v>3080</v>
      </c>
      <c r="AH105" s="33">
        <v>3071</v>
      </c>
      <c r="AI105" s="33">
        <v>3136</v>
      </c>
      <c r="AJ105" s="33">
        <v>3192</v>
      </c>
      <c r="AK105" s="33">
        <v>3098</v>
      </c>
      <c r="AL105" s="33">
        <v>3152</v>
      </c>
      <c r="AM105" s="33">
        <v>3191</v>
      </c>
      <c r="AN105" s="33">
        <v>3120</v>
      </c>
      <c r="AO105" s="33">
        <v>3133</v>
      </c>
      <c r="AP105" s="33">
        <v>3294</v>
      </c>
      <c r="AQ105" s="33">
        <v>3282</v>
      </c>
      <c r="AR105" s="33">
        <v>3251</v>
      </c>
      <c r="AS105" s="33">
        <v>3216</v>
      </c>
      <c r="AT105" s="33">
        <v>3207</v>
      </c>
      <c r="AU105" s="33">
        <v>3168</v>
      </c>
      <c r="AV105" s="33">
        <v>3137</v>
      </c>
      <c r="AW105" s="33">
        <v>3031</v>
      </c>
      <c r="AX105" s="33">
        <v>3063</v>
      </c>
      <c r="AY105" s="33">
        <v>3056</v>
      </c>
      <c r="AZ105" s="33">
        <v>3033</v>
      </c>
      <c r="BA105" s="33">
        <v>2917.5</v>
      </c>
      <c r="BB105" s="33">
        <v>2755</v>
      </c>
      <c r="BC105" s="33">
        <v>2734.5</v>
      </c>
      <c r="BD105" s="33">
        <v>2895</v>
      </c>
      <c r="BE105" s="33">
        <v>2910</v>
      </c>
      <c r="BF105" s="33">
        <v>2936.5</v>
      </c>
      <c r="BG105" s="33">
        <v>2830</v>
      </c>
      <c r="BH105" s="33">
        <v>2763</v>
      </c>
      <c r="BI105" s="33">
        <v>2840</v>
      </c>
      <c r="BJ105" s="33">
        <v>2832.5</v>
      </c>
      <c r="BK105" s="33">
        <v>2827</v>
      </c>
      <c r="BL105" s="33">
        <v>2812</v>
      </c>
    </row>
    <row r="106" spans="1:64" ht="15.95" customHeight="1">
      <c r="A106" s="68" t="s">
        <v>363</v>
      </c>
      <c r="B106" s="44" t="s">
        <v>167</v>
      </c>
      <c r="C106" s="48">
        <f>_xll.RssMarket("7021","安値")</f>
        <v>1800</v>
      </c>
      <c r="D106" s="16">
        <f t="shared" si="1"/>
        <v>0</v>
      </c>
      <c r="E106" s="33">
        <v>1800</v>
      </c>
      <c r="F106" s="33">
        <v>1780</v>
      </c>
      <c r="G106" s="33">
        <v>1764</v>
      </c>
      <c r="H106" s="33">
        <v>1746</v>
      </c>
      <c r="I106" s="33">
        <v>1800</v>
      </c>
      <c r="J106" s="33">
        <v>1763</v>
      </c>
      <c r="K106" s="33">
        <v>1759</v>
      </c>
      <c r="L106" s="33">
        <v>1749</v>
      </c>
      <c r="M106" s="33">
        <v>1754</v>
      </c>
      <c r="N106" s="33">
        <v>1800</v>
      </c>
      <c r="O106" s="33">
        <v>1854</v>
      </c>
      <c r="P106" s="33">
        <v>1835</v>
      </c>
      <c r="Q106" s="33">
        <v>1805</v>
      </c>
      <c r="R106" s="33">
        <v>1797</v>
      </c>
      <c r="S106" s="33">
        <v>1809</v>
      </c>
      <c r="T106" s="33">
        <v>1812</v>
      </c>
      <c r="U106" s="33">
        <v>1878</v>
      </c>
      <c r="V106" s="33">
        <v>1877</v>
      </c>
      <c r="W106" s="33">
        <v>1971</v>
      </c>
      <c r="X106" s="33">
        <v>2155</v>
      </c>
      <c r="Y106" s="33">
        <v>2118</v>
      </c>
      <c r="Z106" s="33">
        <v>2151</v>
      </c>
      <c r="AA106" s="33">
        <v>2121</v>
      </c>
      <c r="AB106" s="33">
        <v>2101</v>
      </c>
      <c r="AC106" s="33">
        <v>2142</v>
      </c>
      <c r="AD106" s="33">
        <v>2129</v>
      </c>
      <c r="AE106" s="33">
        <v>2151</v>
      </c>
      <c r="AF106" s="33">
        <v>2127</v>
      </c>
      <c r="AG106" s="33">
        <v>2212</v>
      </c>
      <c r="AH106" s="33">
        <v>2251</v>
      </c>
      <c r="AI106" s="33">
        <v>2249</v>
      </c>
      <c r="AJ106" s="33">
        <v>2289</v>
      </c>
      <c r="AK106" s="33">
        <v>2312</v>
      </c>
      <c r="AL106" s="33">
        <v>2308</v>
      </c>
      <c r="AM106" s="33">
        <v>2313</v>
      </c>
      <c r="AN106" s="33">
        <v>2334</v>
      </c>
      <c r="AO106" s="33">
        <v>2335</v>
      </c>
      <c r="AP106" s="33">
        <v>2306</v>
      </c>
      <c r="AQ106" s="33">
        <v>2314</v>
      </c>
      <c r="AR106" s="33">
        <v>2298</v>
      </c>
      <c r="AS106" s="33">
        <v>2296</v>
      </c>
      <c r="AT106" s="33">
        <v>2280</v>
      </c>
      <c r="AU106" s="33">
        <v>2260</v>
      </c>
      <c r="AV106" s="33">
        <v>2260</v>
      </c>
      <c r="AW106" s="33">
        <v>2240</v>
      </c>
      <c r="AX106" s="33">
        <v>2240</v>
      </c>
      <c r="AY106" s="33">
        <v>2241</v>
      </c>
      <c r="AZ106" s="33">
        <v>2180</v>
      </c>
      <c r="BA106" s="33">
        <v>2169</v>
      </c>
      <c r="BB106" s="33">
        <v>2244</v>
      </c>
      <c r="BC106" s="33">
        <v>2260</v>
      </c>
      <c r="BD106" s="33">
        <v>2250</v>
      </c>
      <c r="BE106" s="33">
        <v>2261</v>
      </c>
      <c r="BF106" s="33">
        <v>2220</v>
      </c>
      <c r="BG106" s="33">
        <v>2249</v>
      </c>
      <c r="BH106" s="33">
        <v>2248</v>
      </c>
      <c r="BI106" s="33">
        <v>2236</v>
      </c>
      <c r="BJ106" s="33">
        <v>2228</v>
      </c>
      <c r="BK106" s="33">
        <v>2219</v>
      </c>
      <c r="BL106" s="33">
        <v>2250</v>
      </c>
    </row>
    <row r="107" spans="1:64" ht="15.95" customHeight="1">
      <c r="A107" s="68" t="s">
        <v>364</v>
      </c>
      <c r="B107" s="44" t="s">
        <v>168</v>
      </c>
      <c r="C107" s="48">
        <f>_xll.RssMarket("7729","安値")</f>
        <v>18485</v>
      </c>
      <c r="D107" s="16">
        <f t="shared" si="1"/>
        <v>0</v>
      </c>
      <c r="E107" s="33">
        <v>18485</v>
      </c>
      <c r="F107" s="33">
        <v>19190</v>
      </c>
      <c r="G107" s="33">
        <v>19085</v>
      </c>
      <c r="H107" s="33">
        <v>18300</v>
      </c>
      <c r="I107" s="33">
        <v>16235</v>
      </c>
      <c r="J107" s="33">
        <v>16925</v>
      </c>
      <c r="K107" s="33">
        <v>15850</v>
      </c>
      <c r="L107" s="33">
        <v>17290</v>
      </c>
      <c r="M107" s="33">
        <v>17310</v>
      </c>
      <c r="N107" s="33">
        <v>16975</v>
      </c>
      <c r="O107" s="33">
        <v>16240</v>
      </c>
      <c r="P107" s="33">
        <v>17190</v>
      </c>
      <c r="Q107" s="33">
        <v>17135</v>
      </c>
      <c r="R107" s="33">
        <v>17665</v>
      </c>
      <c r="S107" s="33">
        <v>17580</v>
      </c>
      <c r="T107" s="33">
        <v>16555</v>
      </c>
      <c r="U107" s="33">
        <v>16235</v>
      </c>
      <c r="V107" s="33">
        <v>15260</v>
      </c>
      <c r="W107" s="33">
        <v>15475</v>
      </c>
      <c r="X107" s="33">
        <v>16075</v>
      </c>
      <c r="Y107" s="33">
        <v>16425</v>
      </c>
      <c r="Z107" s="33">
        <v>17560</v>
      </c>
      <c r="AA107" s="33">
        <v>18510</v>
      </c>
      <c r="AB107" s="33">
        <v>18710</v>
      </c>
      <c r="AC107" s="33">
        <v>18780</v>
      </c>
      <c r="AD107" s="33">
        <v>17740</v>
      </c>
      <c r="AE107" s="33">
        <v>18255</v>
      </c>
      <c r="AF107" s="33">
        <v>17130</v>
      </c>
      <c r="AG107" s="33">
        <v>17095</v>
      </c>
      <c r="AH107" s="33">
        <v>17140</v>
      </c>
      <c r="AI107" s="33">
        <v>17225</v>
      </c>
      <c r="AJ107" s="33">
        <v>16905</v>
      </c>
      <c r="AK107" s="33">
        <v>16745</v>
      </c>
      <c r="AL107" s="33">
        <v>16460</v>
      </c>
      <c r="AM107" s="33">
        <v>16270</v>
      </c>
      <c r="AN107" s="33">
        <v>16205</v>
      </c>
      <c r="AO107" s="33">
        <v>16400</v>
      </c>
      <c r="AP107" s="33">
        <v>16510</v>
      </c>
      <c r="AQ107" s="33">
        <v>16300</v>
      </c>
      <c r="AR107" s="33">
        <v>15905</v>
      </c>
      <c r="AS107" s="33">
        <v>15415</v>
      </c>
      <c r="AT107" s="33">
        <v>15605</v>
      </c>
      <c r="AU107" s="33">
        <v>15090</v>
      </c>
      <c r="AV107" s="33">
        <v>14800</v>
      </c>
      <c r="AW107" s="33">
        <v>14035</v>
      </c>
      <c r="AX107" s="33">
        <v>14050</v>
      </c>
      <c r="AY107" s="33">
        <v>13915</v>
      </c>
      <c r="AZ107" s="33">
        <v>13700</v>
      </c>
      <c r="BA107" s="33">
        <v>13780</v>
      </c>
      <c r="BB107" s="33">
        <v>12850</v>
      </c>
      <c r="BC107" s="33">
        <v>13130</v>
      </c>
      <c r="BD107" s="33">
        <v>13755</v>
      </c>
      <c r="BE107" s="33">
        <v>14470</v>
      </c>
      <c r="BF107" s="33">
        <v>14520</v>
      </c>
      <c r="BG107" s="33">
        <v>13850</v>
      </c>
      <c r="BH107" s="33">
        <v>13495</v>
      </c>
      <c r="BI107" s="33">
        <v>14280</v>
      </c>
      <c r="BJ107" s="33">
        <v>14530</v>
      </c>
      <c r="BK107" s="33">
        <v>14270</v>
      </c>
      <c r="BL107" s="33">
        <v>14400</v>
      </c>
    </row>
    <row r="108" spans="1:64" ht="15.95" customHeight="1">
      <c r="A108" s="68" t="s">
        <v>365</v>
      </c>
      <c r="B108" s="44" t="s">
        <v>169</v>
      </c>
      <c r="C108" s="48">
        <f>_xll.RssMarket("8424","安値")</f>
        <v>4236</v>
      </c>
      <c r="D108" s="16">
        <f t="shared" si="1"/>
        <v>0</v>
      </c>
      <c r="E108" s="33">
        <v>4236</v>
      </c>
      <c r="F108" s="33">
        <v>4295</v>
      </c>
      <c r="G108" s="33">
        <v>4228</v>
      </c>
      <c r="H108" s="33">
        <v>4263</v>
      </c>
      <c r="I108" s="33">
        <v>4253</v>
      </c>
      <c r="J108" s="33">
        <v>4101</v>
      </c>
      <c r="K108" s="33">
        <v>4072</v>
      </c>
      <c r="L108" s="33">
        <v>4060</v>
      </c>
      <c r="M108" s="33">
        <v>4036</v>
      </c>
      <c r="N108" s="33">
        <v>4016</v>
      </c>
      <c r="O108" s="33">
        <v>4154</v>
      </c>
      <c r="P108" s="33">
        <v>4158</v>
      </c>
      <c r="Q108" s="33">
        <v>4151</v>
      </c>
      <c r="R108" s="33">
        <v>4205</v>
      </c>
      <c r="S108" s="33">
        <v>4255</v>
      </c>
      <c r="T108" s="33">
        <v>4351</v>
      </c>
      <c r="U108" s="33">
        <v>4310</v>
      </c>
      <c r="V108" s="33">
        <v>4324</v>
      </c>
      <c r="W108" s="33">
        <v>4304</v>
      </c>
      <c r="X108" s="33">
        <v>4342</v>
      </c>
      <c r="Y108" s="33">
        <v>4308</v>
      </c>
      <c r="Z108" s="33">
        <v>4303</v>
      </c>
      <c r="AA108" s="33">
        <v>4270</v>
      </c>
      <c r="AB108" s="33">
        <v>4267</v>
      </c>
      <c r="AC108" s="33">
        <v>4251</v>
      </c>
      <c r="AD108" s="33">
        <v>4300</v>
      </c>
      <c r="AE108" s="33">
        <v>4245</v>
      </c>
      <c r="AF108" s="33">
        <v>4298</v>
      </c>
      <c r="AG108" s="33">
        <v>4261</v>
      </c>
      <c r="AH108" s="33">
        <v>4234</v>
      </c>
      <c r="AI108" s="33">
        <v>4237</v>
      </c>
      <c r="AJ108" s="33">
        <v>4217</v>
      </c>
      <c r="AK108" s="33">
        <v>4239</v>
      </c>
      <c r="AL108" s="33">
        <v>4258</v>
      </c>
      <c r="AM108" s="33">
        <v>4303</v>
      </c>
      <c r="AN108" s="33">
        <v>4326</v>
      </c>
      <c r="AO108" s="33">
        <v>4329</v>
      </c>
      <c r="AP108" s="33">
        <v>4311</v>
      </c>
      <c r="AQ108" s="33">
        <v>4302</v>
      </c>
      <c r="AR108" s="33">
        <v>4314</v>
      </c>
      <c r="AS108" s="33">
        <v>4338</v>
      </c>
      <c r="AT108" s="33">
        <v>4395</v>
      </c>
      <c r="AU108" s="33">
        <v>4425</v>
      </c>
      <c r="AV108" s="33">
        <v>4347</v>
      </c>
      <c r="AW108" s="33">
        <v>4333</v>
      </c>
      <c r="AX108" s="33">
        <v>4343</v>
      </c>
      <c r="AY108" s="33">
        <v>4301</v>
      </c>
      <c r="AZ108" s="33">
        <v>4297</v>
      </c>
      <c r="BA108" s="33">
        <v>4257</v>
      </c>
      <c r="BB108" s="33">
        <v>4151</v>
      </c>
      <c r="BC108" s="33">
        <v>4384</v>
      </c>
      <c r="BD108" s="33">
        <v>4375</v>
      </c>
      <c r="BE108" s="33">
        <v>4405</v>
      </c>
      <c r="BF108" s="33">
        <v>4301</v>
      </c>
      <c r="BG108" s="33">
        <v>4299</v>
      </c>
      <c r="BH108" s="33">
        <v>4378</v>
      </c>
      <c r="BI108" s="33">
        <v>4417</v>
      </c>
      <c r="BJ108" s="33">
        <v>4381</v>
      </c>
      <c r="BK108" s="33">
        <v>4362</v>
      </c>
      <c r="BL108" s="33">
        <v>4346</v>
      </c>
    </row>
    <row r="109" spans="1:64" ht="15.95" customHeight="1">
      <c r="A109" s="68" t="s">
        <v>366</v>
      </c>
      <c r="B109" s="44" t="s">
        <v>170</v>
      </c>
      <c r="C109" s="48">
        <f>_xll.RssMarket("9020","安値")</f>
        <v>3336</v>
      </c>
      <c r="D109" s="16">
        <f t="shared" si="1"/>
        <v>0</v>
      </c>
      <c r="E109" s="33">
        <v>3336</v>
      </c>
      <c r="F109" s="33">
        <v>3356</v>
      </c>
      <c r="G109" s="33">
        <v>3362</v>
      </c>
      <c r="H109" s="33">
        <v>3389</v>
      </c>
      <c r="I109" s="33">
        <v>3414</v>
      </c>
      <c r="J109" s="33">
        <v>3373</v>
      </c>
      <c r="K109" s="33">
        <v>3345</v>
      </c>
      <c r="L109" s="33">
        <v>3279</v>
      </c>
      <c r="M109" s="33">
        <v>3243</v>
      </c>
      <c r="N109" s="33">
        <v>3262</v>
      </c>
      <c r="O109" s="33">
        <v>3292</v>
      </c>
      <c r="P109" s="33">
        <v>3412</v>
      </c>
      <c r="Q109" s="33">
        <v>3444</v>
      </c>
      <c r="R109" s="33">
        <v>3458</v>
      </c>
      <c r="S109" s="33">
        <v>3518</v>
      </c>
      <c r="T109" s="33">
        <v>3603</v>
      </c>
      <c r="U109" s="33">
        <v>3692</v>
      </c>
      <c r="V109" s="33">
        <v>3729</v>
      </c>
      <c r="W109" s="33">
        <v>3730</v>
      </c>
      <c r="X109" s="33">
        <v>3682</v>
      </c>
      <c r="Y109" s="33">
        <v>3657</v>
      </c>
      <c r="Z109" s="33">
        <v>3661</v>
      </c>
      <c r="AA109" s="33">
        <v>3744</v>
      </c>
      <c r="AB109" s="33">
        <v>3588</v>
      </c>
      <c r="AC109" s="33">
        <v>3611</v>
      </c>
      <c r="AD109" s="33">
        <v>3600</v>
      </c>
      <c r="AE109" s="33">
        <v>3567</v>
      </c>
      <c r="AF109" s="33">
        <v>3602</v>
      </c>
      <c r="AG109" s="33">
        <v>3277</v>
      </c>
      <c r="AH109" s="33">
        <v>3415</v>
      </c>
      <c r="AI109" s="33">
        <v>3391</v>
      </c>
      <c r="AJ109" s="33">
        <v>3418</v>
      </c>
      <c r="AK109" s="33">
        <v>3476</v>
      </c>
      <c r="AL109" s="33">
        <v>3511</v>
      </c>
      <c r="AM109" s="33">
        <v>3487</v>
      </c>
      <c r="AN109" s="33">
        <v>3491</v>
      </c>
      <c r="AO109" s="33">
        <v>3475</v>
      </c>
      <c r="AP109" s="33">
        <v>3525</v>
      </c>
      <c r="AQ109" s="33">
        <v>3525</v>
      </c>
      <c r="AR109" s="33">
        <v>3505</v>
      </c>
      <c r="AS109" s="33">
        <v>3559</v>
      </c>
      <c r="AT109" s="33">
        <v>3545</v>
      </c>
      <c r="AU109" s="33">
        <v>3550</v>
      </c>
      <c r="AV109" s="33">
        <v>3591</v>
      </c>
      <c r="AW109" s="33">
        <v>3542</v>
      </c>
      <c r="AX109" s="33">
        <v>3576</v>
      </c>
      <c r="AY109" s="33">
        <v>3610</v>
      </c>
      <c r="AZ109" s="33">
        <v>3637</v>
      </c>
      <c r="BA109" s="33">
        <v>3625</v>
      </c>
      <c r="BB109" s="33">
        <v>3618</v>
      </c>
      <c r="BC109" s="33">
        <v>3533</v>
      </c>
      <c r="BD109" s="33">
        <v>3654</v>
      </c>
      <c r="BE109" s="33">
        <v>3622</v>
      </c>
      <c r="BF109" s="33">
        <v>3600</v>
      </c>
      <c r="BG109" s="33">
        <v>3557</v>
      </c>
      <c r="BH109" s="33">
        <v>3555</v>
      </c>
      <c r="BI109" s="33">
        <v>3607</v>
      </c>
      <c r="BJ109" s="33">
        <v>3685</v>
      </c>
      <c r="BK109" s="33">
        <v>3708</v>
      </c>
      <c r="BL109" s="33">
        <v>3707</v>
      </c>
    </row>
    <row r="110" spans="1:64" ht="15.95" customHeight="1">
      <c r="A110" s="68" t="s">
        <v>367</v>
      </c>
      <c r="B110" s="44" t="s">
        <v>171</v>
      </c>
      <c r="C110" s="48">
        <f>_xll.RssMarket("9069","安値")</f>
        <v>1898</v>
      </c>
      <c r="D110" s="16">
        <f t="shared" si="1"/>
        <v>0</v>
      </c>
      <c r="E110" s="33">
        <v>1898</v>
      </c>
      <c r="F110" s="33">
        <v>1932.5</v>
      </c>
      <c r="G110" s="33">
        <v>1933.5</v>
      </c>
      <c r="H110" s="33">
        <v>1908</v>
      </c>
      <c r="I110" s="33">
        <v>1896.5</v>
      </c>
      <c r="J110" s="33">
        <v>1940</v>
      </c>
      <c r="K110" s="33">
        <v>1900</v>
      </c>
      <c r="L110" s="33">
        <v>1897.5</v>
      </c>
      <c r="M110" s="33">
        <v>1880.5</v>
      </c>
      <c r="N110" s="33">
        <v>1873</v>
      </c>
      <c r="O110" s="33">
        <v>1860</v>
      </c>
      <c r="P110" s="33">
        <v>1902.5</v>
      </c>
      <c r="Q110" s="33">
        <v>1892.5</v>
      </c>
      <c r="R110" s="33">
        <v>1897.5</v>
      </c>
      <c r="S110" s="33">
        <v>1922</v>
      </c>
      <c r="T110" s="33">
        <v>1938.5</v>
      </c>
      <c r="U110" s="33">
        <v>1992.5</v>
      </c>
      <c r="V110" s="33">
        <v>1987.5</v>
      </c>
      <c r="W110" s="33">
        <v>2004</v>
      </c>
      <c r="X110" s="33">
        <v>1979</v>
      </c>
      <c r="Y110" s="33">
        <v>1986.5</v>
      </c>
      <c r="Z110" s="33">
        <v>1901</v>
      </c>
      <c r="AA110" s="33">
        <v>1829.5</v>
      </c>
      <c r="AB110" s="33">
        <v>1808</v>
      </c>
      <c r="AC110" s="33">
        <v>1847.5</v>
      </c>
      <c r="AD110" s="33">
        <v>1847</v>
      </c>
      <c r="AE110" s="33">
        <v>1812</v>
      </c>
      <c r="AF110" s="33">
        <v>1824.5</v>
      </c>
      <c r="AG110" s="33">
        <v>1834</v>
      </c>
      <c r="AH110" s="33">
        <v>1834.5</v>
      </c>
      <c r="AI110" s="33">
        <v>1802.5</v>
      </c>
      <c r="AJ110" s="33">
        <v>1847</v>
      </c>
      <c r="AK110" s="33">
        <v>1863</v>
      </c>
      <c r="AL110" s="33">
        <v>1882.5</v>
      </c>
      <c r="AM110" s="33">
        <v>1900</v>
      </c>
      <c r="AN110" s="33">
        <v>1891</v>
      </c>
      <c r="AO110" s="33">
        <v>1884.5</v>
      </c>
      <c r="AP110" s="33">
        <v>1888.5</v>
      </c>
      <c r="AQ110" s="33">
        <v>1887</v>
      </c>
      <c r="AR110" s="33">
        <v>1870.5</v>
      </c>
      <c r="AS110" s="33">
        <v>1863</v>
      </c>
      <c r="AT110" s="33">
        <v>1867.5</v>
      </c>
      <c r="AU110" s="33">
        <v>1904</v>
      </c>
      <c r="AV110" s="33">
        <v>1895</v>
      </c>
      <c r="AW110" s="33">
        <v>1856</v>
      </c>
      <c r="AX110" s="33">
        <v>1852.5</v>
      </c>
      <c r="AY110" s="33">
        <v>1854</v>
      </c>
      <c r="AZ110" s="33">
        <v>1869.5</v>
      </c>
      <c r="BA110" s="33">
        <v>1838</v>
      </c>
      <c r="BB110" s="33">
        <v>1780</v>
      </c>
      <c r="BC110" s="33">
        <v>1700</v>
      </c>
      <c r="BD110" s="33">
        <v>1751</v>
      </c>
      <c r="BE110" s="33">
        <v>1794</v>
      </c>
      <c r="BF110" s="33">
        <v>1802.5</v>
      </c>
      <c r="BG110" s="33">
        <v>1763.5</v>
      </c>
      <c r="BH110" s="33">
        <v>1695</v>
      </c>
      <c r="BI110" s="33">
        <v>1792.5</v>
      </c>
      <c r="BJ110" s="33">
        <v>1802.5</v>
      </c>
      <c r="BK110" s="33">
        <v>1780.5</v>
      </c>
      <c r="BL110" s="33">
        <v>1777.5</v>
      </c>
    </row>
    <row r="111" spans="1:64" ht="15.95" customHeight="1">
      <c r="A111" s="68" t="s">
        <v>368</v>
      </c>
      <c r="B111" s="44" t="s">
        <v>172</v>
      </c>
      <c r="C111" s="48">
        <f>_xll.RssMarket("9227","安値")</f>
        <v>868</v>
      </c>
      <c r="D111" s="16">
        <f t="shared" si="1"/>
        <v>0</v>
      </c>
      <c r="E111" s="33">
        <v>868</v>
      </c>
      <c r="F111" s="33">
        <v>862</v>
      </c>
      <c r="G111" s="33">
        <v>882</v>
      </c>
      <c r="H111" s="33">
        <v>851</v>
      </c>
      <c r="I111" s="33">
        <v>834</v>
      </c>
      <c r="J111" s="33">
        <v>851</v>
      </c>
      <c r="K111" s="33">
        <v>882</v>
      </c>
      <c r="L111" s="33">
        <v>885</v>
      </c>
      <c r="M111" s="33">
        <v>878</v>
      </c>
      <c r="N111" s="33">
        <v>903</v>
      </c>
      <c r="O111" s="33">
        <v>890</v>
      </c>
      <c r="P111" s="33">
        <v>1025</v>
      </c>
      <c r="Q111" s="33">
        <v>1087</v>
      </c>
      <c r="R111" s="33">
        <v>1133</v>
      </c>
      <c r="S111" s="33">
        <v>1093</v>
      </c>
      <c r="T111" s="33">
        <v>943</v>
      </c>
      <c r="U111" s="33">
        <v>767</v>
      </c>
      <c r="V111" s="33">
        <v>750</v>
      </c>
      <c r="W111" s="33">
        <v>797</v>
      </c>
      <c r="X111" s="33">
        <v>809</v>
      </c>
      <c r="Y111" s="33">
        <v>791</v>
      </c>
      <c r="Z111" s="33">
        <v>840</v>
      </c>
      <c r="AA111" s="33">
        <v>960</v>
      </c>
      <c r="AB111" s="33">
        <v>980</v>
      </c>
      <c r="AC111" s="33">
        <v>987</v>
      </c>
      <c r="AD111" s="33">
        <v>1004</v>
      </c>
      <c r="AE111" s="33">
        <v>1018</v>
      </c>
      <c r="AF111" s="33">
        <v>1018</v>
      </c>
      <c r="AG111" s="33">
        <v>1030</v>
      </c>
      <c r="AH111" s="33">
        <v>1030</v>
      </c>
      <c r="AI111" s="33">
        <v>1062</v>
      </c>
      <c r="AJ111" s="33">
        <v>1082</v>
      </c>
      <c r="AK111" s="33">
        <v>1125</v>
      </c>
      <c r="AL111" s="33">
        <v>1166</v>
      </c>
      <c r="AM111" s="33">
        <v>1098</v>
      </c>
      <c r="AN111" s="33">
        <v>1019</v>
      </c>
      <c r="AO111" s="33">
        <v>1028</v>
      </c>
      <c r="AP111" s="33">
        <v>995</v>
      </c>
      <c r="AQ111" s="33">
        <v>988</v>
      </c>
      <c r="AR111" s="33">
        <v>939</v>
      </c>
      <c r="AS111" s="33">
        <v>945</v>
      </c>
      <c r="AT111" s="33">
        <v>967</v>
      </c>
      <c r="AU111" s="33">
        <v>963</v>
      </c>
      <c r="AV111" s="33">
        <v>923</v>
      </c>
      <c r="AW111" s="33">
        <v>948</v>
      </c>
      <c r="AX111" s="33">
        <v>953</v>
      </c>
      <c r="AY111" s="33">
        <v>968</v>
      </c>
      <c r="AZ111" s="33">
        <v>971</v>
      </c>
      <c r="BA111" s="33">
        <v>948</v>
      </c>
      <c r="BB111" s="33">
        <v>935</v>
      </c>
      <c r="BC111" s="33">
        <v>939</v>
      </c>
      <c r="BD111" s="33">
        <v>959</v>
      </c>
      <c r="BE111" s="33">
        <v>1004</v>
      </c>
      <c r="BF111" s="33">
        <v>968</v>
      </c>
      <c r="BG111" s="33">
        <v>975</v>
      </c>
      <c r="BH111" s="33">
        <v>1056</v>
      </c>
      <c r="BI111" s="33">
        <v>1039</v>
      </c>
      <c r="BJ111" s="33">
        <v>990</v>
      </c>
      <c r="BK111" s="33">
        <v>1002</v>
      </c>
      <c r="BL111" s="33">
        <v>990</v>
      </c>
    </row>
    <row r="112" spans="1:64" ht="15.95" customHeight="1">
      <c r="A112" s="68" t="s">
        <v>369</v>
      </c>
      <c r="B112" s="44" t="s">
        <v>173</v>
      </c>
      <c r="C112" s="48">
        <f>_xll.RssMarket("9348","安値")</f>
        <v>468</v>
      </c>
      <c r="D112" s="16">
        <f t="shared" si="1"/>
        <v>0</v>
      </c>
      <c r="E112" s="33">
        <v>468</v>
      </c>
      <c r="F112" s="33">
        <v>466</v>
      </c>
      <c r="G112" s="33">
        <v>495</v>
      </c>
      <c r="H112" s="33">
        <v>543</v>
      </c>
      <c r="I112" s="33">
        <v>555</v>
      </c>
      <c r="J112" s="33">
        <v>568</v>
      </c>
      <c r="K112" s="33">
        <v>576</v>
      </c>
      <c r="L112" s="33">
        <v>585</v>
      </c>
      <c r="M112" s="33">
        <v>554</v>
      </c>
      <c r="N112" s="33">
        <v>562</v>
      </c>
      <c r="O112" s="33">
        <v>561</v>
      </c>
      <c r="P112" s="33">
        <v>651</v>
      </c>
      <c r="Q112" s="33">
        <v>600</v>
      </c>
      <c r="R112" s="33">
        <v>590</v>
      </c>
      <c r="S112" s="33">
        <v>563</v>
      </c>
      <c r="T112" s="33">
        <v>510</v>
      </c>
      <c r="U112" s="33">
        <v>493</v>
      </c>
      <c r="V112" s="33">
        <v>507</v>
      </c>
      <c r="W112" s="33">
        <v>485</v>
      </c>
      <c r="X112" s="33">
        <v>498</v>
      </c>
      <c r="Y112" s="33">
        <v>493</v>
      </c>
      <c r="Z112" s="33">
        <v>484</v>
      </c>
      <c r="AA112" s="33">
        <v>488</v>
      </c>
      <c r="AB112" s="33">
        <v>507</v>
      </c>
      <c r="AC112" s="33">
        <v>482</v>
      </c>
      <c r="AD112" s="33">
        <v>471</v>
      </c>
      <c r="AE112" s="33">
        <v>463</v>
      </c>
      <c r="AF112" s="33">
        <v>463</v>
      </c>
      <c r="AG112" s="33">
        <v>463</v>
      </c>
      <c r="AH112" s="33">
        <v>461</v>
      </c>
      <c r="AI112" s="33">
        <v>471</v>
      </c>
      <c r="AJ112" s="33">
        <v>469</v>
      </c>
      <c r="AK112" s="33">
        <v>484</v>
      </c>
      <c r="AL112" s="33">
        <v>475</v>
      </c>
      <c r="AM112" s="33">
        <v>493</v>
      </c>
      <c r="AN112" s="33">
        <v>492</v>
      </c>
      <c r="AO112" s="33">
        <v>487</v>
      </c>
      <c r="AP112" s="33">
        <v>498</v>
      </c>
      <c r="AQ112" s="33">
        <v>492</v>
      </c>
      <c r="AR112" s="33">
        <v>492</v>
      </c>
      <c r="AS112" s="33">
        <v>459</v>
      </c>
      <c r="AT112" s="33">
        <v>449</v>
      </c>
      <c r="AU112" s="33">
        <v>435</v>
      </c>
      <c r="AV112" s="33">
        <v>425</v>
      </c>
      <c r="AW112" s="33">
        <v>422</v>
      </c>
      <c r="AX112" s="33">
        <v>423</v>
      </c>
      <c r="AY112" s="33">
        <v>454</v>
      </c>
      <c r="AZ112" s="33">
        <v>428</v>
      </c>
      <c r="BA112" s="33">
        <v>410</v>
      </c>
      <c r="BB112" s="33">
        <v>466</v>
      </c>
      <c r="BC112" s="33">
        <v>557</v>
      </c>
      <c r="BD112" s="33">
        <v>561</v>
      </c>
      <c r="BE112" s="33">
        <v>558</v>
      </c>
      <c r="BF112" s="33">
        <v>537</v>
      </c>
      <c r="BG112" s="33">
        <v>531</v>
      </c>
      <c r="BH112" s="33">
        <v>578</v>
      </c>
      <c r="BI112" s="33">
        <v>585</v>
      </c>
      <c r="BJ112" s="33">
        <v>573</v>
      </c>
      <c r="BK112" s="33">
        <v>570</v>
      </c>
      <c r="BL112" s="33">
        <v>553</v>
      </c>
    </row>
    <row r="113" spans="1:64" ht="15.95" customHeight="1">
      <c r="A113" s="68" t="s">
        <v>370</v>
      </c>
      <c r="B113" s="44" t="s">
        <v>174</v>
      </c>
      <c r="C113" s="48">
        <f>_xll.RssMarket("9449","安値")</f>
        <v>3063</v>
      </c>
      <c r="D113" s="16">
        <f t="shared" si="1"/>
        <v>0</v>
      </c>
      <c r="E113" s="33">
        <v>3063</v>
      </c>
      <c r="F113" s="33">
        <v>3042</v>
      </c>
      <c r="G113" s="33">
        <v>3080</v>
      </c>
      <c r="H113" s="33">
        <v>3053</v>
      </c>
      <c r="I113" s="33">
        <v>3105</v>
      </c>
      <c r="J113" s="33">
        <v>3132</v>
      </c>
      <c r="K113" s="33">
        <v>3120</v>
      </c>
      <c r="L113" s="33">
        <v>3212</v>
      </c>
      <c r="M113" s="33">
        <v>3221</v>
      </c>
      <c r="N113" s="33">
        <v>3141</v>
      </c>
      <c r="O113" s="33">
        <v>3304</v>
      </c>
      <c r="P113" s="33">
        <v>3285</v>
      </c>
      <c r="Q113" s="33">
        <v>3242</v>
      </c>
      <c r="R113" s="33">
        <v>3294</v>
      </c>
      <c r="S113" s="33">
        <v>3310</v>
      </c>
      <c r="T113" s="33">
        <v>3293</v>
      </c>
      <c r="U113" s="33">
        <v>3260</v>
      </c>
      <c r="V113" s="33">
        <v>3294</v>
      </c>
      <c r="W113" s="33">
        <v>3264</v>
      </c>
      <c r="X113" s="33">
        <v>3217</v>
      </c>
      <c r="Y113" s="33">
        <v>3051</v>
      </c>
      <c r="Z113" s="33">
        <v>3067</v>
      </c>
      <c r="AA113" s="33">
        <v>3115</v>
      </c>
      <c r="AB113" s="33">
        <v>3109</v>
      </c>
      <c r="AC113" s="33">
        <v>3150</v>
      </c>
      <c r="AD113" s="33">
        <v>3075</v>
      </c>
      <c r="AE113" s="33">
        <v>3034</v>
      </c>
      <c r="AF113" s="33">
        <v>3012</v>
      </c>
      <c r="AG113" s="33">
        <v>3012</v>
      </c>
      <c r="AH113" s="33">
        <v>3097</v>
      </c>
      <c r="AI113" s="33">
        <v>3072</v>
      </c>
      <c r="AJ113" s="33">
        <v>3101</v>
      </c>
      <c r="AK113" s="33">
        <v>3168</v>
      </c>
      <c r="AL113" s="33">
        <v>3261</v>
      </c>
      <c r="AM113" s="33">
        <v>3222</v>
      </c>
      <c r="AN113" s="33">
        <v>3219</v>
      </c>
      <c r="AO113" s="33">
        <v>3230</v>
      </c>
      <c r="AP113" s="33">
        <v>3185</v>
      </c>
      <c r="AQ113" s="33">
        <v>3037</v>
      </c>
      <c r="AR113" s="33">
        <v>3011</v>
      </c>
      <c r="AS113" s="33">
        <v>2927</v>
      </c>
      <c r="AT113" s="33">
        <v>2955</v>
      </c>
      <c r="AU113" s="33">
        <v>3036</v>
      </c>
      <c r="AV113" s="33">
        <v>3070</v>
      </c>
      <c r="AW113" s="33">
        <v>3005</v>
      </c>
      <c r="AX113" s="33">
        <v>2987.5</v>
      </c>
      <c r="AY113" s="33">
        <v>2962.5</v>
      </c>
      <c r="AZ113" s="33">
        <v>2901</v>
      </c>
      <c r="BA113" s="33">
        <v>2900.5</v>
      </c>
      <c r="BB113" s="33">
        <v>2805.5</v>
      </c>
      <c r="BC113" s="33">
        <v>2756</v>
      </c>
      <c r="BD113" s="33">
        <v>2829</v>
      </c>
      <c r="BE113" s="33">
        <v>2816.5</v>
      </c>
      <c r="BF113" s="33">
        <v>2818</v>
      </c>
      <c r="BG113" s="33">
        <v>2799</v>
      </c>
      <c r="BH113" s="33">
        <v>2755.5</v>
      </c>
      <c r="BI113" s="33">
        <v>2826</v>
      </c>
      <c r="BJ113" s="33">
        <v>2848.5</v>
      </c>
      <c r="BK113" s="33">
        <v>2821</v>
      </c>
      <c r="BL113" s="33">
        <v>2810</v>
      </c>
    </row>
    <row r="114" spans="1:64" ht="15.95" customHeight="1">
      <c r="A114" s="68" t="s">
        <v>371</v>
      </c>
      <c r="B114" s="44" t="s">
        <v>175</v>
      </c>
      <c r="C114" s="48">
        <f>_xll.RssMarket("9501","安値")</f>
        <v>507.4</v>
      </c>
      <c r="D114" s="16">
        <f t="shared" si="1"/>
        <v>0</v>
      </c>
      <c r="E114" s="33">
        <v>507.4</v>
      </c>
      <c r="F114" s="33">
        <v>512.20000000000005</v>
      </c>
      <c r="G114" s="33">
        <v>521.29999999999995</v>
      </c>
      <c r="H114" s="33">
        <v>495.1</v>
      </c>
      <c r="I114" s="33">
        <v>489.4</v>
      </c>
      <c r="J114" s="33">
        <v>506.3</v>
      </c>
      <c r="K114" s="33">
        <v>518.4</v>
      </c>
      <c r="L114" s="33">
        <v>527</v>
      </c>
      <c r="M114" s="33">
        <v>536</v>
      </c>
      <c r="N114" s="33">
        <v>563.70000000000005</v>
      </c>
      <c r="O114" s="33">
        <v>539.20000000000005</v>
      </c>
      <c r="P114" s="33">
        <v>553</v>
      </c>
      <c r="Q114" s="33">
        <v>551.5</v>
      </c>
      <c r="R114" s="33">
        <v>567</v>
      </c>
      <c r="S114" s="33">
        <v>551</v>
      </c>
      <c r="T114" s="33">
        <v>548.1</v>
      </c>
      <c r="U114" s="33">
        <v>550.79999999999995</v>
      </c>
      <c r="V114" s="33">
        <v>543.4</v>
      </c>
      <c r="W114" s="33">
        <v>569.6</v>
      </c>
      <c r="X114" s="33">
        <v>556.70000000000005</v>
      </c>
      <c r="Y114" s="33">
        <v>588.70000000000005</v>
      </c>
      <c r="Z114" s="33">
        <v>608.9</v>
      </c>
      <c r="AA114" s="33">
        <v>608.79999999999995</v>
      </c>
      <c r="AB114" s="33">
        <v>642</v>
      </c>
      <c r="AC114" s="33">
        <v>631.29999999999995</v>
      </c>
      <c r="AD114" s="33">
        <v>616.70000000000005</v>
      </c>
      <c r="AE114" s="33">
        <v>602.4</v>
      </c>
      <c r="AF114" s="33">
        <v>581.1</v>
      </c>
      <c r="AG114" s="33">
        <v>586.4</v>
      </c>
      <c r="AH114" s="33">
        <v>581.5</v>
      </c>
      <c r="AI114" s="33">
        <v>578.9</v>
      </c>
      <c r="AJ114" s="33">
        <v>577</v>
      </c>
      <c r="AK114" s="33">
        <v>584.70000000000005</v>
      </c>
      <c r="AL114" s="33">
        <v>588.70000000000005</v>
      </c>
      <c r="AM114" s="33">
        <v>600.9</v>
      </c>
      <c r="AN114" s="33">
        <v>609.4</v>
      </c>
      <c r="AO114" s="33">
        <v>624</v>
      </c>
      <c r="AP114" s="33">
        <v>620.70000000000005</v>
      </c>
      <c r="AQ114" s="33">
        <v>628</v>
      </c>
      <c r="AR114" s="33">
        <v>643.4</v>
      </c>
      <c r="AS114" s="33">
        <v>637.9</v>
      </c>
      <c r="AT114" s="33">
        <v>663.5</v>
      </c>
      <c r="AU114" s="33">
        <v>640.29999999999995</v>
      </c>
      <c r="AV114" s="33">
        <v>635.29999999999995</v>
      </c>
      <c r="AW114" s="33">
        <v>620.9</v>
      </c>
      <c r="AX114" s="33">
        <v>635.29999999999995</v>
      </c>
      <c r="AY114" s="33">
        <v>641.79999999999995</v>
      </c>
      <c r="AZ114" s="33">
        <v>640.29999999999995</v>
      </c>
      <c r="BA114" s="33">
        <v>642.70000000000005</v>
      </c>
      <c r="BB114" s="33">
        <v>633.6</v>
      </c>
      <c r="BC114" s="33">
        <v>614.4</v>
      </c>
      <c r="BD114" s="33">
        <v>618.79999999999995</v>
      </c>
      <c r="BE114" s="33">
        <v>616.20000000000005</v>
      </c>
      <c r="BF114" s="33">
        <v>630.5</v>
      </c>
      <c r="BG114" s="33">
        <v>611.20000000000005</v>
      </c>
      <c r="BH114" s="33">
        <v>613</v>
      </c>
      <c r="BI114" s="33">
        <v>641.6</v>
      </c>
      <c r="BJ114" s="33">
        <v>640.20000000000005</v>
      </c>
      <c r="BK114" s="33">
        <v>609.79999999999995</v>
      </c>
      <c r="BL114" s="33">
        <v>599.4</v>
      </c>
    </row>
    <row r="115" spans="1:64" ht="15.95" customHeight="1">
      <c r="A115" s="68" t="s">
        <v>372</v>
      </c>
      <c r="B115" s="44" t="s">
        <v>176</v>
      </c>
      <c r="C115" s="48">
        <f>_xll.RssMarket("9531","安値")</f>
        <v>6138</v>
      </c>
      <c r="D115" s="16">
        <f t="shared" si="1"/>
        <v>0</v>
      </c>
      <c r="E115" s="33">
        <v>6138</v>
      </c>
      <c r="F115" s="33">
        <v>6178</v>
      </c>
      <c r="G115" s="33">
        <v>6241</v>
      </c>
      <c r="H115" s="33">
        <v>6268</v>
      </c>
      <c r="I115" s="33">
        <v>6286</v>
      </c>
      <c r="J115" s="33">
        <v>6273</v>
      </c>
      <c r="K115" s="33">
        <v>6100</v>
      </c>
      <c r="L115" s="33">
        <v>6163</v>
      </c>
      <c r="M115" s="33">
        <v>6171</v>
      </c>
      <c r="N115" s="33">
        <v>6246</v>
      </c>
      <c r="O115" s="33">
        <v>6033</v>
      </c>
      <c r="P115" s="33">
        <v>6196</v>
      </c>
      <c r="Q115" s="33">
        <v>6258</v>
      </c>
      <c r="R115" s="33">
        <v>6406</v>
      </c>
      <c r="S115" s="33">
        <v>6396</v>
      </c>
      <c r="T115" s="33">
        <v>6501</v>
      </c>
      <c r="U115" s="33">
        <v>6618</v>
      </c>
      <c r="V115" s="33">
        <v>6401</v>
      </c>
      <c r="W115" s="33">
        <v>6663</v>
      </c>
      <c r="X115" s="33">
        <v>6480</v>
      </c>
      <c r="Y115" s="33">
        <v>6607</v>
      </c>
      <c r="Z115" s="33">
        <v>6517</v>
      </c>
      <c r="AA115" s="33">
        <v>6573</v>
      </c>
      <c r="AB115" s="33">
        <v>6623</v>
      </c>
      <c r="AC115" s="33">
        <v>6550</v>
      </c>
      <c r="AD115" s="33">
        <v>6530</v>
      </c>
      <c r="AE115" s="33">
        <v>6615</v>
      </c>
      <c r="AF115" s="33">
        <v>6419</v>
      </c>
      <c r="AG115" s="33">
        <v>6552</v>
      </c>
      <c r="AH115" s="33">
        <v>6543</v>
      </c>
      <c r="AI115" s="33">
        <v>6372</v>
      </c>
      <c r="AJ115" s="33">
        <v>6392</v>
      </c>
      <c r="AK115" s="33">
        <v>6360</v>
      </c>
      <c r="AL115" s="33">
        <v>6460</v>
      </c>
      <c r="AM115" s="33">
        <v>6559</v>
      </c>
      <c r="AN115" s="33">
        <v>6627</v>
      </c>
      <c r="AO115" s="33">
        <v>6913</v>
      </c>
      <c r="AP115" s="33">
        <v>6972</v>
      </c>
      <c r="AQ115" s="33">
        <v>6918</v>
      </c>
      <c r="AR115" s="33">
        <v>6920</v>
      </c>
      <c r="AS115" s="33">
        <v>7054</v>
      </c>
      <c r="AT115" s="33">
        <v>7225</v>
      </c>
      <c r="AU115" s="33">
        <v>7236</v>
      </c>
      <c r="AV115" s="33">
        <v>7271</v>
      </c>
      <c r="AW115" s="33">
        <v>7232</v>
      </c>
      <c r="AX115" s="33">
        <v>7224</v>
      </c>
      <c r="AY115" s="33">
        <v>7289</v>
      </c>
      <c r="AZ115" s="33">
        <v>7239</v>
      </c>
      <c r="BA115" s="33">
        <v>7483</v>
      </c>
      <c r="BB115" s="33">
        <v>7318</v>
      </c>
      <c r="BC115" s="33">
        <v>7558</v>
      </c>
      <c r="BD115" s="33">
        <v>7568</v>
      </c>
      <c r="BE115" s="33">
        <v>7522</v>
      </c>
      <c r="BF115" s="33">
        <v>7463</v>
      </c>
      <c r="BG115" s="33">
        <v>7127</v>
      </c>
      <c r="BH115" s="33">
        <v>6971</v>
      </c>
      <c r="BI115" s="33">
        <v>7319</v>
      </c>
      <c r="BJ115" s="33">
        <v>7480</v>
      </c>
      <c r="BK115" s="33">
        <v>7410</v>
      </c>
      <c r="BL115" s="33">
        <v>7415</v>
      </c>
    </row>
    <row r="116" spans="1:64" ht="15.95" customHeight="1">
      <c r="A116" s="68" t="s">
        <v>373</v>
      </c>
      <c r="B116" s="44" t="s">
        <v>177</v>
      </c>
      <c r="C116" s="48">
        <f>_xll.RssMarket("9882","安値")</f>
        <v>1735</v>
      </c>
      <c r="D116" s="16">
        <f t="shared" si="1"/>
        <v>0</v>
      </c>
      <c r="E116" s="33">
        <v>1735</v>
      </c>
      <c r="F116" s="33">
        <v>1711</v>
      </c>
      <c r="G116" s="33">
        <v>1731</v>
      </c>
      <c r="H116" s="33">
        <v>1721</v>
      </c>
      <c r="I116" s="33">
        <v>1698</v>
      </c>
      <c r="J116" s="33">
        <v>1700</v>
      </c>
      <c r="K116" s="33">
        <v>1663</v>
      </c>
      <c r="L116" s="33">
        <v>1655</v>
      </c>
      <c r="M116" s="33">
        <v>1643</v>
      </c>
      <c r="N116" s="33">
        <v>1618</v>
      </c>
      <c r="O116" s="33">
        <v>1601</v>
      </c>
      <c r="P116" s="33">
        <v>1625</v>
      </c>
      <c r="Q116" s="33">
        <v>1622</v>
      </c>
      <c r="R116" s="33">
        <v>1613</v>
      </c>
      <c r="S116" s="33">
        <v>1605</v>
      </c>
      <c r="T116" s="33">
        <v>1612</v>
      </c>
      <c r="U116" s="33">
        <v>1622</v>
      </c>
      <c r="V116" s="33">
        <v>1608</v>
      </c>
      <c r="W116" s="33">
        <v>1625</v>
      </c>
      <c r="X116" s="33">
        <v>1611</v>
      </c>
      <c r="Y116" s="33">
        <v>1595</v>
      </c>
      <c r="Z116" s="33">
        <v>1585</v>
      </c>
      <c r="AA116" s="33">
        <v>1613</v>
      </c>
      <c r="AB116" s="33">
        <v>1633</v>
      </c>
      <c r="AC116" s="33">
        <v>1622</v>
      </c>
      <c r="AD116" s="33">
        <v>1487</v>
      </c>
      <c r="AE116" s="33">
        <v>1502</v>
      </c>
      <c r="AF116" s="33">
        <v>1503</v>
      </c>
      <c r="AG116" s="33">
        <v>1502</v>
      </c>
      <c r="AH116" s="33">
        <v>1504</v>
      </c>
      <c r="AI116" s="33">
        <v>1504</v>
      </c>
      <c r="AJ116" s="33">
        <v>1506</v>
      </c>
      <c r="AK116" s="33">
        <v>1509</v>
      </c>
      <c r="AL116" s="33">
        <v>1538</v>
      </c>
      <c r="AM116" s="33">
        <v>1561</v>
      </c>
      <c r="AN116" s="33">
        <v>1555</v>
      </c>
      <c r="AO116" s="33">
        <v>1554</v>
      </c>
      <c r="AP116" s="33">
        <v>1549</v>
      </c>
      <c r="AQ116" s="33">
        <v>1553</v>
      </c>
      <c r="AR116" s="33">
        <v>1561</v>
      </c>
      <c r="AS116" s="33">
        <v>1565</v>
      </c>
      <c r="AT116" s="33">
        <v>1590</v>
      </c>
      <c r="AU116" s="33">
        <v>1597</v>
      </c>
      <c r="AV116" s="33">
        <v>1614</v>
      </c>
      <c r="AW116" s="33">
        <v>1575</v>
      </c>
      <c r="AX116" s="33">
        <v>1550</v>
      </c>
      <c r="AY116" s="33">
        <v>1546</v>
      </c>
      <c r="AZ116" s="33">
        <v>1555</v>
      </c>
      <c r="BA116" s="33">
        <v>1550</v>
      </c>
      <c r="BB116" s="33">
        <v>1545</v>
      </c>
      <c r="BC116" s="33">
        <v>1510</v>
      </c>
      <c r="BD116" s="33">
        <v>1586</v>
      </c>
      <c r="BE116" s="33">
        <v>1568</v>
      </c>
      <c r="BF116" s="33">
        <v>1571</v>
      </c>
      <c r="BG116" s="33">
        <v>1536</v>
      </c>
      <c r="BH116" s="33">
        <v>1503</v>
      </c>
      <c r="BI116" s="33">
        <v>1542</v>
      </c>
      <c r="BJ116" s="33">
        <v>1583</v>
      </c>
      <c r="BK116" s="33">
        <v>1578</v>
      </c>
      <c r="BL116" s="33">
        <v>1569</v>
      </c>
    </row>
    <row r="117" spans="1:64" ht="15.95" customHeight="1">
      <c r="A117" s="68" t="s">
        <v>374</v>
      </c>
      <c r="B117" s="44" t="s">
        <v>178</v>
      </c>
      <c r="C117" s="48">
        <f>_xll.RssMarket("5838","安値")</f>
        <v>5158</v>
      </c>
      <c r="D117" s="16">
        <f t="shared" si="1"/>
        <v>0</v>
      </c>
      <c r="E117" s="33">
        <v>5158</v>
      </c>
      <c r="F117" s="33">
        <v>5102</v>
      </c>
      <c r="G117" s="33">
        <v>5085</v>
      </c>
      <c r="H117" s="33">
        <v>5051</v>
      </c>
      <c r="I117" s="33">
        <v>4938</v>
      </c>
      <c r="J117" s="33">
        <v>4688</v>
      </c>
      <c r="K117" s="33">
        <v>4764</v>
      </c>
      <c r="L117" s="33">
        <v>4903</v>
      </c>
      <c r="M117" s="33">
        <v>4742</v>
      </c>
      <c r="N117" s="33">
        <v>4500</v>
      </c>
      <c r="O117" s="33">
        <v>4390</v>
      </c>
      <c r="P117" s="33">
        <v>4653</v>
      </c>
      <c r="Q117" s="33">
        <v>4751</v>
      </c>
      <c r="R117" s="33">
        <v>4782</v>
      </c>
      <c r="S117" s="33">
        <v>4821</v>
      </c>
      <c r="T117" s="33">
        <v>4779</v>
      </c>
      <c r="U117" s="33">
        <v>5480</v>
      </c>
      <c r="V117" s="33">
        <v>6463</v>
      </c>
      <c r="W117" s="33">
        <v>6611</v>
      </c>
      <c r="X117" s="33">
        <v>6234</v>
      </c>
      <c r="Y117" s="33">
        <v>5902</v>
      </c>
      <c r="Z117" s="33">
        <v>5998</v>
      </c>
      <c r="AA117" s="33">
        <v>5997</v>
      </c>
      <c r="AB117" s="33">
        <v>6198</v>
      </c>
      <c r="AC117" s="33">
        <v>6193</v>
      </c>
      <c r="AD117" s="33">
        <v>6128</v>
      </c>
      <c r="AE117" s="33">
        <v>6191</v>
      </c>
      <c r="AF117" s="33">
        <v>6183</v>
      </c>
      <c r="AG117" s="33">
        <v>6195</v>
      </c>
      <c r="AH117" s="33">
        <v>6136</v>
      </c>
      <c r="AI117" s="33">
        <v>6062</v>
      </c>
      <c r="AJ117" s="33">
        <v>6110</v>
      </c>
      <c r="AK117" s="33">
        <v>6040</v>
      </c>
      <c r="AL117" s="33">
        <v>6061</v>
      </c>
      <c r="AM117" s="33">
        <v>6411</v>
      </c>
      <c r="AN117" s="33">
        <v>6488</v>
      </c>
      <c r="AO117" s="33">
        <v>6552</v>
      </c>
      <c r="AP117" s="33">
        <v>6656</v>
      </c>
      <c r="AQ117" s="33">
        <v>6724</v>
      </c>
      <c r="AR117" s="33">
        <v>6731</v>
      </c>
      <c r="AS117" s="33">
        <v>6621</v>
      </c>
      <c r="AT117" s="33">
        <v>6662</v>
      </c>
      <c r="AU117" s="33">
        <v>6517</v>
      </c>
      <c r="AV117" s="33">
        <v>6330</v>
      </c>
      <c r="AW117" s="33">
        <v>6082</v>
      </c>
      <c r="AX117" s="33">
        <v>6052</v>
      </c>
      <c r="AY117" s="33">
        <v>6002</v>
      </c>
      <c r="AZ117" s="33">
        <v>5952</v>
      </c>
      <c r="BA117" s="33">
        <v>5810</v>
      </c>
      <c r="BB117" s="33">
        <v>5610</v>
      </c>
      <c r="BC117" s="33">
        <v>5703</v>
      </c>
      <c r="BD117" s="33">
        <v>5927</v>
      </c>
      <c r="BE117" s="33">
        <v>5994</v>
      </c>
      <c r="BF117" s="33">
        <v>6190</v>
      </c>
      <c r="BG117" s="33">
        <v>6062</v>
      </c>
      <c r="BH117" s="33">
        <v>6016</v>
      </c>
      <c r="BI117" s="33">
        <v>6095</v>
      </c>
      <c r="BJ117" s="33">
        <v>6149</v>
      </c>
      <c r="BK117" s="33">
        <v>6020</v>
      </c>
      <c r="BL117" s="33">
        <v>6030</v>
      </c>
    </row>
    <row r="118" spans="1:64" ht="15.95" customHeight="1">
      <c r="A118" s="68" t="s">
        <v>375</v>
      </c>
      <c r="B118" s="44" t="s">
        <v>179</v>
      </c>
      <c r="C118" s="48">
        <f>_xll.RssMarket("5844","安値")</f>
        <v>4519</v>
      </c>
      <c r="D118" s="16">
        <f t="shared" si="1"/>
        <v>0</v>
      </c>
      <c r="E118" s="33">
        <v>4519</v>
      </c>
      <c r="F118" s="33">
        <v>4375</v>
      </c>
      <c r="G118" s="33">
        <v>4485</v>
      </c>
      <c r="H118" s="33">
        <v>4456</v>
      </c>
      <c r="I118" s="33">
        <v>4390</v>
      </c>
      <c r="J118" s="33">
        <v>4485</v>
      </c>
      <c r="K118" s="33">
        <v>4511</v>
      </c>
      <c r="L118" s="33">
        <v>4580</v>
      </c>
      <c r="M118" s="33">
        <v>4268</v>
      </c>
      <c r="N118" s="33">
        <v>4271</v>
      </c>
      <c r="O118" s="33">
        <v>4193</v>
      </c>
      <c r="P118" s="33">
        <v>4312</v>
      </c>
      <c r="Q118" s="33">
        <v>4386</v>
      </c>
      <c r="R118" s="33">
        <v>4437</v>
      </c>
      <c r="S118" s="33">
        <v>4489</v>
      </c>
      <c r="T118" s="33">
        <v>4430</v>
      </c>
      <c r="U118" s="33">
        <v>4443</v>
      </c>
      <c r="V118" s="33">
        <v>4344</v>
      </c>
      <c r="W118" s="33">
        <v>4366</v>
      </c>
      <c r="X118" s="33">
        <v>4282</v>
      </c>
      <c r="Y118" s="33">
        <v>4231</v>
      </c>
      <c r="Z118" s="33">
        <v>4380</v>
      </c>
      <c r="AA118" s="33">
        <v>4393</v>
      </c>
      <c r="AB118" s="33">
        <v>4381</v>
      </c>
      <c r="AC118" s="33">
        <v>4341</v>
      </c>
      <c r="AD118" s="33">
        <v>4338</v>
      </c>
      <c r="AE118" s="33">
        <v>4396</v>
      </c>
      <c r="AF118" s="33">
        <v>4285</v>
      </c>
      <c r="AG118" s="33">
        <v>4251</v>
      </c>
      <c r="AH118" s="33">
        <v>4218</v>
      </c>
      <c r="AI118" s="33">
        <v>4143</v>
      </c>
      <c r="AJ118" s="33">
        <v>4227</v>
      </c>
      <c r="AK118" s="33">
        <v>4126</v>
      </c>
      <c r="AL118" s="33">
        <v>4258</v>
      </c>
      <c r="AM118" s="33">
        <v>4305</v>
      </c>
      <c r="AN118" s="33">
        <v>4292</v>
      </c>
      <c r="AO118" s="33">
        <v>4361</v>
      </c>
      <c r="AP118" s="33">
        <v>4392</v>
      </c>
      <c r="AQ118" s="33">
        <v>4350</v>
      </c>
      <c r="AR118" s="33">
        <v>4315</v>
      </c>
      <c r="AS118" s="33">
        <v>4295</v>
      </c>
      <c r="AT118" s="33">
        <v>4330</v>
      </c>
      <c r="AU118" s="33">
        <v>4365</v>
      </c>
      <c r="AV118" s="33">
        <v>4444</v>
      </c>
      <c r="AW118" s="33">
        <v>4379</v>
      </c>
      <c r="AX118" s="33">
        <v>4358</v>
      </c>
      <c r="AY118" s="33">
        <v>4297</v>
      </c>
      <c r="AZ118" s="33">
        <v>4257</v>
      </c>
      <c r="BA118" s="33">
        <v>4231</v>
      </c>
      <c r="BB118" s="33">
        <v>4061</v>
      </c>
      <c r="BC118" s="33">
        <v>4159</v>
      </c>
      <c r="BD118" s="33">
        <v>4369</v>
      </c>
      <c r="BE118" s="33">
        <v>4323</v>
      </c>
      <c r="BF118" s="33">
        <v>4333</v>
      </c>
      <c r="BG118" s="33">
        <v>4269</v>
      </c>
      <c r="BH118" s="33">
        <v>4200</v>
      </c>
      <c r="BI118" s="33">
        <v>4305</v>
      </c>
      <c r="BJ118" s="33">
        <v>4324</v>
      </c>
      <c r="BK118" s="33">
        <v>4272</v>
      </c>
      <c r="BL118" s="33">
        <v>4371</v>
      </c>
    </row>
    <row r="119" spans="1:64" ht="15.95" customHeight="1">
      <c r="A119" s="68" t="s">
        <v>376</v>
      </c>
      <c r="B119" s="44" t="s">
        <v>180</v>
      </c>
      <c r="C119" s="48">
        <f>_xll.RssMarket("9404","安値")</f>
        <v>2834</v>
      </c>
      <c r="D119" s="16">
        <f t="shared" si="1"/>
        <v>0</v>
      </c>
      <c r="E119" s="33">
        <v>2834</v>
      </c>
      <c r="F119" s="33">
        <v>2812</v>
      </c>
      <c r="G119" s="33">
        <v>2816.5</v>
      </c>
      <c r="H119" s="33">
        <v>2806.5</v>
      </c>
      <c r="I119" s="33">
        <v>2858</v>
      </c>
      <c r="J119" s="33">
        <v>2857.5</v>
      </c>
      <c r="K119" s="33">
        <v>2811.5</v>
      </c>
      <c r="L119" s="33">
        <v>2780.5</v>
      </c>
      <c r="M119" s="33">
        <v>2749.5</v>
      </c>
      <c r="N119" s="33">
        <v>2716</v>
      </c>
      <c r="O119" s="33">
        <v>2782</v>
      </c>
      <c r="P119" s="33">
        <v>2836</v>
      </c>
      <c r="Q119" s="33">
        <v>2838.5</v>
      </c>
      <c r="R119" s="33">
        <v>2829</v>
      </c>
      <c r="S119" s="33">
        <v>2825.5</v>
      </c>
      <c r="T119" s="33">
        <v>2874</v>
      </c>
      <c r="U119" s="33">
        <v>2917.5</v>
      </c>
      <c r="V119" s="33">
        <v>2909.5</v>
      </c>
      <c r="W119" s="33">
        <v>2873.5</v>
      </c>
      <c r="X119" s="33">
        <v>2860</v>
      </c>
      <c r="Y119" s="33">
        <v>2790</v>
      </c>
      <c r="Z119" s="33">
        <v>2880.5</v>
      </c>
      <c r="AA119" s="33">
        <v>2934</v>
      </c>
      <c r="AB119" s="33">
        <v>2922.5</v>
      </c>
      <c r="AC119" s="33">
        <v>2924</v>
      </c>
      <c r="AD119" s="33">
        <v>2951.5</v>
      </c>
      <c r="AE119" s="33">
        <v>2971.5</v>
      </c>
      <c r="AF119" s="33">
        <v>2936</v>
      </c>
      <c r="AG119" s="33">
        <v>2935.5</v>
      </c>
      <c r="AH119" s="33">
        <v>3000</v>
      </c>
      <c r="AI119" s="33">
        <v>2975.5</v>
      </c>
      <c r="AJ119" s="33">
        <v>2954</v>
      </c>
      <c r="AK119" s="33">
        <v>2990.5</v>
      </c>
      <c r="AL119" s="33">
        <v>3057</v>
      </c>
      <c r="AM119" s="33">
        <v>3111</v>
      </c>
      <c r="AN119" s="33">
        <v>3150</v>
      </c>
      <c r="AO119" s="33">
        <v>3155</v>
      </c>
      <c r="AP119" s="33">
        <v>3136</v>
      </c>
      <c r="AQ119" s="33">
        <v>3152</v>
      </c>
      <c r="AR119" s="33">
        <v>3128</v>
      </c>
      <c r="AS119" s="33">
        <v>3098</v>
      </c>
      <c r="AT119" s="33">
        <v>3109</v>
      </c>
      <c r="AU119" s="33">
        <v>3154</v>
      </c>
      <c r="AV119" s="33">
        <v>3143</v>
      </c>
      <c r="AW119" s="33">
        <v>3098</v>
      </c>
      <c r="AX119" s="33">
        <v>3080</v>
      </c>
      <c r="AY119" s="33">
        <v>3100</v>
      </c>
      <c r="AZ119" s="33">
        <v>3100</v>
      </c>
      <c r="BA119" s="33">
        <v>3148</v>
      </c>
      <c r="BB119" s="33">
        <v>3157</v>
      </c>
      <c r="BC119" s="33">
        <v>3096</v>
      </c>
      <c r="BD119" s="33">
        <v>3224</v>
      </c>
      <c r="BE119" s="33">
        <v>3162</v>
      </c>
      <c r="BF119" s="33">
        <v>3197</v>
      </c>
      <c r="BG119" s="33">
        <v>3123</v>
      </c>
      <c r="BH119" s="33">
        <v>3087</v>
      </c>
      <c r="BI119" s="33">
        <v>3109</v>
      </c>
      <c r="BJ119" s="33">
        <v>3160</v>
      </c>
      <c r="BK119" s="33">
        <v>3170</v>
      </c>
      <c r="BL119" s="33">
        <v>3168</v>
      </c>
    </row>
    <row r="120" spans="1:64" ht="15.95" customHeight="1">
      <c r="A120" s="68" t="s">
        <v>377</v>
      </c>
      <c r="B120" s="44" t="s">
        <v>181</v>
      </c>
      <c r="C120" s="48">
        <f>_xll.RssMarket("6744","安値")</f>
        <v>4155</v>
      </c>
      <c r="D120" s="16">
        <f t="shared" si="1"/>
        <v>0</v>
      </c>
      <c r="E120" s="33">
        <v>4155</v>
      </c>
      <c r="F120" s="33">
        <v>4180</v>
      </c>
      <c r="G120" s="33">
        <v>4195</v>
      </c>
      <c r="H120" s="33">
        <v>4185</v>
      </c>
      <c r="I120" s="33">
        <v>4165</v>
      </c>
      <c r="J120" s="33">
        <v>4260</v>
      </c>
      <c r="K120" s="33">
        <v>4310</v>
      </c>
      <c r="L120" s="33">
        <v>4490</v>
      </c>
      <c r="M120" s="33">
        <v>4480</v>
      </c>
      <c r="N120" s="33">
        <v>4505</v>
      </c>
      <c r="O120" s="33">
        <v>4540</v>
      </c>
      <c r="P120" s="33">
        <v>4780</v>
      </c>
      <c r="Q120" s="33">
        <v>4695</v>
      </c>
      <c r="R120" s="33">
        <v>4770</v>
      </c>
      <c r="S120" s="33">
        <v>4700</v>
      </c>
      <c r="T120" s="33">
        <v>4575</v>
      </c>
      <c r="U120" s="33">
        <v>4505</v>
      </c>
      <c r="V120" s="33">
        <v>4635</v>
      </c>
      <c r="W120" s="33">
        <v>4640</v>
      </c>
      <c r="X120" s="33">
        <v>4620</v>
      </c>
      <c r="Y120" s="33">
        <v>4330</v>
      </c>
      <c r="Z120" s="33">
        <v>4220</v>
      </c>
      <c r="AA120" s="33">
        <v>4250</v>
      </c>
      <c r="AB120" s="33">
        <v>4320</v>
      </c>
      <c r="AC120" s="33">
        <v>4275</v>
      </c>
      <c r="AD120" s="33">
        <v>4255</v>
      </c>
      <c r="AE120" s="33">
        <v>4090</v>
      </c>
      <c r="AF120" s="33">
        <v>4005</v>
      </c>
      <c r="AG120" s="33">
        <v>3970</v>
      </c>
      <c r="AH120" s="33">
        <v>3855</v>
      </c>
      <c r="AI120" s="33">
        <v>3885</v>
      </c>
      <c r="AJ120" s="33">
        <v>3930</v>
      </c>
      <c r="AK120" s="33">
        <v>4010</v>
      </c>
      <c r="AL120" s="33">
        <v>4035</v>
      </c>
      <c r="AM120" s="33">
        <v>4050</v>
      </c>
      <c r="AN120" s="33">
        <v>4080</v>
      </c>
      <c r="AO120" s="33">
        <v>4215</v>
      </c>
      <c r="AP120" s="33">
        <v>4260</v>
      </c>
      <c r="AQ120" s="33">
        <v>4360</v>
      </c>
      <c r="AR120" s="33">
        <v>4365</v>
      </c>
      <c r="AS120" s="33">
        <v>4375</v>
      </c>
      <c r="AT120" s="33">
        <v>4385</v>
      </c>
      <c r="AU120" s="33">
        <v>4375</v>
      </c>
      <c r="AV120" s="33">
        <v>4245</v>
      </c>
      <c r="AW120" s="33">
        <v>4205</v>
      </c>
      <c r="AX120" s="33">
        <v>4140</v>
      </c>
      <c r="AY120" s="33">
        <v>4175</v>
      </c>
      <c r="AZ120" s="33">
        <v>4165</v>
      </c>
      <c r="BA120" s="33">
        <v>4065</v>
      </c>
      <c r="BB120" s="33">
        <v>4085</v>
      </c>
      <c r="BC120" s="33">
        <v>4245</v>
      </c>
      <c r="BD120" s="33">
        <v>4260</v>
      </c>
      <c r="BE120" s="33">
        <v>4370</v>
      </c>
      <c r="BF120" s="33">
        <v>4230</v>
      </c>
      <c r="BG120" s="33">
        <v>4180</v>
      </c>
      <c r="BH120" s="33">
        <v>4385</v>
      </c>
      <c r="BI120" s="33">
        <v>4465</v>
      </c>
      <c r="BJ120" s="33">
        <v>4520</v>
      </c>
      <c r="BK120" s="33">
        <v>4470</v>
      </c>
      <c r="BL120" s="33">
        <v>4470</v>
      </c>
    </row>
    <row r="121" spans="1:64" ht="15.95" customHeight="1">
      <c r="A121" s="68" t="s">
        <v>378</v>
      </c>
      <c r="B121" s="44" t="s">
        <v>182</v>
      </c>
      <c r="C121" s="48">
        <f>_xll.RssMarket("7685","安値")</f>
        <v>3500</v>
      </c>
      <c r="D121" s="16">
        <f t="shared" si="1"/>
        <v>0</v>
      </c>
      <c r="E121" s="33">
        <v>3500</v>
      </c>
      <c r="F121" s="33">
        <v>3570</v>
      </c>
      <c r="G121" s="33">
        <v>3500</v>
      </c>
      <c r="H121" s="33">
        <v>3680</v>
      </c>
      <c r="I121" s="33">
        <v>3650</v>
      </c>
      <c r="J121" s="33">
        <v>3530</v>
      </c>
      <c r="K121" s="33">
        <v>3705</v>
      </c>
      <c r="L121" s="33">
        <v>3670</v>
      </c>
      <c r="M121" s="33">
        <v>3855</v>
      </c>
      <c r="N121" s="33">
        <v>3815</v>
      </c>
      <c r="O121" s="33">
        <v>3990</v>
      </c>
      <c r="P121" s="33">
        <v>3785</v>
      </c>
      <c r="Q121" s="33">
        <v>3790</v>
      </c>
      <c r="R121" s="33">
        <v>3700</v>
      </c>
      <c r="S121" s="33">
        <v>3570</v>
      </c>
      <c r="T121" s="33">
        <v>3605</v>
      </c>
      <c r="U121" s="33">
        <v>3725</v>
      </c>
      <c r="V121" s="33">
        <v>3330</v>
      </c>
      <c r="W121" s="33">
        <v>3300</v>
      </c>
      <c r="X121" s="33">
        <v>2960</v>
      </c>
      <c r="Y121" s="33">
        <v>3075</v>
      </c>
      <c r="Z121" s="33">
        <v>3295</v>
      </c>
      <c r="AA121" s="33">
        <v>3195</v>
      </c>
      <c r="AB121" s="33">
        <v>3075</v>
      </c>
      <c r="AC121" s="33">
        <v>3160</v>
      </c>
      <c r="AD121" s="33">
        <v>3210</v>
      </c>
      <c r="AE121" s="33">
        <v>3100</v>
      </c>
      <c r="AF121" s="33">
        <v>3070</v>
      </c>
      <c r="AG121" s="33">
        <v>3105</v>
      </c>
      <c r="AH121" s="33">
        <v>3230</v>
      </c>
      <c r="AI121" s="33">
        <v>3240</v>
      </c>
      <c r="AJ121" s="33">
        <v>3370</v>
      </c>
      <c r="AK121" s="33">
        <v>3320</v>
      </c>
      <c r="AL121" s="33">
        <v>3510</v>
      </c>
      <c r="AM121" s="33">
        <v>3605</v>
      </c>
      <c r="AN121" s="33">
        <v>3565</v>
      </c>
      <c r="AO121" s="33">
        <v>3445</v>
      </c>
      <c r="AP121" s="33">
        <v>3390</v>
      </c>
      <c r="AQ121" s="33">
        <v>3370</v>
      </c>
      <c r="AR121" s="33">
        <v>3380</v>
      </c>
      <c r="AS121" s="33">
        <v>3340</v>
      </c>
      <c r="AT121" s="33">
        <v>3290</v>
      </c>
      <c r="AU121" s="33">
        <v>3135</v>
      </c>
      <c r="AV121" s="33">
        <v>3095</v>
      </c>
      <c r="AW121" s="33">
        <v>3130</v>
      </c>
      <c r="AX121" s="33">
        <v>3000</v>
      </c>
      <c r="AY121" s="33">
        <v>2940</v>
      </c>
      <c r="AZ121" s="33">
        <v>2939</v>
      </c>
      <c r="BA121" s="33">
        <v>3100</v>
      </c>
      <c r="BB121" s="33">
        <v>3095</v>
      </c>
      <c r="BC121" s="33">
        <v>3020</v>
      </c>
      <c r="BD121" s="33">
        <v>2855</v>
      </c>
      <c r="BE121" s="33">
        <v>3000</v>
      </c>
      <c r="BF121" s="33">
        <v>3295</v>
      </c>
      <c r="BG121" s="33">
        <v>3375</v>
      </c>
      <c r="BH121" s="33">
        <v>3320</v>
      </c>
      <c r="BI121" s="33">
        <v>3215</v>
      </c>
      <c r="BJ121" s="33">
        <v>3205</v>
      </c>
      <c r="BK121" s="33">
        <v>3280</v>
      </c>
      <c r="BL121" s="33">
        <v>3265</v>
      </c>
    </row>
    <row r="122" spans="1:64" ht="15.95" customHeight="1">
      <c r="A122" s="68" t="s">
        <v>379</v>
      </c>
      <c r="B122" s="44" t="s">
        <v>183</v>
      </c>
      <c r="C122" s="48">
        <f>_xll.RssMarket("8334","安値")</f>
        <v>2307</v>
      </c>
      <c r="D122" s="16">
        <f t="shared" si="1"/>
        <v>0</v>
      </c>
      <c r="E122" s="33">
        <v>2307</v>
      </c>
      <c r="F122" s="33">
        <v>2285</v>
      </c>
      <c r="G122" s="33">
        <v>2358</v>
      </c>
      <c r="H122" s="33">
        <v>2323.5</v>
      </c>
      <c r="I122" s="33">
        <v>2269.5</v>
      </c>
      <c r="J122" s="33">
        <v>2302</v>
      </c>
      <c r="K122" s="33">
        <v>2227</v>
      </c>
      <c r="L122" s="33">
        <v>2254</v>
      </c>
      <c r="M122" s="33">
        <v>2151</v>
      </c>
      <c r="N122" s="33">
        <v>2166.5</v>
      </c>
      <c r="O122" s="33">
        <v>2093</v>
      </c>
      <c r="P122" s="33">
        <v>2207</v>
      </c>
      <c r="Q122" s="33">
        <v>2190.5</v>
      </c>
      <c r="R122" s="33">
        <v>2231</v>
      </c>
      <c r="S122" s="33">
        <v>2272</v>
      </c>
      <c r="T122" s="33">
        <v>2295</v>
      </c>
      <c r="U122" s="33">
        <v>2337</v>
      </c>
      <c r="V122" s="33">
        <v>2267</v>
      </c>
      <c r="W122" s="33">
        <v>2274.5</v>
      </c>
      <c r="X122" s="33">
        <v>2205</v>
      </c>
      <c r="Y122" s="33">
        <v>2178</v>
      </c>
      <c r="Z122" s="33">
        <v>2174</v>
      </c>
      <c r="AA122" s="33">
        <v>2169</v>
      </c>
      <c r="AB122" s="33">
        <v>2171.5</v>
      </c>
      <c r="AC122" s="33">
        <v>2169</v>
      </c>
      <c r="AD122" s="33">
        <v>2120.5</v>
      </c>
      <c r="AE122" s="33">
        <v>2189.5</v>
      </c>
      <c r="AF122" s="33">
        <v>2102</v>
      </c>
      <c r="AG122" s="33">
        <v>2113.5</v>
      </c>
      <c r="AH122" s="33">
        <v>2052</v>
      </c>
      <c r="AI122" s="33">
        <v>1970</v>
      </c>
      <c r="AJ122" s="33">
        <v>2005</v>
      </c>
      <c r="AK122" s="33">
        <v>2014.5</v>
      </c>
      <c r="AL122" s="33">
        <v>2046.5</v>
      </c>
      <c r="AM122" s="33">
        <v>2113</v>
      </c>
      <c r="AN122" s="33">
        <v>2180</v>
      </c>
      <c r="AO122" s="33">
        <v>2214</v>
      </c>
      <c r="AP122" s="33">
        <v>2250</v>
      </c>
      <c r="AQ122" s="33">
        <v>2246</v>
      </c>
      <c r="AR122" s="33">
        <v>2225</v>
      </c>
      <c r="AS122" s="33">
        <v>2245.5</v>
      </c>
      <c r="AT122" s="33">
        <v>2266</v>
      </c>
      <c r="AU122" s="33">
        <v>2267.5</v>
      </c>
      <c r="AV122" s="33">
        <v>2285.5</v>
      </c>
      <c r="AW122" s="33">
        <v>2214.5</v>
      </c>
      <c r="AX122" s="33">
        <v>2208.5</v>
      </c>
      <c r="AY122" s="33">
        <v>2213.5</v>
      </c>
      <c r="AZ122" s="33">
        <v>2192</v>
      </c>
      <c r="BA122" s="33">
        <v>2146</v>
      </c>
      <c r="BB122" s="33">
        <v>2062.5</v>
      </c>
      <c r="BC122" s="33">
        <v>2142</v>
      </c>
      <c r="BD122" s="33">
        <v>2169</v>
      </c>
      <c r="BE122" s="33">
        <v>2094.5</v>
      </c>
      <c r="BF122" s="33">
        <v>2154.5</v>
      </c>
      <c r="BG122" s="33">
        <v>2069.5</v>
      </c>
      <c r="BH122" s="33">
        <v>2004.5</v>
      </c>
      <c r="BI122" s="33">
        <v>2103.5</v>
      </c>
      <c r="BJ122" s="33">
        <v>2117</v>
      </c>
      <c r="BK122" s="33">
        <v>2066.5</v>
      </c>
      <c r="BL122" s="33">
        <v>2056.5</v>
      </c>
    </row>
    <row r="123" spans="1:64" ht="15.95" customHeight="1">
      <c r="A123" s="68" t="s">
        <v>380</v>
      </c>
      <c r="B123" s="44" t="s">
        <v>184</v>
      </c>
      <c r="C123" s="48">
        <f>_xll.RssMarket("8359","安値")</f>
        <v>2287</v>
      </c>
      <c r="D123" s="16">
        <f t="shared" si="1"/>
        <v>0</v>
      </c>
      <c r="E123" s="33">
        <v>2287</v>
      </c>
      <c r="F123" s="33">
        <v>2313.5</v>
      </c>
      <c r="G123" s="33">
        <v>2380</v>
      </c>
      <c r="H123" s="33">
        <v>2336.5</v>
      </c>
      <c r="I123" s="33">
        <v>2296.5</v>
      </c>
      <c r="J123" s="33">
        <v>2331</v>
      </c>
      <c r="K123" s="33">
        <v>2314</v>
      </c>
      <c r="L123" s="33">
        <v>2379</v>
      </c>
      <c r="M123" s="33">
        <v>2262.5</v>
      </c>
      <c r="N123" s="33">
        <v>2296</v>
      </c>
      <c r="O123" s="33">
        <v>2235.5</v>
      </c>
      <c r="P123" s="33">
        <v>2286</v>
      </c>
      <c r="Q123" s="33">
        <v>2248</v>
      </c>
      <c r="R123" s="33">
        <v>2257</v>
      </c>
      <c r="S123" s="33">
        <v>2325</v>
      </c>
      <c r="T123" s="33">
        <v>2318</v>
      </c>
      <c r="U123" s="33">
        <v>2335</v>
      </c>
      <c r="V123" s="33">
        <v>2260.5</v>
      </c>
      <c r="W123" s="33">
        <v>2230</v>
      </c>
      <c r="X123" s="33">
        <v>2205</v>
      </c>
      <c r="Y123" s="33">
        <v>2334.5</v>
      </c>
      <c r="Z123" s="33">
        <v>2320</v>
      </c>
      <c r="AA123" s="33">
        <v>2314</v>
      </c>
      <c r="AB123" s="33">
        <v>2293.5</v>
      </c>
      <c r="AC123" s="33">
        <v>2209</v>
      </c>
      <c r="AD123" s="33">
        <v>2159.5</v>
      </c>
      <c r="AE123" s="33">
        <v>2137</v>
      </c>
      <c r="AF123" s="33">
        <v>2069.5</v>
      </c>
      <c r="AG123" s="33">
        <v>2088</v>
      </c>
      <c r="AH123" s="33">
        <v>2044.5</v>
      </c>
      <c r="AI123" s="33">
        <v>1964</v>
      </c>
      <c r="AJ123" s="33">
        <v>2016.5</v>
      </c>
      <c r="AK123" s="33">
        <v>1981.5</v>
      </c>
      <c r="AL123" s="33">
        <v>2000.5</v>
      </c>
      <c r="AM123" s="33">
        <v>2026.5</v>
      </c>
      <c r="AN123" s="33">
        <v>2080</v>
      </c>
      <c r="AO123" s="33">
        <v>2085</v>
      </c>
      <c r="AP123" s="33">
        <v>2102</v>
      </c>
      <c r="AQ123" s="33">
        <v>2074.5</v>
      </c>
      <c r="AR123" s="33">
        <v>2048.5</v>
      </c>
      <c r="AS123" s="33">
        <v>2063</v>
      </c>
      <c r="AT123" s="33">
        <v>2105</v>
      </c>
      <c r="AU123" s="33">
        <v>2110</v>
      </c>
      <c r="AV123" s="33">
        <v>2118</v>
      </c>
      <c r="AW123" s="33">
        <v>2063.5</v>
      </c>
      <c r="AX123" s="33">
        <v>2026</v>
      </c>
      <c r="AY123" s="33">
        <v>2020</v>
      </c>
      <c r="AZ123" s="33">
        <v>2011.5</v>
      </c>
      <c r="BA123" s="33">
        <v>2016.5</v>
      </c>
      <c r="BB123" s="33">
        <v>1918</v>
      </c>
      <c r="BC123" s="33">
        <v>1911.5</v>
      </c>
      <c r="BD123" s="33">
        <v>2028</v>
      </c>
      <c r="BE123" s="33">
        <v>2027.5</v>
      </c>
      <c r="BF123" s="33">
        <v>2075</v>
      </c>
      <c r="BG123" s="33">
        <v>1999</v>
      </c>
      <c r="BH123" s="33">
        <v>1886.5</v>
      </c>
      <c r="BI123" s="33">
        <v>1952</v>
      </c>
      <c r="BJ123" s="33">
        <v>1980</v>
      </c>
      <c r="BK123" s="33">
        <v>1939.5</v>
      </c>
      <c r="BL123" s="33">
        <v>1911</v>
      </c>
    </row>
    <row r="124" spans="1:64" ht="15.95" customHeight="1">
      <c r="A124" s="68" t="s">
        <v>381</v>
      </c>
      <c r="B124" s="44" t="s">
        <v>185</v>
      </c>
      <c r="C124" s="48">
        <f>_xll.RssMarket("8801","安値")</f>
        <v>1516.5</v>
      </c>
      <c r="D124" s="16">
        <f t="shared" si="1"/>
        <v>0</v>
      </c>
      <c r="E124" s="33">
        <v>1516.5</v>
      </c>
      <c r="F124" s="33">
        <v>1527</v>
      </c>
      <c r="G124" s="33">
        <v>1563</v>
      </c>
      <c r="H124" s="33">
        <v>1548</v>
      </c>
      <c r="I124" s="33">
        <v>1533.5</v>
      </c>
      <c r="J124" s="33">
        <v>1505.5</v>
      </c>
      <c r="K124" s="33">
        <v>1443.5</v>
      </c>
      <c r="L124" s="33">
        <v>1480</v>
      </c>
      <c r="M124" s="33">
        <v>1450</v>
      </c>
      <c r="N124" s="33">
        <v>1476.5</v>
      </c>
      <c r="O124" s="33">
        <v>1455</v>
      </c>
      <c r="P124" s="33">
        <v>1498.5</v>
      </c>
      <c r="Q124" s="33">
        <v>1496.5</v>
      </c>
      <c r="R124" s="33">
        <v>1530.5</v>
      </c>
      <c r="S124" s="33">
        <v>1500.5</v>
      </c>
      <c r="T124" s="33">
        <v>1461.5</v>
      </c>
      <c r="U124" s="33">
        <v>1520</v>
      </c>
      <c r="V124" s="33">
        <v>1497</v>
      </c>
      <c r="W124" s="33">
        <v>1512</v>
      </c>
      <c r="X124" s="33">
        <v>1498</v>
      </c>
      <c r="Y124" s="33">
        <v>1489.5</v>
      </c>
      <c r="Z124" s="33">
        <v>1528</v>
      </c>
      <c r="AA124" s="33">
        <v>1661</v>
      </c>
      <c r="AB124" s="33">
        <v>1663</v>
      </c>
      <c r="AC124" s="33">
        <v>1650</v>
      </c>
      <c r="AD124" s="33">
        <v>1646.5</v>
      </c>
      <c r="AE124" s="33">
        <v>1699</v>
      </c>
      <c r="AF124" s="33">
        <v>1674.5</v>
      </c>
      <c r="AG124" s="33">
        <v>1687</v>
      </c>
      <c r="AH124" s="33">
        <v>1702.5</v>
      </c>
      <c r="AI124" s="33">
        <v>1681.5</v>
      </c>
      <c r="AJ124" s="33">
        <v>1696</v>
      </c>
      <c r="AK124" s="33">
        <v>1716</v>
      </c>
      <c r="AL124" s="33">
        <v>1710</v>
      </c>
      <c r="AM124" s="33">
        <v>1741.5</v>
      </c>
      <c r="AN124" s="33">
        <v>1745.5</v>
      </c>
      <c r="AO124" s="33">
        <v>1728</v>
      </c>
      <c r="AP124" s="33">
        <v>1747.5</v>
      </c>
      <c r="AQ124" s="33">
        <v>1773.5</v>
      </c>
      <c r="AR124" s="33">
        <v>1747</v>
      </c>
      <c r="AS124" s="33">
        <v>1700</v>
      </c>
      <c r="AT124" s="33">
        <v>1710</v>
      </c>
      <c r="AU124" s="33">
        <v>1720</v>
      </c>
      <c r="AV124" s="33">
        <v>1725</v>
      </c>
      <c r="AW124" s="33">
        <v>1657</v>
      </c>
      <c r="AX124" s="33">
        <v>1650</v>
      </c>
      <c r="AY124" s="33">
        <v>1681.5</v>
      </c>
      <c r="AZ124" s="33">
        <v>1678</v>
      </c>
      <c r="BA124" s="33">
        <v>1688</v>
      </c>
      <c r="BB124" s="33">
        <v>1633</v>
      </c>
      <c r="BC124" s="33">
        <v>1621</v>
      </c>
      <c r="BD124" s="33">
        <v>1696.5</v>
      </c>
      <c r="BE124" s="33">
        <v>1721</v>
      </c>
      <c r="BF124" s="33">
        <v>1748</v>
      </c>
      <c r="BG124" s="33">
        <v>1716</v>
      </c>
      <c r="BH124" s="33">
        <v>1677</v>
      </c>
      <c r="BI124" s="33">
        <v>1806.5</v>
      </c>
      <c r="BJ124" s="33">
        <v>1858.5</v>
      </c>
      <c r="BK124" s="33">
        <v>1839.5</v>
      </c>
      <c r="BL124" s="33">
        <v>1795</v>
      </c>
    </row>
    <row r="125" spans="1:64" ht="15.95" customHeight="1">
      <c r="A125" s="68" t="s">
        <v>382</v>
      </c>
      <c r="B125" s="44" t="s">
        <v>186</v>
      </c>
      <c r="C125" s="48">
        <f>_xll.RssMarket("8934","安値")</f>
        <v>2353</v>
      </c>
      <c r="D125" s="16">
        <f t="shared" si="1"/>
        <v>0</v>
      </c>
      <c r="E125" s="33">
        <v>2353</v>
      </c>
      <c r="F125" s="33">
        <v>2352</v>
      </c>
      <c r="G125" s="33">
        <v>2383</v>
      </c>
      <c r="H125" s="33">
        <v>2349</v>
      </c>
      <c r="I125" s="33">
        <v>2326</v>
      </c>
      <c r="J125" s="33">
        <v>2375</v>
      </c>
      <c r="K125" s="33">
        <v>2288</v>
      </c>
      <c r="L125" s="33">
        <v>2297</v>
      </c>
      <c r="M125" s="33">
        <v>2245</v>
      </c>
      <c r="N125" s="33">
        <v>2251</v>
      </c>
      <c r="O125" s="33">
        <v>2195</v>
      </c>
      <c r="P125" s="33">
        <v>2360</v>
      </c>
      <c r="Q125" s="33">
        <v>2321</v>
      </c>
      <c r="R125" s="33">
        <v>2320</v>
      </c>
      <c r="S125" s="33">
        <v>2339</v>
      </c>
      <c r="T125" s="33">
        <v>2320</v>
      </c>
      <c r="U125" s="33">
        <v>2372</v>
      </c>
      <c r="V125" s="33">
        <v>2330</v>
      </c>
      <c r="W125" s="33">
        <v>2412</v>
      </c>
      <c r="X125" s="33">
        <v>2390</v>
      </c>
      <c r="Y125" s="33">
        <v>2443</v>
      </c>
      <c r="Z125" s="33">
        <v>2413</v>
      </c>
      <c r="AA125" s="33">
        <v>2407</v>
      </c>
      <c r="AB125" s="33">
        <v>2539</v>
      </c>
      <c r="AC125" s="33">
        <v>2560</v>
      </c>
      <c r="AD125" s="33">
        <v>2621</v>
      </c>
      <c r="AE125" s="33">
        <v>2634</v>
      </c>
      <c r="AF125" s="33">
        <v>2675</v>
      </c>
      <c r="AG125" s="33">
        <v>2620</v>
      </c>
      <c r="AH125" s="33">
        <v>2612</v>
      </c>
      <c r="AI125" s="33">
        <v>2626</v>
      </c>
      <c r="AJ125" s="33">
        <v>2660</v>
      </c>
      <c r="AK125" s="33">
        <v>2710</v>
      </c>
      <c r="AL125" s="33">
        <v>2736</v>
      </c>
      <c r="AM125" s="33">
        <v>2729</v>
      </c>
      <c r="AN125" s="33">
        <v>2785</v>
      </c>
      <c r="AO125" s="33">
        <v>2790</v>
      </c>
      <c r="AP125" s="33">
        <v>2815</v>
      </c>
      <c r="AQ125" s="33">
        <v>2814</v>
      </c>
      <c r="AR125" s="33">
        <v>2810</v>
      </c>
      <c r="AS125" s="33">
        <v>2766</v>
      </c>
      <c r="AT125" s="33">
        <v>2737</v>
      </c>
      <c r="AU125" s="33">
        <v>2726</v>
      </c>
      <c r="AV125" s="33">
        <v>2690</v>
      </c>
      <c r="AW125" s="33">
        <v>2690</v>
      </c>
      <c r="AX125" s="33">
        <v>2669</v>
      </c>
      <c r="AY125" s="33">
        <v>2670</v>
      </c>
      <c r="AZ125" s="33">
        <v>2651</v>
      </c>
      <c r="BA125" s="33">
        <v>2626</v>
      </c>
      <c r="BB125" s="33">
        <v>2617</v>
      </c>
      <c r="BC125" s="33">
        <v>2679</v>
      </c>
      <c r="BD125" s="33">
        <v>2659</v>
      </c>
      <c r="BE125" s="33">
        <v>2681</v>
      </c>
      <c r="BF125" s="33">
        <v>2642</v>
      </c>
      <c r="BG125" s="33">
        <v>2648</v>
      </c>
      <c r="BH125" s="33">
        <v>2700</v>
      </c>
      <c r="BI125" s="33">
        <v>2703</v>
      </c>
      <c r="BJ125" s="33">
        <v>2685</v>
      </c>
      <c r="BK125" s="33">
        <v>2687</v>
      </c>
      <c r="BL125" s="33">
        <v>2669</v>
      </c>
    </row>
    <row r="126" spans="1:64" ht="15.95" customHeight="1">
      <c r="A126" s="68" t="s">
        <v>383</v>
      </c>
      <c r="B126" s="44" t="s">
        <v>187</v>
      </c>
      <c r="C126" s="48">
        <f>_xll.RssMarket("9416","安値")</f>
        <v>1012</v>
      </c>
      <c r="D126" s="16">
        <f t="shared" si="1"/>
        <v>0</v>
      </c>
      <c r="E126" s="33">
        <v>1012</v>
      </c>
      <c r="F126" s="33">
        <v>1009</v>
      </c>
      <c r="G126" s="33">
        <v>1013</v>
      </c>
      <c r="H126" s="33">
        <v>1001</v>
      </c>
      <c r="I126" s="33">
        <v>1005</v>
      </c>
      <c r="J126" s="33">
        <v>1020</v>
      </c>
      <c r="K126" s="33">
        <v>1010</v>
      </c>
      <c r="L126" s="33">
        <v>1002</v>
      </c>
      <c r="M126" s="33">
        <v>1007</v>
      </c>
      <c r="N126" s="33">
        <v>1056</v>
      </c>
      <c r="O126" s="33">
        <v>1044</v>
      </c>
      <c r="P126" s="33">
        <v>1046</v>
      </c>
      <c r="Q126" s="33">
        <v>1060</v>
      </c>
      <c r="R126" s="33">
        <v>1008</v>
      </c>
      <c r="S126" s="33">
        <v>1015</v>
      </c>
      <c r="T126" s="33">
        <v>1000</v>
      </c>
      <c r="U126" s="33">
        <v>1004</v>
      </c>
      <c r="V126" s="33">
        <v>1000</v>
      </c>
      <c r="W126" s="33">
        <v>994</v>
      </c>
      <c r="X126" s="33">
        <v>1091</v>
      </c>
      <c r="Y126" s="33">
        <v>1089</v>
      </c>
      <c r="Z126" s="33">
        <v>1094</v>
      </c>
      <c r="AA126" s="33">
        <v>1105</v>
      </c>
      <c r="AB126" s="33">
        <v>1104</v>
      </c>
      <c r="AC126" s="33">
        <v>1100</v>
      </c>
      <c r="AD126" s="33">
        <v>1085</v>
      </c>
      <c r="AE126" s="33">
        <v>1083</v>
      </c>
      <c r="AF126" s="33">
        <v>1093</v>
      </c>
      <c r="AG126" s="33">
        <v>1082</v>
      </c>
      <c r="AH126" s="33">
        <v>1075</v>
      </c>
      <c r="AI126" s="33">
        <v>1100</v>
      </c>
      <c r="AJ126" s="33">
        <v>1114</v>
      </c>
      <c r="AK126" s="33">
        <v>1140</v>
      </c>
      <c r="AL126" s="33">
        <v>1155</v>
      </c>
      <c r="AM126" s="33">
        <v>1179</v>
      </c>
      <c r="AN126" s="33">
        <v>1190</v>
      </c>
      <c r="AO126" s="33">
        <v>1194</v>
      </c>
      <c r="AP126" s="33">
        <v>1186</v>
      </c>
      <c r="AQ126" s="33">
        <v>1185</v>
      </c>
      <c r="AR126" s="33">
        <v>1193</v>
      </c>
      <c r="AS126" s="33">
        <v>1188</v>
      </c>
      <c r="AT126" s="33">
        <v>1198</v>
      </c>
      <c r="AU126" s="33">
        <v>1172</v>
      </c>
      <c r="AV126" s="33">
        <v>1166</v>
      </c>
      <c r="AW126" s="33">
        <v>1153</v>
      </c>
      <c r="AX126" s="33">
        <v>1147</v>
      </c>
      <c r="AY126" s="33">
        <v>1138</v>
      </c>
      <c r="AZ126" s="33">
        <v>1130</v>
      </c>
      <c r="BA126" s="33">
        <v>1130</v>
      </c>
      <c r="BB126" s="33">
        <v>1150</v>
      </c>
      <c r="BC126" s="33">
        <v>1142</v>
      </c>
      <c r="BD126" s="33">
        <v>1152</v>
      </c>
      <c r="BE126" s="33">
        <v>1128</v>
      </c>
      <c r="BF126" s="33">
        <v>1100</v>
      </c>
      <c r="BG126" s="33">
        <v>1144</v>
      </c>
      <c r="BH126" s="33">
        <v>1167</v>
      </c>
      <c r="BI126" s="33">
        <v>1170</v>
      </c>
      <c r="BJ126" s="33">
        <v>1177</v>
      </c>
      <c r="BK126" s="33">
        <v>1188</v>
      </c>
      <c r="BL126" s="33">
        <v>1188</v>
      </c>
    </row>
    <row r="127" spans="1:64" ht="15.95" customHeight="1">
      <c r="A127" s="68" t="s">
        <v>384</v>
      </c>
      <c r="B127" s="44" t="s">
        <v>188</v>
      </c>
      <c r="C127" s="48">
        <f>_xll.RssMarket("9532","安値")</f>
        <v>5420</v>
      </c>
      <c r="D127" s="16">
        <f t="shared" si="1"/>
        <v>0</v>
      </c>
      <c r="E127" s="33">
        <v>5420</v>
      </c>
      <c r="F127" s="33">
        <v>5450</v>
      </c>
      <c r="G127" s="33">
        <v>5493</v>
      </c>
      <c r="H127" s="33">
        <v>5589</v>
      </c>
      <c r="I127" s="33">
        <v>5497</v>
      </c>
      <c r="J127" s="33">
        <v>5476</v>
      </c>
      <c r="K127" s="33">
        <v>5421</v>
      </c>
      <c r="L127" s="33">
        <v>5454</v>
      </c>
      <c r="M127" s="33">
        <v>5410</v>
      </c>
      <c r="N127" s="33">
        <v>5475</v>
      </c>
      <c r="O127" s="33">
        <v>5241</v>
      </c>
      <c r="P127" s="33">
        <v>5270</v>
      </c>
      <c r="Q127" s="33">
        <v>5362</v>
      </c>
      <c r="R127" s="33">
        <v>5455</v>
      </c>
      <c r="S127" s="33">
        <v>5556</v>
      </c>
      <c r="T127" s="33">
        <v>5601</v>
      </c>
      <c r="U127" s="33">
        <v>5659</v>
      </c>
      <c r="V127" s="33">
        <v>5705</v>
      </c>
      <c r="W127" s="33">
        <v>5726</v>
      </c>
      <c r="X127" s="33">
        <v>5570</v>
      </c>
      <c r="Y127" s="33">
        <v>5654</v>
      </c>
      <c r="Z127" s="33">
        <v>5696</v>
      </c>
      <c r="AA127" s="33">
        <v>5677</v>
      </c>
      <c r="AB127" s="33">
        <v>5594</v>
      </c>
      <c r="AC127" s="33">
        <v>5560</v>
      </c>
      <c r="AD127" s="33">
        <v>5540</v>
      </c>
      <c r="AE127" s="33">
        <v>5650</v>
      </c>
      <c r="AF127" s="33">
        <v>5626</v>
      </c>
      <c r="AG127" s="33">
        <v>5590</v>
      </c>
      <c r="AH127" s="33">
        <v>5803</v>
      </c>
      <c r="AI127" s="33">
        <v>5766</v>
      </c>
      <c r="AJ127" s="33">
        <v>5795</v>
      </c>
      <c r="AK127" s="33">
        <v>5745</v>
      </c>
      <c r="AL127" s="33">
        <v>5815</v>
      </c>
      <c r="AM127" s="33">
        <v>5927</v>
      </c>
      <c r="AN127" s="33">
        <v>5958</v>
      </c>
      <c r="AO127" s="33">
        <v>6105</v>
      </c>
      <c r="AP127" s="33">
        <v>6142</v>
      </c>
      <c r="AQ127" s="33">
        <v>6179</v>
      </c>
      <c r="AR127" s="33">
        <v>6192</v>
      </c>
      <c r="AS127" s="33">
        <v>6218</v>
      </c>
      <c r="AT127" s="33">
        <v>6448</v>
      </c>
      <c r="AU127" s="33">
        <v>6411</v>
      </c>
      <c r="AV127" s="33">
        <v>6484</v>
      </c>
      <c r="AW127" s="33">
        <v>6426</v>
      </c>
      <c r="AX127" s="33">
        <v>6438</v>
      </c>
      <c r="AY127" s="33">
        <v>6428</v>
      </c>
      <c r="AZ127" s="33">
        <v>6370</v>
      </c>
      <c r="BA127" s="33">
        <v>6462</v>
      </c>
      <c r="BB127" s="33">
        <v>6353</v>
      </c>
      <c r="BC127" s="33">
        <v>6225</v>
      </c>
      <c r="BD127" s="33">
        <v>6343</v>
      </c>
      <c r="BE127" s="33">
        <v>6359</v>
      </c>
      <c r="BF127" s="33">
        <v>6374</v>
      </c>
      <c r="BG127" s="33">
        <v>6114</v>
      </c>
      <c r="BH127" s="33">
        <v>6058</v>
      </c>
      <c r="BI127" s="33">
        <v>6376</v>
      </c>
      <c r="BJ127" s="33">
        <v>6316</v>
      </c>
      <c r="BK127" s="33">
        <v>6191</v>
      </c>
      <c r="BL127" s="33">
        <v>6181</v>
      </c>
    </row>
    <row r="128" spans="1:64" ht="15.95" customHeight="1">
      <c r="A128" s="68" t="s">
        <v>385</v>
      </c>
      <c r="B128" s="44" t="s">
        <v>189</v>
      </c>
      <c r="C128" s="48">
        <f>_xll.RssMarket("6330","安値")</f>
        <v>2091</v>
      </c>
      <c r="D128" s="16">
        <f t="shared" si="1"/>
        <v>0</v>
      </c>
      <c r="E128" s="33">
        <v>2091</v>
      </c>
      <c r="F128" s="33">
        <v>1985</v>
      </c>
      <c r="G128" s="33">
        <v>1987</v>
      </c>
      <c r="H128" s="33">
        <v>1844</v>
      </c>
      <c r="I128" s="33">
        <v>1790</v>
      </c>
      <c r="J128" s="33">
        <v>1878</v>
      </c>
      <c r="K128" s="33">
        <v>1960</v>
      </c>
      <c r="L128" s="33">
        <v>1940</v>
      </c>
      <c r="M128" s="33">
        <v>1946</v>
      </c>
      <c r="N128" s="33">
        <v>1864</v>
      </c>
      <c r="O128" s="33">
        <v>1830</v>
      </c>
      <c r="P128" s="33">
        <v>2009</v>
      </c>
      <c r="Q128" s="33">
        <v>2056</v>
      </c>
      <c r="R128" s="33">
        <v>2072</v>
      </c>
      <c r="S128" s="33">
        <v>2127</v>
      </c>
      <c r="T128" s="33">
        <v>2004</v>
      </c>
      <c r="U128" s="33">
        <v>1990</v>
      </c>
      <c r="V128" s="33">
        <v>1966</v>
      </c>
      <c r="W128" s="33">
        <v>2064</v>
      </c>
      <c r="X128" s="33">
        <v>2014</v>
      </c>
      <c r="Y128" s="33">
        <v>2020</v>
      </c>
      <c r="Z128" s="33">
        <v>2085</v>
      </c>
      <c r="AA128" s="33">
        <v>2133</v>
      </c>
      <c r="AB128" s="33">
        <v>2158</v>
      </c>
      <c r="AC128" s="33">
        <v>2220</v>
      </c>
      <c r="AD128" s="33">
        <v>2237</v>
      </c>
      <c r="AE128" s="33">
        <v>2266</v>
      </c>
      <c r="AF128" s="33">
        <v>2254</v>
      </c>
      <c r="AG128" s="33">
        <v>2266</v>
      </c>
      <c r="AH128" s="33">
        <v>2300</v>
      </c>
      <c r="AI128" s="33">
        <v>2270</v>
      </c>
      <c r="AJ128" s="33">
        <v>2329</v>
      </c>
      <c r="AK128" s="33">
        <v>2348</v>
      </c>
      <c r="AL128" s="33">
        <v>2424</v>
      </c>
      <c r="AM128" s="33">
        <v>2533</v>
      </c>
      <c r="AN128" s="33">
        <v>2551</v>
      </c>
      <c r="AO128" s="33">
        <v>2455</v>
      </c>
      <c r="AP128" s="33">
        <v>2348</v>
      </c>
      <c r="AQ128" s="33">
        <v>2281</v>
      </c>
      <c r="AR128" s="33">
        <v>2161</v>
      </c>
      <c r="AS128" s="33">
        <v>2265</v>
      </c>
      <c r="AT128" s="33">
        <v>2281</v>
      </c>
      <c r="AU128" s="33">
        <v>2281</v>
      </c>
      <c r="AV128" s="33">
        <v>2250</v>
      </c>
      <c r="AW128" s="33">
        <v>2065</v>
      </c>
      <c r="AX128" s="33">
        <v>2165</v>
      </c>
      <c r="AY128" s="33">
        <v>2285</v>
      </c>
      <c r="AZ128" s="33">
        <v>2548</v>
      </c>
      <c r="BA128" s="33">
        <v>2628</v>
      </c>
      <c r="BB128" s="33">
        <v>2570</v>
      </c>
      <c r="BC128" s="33">
        <v>2543</v>
      </c>
      <c r="BD128" s="33">
        <v>2574</v>
      </c>
      <c r="BE128" s="33">
        <v>2632</v>
      </c>
      <c r="BF128" s="33">
        <v>2501</v>
      </c>
      <c r="BG128" s="33">
        <v>2450</v>
      </c>
      <c r="BH128" s="33">
        <v>2910</v>
      </c>
      <c r="BI128" s="33">
        <v>3265</v>
      </c>
      <c r="BJ128" s="33">
        <v>3170</v>
      </c>
      <c r="BK128" s="33">
        <v>3055</v>
      </c>
      <c r="BL128" s="33">
        <v>3035</v>
      </c>
    </row>
    <row r="129" spans="1:64" ht="15.95" customHeight="1">
      <c r="A129" s="68" t="s">
        <v>386</v>
      </c>
      <c r="B129" s="44" t="s">
        <v>190</v>
      </c>
      <c r="C129" s="48">
        <f>_xll.RssMarket("4082","安値")</f>
        <v>1941</v>
      </c>
      <c r="D129" s="16">
        <f t="shared" si="1"/>
        <v>0</v>
      </c>
      <c r="E129" s="33">
        <v>1941</v>
      </c>
      <c r="F129" s="33">
        <v>1919</v>
      </c>
      <c r="G129" s="33">
        <v>1936</v>
      </c>
      <c r="H129" s="33">
        <v>1839</v>
      </c>
      <c r="I129" s="33">
        <v>1765</v>
      </c>
      <c r="J129" s="33">
        <v>1815</v>
      </c>
      <c r="K129" s="33">
        <v>1928</v>
      </c>
      <c r="L129" s="33">
        <v>2041</v>
      </c>
      <c r="M129" s="33">
        <v>2089</v>
      </c>
      <c r="N129" s="33">
        <v>2135</v>
      </c>
      <c r="O129" s="33">
        <v>2087</v>
      </c>
      <c r="P129" s="33">
        <v>2236</v>
      </c>
      <c r="Q129" s="33">
        <v>2150</v>
      </c>
      <c r="R129" s="33">
        <v>2153</v>
      </c>
      <c r="S129" s="33">
        <v>2016</v>
      </c>
      <c r="T129" s="33">
        <v>1975</v>
      </c>
      <c r="U129" s="33">
        <v>1935</v>
      </c>
      <c r="V129" s="33">
        <v>1927</v>
      </c>
      <c r="W129" s="33">
        <v>2133</v>
      </c>
      <c r="X129" s="33">
        <v>2105</v>
      </c>
      <c r="Y129" s="33">
        <v>2111</v>
      </c>
      <c r="Z129" s="33">
        <v>2480</v>
      </c>
      <c r="AA129" s="33">
        <v>2583</v>
      </c>
      <c r="AB129" s="33">
        <v>2520</v>
      </c>
      <c r="AC129" s="33">
        <v>2484</v>
      </c>
      <c r="AD129" s="33">
        <v>2388</v>
      </c>
      <c r="AE129" s="33">
        <v>2338</v>
      </c>
      <c r="AF129" s="33">
        <v>2239</v>
      </c>
      <c r="AG129" s="33">
        <v>2285</v>
      </c>
      <c r="AH129" s="33">
        <v>2241</v>
      </c>
      <c r="AI129" s="33">
        <v>2227</v>
      </c>
      <c r="AJ129" s="33">
        <v>2290</v>
      </c>
      <c r="AK129" s="33">
        <v>2251</v>
      </c>
      <c r="AL129" s="33">
        <v>2305</v>
      </c>
      <c r="AM129" s="33">
        <v>2341</v>
      </c>
      <c r="AN129" s="33">
        <v>2314</v>
      </c>
      <c r="AO129" s="33">
        <v>2202</v>
      </c>
      <c r="AP129" s="33">
        <v>2140</v>
      </c>
      <c r="AQ129" s="33">
        <v>2072</v>
      </c>
      <c r="AR129" s="33">
        <v>2046</v>
      </c>
      <c r="AS129" s="33">
        <v>2031</v>
      </c>
      <c r="AT129" s="33">
        <v>2065</v>
      </c>
      <c r="AU129" s="33">
        <v>2105</v>
      </c>
      <c r="AV129" s="33">
        <v>2120</v>
      </c>
      <c r="AW129" s="33">
        <v>2051</v>
      </c>
      <c r="AX129" s="33">
        <v>2033</v>
      </c>
      <c r="AY129" s="33">
        <v>2021</v>
      </c>
      <c r="AZ129" s="33">
        <v>2239</v>
      </c>
      <c r="BA129" s="33">
        <v>2295</v>
      </c>
      <c r="BB129" s="33">
        <v>2299</v>
      </c>
      <c r="BC129" s="33">
        <v>2303</v>
      </c>
      <c r="BD129" s="33">
        <v>2320</v>
      </c>
      <c r="BE129" s="33">
        <v>2340</v>
      </c>
      <c r="BF129" s="33">
        <v>2357</v>
      </c>
      <c r="BG129" s="33">
        <v>2262</v>
      </c>
      <c r="BH129" s="33">
        <v>2300</v>
      </c>
      <c r="BI129" s="33">
        <v>2510</v>
      </c>
      <c r="BJ129" s="33">
        <v>2560</v>
      </c>
      <c r="BK129" s="33">
        <v>2535</v>
      </c>
      <c r="BL129" s="33">
        <v>2512</v>
      </c>
    </row>
    <row r="130" spans="1:64" ht="15.95" customHeight="1">
      <c r="A130" s="68" t="s">
        <v>387</v>
      </c>
      <c r="B130" s="44" t="s">
        <v>191</v>
      </c>
      <c r="C130" s="48">
        <f>_xll.RssMarket("4519","安値")</f>
        <v>7532</v>
      </c>
      <c r="D130" s="16">
        <f t="shared" si="1"/>
        <v>0</v>
      </c>
      <c r="E130" s="33">
        <v>7532</v>
      </c>
      <c r="F130" s="33">
        <v>7442</v>
      </c>
      <c r="G130" s="33">
        <v>7376</v>
      </c>
      <c r="H130" s="33">
        <v>7390</v>
      </c>
      <c r="I130" s="33">
        <v>7270</v>
      </c>
      <c r="J130" s="33">
        <v>7331</v>
      </c>
      <c r="K130" s="33">
        <v>7430</v>
      </c>
      <c r="L130" s="33">
        <v>7504</v>
      </c>
      <c r="M130" s="33">
        <v>7357</v>
      </c>
      <c r="N130" s="33">
        <v>7387</v>
      </c>
      <c r="O130" s="33">
        <v>7488</v>
      </c>
      <c r="P130" s="33">
        <v>7677</v>
      </c>
      <c r="Q130" s="33">
        <v>7726</v>
      </c>
      <c r="R130" s="33">
        <v>7625</v>
      </c>
      <c r="S130" s="33">
        <v>8003</v>
      </c>
      <c r="T130" s="33">
        <v>7795</v>
      </c>
      <c r="U130" s="33">
        <v>7815</v>
      </c>
      <c r="V130" s="33">
        <v>7864</v>
      </c>
      <c r="W130" s="33">
        <v>7843</v>
      </c>
      <c r="X130" s="33">
        <v>7787</v>
      </c>
      <c r="Y130" s="33">
        <v>7925</v>
      </c>
      <c r="Z130" s="33">
        <v>7777</v>
      </c>
      <c r="AA130" s="33">
        <v>7691</v>
      </c>
      <c r="AB130" s="33">
        <v>7752</v>
      </c>
      <c r="AC130" s="33">
        <v>7740</v>
      </c>
      <c r="AD130" s="33">
        <v>7865</v>
      </c>
      <c r="AE130" s="33">
        <v>7727</v>
      </c>
      <c r="AF130" s="33">
        <v>8245</v>
      </c>
      <c r="AG130" s="33">
        <v>7833</v>
      </c>
      <c r="AH130" s="33">
        <v>7570</v>
      </c>
      <c r="AI130" s="33">
        <v>7402</v>
      </c>
      <c r="AJ130" s="33">
        <v>8702</v>
      </c>
      <c r="AK130" s="33">
        <v>8681</v>
      </c>
      <c r="AL130" s="33">
        <v>8663</v>
      </c>
      <c r="AM130" s="33">
        <v>8467</v>
      </c>
      <c r="AN130" s="33">
        <v>8580</v>
      </c>
      <c r="AO130" s="33">
        <v>8306</v>
      </c>
      <c r="AP130" s="33">
        <v>8583</v>
      </c>
      <c r="AQ130" s="33">
        <v>8511</v>
      </c>
      <c r="AR130" s="33">
        <v>8425</v>
      </c>
      <c r="AS130" s="33">
        <v>8512</v>
      </c>
      <c r="AT130" s="33">
        <v>8538</v>
      </c>
      <c r="AU130" s="33">
        <v>8775</v>
      </c>
      <c r="AV130" s="33">
        <v>8780</v>
      </c>
      <c r="AW130" s="33">
        <v>8680</v>
      </c>
      <c r="AX130" s="33">
        <v>8722</v>
      </c>
      <c r="AY130" s="33">
        <v>8735</v>
      </c>
      <c r="AZ130" s="33">
        <v>8973</v>
      </c>
      <c r="BA130" s="33">
        <v>8820</v>
      </c>
      <c r="BB130" s="33">
        <v>8415</v>
      </c>
      <c r="BC130" s="33">
        <v>8240</v>
      </c>
      <c r="BD130" s="33">
        <v>8344</v>
      </c>
      <c r="BE130" s="33">
        <v>8359</v>
      </c>
      <c r="BF130" s="33">
        <v>8387</v>
      </c>
      <c r="BG130" s="33">
        <v>8046</v>
      </c>
      <c r="BH130" s="33">
        <v>7946</v>
      </c>
      <c r="BI130" s="33">
        <v>8609</v>
      </c>
      <c r="BJ130" s="33">
        <v>8855</v>
      </c>
      <c r="BK130" s="33">
        <v>9269</v>
      </c>
      <c r="BL130" s="33">
        <v>9024</v>
      </c>
    </row>
    <row r="131" spans="1:64" ht="15.95" customHeight="1">
      <c r="A131" s="68" t="s">
        <v>388</v>
      </c>
      <c r="B131" s="44" t="s">
        <v>192</v>
      </c>
      <c r="C131" s="48">
        <f>_xll.RssMarket("2160","安値")</f>
        <v>2500</v>
      </c>
      <c r="D131" s="16">
        <f t="shared" si="1"/>
        <v>0</v>
      </c>
      <c r="E131" s="33">
        <v>2500</v>
      </c>
      <c r="F131" s="33">
        <v>2428</v>
      </c>
      <c r="G131" s="33">
        <v>2463</v>
      </c>
      <c r="H131" s="33">
        <v>2482</v>
      </c>
      <c r="I131" s="33">
        <v>2589</v>
      </c>
      <c r="J131" s="33">
        <v>2661</v>
      </c>
      <c r="K131" s="33">
        <v>2763</v>
      </c>
      <c r="L131" s="33">
        <v>2779</v>
      </c>
      <c r="M131" s="33">
        <v>2600</v>
      </c>
      <c r="N131" s="33">
        <v>2477</v>
      </c>
      <c r="O131" s="33">
        <v>2501</v>
      </c>
      <c r="P131" s="33">
        <v>2533</v>
      </c>
      <c r="Q131" s="33">
        <v>2495</v>
      </c>
      <c r="R131" s="33">
        <v>2631</v>
      </c>
      <c r="S131" s="33">
        <v>2784</v>
      </c>
      <c r="T131" s="33">
        <v>2813</v>
      </c>
      <c r="U131" s="33">
        <v>2779</v>
      </c>
      <c r="V131" s="33">
        <v>2706</v>
      </c>
      <c r="W131" s="33">
        <v>2673</v>
      </c>
      <c r="X131" s="33">
        <v>2668</v>
      </c>
      <c r="Y131" s="33">
        <v>2905</v>
      </c>
      <c r="Z131" s="33">
        <v>3005</v>
      </c>
      <c r="AA131" s="33">
        <v>3105</v>
      </c>
      <c r="AB131" s="33">
        <v>2953</v>
      </c>
      <c r="AC131" s="33">
        <v>2955</v>
      </c>
      <c r="AD131" s="33">
        <v>2962</v>
      </c>
      <c r="AE131" s="33">
        <v>3055</v>
      </c>
      <c r="AF131" s="33">
        <v>2952</v>
      </c>
      <c r="AG131" s="33">
        <v>2920</v>
      </c>
      <c r="AH131" s="33">
        <v>3100</v>
      </c>
      <c r="AI131" s="33">
        <v>3090</v>
      </c>
      <c r="AJ131" s="33">
        <v>3060</v>
      </c>
      <c r="AK131" s="33">
        <v>3110</v>
      </c>
      <c r="AL131" s="33">
        <v>3260</v>
      </c>
      <c r="AM131" s="33">
        <v>3380</v>
      </c>
      <c r="AN131" s="33">
        <v>3355</v>
      </c>
      <c r="AO131" s="33">
        <v>3290</v>
      </c>
      <c r="AP131" s="33">
        <v>3340</v>
      </c>
      <c r="AQ131" s="33">
        <v>3220</v>
      </c>
      <c r="AR131" s="33">
        <v>3175</v>
      </c>
      <c r="AS131" s="33">
        <v>3055</v>
      </c>
      <c r="AT131" s="33">
        <v>3150</v>
      </c>
      <c r="AU131" s="33">
        <v>3090</v>
      </c>
      <c r="AV131" s="33">
        <v>3195</v>
      </c>
      <c r="AW131" s="33">
        <v>3080</v>
      </c>
      <c r="AX131" s="33">
        <v>3100</v>
      </c>
      <c r="AY131" s="33">
        <v>3075</v>
      </c>
      <c r="AZ131" s="33">
        <v>3065</v>
      </c>
      <c r="BA131" s="33">
        <v>3070</v>
      </c>
      <c r="BB131" s="33">
        <v>2940</v>
      </c>
      <c r="BC131" s="33">
        <v>3040</v>
      </c>
      <c r="BD131" s="33">
        <v>3060</v>
      </c>
      <c r="BE131" s="33">
        <v>3025</v>
      </c>
      <c r="BF131" s="33">
        <v>3010</v>
      </c>
      <c r="BG131" s="33">
        <v>2834</v>
      </c>
      <c r="BH131" s="33">
        <v>2625</v>
      </c>
      <c r="BI131" s="33">
        <v>2821</v>
      </c>
      <c r="BJ131" s="33">
        <v>3010</v>
      </c>
      <c r="BK131" s="33">
        <v>3115</v>
      </c>
      <c r="BL131" s="33">
        <v>3180</v>
      </c>
    </row>
    <row r="132" spans="1:64" ht="15.95" customHeight="1">
      <c r="A132" s="68" t="s">
        <v>389</v>
      </c>
      <c r="B132" s="44" t="s">
        <v>193</v>
      </c>
      <c r="C132" s="48">
        <f>_xll.RssMarket("6227","安値")</f>
        <v>7920</v>
      </c>
      <c r="D132" s="16">
        <f t="shared" si="1"/>
        <v>0</v>
      </c>
      <c r="E132" s="33">
        <v>7920</v>
      </c>
      <c r="F132" s="33">
        <v>7730</v>
      </c>
      <c r="G132" s="33">
        <v>8030</v>
      </c>
      <c r="H132" s="33">
        <v>6700</v>
      </c>
      <c r="I132" s="33">
        <v>6400</v>
      </c>
      <c r="J132" s="33">
        <v>6820</v>
      </c>
      <c r="K132" s="33">
        <v>6440</v>
      </c>
      <c r="L132" s="33">
        <v>6200</v>
      </c>
      <c r="M132" s="33">
        <v>5820</v>
      </c>
      <c r="N132" s="33">
        <v>5930</v>
      </c>
      <c r="O132" s="33">
        <v>5660</v>
      </c>
      <c r="P132" s="33">
        <v>5380</v>
      </c>
      <c r="Q132" s="33">
        <v>5240</v>
      </c>
      <c r="R132" s="33">
        <v>5470</v>
      </c>
      <c r="S132" s="33">
        <v>5800</v>
      </c>
      <c r="T132" s="33">
        <v>5560</v>
      </c>
      <c r="U132" s="33">
        <v>6060</v>
      </c>
      <c r="V132" s="33">
        <v>6350</v>
      </c>
      <c r="W132" s="33">
        <v>6510</v>
      </c>
      <c r="X132" s="33">
        <v>6560</v>
      </c>
      <c r="Y132" s="33">
        <v>6120</v>
      </c>
      <c r="Z132" s="33">
        <v>6560</v>
      </c>
      <c r="AA132" s="33">
        <v>6410</v>
      </c>
      <c r="AB132" s="33">
        <v>6440</v>
      </c>
      <c r="AC132" s="33">
        <v>6320</v>
      </c>
      <c r="AD132" s="33">
        <v>6490</v>
      </c>
      <c r="AE132" s="33">
        <v>6440</v>
      </c>
      <c r="AF132" s="33">
        <v>6080</v>
      </c>
      <c r="AG132" s="33">
        <v>6040</v>
      </c>
      <c r="AH132" s="33">
        <v>6100</v>
      </c>
      <c r="AI132" s="33">
        <v>6240</v>
      </c>
      <c r="AJ132" s="33">
        <v>6420</v>
      </c>
      <c r="AK132" s="33">
        <v>6160</v>
      </c>
      <c r="AL132" s="33">
        <v>6630</v>
      </c>
      <c r="AM132" s="33">
        <v>6870</v>
      </c>
      <c r="AN132" s="33">
        <v>7470</v>
      </c>
      <c r="AO132" s="33">
        <v>7800</v>
      </c>
      <c r="AP132" s="33">
        <v>8020</v>
      </c>
      <c r="AQ132" s="33">
        <v>7750</v>
      </c>
      <c r="AR132" s="33">
        <v>6960</v>
      </c>
      <c r="AS132" s="33">
        <v>6000</v>
      </c>
      <c r="AT132" s="33">
        <v>5980</v>
      </c>
      <c r="AU132" s="33">
        <v>5700</v>
      </c>
      <c r="AV132" s="33">
        <v>5840</v>
      </c>
      <c r="AW132" s="33">
        <v>5620</v>
      </c>
      <c r="AX132" s="33">
        <v>5290</v>
      </c>
      <c r="AY132" s="33">
        <v>5170</v>
      </c>
      <c r="AZ132" s="33">
        <v>5110</v>
      </c>
      <c r="BA132" s="33">
        <v>5390</v>
      </c>
      <c r="BB132" s="33">
        <v>5130</v>
      </c>
      <c r="BC132" s="33">
        <v>5420</v>
      </c>
      <c r="BD132" s="33">
        <v>5840</v>
      </c>
      <c r="BE132" s="33">
        <v>6173.3</v>
      </c>
      <c r="BF132" s="33">
        <v>6600</v>
      </c>
      <c r="BG132" s="33">
        <v>6136.6</v>
      </c>
      <c r="BH132" s="33">
        <v>6133.3</v>
      </c>
      <c r="BI132" s="33">
        <v>6276.6</v>
      </c>
      <c r="BJ132" s="33">
        <v>6313.3</v>
      </c>
      <c r="BK132" s="33">
        <v>6513.3</v>
      </c>
      <c r="BL132" s="33">
        <v>7050</v>
      </c>
    </row>
    <row r="133" spans="1:64" ht="15.95" customHeight="1">
      <c r="A133" s="68" t="s">
        <v>390</v>
      </c>
      <c r="B133" s="44" t="s">
        <v>194</v>
      </c>
      <c r="C133" s="48">
        <f>_xll.RssMarket("6327","安値")</f>
        <v>4450</v>
      </c>
      <c r="D133" s="16">
        <f t="shared" si="1"/>
        <v>0</v>
      </c>
      <c r="E133" s="33">
        <v>4450</v>
      </c>
      <c r="F133" s="33">
        <v>3920</v>
      </c>
      <c r="G133" s="33">
        <v>3195</v>
      </c>
      <c r="H133" s="33">
        <v>2990</v>
      </c>
      <c r="I133" s="33">
        <v>2863</v>
      </c>
      <c r="J133" s="33">
        <v>3015</v>
      </c>
      <c r="K133" s="33">
        <v>3305</v>
      </c>
      <c r="L133" s="33">
        <v>3455</v>
      </c>
      <c r="M133" s="33">
        <v>3820</v>
      </c>
      <c r="N133" s="33">
        <v>4470</v>
      </c>
      <c r="O133" s="33">
        <v>4385</v>
      </c>
      <c r="P133" s="33">
        <v>4615</v>
      </c>
      <c r="Q133" s="33">
        <v>3675</v>
      </c>
      <c r="R133" s="33">
        <v>3520</v>
      </c>
      <c r="S133" s="33">
        <v>2920</v>
      </c>
      <c r="T133" s="33">
        <v>2396</v>
      </c>
      <c r="U133" s="33">
        <v>2260</v>
      </c>
      <c r="V133" s="33">
        <v>2240</v>
      </c>
      <c r="W133" s="33">
        <v>2363</v>
      </c>
      <c r="X133" s="33">
        <v>2452</v>
      </c>
      <c r="Y133" s="33">
        <v>2510</v>
      </c>
      <c r="Z133" s="33">
        <v>2441</v>
      </c>
      <c r="AA133" s="33">
        <v>2597</v>
      </c>
      <c r="AB133" s="33">
        <v>2855</v>
      </c>
      <c r="AC133" s="33">
        <v>3260</v>
      </c>
      <c r="AD133" s="33">
        <v>3080</v>
      </c>
      <c r="AE133" s="33">
        <v>2887</v>
      </c>
      <c r="AF133" s="33">
        <v>2716</v>
      </c>
      <c r="AG133" s="33">
        <v>2585</v>
      </c>
      <c r="AH133" s="33">
        <v>2169</v>
      </c>
      <c r="AI133" s="33">
        <v>2048</v>
      </c>
      <c r="AJ133" s="33">
        <v>2043</v>
      </c>
      <c r="AK133" s="33">
        <v>2040</v>
      </c>
      <c r="AL133" s="33">
        <v>2124</v>
      </c>
      <c r="AM133" s="33">
        <v>1998</v>
      </c>
      <c r="AN133" s="33">
        <v>1996</v>
      </c>
      <c r="AO133" s="33">
        <v>2020</v>
      </c>
      <c r="AP133" s="33">
        <v>2011</v>
      </c>
      <c r="AQ133" s="33">
        <v>1995</v>
      </c>
      <c r="AR133" s="33">
        <v>1965</v>
      </c>
      <c r="AS133" s="33">
        <v>1887</v>
      </c>
      <c r="AT133" s="33">
        <v>1826</v>
      </c>
      <c r="AU133" s="33">
        <v>1819</v>
      </c>
      <c r="AV133" s="33">
        <v>1724</v>
      </c>
      <c r="AW133" s="33">
        <v>1628</v>
      </c>
      <c r="AX133" s="33">
        <v>1580</v>
      </c>
      <c r="AY133" s="33">
        <v>1510</v>
      </c>
      <c r="AZ133" s="33">
        <v>1481</v>
      </c>
      <c r="BA133" s="33">
        <v>1456</v>
      </c>
      <c r="BB133" s="33">
        <v>1390</v>
      </c>
      <c r="BC133" s="33">
        <v>1434</v>
      </c>
      <c r="BD133" s="33">
        <v>1522</v>
      </c>
      <c r="BE133" s="33">
        <v>1619</v>
      </c>
      <c r="BF133" s="33">
        <v>1591</v>
      </c>
      <c r="BG133" s="33">
        <v>1495</v>
      </c>
      <c r="BH133" s="33">
        <v>1488</v>
      </c>
      <c r="BI133" s="33">
        <v>1625</v>
      </c>
      <c r="BJ133" s="33">
        <v>1583</v>
      </c>
      <c r="BK133" s="33">
        <v>1575</v>
      </c>
      <c r="BL133" s="33">
        <v>1660</v>
      </c>
    </row>
    <row r="134" spans="1:64" ht="15.95" customHeight="1">
      <c r="A134" s="68" t="s">
        <v>391</v>
      </c>
      <c r="B134" s="44" t="s">
        <v>195</v>
      </c>
      <c r="C134" s="48">
        <f>_xll.RssMarket("3110","安値")</f>
        <v>20600</v>
      </c>
      <c r="D134" s="16">
        <f t="shared" ref="D134:D197" si="2">C134-E134</f>
        <v>0</v>
      </c>
      <c r="E134" s="33">
        <v>20600</v>
      </c>
      <c r="F134" s="33">
        <v>19720</v>
      </c>
      <c r="G134" s="33">
        <v>19450</v>
      </c>
      <c r="H134" s="33">
        <v>18100</v>
      </c>
      <c r="I134" s="33">
        <v>16400</v>
      </c>
      <c r="J134" s="33">
        <v>17040</v>
      </c>
      <c r="K134" s="33">
        <v>17880</v>
      </c>
      <c r="L134" s="33">
        <v>19290</v>
      </c>
      <c r="M134" s="33">
        <v>19550</v>
      </c>
      <c r="N134" s="33">
        <v>21110</v>
      </c>
      <c r="O134" s="33">
        <v>21260</v>
      </c>
      <c r="P134" s="33">
        <v>21470</v>
      </c>
      <c r="Q134" s="33">
        <v>21500</v>
      </c>
      <c r="R134" s="33">
        <v>23030</v>
      </c>
      <c r="S134" s="33">
        <v>25130</v>
      </c>
      <c r="T134" s="33">
        <v>22790</v>
      </c>
      <c r="U134" s="33">
        <v>20930</v>
      </c>
      <c r="V134" s="33">
        <v>20430</v>
      </c>
      <c r="W134" s="33">
        <v>21030</v>
      </c>
      <c r="X134" s="33">
        <v>22250</v>
      </c>
      <c r="Y134" s="33">
        <v>23450</v>
      </c>
      <c r="Z134" s="33">
        <v>26000</v>
      </c>
      <c r="AA134" s="33">
        <v>25400</v>
      </c>
      <c r="AB134" s="33">
        <v>28370</v>
      </c>
      <c r="AC134" s="33">
        <v>28500</v>
      </c>
      <c r="AD134" s="33">
        <v>29690</v>
      </c>
      <c r="AE134" s="33">
        <v>30000</v>
      </c>
      <c r="AF134" s="33">
        <v>27660</v>
      </c>
      <c r="AG134" s="33">
        <v>27840</v>
      </c>
      <c r="AH134" s="33">
        <v>26670</v>
      </c>
      <c r="AI134" s="33">
        <v>26380</v>
      </c>
      <c r="AJ134" s="33">
        <v>26250</v>
      </c>
      <c r="AK134" s="33">
        <v>25410</v>
      </c>
      <c r="AL134" s="33">
        <v>25540</v>
      </c>
      <c r="AM134" s="33">
        <v>26340</v>
      </c>
      <c r="AN134" s="33">
        <v>26610</v>
      </c>
      <c r="AO134" s="33">
        <v>26680</v>
      </c>
      <c r="AP134" s="33">
        <v>26080</v>
      </c>
      <c r="AQ134" s="33">
        <v>26440</v>
      </c>
      <c r="AR134" s="33">
        <v>29320</v>
      </c>
      <c r="AS134" s="33">
        <v>27170</v>
      </c>
      <c r="AT134" s="33">
        <v>26250</v>
      </c>
      <c r="AU134" s="33">
        <v>24200</v>
      </c>
      <c r="AV134" s="33">
        <v>23190</v>
      </c>
      <c r="AW134" s="33">
        <v>20900</v>
      </c>
      <c r="AX134" s="33">
        <v>20270</v>
      </c>
      <c r="AY134" s="33">
        <v>20120</v>
      </c>
      <c r="AZ134" s="33">
        <v>19490</v>
      </c>
      <c r="BA134" s="33">
        <v>19900</v>
      </c>
      <c r="BB134" s="33">
        <v>18330</v>
      </c>
      <c r="BC134" s="33">
        <v>19370</v>
      </c>
      <c r="BD134" s="33">
        <v>20320</v>
      </c>
      <c r="BE134" s="33">
        <v>21460</v>
      </c>
      <c r="BF134" s="33">
        <v>21270</v>
      </c>
      <c r="BG134" s="33">
        <v>19370</v>
      </c>
      <c r="BH134" s="33">
        <v>19710</v>
      </c>
      <c r="BI134" s="33">
        <v>20900</v>
      </c>
      <c r="BJ134" s="33">
        <v>20900</v>
      </c>
      <c r="BK134" s="33">
        <v>20800</v>
      </c>
      <c r="BL134" s="33">
        <v>21370</v>
      </c>
    </row>
    <row r="135" spans="1:64" ht="15.95" customHeight="1">
      <c r="A135" s="68" t="s">
        <v>392</v>
      </c>
      <c r="B135" s="44" t="s">
        <v>196</v>
      </c>
      <c r="C135" s="48">
        <f>_xll.RssMarket("6232","安値")</f>
        <v>1761</v>
      </c>
      <c r="D135" s="16">
        <f t="shared" si="2"/>
        <v>0</v>
      </c>
      <c r="E135" s="33">
        <v>1761</v>
      </c>
      <c r="F135" s="33">
        <v>1782</v>
      </c>
      <c r="G135" s="33">
        <v>1723</v>
      </c>
      <c r="H135" s="33">
        <v>1733</v>
      </c>
      <c r="I135" s="33">
        <v>1780</v>
      </c>
      <c r="J135" s="33">
        <v>1875</v>
      </c>
      <c r="K135" s="33">
        <v>1968</v>
      </c>
      <c r="L135" s="33">
        <v>1989</v>
      </c>
      <c r="M135" s="33">
        <v>1943</v>
      </c>
      <c r="N135" s="33">
        <v>1978</v>
      </c>
      <c r="O135" s="33">
        <v>1964</v>
      </c>
      <c r="P135" s="33">
        <v>2315</v>
      </c>
      <c r="Q135" s="33">
        <v>2263</v>
      </c>
      <c r="R135" s="33">
        <v>2280</v>
      </c>
      <c r="S135" s="33">
        <v>2630</v>
      </c>
      <c r="T135" s="33">
        <v>2644</v>
      </c>
      <c r="U135" s="33">
        <v>2618</v>
      </c>
      <c r="V135" s="33">
        <v>2750</v>
      </c>
      <c r="W135" s="33">
        <v>3150</v>
      </c>
      <c r="X135" s="33">
        <v>2924</v>
      </c>
      <c r="Y135" s="33">
        <v>3060</v>
      </c>
      <c r="Z135" s="33">
        <v>2845</v>
      </c>
      <c r="AA135" s="33">
        <v>2808</v>
      </c>
      <c r="AB135" s="33">
        <v>2906</v>
      </c>
      <c r="AC135" s="33">
        <v>3260</v>
      </c>
      <c r="AD135" s="33">
        <v>2370</v>
      </c>
      <c r="AE135" s="33">
        <v>2326</v>
      </c>
      <c r="AF135" s="33">
        <v>2346</v>
      </c>
      <c r="AG135" s="33">
        <v>2239</v>
      </c>
      <c r="AH135" s="33">
        <v>2211</v>
      </c>
      <c r="AI135" s="33">
        <v>2271</v>
      </c>
      <c r="AJ135" s="33">
        <v>2309</v>
      </c>
      <c r="AK135" s="33">
        <v>2136</v>
      </c>
      <c r="AL135" s="33">
        <v>1857</v>
      </c>
      <c r="AM135" s="33">
        <v>1704</v>
      </c>
      <c r="AN135" s="33">
        <v>1697</v>
      </c>
      <c r="AO135" s="33">
        <v>1692</v>
      </c>
      <c r="AP135" s="33">
        <v>1807</v>
      </c>
      <c r="AQ135" s="33">
        <v>1781</v>
      </c>
      <c r="AR135" s="33">
        <v>1716</v>
      </c>
      <c r="AS135" s="33">
        <v>1605</v>
      </c>
      <c r="AT135" s="33">
        <v>1537</v>
      </c>
      <c r="AU135" s="33">
        <v>1552</v>
      </c>
      <c r="AV135" s="33">
        <v>1581</v>
      </c>
      <c r="AW135" s="33">
        <v>1452</v>
      </c>
      <c r="AX135" s="33">
        <v>1451</v>
      </c>
      <c r="AY135" s="33">
        <v>1460</v>
      </c>
      <c r="AZ135" s="33">
        <v>1486</v>
      </c>
      <c r="BA135" s="33">
        <v>1454</v>
      </c>
      <c r="BB135" s="33">
        <v>1366</v>
      </c>
      <c r="BC135" s="33">
        <v>1426</v>
      </c>
      <c r="BD135" s="33">
        <v>1467</v>
      </c>
      <c r="BE135" s="33">
        <v>1491</v>
      </c>
      <c r="BF135" s="33">
        <v>1461</v>
      </c>
      <c r="BG135" s="33">
        <v>1364</v>
      </c>
      <c r="BH135" s="33">
        <v>1387</v>
      </c>
      <c r="BI135" s="33">
        <v>1540</v>
      </c>
      <c r="BJ135" s="33">
        <v>1603</v>
      </c>
      <c r="BK135" s="33">
        <v>1625</v>
      </c>
      <c r="BL135" s="33">
        <v>1697</v>
      </c>
    </row>
    <row r="136" spans="1:64" ht="15.95" customHeight="1">
      <c r="A136" s="68" t="s">
        <v>393</v>
      </c>
      <c r="B136" s="44" t="s">
        <v>197</v>
      </c>
      <c r="C136" s="48">
        <f>_xll.RssMarket("7794","安値")</f>
        <v>1062</v>
      </c>
      <c r="D136" s="16">
        <f t="shared" si="2"/>
        <v>0</v>
      </c>
      <c r="E136" s="33">
        <v>1062</v>
      </c>
      <c r="F136" s="33">
        <v>1050</v>
      </c>
      <c r="G136" s="33">
        <v>1073</v>
      </c>
      <c r="H136" s="33">
        <v>1070</v>
      </c>
      <c r="I136" s="33">
        <v>1048</v>
      </c>
      <c r="J136" s="33">
        <v>1077</v>
      </c>
      <c r="K136" s="33">
        <v>1040</v>
      </c>
      <c r="L136" s="33">
        <v>1005</v>
      </c>
      <c r="M136" s="33">
        <v>976</v>
      </c>
      <c r="N136" s="33">
        <v>1070</v>
      </c>
      <c r="O136" s="33">
        <v>1073</v>
      </c>
      <c r="P136" s="33">
        <v>1120</v>
      </c>
      <c r="Q136" s="33">
        <v>1261</v>
      </c>
      <c r="R136" s="33">
        <v>1088</v>
      </c>
      <c r="S136" s="33">
        <v>1133</v>
      </c>
      <c r="T136" s="33">
        <v>1081</v>
      </c>
      <c r="U136" s="33">
        <v>1050</v>
      </c>
      <c r="V136" s="33">
        <v>1062</v>
      </c>
      <c r="W136" s="33">
        <v>1108</v>
      </c>
      <c r="X136" s="33">
        <v>1085</v>
      </c>
      <c r="Y136" s="33">
        <v>1095</v>
      </c>
      <c r="Z136" s="33">
        <v>1116</v>
      </c>
      <c r="AA136" s="33">
        <v>1310</v>
      </c>
      <c r="AB136" s="33">
        <v>1318</v>
      </c>
      <c r="AC136" s="33">
        <v>1400</v>
      </c>
      <c r="AD136" s="33">
        <v>1302</v>
      </c>
      <c r="AE136" s="33">
        <v>1280</v>
      </c>
      <c r="AF136" s="33">
        <v>1282</v>
      </c>
      <c r="AG136" s="33">
        <v>1307</v>
      </c>
      <c r="AH136" s="33">
        <v>1302</v>
      </c>
      <c r="AI136" s="33">
        <v>1325</v>
      </c>
      <c r="AJ136" s="33">
        <v>1391</v>
      </c>
      <c r="AK136" s="33">
        <v>1411</v>
      </c>
      <c r="AL136" s="33">
        <v>1458</v>
      </c>
      <c r="AM136" s="33">
        <v>1450</v>
      </c>
      <c r="AN136" s="33">
        <v>1504</v>
      </c>
      <c r="AO136" s="33">
        <v>1215</v>
      </c>
      <c r="AP136" s="33">
        <v>1183</v>
      </c>
      <c r="AQ136" s="33">
        <v>1166</v>
      </c>
      <c r="AR136" s="33">
        <v>1181</v>
      </c>
      <c r="AS136" s="33">
        <v>1165</v>
      </c>
      <c r="AT136" s="33">
        <v>1182</v>
      </c>
      <c r="AU136" s="33">
        <v>1161</v>
      </c>
      <c r="AV136" s="33">
        <v>1186</v>
      </c>
      <c r="AW136" s="33">
        <v>1140</v>
      </c>
      <c r="AX136" s="33">
        <v>1168</v>
      </c>
      <c r="AY136" s="33">
        <v>1204</v>
      </c>
      <c r="AZ136" s="33">
        <v>1193</v>
      </c>
      <c r="BA136" s="33">
        <v>1254</v>
      </c>
      <c r="BB136" s="33">
        <v>1236</v>
      </c>
      <c r="BC136" s="33">
        <v>1225</v>
      </c>
      <c r="BD136" s="33">
        <v>1314</v>
      </c>
      <c r="BE136" s="33">
        <v>999</v>
      </c>
      <c r="BF136" s="33">
        <v>1086</v>
      </c>
      <c r="BG136" s="33">
        <v>1080</v>
      </c>
      <c r="BH136" s="33">
        <v>1106</v>
      </c>
      <c r="BI136" s="33">
        <v>1224</v>
      </c>
      <c r="BJ136" s="33">
        <v>1281</v>
      </c>
      <c r="BK136" s="33">
        <v>1295</v>
      </c>
      <c r="BL136" s="33">
        <v>1251</v>
      </c>
    </row>
    <row r="137" spans="1:64" ht="15.95" customHeight="1">
      <c r="A137" s="68" t="s">
        <v>394</v>
      </c>
      <c r="B137" s="44" t="s">
        <v>198</v>
      </c>
      <c r="C137" s="48">
        <f>_xll.RssMarket("6085","安値")</f>
        <v>308</v>
      </c>
      <c r="D137" s="16">
        <f t="shared" si="2"/>
        <v>0</v>
      </c>
      <c r="E137" s="33">
        <v>308</v>
      </c>
      <c r="F137" s="33">
        <v>301</v>
      </c>
      <c r="G137" s="33">
        <v>324</v>
      </c>
      <c r="H137" s="33">
        <v>383</v>
      </c>
      <c r="I137" s="33">
        <v>370</v>
      </c>
      <c r="J137" s="33">
        <v>293</v>
      </c>
      <c r="K137" s="33">
        <v>266</v>
      </c>
      <c r="L137" s="33">
        <v>228</v>
      </c>
      <c r="M137" s="33">
        <v>224</v>
      </c>
      <c r="N137" s="33">
        <v>281</v>
      </c>
      <c r="O137" s="33">
        <v>303</v>
      </c>
      <c r="P137" s="33">
        <v>343</v>
      </c>
      <c r="Q137" s="33">
        <v>423</v>
      </c>
      <c r="R137" s="33">
        <v>503</v>
      </c>
      <c r="S137" s="33">
        <v>445</v>
      </c>
      <c r="T137" s="33">
        <v>412</v>
      </c>
      <c r="U137" s="33">
        <v>405</v>
      </c>
      <c r="V137" s="33">
        <v>463</v>
      </c>
      <c r="W137" s="33">
        <v>520</v>
      </c>
      <c r="X137" s="33">
        <v>493</v>
      </c>
      <c r="Y137" s="33">
        <v>498</v>
      </c>
      <c r="Z137" s="33">
        <v>471</v>
      </c>
      <c r="AA137" s="33">
        <v>540</v>
      </c>
      <c r="AB137" s="33">
        <v>521</v>
      </c>
      <c r="AC137" s="33">
        <v>550</v>
      </c>
      <c r="AD137" s="33">
        <v>536</v>
      </c>
      <c r="AE137" s="33">
        <v>515</v>
      </c>
      <c r="AF137" s="33">
        <v>554</v>
      </c>
      <c r="AG137" s="33">
        <v>551</v>
      </c>
      <c r="AH137" s="33">
        <v>510</v>
      </c>
      <c r="AI137" s="33">
        <v>460</v>
      </c>
      <c r="AJ137" s="33">
        <v>415</v>
      </c>
      <c r="AK137" s="33">
        <v>393</v>
      </c>
      <c r="AL137" s="33">
        <v>370</v>
      </c>
      <c r="AM137" s="33">
        <v>364</v>
      </c>
      <c r="AN137" s="33">
        <v>340</v>
      </c>
      <c r="AO137" s="33">
        <v>296.5</v>
      </c>
      <c r="AP137" s="33">
        <v>277.5</v>
      </c>
      <c r="AQ137" s="33">
        <v>285.3</v>
      </c>
      <c r="AR137" s="33">
        <v>270.10000000000002</v>
      </c>
      <c r="AS137" s="33">
        <v>251</v>
      </c>
      <c r="AT137" s="33">
        <v>245</v>
      </c>
      <c r="AU137" s="33">
        <v>243</v>
      </c>
      <c r="AV137" s="33">
        <v>234.3</v>
      </c>
      <c r="AW137" s="33">
        <v>260.2</v>
      </c>
      <c r="AX137" s="33">
        <v>280</v>
      </c>
      <c r="AY137" s="33">
        <v>280.2</v>
      </c>
      <c r="AZ137" s="33">
        <v>291.3</v>
      </c>
      <c r="BA137" s="33">
        <v>293</v>
      </c>
      <c r="BB137" s="33">
        <v>277</v>
      </c>
      <c r="BC137" s="33">
        <v>275.60000000000002</v>
      </c>
      <c r="BD137" s="33">
        <v>295</v>
      </c>
      <c r="BE137" s="33">
        <v>223.9</v>
      </c>
      <c r="BF137" s="33">
        <v>235.5</v>
      </c>
      <c r="BG137" s="33">
        <v>205</v>
      </c>
      <c r="BH137" s="33">
        <v>260</v>
      </c>
      <c r="BI137" s="33">
        <v>330</v>
      </c>
      <c r="BJ137" s="33">
        <v>400</v>
      </c>
      <c r="BK137" s="33">
        <v>430.5</v>
      </c>
      <c r="BL137" s="33">
        <v>367</v>
      </c>
    </row>
    <row r="138" spans="1:64" ht="15.95" customHeight="1">
      <c r="A138" s="68" t="s">
        <v>395</v>
      </c>
      <c r="B138" s="44" t="s">
        <v>199</v>
      </c>
      <c r="C138" s="48">
        <f>_xll.RssMarket("3103","安値")</f>
        <v>1125</v>
      </c>
      <c r="D138" s="16">
        <f t="shared" si="2"/>
        <v>0</v>
      </c>
      <c r="E138" s="33">
        <v>1125</v>
      </c>
      <c r="F138" s="33">
        <v>1096</v>
      </c>
      <c r="G138" s="33">
        <v>1131</v>
      </c>
      <c r="H138" s="33">
        <v>1006</v>
      </c>
      <c r="I138" s="33">
        <v>1121</v>
      </c>
      <c r="J138" s="33">
        <v>1180</v>
      </c>
      <c r="K138" s="33">
        <v>1145</v>
      </c>
      <c r="L138" s="33">
        <v>1177</v>
      </c>
      <c r="M138" s="33">
        <v>1165</v>
      </c>
      <c r="N138" s="33">
        <v>1193</v>
      </c>
      <c r="O138" s="33">
        <v>1181</v>
      </c>
      <c r="P138" s="33">
        <v>1312</v>
      </c>
      <c r="Q138" s="33">
        <v>1354</v>
      </c>
      <c r="R138" s="33">
        <v>1406</v>
      </c>
      <c r="S138" s="33">
        <v>1500</v>
      </c>
      <c r="T138" s="33">
        <v>1254</v>
      </c>
      <c r="U138" s="33">
        <v>1234</v>
      </c>
      <c r="V138" s="33">
        <v>1283</v>
      </c>
      <c r="W138" s="33">
        <v>1303</v>
      </c>
      <c r="X138" s="33">
        <v>1315</v>
      </c>
      <c r="Y138" s="33">
        <v>1415</v>
      </c>
      <c r="Z138" s="33">
        <v>1815</v>
      </c>
      <c r="AA138" s="33">
        <v>2136</v>
      </c>
      <c r="AB138" s="33">
        <v>2240</v>
      </c>
      <c r="AC138" s="33">
        <v>2294</v>
      </c>
      <c r="AD138" s="33">
        <v>2373</v>
      </c>
      <c r="AE138" s="33">
        <v>2200</v>
      </c>
      <c r="AF138" s="33">
        <v>2310</v>
      </c>
      <c r="AG138" s="33">
        <v>2214</v>
      </c>
      <c r="AH138" s="33">
        <v>2180</v>
      </c>
      <c r="AI138" s="33">
        <v>2185</v>
      </c>
      <c r="AJ138" s="33">
        <v>2524</v>
      </c>
      <c r="AK138" s="33">
        <v>2657</v>
      </c>
      <c r="AL138" s="33">
        <v>2662</v>
      </c>
      <c r="AM138" s="33">
        <v>3045</v>
      </c>
      <c r="AN138" s="33">
        <v>3155</v>
      </c>
      <c r="AO138" s="33">
        <v>2656</v>
      </c>
      <c r="AP138" s="33">
        <v>2111</v>
      </c>
      <c r="AQ138" s="33">
        <v>1781</v>
      </c>
      <c r="AR138" s="33">
        <v>1900</v>
      </c>
      <c r="AS138" s="33">
        <v>1417</v>
      </c>
      <c r="AT138" s="33">
        <v>1160</v>
      </c>
      <c r="AU138" s="33">
        <v>1100</v>
      </c>
      <c r="AV138" s="33">
        <v>1080</v>
      </c>
      <c r="AW138" s="33">
        <v>1005</v>
      </c>
      <c r="AX138" s="33">
        <v>1071</v>
      </c>
      <c r="AY138" s="33">
        <v>1077</v>
      </c>
      <c r="AZ138" s="33">
        <v>1170</v>
      </c>
      <c r="BA138" s="33">
        <v>1170</v>
      </c>
      <c r="BB138" s="33">
        <v>1138</v>
      </c>
      <c r="BC138" s="33">
        <v>1124</v>
      </c>
      <c r="BD138" s="33">
        <v>1095</v>
      </c>
      <c r="BE138" s="33">
        <v>1097</v>
      </c>
      <c r="BF138" s="33">
        <v>1342</v>
      </c>
      <c r="BG138" s="33">
        <v>1281</v>
      </c>
      <c r="BH138" s="33">
        <v>1327</v>
      </c>
      <c r="BI138" s="33">
        <v>1400</v>
      </c>
      <c r="BJ138" s="33">
        <v>1239</v>
      </c>
      <c r="BK138" s="33">
        <v>1208</v>
      </c>
      <c r="BL138" s="33">
        <v>1279</v>
      </c>
    </row>
    <row r="139" spans="1:64" ht="15.95" customHeight="1">
      <c r="A139" s="68" t="s">
        <v>396</v>
      </c>
      <c r="B139" s="44" t="s">
        <v>200</v>
      </c>
      <c r="C139" s="48">
        <f>_xll.RssMarket("4422","安値")</f>
        <v>632</v>
      </c>
      <c r="D139" s="16">
        <f t="shared" si="2"/>
        <v>0</v>
      </c>
      <c r="E139" s="33">
        <v>632</v>
      </c>
      <c r="F139" s="33">
        <v>619</v>
      </c>
      <c r="G139" s="33">
        <v>612</v>
      </c>
      <c r="H139" s="33">
        <v>628</v>
      </c>
      <c r="I139" s="33">
        <v>720</v>
      </c>
      <c r="J139" s="33">
        <v>706</v>
      </c>
      <c r="K139" s="33">
        <v>687</v>
      </c>
      <c r="L139" s="33">
        <v>665</v>
      </c>
      <c r="M139" s="33">
        <v>657</v>
      </c>
      <c r="N139" s="33">
        <v>668</v>
      </c>
      <c r="O139" s="33">
        <v>678</v>
      </c>
      <c r="P139" s="33">
        <v>692</v>
      </c>
      <c r="Q139" s="33">
        <v>708</v>
      </c>
      <c r="R139" s="33">
        <v>733</v>
      </c>
      <c r="S139" s="33">
        <v>792</v>
      </c>
      <c r="T139" s="33">
        <v>757</v>
      </c>
      <c r="U139" s="33">
        <v>751</v>
      </c>
      <c r="V139" s="33">
        <v>752</v>
      </c>
      <c r="W139" s="33">
        <v>800</v>
      </c>
      <c r="X139" s="33">
        <v>828</v>
      </c>
      <c r="Y139" s="33">
        <v>859</v>
      </c>
      <c r="Z139" s="33">
        <v>935</v>
      </c>
      <c r="AA139" s="33">
        <v>982</v>
      </c>
      <c r="AB139" s="33">
        <v>905</v>
      </c>
      <c r="AC139" s="33">
        <v>986</v>
      </c>
      <c r="AD139" s="33">
        <v>963</v>
      </c>
      <c r="AE139" s="33">
        <v>975</v>
      </c>
      <c r="AF139" s="33">
        <v>1045</v>
      </c>
      <c r="AG139" s="33">
        <v>1122</v>
      </c>
      <c r="AH139" s="33">
        <v>1172</v>
      </c>
      <c r="AI139" s="33">
        <v>1248</v>
      </c>
      <c r="AJ139" s="33">
        <v>1155</v>
      </c>
      <c r="AK139" s="33">
        <v>1094</v>
      </c>
      <c r="AL139" s="33">
        <v>1262</v>
      </c>
      <c r="AM139" s="33">
        <v>1325</v>
      </c>
      <c r="AN139" s="33">
        <v>1073</v>
      </c>
      <c r="AO139" s="33">
        <v>962</v>
      </c>
      <c r="AP139" s="33">
        <v>894</v>
      </c>
      <c r="AQ139" s="33">
        <v>972</v>
      </c>
      <c r="AR139" s="33">
        <v>1050</v>
      </c>
      <c r="AS139" s="33">
        <v>812</v>
      </c>
      <c r="AT139" s="33">
        <v>886</v>
      </c>
      <c r="AU139" s="33">
        <v>811</v>
      </c>
      <c r="AV139" s="33">
        <v>741</v>
      </c>
      <c r="AW139" s="33">
        <v>630</v>
      </c>
      <c r="AX139" s="33">
        <v>488</v>
      </c>
      <c r="AY139" s="33">
        <v>451</v>
      </c>
      <c r="AZ139" s="33">
        <v>467</v>
      </c>
      <c r="BA139" s="33">
        <v>452</v>
      </c>
      <c r="BB139" s="33">
        <v>470</v>
      </c>
      <c r="BC139" s="33">
        <v>474</v>
      </c>
      <c r="BD139" s="33">
        <v>484</v>
      </c>
      <c r="BE139" s="33">
        <v>545</v>
      </c>
      <c r="BF139" s="33">
        <v>470</v>
      </c>
      <c r="BG139" s="33">
        <v>418</v>
      </c>
      <c r="BH139" s="33">
        <v>460</v>
      </c>
      <c r="BI139" s="33">
        <v>445</v>
      </c>
      <c r="BJ139" s="33">
        <v>424</v>
      </c>
      <c r="BK139" s="33">
        <v>471</v>
      </c>
      <c r="BL139" s="33">
        <v>408</v>
      </c>
    </row>
    <row r="140" spans="1:64" ht="15.95" customHeight="1">
      <c r="A140" s="68" t="s">
        <v>397</v>
      </c>
      <c r="B140" s="44" t="s">
        <v>201</v>
      </c>
      <c r="C140" s="48">
        <f>_xll.RssMarket("6740","安値")</f>
        <v>44</v>
      </c>
      <c r="D140" s="16">
        <f t="shared" si="2"/>
        <v>0</v>
      </c>
      <c r="E140" s="33">
        <v>44</v>
      </c>
      <c r="F140" s="33">
        <v>48</v>
      </c>
      <c r="G140" s="33">
        <v>51</v>
      </c>
      <c r="H140" s="33">
        <v>52</v>
      </c>
      <c r="I140" s="33">
        <v>53</v>
      </c>
      <c r="J140" s="33">
        <v>50</v>
      </c>
      <c r="K140" s="33">
        <v>52</v>
      </c>
      <c r="L140" s="33">
        <v>51</v>
      </c>
      <c r="M140" s="33">
        <v>53</v>
      </c>
      <c r="N140" s="33">
        <v>54</v>
      </c>
      <c r="O140" s="33">
        <v>50</v>
      </c>
      <c r="P140" s="33">
        <v>55</v>
      </c>
      <c r="Q140" s="33">
        <v>62</v>
      </c>
      <c r="R140" s="33">
        <v>61</v>
      </c>
      <c r="S140" s="33">
        <v>62</v>
      </c>
      <c r="T140" s="33">
        <v>66</v>
      </c>
      <c r="U140" s="33">
        <v>65</v>
      </c>
      <c r="V140" s="33">
        <v>68</v>
      </c>
      <c r="W140" s="33">
        <v>70</v>
      </c>
      <c r="X140" s="33">
        <v>71</v>
      </c>
      <c r="Y140" s="33">
        <v>75</v>
      </c>
      <c r="Z140" s="33">
        <v>77</v>
      </c>
      <c r="AA140" s="33">
        <v>80</v>
      </c>
      <c r="AB140" s="33">
        <v>86</v>
      </c>
      <c r="AC140" s="33">
        <v>87</v>
      </c>
      <c r="AD140" s="33">
        <v>99</v>
      </c>
      <c r="AE140" s="33">
        <v>91</v>
      </c>
      <c r="AF140" s="33">
        <v>91</v>
      </c>
      <c r="AG140" s="33">
        <v>93</v>
      </c>
      <c r="AH140" s="33">
        <v>94</v>
      </c>
      <c r="AI140" s="33">
        <v>100</v>
      </c>
      <c r="AJ140" s="33">
        <v>103</v>
      </c>
      <c r="AK140" s="33">
        <v>110</v>
      </c>
      <c r="AL140" s="33">
        <v>100</v>
      </c>
      <c r="AM140" s="33">
        <v>96</v>
      </c>
      <c r="AN140" s="33">
        <v>91</v>
      </c>
      <c r="AO140" s="33">
        <v>81</v>
      </c>
      <c r="AP140" s="33">
        <v>77</v>
      </c>
      <c r="AQ140" s="33">
        <v>82</v>
      </c>
      <c r="AR140" s="33">
        <v>82</v>
      </c>
      <c r="AS140" s="33">
        <v>82</v>
      </c>
      <c r="AT140" s="33">
        <v>79</v>
      </c>
      <c r="AU140" s="33">
        <v>82</v>
      </c>
      <c r="AV140" s="33">
        <v>88</v>
      </c>
      <c r="AW140" s="33">
        <v>88</v>
      </c>
      <c r="AX140" s="33">
        <v>74</v>
      </c>
      <c r="AY140" s="33">
        <v>72</v>
      </c>
      <c r="AZ140" s="33">
        <v>69</v>
      </c>
      <c r="BA140" s="33">
        <v>73</v>
      </c>
      <c r="BB140" s="33">
        <v>76</v>
      </c>
      <c r="BC140" s="33">
        <v>56</v>
      </c>
      <c r="BD140" s="33">
        <v>59</v>
      </c>
      <c r="BE140" s="33">
        <v>65</v>
      </c>
      <c r="BF140" s="33">
        <v>91</v>
      </c>
      <c r="BG140" s="33">
        <v>101</v>
      </c>
      <c r="BH140" s="33">
        <v>128</v>
      </c>
      <c r="BI140" s="33">
        <v>92</v>
      </c>
      <c r="BJ140" s="33">
        <v>79</v>
      </c>
      <c r="BK140" s="33">
        <v>77</v>
      </c>
      <c r="BL140" s="33">
        <v>86</v>
      </c>
    </row>
    <row r="141" spans="1:64" ht="15.95" customHeight="1">
      <c r="A141" s="68" t="s">
        <v>398</v>
      </c>
      <c r="B141" s="44" t="s">
        <v>202</v>
      </c>
      <c r="C141" s="48">
        <f>_xll.RssMarket("6613","安値")</f>
        <v>2335</v>
      </c>
      <c r="D141" s="16">
        <f t="shared" si="2"/>
        <v>0</v>
      </c>
      <c r="E141" s="33">
        <v>2335</v>
      </c>
      <c r="F141" s="33">
        <v>2613</v>
      </c>
      <c r="G141" s="33">
        <v>2730</v>
      </c>
      <c r="H141" s="33">
        <v>2387</v>
      </c>
      <c r="I141" s="33">
        <v>2250</v>
      </c>
      <c r="J141" s="33">
        <v>2280</v>
      </c>
      <c r="K141" s="33">
        <v>2338</v>
      </c>
      <c r="L141" s="33">
        <v>2381</v>
      </c>
      <c r="M141" s="33">
        <v>2433</v>
      </c>
      <c r="N141" s="33">
        <v>2540</v>
      </c>
      <c r="O141" s="33">
        <v>2642</v>
      </c>
      <c r="P141" s="33">
        <v>2266</v>
      </c>
      <c r="Q141" s="33">
        <v>2400</v>
      </c>
      <c r="R141" s="33">
        <v>2620</v>
      </c>
      <c r="S141" s="33">
        <v>3130</v>
      </c>
      <c r="T141" s="33">
        <v>2570</v>
      </c>
      <c r="U141" s="33">
        <v>2406</v>
      </c>
      <c r="V141" s="33">
        <v>2203</v>
      </c>
      <c r="W141" s="33">
        <v>2024</v>
      </c>
      <c r="X141" s="33">
        <v>1836</v>
      </c>
      <c r="Y141" s="33">
        <v>1671</v>
      </c>
      <c r="Z141" s="33">
        <v>1547</v>
      </c>
      <c r="AA141" s="33">
        <v>1565</v>
      </c>
      <c r="AB141" s="33">
        <v>1641</v>
      </c>
      <c r="AC141" s="33">
        <v>1684</v>
      </c>
      <c r="AD141" s="33">
        <v>1490</v>
      </c>
      <c r="AE141" s="33">
        <v>1458</v>
      </c>
      <c r="AF141" s="33">
        <v>1415</v>
      </c>
      <c r="AG141" s="33">
        <v>1390</v>
      </c>
      <c r="AH141" s="33">
        <v>1450</v>
      </c>
      <c r="AI141" s="33">
        <v>1317</v>
      </c>
      <c r="AJ141" s="33">
        <v>1446</v>
      </c>
      <c r="AK141" s="33">
        <v>1449</v>
      </c>
      <c r="AL141" s="33">
        <v>1474</v>
      </c>
      <c r="AM141" s="33">
        <v>1538</v>
      </c>
      <c r="AN141" s="33">
        <v>1275</v>
      </c>
      <c r="AO141" s="33">
        <v>1270</v>
      </c>
      <c r="AP141" s="33">
        <v>1313</v>
      </c>
      <c r="AQ141" s="33">
        <v>1315</v>
      </c>
      <c r="AR141" s="33">
        <v>1255</v>
      </c>
      <c r="AS141" s="33">
        <v>1079</v>
      </c>
      <c r="AT141" s="33">
        <v>999</v>
      </c>
      <c r="AU141" s="33">
        <v>1019</v>
      </c>
      <c r="AV141" s="33">
        <v>1053</v>
      </c>
      <c r="AW141" s="33">
        <v>1006</v>
      </c>
      <c r="AX141" s="33">
        <v>1031</v>
      </c>
      <c r="AY141" s="33">
        <v>1028</v>
      </c>
      <c r="AZ141" s="33">
        <v>1080</v>
      </c>
      <c r="BA141" s="33">
        <v>1206</v>
      </c>
      <c r="BB141" s="33">
        <v>1201</v>
      </c>
      <c r="BC141" s="33">
        <v>1080</v>
      </c>
      <c r="BD141" s="33">
        <v>1071</v>
      </c>
      <c r="BE141" s="33">
        <v>1143</v>
      </c>
      <c r="BF141" s="33">
        <v>1340</v>
      </c>
      <c r="BG141" s="33">
        <v>1328</v>
      </c>
      <c r="BH141" s="33">
        <v>1300</v>
      </c>
      <c r="BI141" s="33">
        <v>1510</v>
      </c>
      <c r="BJ141" s="33">
        <v>1405</v>
      </c>
      <c r="BK141" s="33">
        <v>1374</v>
      </c>
      <c r="BL141" s="33">
        <v>1140</v>
      </c>
    </row>
    <row r="142" spans="1:64" ht="15.95" customHeight="1">
      <c r="A142" s="68" t="s">
        <v>487</v>
      </c>
      <c r="B142" s="44" t="str">
        <f>銘柄管理!C142</f>
        <v>第一三共</v>
      </c>
      <c r="C142" s="48">
        <f>_xll.RssMarket("4568","安値")</f>
        <v>2545</v>
      </c>
      <c r="D142" s="16"/>
      <c r="E142" s="33">
        <v>2545</v>
      </c>
      <c r="F142" s="33">
        <v>2489.5</v>
      </c>
      <c r="G142" s="33">
        <v>2534.5</v>
      </c>
      <c r="H142" s="33">
        <v>2487.5</v>
      </c>
      <c r="I142" s="33">
        <v>2472</v>
      </c>
      <c r="J142" s="33">
        <v>2436</v>
      </c>
      <c r="K142" s="33">
        <v>2488</v>
      </c>
      <c r="L142" s="33">
        <v>2390</v>
      </c>
      <c r="M142" s="33">
        <v>2392</v>
      </c>
      <c r="N142" s="33">
        <v>2488</v>
      </c>
      <c r="O142" s="33">
        <v>2548</v>
      </c>
      <c r="P142" s="33">
        <v>2700.5</v>
      </c>
      <c r="Q142" s="33">
        <v>2655</v>
      </c>
      <c r="R142" s="33">
        <v>2668</v>
      </c>
      <c r="S142" s="33">
        <v>2680</v>
      </c>
      <c r="T142" s="33">
        <v>2617.5</v>
      </c>
      <c r="U142" s="33">
        <v>2617</v>
      </c>
      <c r="V142" s="33">
        <v>2558</v>
      </c>
      <c r="W142" s="33">
        <v>2573</v>
      </c>
      <c r="X142" s="33">
        <v>2586</v>
      </c>
      <c r="Y142" s="33">
        <v>2531.5</v>
      </c>
      <c r="Z142" s="33">
        <v>2560.5</v>
      </c>
      <c r="AA142" s="33">
        <v>2673.5</v>
      </c>
      <c r="AB142" s="33">
        <v>2655.5</v>
      </c>
      <c r="AC142" s="33">
        <v>2560</v>
      </c>
      <c r="AD142" s="33">
        <v>2552</v>
      </c>
      <c r="AE142" s="33">
        <v>2443</v>
      </c>
      <c r="AF142" s="33">
        <v>2567.5</v>
      </c>
      <c r="AG142" s="33">
        <v>2559</v>
      </c>
      <c r="AH142" s="33">
        <v>2545.5</v>
      </c>
      <c r="AI142" s="33">
        <v>2463</v>
      </c>
      <c r="AJ142" s="33">
        <v>2488</v>
      </c>
      <c r="AK142" s="33">
        <v>2775</v>
      </c>
      <c r="AL142" s="33">
        <v>2817</v>
      </c>
      <c r="AM142" s="33">
        <v>2906.5</v>
      </c>
      <c r="AN142" s="33">
        <v>2920</v>
      </c>
      <c r="AO142" s="33">
        <v>2865.5</v>
      </c>
      <c r="AP142" s="33">
        <v>2837.5</v>
      </c>
      <c r="AQ142" s="33">
        <v>2739</v>
      </c>
      <c r="AR142" s="33">
        <v>2704.5</v>
      </c>
      <c r="AS142" s="33">
        <v>2727</v>
      </c>
      <c r="AT142" s="33">
        <v>2753.5</v>
      </c>
      <c r="AU142" s="33">
        <v>2785</v>
      </c>
      <c r="AV142" s="33">
        <v>2832.5</v>
      </c>
      <c r="AW142" s="33">
        <v>2861.5</v>
      </c>
      <c r="AX142" s="33">
        <v>2858</v>
      </c>
      <c r="AY142" s="33">
        <v>2863.5</v>
      </c>
      <c r="AZ142" s="33">
        <v>2878.5</v>
      </c>
      <c r="BA142" s="33">
        <v>2796.5</v>
      </c>
      <c r="BB142" s="33">
        <v>2766</v>
      </c>
      <c r="BC142" s="33">
        <v>2739</v>
      </c>
      <c r="BD142" s="33">
        <v>2876</v>
      </c>
      <c r="BE142" s="33">
        <v>2820.5</v>
      </c>
      <c r="BF142" s="33">
        <v>2973</v>
      </c>
      <c r="BG142" s="33">
        <v>2972</v>
      </c>
      <c r="BH142" s="33">
        <v>2900.5</v>
      </c>
      <c r="BI142" s="33">
        <v>2903</v>
      </c>
      <c r="BJ142" s="33">
        <v>2883</v>
      </c>
      <c r="BK142" s="33">
        <v>2836</v>
      </c>
      <c r="BL142" s="33">
        <v>2769</v>
      </c>
    </row>
    <row r="143" spans="1:64" ht="15.95" customHeight="1">
      <c r="A143" s="68" t="s">
        <v>399</v>
      </c>
      <c r="B143" s="44" t="s">
        <v>203</v>
      </c>
      <c r="C143" s="48">
        <f>_xll.RssMarket("6522","安値")</f>
        <v>716</v>
      </c>
      <c r="D143" s="16">
        <f t="shared" si="2"/>
        <v>0</v>
      </c>
      <c r="E143" s="33">
        <v>716</v>
      </c>
      <c r="F143" s="33">
        <v>705</v>
      </c>
      <c r="G143" s="33">
        <v>693</v>
      </c>
      <c r="H143" s="33">
        <v>683</v>
      </c>
      <c r="I143" s="33">
        <v>724</v>
      </c>
      <c r="J143" s="33">
        <v>726</v>
      </c>
      <c r="K143" s="33">
        <v>720</v>
      </c>
      <c r="L143" s="33">
        <v>751</v>
      </c>
      <c r="M143" s="33">
        <v>765</v>
      </c>
      <c r="N143" s="33">
        <v>776</v>
      </c>
      <c r="O143" s="33">
        <v>795</v>
      </c>
      <c r="P143" s="33">
        <v>789</v>
      </c>
      <c r="Q143" s="33">
        <v>771</v>
      </c>
      <c r="R143" s="33">
        <v>804</v>
      </c>
      <c r="S143" s="33">
        <v>934</v>
      </c>
      <c r="T143" s="33">
        <v>920</v>
      </c>
      <c r="U143" s="33">
        <v>910</v>
      </c>
      <c r="V143" s="33">
        <v>940</v>
      </c>
      <c r="W143" s="33">
        <v>987</v>
      </c>
      <c r="X143" s="33">
        <v>965</v>
      </c>
      <c r="Y143" s="33">
        <v>1000</v>
      </c>
      <c r="Z143" s="33">
        <v>1003</v>
      </c>
      <c r="AA143" s="33">
        <v>1013</v>
      </c>
      <c r="AB143" s="33">
        <v>1056</v>
      </c>
      <c r="AC143" s="33">
        <v>1156</v>
      </c>
      <c r="AD143" s="33">
        <v>1187</v>
      </c>
      <c r="AE143" s="33">
        <v>1129</v>
      </c>
      <c r="AF143" s="33">
        <v>1109</v>
      </c>
      <c r="AG143" s="33">
        <v>1121</v>
      </c>
      <c r="AH143" s="33">
        <v>1156</v>
      </c>
      <c r="AI143" s="33">
        <v>1151</v>
      </c>
      <c r="AJ143" s="33">
        <v>1157</v>
      </c>
      <c r="AK143" s="33">
        <v>1210</v>
      </c>
      <c r="AL143" s="33">
        <v>1320</v>
      </c>
      <c r="AM143" s="33">
        <v>1026</v>
      </c>
      <c r="AN143" s="33">
        <v>1011</v>
      </c>
      <c r="AO143" s="33">
        <v>1023</v>
      </c>
      <c r="AP143" s="33">
        <v>941</v>
      </c>
      <c r="AQ143" s="33">
        <v>893</v>
      </c>
      <c r="AR143" s="33">
        <v>996</v>
      </c>
      <c r="AS143" s="33">
        <v>971</v>
      </c>
      <c r="AT143" s="33">
        <v>975</v>
      </c>
      <c r="AU143" s="33">
        <v>956</v>
      </c>
      <c r="AV143" s="33">
        <v>1068</v>
      </c>
      <c r="AW143" s="33">
        <v>1022</v>
      </c>
      <c r="AX143" s="33">
        <v>1038</v>
      </c>
      <c r="AY143" s="33">
        <v>1114</v>
      </c>
      <c r="AZ143" s="33">
        <v>1018</v>
      </c>
      <c r="BA143" s="33">
        <v>1015</v>
      </c>
      <c r="BB143" s="33">
        <v>1163</v>
      </c>
      <c r="BC143" s="33">
        <v>1389</v>
      </c>
      <c r="BD143" s="33">
        <v>1380</v>
      </c>
      <c r="BE143" s="33">
        <v>1316</v>
      </c>
      <c r="BF143" s="33">
        <v>982</v>
      </c>
      <c r="BG143" s="33">
        <v>990</v>
      </c>
      <c r="BH143" s="33">
        <v>1004</v>
      </c>
      <c r="BI143" s="33">
        <v>660</v>
      </c>
      <c r="BJ143" s="33">
        <v>557</v>
      </c>
      <c r="BK143" s="33">
        <v>477</v>
      </c>
      <c r="BL143" s="33">
        <v>393</v>
      </c>
    </row>
    <row r="144" spans="1:64" ht="15.95" customHeight="1">
      <c r="A144" s="68" t="s">
        <v>400</v>
      </c>
      <c r="B144" s="44" t="s">
        <v>204</v>
      </c>
      <c r="C144" s="48">
        <f>_xll.RssMarket("6777","安値")</f>
        <v>25600</v>
      </c>
      <c r="D144" s="16">
        <f t="shared" si="2"/>
        <v>0</v>
      </c>
      <c r="E144" s="33">
        <v>25600</v>
      </c>
      <c r="F144" s="33">
        <v>25690</v>
      </c>
      <c r="G144" s="33">
        <v>24520</v>
      </c>
      <c r="H144" s="33">
        <v>22850</v>
      </c>
      <c r="I144" s="33">
        <v>22070</v>
      </c>
      <c r="J144" s="33">
        <v>23320</v>
      </c>
      <c r="K144" s="33">
        <v>21710</v>
      </c>
      <c r="L144" s="33">
        <v>24600</v>
      </c>
      <c r="M144" s="33">
        <v>25300</v>
      </c>
      <c r="N144" s="33">
        <v>26120</v>
      </c>
      <c r="O144" s="33">
        <v>23910</v>
      </c>
      <c r="P144" s="33">
        <v>24120</v>
      </c>
      <c r="Q144" s="33">
        <v>23900</v>
      </c>
      <c r="R144" s="33">
        <v>24270</v>
      </c>
      <c r="S144" s="33">
        <v>28250</v>
      </c>
      <c r="T144" s="33">
        <v>26990</v>
      </c>
      <c r="U144" s="33">
        <v>25720</v>
      </c>
      <c r="V144" s="33">
        <v>26450</v>
      </c>
      <c r="W144" s="33">
        <v>27620</v>
      </c>
      <c r="X144" s="33">
        <v>31250</v>
      </c>
      <c r="Y144" s="33">
        <v>28940</v>
      </c>
      <c r="Z144" s="33">
        <v>31950</v>
      </c>
      <c r="AA144" s="33">
        <v>29700</v>
      </c>
      <c r="AB144" s="33">
        <v>29000</v>
      </c>
      <c r="AC144" s="33">
        <v>27050</v>
      </c>
      <c r="AD144" s="33">
        <v>26450</v>
      </c>
      <c r="AE144" s="33">
        <v>27550</v>
      </c>
      <c r="AF144" s="33">
        <v>27140</v>
      </c>
      <c r="AG144" s="33">
        <v>27830</v>
      </c>
      <c r="AH144" s="33">
        <v>27860</v>
      </c>
      <c r="AI144" s="33">
        <v>27110</v>
      </c>
      <c r="AJ144" s="33">
        <v>27850</v>
      </c>
      <c r="AK144" s="33">
        <v>29430</v>
      </c>
      <c r="AL144" s="33">
        <v>28600</v>
      </c>
      <c r="AM144" s="33">
        <v>28540</v>
      </c>
      <c r="AN144" s="33">
        <v>26250</v>
      </c>
      <c r="AO144" s="33">
        <v>24120</v>
      </c>
      <c r="AP144" s="33">
        <v>23600</v>
      </c>
      <c r="AQ144" s="33">
        <v>24350</v>
      </c>
      <c r="AR144" s="33">
        <v>24230</v>
      </c>
      <c r="AS144" s="33">
        <v>21410</v>
      </c>
      <c r="AT144" s="33">
        <v>20650</v>
      </c>
      <c r="AU144" s="33">
        <v>20610</v>
      </c>
      <c r="AV144" s="33">
        <v>20660</v>
      </c>
      <c r="AW144" s="33">
        <v>19090</v>
      </c>
      <c r="AX144" s="33">
        <v>19160</v>
      </c>
      <c r="AY144" s="33">
        <v>18590</v>
      </c>
      <c r="AZ144" s="33">
        <v>17230</v>
      </c>
      <c r="BA144" s="33">
        <v>17020</v>
      </c>
      <c r="BB144" s="33">
        <v>16030</v>
      </c>
      <c r="BC144" s="33">
        <v>16880</v>
      </c>
      <c r="BD144" s="33">
        <v>17960</v>
      </c>
      <c r="BE144" s="33">
        <v>18900</v>
      </c>
      <c r="BF144" s="33">
        <v>19170</v>
      </c>
      <c r="BG144" s="33">
        <v>17990</v>
      </c>
      <c r="BH144" s="33">
        <v>18210</v>
      </c>
      <c r="BI144" s="33">
        <v>19870</v>
      </c>
      <c r="BJ144" s="33">
        <v>19670</v>
      </c>
      <c r="BK144" s="33">
        <v>20470</v>
      </c>
      <c r="BL144" s="33">
        <v>22440</v>
      </c>
    </row>
    <row r="145" spans="1:64" ht="15.95" customHeight="1">
      <c r="A145" s="68" t="s">
        <v>401</v>
      </c>
      <c r="B145" s="44" t="s">
        <v>205</v>
      </c>
      <c r="C145" s="48">
        <f>_xll.RssMarket("6787","安値")</f>
        <v>33600</v>
      </c>
      <c r="D145" s="16">
        <f t="shared" si="2"/>
        <v>0</v>
      </c>
      <c r="E145" s="33">
        <v>33600</v>
      </c>
      <c r="F145" s="33">
        <v>30150</v>
      </c>
      <c r="G145" s="33">
        <v>30400</v>
      </c>
      <c r="H145" s="33">
        <v>29860</v>
      </c>
      <c r="I145" s="33">
        <v>29160</v>
      </c>
      <c r="J145" s="33">
        <v>30600</v>
      </c>
      <c r="K145" s="33">
        <v>32500</v>
      </c>
      <c r="L145" s="33">
        <v>34150</v>
      </c>
      <c r="M145" s="33">
        <v>35400</v>
      </c>
      <c r="N145" s="33">
        <v>37100</v>
      </c>
      <c r="O145" s="33">
        <v>36400</v>
      </c>
      <c r="P145" s="33">
        <v>37100</v>
      </c>
      <c r="Q145" s="33">
        <v>36450</v>
      </c>
      <c r="R145" s="33">
        <v>37150</v>
      </c>
      <c r="S145" s="33">
        <v>41500</v>
      </c>
      <c r="T145" s="33">
        <v>40300</v>
      </c>
      <c r="U145" s="33">
        <v>36500</v>
      </c>
      <c r="V145" s="33">
        <v>34300</v>
      </c>
      <c r="W145" s="33">
        <v>36400</v>
      </c>
      <c r="X145" s="33">
        <v>35300</v>
      </c>
      <c r="Y145" s="33">
        <v>38650</v>
      </c>
      <c r="Z145" s="33">
        <v>29220</v>
      </c>
      <c r="AA145" s="33">
        <v>30650</v>
      </c>
      <c r="AB145" s="33">
        <v>31500</v>
      </c>
      <c r="AC145" s="33">
        <v>30550</v>
      </c>
      <c r="AD145" s="33">
        <v>30950</v>
      </c>
      <c r="AE145" s="33">
        <v>29520</v>
      </c>
      <c r="AF145" s="33">
        <v>30600</v>
      </c>
      <c r="AG145" s="33">
        <v>30150</v>
      </c>
      <c r="AH145" s="33">
        <v>29560</v>
      </c>
      <c r="AI145" s="33">
        <v>28770</v>
      </c>
      <c r="AJ145" s="33">
        <v>27720</v>
      </c>
      <c r="AK145" s="33">
        <v>28070</v>
      </c>
      <c r="AL145" s="33">
        <v>27300</v>
      </c>
      <c r="AM145" s="33">
        <v>27010</v>
      </c>
      <c r="AN145" s="33">
        <v>28480</v>
      </c>
      <c r="AO145" s="33">
        <v>27910</v>
      </c>
      <c r="AP145" s="33">
        <v>27720</v>
      </c>
      <c r="AQ145" s="33">
        <v>27580</v>
      </c>
      <c r="AR145" s="33">
        <v>25300</v>
      </c>
      <c r="AS145" s="33">
        <v>26410</v>
      </c>
      <c r="AT145" s="33">
        <v>25790</v>
      </c>
      <c r="AU145" s="33">
        <v>25380</v>
      </c>
      <c r="AV145" s="33">
        <v>24000</v>
      </c>
      <c r="AW145" s="33">
        <v>25670</v>
      </c>
      <c r="AX145" s="33">
        <v>26050</v>
      </c>
      <c r="AY145" s="33">
        <v>26640</v>
      </c>
      <c r="AZ145" s="33">
        <v>26400</v>
      </c>
      <c r="BA145" s="33">
        <v>24010</v>
      </c>
      <c r="BB145" s="33">
        <v>26080</v>
      </c>
      <c r="BC145" s="33">
        <v>26890</v>
      </c>
      <c r="BD145" s="33">
        <v>28320</v>
      </c>
      <c r="BE145" s="33">
        <v>26410</v>
      </c>
      <c r="BF145" s="33">
        <v>25430</v>
      </c>
      <c r="BG145" s="33">
        <v>24470</v>
      </c>
      <c r="BH145" s="33">
        <v>25100</v>
      </c>
      <c r="BI145" s="33">
        <v>25410</v>
      </c>
      <c r="BJ145" s="33">
        <v>24750</v>
      </c>
      <c r="BK145" s="33">
        <v>23420</v>
      </c>
      <c r="BL145" s="33">
        <v>22690</v>
      </c>
    </row>
    <row r="146" spans="1:64" ht="15.95" customHeight="1">
      <c r="A146" s="68" t="s">
        <v>402</v>
      </c>
      <c r="B146" s="44" t="s">
        <v>206</v>
      </c>
      <c r="C146" s="48">
        <f>_xll.RssMarket("4888","安値")</f>
        <v>333</v>
      </c>
      <c r="D146" s="16">
        <f t="shared" si="2"/>
        <v>0</v>
      </c>
      <c r="E146" s="33">
        <v>333</v>
      </c>
      <c r="F146" s="33">
        <v>322</v>
      </c>
      <c r="G146" s="33">
        <v>325</v>
      </c>
      <c r="H146" s="33">
        <v>321</v>
      </c>
      <c r="I146" s="33">
        <v>299</v>
      </c>
      <c r="J146" s="33">
        <v>303</v>
      </c>
      <c r="K146" s="33">
        <v>288</v>
      </c>
      <c r="L146" s="33">
        <v>340</v>
      </c>
      <c r="M146" s="33">
        <v>341</v>
      </c>
      <c r="N146" s="33">
        <v>330</v>
      </c>
      <c r="O146" s="33">
        <v>328</v>
      </c>
      <c r="P146" s="33">
        <v>352</v>
      </c>
      <c r="Q146" s="33">
        <v>378</v>
      </c>
      <c r="R146" s="33">
        <v>363</v>
      </c>
      <c r="S146" s="33">
        <v>429</v>
      </c>
      <c r="T146" s="33">
        <v>438</v>
      </c>
      <c r="U146" s="33">
        <v>419</v>
      </c>
      <c r="V146" s="33">
        <v>403</v>
      </c>
      <c r="W146" s="33">
        <v>425</v>
      </c>
      <c r="X146" s="33">
        <v>408</v>
      </c>
      <c r="Y146" s="33">
        <v>405</v>
      </c>
      <c r="Z146" s="33">
        <v>399</v>
      </c>
      <c r="AA146" s="33">
        <v>461</v>
      </c>
      <c r="AB146" s="33">
        <v>469</v>
      </c>
      <c r="AC146" s="33">
        <v>466</v>
      </c>
      <c r="AD146" s="33">
        <v>518</v>
      </c>
      <c r="AE146" s="33">
        <v>513</v>
      </c>
      <c r="AF146" s="33">
        <v>520</v>
      </c>
      <c r="AG146" s="33">
        <v>500</v>
      </c>
      <c r="AH146" s="33">
        <v>510</v>
      </c>
      <c r="AI146" s="33">
        <v>525</v>
      </c>
      <c r="AJ146" s="33">
        <v>531</v>
      </c>
      <c r="AK146" s="33">
        <v>519</v>
      </c>
      <c r="AL146" s="33">
        <v>558</v>
      </c>
      <c r="AM146" s="33">
        <v>620</v>
      </c>
      <c r="AN146" s="33">
        <v>709</v>
      </c>
      <c r="AO146" s="33">
        <v>709</v>
      </c>
      <c r="AP146" s="33">
        <v>670</v>
      </c>
      <c r="AQ146" s="33">
        <v>650</v>
      </c>
      <c r="AR146" s="33">
        <v>702</v>
      </c>
      <c r="AS146" s="33">
        <v>686</v>
      </c>
      <c r="AT146" s="33">
        <v>707</v>
      </c>
      <c r="AU146" s="33">
        <v>660</v>
      </c>
      <c r="AV146" s="33">
        <v>645</v>
      </c>
      <c r="AW146" s="33">
        <v>581</v>
      </c>
      <c r="AX146" s="33">
        <v>534</v>
      </c>
      <c r="AY146" s="33">
        <v>578</v>
      </c>
      <c r="AZ146" s="33">
        <v>656</v>
      </c>
      <c r="BA146" s="33">
        <v>682</v>
      </c>
      <c r="BB146" s="33">
        <v>738</v>
      </c>
      <c r="BC146" s="33">
        <v>732</v>
      </c>
      <c r="BD146" s="33">
        <v>725</v>
      </c>
      <c r="BE146" s="33">
        <v>716</v>
      </c>
      <c r="BF146" s="33">
        <v>786</v>
      </c>
      <c r="BG146" s="33">
        <v>704</v>
      </c>
      <c r="BH146" s="33">
        <v>591</v>
      </c>
      <c r="BI146" s="33">
        <v>545</v>
      </c>
      <c r="BJ146" s="33">
        <v>455</v>
      </c>
      <c r="BK146" s="33">
        <v>410</v>
      </c>
      <c r="BL146" s="33">
        <v>404</v>
      </c>
    </row>
    <row r="147" spans="1:64" ht="15.95" customHeight="1">
      <c r="A147" s="68" t="s">
        <v>403</v>
      </c>
      <c r="B147" s="44" t="s">
        <v>207</v>
      </c>
      <c r="C147" s="48">
        <f>_xll.RssMarket("6387","安値")</f>
        <v>14700</v>
      </c>
      <c r="D147" s="16">
        <f t="shared" si="2"/>
        <v>0</v>
      </c>
      <c r="E147" s="33">
        <v>14700</v>
      </c>
      <c r="F147" s="33">
        <v>15120</v>
      </c>
      <c r="G147" s="33">
        <v>13670</v>
      </c>
      <c r="H147" s="33">
        <v>11760</v>
      </c>
      <c r="I147" s="33">
        <v>10840</v>
      </c>
      <c r="J147" s="33">
        <v>11620</v>
      </c>
      <c r="K147" s="33">
        <v>11060</v>
      </c>
      <c r="L147" s="33">
        <v>11820</v>
      </c>
      <c r="M147" s="33">
        <v>12110</v>
      </c>
      <c r="N147" s="33">
        <v>12220</v>
      </c>
      <c r="O147" s="33">
        <v>10510</v>
      </c>
      <c r="P147" s="33">
        <v>10080</v>
      </c>
      <c r="Q147" s="33">
        <v>9900</v>
      </c>
      <c r="R147" s="33">
        <v>10390</v>
      </c>
      <c r="S147" s="33">
        <v>11580</v>
      </c>
      <c r="T147" s="33">
        <v>10910</v>
      </c>
      <c r="U147" s="33">
        <v>10500</v>
      </c>
      <c r="V147" s="33">
        <v>10520</v>
      </c>
      <c r="W147" s="33">
        <v>10910</v>
      </c>
      <c r="X147" s="33">
        <v>11870</v>
      </c>
      <c r="Y147" s="33">
        <v>11890</v>
      </c>
      <c r="Z147" s="33">
        <v>13130</v>
      </c>
      <c r="AA147" s="33">
        <v>12340</v>
      </c>
      <c r="AB147" s="33">
        <v>12210</v>
      </c>
      <c r="AC147" s="33">
        <v>12800</v>
      </c>
      <c r="AD147" s="33">
        <v>12880</v>
      </c>
      <c r="AE147" s="33">
        <v>12520</v>
      </c>
      <c r="AF147" s="33">
        <v>11240</v>
      </c>
      <c r="AG147" s="33">
        <v>11120</v>
      </c>
      <c r="AH147" s="33">
        <v>10840</v>
      </c>
      <c r="AI147" s="33">
        <v>10620</v>
      </c>
      <c r="AJ147" s="33">
        <v>10550</v>
      </c>
      <c r="AK147" s="33">
        <v>10380</v>
      </c>
      <c r="AL147" s="33">
        <v>9350</v>
      </c>
      <c r="AM147" s="33">
        <v>9400</v>
      </c>
      <c r="AN147" s="33">
        <v>9400</v>
      </c>
      <c r="AO147" s="33">
        <v>9600</v>
      </c>
      <c r="AP147" s="33">
        <v>9760</v>
      </c>
      <c r="AQ147" s="33">
        <v>9600</v>
      </c>
      <c r="AR147" s="33">
        <v>10180</v>
      </c>
      <c r="AS147" s="33">
        <v>9090</v>
      </c>
      <c r="AT147" s="33">
        <v>8980</v>
      </c>
      <c r="AU147" s="33">
        <v>8910</v>
      </c>
      <c r="AV147" s="33">
        <v>8760</v>
      </c>
      <c r="AW147" s="33">
        <v>8260</v>
      </c>
      <c r="AX147" s="33">
        <v>8250</v>
      </c>
      <c r="AY147" s="33">
        <v>8200</v>
      </c>
      <c r="AZ147" s="33">
        <v>8140</v>
      </c>
      <c r="BA147" s="33">
        <v>8560</v>
      </c>
      <c r="BB147" s="33">
        <v>7720</v>
      </c>
      <c r="BC147" s="33">
        <v>7990</v>
      </c>
      <c r="BD147" s="33">
        <v>8230</v>
      </c>
      <c r="BE147" s="33">
        <v>8280</v>
      </c>
      <c r="BF147" s="33">
        <v>8000</v>
      </c>
      <c r="BG147" s="33">
        <v>7590</v>
      </c>
      <c r="BH147" s="33">
        <v>7150</v>
      </c>
      <c r="BI147" s="33">
        <v>7360</v>
      </c>
      <c r="BJ147" s="33">
        <v>7250</v>
      </c>
      <c r="BK147" s="33">
        <v>7040</v>
      </c>
      <c r="BL147" s="33">
        <v>7380</v>
      </c>
    </row>
    <row r="148" spans="1:64" ht="15.95" customHeight="1">
      <c r="A148" s="68" t="s">
        <v>404</v>
      </c>
      <c r="B148" s="44" t="s">
        <v>208</v>
      </c>
      <c r="C148" s="48">
        <f>_xll.RssMarket("6838","安値")</f>
        <v>2122</v>
      </c>
      <c r="D148" s="16">
        <f t="shared" si="2"/>
        <v>0</v>
      </c>
      <c r="E148" s="33">
        <v>2122</v>
      </c>
      <c r="F148" s="33">
        <v>2280</v>
      </c>
      <c r="G148" s="33">
        <v>1788</v>
      </c>
      <c r="H148" s="33">
        <v>1720</v>
      </c>
      <c r="I148" s="33">
        <v>1655</v>
      </c>
      <c r="J148" s="33">
        <v>1800</v>
      </c>
      <c r="K148" s="33">
        <v>2086</v>
      </c>
      <c r="L148" s="33">
        <v>2320</v>
      </c>
      <c r="M148" s="33">
        <v>2220</v>
      </c>
      <c r="N148" s="33">
        <v>2235</v>
      </c>
      <c r="O148" s="33">
        <v>2144</v>
      </c>
      <c r="P148" s="33">
        <v>2062</v>
      </c>
      <c r="Q148" s="33">
        <v>2080</v>
      </c>
      <c r="R148" s="33">
        <v>2201</v>
      </c>
      <c r="S148" s="33">
        <v>2029</v>
      </c>
      <c r="T148" s="33">
        <v>1950</v>
      </c>
      <c r="U148" s="33">
        <v>1788</v>
      </c>
      <c r="V148" s="33">
        <v>1870</v>
      </c>
      <c r="W148" s="33">
        <v>1932</v>
      </c>
      <c r="X148" s="33">
        <v>1984</v>
      </c>
      <c r="Y148" s="33">
        <v>1930</v>
      </c>
      <c r="Z148" s="33">
        <v>1873</v>
      </c>
      <c r="AA148" s="33">
        <v>1911</v>
      </c>
      <c r="AB148" s="33">
        <v>1954</v>
      </c>
      <c r="AC148" s="33">
        <v>1941</v>
      </c>
      <c r="AD148" s="33">
        <v>1714</v>
      </c>
      <c r="AE148" s="33">
        <v>1663</v>
      </c>
      <c r="AF148" s="33">
        <v>1623</v>
      </c>
      <c r="AG148" s="33">
        <v>1583</v>
      </c>
      <c r="AH148" s="33">
        <v>1581</v>
      </c>
      <c r="AI148" s="33">
        <v>1571</v>
      </c>
      <c r="AJ148" s="33">
        <v>1700</v>
      </c>
      <c r="AK148" s="33">
        <v>1757</v>
      </c>
      <c r="AL148" s="33">
        <v>1722</v>
      </c>
      <c r="AM148" s="33">
        <v>1704</v>
      </c>
      <c r="AN148" s="33">
        <v>1615</v>
      </c>
      <c r="AO148" s="33">
        <v>1391</v>
      </c>
      <c r="AP148" s="33">
        <v>1268</v>
      </c>
      <c r="AQ148" s="33">
        <v>1257</v>
      </c>
      <c r="AR148" s="33">
        <v>1278</v>
      </c>
      <c r="AS148" s="33">
        <v>1265</v>
      </c>
      <c r="AT148" s="33">
        <v>1262</v>
      </c>
      <c r="AU148" s="33">
        <v>1310</v>
      </c>
      <c r="AV148" s="33">
        <v>1361</v>
      </c>
      <c r="AW148" s="33">
        <v>1317</v>
      </c>
      <c r="AX148" s="33">
        <v>1346</v>
      </c>
      <c r="AY148" s="33">
        <v>1237</v>
      </c>
      <c r="AZ148" s="33">
        <v>1193</v>
      </c>
      <c r="BA148" s="33">
        <v>1174</v>
      </c>
      <c r="BB148" s="33">
        <v>1172</v>
      </c>
      <c r="BC148" s="33">
        <v>1191</v>
      </c>
      <c r="BD148" s="33">
        <v>1271</v>
      </c>
      <c r="BE148" s="33">
        <v>1307</v>
      </c>
      <c r="BF148" s="33">
        <v>1305</v>
      </c>
      <c r="BG148" s="33">
        <v>1262</v>
      </c>
      <c r="BH148" s="33">
        <v>1323</v>
      </c>
      <c r="BI148" s="33">
        <v>1481</v>
      </c>
      <c r="BJ148" s="33">
        <v>1478</v>
      </c>
      <c r="BK148" s="33">
        <v>1369</v>
      </c>
      <c r="BL148" s="33">
        <v>1017</v>
      </c>
    </row>
    <row r="149" spans="1:64" ht="15.95" customHeight="1">
      <c r="A149" s="68" t="s">
        <v>405</v>
      </c>
      <c r="B149" s="44" t="s">
        <v>209</v>
      </c>
      <c r="C149" s="48">
        <f>_xll.RssMarket("7375","安値")</f>
        <v>1312</v>
      </c>
      <c r="D149" s="16">
        <f t="shared" si="2"/>
        <v>0</v>
      </c>
      <c r="E149" s="33">
        <v>1312</v>
      </c>
      <c r="F149" s="33">
        <v>1261</v>
      </c>
      <c r="G149" s="33">
        <v>1220</v>
      </c>
      <c r="H149" s="33">
        <v>1268</v>
      </c>
      <c r="I149" s="33">
        <v>1306</v>
      </c>
      <c r="J149" s="33">
        <v>1307</v>
      </c>
      <c r="K149" s="33">
        <v>1365</v>
      </c>
      <c r="L149" s="33">
        <v>1360</v>
      </c>
      <c r="M149" s="33">
        <v>1394</v>
      </c>
      <c r="N149" s="33">
        <v>1340</v>
      </c>
      <c r="O149" s="33">
        <v>1406</v>
      </c>
      <c r="P149" s="33">
        <v>1453</v>
      </c>
      <c r="Q149" s="33">
        <v>1562</v>
      </c>
      <c r="R149" s="33">
        <v>1582</v>
      </c>
      <c r="S149" s="33">
        <v>1839</v>
      </c>
      <c r="T149" s="33">
        <v>1716</v>
      </c>
      <c r="U149" s="33">
        <v>1705</v>
      </c>
      <c r="V149" s="33">
        <v>1820</v>
      </c>
      <c r="W149" s="33">
        <v>1880</v>
      </c>
      <c r="X149" s="33">
        <v>1801</v>
      </c>
      <c r="Y149" s="33">
        <v>1497</v>
      </c>
      <c r="Z149" s="33">
        <v>1526</v>
      </c>
      <c r="AA149" s="33">
        <v>1594</v>
      </c>
      <c r="AB149" s="33">
        <v>1621</v>
      </c>
      <c r="AC149" s="33">
        <v>1650</v>
      </c>
      <c r="AD149" s="33">
        <v>1704</v>
      </c>
      <c r="AE149" s="33">
        <v>1650</v>
      </c>
      <c r="AF149" s="33">
        <v>1852</v>
      </c>
      <c r="AG149" s="33">
        <v>2111</v>
      </c>
      <c r="AH149" s="33">
        <v>1982</v>
      </c>
      <c r="AI149" s="33">
        <v>1907</v>
      </c>
      <c r="AJ149" s="33">
        <v>2024</v>
      </c>
      <c r="AK149" s="33">
        <v>2024</v>
      </c>
      <c r="AL149" s="33">
        <v>2215</v>
      </c>
      <c r="AM149" s="33">
        <v>2172</v>
      </c>
      <c r="AN149" s="33">
        <v>1862</v>
      </c>
      <c r="AO149" s="33">
        <v>1970</v>
      </c>
      <c r="AP149" s="33">
        <v>1935</v>
      </c>
      <c r="AQ149" s="33">
        <v>1961</v>
      </c>
      <c r="AR149" s="33">
        <v>1566</v>
      </c>
      <c r="AS149" s="33">
        <v>1433</v>
      </c>
      <c r="AT149" s="33">
        <v>1330</v>
      </c>
      <c r="AU149" s="33">
        <v>1410</v>
      </c>
      <c r="AV149" s="33">
        <v>1533</v>
      </c>
      <c r="AW149" s="33">
        <v>1878</v>
      </c>
      <c r="AX149" s="33">
        <v>1609</v>
      </c>
      <c r="AY149" s="33">
        <v>1498</v>
      </c>
      <c r="AZ149" s="33">
        <v>1231</v>
      </c>
      <c r="BA149" s="33">
        <v>1091</v>
      </c>
      <c r="BB149" s="33">
        <v>1160</v>
      </c>
      <c r="BC149" s="33">
        <v>1252</v>
      </c>
      <c r="BD149" s="33">
        <v>1212</v>
      </c>
      <c r="BE149" s="33">
        <v>1089</v>
      </c>
      <c r="BF149" s="33">
        <v>1031</v>
      </c>
      <c r="BG149" s="33">
        <v>1016</v>
      </c>
      <c r="BH149" s="33">
        <v>1093</v>
      </c>
      <c r="BI149" s="33">
        <v>1027</v>
      </c>
      <c r="BJ149" s="33">
        <v>987</v>
      </c>
      <c r="BK149" s="33">
        <v>1008</v>
      </c>
      <c r="BL149" s="33">
        <v>1004</v>
      </c>
    </row>
    <row r="150" spans="1:64" ht="15.95" customHeight="1">
      <c r="A150" s="68" t="s">
        <v>406</v>
      </c>
      <c r="B150" s="44" t="s">
        <v>210</v>
      </c>
      <c r="C150" s="48">
        <f>_xll.RssMarket("4307","安値")</f>
        <v>4475</v>
      </c>
      <c r="D150" s="16">
        <f t="shared" si="2"/>
        <v>0</v>
      </c>
      <c r="E150" s="33">
        <v>4475</v>
      </c>
      <c r="F150" s="33">
        <v>4401</v>
      </c>
      <c r="G150" s="33">
        <v>4550</v>
      </c>
      <c r="H150" s="33">
        <v>4464</v>
      </c>
      <c r="I150" s="33">
        <v>4562</v>
      </c>
      <c r="J150" s="33">
        <v>4605</v>
      </c>
      <c r="K150" s="33">
        <v>4692</v>
      </c>
      <c r="L150" s="33">
        <v>4780</v>
      </c>
      <c r="M150" s="33">
        <v>4638</v>
      </c>
      <c r="N150" s="33">
        <v>4780</v>
      </c>
      <c r="O150" s="33">
        <v>5009</v>
      </c>
      <c r="P150" s="33">
        <v>4938</v>
      </c>
      <c r="Q150" s="33">
        <v>4700</v>
      </c>
      <c r="R150" s="33">
        <v>4570</v>
      </c>
      <c r="S150" s="33">
        <v>4532</v>
      </c>
      <c r="T150" s="33">
        <v>4571</v>
      </c>
      <c r="U150" s="33">
        <v>4653</v>
      </c>
      <c r="V150" s="33">
        <v>4668</v>
      </c>
      <c r="W150" s="33">
        <v>4640</v>
      </c>
      <c r="X150" s="33">
        <v>4415</v>
      </c>
      <c r="Y150" s="33">
        <v>4201</v>
      </c>
      <c r="Z150" s="33">
        <v>4126</v>
      </c>
      <c r="AA150" s="33">
        <v>4230</v>
      </c>
      <c r="AB150" s="33">
        <v>4148</v>
      </c>
      <c r="AC150" s="33">
        <v>4280</v>
      </c>
      <c r="AD150" s="33">
        <v>4270</v>
      </c>
      <c r="AE150" s="33">
        <v>4113</v>
      </c>
      <c r="AF150" s="33">
        <v>4054</v>
      </c>
      <c r="AG150" s="33">
        <v>4098</v>
      </c>
      <c r="AH150" s="33">
        <v>4286</v>
      </c>
      <c r="AI150" s="33">
        <v>4357</v>
      </c>
      <c r="AJ150" s="33">
        <v>4974</v>
      </c>
      <c r="AK150" s="33">
        <v>4951</v>
      </c>
      <c r="AL150" s="33">
        <v>5050</v>
      </c>
      <c r="AM150" s="33">
        <v>4967</v>
      </c>
      <c r="AN150" s="33">
        <v>4926</v>
      </c>
      <c r="AO150" s="33">
        <v>4885</v>
      </c>
      <c r="AP150" s="33">
        <v>4861</v>
      </c>
      <c r="AQ150" s="33">
        <v>4757</v>
      </c>
      <c r="AR150" s="33">
        <v>4613</v>
      </c>
      <c r="AS150" s="33">
        <v>4374</v>
      </c>
      <c r="AT150" s="33">
        <v>4392</v>
      </c>
      <c r="AU150" s="33">
        <v>4435</v>
      </c>
      <c r="AV150" s="33">
        <v>4489</v>
      </c>
      <c r="AW150" s="33">
        <v>4443</v>
      </c>
      <c r="AX150" s="33">
        <v>4435</v>
      </c>
      <c r="AY150" s="33">
        <v>4414</v>
      </c>
      <c r="AZ150" s="33">
        <v>4400</v>
      </c>
      <c r="BA150" s="33">
        <v>4426</v>
      </c>
      <c r="BB150" s="33">
        <v>4297</v>
      </c>
      <c r="BC150" s="33">
        <v>4076</v>
      </c>
      <c r="BD150" s="33">
        <v>4247</v>
      </c>
      <c r="BE150" s="33">
        <v>4182</v>
      </c>
      <c r="BF150" s="33">
        <v>4125</v>
      </c>
      <c r="BG150" s="33">
        <v>4253</v>
      </c>
      <c r="BH150" s="33">
        <v>4188</v>
      </c>
      <c r="BI150" s="33">
        <v>4274</v>
      </c>
      <c r="BJ150" s="33">
        <v>4277</v>
      </c>
      <c r="BK150" s="33">
        <v>4254</v>
      </c>
      <c r="BL150" s="33">
        <v>4273</v>
      </c>
    </row>
    <row r="151" spans="1:64" ht="15.95" customHeight="1">
      <c r="A151" s="68" t="s">
        <v>407</v>
      </c>
      <c r="B151" s="44" t="s">
        <v>211</v>
      </c>
      <c r="C151" s="48">
        <f>_xll.RssMarket("6516","安値")</f>
        <v>6430</v>
      </c>
      <c r="D151" s="16">
        <f t="shared" si="2"/>
        <v>0</v>
      </c>
      <c r="E151" s="33">
        <v>6430</v>
      </c>
      <c r="F151" s="33">
        <v>6500</v>
      </c>
      <c r="G151" s="33">
        <v>6490</v>
      </c>
      <c r="H151" s="33">
        <v>6220</v>
      </c>
      <c r="I151" s="33">
        <v>6000</v>
      </c>
      <c r="J151" s="33">
        <v>6180</v>
      </c>
      <c r="K151" s="33">
        <v>6230</v>
      </c>
      <c r="L151" s="33">
        <v>6470</v>
      </c>
      <c r="M151" s="33">
        <v>6600</v>
      </c>
      <c r="N151" s="33">
        <v>6430</v>
      </c>
      <c r="O151" s="33">
        <v>6290</v>
      </c>
      <c r="P151" s="33">
        <v>6700</v>
      </c>
      <c r="Q151" s="33">
        <v>6570</v>
      </c>
      <c r="R151" s="33">
        <v>6790</v>
      </c>
      <c r="S151" s="33">
        <v>7020</v>
      </c>
      <c r="T151" s="33">
        <v>7080</v>
      </c>
      <c r="U151" s="33">
        <v>6960</v>
      </c>
      <c r="V151" s="33">
        <v>6740</v>
      </c>
      <c r="W151" s="33">
        <v>6960</v>
      </c>
      <c r="X151" s="33">
        <v>7240</v>
      </c>
      <c r="Y151" s="33">
        <v>7280</v>
      </c>
      <c r="Z151" s="33">
        <v>7460</v>
      </c>
      <c r="AA151" s="33">
        <v>7390</v>
      </c>
      <c r="AB151" s="33">
        <v>7320</v>
      </c>
      <c r="AC151" s="33">
        <v>7380</v>
      </c>
      <c r="AD151" s="33">
        <v>7070</v>
      </c>
      <c r="AE151" s="33">
        <v>7010</v>
      </c>
      <c r="AF151" s="33">
        <v>6650</v>
      </c>
      <c r="AG151" s="33">
        <v>6900</v>
      </c>
      <c r="AH151" s="33">
        <v>6740</v>
      </c>
      <c r="AI151" s="33">
        <v>5630</v>
      </c>
      <c r="AJ151" s="33">
        <v>5190</v>
      </c>
      <c r="AK151" s="33">
        <v>5110</v>
      </c>
      <c r="AL151" s="33">
        <v>5130</v>
      </c>
      <c r="AM151" s="33">
        <v>5210</v>
      </c>
      <c r="AN151" s="33">
        <v>5100</v>
      </c>
      <c r="AO151" s="33">
        <v>5100</v>
      </c>
      <c r="AP151" s="33">
        <v>5170</v>
      </c>
      <c r="AQ151" s="33">
        <v>5160</v>
      </c>
      <c r="AR151" s="33">
        <v>5060</v>
      </c>
      <c r="AS151" s="33">
        <v>4960</v>
      </c>
      <c r="AT151" s="33">
        <v>4940</v>
      </c>
      <c r="AU151" s="33">
        <v>4810</v>
      </c>
      <c r="AV151" s="33">
        <v>4755</v>
      </c>
      <c r="AW151" s="33">
        <v>4560</v>
      </c>
      <c r="AX151" s="33">
        <v>4560</v>
      </c>
      <c r="AY151" s="33">
        <v>4490</v>
      </c>
      <c r="AZ151" s="33">
        <v>4485</v>
      </c>
      <c r="BA151" s="33">
        <v>4475</v>
      </c>
      <c r="BB151" s="33">
        <v>4300</v>
      </c>
      <c r="BC151" s="33">
        <v>4200</v>
      </c>
      <c r="BD151" s="33">
        <v>4430</v>
      </c>
      <c r="BE151" s="33">
        <v>4475</v>
      </c>
      <c r="BF151" s="33">
        <v>4510</v>
      </c>
      <c r="BG151" s="33">
        <v>4340</v>
      </c>
      <c r="BH151" s="33">
        <v>4265</v>
      </c>
      <c r="BI151" s="33">
        <v>4605</v>
      </c>
      <c r="BJ151" s="33">
        <v>4730</v>
      </c>
      <c r="BK151" s="33">
        <v>4675</v>
      </c>
      <c r="BL151" s="33">
        <v>4600</v>
      </c>
    </row>
    <row r="152" spans="1:64" ht="15.95" customHeight="1">
      <c r="A152" s="68" t="s">
        <v>408</v>
      </c>
      <c r="B152" s="44" t="s">
        <v>212</v>
      </c>
      <c r="C152" s="48">
        <f>_xll.RssMarket("7381","安値")</f>
        <v>975</v>
      </c>
      <c r="D152" s="16">
        <f t="shared" si="2"/>
        <v>0</v>
      </c>
      <c r="E152" s="33">
        <v>975</v>
      </c>
      <c r="F152" s="33">
        <v>1003</v>
      </c>
      <c r="G152" s="33">
        <v>983</v>
      </c>
      <c r="H152" s="33">
        <v>956</v>
      </c>
      <c r="I152" s="33">
        <v>976</v>
      </c>
      <c r="J152" s="33">
        <v>969</v>
      </c>
      <c r="K152" s="33">
        <v>1028</v>
      </c>
      <c r="L152" s="33">
        <v>1002</v>
      </c>
      <c r="M152" s="33">
        <v>1011</v>
      </c>
      <c r="N152" s="33">
        <v>967</v>
      </c>
      <c r="O152" s="33">
        <v>1034</v>
      </c>
      <c r="P152" s="33">
        <v>1010</v>
      </c>
      <c r="Q152" s="33">
        <v>1038</v>
      </c>
      <c r="R152" s="33">
        <v>1052</v>
      </c>
      <c r="S152" s="33">
        <v>1047</v>
      </c>
      <c r="T152" s="33">
        <v>1008</v>
      </c>
      <c r="U152" s="33">
        <v>1009</v>
      </c>
      <c r="V152" s="33">
        <v>1024</v>
      </c>
      <c r="W152" s="33">
        <v>1033</v>
      </c>
      <c r="X152" s="33">
        <v>1020</v>
      </c>
      <c r="Y152" s="33">
        <v>1011</v>
      </c>
      <c r="Z152" s="33">
        <v>1003</v>
      </c>
      <c r="AA152" s="33">
        <v>997</v>
      </c>
      <c r="AB152" s="33">
        <v>986</v>
      </c>
      <c r="AC152" s="33">
        <v>975</v>
      </c>
      <c r="AD152" s="33">
        <v>937</v>
      </c>
      <c r="AE152" s="33">
        <v>921</v>
      </c>
      <c r="AF152" s="33">
        <v>907</v>
      </c>
      <c r="AG152" s="33">
        <v>896</v>
      </c>
      <c r="AH152" s="33">
        <v>900</v>
      </c>
      <c r="AI152" s="33">
        <v>909</v>
      </c>
      <c r="AJ152" s="33">
        <v>923</v>
      </c>
      <c r="AK152" s="33">
        <v>964</v>
      </c>
      <c r="AL152" s="33">
        <v>997</v>
      </c>
      <c r="AM152" s="33">
        <v>1009</v>
      </c>
      <c r="AN152" s="33">
        <v>1034</v>
      </c>
      <c r="AO152" s="33">
        <v>1029</v>
      </c>
      <c r="AP152" s="33">
        <v>1012</v>
      </c>
      <c r="AQ152" s="33">
        <v>1008</v>
      </c>
      <c r="AR152" s="33">
        <v>1021</v>
      </c>
      <c r="AS152" s="33">
        <v>1023</v>
      </c>
      <c r="AT152" s="33">
        <v>1033</v>
      </c>
      <c r="AU152" s="33">
        <v>1006</v>
      </c>
      <c r="AV152" s="33">
        <v>990</v>
      </c>
      <c r="AW152" s="33">
        <v>976</v>
      </c>
      <c r="AX152" s="33">
        <v>975</v>
      </c>
      <c r="AY152" s="33">
        <v>964</v>
      </c>
      <c r="AZ152" s="33">
        <v>924</v>
      </c>
      <c r="BA152" s="33">
        <v>921</v>
      </c>
      <c r="BB152" s="33">
        <v>967</v>
      </c>
      <c r="BC152" s="33">
        <v>954</v>
      </c>
      <c r="BD152" s="33">
        <v>970</v>
      </c>
      <c r="BE152" s="33">
        <v>931</v>
      </c>
      <c r="BF152" s="33">
        <v>902</v>
      </c>
      <c r="BG152" s="33">
        <v>962</v>
      </c>
      <c r="BH152" s="33">
        <v>976</v>
      </c>
      <c r="BI152" s="33">
        <v>960</v>
      </c>
      <c r="BJ152" s="33">
        <v>950</v>
      </c>
      <c r="BK152" s="33">
        <v>938</v>
      </c>
      <c r="BL152" s="33">
        <v>952</v>
      </c>
    </row>
    <row r="153" spans="1:64" ht="15.95" customHeight="1">
      <c r="A153" s="68" t="s">
        <v>409</v>
      </c>
      <c r="B153" s="44" t="s">
        <v>213</v>
      </c>
      <c r="C153" s="48">
        <f>_xll.RssMarket("4417","安値")</f>
        <v>3070</v>
      </c>
      <c r="D153" s="16">
        <f t="shared" si="2"/>
        <v>0</v>
      </c>
      <c r="E153" s="33">
        <v>3070</v>
      </c>
      <c r="F153" s="33">
        <v>3030</v>
      </c>
      <c r="G153" s="33">
        <v>3055</v>
      </c>
      <c r="H153" s="33">
        <v>2958</v>
      </c>
      <c r="I153" s="33">
        <v>3075</v>
      </c>
      <c r="J153" s="33">
        <v>2958</v>
      </c>
      <c r="K153" s="33">
        <v>3040</v>
      </c>
      <c r="L153" s="33">
        <v>2991</v>
      </c>
      <c r="M153" s="33">
        <v>3115</v>
      </c>
      <c r="N153" s="33">
        <v>3230</v>
      </c>
      <c r="O153" s="33">
        <v>3285</v>
      </c>
      <c r="P153" s="33">
        <v>3165</v>
      </c>
      <c r="Q153" s="33">
        <v>3280</v>
      </c>
      <c r="R153" s="33">
        <v>3260</v>
      </c>
      <c r="S153" s="33">
        <v>3080</v>
      </c>
      <c r="T153" s="33">
        <v>2988</v>
      </c>
      <c r="U153" s="33">
        <v>2851</v>
      </c>
      <c r="V153" s="33">
        <v>2839</v>
      </c>
      <c r="W153" s="33">
        <v>2710</v>
      </c>
      <c r="X153" s="33">
        <v>2702</v>
      </c>
      <c r="Y153" s="33">
        <v>2721</v>
      </c>
      <c r="Z153" s="33">
        <v>2914</v>
      </c>
      <c r="AA153" s="33">
        <v>2881</v>
      </c>
      <c r="AB153" s="33">
        <v>2836</v>
      </c>
      <c r="AC153" s="33">
        <v>2705</v>
      </c>
      <c r="AD153" s="33">
        <v>2678</v>
      </c>
      <c r="AE153" s="33">
        <v>2660</v>
      </c>
      <c r="AF153" s="33">
        <v>2411</v>
      </c>
      <c r="AG153" s="33">
        <v>2452</v>
      </c>
      <c r="AH153" s="33">
        <v>2450</v>
      </c>
      <c r="AI153" s="33">
        <v>2450</v>
      </c>
      <c r="AJ153" s="33">
        <v>2438</v>
      </c>
      <c r="AK153" s="33">
        <v>2440</v>
      </c>
      <c r="AL153" s="33">
        <v>2423</v>
      </c>
      <c r="AM153" s="33">
        <v>2483</v>
      </c>
      <c r="AN153" s="33">
        <v>2464</v>
      </c>
      <c r="AO153" s="33">
        <v>2456</v>
      </c>
      <c r="AP153" s="33">
        <v>2281</v>
      </c>
      <c r="AQ153" s="33">
        <v>2228</v>
      </c>
      <c r="AR153" s="33">
        <v>2232</v>
      </c>
      <c r="AS153" s="33">
        <v>2450</v>
      </c>
      <c r="AT153" s="33">
        <v>2503</v>
      </c>
      <c r="AU153" s="33">
        <v>2558</v>
      </c>
      <c r="AV153" s="33">
        <v>2490</v>
      </c>
      <c r="AW153" s="33">
        <v>2505</v>
      </c>
      <c r="AX153" s="33">
        <v>2493</v>
      </c>
      <c r="AY153" s="33">
        <v>2459</v>
      </c>
      <c r="AZ153" s="33">
        <v>2426</v>
      </c>
      <c r="BA153" s="33">
        <v>2305</v>
      </c>
      <c r="BB153" s="33">
        <v>2201</v>
      </c>
      <c r="BC153" s="33">
        <v>2333</v>
      </c>
      <c r="BD153" s="33">
        <v>2350</v>
      </c>
      <c r="BE153" s="33">
        <v>2401</v>
      </c>
      <c r="BF153" s="33">
        <v>2350</v>
      </c>
      <c r="BG153" s="33">
        <v>2300</v>
      </c>
      <c r="BH153" s="33">
        <v>2381</v>
      </c>
      <c r="BI153" s="33">
        <v>2413</v>
      </c>
      <c r="BJ153" s="33">
        <v>2354</v>
      </c>
      <c r="BK153" s="33">
        <v>2392</v>
      </c>
      <c r="BL153" s="33">
        <v>2337</v>
      </c>
    </row>
    <row r="154" spans="1:64" ht="15.95" customHeight="1">
      <c r="A154" s="68" t="s">
        <v>410</v>
      </c>
      <c r="B154" s="44" t="s">
        <v>214</v>
      </c>
      <c r="C154" s="48">
        <f>_xll.RssMarket("6981","安値")</f>
        <v>10200</v>
      </c>
      <c r="D154" s="16">
        <f t="shared" si="2"/>
        <v>0</v>
      </c>
      <c r="E154" s="33">
        <v>10200</v>
      </c>
      <c r="F154" s="33">
        <v>10320</v>
      </c>
      <c r="G154" s="33">
        <v>9415</v>
      </c>
      <c r="H154" s="33">
        <v>8521</v>
      </c>
      <c r="I154" s="33">
        <v>8083</v>
      </c>
      <c r="J154" s="33">
        <v>8550</v>
      </c>
      <c r="K154" s="33">
        <v>8624</v>
      </c>
      <c r="L154" s="33">
        <v>9225</v>
      </c>
      <c r="M154" s="33">
        <v>9858</v>
      </c>
      <c r="N154" s="33">
        <v>9928</v>
      </c>
      <c r="O154" s="33">
        <v>9700</v>
      </c>
      <c r="P154" s="33">
        <v>9033</v>
      </c>
      <c r="Q154" s="33">
        <v>7700</v>
      </c>
      <c r="R154" s="33">
        <v>7750</v>
      </c>
      <c r="S154" s="33">
        <v>7315</v>
      </c>
      <c r="T154" s="33">
        <v>6659</v>
      </c>
      <c r="U154" s="33">
        <v>6316</v>
      </c>
      <c r="V154" s="33">
        <v>5825</v>
      </c>
      <c r="W154" s="33">
        <v>6128</v>
      </c>
      <c r="X154" s="33">
        <v>5930</v>
      </c>
      <c r="Y154" s="33">
        <v>6035</v>
      </c>
      <c r="Z154" s="33">
        <v>6138</v>
      </c>
      <c r="AA154" s="33">
        <v>5900</v>
      </c>
      <c r="AB154" s="33">
        <v>6040</v>
      </c>
      <c r="AC154" s="33">
        <v>5808</v>
      </c>
      <c r="AD154" s="33">
        <v>5551</v>
      </c>
      <c r="AE154" s="33">
        <v>5398</v>
      </c>
      <c r="AF154" s="33">
        <v>4905</v>
      </c>
      <c r="AG154" s="33">
        <v>4750</v>
      </c>
      <c r="AH154" s="33">
        <v>4810</v>
      </c>
      <c r="AI154" s="33">
        <v>4770</v>
      </c>
      <c r="AJ154" s="33">
        <v>4890</v>
      </c>
      <c r="AK154" s="33">
        <v>4672</v>
      </c>
      <c r="AL154" s="33">
        <v>4821</v>
      </c>
      <c r="AM154" s="33">
        <v>4736</v>
      </c>
      <c r="AN154" s="33">
        <v>4658</v>
      </c>
      <c r="AO154" s="33">
        <v>4600</v>
      </c>
      <c r="AP154" s="33">
        <v>4537</v>
      </c>
      <c r="AQ154" s="33">
        <v>4431</v>
      </c>
      <c r="AR154" s="33">
        <v>4205</v>
      </c>
      <c r="AS154" s="33">
        <v>4042</v>
      </c>
      <c r="AT154" s="33">
        <v>3975</v>
      </c>
      <c r="AU154" s="33">
        <v>3913</v>
      </c>
      <c r="AV154" s="33">
        <v>3927</v>
      </c>
      <c r="AW154" s="33">
        <v>3761</v>
      </c>
      <c r="AX154" s="33">
        <v>3777</v>
      </c>
      <c r="AY154" s="33">
        <v>3706</v>
      </c>
      <c r="AZ154" s="33">
        <v>3461</v>
      </c>
      <c r="BA154" s="33">
        <v>3571</v>
      </c>
      <c r="BB154" s="33">
        <v>3381</v>
      </c>
      <c r="BC154" s="33">
        <v>3457</v>
      </c>
      <c r="BD154" s="33">
        <v>3638</v>
      </c>
      <c r="BE154" s="33">
        <v>3672</v>
      </c>
      <c r="BF154" s="33">
        <v>3604</v>
      </c>
      <c r="BG154" s="33">
        <v>3498</v>
      </c>
      <c r="BH154" s="33">
        <v>3425</v>
      </c>
      <c r="BI154" s="33">
        <v>3702</v>
      </c>
      <c r="BJ154" s="33">
        <v>3819</v>
      </c>
      <c r="BK154" s="33">
        <v>3667</v>
      </c>
      <c r="BL154" s="33">
        <v>3556</v>
      </c>
    </row>
    <row r="155" spans="1:64" ht="15.95" customHeight="1">
      <c r="A155" s="68" t="s">
        <v>411</v>
      </c>
      <c r="B155" s="44" t="s">
        <v>215</v>
      </c>
      <c r="C155" s="48">
        <f>_xll.RssMarket("6754","安値")</f>
        <v>3968</v>
      </c>
      <c r="D155" s="16">
        <f t="shared" si="2"/>
        <v>0</v>
      </c>
      <c r="E155" s="33">
        <v>3968</v>
      </c>
      <c r="F155" s="33">
        <v>3935</v>
      </c>
      <c r="G155" s="33">
        <v>3931</v>
      </c>
      <c r="H155" s="33">
        <v>3865</v>
      </c>
      <c r="I155" s="33">
        <v>3621</v>
      </c>
      <c r="J155" s="33">
        <v>3749</v>
      </c>
      <c r="K155" s="33">
        <v>4180</v>
      </c>
      <c r="L155" s="33">
        <v>4402</v>
      </c>
      <c r="M155" s="33">
        <v>4603</v>
      </c>
      <c r="N155" s="33">
        <v>4619</v>
      </c>
      <c r="O155" s="33">
        <v>4401</v>
      </c>
      <c r="P155" s="33">
        <v>4434</v>
      </c>
      <c r="Q155" s="33">
        <v>4429</v>
      </c>
      <c r="R155" s="33">
        <v>4546</v>
      </c>
      <c r="S155" s="33">
        <v>4621</v>
      </c>
      <c r="T155" s="33">
        <v>4511</v>
      </c>
      <c r="U155" s="33">
        <v>4340</v>
      </c>
      <c r="V155" s="33">
        <v>4090</v>
      </c>
      <c r="W155" s="33">
        <v>4054</v>
      </c>
      <c r="X155" s="33">
        <v>4111</v>
      </c>
      <c r="Y155" s="33">
        <v>4181</v>
      </c>
      <c r="Z155" s="33">
        <v>4140</v>
      </c>
      <c r="AA155" s="33">
        <v>3969</v>
      </c>
      <c r="AB155" s="33">
        <v>3993</v>
      </c>
      <c r="AC155" s="33">
        <v>4122</v>
      </c>
      <c r="AD155" s="33">
        <v>4003</v>
      </c>
      <c r="AE155" s="33">
        <v>3914</v>
      </c>
      <c r="AF155" s="33">
        <v>3821</v>
      </c>
      <c r="AG155" s="33">
        <v>3902</v>
      </c>
      <c r="AH155" s="33">
        <v>3870</v>
      </c>
      <c r="AI155" s="33">
        <v>3613</v>
      </c>
      <c r="AJ155" s="33">
        <v>3569</v>
      </c>
      <c r="AK155" s="33">
        <v>3524</v>
      </c>
      <c r="AL155" s="33">
        <v>3521</v>
      </c>
      <c r="AM155" s="33">
        <v>3529</v>
      </c>
      <c r="AN155" s="33">
        <v>3373</v>
      </c>
      <c r="AO155" s="33">
        <v>3400</v>
      </c>
      <c r="AP155" s="33">
        <v>3337</v>
      </c>
      <c r="AQ155" s="33">
        <v>3381</v>
      </c>
      <c r="AR155" s="33">
        <v>3374</v>
      </c>
      <c r="AS155" s="33">
        <v>3341</v>
      </c>
      <c r="AT155" s="33">
        <v>3252</v>
      </c>
      <c r="AU155" s="33">
        <v>3241</v>
      </c>
      <c r="AV155" s="33">
        <v>3126</v>
      </c>
      <c r="AW155" s="33">
        <v>2988.5</v>
      </c>
      <c r="AX155" s="33">
        <v>2998</v>
      </c>
      <c r="AY155" s="33">
        <v>2945.5</v>
      </c>
      <c r="AZ155" s="33">
        <v>2873.5</v>
      </c>
      <c r="BA155" s="33">
        <v>2900</v>
      </c>
      <c r="BB155" s="33">
        <v>2692.5</v>
      </c>
      <c r="BC155" s="33">
        <v>2657</v>
      </c>
      <c r="BD155" s="33">
        <v>2755.5</v>
      </c>
      <c r="BE155" s="33">
        <v>2872.5</v>
      </c>
      <c r="BF155" s="33">
        <v>2912</v>
      </c>
      <c r="BG155" s="33">
        <v>2773</v>
      </c>
      <c r="BH155" s="33">
        <v>2580</v>
      </c>
      <c r="BI155" s="33">
        <v>2798.5</v>
      </c>
      <c r="BJ155" s="33">
        <v>2823.5</v>
      </c>
      <c r="BK155" s="33">
        <v>2806</v>
      </c>
      <c r="BL155" s="33">
        <v>2818</v>
      </c>
    </row>
    <row r="156" spans="1:64" ht="15.95" customHeight="1">
      <c r="A156" s="68" t="s">
        <v>412</v>
      </c>
      <c r="B156" s="44" t="s">
        <v>216</v>
      </c>
      <c r="C156" s="48">
        <f>_xll.RssMarket("4088","安値")</f>
        <v>2478</v>
      </c>
      <c r="D156" s="16">
        <f t="shared" si="2"/>
        <v>0</v>
      </c>
      <c r="E156" s="33">
        <v>2478</v>
      </c>
      <c r="F156" s="33">
        <v>2517</v>
      </c>
      <c r="G156" s="33">
        <v>2441</v>
      </c>
      <c r="H156" s="33">
        <v>2386</v>
      </c>
      <c r="I156" s="33">
        <v>2393</v>
      </c>
      <c r="J156" s="33">
        <v>2436</v>
      </c>
      <c r="K156" s="33">
        <v>2416</v>
      </c>
      <c r="L156" s="33">
        <v>2420</v>
      </c>
      <c r="M156" s="33">
        <v>2460</v>
      </c>
      <c r="N156" s="33">
        <v>2447</v>
      </c>
      <c r="O156" s="33">
        <v>2430</v>
      </c>
      <c r="P156" s="33">
        <v>2562</v>
      </c>
      <c r="Q156" s="33">
        <v>2551</v>
      </c>
      <c r="R156" s="33">
        <v>2554</v>
      </c>
      <c r="S156" s="33">
        <v>2513</v>
      </c>
      <c r="T156" s="33">
        <v>2556</v>
      </c>
      <c r="U156" s="33">
        <v>2481</v>
      </c>
      <c r="V156" s="33">
        <v>2456</v>
      </c>
      <c r="W156" s="33">
        <v>2402</v>
      </c>
      <c r="X156" s="33">
        <v>2270</v>
      </c>
      <c r="Y156" s="33">
        <v>2166</v>
      </c>
      <c r="Z156" s="33">
        <v>2100</v>
      </c>
      <c r="AA156" s="33">
        <v>2044</v>
      </c>
      <c r="AB156" s="33">
        <v>1966</v>
      </c>
      <c r="AC156" s="33">
        <v>1903</v>
      </c>
      <c r="AD156" s="33">
        <v>1894</v>
      </c>
      <c r="AE156" s="33">
        <v>1856.5</v>
      </c>
      <c r="AF156" s="33">
        <v>1718.5</v>
      </c>
      <c r="AG156" s="33">
        <v>2207.5</v>
      </c>
      <c r="AH156" s="33">
        <v>2231.5</v>
      </c>
      <c r="AI156" s="33">
        <v>2210.5</v>
      </c>
      <c r="AJ156" s="33">
        <v>2211.5</v>
      </c>
      <c r="AK156" s="33">
        <v>2176</v>
      </c>
      <c r="AL156" s="33">
        <v>2215.5</v>
      </c>
      <c r="AM156" s="33">
        <v>2254</v>
      </c>
      <c r="AN156" s="33">
        <v>2248.5</v>
      </c>
      <c r="AO156" s="33">
        <v>2253</v>
      </c>
      <c r="AP156" s="33">
        <v>2289</v>
      </c>
      <c r="AQ156" s="33">
        <v>2276</v>
      </c>
      <c r="AR156" s="33">
        <v>2243</v>
      </c>
      <c r="AS156" s="33">
        <v>2219</v>
      </c>
      <c r="AT156" s="33">
        <v>2220</v>
      </c>
      <c r="AU156" s="33">
        <v>2255</v>
      </c>
      <c r="AV156" s="33">
        <v>2290</v>
      </c>
      <c r="AW156" s="33">
        <v>2231.5</v>
      </c>
      <c r="AX156" s="33">
        <v>2187.5</v>
      </c>
      <c r="AY156" s="33">
        <v>2162.5</v>
      </c>
      <c r="AZ156" s="33">
        <v>2161</v>
      </c>
      <c r="BA156" s="33">
        <v>2150.5</v>
      </c>
      <c r="BB156" s="33">
        <v>2110.5</v>
      </c>
      <c r="BC156" s="33">
        <v>2103</v>
      </c>
      <c r="BD156" s="33">
        <v>2150.5</v>
      </c>
      <c r="BE156" s="33">
        <v>2130.5</v>
      </c>
      <c r="BF156" s="33">
        <v>2133.5</v>
      </c>
      <c r="BG156" s="33">
        <v>2067</v>
      </c>
      <c r="BH156" s="33">
        <v>2015.5</v>
      </c>
      <c r="BI156" s="33">
        <v>2085.5</v>
      </c>
      <c r="BJ156" s="33">
        <v>2150.5</v>
      </c>
      <c r="BK156" s="33">
        <v>2149</v>
      </c>
      <c r="BL156" s="33">
        <v>2102</v>
      </c>
    </row>
    <row r="157" spans="1:64" ht="15.95" customHeight="1">
      <c r="A157" s="68" t="s">
        <v>413</v>
      </c>
      <c r="B157" s="44" t="s">
        <v>217</v>
      </c>
      <c r="C157" s="48">
        <f>_xll.RssMarket("4091","安値")</f>
        <v>5480</v>
      </c>
      <c r="D157" s="16">
        <f t="shared" si="2"/>
        <v>0</v>
      </c>
      <c r="E157" s="33">
        <v>5480</v>
      </c>
      <c r="F157" s="33">
        <v>5522</v>
      </c>
      <c r="G157" s="33">
        <v>5462</v>
      </c>
      <c r="H157" s="33">
        <v>5293</v>
      </c>
      <c r="I157" s="33">
        <v>5164</v>
      </c>
      <c r="J157" s="33">
        <v>5248</v>
      </c>
      <c r="K157" s="33">
        <v>5334</v>
      </c>
      <c r="L157" s="33">
        <v>5550</v>
      </c>
      <c r="M157" s="33">
        <v>5581</v>
      </c>
      <c r="N157" s="33">
        <v>5657</v>
      </c>
      <c r="O157" s="33">
        <v>5693</v>
      </c>
      <c r="P157" s="33">
        <v>6150</v>
      </c>
      <c r="Q157" s="33">
        <v>6203</v>
      </c>
      <c r="R157" s="33">
        <v>6319</v>
      </c>
      <c r="S157" s="33">
        <v>6227</v>
      </c>
      <c r="T157" s="33">
        <v>6100</v>
      </c>
      <c r="U157" s="33">
        <v>5820</v>
      </c>
      <c r="V157" s="33">
        <v>5799</v>
      </c>
      <c r="W157" s="33">
        <v>5879</v>
      </c>
      <c r="X157" s="33">
        <v>5927</v>
      </c>
      <c r="Y157" s="33">
        <v>6077</v>
      </c>
      <c r="Z157" s="33">
        <v>5966</v>
      </c>
      <c r="AA157" s="33">
        <v>5709</v>
      </c>
      <c r="AB157" s="33">
        <v>5650</v>
      </c>
      <c r="AC157" s="33">
        <v>5680</v>
      </c>
      <c r="AD157" s="33">
        <v>5538</v>
      </c>
      <c r="AE157" s="33">
        <v>5468</v>
      </c>
      <c r="AF157" s="33">
        <v>5485</v>
      </c>
      <c r="AG157" s="33">
        <v>5492</v>
      </c>
      <c r="AH157" s="33">
        <v>5615</v>
      </c>
      <c r="AI157" s="33">
        <v>5569</v>
      </c>
      <c r="AJ157" s="33">
        <v>5597</v>
      </c>
      <c r="AK157" s="33">
        <v>5600</v>
      </c>
      <c r="AL157" s="33">
        <v>5637</v>
      </c>
      <c r="AM157" s="33">
        <v>5772</v>
      </c>
      <c r="AN157" s="33">
        <v>5731</v>
      </c>
      <c r="AO157" s="33">
        <v>5886</v>
      </c>
      <c r="AP157" s="33">
        <v>5845</v>
      </c>
      <c r="AQ157" s="33">
        <v>5759</v>
      </c>
      <c r="AR157" s="33">
        <v>5898</v>
      </c>
      <c r="AS157" s="33">
        <v>5783</v>
      </c>
      <c r="AT157" s="33">
        <v>5846</v>
      </c>
      <c r="AU157" s="33">
        <v>5795</v>
      </c>
      <c r="AV157" s="33">
        <v>5858</v>
      </c>
      <c r="AW157" s="33">
        <v>5755</v>
      </c>
      <c r="AX157" s="33">
        <v>5761</v>
      </c>
      <c r="AY157" s="33">
        <v>5797</v>
      </c>
      <c r="AZ157" s="33">
        <v>5701</v>
      </c>
      <c r="BA157" s="33">
        <v>5623</v>
      </c>
      <c r="BB157" s="33">
        <v>5533</v>
      </c>
      <c r="BC157" s="33">
        <v>5637</v>
      </c>
      <c r="BD157" s="33">
        <v>5836</v>
      </c>
      <c r="BE157" s="33">
        <v>5942</v>
      </c>
      <c r="BF157" s="33">
        <v>5898</v>
      </c>
      <c r="BG157" s="33">
        <v>5763</v>
      </c>
      <c r="BH157" s="33">
        <v>5691</v>
      </c>
      <c r="BI157" s="33">
        <v>5989</v>
      </c>
      <c r="BJ157" s="33">
        <v>6180</v>
      </c>
      <c r="BK157" s="33">
        <v>6132</v>
      </c>
      <c r="BL157" s="33">
        <v>5830</v>
      </c>
    </row>
    <row r="158" spans="1:64" ht="15.95" customHeight="1">
      <c r="A158" s="68" t="s">
        <v>414</v>
      </c>
      <c r="B158" s="44" t="s">
        <v>218</v>
      </c>
      <c r="C158" s="48">
        <f>_xll.RssMarket("6857","安値")</f>
        <v>29585</v>
      </c>
      <c r="D158" s="16">
        <f t="shared" si="2"/>
        <v>0</v>
      </c>
      <c r="E158" s="33">
        <v>29585</v>
      </c>
      <c r="F158" s="33">
        <v>29510</v>
      </c>
      <c r="G158" s="33">
        <v>28450</v>
      </c>
      <c r="H158" s="33">
        <v>26940</v>
      </c>
      <c r="I158" s="33">
        <v>24150</v>
      </c>
      <c r="J158" s="33">
        <v>24910</v>
      </c>
      <c r="K158" s="33">
        <v>24860</v>
      </c>
      <c r="L158" s="33">
        <v>26415</v>
      </c>
      <c r="M158" s="33">
        <v>27160</v>
      </c>
      <c r="N158" s="33">
        <v>26620</v>
      </c>
      <c r="O158" s="33">
        <v>25275</v>
      </c>
      <c r="P158" s="33">
        <v>25670</v>
      </c>
      <c r="Q158" s="33">
        <v>25915</v>
      </c>
      <c r="R158" s="33">
        <v>27015</v>
      </c>
      <c r="S158" s="33">
        <v>27150</v>
      </c>
      <c r="T158" s="33">
        <v>26460</v>
      </c>
      <c r="U158" s="33">
        <v>25995</v>
      </c>
      <c r="V158" s="33">
        <v>25020</v>
      </c>
      <c r="W158" s="33">
        <v>24860</v>
      </c>
      <c r="X158" s="33">
        <v>25475</v>
      </c>
      <c r="Y158" s="33">
        <v>26140</v>
      </c>
      <c r="Z158" s="33">
        <v>28360</v>
      </c>
      <c r="AA158" s="33">
        <v>27665</v>
      </c>
      <c r="AB158" s="33">
        <v>28335</v>
      </c>
      <c r="AC158" s="33">
        <v>28780</v>
      </c>
      <c r="AD158" s="33">
        <v>29310</v>
      </c>
      <c r="AE158" s="33">
        <v>29715</v>
      </c>
      <c r="AF158" s="33">
        <v>27800</v>
      </c>
      <c r="AG158" s="33">
        <v>28190</v>
      </c>
      <c r="AH158" s="33">
        <v>29335</v>
      </c>
      <c r="AI158" s="33">
        <v>29390</v>
      </c>
      <c r="AJ158" s="33">
        <v>27920</v>
      </c>
      <c r="AK158" s="33">
        <v>27615</v>
      </c>
      <c r="AL158" s="33">
        <v>27050</v>
      </c>
      <c r="AM158" s="33">
        <v>27120</v>
      </c>
      <c r="AN158" s="33">
        <v>27100</v>
      </c>
      <c r="AO158" s="33">
        <v>27870</v>
      </c>
      <c r="AP158" s="33">
        <v>27710</v>
      </c>
      <c r="AQ158" s="33">
        <v>27440</v>
      </c>
      <c r="AR158" s="33">
        <v>25860</v>
      </c>
      <c r="AS158" s="33">
        <v>24545</v>
      </c>
      <c r="AT158" s="33">
        <v>24990</v>
      </c>
      <c r="AU158" s="33">
        <v>24540</v>
      </c>
      <c r="AV158" s="33">
        <v>23950</v>
      </c>
      <c r="AW158" s="33">
        <v>21725</v>
      </c>
      <c r="AX158" s="33">
        <v>21625</v>
      </c>
      <c r="AY158" s="33">
        <v>21370</v>
      </c>
      <c r="AZ158" s="33">
        <v>21005</v>
      </c>
      <c r="BA158" s="33">
        <v>21335</v>
      </c>
      <c r="BB158" s="33">
        <v>19720</v>
      </c>
      <c r="BC158" s="33">
        <v>20260</v>
      </c>
      <c r="BD158" s="33">
        <v>21745</v>
      </c>
      <c r="BE158" s="33">
        <v>22715</v>
      </c>
      <c r="BF158" s="33">
        <v>22830</v>
      </c>
      <c r="BG158" s="33">
        <v>22010</v>
      </c>
      <c r="BH158" s="33">
        <v>22145</v>
      </c>
      <c r="BI158" s="33">
        <v>23750</v>
      </c>
      <c r="BJ158" s="33">
        <v>24250</v>
      </c>
      <c r="BK158" s="33">
        <v>23385</v>
      </c>
      <c r="BL158" s="33">
        <v>23310</v>
      </c>
    </row>
    <row r="159" spans="1:64" ht="15.95" customHeight="1">
      <c r="A159" s="68" t="s">
        <v>415</v>
      </c>
      <c r="B159" s="44" t="s">
        <v>219</v>
      </c>
      <c r="C159" s="48">
        <f>_xll.RssMarket("3891","安値")</f>
        <v>8780</v>
      </c>
      <c r="D159" s="16">
        <f t="shared" si="2"/>
        <v>0</v>
      </c>
      <c r="E159" s="33">
        <v>8780</v>
      </c>
      <c r="F159" s="33">
        <v>8300</v>
      </c>
      <c r="G159" s="33">
        <v>8580</v>
      </c>
      <c r="H159" s="33">
        <v>8370</v>
      </c>
      <c r="I159" s="33">
        <v>8090</v>
      </c>
      <c r="J159" s="33">
        <v>8980</v>
      </c>
      <c r="K159" s="33">
        <v>8100</v>
      </c>
      <c r="L159" s="33">
        <v>8140</v>
      </c>
      <c r="M159" s="33">
        <v>8030</v>
      </c>
      <c r="N159" s="33">
        <v>8020</v>
      </c>
      <c r="O159" s="33">
        <v>7690</v>
      </c>
      <c r="P159" s="33">
        <v>7170</v>
      </c>
      <c r="Q159" s="33">
        <v>6660</v>
      </c>
      <c r="R159" s="33">
        <v>6870</v>
      </c>
      <c r="S159" s="33">
        <v>7420</v>
      </c>
      <c r="T159" s="33">
        <v>6980</v>
      </c>
      <c r="U159" s="33">
        <v>6680</v>
      </c>
      <c r="V159" s="33">
        <v>6070</v>
      </c>
      <c r="W159" s="33">
        <v>6410</v>
      </c>
      <c r="X159" s="33">
        <v>6110</v>
      </c>
      <c r="Y159" s="33">
        <v>5960</v>
      </c>
      <c r="Z159" s="33">
        <v>6190</v>
      </c>
      <c r="AA159" s="33">
        <v>6300</v>
      </c>
      <c r="AB159" s="33">
        <v>6260</v>
      </c>
      <c r="AC159" s="33">
        <v>6420</v>
      </c>
      <c r="AD159" s="33">
        <v>6270</v>
      </c>
      <c r="AE159" s="33">
        <v>6180</v>
      </c>
      <c r="AF159" s="33">
        <v>6050</v>
      </c>
      <c r="AG159" s="33">
        <v>6210</v>
      </c>
      <c r="AH159" s="33">
        <v>6080</v>
      </c>
      <c r="AI159" s="33">
        <v>5860</v>
      </c>
      <c r="AJ159" s="33">
        <v>4350</v>
      </c>
      <c r="AK159" s="33">
        <v>4290</v>
      </c>
      <c r="AL159" s="33">
        <v>4425</v>
      </c>
      <c r="AM159" s="33">
        <v>4405</v>
      </c>
      <c r="AN159" s="33">
        <v>4280</v>
      </c>
      <c r="AO159" s="33">
        <v>4275</v>
      </c>
      <c r="AP159" s="33">
        <v>4450</v>
      </c>
      <c r="AQ159" s="33">
        <v>4415</v>
      </c>
      <c r="AR159" s="33">
        <v>4230</v>
      </c>
      <c r="AS159" s="33">
        <v>4045</v>
      </c>
      <c r="AT159" s="33">
        <v>4025</v>
      </c>
      <c r="AU159" s="33">
        <v>4010</v>
      </c>
      <c r="AV159" s="33">
        <v>3935</v>
      </c>
      <c r="AW159" s="33">
        <v>3755</v>
      </c>
      <c r="AX159" s="33">
        <v>3690</v>
      </c>
      <c r="AY159" s="33">
        <v>3670</v>
      </c>
      <c r="AZ159" s="33">
        <v>3610</v>
      </c>
      <c r="BA159" s="33">
        <v>3580</v>
      </c>
      <c r="BB159" s="33">
        <v>3360</v>
      </c>
      <c r="BC159" s="33">
        <v>3385</v>
      </c>
      <c r="BD159" s="33">
        <v>3615</v>
      </c>
      <c r="BE159" s="33">
        <v>3725</v>
      </c>
      <c r="BF159" s="33">
        <v>3730</v>
      </c>
      <c r="BG159" s="33">
        <v>3590</v>
      </c>
      <c r="BH159" s="33">
        <v>3400</v>
      </c>
      <c r="BI159" s="33">
        <v>3720</v>
      </c>
      <c r="BJ159" s="33">
        <v>3955</v>
      </c>
      <c r="BK159" s="33">
        <v>3915</v>
      </c>
      <c r="BL159" s="33">
        <v>3885</v>
      </c>
    </row>
    <row r="160" spans="1:64" ht="15.95" customHeight="1">
      <c r="A160" s="68" t="s">
        <v>416</v>
      </c>
      <c r="B160" s="44" t="s">
        <v>220</v>
      </c>
      <c r="C160" s="48">
        <f>_xll.RssMarket("4373","安値")</f>
        <v>950</v>
      </c>
      <c r="D160" s="16">
        <f t="shared" si="2"/>
        <v>0</v>
      </c>
      <c r="E160" s="33">
        <v>950</v>
      </c>
      <c r="F160" s="33">
        <v>934</v>
      </c>
      <c r="G160" s="33">
        <v>960</v>
      </c>
      <c r="H160" s="33">
        <v>975</v>
      </c>
      <c r="I160" s="33">
        <v>1013</v>
      </c>
      <c r="J160" s="33">
        <v>1029</v>
      </c>
      <c r="K160" s="33">
        <v>1063</v>
      </c>
      <c r="L160" s="33">
        <v>1075</v>
      </c>
      <c r="M160" s="33">
        <v>1077</v>
      </c>
      <c r="N160" s="33">
        <v>1108</v>
      </c>
      <c r="O160" s="33">
        <v>1039</v>
      </c>
      <c r="P160" s="33">
        <v>1020</v>
      </c>
      <c r="Q160" s="33">
        <v>996</v>
      </c>
      <c r="R160" s="33">
        <v>1007</v>
      </c>
      <c r="S160" s="33">
        <v>1013</v>
      </c>
      <c r="T160" s="33">
        <v>1000</v>
      </c>
      <c r="U160" s="33">
        <v>985</v>
      </c>
      <c r="V160" s="33">
        <v>1008</v>
      </c>
      <c r="W160" s="33">
        <v>941</v>
      </c>
      <c r="X160" s="33">
        <v>932</v>
      </c>
      <c r="Y160" s="33">
        <v>931</v>
      </c>
      <c r="Z160" s="33">
        <v>947</v>
      </c>
      <c r="AA160" s="33">
        <v>942</v>
      </c>
      <c r="AB160" s="33">
        <v>925</v>
      </c>
      <c r="AC160" s="33">
        <v>915</v>
      </c>
      <c r="AD160" s="33">
        <v>889</v>
      </c>
      <c r="AE160" s="33">
        <v>867</v>
      </c>
      <c r="AF160" s="33">
        <v>868</v>
      </c>
      <c r="AG160" s="33">
        <v>870</v>
      </c>
      <c r="AH160" s="33">
        <v>876</v>
      </c>
      <c r="AI160" s="33">
        <v>905</v>
      </c>
      <c r="AJ160" s="33">
        <v>923</v>
      </c>
      <c r="AK160" s="33">
        <v>944</v>
      </c>
      <c r="AL160" s="33">
        <v>927</v>
      </c>
      <c r="AM160" s="33">
        <v>939</v>
      </c>
      <c r="AN160" s="33">
        <v>899</v>
      </c>
      <c r="AO160" s="33">
        <v>899</v>
      </c>
      <c r="AP160" s="33">
        <v>862</v>
      </c>
      <c r="AQ160" s="33">
        <v>836</v>
      </c>
      <c r="AR160" s="33">
        <v>802</v>
      </c>
      <c r="AS160" s="33">
        <v>809</v>
      </c>
      <c r="AT160" s="33">
        <v>836</v>
      </c>
      <c r="AU160" s="33">
        <v>842</v>
      </c>
      <c r="AV160" s="33">
        <v>835</v>
      </c>
      <c r="AW160" s="33">
        <v>829</v>
      </c>
      <c r="AX160" s="33">
        <v>822</v>
      </c>
      <c r="AY160" s="33">
        <v>810</v>
      </c>
      <c r="AZ160" s="33">
        <v>812</v>
      </c>
      <c r="BA160" s="33">
        <v>783</v>
      </c>
      <c r="BB160" s="33">
        <v>762</v>
      </c>
      <c r="BC160" s="33">
        <v>805</v>
      </c>
      <c r="BD160" s="33">
        <v>798</v>
      </c>
      <c r="BE160" s="33">
        <v>807</v>
      </c>
      <c r="BF160" s="33">
        <v>807</v>
      </c>
      <c r="BG160" s="33">
        <v>798</v>
      </c>
      <c r="BH160" s="33">
        <v>823</v>
      </c>
      <c r="BI160" s="33">
        <v>829</v>
      </c>
      <c r="BJ160" s="33">
        <v>826</v>
      </c>
      <c r="BK160" s="33">
        <v>820</v>
      </c>
      <c r="BL160" s="33">
        <v>808</v>
      </c>
    </row>
    <row r="161" spans="1:64" ht="15.95" customHeight="1">
      <c r="A161" s="68" t="s">
        <v>417</v>
      </c>
      <c r="B161" s="44" t="s">
        <v>221</v>
      </c>
      <c r="C161" s="48">
        <f>_xll.RssMarket("8892","安値")</f>
        <v>1077</v>
      </c>
      <c r="D161" s="16">
        <f t="shared" si="2"/>
        <v>0</v>
      </c>
      <c r="E161" s="33">
        <v>1077</v>
      </c>
      <c r="F161" s="33">
        <v>1093</v>
      </c>
      <c r="G161" s="33">
        <v>1107</v>
      </c>
      <c r="H161" s="33">
        <v>1090</v>
      </c>
      <c r="I161" s="33">
        <v>1087</v>
      </c>
      <c r="J161" s="33">
        <v>1092</v>
      </c>
      <c r="K161" s="33">
        <v>1077</v>
      </c>
      <c r="L161" s="33">
        <v>1069</v>
      </c>
      <c r="M161" s="33">
        <v>1060</v>
      </c>
      <c r="N161" s="33">
        <v>1066</v>
      </c>
      <c r="O161" s="33">
        <v>1058</v>
      </c>
      <c r="P161" s="33">
        <v>1087</v>
      </c>
      <c r="Q161" s="33">
        <v>1096</v>
      </c>
      <c r="R161" s="33">
        <v>1094</v>
      </c>
      <c r="S161" s="33">
        <v>1100</v>
      </c>
      <c r="T161" s="33">
        <v>1107</v>
      </c>
      <c r="U161" s="33">
        <v>1129</v>
      </c>
      <c r="V161" s="33">
        <v>1104</v>
      </c>
      <c r="W161" s="33">
        <v>1130</v>
      </c>
      <c r="X161" s="33">
        <v>1107</v>
      </c>
      <c r="Y161" s="33">
        <v>1124</v>
      </c>
      <c r="Z161" s="33">
        <v>1146</v>
      </c>
      <c r="AA161" s="33">
        <v>1155</v>
      </c>
      <c r="AB161" s="33">
        <v>1166</v>
      </c>
      <c r="AC161" s="33">
        <v>1160</v>
      </c>
      <c r="AD161" s="33">
        <v>1152</v>
      </c>
      <c r="AE161" s="33">
        <v>1150</v>
      </c>
      <c r="AF161" s="33">
        <v>1156</v>
      </c>
      <c r="AG161" s="33">
        <v>1163</v>
      </c>
      <c r="AH161" s="33">
        <v>1179</v>
      </c>
      <c r="AI161" s="33">
        <v>1140</v>
      </c>
      <c r="AJ161" s="33">
        <v>1126</v>
      </c>
      <c r="AK161" s="33">
        <v>1121</v>
      </c>
      <c r="AL161" s="33">
        <v>1123</v>
      </c>
      <c r="AM161" s="33">
        <v>1136</v>
      </c>
      <c r="AN161" s="33">
        <v>1135</v>
      </c>
      <c r="AO161" s="33">
        <v>1128</v>
      </c>
      <c r="AP161" s="33">
        <v>1135</v>
      </c>
      <c r="AQ161" s="33">
        <v>1138</v>
      </c>
      <c r="AR161" s="33">
        <v>1121</v>
      </c>
      <c r="AS161" s="33">
        <v>1121</v>
      </c>
      <c r="AT161" s="33">
        <v>1120</v>
      </c>
      <c r="AU161" s="33">
        <v>1118</v>
      </c>
      <c r="AV161" s="33">
        <v>1130</v>
      </c>
      <c r="AW161" s="33">
        <v>1116</v>
      </c>
      <c r="AX161" s="33">
        <v>1102</v>
      </c>
      <c r="AY161" s="33">
        <v>1093</v>
      </c>
      <c r="AZ161" s="33">
        <v>1091</v>
      </c>
      <c r="BA161" s="33">
        <v>1089</v>
      </c>
      <c r="BB161" s="33">
        <v>1075</v>
      </c>
      <c r="BC161" s="33">
        <v>1057</v>
      </c>
      <c r="BD161" s="33">
        <v>1135</v>
      </c>
      <c r="BE161" s="33">
        <v>1129</v>
      </c>
      <c r="BF161" s="33">
        <v>1129</v>
      </c>
      <c r="BG161" s="33">
        <v>1113</v>
      </c>
      <c r="BH161" s="33">
        <v>1098</v>
      </c>
      <c r="BI161" s="33">
        <v>1120</v>
      </c>
      <c r="BJ161" s="33">
        <v>1120</v>
      </c>
      <c r="BK161" s="33">
        <v>1106</v>
      </c>
      <c r="BL161" s="33">
        <v>1099</v>
      </c>
    </row>
    <row r="162" spans="1:64" ht="15.95" customHeight="1">
      <c r="A162" s="68" t="s">
        <v>418</v>
      </c>
      <c r="B162" s="44" t="s">
        <v>222</v>
      </c>
      <c r="C162" s="48">
        <f>_xll.RssMarket("9687","安値")</f>
        <v>4325</v>
      </c>
      <c r="D162" s="16">
        <f t="shared" si="2"/>
        <v>0</v>
      </c>
      <c r="E162" s="33">
        <v>4325</v>
      </c>
      <c r="F162" s="33">
        <v>4295</v>
      </c>
      <c r="G162" s="33">
        <v>4290</v>
      </c>
      <c r="H162" s="33">
        <v>4260</v>
      </c>
      <c r="I162" s="33">
        <v>4300</v>
      </c>
      <c r="J162" s="33">
        <v>4335</v>
      </c>
      <c r="K162" s="33">
        <v>4325</v>
      </c>
      <c r="L162" s="33">
        <v>4330</v>
      </c>
      <c r="M162" s="33">
        <v>4350</v>
      </c>
      <c r="N162" s="33">
        <v>4355</v>
      </c>
      <c r="O162" s="33">
        <v>4350</v>
      </c>
      <c r="P162" s="33">
        <v>4330</v>
      </c>
      <c r="Q162" s="33">
        <v>4305</v>
      </c>
      <c r="R162" s="33">
        <v>4290</v>
      </c>
      <c r="S162" s="33">
        <v>4330</v>
      </c>
      <c r="T162" s="33">
        <v>4335</v>
      </c>
      <c r="U162" s="33">
        <v>4350</v>
      </c>
      <c r="V162" s="33">
        <v>4390</v>
      </c>
      <c r="W162" s="33">
        <v>4360</v>
      </c>
      <c r="X162" s="33">
        <v>4210</v>
      </c>
      <c r="Y162" s="33">
        <v>4350</v>
      </c>
      <c r="Z162" s="33">
        <v>4350</v>
      </c>
      <c r="AA162" s="33">
        <v>4335</v>
      </c>
      <c r="AB162" s="33">
        <v>4315</v>
      </c>
      <c r="AC162" s="33">
        <v>4350</v>
      </c>
      <c r="AD162" s="33">
        <v>4350</v>
      </c>
      <c r="AE162" s="33">
        <v>4350</v>
      </c>
      <c r="AF162" s="33">
        <v>4350</v>
      </c>
      <c r="AG162" s="33">
        <v>4360</v>
      </c>
      <c r="AH162" s="33">
        <v>4315</v>
      </c>
      <c r="AI162" s="33">
        <v>4250</v>
      </c>
      <c r="AJ162" s="33">
        <v>4320</v>
      </c>
      <c r="AK162" s="33">
        <v>4350</v>
      </c>
      <c r="AL162" s="33">
        <v>4375</v>
      </c>
      <c r="AM162" s="33">
        <v>4400</v>
      </c>
      <c r="AN162" s="33">
        <v>4390</v>
      </c>
      <c r="AO162" s="33">
        <v>4345</v>
      </c>
      <c r="AP162" s="33">
        <v>4355</v>
      </c>
      <c r="AQ162" s="33">
        <v>4380</v>
      </c>
      <c r="AR162" s="33">
        <v>4245</v>
      </c>
      <c r="AS162" s="33">
        <v>4250</v>
      </c>
      <c r="AT162" s="33">
        <v>4285</v>
      </c>
      <c r="AU162" s="33">
        <v>4175</v>
      </c>
      <c r="AV162" s="33">
        <v>4405</v>
      </c>
      <c r="AW162" s="33">
        <v>4420</v>
      </c>
      <c r="AX162" s="33">
        <v>4450</v>
      </c>
      <c r="AY162" s="33">
        <v>4425</v>
      </c>
      <c r="AZ162" s="33">
        <v>4350</v>
      </c>
      <c r="BA162" s="33">
        <v>4385</v>
      </c>
      <c r="BB162" s="33">
        <v>4440</v>
      </c>
      <c r="BC162" s="33">
        <v>4410</v>
      </c>
      <c r="BD162" s="33">
        <v>4350</v>
      </c>
      <c r="BE162" s="33">
        <v>4350</v>
      </c>
      <c r="BF162" s="33">
        <v>4385</v>
      </c>
      <c r="BG162" s="33">
        <v>4410</v>
      </c>
      <c r="BH162" s="33">
        <v>4420</v>
      </c>
      <c r="BI162" s="33">
        <v>4300</v>
      </c>
      <c r="BJ162" s="33">
        <v>4355</v>
      </c>
      <c r="BK162" s="33">
        <v>4400</v>
      </c>
      <c r="BL162" s="33">
        <v>4300</v>
      </c>
    </row>
    <row r="163" spans="1:64" ht="15.95" customHeight="1">
      <c r="A163" s="68" t="s">
        <v>419</v>
      </c>
      <c r="B163" s="44" t="s">
        <v>223</v>
      </c>
      <c r="C163" s="48">
        <f>_xll.RssMarket("1930","安値")</f>
        <v>1664</v>
      </c>
      <c r="D163" s="16">
        <f t="shared" si="2"/>
        <v>0</v>
      </c>
      <c r="E163" s="33">
        <v>1664</v>
      </c>
      <c r="F163" s="33">
        <v>1651</v>
      </c>
      <c r="G163" s="33">
        <v>1655</v>
      </c>
      <c r="H163" s="33">
        <v>1585</v>
      </c>
      <c r="I163" s="33">
        <v>1548</v>
      </c>
      <c r="J163" s="33">
        <v>1577</v>
      </c>
      <c r="K163" s="33">
        <v>1561</v>
      </c>
      <c r="L163" s="33">
        <v>1567</v>
      </c>
      <c r="M163" s="33">
        <v>1551</v>
      </c>
      <c r="N163" s="33">
        <v>1560</v>
      </c>
      <c r="O163" s="33">
        <v>1538</v>
      </c>
      <c r="P163" s="33">
        <v>1677</v>
      </c>
      <c r="Q163" s="33">
        <v>1654</v>
      </c>
      <c r="R163" s="33">
        <v>1681</v>
      </c>
      <c r="S163" s="33">
        <v>1644</v>
      </c>
      <c r="T163" s="33">
        <v>1582</v>
      </c>
      <c r="U163" s="33">
        <v>1590</v>
      </c>
      <c r="V163" s="33">
        <v>1565</v>
      </c>
      <c r="W163" s="33">
        <v>1600</v>
      </c>
      <c r="X163" s="33">
        <v>1585</v>
      </c>
      <c r="Y163" s="33">
        <v>1647</v>
      </c>
      <c r="Z163" s="33">
        <v>1683</v>
      </c>
      <c r="AA163" s="33">
        <v>1739</v>
      </c>
      <c r="AB163" s="33">
        <v>1721</v>
      </c>
      <c r="AC163" s="33">
        <v>1692</v>
      </c>
      <c r="AD163" s="33">
        <v>1635</v>
      </c>
      <c r="AE163" s="33">
        <v>1665</v>
      </c>
      <c r="AF163" s="33">
        <v>1688</v>
      </c>
      <c r="AG163" s="33">
        <v>1616</v>
      </c>
      <c r="AH163" s="33">
        <v>1454</v>
      </c>
      <c r="AI163" s="33">
        <v>1438</v>
      </c>
      <c r="AJ163" s="33">
        <v>1434</v>
      </c>
      <c r="AK163" s="33">
        <v>1423</v>
      </c>
      <c r="AL163" s="33">
        <v>1437</v>
      </c>
      <c r="AM163" s="33">
        <v>1468</v>
      </c>
      <c r="AN163" s="33">
        <v>1452</v>
      </c>
      <c r="AO163" s="33">
        <v>1452</v>
      </c>
      <c r="AP163" s="33">
        <v>1451</v>
      </c>
      <c r="AQ163" s="33">
        <v>1438</v>
      </c>
      <c r="AR163" s="33">
        <v>1439</v>
      </c>
      <c r="AS163" s="33">
        <v>1434</v>
      </c>
      <c r="AT163" s="33">
        <v>1468</v>
      </c>
      <c r="AU163" s="33">
        <v>1485</v>
      </c>
      <c r="AV163" s="33">
        <v>1505</v>
      </c>
      <c r="AW163" s="33">
        <v>1454</v>
      </c>
      <c r="AX163" s="33">
        <v>1455</v>
      </c>
      <c r="AY163" s="33">
        <v>1450</v>
      </c>
      <c r="AZ163" s="33">
        <v>1449</v>
      </c>
      <c r="BA163" s="33">
        <v>1454</v>
      </c>
      <c r="BB163" s="33">
        <v>1415</v>
      </c>
      <c r="BC163" s="33">
        <v>1403</v>
      </c>
      <c r="BD163" s="33">
        <v>1486</v>
      </c>
      <c r="BE163" s="33">
        <v>1484</v>
      </c>
      <c r="BF163" s="33">
        <v>1512</v>
      </c>
      <c r="BG163" s="33">
        <v>1464</v>
      </c>
      <c r="BH163" s="33">
        <v>1443</v>
      </c>
      <c r="BI163" s="33">
        <v>1540</v>
      </c>
      <c r="BJ163" s="33">
        <v>1590</v>
      </c>
      <c r="BK163" s="33">
        <v>1575</v>
      </c>
      <c r="BL163" s="33">
        <v>1574</v>
      </c>
    </row>
    <row r="164" spans="1:64" ht="15.95" customHeight="1">
      <c r="A164" s="68" t="s">
        <v>420</v>
      </c>
      <c r="B164" s="44" t="s">
        <v>224</v>
      </c>
      <c r="C164" s="48">
        <f>_xll.RssMarket("8704","安値")</f>
        <v>1145</v>
      </c>
      <c r="D164" s="16">
        <f t="shared" si="2"/>
        <v>0</v>
      </c>
      <c r="E164" s="33">
        <v>1145</v>
      </c>
      <c r="F164" s="33">
        <v>1137</v>
      </c>
      <c r="G164" s="33">
        <v>1158</v>
      </c>
      <c r="H164" s="33">
        <v>1113</v>
      </c>
      <c r="I164" s="33">
        <v>1050</v>
      </c>
      <c r="J164" s="33">
        <v>1091</v>
      </c>
      <c r="K164" s="33">
        <v>1103</v>
      </c>
      <c r="L164" s="33">
        <v>1111</v>
      </c>
      <c r="M164" s="33">
        <v>1105</v>
      </c>
      <c r="N164" s="33">
        <v>1174</v>
      </c>
      <c r="O164" s="33">
        <v>1158</v>
      </c>
      <c r="P164" s="33">
        <v>1148</v>
      </c>
      <c r="Q164" s="33">
        <v>1121</v>
      </c>
      <c r="R164" s="33">
        <v>1136</v>
      </c>
      <c r="S164" s="33">
        <v>1129</v>
      </c>
      <c r="T164" s="33">
        <v>1117</v>
      </c>
      <c r="U164" s="33">
        <v>1120</v>
      </c>
      <c r="V164" s="33">
        <v>1087</v>
      </c>
      <c r="W164" s="33">
        <v>1131</v>
      </c>
      <c r="X164" s="33">
        <v>1135</v>
      </c>
      <c r="Y164" s="33">
        <v>1151</v>
      </c>
      <c r="Z164" s="33">
        <v>1169</v>
      </c>
      <c r="AA164" s="33">
        <v>1174</v>
      </c>
      <c r="AB164" s="33">
        <v>1208</v>
      </c>
      <c r="AC164" s="33">
        <v>1197</v>
      </c>
      <c r="AD164" s="33">
        <v>1155</v>
      </c>
      <c r="AE164" s="33">
        <v>1130</v>
      </c>
      <c r="AF164" s="33">
        <v>1096</v>
      </c>
      <c r="AG164" s="33">
        <v>1038</v>
      </c>
      <c r="AH164" s="33">
        <v>1025</v>
      </c>
      <c r="AI164" s="33">
        <v>1013</v>
      </c>
      <c r="AJ164" s="33">
        <v>1015</v>
      </c>
      <c r="AK164" s="33">
        <v>1024</v>
      </c>
      <c r="AL164" s="33">
        <v>1037</v>
      </c>
      <c r="AM164" s="33">
        <v>1055</v>
      </c>
      <c r="AN164" s="33">
        <v>1038</v>
      </c>
      <c r="AO164" s="33">
        <v>1042</v>
      </c>
      <c r="AP164" s="33">
        <v>1045</v>
      </c>
      <c r="AQ164" s="33">
        <v>1034</v>
      </c>
      <c r="AR164" s="33">
        <v>1028</v>
      </c>
      <c r="AS164" s="33">
        <v>1027</v>
      </c>
      <c r="AT164" s="33">
        <v>1042</v>
      </c>
      <c r="AU164" s="33">
        <v>1051</v>
      </c>
      <c r="AV164" s="33">
        <v>1061</v>
      </c>
      <c r="AW164" s="33">
        <v>1040</v>
      </c>
      <c r="AX164" s="33">
        <v>1037</v>
      </c>
      <c r="AY164" s="33">
        <v>1038</v>
      </c>
      <c r="AZ164" s="33">
        <v>1020</v>
      </c>
      <c r="BA164" s="33">
        <v>1021</v>
      </c>
      <c r="BB164" s="33">
        <v>1008</v>
      </c>
      <c r="BC164" s="33">
        <v>983</v>
      </c>
      <c r="BD164" s="33">
        <v>1030</v>
      </c>
      <c r="BE164" s="33">
        <v>1039</v>
      </c>
      <c r="BF164" s="33">
        <v>1038</v>
      </c>
      <c r="BG164" s="33">
        <v>1017</v>
      </c>
      <c r="BH164" s="33">
        <v>996</v>
      </c>
      <c r="BI164" s="33">
        <v>1026</v>
      </c>
      <c r="BJ164" s="33">
        <v>1027</v>
      </c>
      <c r="BK164" s="33">
        <v>1025</v>
      </c>
      <c r="BL164" s="33">
        <v>1023</v>
      </c>
    </row>
    <row r="165" spans="1:64" ht="15.95" customHeight="1">
      <c r="A165" s="68" t="s">
        <v>421</v>
      </c>
      <c r="B165" s="44" t="s">
        <v>225</v>
      </c>
      <c r="C165" s="48">
        <f>_xll.RssMarket("4733","安値")</f>
        <v>5824</v>
      </c>
      <c r="D165" s="16">
        <f t="shared" si="2"/>
        <v>0</v>
      </c>
      <c r="E165" s="33">
        <v>5824</v>
      </c>
      <c r="F165" s="33">
        <v>5796</v>
      </c>
      <c r="G165" s="33">
        <v>5870</v>
      </c>
      <c r="H165" s="33">
        <v>5785</v>
      </c>
      <c r="I165" s="33">
        <v>5880</v>
      </c>
      <c r="J165" s="33">
        <v>5874</v>
      </c>
      <c r="K165" s="33">
        <v>5977</v>
      </c>
      <c r="L165" s="33">
        <v>6006</v>
      </c>
      <c r="M165" s="33">
        <v>5961</v>
      </c>
      <c r="N165" s="33">
        <v>6130</v>
      </c>
      <c r="O165" s="33">
        <v>6369</v>
      </c>
      <c r="P165" s="33">
        <v>6071</v>
      </c>
      <c r="Q165" s="33">
        <v>6040</v>
      </c>
      <c r="R165" s="33">
        <v>5965</v>
      </c>
      <c r="S165" s="33">
        <v>5897</v>
      </c>
      <c r="T165" s="33">
        <v>6033</v>
      </c>
      <c r="U165" s="33">
        <v>6038</v>
      </c>
      <c r="V165" s="33">
        <v>6086</v>
      </c>
      <c r="W165" s="33">
        <v>6137</v>
      </c>
      <c r="X165" s="33">
        <v>6059</v>
      </c>
      <c r="Y165" s="33">
        <v>5940</v>
      </c>
      <c r="Z165" s="33">
        <v>5943</v>
      </c>
      <c r="AA165" s="33">
        <v>6042</v>
      </c>
      <c r="AB165" s="33">
        <v>6016</v>
      </c>
      <c r="AC165" s="33">
        <v>6153</v>
      </c>
      <c r="AD165" s="33">
        <v>6191</v>
      </c>
      <c r="AE165" s="33">
        <v>6055</v>
      </c>
      <c r="AF165" s="33">
        <v>6029</v>
      </c>
      <c r="AG165" s="33">
        <v>6121</v>
      </c>
      <c r="AH165" s="33">
        <v>6156</v>
      </c>
      <c r="AI165" s="33">
        <v>6144</v>
      </c>
      <c r="AJ165" s="33">
        <v>6167</v>
      </c>
      <c r="AK165" s="33">
        <v>6231</v>
      </c>
      <c r="AL165" s="33">
        <v>6694</v>
      </c>
      <c r="AM165" s="33">
        <v>6293</v>
      </c>
      <c r="AN165" s="33">
        <v>6671</v>
      </c>
      <c r="AO165" s="33">
        <v>6619</v>
      </c>
      <c r="AP165" s="33">
        <v>6598</v>
      </c>
      <c r="AQ165" s="33">
        <v>6584</v>
      </c>
      <c r="AR165" s="33">
        <v>6510</v>
      </c>
      <c r="AS165" s="33">
        <v>6087</v>
      </c>
      <c r="AT165" s="33">
        <v>6121</v>
      </c>
      <c r="AU165" s="33">
        <v>6278</v>
      </c>
      <c r="AV165" s="33">
        <v>6433</v>
      </c>
      <c r="AW165" s="33">
        <v>6320</v>
      </c>
      <c r="AX165" s="33">
        <v>6327</v>
      </c>
      <c r="AY165" s="33">
        <v>6292</v>
      </c>
      <c r="AZ165" s="33">
        <v>6321</v>
      </c>
      <c r="BA165" s="33">
        <v>6308</v>
      </c>
      <c r="BB165" s="33">
        <v>6208</v>
      </c>
      <c r="BC165" s="33">
        <v>5977</v>
      </c>
      <c r="BD165" s="33">
        <v>6216</v>
      </c>
      <c r="BE165" s="33">
        <v>6081</v>
      </c>
      <c r="BF165" s="33">
        <v>6127</v>
      </c>
      <c r="BG165" s="33">
        <v>6176</v>
      </c>
      <c r="BH165" s="33">
        <v>6060</v>
      </c>
      <c r="BI165" s="33">
        <v>6121</v>
      </c>
      <c r="BJ165" s="33">
        <v>6181</v>
      </c>
      <c r="BK165" s="33">
        <v>6298</v>
      </c>
      <c r="BL165" s="33">
        <v>6299</v>
      </c>
    </row>
    <row r="166" spans="1:64" ht="15.95" customHeight="1">
      <c r="A166" s="68" t="s">
        <v>422</v>
      </c>
      <c r="B166" s="44" t="s">
        <v>226</v>
      </c>
      <c r="C166" s="48">
        <f>_xll.RssMarket("9733","安値")</f>
        <v>2201</v>
      </c>
      <c r="D166" s="16">
        <f t="shared" si="2"/>
        <v>0</v>
      </c>
      <c r="E166" s="33">
        <v>2201</v>
      </c>
      <c r="F166" s="33">
        <v>2203</v>
      </c>
      <c r="G166" s="33">
        <v>2222</v>
      </c>
      <c r="H166" s="33">
        <v>2215</v>
      </c>
      <c r="I166" s="33">
        <v>2196</v>
      </c>
      <c r="J166" s="33">
        <v>2223</v>
      </c>
      <c r="K166" s="33">
        <v>2169</v>
      </c>
      <c r="L166" s="33">
        <v>2187</v>
      </c>
      <c r="M166" s="33">
        <v>2180</v>
      </c>
      <c r="N166" s="33">
        <v>2191</v>
      </c>
      <c r="O166" s="33">
        <v>2200</v>
      </c>
      <c r="P166" s="33">
        <v>2266</v>
      </c>
      <c r="Q166" s="33">
        <v>2241</v>
      </c>
      <c r="R166" s="33">
        <v>2225</v>
      </c>
      <c r="S166" s="33">
        <v>2269</v>
      </c>
      <c r="T166" s="33">
        <v>2279</v>
      </c>
      <c r="U166" s="33">
        <v>2290</v>
      </c>
      <c r="V166" s="33">
        <v>2275</v>
      </c>
      <c r="W166" s="33">
        <v>2267</v>
      </c>
      <c r="X166" s="33">
        <v>2261</v>
      </c>
      <c r="Y166" s="33">
        <v>2264</v>
      </c>
      <c r="Z166" s="33">
        <v>2260</v>
      </c>
      <c r="AA166" s="33">
        <v>2263</v>
      </c>
      <c r="AB166" s="33">
        <v>2280</v>
      </c>
      <c r="AC166" s="33">
        <v>2263</v>
      </c>
      <c r="AD166" s="33">
        <v>2273</v>
      </c>
      <c r="AE166" s="33">
        <v>2275</v>
      </c>
      <c r="AF166" s="33">
        <v>2300</v>
      </c>
      <c r="AG166" s="33">
        <v>2297</v>
      </c>
      <c r="AH166" s="33">
        <v>2286</v>
      </c>
      <c r="AI166" s="33">
        <v>2311</v>
      </c>
      <c r="AJ166" s="33">
        <v>2339</v>
      </c>
      <c r="AK166" s="33">
        <v>2351</v>
      </c>
      <c r="AL166" s="33">
        <v>2358</v>
      </c>
      <c r="AM166" s="33">
        <v>2405</v>
      </c>
      <c r="AN166" s="33">
        <v>2447</v>
      </c>
      <c r="AO166" s="33">
        <v>2427</v>
      </c>
      <c r="AP166" s="33">
        <v>2412</v>
      </c>
      <c r="AQ166" s="33">
        <v>2481</v>
      </c>
      <c r="AR166" s="33">
        <v>2496</v>
      </c>
      <c r="AS166" s="33">
        <v>2493</v>
      </c>
      <c r="AT166" s="33">
        <v>2523</v>
      </c>
      <c r="AU166" s="33">
        <v>2525</v>
      </c>
      <c r="AV166" s="33">
        <v>2500</v>
      </c>
      <c r="AW166" s="33">
        <v>2473</v>
      </c>
      <c r="AX166" s="33">
        <v>2441</v>
      </c>
      <c r="AY166" s="33">
        <v>2422</v>
      </c>
      <c r="AZ166" s="33">
        <v>2401</v>
      </c>
      <c r="BA166" s="33">
        <v>2351</v>
      </c>
      <c r="BB166" s="33">
        <v>2443</v>
      </c>
      <c r="BC166" s="33">
        <v>2800</v>
      </c>
      <c r="BD166" s="33">
        <v>2820</v>
      </c>
      <c r="BE166" s="33">
        <v>2752</v>
      </c>
      <c r="BF166" s="33">
        <v>2734</v>
      </c>
      <c r="BG166" s="33">
        <v>2705</v>
      </c>
      <c r="BH166" s="33">
        <v>2750</v>
      </c>
      <c r="BI166" s="33">
        <v>2761</v>
      </c>
      <c r="BJ166" s="33">
        <v>2752</v>
      </c>
      <c r="BK166" s="33">
        <v>2738</v>
      </c>
      <c r="BL166" s="33">
        <v>2738</v>
      </c>
    </row>
    <row r="167" spans="1:64" ht="15.95" customHeight="1">
      <c r="A167" s="68" t="s">
        <v>423</v>
      </c>
      <c r="B167" s="44" t="s">
        <v>227</v>
      </c>
      <c r="C167" s="48">
        <f>_xll.RssMarket("9551","安値")</f>
        <v>3350</v>
      </c>
      <c r="D167" s="16">
        <f t="shared" si="2"/>
        <v>0</v>
      </c>
      <c r="E167" s="33">
        <v>3350</v>
      </c>
      <c r="F167" s="33">
        <v>3320</v>
      </c>
      <c r="G167" s="33">
        <v>3205</v>
      </c>
      <c r="H167" s="33">
        <v>3130</v>
      </c>
      <c r="I167" s="33">
        <v>3045</v>
      </c>
      <c r="J167" s="33">
        <v>3125</v>
      </c>
      <c r="K167" s="33">
        <v>3190</v>
      </c>
      <c r="L167" s="33">
        <v>3280</v>
      </c>
      <c r="M167" s="33">
        <v>3235</v>
      </c>
      <c r="N167" s="33">
        <v>3265</v>
      </c>
      <c r="O167" s="33">
        <v>3205</v>
      </c>
      <c r="P167" s="33">
        <v>3525</v>
      </c>
      <c r="Q167" s="33">
        <v>3200</v>
      </c>
      <c r="R167" s="33">
        <v>3225</v>
      </c>
      <c r="S167" s="33">
        <v>3265</v>
      </c>
      <c r="T167" s="33">
        <v>3235</v>
      </c>
      <c r="U167" s="33">
        <v>3255</v>
      </c>
      <c r="V167" s="33">
        <v>3195</v>
      </c>
      <c r="W167" s="33">
        <v>3260</v>
      </c>
      <c r="X167" s="33">
        <v>3335</v>
      </c>
      <c r="Y167" s="33">
        <v>3450</v>
      </c>
      <c r="Z167" s="33">
        <v>3410</v>
      </c>
      <c r="AA167" s="33">
        <v>3380</v>
      </c>
      <c r="AB167" s="33">
        <v>3345</v>
      </c>
      <c r="AC167" s="33">
        <v>3415</v>
      </c>
      <c r="AD167" s="33">
        <v>3370</v>
      </c>
      <c r="AE167" s="33">
        <v>3400</v>
      </c>
      <c r="AF167" s="33">
        <v>3355</v>
      </c>
      <c r="AG167" s="33">
        <v>3325</v>
      </c>
      <c r="AH167" s="33">
        <v>3315</v>
      </c>
      <c r="AI167" s="33">
        <v>3255</v>
      </c>
      <c r="AJ167" s="33">
        <v>3580</v>
      </c>
      <c r="AK167" s="33">
        <v>3545</v>
      </c>
      <c r="AL167" s="33">
        <v>3610</v>
      </c>
      <c r="AM167" s="33">
        <v>3640</v>
      </c>
      <c r="AN167" s="33">
        <v>3680</v>
      </c>
      <c r="AO167" s="33">
        <v>3685</v>
      </c>
      <c r="AP167" s="33">
        <v>3665</v>
      </c>
      <c r="AQ167" s="33">
        <v>3645</v>
      </c>
      <c r="AR167" s="33">
        <v>3670</v>
      </c>
      <c r="AS167" s="33">
        <v>3595</v>
      </c>
      <c r="AT167" s="33">
        <v>3655</v>
      </c>
      <c r="AU167" s="33">
        <v>3680</v>
      </c>
      <c r="AV167" s="33">
        <v>3690</v>
      </c>
      <c r="AW167" s="33">
        <v>3550</v>
      </c>
      <c r="AX167" s="33">
        <v>3550</v>
      </c>
      <c r="AY167" s="33">
        <v>3530</v>
      </c>
      <c r="AZ167" s="33">
        <v>3500</v>
      </c>
      <c r="BA167" s="33">
        <v>3500</v>
      </c>
      <c r="BB167" s="33">
        <v>3350</v>
      </c>
      <c r="BC167" s="33">
        <v>3325</v>
      </c>
      <c r="BD167" s="33">
        <v>3425</v>
      </c>
      <c r="BE167" s="33">
        <v>3485</v>
      </c>
      <c r="BF167" s="33">
        <v>3525</v>
      </c>
      <c r="BG167" s="33">
        <v>3415</v>
      </c>
      <c r="BH167" s="33">
        <v>3255</v>
      </c>
      <c r="BI167" s="33">
        <v>3565</v>
      </c>
      <c r="BJ167" s="33">
        <v>3650</v>
      </c>
      <c r="BK167" s="33">
        <v>3645</v>
      </c>
      <c r="BL167" s="33">
        <v>3630</v>
      </c>
    </row>
    <row r="168" spans="1:64" ht="15.95" customHeight="1">
      <c r="A168" s="68" t="s">
        <v>424</v>
      </c>
      <c r="B168" s="44" t="s">
        <v>228</v>
      </c>
      <c r="C168" s="48">
        <f>_xll.RssMarket("2359","安値")</f>
        <v>2007</v>
      </c>
      <c r="D168" s="16">
        <f t="shared" si="2"/>
        <v>0</v>
      </c>
      <c r="E168" s="33">
        <v>2007</v>
      </c>
      <c r="F168" s="33">
        <v>1979</v>
      </c>
      <c r="G168" s="33">
        <v>2008</v>
      </c>
      <c r="H168" s="33">
        <v>1991</v>
      </c>
      <c r="I168" s="33">
        <v>2005</v>
      </c>
      <c r="J168" s="33">
        <v>2017</v>
      </c>
      <c r="K168" s="33">
        <v>2024</v>
      </c>
      <c r="L168" s="33">
        <v>2059</v>
      </c>
      <c r="M168" s="33">
        <v>2020</v>
      </c>
      <c r="N168" s="33">
        <v>2016</v>
      </c>
      <c r="O168" s="33">
        <v>2015</v>
      </c>
      <c r="P168" s="33">
        <v>2020</v>
      </c>
      <c r="Q168" s="33">
        <v>2014</v>
      </c>
      <c r="R168" s="33">
        <v>2013</v>
      </c>
      <c r="S168" s="33">
        <v>2075</v>
      </c>
      <c r="T168" s="33">
        <v>2081</v>
      </c>
      <c r="U168" s="33">
        <v>2102</v>
      </c>
      <c r="V168" s="33">
        <v>2075</v>
      </c>
      <c r="W168" s="33">
        <v>2050</v>
      </c>
      <c r="X168" s="33">
        <v>2035</v>
      </c>
      <c r="Y168" s="33">
        <v>2041</v>
      </c>
      <c r="Z168" s="33">
        <v>2042</v>
      </c>
      <c r="AA168" s="33">
        <v>2015</v>
      </c>
      <c r="AB168" s="33">
        <v>2009</v>
      </c>
      <c r="AC168" s="33">
        <v>1990</v>
      </c>
      <c r="AD168" s="33">
        <v>1993</v>
      </c>
      <c r="AE168" s="33">
        <v>1983</v>
      </c>
      <c r="AF168" s="33">
        <v>2013</v>
      </c>
      <c r="AG168" s="33">
        <v>2010</v>
      </c>
      <c r="AH168" s="33">
        <v>2165</v>
      </c>
      <c r="AI168" s="33">
        <v>2144</v>
      </c>
      <c r="AJ168" s="33">
        <v>2137</v>
      </c>
      <c r="AK168" s="33">
        <v>2137</v>
      </c>
      <c r="AL168" s="33">
        <v>2206</v>
      </c>
      <c r="AM168" s="33">
        <v>2235</v>
      </c>
      <c r="AN168" s="33">
        <v>2239</v>
      </c>
      <c r="AO168" s="33">
        <v>2248</v>
      </c>
      <c r="AP168" s="33">
        <v>2232</v>
      </c>
      <c r="AQ168" s="33">
        <v>2241</v>
      </c>
      <c r="AR168" s="33">
        <v>2215</v>
      </c>
      <c r="AS168" s="33">
        <v>2210</v>
      </c>
      <c r="AT168" s="33">
        <v>2236</v>
      </c>
      <c r="AU168" s="33">
        <v>2265</v>
      </c>
      <c r="AV168" s="33">
        <v>2290</v>
      </c>
      <c r="AW168" s="33">
        <v>2251</v>
      </c>
      <c r="AX168" s="33">
        <v>2258</v>
      </c>
      <c r="AY168" s="33">
        <v>2256</v>
      </c>
      <c r="AZ168" s="33">
        <v>2236</v>
      </c>
      <c r="BA168" s="33">
        <v>2237</v>
      </c>
      <c r="BB168" s="33">
        <v>2214</v>
      </c>
      <c r="BC168" s="33">
        <v>2168</v>
      </c>
      <c r="BD168" s="33">
        <v>2282</v>
      </c>
      <c r="BE168" s="33">
        <v>2250</v>
      </c>
      <c r="BF168" s="33">
        <v>2212</v>
      </c>
      <c r="BG168" s="33">
        <v>2154</v>
      </c>
      <c r="BH168" s="33">
        <v>2130</v>
      </c>
      <c r="BI168" s="33">
        <v>2185</v>
      </c>
      <c r="BJ168" s="33">
        <v>2190</v>
      </c>
      <c r="BK168" s="33">
        <v>2185</v>
      </c>
      <c r="BL168" s="33">
        <v>2172</v>
      </c>
    </row>
    <row r="169" spans="1:64" ht="15.95" customHeight="1">
      <c r="A169" s="68" t="s">
        <v>425</v>
      </c>
      <c r="B169" s="44" t="s">
        <v>229</v>
      </c>
      <c r="C169" s="48">
        <f>_xll.RssMarket("8103","安値")</f>
        <v>872</v>
      </c>
      <c r="D169" s="16">
        <f t="shared" si="2"/>
        <v>0</v>
      </c>
      <c r="E169" s="33">
        <v>872</v>
      </c>
      <c r="F169" s="33">
        <v>861</v>
      </c>
      <c r="G169" s="33">
        <v>853</v>
      </c>
      <c r="H169" s="33">
        <v>854</v>
      </c>
      <c r="I169" s="33">
        <v>862</v>
      </c>
      <c r="J169" s="33">
        <v>879</v>
      </c>
      <c r="K169" s="33">
        <v>876</v>
      </c>
      <c r="L169" s="33">
        <v>870</v>
      </c>
      <c r="M169" s="33">
        <v>864</v>
      </c>
      <c r="N169" s="33">
        <v>880</v>
      </c>
      <c r="O169" s="33">
        <v>875</v>
      </c>
      <c r="P169" s="33">
        <v>880</v>
      </c>
      <c r="Q169" s="33">
        <v>903</v>
      </c>
      <c r="R169" s="33">
        <v>891</v>
      </c>
      <c r="S169" s="33">
        <v>884</v>
      </c>
      <c r="T169" s="33">
        <v>876</v>
      </c>
      <c r="U169" s="33">
        <v>903</v>
      </c>
      <c r="V169" s="33">
        <v>887</v>
      </c>
      <c r="W169" s="33">
        <v>892</v>
      </c>
      <c r="X169" s="33">
        <v>900</v>
      </c>
      <c r="Y169" s="33">
        <v>879</v>
      </c>
      <c r="Z169" s="33">
        <v>877</v>
      </c>
      <c r="AA169" s="33">
        <v>885</v>
      </c>
      <c r="AB169" s="33">
        <v>878</v>
      </c>
      <c r="AC169" s="33">
        <v>857</v>
      </c>
      <c r="AD169" s="33">
        <v>832</v>
      </c>
      <c r="AE169" s="33">
        <v>752</v>
      </c>
      <c r="AF169" s="33">
        <v>764</v>
      </c>
      <c r="AG169" s="33">
        <v>760</v>
      </c>
      <c r="AH169" s="33">
        <v>762</v>
      </c>
      <c r="AI169" s="33">
        <v>758</v>
      </c>
      <c r="AJ169" s="33">
        <v>764</v>
      </c>
      <c r="AK169" s="33">
        <v>773</v>
      </c>
      <c r="AL169" s="33">
        <v>778</v>
      </c>
      <c r="AM169" s="33">
        <v>778</v>
      </c>
      <c r="AN169" s="33">
        <v>773</v>
      </c>
      <c r="AO169" s="33">
        <v>773</v>
      </c>
      <c r="AP169" s="33">
        <v>777</v>
      </c>
      <c r="AQ169" s="33">
        <v>785</v>
      </c>
      <c r="AR169" s="33">
        <v>795</v>
      </c>
      <c r="AS169" s="33">
        <v>800</v>
      </c>
      <c r="AT169" s="33">
        <v>801</v>
      </c>
      <c r="AU169" s="33">
        <v>791</v>
      </c>
      <c r="AV169" s="33">
        <v>787</v>
      </c>
      <c r="AW169" s="33">
        <v>787</v>
      </c>
      <c r="AX169" s="33">
        <v>787</v>
      </c>
      <c r="AY169" s="33">
        <v>793</v>
      </c>
      <c r="AZ169" s="33">
        <v>782</v>
      </c>
      <c r="BA169" s="33">
        <v>764</v>
      </c>
      <c r="BB169" s="33">
        <v>817</v>
      </c>
      <c r="BC169" s="33">
        <v>819</v>
      </c>
      <c r="BD169" s="33">
        <v>823</v>
      </c>
      <c r="BE169" s="33">
        <v>813</v>
      </c>
      <c r="BF169" s="33">
        <v>795</v>
      </c>
      <c r="BG169" s="33">
        <v>815</v>
      </c>
      <c r="BH169" s="33">
        <v>823</v>
      </c>
      <c r="BI169" s="33">
        <v>818</v>
      </c>
      <c r="BJ169" s="33">
        <v>808</v>
      </c>
      <c r="BK169" s="33">
        <v>816</v>
      </c>
      <c r="BL169" s="33">
        <v>824</v>
      </c>
    </row>
    <row r="170" spans="1:64" ht="15.95" customHeight="1">
      <c r="A170" s="68" t="s">
        <v>426</v>
      </c>
      <c r="B170" s="44" t="s">
        <v>230</v>
      </c>
      <c r="C170" s="48">
        <f>_xll.RssMarket("4709","安値")</f>
        <v>1091</v>
      </c>
      <c r="D170" s="16">
        <f t="shared" si="2"/>
        <v>0</v>
      </c>
      <c r="E170" s="33">
        <v>1091</v>
      </c>
      <c r="F170" s="33">
        <v>1068</v>
      </c>
      <c r="G170" s="33">
        <v>1061</v>
      </c>
      <c r="H170" s="33">
        <v>1035</v>
      </c>
      <c r="I170" s="33">
        <v>1054</v>
      </c>
      <c r="J170" s="33">
        <v>1042</v>
      </c>
      <c r="K170" s="33">
        <v>995</v>
      </c>
      <c r="L170" s="33">
        <v>998</v>
      </c>
      <c r="M170" s="33">
        <v>981</v>
      </c>
      <c r="N170" s="33">
        <v>990</v>
      </c>
      <c r="O170" s="33">
        <v>1015</v>
      </c>
      <c r="P170" s="33">
        <v>1020</v>
      </c>
      <c r="Q170" s="33">
        <v>1001</v>
      </c>
      <c r="R170" s="33">
        <v>996</v>
      </c>
      <c r="S170" s="33">
        <v>1019</v>
      </c>
      <c r="T170" s="33">
        <v>1033</v>
      </c>
      <c r="U170" s="33">
        <v>1045</v>
      </c>
      <c r="V170" s="33">
        <v>1022</v>
      </c>
      <c r="W170" s="33">
        <v>1017</v>
      </c>
      <c r="X170" s="33">
        <v>1016</v>
      </c>
      <c r="Y170" s="33">
        <v>1018</v>
      </c>
      <c r="Z170" s="33">
        <v>1007</v>
      </c>
      <c r="AA170" s="33">
        <v>1060</v>
      </c>
      <c r="AB170" s="33">
        <v>1066</v>
      </c>
      <c r="AC170" s="33">
        <v>1044</v>
      </c>
      <c r="AD170" s="33">
        <v>1015</v>
      </c>
      <c r="AE170" s="33">
        <v>1035</v>
      </c>
      <c r="AF170" s="33">
        <v>1006</v>
      </c>
      <c r="AG170" s="33">
        <v>885</v>
      </c>
      <c r="AH170" s="33">
        <v>892</v>
      </c>
      <c r="AI170" s="33">
        <v>883</v>
      </c>
      <c r="AJ170" s="33">
        <v>881</v>
      </c>
      <c r="AK170" s="33">
        <v>881</v>
      </c>
      <c r="AL170" s="33">
        <v>905</v>
      </c>
      <c r="AM170" s="33">
        <v>919</v>
      </c>
      <c r="AN170" s="33">
        <v>917</v>
      </c>
      <c r="AO170" s="33">
        <v>932</v>
      </c>
      <c r="AP170" s="33">
        <v>935</v>
      </c>
      <c r="AQ170" s="33">
        <v>918</v>
      </c>
      <c r="AR170" s="33">
        <v>913</v>
      </c>
      <c r="AS170" s="33">
        <v>911</v>
      </c>
      <c r="AT170" s="33">
        <v>927</v>
      </c>
      <c r="AU170" s="33">
        <v>936</v>
      </c>
      <c r="AV170" s="33">
        <v>949</v>
      </c>
      <c r="AW170" s="33">
        <v>942</v>
      </c>
      <c r="AX170" s="33">
        <v>944</v>
      </c>
      <c r="AY170" s="33">
        <v>940</v>
      </c>
      <c r="AZ170" s="33">
        <v>940</v>
      </c>
      <c r="BA170" s="33">
        <v>945</v>
      </c>
      <c r="BB170" s="33">
        <v>919</v>
      </c>
      <c r="BC170" s="33">
        <v>903</v>
      </c>
      <c r="BD170" s="33">
        <v>940.5</v>
      </c>
      <c r="BE170" s="33">
        <v>936</v>
      </c>
      <c r="BF170" s="33">
        <v>941</v>
      </c>
      <c r="BG170" s="33">
        <v>925</v>
      </c>
      <c r="BH170" s="33">
        <v>915</v>
      </c>
      <c r="BI170" s="33">
        <v>940</v>
      </c>
      <c r="BJ170" s="33">
        <v>959</v>
      </c>
      <c r="BK170" s="33">
        <v>951.5</v>
      </c>
      <c r="BL170" s="33">
        <v>955</v>
      </c>
    </row>
    <row r="171" spans="1:64" ht="15.95" customHeight="1">
      <c r="A171" s="68" t="s">
        <v>427</v>
      </c>
      <c r="B171" s="44" t="s">
        <v>231</v>
      </c>
      <c r="C171" s="48">
        <f>_xll.RssMarket("7981","安値")</f>
        <v>2994</v>
      </c>
      <c r="D171" s="16">
        <f t="shared" si="2"/>
        <v>0</v>
      </c>
      <c r="E171" s="33">
        <v>2994</v>
      </c>
      <c r="F171" s="33">
        <v>2979</v>
      </c>
      <c r="G171" s="33">
        <v>3000</v>
      </c>
      <c r="H171" s="33">
        <v>2967</v>
      </c>
      <c r="I171" s="33">
        <v>2891</v>
      </c>
      <c r="J171" s="33">
        <v>2937</v>
      </c>
      <c r="K171" s="33">
        <v>2912</v>
      </c>
      <c r="L171" s="33">
        <v>2941</v>
      </c>
      <c r="M171" s="33">
        <v>2909</v>
      </c>
      <c r="N171" s="33">
        <v>2899</v>
      </c>
      <c r="O171" s="33">
        <v>2882</v>
      </c>
      <c r="P171" s="33">
        <v>2935</v>
      </c>
      <c r="Q171" s="33">
        <v>2930</v>
      </c>
      <c r="R171" s="33">
        <v>2940</v>
      </c>
      <c r="S171" s="33">
        <v>2973</v>
      </c>
      <c r="T171" s="33">
        <v>2877</v>
      </c>
      <c r="U171" s="33">
        <v>2895</v>
      </c>
      <c r="V171" s="33">
        <v>2882</v>
      </c>
      <c r="W171" s="33">
        <v>2907</v>
      </c>
      <c r="X171" s="33">
        <v>2883</v>
      </c>
      <c r="Y171" s="33">
        <v>2983</v>
      </c>
      <c r="Z171" s="33">
        <v>2941</v>
      </c>
      <c r="AA171" s="33">
        <v>2992</v>
      </c>
      <c r="AB171" s="33">
        <v>3020</v>
      </c>
      <c r="AC171" s="33">
        <v>3045</v>
      </c>
      <c r="AD171" s="33">
        <v>3050</v>
      </c>
      <c r="AE171" s="33">
        <v>3045</v>
      </c>
      <c r="AF171" s="33">
        <v>2961</v>
      </c>
      <c r="AG171" s="33">
        <v>2782</v>
      </c>
      <c r="AH171" s="33">
        <v>2731</v>
      </c>
      <c r="AI171" s="33">
        <v>2670</v>
      </c>
      <c r="AJ171" s="33">
        <v>2628</v>
      </c>
      <c r="AK171" s="33">
        <v>2626</v>
      </c>
      <c r="AL171" s="33">
        <v>2649</v>
      </c>
      <c r="AM171" s="33">
        <v>2671</v>
      </c>
      <c r="AN171" s="33">
        <v>2713</v>
      </c>
      <c r="AO171" s="33">
        <v>2717</v>
      </c>
      <c r="AP171" s="33">
        <v>2746</v>
      </c>
      <c r="AQ171" s="33">
        <v>2693</v>
      </c>
      <c r="AR171" s="33">
        <v>2646</v>
      </c>
      <c r="AS171" s="33">
        <v>2740</v>
      </c>
      <c r="AT171" s="33">
        <v>2925</v>
      </c>
      <c r="AU171" s="33">
        <v>2923</v>
      </c>
      <c r="AV171" s="33">
        <v>2897</v>
      </c>
      <c r="AW171" s="33">
        <v>2816</v>
      </c>
      <c r="AX171" s="33">
        <v>2798</v>
      </c>
      <c r="AY171" s="33">
        <v>2775</v>
      </c>
      <c r="AZ171" s="33">
        <v>2776</v>
      </c>
      <c r="BA171" s="33">
        <v>2770</v>
      </c>
      <c r="BB171" s="33">
        <v>2727</v>
      </c>
      <c r="BC171" s="33">
        <v>2688</v>
      </c>
      <c r="BD171" s="33">
        <v>2839</v>
      </c>
      <c r="BE171" s="33">
        <v>2833</v>
      </c>
      <c r="BF171" s="33">
        <v>2834</v>
      </c>
      <c r="BG171" s="33">
        <v>2762</v>
      </c>
      <c r="BH171" s="33">
        <v>2708</v>
      </c>
      <c r="BI171" s="33">
        <v>2817</v>
      </c>
      <c r="BJ171" s="33">
        <v>2872</v>
      </c>
      <c r="BK171" s="33">
        <v>2805</v>
      </c>
      <c r="BL171" s="33">
        <v>2777</v>
      </c>
    </row>
    <row r="172" spans="1:64" ht="15.95" customHeight="1">
      <c r="A172" s="68" t="s">
        <v>428</v>
      </c>
      <c r="B172" s="44" t="s">
        <v>232</v>
      </c>
      <c r="C172" s="48">
        <f>_xll.RssMarket("8303","安値")</f>
        <v>1445</v>
      </c>
      <c r="D172" s="16">
        <f t="shared" si="2"/>
        <v>0</v>
      </c>
      <c r="E172" s="33">
        <v>1445</v>
      </c>
      <c r="F172" s="33">
        <v>1435</v>
      </c>
      <c r="G172" s="33">
        <v>1473.5</v>
      </c>
      <c r="H172" s="33">
        <v>1393</v>
      </c>
      <c r="I172" s="33">
        <v>1417.5</v>
      </c>
      <c r="J172" s="33">
        <v>1444</v>
      </c>
      <c r="K172" s="33">
        <v>1362</v>
      </c>
      <c r="L172" s="33">
        <v>1396</v>
      </c>
      <c r="M172" s="33">
        <v>1377</v>
      </c>
      <c r="N172" s="33">
        <v>1333</v>
      </c>
      <c r="O172" s="33">
        <v>1325</v>
      </c>
      <c r="P172" s="33">
        <v>1365</v>
      </c>
      <c r="Q172" s="33">
        <v>1348</v>
      </c>
      <c r="R172" s="33">
        <v>1361.5</v>
      </c>
      <c r="S172" s="33">
        <v>1457.5</v>
      </c>
      <c r="T172" s="33">
        <v>1474</v>
      </c>
      <c r="U172" s="33">
        <v>1494.5</v>
      </c>
      <c r="V172" s="33">
        <v>1555.5</v>
      </c>
      <c r="W172" s="33">
        <v>1571</v>
      </c>
      <c r="X172" s="33">
        <v>1619.5</v>
      </c>
      <c r="Y172" s="33">
        <v>1615</v>
      </c>
      <c r="Z172" s="33">
        <v>1607</v>
      </c>
      <c r="AA172" s="33">
        <v>1649</v>
      </c>
      <c r="AB172" s="33">
        <v>1635</v>
      </c>
      <c r="AC172" s="33">
        <v>1626</v>
      </c>
      <c r="AD172" s="33">
        <v>1673</v>
      </c>
      <c r="AE172" s="33">
        <v>1669</v>
      </c>
      <c r="AF172" s="33">
        <v>1710</v>
      </c>
      <c r="AG172" s="33">
        <v>1785</v>
      </c>
      <c r="AH172" s="33">
        <v>1753</v>
      </c>
      <c r="AI172" s="33">
        <v>1678</v>
      </c>
      <c r="AJ172" s="33">
        <v>1673.5</v>
      </c>
      <c r="AK172" s="33">
        <v>1614.5</v>
      </c>
      <c r="AL172" s="33">
        <v>1611.5</v>
      </c>
      <c r="AM172" s="33">
        <v>1655</v>
      </c>
      <c r="AN172" s="33">
        <v>1673</v>
      </c>
      <c r="AO172" s="33">
        <v>1685</v>
      </c>
      <c r="AP172" s="33">
        <v>1698.5</v>
      </c>
      <c r="AQ172" s="33">
        <v>1680</v>
      </c>
      <c r="AR172" s="33">
        <v>1670</v>
      </c>
      <c r="AS172" s="33">
        <v>1666</v>
      </c>
      <c r="AT172" s="33">
        <v>1693.5</v>
      </c>
      <c r="AU172" s="33">
        <v>1720.5</v>
      </c>
      <c r="AV172" s="33">
        <v>1766</v>
      </c>
      <c r="AW172" s="33">
        <v>1768</v>
      </c>
      <c r="AX172" s="33">
        <v>1737</v>
      </c>
      <c r="AY172" s="33">
        <v>1717</v>
      </c>
      <c r="AZ172" s="33">
        <v>1709</v>
      </c>
      <c r="BA172" s="33">
        <v>1706.5</v>
      </c>
      <c r="BB172" s="33">
        <v>1682.5</v>
      </c>
      <c r="BC172" s="33">
        <v>1643</v>
      </c>
      <c r="BD172" s="33">
        <v>1676</v>
      </c>
      <c r="BE172" s="33">
        <v>1668.5</v>
      </c>
      <c r="BF172" s="33">
        <v>1708</v>
      </c>
      <c r="BG172" s="33">
        <v>1677</v>
      </c>
      <c r="BH172" s="33">
        <v>1628</v>
      </c>
      <c r="BI172" s="33">
        <v>1669</v>
      </c>
      <c r="BJ172" s="33">
        <v>1682</v>
      </c>
      <c r="BK172" s="33">
        <v>1668.5</v>
      </c>
      <c r="BL172" s="33">
        <v>1676</v>
      </c>
    </row>
    <row r="173" spans="1:64" ht="15.95" customHeight="1">
      <c r="A173" s="68" t="s">
        <v>429</v>
      </c>
      <c r="B173" s="44" t="s">
        <v>233</v>
      </c>
      <c r="C173" s="48">
        <f>_xll.RssMarket("4382","安値")</f>
        <v>781</v>
      </c>
      <c r="D173" s="16">
        <f t="shared" si="2"/>
        <v>0</v>
      </c>
      <c r="E173" s="33">
        <v>781</v>
      </c>
      <c r="F173" s="33">
        <v>762</v>
      </c>
      <c r="G173" s="33">
        <v>788</v>
      </c>
      <c r="H173" s="33">
        <v>771</v>
      </c>
      <c r="I173" s="33">
        <v>751</v>
      </c>
      <c r="J173" s="33">
        <v>752</v>
      </c>
      <c r="K173" s="33">
        <v>694</v>
      </c>
      <c r="L173" s="33">
        <v>696</v>
      </c>
      <c r="M173" s="33">
        <v>693</v>
      </c>
      <c r="N173" s="33">
        <v>699</v>
      </c>
      <c r="O173" s="33">
        <v>701</v>
      </c>
      <c r="P173" s="33">
        <v>713</v>
      </c>
      <c r="Q173" s="33">
        <v>717</v>
      </c>
      <c r="R173" s="33">
        <v>748</v>
      </c>
      <c r="S173" s="33">
        <v>755</v>
      </c>
      <c r="T173" s="33">
        <v>760</v>
      </c>
      <c r="U173" s="33">
        <v>762</v>
      </c>
      <c r="V173" s="33">
        <v>760</v>
      </c>
      <c r="W173" s="33">
        <v>770</v>
      </c>
      <c r="X173" s="33">
        <v>782</v>
      </c>
      <c r="Y173" s="33">
        <v>781</v>
      </c>
      <c r="Z173" s="33">
        <v>783</v>
      </c>
      <c r="AA173" s="33">
        <v>804</v>
      </c>
      <c r="AB173" s="33">
        <v>809</v>
      </c>
      <c r="AC173" s="33">
        <v>804</v>
      </c>
      <c r="AD173" s="33">
        <v>802</v>
      </c>
      <c r="AE173" s="33">
        <v>810</v>
      </c>
      <c r="AF173" s="33">
        <v>831</v>
      </c>
      <c r="AG173" s="33">
        <v>834</v>
      </c>
      <c r="AH173" s="33">
        <v>845</v>
      </c>
      <c r="AI173" s="33">
        <v>851</v>
      </c>
      <c r="AJ173" s="33">
        <v>858</v>
      </c>
      <c r="AK173" s="33">
        <v>854</v>
      </c>
      <c r="AL173" s="33">
        <v>879</v>
      </c>
      <c r="AM173" s="33">
        <v>877</v>
      </c>
      <c r="AN173" s="33">
        <v>862</v>
      </c>
      <c r="AO173" s="33">
        <v>860</v>
      </c>
      <c r="AP173" s="33">
        <v>850</v>
      </c>
      <c r="AQ173" s="33">
        <v>850</v>
      </c>
      <c r="AR173" s="33">
        <v>857</v>
      </c>
      <c r="AS173" s="33">
        <v>871</v>
      </c>
      <c r="AT173" s="33">
        <v>869</v>
      </c>
      <c r="AU173" s="33">
        <v>855</v>
      </c>
      <c r="AV173" s="33">
        <v>851</v>
      </c>
      <c r="AW173" s="33">
        <v>845</v>
      </c>
      <c r="AX173" s="33">
        <v>845</v>
      </c>
      <c r="AY173" s="33">
        <v>816</v>
      </c>
      <c r="AZ173" s="33">
        <v>794</v>
      </c>
      <c r="BA173" s="33">
        <v>802</v>
      </c>
      <c r="BB173" s="33">
        <v>802</v>
      </c>
      <c r="BC173" s="33">
        <v>817</v>
      </c>
      <c r="BD173" s="33">
        <v>794</v>
      </c>
      <c r="BE173" s="33">
        <v>776</v>
      </c>
      <c r="BF173" s="33">
        <v>813</v>
      </c>
      <c r="BG173" s="33">
        <v>840</v>
      </c>
      <c r="BH173" s="33">
        <v>840</v>
      </c>
      <c r="BI173" s="33">
        <v>844</v>
      </c>
      <c r="BJ173" s="33">
        <v>866</v>
      </c>
      <c r="BK173" s="33">
        <v>856</v>
      </c>
      <c r="BL173" s="33">
        <v>863</v>
      </c>
    </row>
    <row r="174" spans="1:64" ht="15.95" customHeight="1">
      <c r="A174" s="68" t="s">
        <v>430</v>
      </c>
      <c r="B174" s="44" t="s">
        <v>234</v>
      </c>
      <c r="C174" s="48">
        <f>_xll.RssMarket("2327","安値")</f>
        <v>3086</v>
      </c>
      <c r="D174" s="16">
        <f t="shared" si="2"/>
        <v>0</v>
      </c>
      <c r="E174" s="33">
        <v>3086</v>
      </c>
      <c r="F174" s="33">
        <v>3215</v>
      </c>
      <c r="G174" s="33">
        <v>3201</v>
      </c>
      <c r="H174" s="33">
        <v>3210</v>
      </c>
      <c r="I174" s="33">
        <v>3224</v>
      </c>
      <c r="J174" s="33">
        <v>3320</v>
      </c>
      <c r="K174" s="33">
        <v>3404</v>
      </c>
      <c r="L174" s="33">
        <v>3325</v>
      </c>
      <c r="M174" s="33">
        <v>3415</v>
      </c>
      <c r="N174" s="33">
        <v>3520</v>
      </c>
      <c r="O174" s="33">
        <v>3485</v>
      </c>
      <c r="P174" s="33">
        <v>3490</v>
      </c>
      <c r="Q174" s="33">
        <v>3515</v>
      </c>
      <c r="R174" s="33">
        <v>3562</v>
      </c>
      <c r="S174" s="33">
        <v>3501</v>
      </c>
      <c r="T174" s="33">
        <v>3535</v>
      </c>
      <c r="U174" s="33">
        <v>3480</v>
      </c>
      <c r="V174" s="33">
        <v>3530</v>
      </c>
      <c r="W174" s="33">
        <v>3499</v>
      </c>
      <c r="X174" s="33">
        <v>3422</v>
      </c>
      <c r="Y174" s="33">
        <v>3481</v>
      </c>
      <c r="Z174" s="33">
        <v>3558</v>
      </c>
      <c r="AA174" s="33">
        <v>3630</v>
      </c>
      <c r="AB174" s="33">
        <v>3580</v>
      </c>
      <c r="AC174" s="33">
        <v>3570</v>
      </c>
      <c r="AD174" s="33">
        <v>3530</v>
      </c>
      <c r="AE174" s="33">
        <v>3598</v>
      </c>
      <c r="AF174" s="33">
        <v>3505</v>
      </c>
      <c r="AG174" s="33">
        <v>3578</v>
      </c>
      <c r="AH174" s="33">
        <v>3631</v>
      </c>
      <c r="AI174" s="33">
        <v>3698</v>
      </c>
      <c r="AJ174" s="33">
        <v>3881</v>
      </c>
      <c r="AK174" s="33">
        <v>3825</v>
      </c>
      <c r="AL174" s="33">
        <v>3810</v>
      </c>
      <c r="AM174" s="33">
        <v>3895</v>
      </c>
      <c r="AN174" s="33">
        <v>3858</v>
      </c>
      <c r="AO174" s="33">
        <v>3793</v>
      </c>
      <c r="AP174" s="33">
        <v>3735</v>
      </c>
      <c r="AQ174" s="33">
        <v>3702</v>
      </c>
      <c r="AR174" s="33">
        <v>3754</v>
      </c>
      <c r="AS174" s="33">
        <v>3799</v>
      </c>
      <c r="AT174" s="33">
        <v>3845</v>
      </c>
      <c r="AU174" s="33">
        <v>3848</v>
      </c>
      <c r="AV174" s="33">
        <v>3806</v>
      </c>
      <c r="AW174" s="33">
        <v>3689</v>
      </c>
      <c r="AX174" s="33">
        <v>3637</v>
      </c>
      <c r="AY174" s="33">
        <v>3708</v>
      </c>
      <c r="AZ174" s="33">
        <v>3639</v>
      </c>
      <c r="BA174" s="33">
        <v>3575</v>
      </c>
      <c r="BB174" s="33">
        <v>3658</v>
      </c>
      <c r="BC174" s="33">
        <v>3630</v>
      </c>
      <c r="BD174" s="33">
        <v>3663</v>
      </c>
      <c r="BE174" s="33">
        <v>3648</v>
      </c>
      <c r="BF174" s="33">
        <v>3624</v>
      </c>
      <c r="BG174" s="33">
        <v>3683</v>
      </c>
      <c r="BH174" s="33">
        <v>3725</v>
      </c>
      <c r="BI174" s="33">
        <v>3706</v>
      </c>
      <c r="BJ174" s="33">
        <v>3663</v>
      </c>
      <c r="BK174" s="33">
        <v>3634</v>
      </c>
      <c r="BL174" s="33">
        <v>3654</v>
      </c>
    </row>
    <row r="175" spans="1:64" ht="15.95" customHeight="1">
      <c r="A175" s="68" t="s">
        <v>431</v>
      </c>
      <c r="B175" s="44" t="s">
        <v>235</v>
      </c>
      <c r="C175" s="48">
        <f>_xll.RssMarket("1942","安値")</f>
        <v>6388</v>
      </c>
      <c r="D175" s="16">
        <f t="shared" si="2"/>
        <v>0</v>
      </c>
      <c r="E175" s="33">
        <v>6388</v>
      </c>
      <c r="F175" s="33">
        <v>6185</v>
      </c>
      <c r="G175" s="33">
        <v>6163</v>
      </c>
      <c r="H175" s="33">
        <v>5711</v>
      </c>
      <c r="I175" s="33">
        <v>5692</v>
      </c>
      <c r="J175" s="33">
        <v>5907</v>
      </c>
      <c r="K175" s="33">
        <v>5700</v>
      </c>
      <c r="L175" s="33">
        <v>5794</v>
      </c>
      <c r="M175" s="33">
        <v>5777</v>
      </c>
      <c r="N175" s="33">
        <v>5762</v>
      </c>
      <c r="O175" s="33">
        <v>5932</v>
      </c>
      <c r="P175" s="33">
        <v>6488</v>
      </c>
      <c r="Q175" s="33">
        <v>6459</v>
      </c>
      <c r="R175" s="33">
        <v>6433</v>
      </c>
      <c r="S175" s="33">
        <v>6008</v>
      </c>
      <c r="T175" s="33">
        <v>5913</v>
      </c>
      <c r="U175" s="33">
        <v>6037</v>
      </c>
      <c r="V175" s="33">
        <v>6028</v>
      </c>
      <c r="W175" s="33">
        <v>6330</v>
      </c>
      <c r="X175" s="33">
        <v>6441</v>
      </c>
      <c r="Y175" s="33">
        <v>6741</v>
      </c>
      <c r="Z175" s="33">
        <v>6912</v>
      </c>
      <c r="AA175" s="33">
        <v>7190</v>
      </c>
      <c r="AB175" s="33">
        <v>7209</v>
      </c>
      <c r="AC175" s="33">
        <v>7014</v>
      </c>
      <c r="AD175" s="33">
        <v>6841</v>
      </c>
      <c r="AE175" s="33">
        <v>6818</v>
      </c>
      <c r="AF175" s="33">
        <v>6729</v>
      </c>
      <c r="AG175" s="33">
        <v>6522</v>
      </c>
      <c r="AH175" s="33">
        <v>6022</v>
      </c>
      <c r="AI175" s="33">
        <v>5892</v>
      </c>
      <c r="AJ175" s="33">
        <v>5989</v>
      </c>
      <c r="AK175" s="33">
        <v>5908</v>
      </c>
      <c r="AL175" s="33">
        <v>6007</v>
      </c>
      <c r="AM175" s="33">
        <v>6120</v>
      </c>
      <c r="AN175" s="33">
        <v>6111</v>
      </c>
      <c r="AO175" s="33">
        <v>6118</v>
      </c>
      <c r="AP175" s="33">
        <v>6052</v>
      </c>
      <c r="AQ175" s="33">
        <v>6110</v>
      </c>
      <c r="AR175" s="33">
        <v>6266</v>
      </c>
      <c r="AS175" s="33">
        <v>6205</v>
      </c>
      <c r="AT175" s="33">
        <v>6288</v>
      </c>
      <c r="AU175" s="33">
        <v>6268</v>
      </c>
      <c r="AV175" s="33">
        <v>6231</v>
      </c>
      <c r="AW175" s="33">
        <v>6010</v>
      </c>
      <c r="AX175" s="33">
        <v>6063</v>
      </c>
      <c r="AY175" s="33">
        <v>6041</v>
      </c>
      <c r="AZ175" s="33">
        <v>6002</v>
      </c>
      <c r="BA175" s="33">
        <v>6031</v>
      </c>
      <c r="BB175" s="33">
        <v>5680</v>
      </c>
      <c r="BC175" s="33">
        <v>5838</v>
      </c>
      <c r="BD175" s="33">
        <v>6117</v>
      </c>
      <c r="BE175" s="33">
        <v>6234</v>
      </c>
      <c r="BF175" s="33">
        <v>6230</v>
      </c>
      <c r="BG175" s="33">
        <v>5925</v>
      </c>
      <c r="BH175" s="33">
        <v>5794</v>
      </c>
      <c r="BI175" s="33">
        <v>6011</v>
      </c>
      <c r="BJ175" s="33">
        <v>6160</v>
      </c>
      <c r="BK175" s="33">
        <v>6144</v>
      </c>
      <c r="BL175" s="33">
        <v>5976</v>
      </c>
    </row>
    <row r="176" spans="1:64" ht="15.95" customHeight="1">
      <c r="A176" s="68" t="s">
        <v>432</v>
      </c>
      <c r="B176" s="44" t="s">
        <v>236</v>
      </c>
      <c r="C176" s="48">
        <f>_xll.RssMarket("1938","安値")</f>
        <v>2767</v>
      </c>
      <c r="D176" s="16">
        <f t="shared" si="2"/>
        <v>0</v>
      </c>
      <c r="E176" s="33">
        <v>2767</v>
      </c>
      <c r="F176" s="33">
        <v>2751</v>
      </c>
      <c r="G176" s="33">
        <v>2727</v>
      </c>
      <c r="H176" s="33">
        <v>2669</v>
      </c>
      <c r="I176" s="33">
        <v>2590</v>
      </c>
      <c r="J176" s="33">
        <v>2698</v>
      </c>
      <c r="K176" s="33">
        <v>2659</v>
      </c>
      <c r="L176" s="33">
        <v>2759</v>
      </c>
      <c r="M176" s="33">
        <v>2668</v>
      </c>
      <c r="N176" s="33">
        <v>2697</v>
      </c>
      <c r="O176" s="33">
        <v>2620</v>
      </c>
      <c r="P176" s="33">
        <v>2785</v>
      </c>
      <c r="Q176" s="33">
        <v>2731</v>
      </c>
      <c r="R176" s="33">
        <v>2738</v>
      </c>
      <c r="S176" s="33">
        <v>2666</v>
      </c>
      <c r="T176" s="33">
        <v>2591</v>
      </c>
      <c r="U176" s="33">
        <v>2600</v>
      </c>
      <c r="V176" s="33">
        <v>2672</v>
      </c>
      <c r="W176" s="33">
        <v>2772</v>
      </c>
      <c r="X176" s="33">
        <v>2800</v>
      </c>
      <c r="Y176" s="33">
        <v>2877</v>
      </c>
      <c r="Z176" s="33">
        <v>2919</v>
      </c>
      <c r="AA176" s="33">
        <v>3025</v>
      </c>
      <c r="AB176" s="33">
        <v>2913</v>
      </c>
      <c r="AC176" s="33">
        <v>2919</v>
      </c>
      <c r="AD176" s="33">
        <v>2857</v>
      </c>
      <c r="AE176" s="33">
        <v>2833</v>
      </c>
      <c r="AF176" s="33">
        <v>2699</v>
      </c>
      <c r="AG176" s="33">
        <v>2665</v>
      </c>
      <c r="AH176" s="33">
        <v>2575</v>
      </c>
      <c r="AI176" s="33">
        <v>2490</v>
      </c>
      <c r="AJ176" s="33">
        <v>2537</v>
      </c>
      <c r="AK176" s="33">
        <v>2490</v>
      </c>
      <c r="AL176" s="33">
        <v>2476</v>
      </c>
      <c r="AM176" s="33">
        <v>2564</v>
      </c>
      <c r="AN176" s="33">
        <v>2519</v>
      </c>
      <c r="AO176" s="33">
        <v>2526</v>
      </c>
      <c r="AP176" s="33">
        <v>2586</v>
      </c>
      <c r="AQ176" s="33">
        <v>2582</v>
      </c>
      <c r="AR176" s="33">
        <v>2557</v>
      </c>
      <c r="AS176" s="33">
        <v>2604</v>
      </c>
      <c r="AT176" s="33">
        <v>2641</v>
      </c>
      <c r="AU176" s="33">
        <v>2620</v>
      </c>
      <c r="AV176" s="33">
        <v>2610</v>
      </c>
      <c r="AW176" s="33">
        <v>2515</v>
      </c>
      <c r="AX176" s="33">
        <v>2518</v>
      </c>
      <c r="AY176" s="33">
        <v>2516</v>
      </c>
      <c r="AZ176" s="33">
        <v>2514</v>
      </c>
      <c r="BA176" s="33">
        <v>2518</v>
      </c>
      <c r="BB176" s="33">
        <v>2455</v>
      </c>
      <c r="BC176" s="33">
        <v>2437</v>
      </c>
      <c r="BD176" s="33">
        <v>2598</v>
      </c>
      <c r="BE176" s="33">
        <v>2616</v>
      </c>
      <c r="BF176" s="33">
        <v>2665</v>
      </c>
      <c r="BG176" s="33">
        <v>2552</v>
      </c>
      <c r="BH176" s="33">
        <v>2515</v>
      </c>
      <c r="BI176" s="33">
        <v>2673</v>
      </c>
      <c r="BJ176" s="33">
        <v>2704</v>
      </c>
      <c r="BK176" s="33">
        <v>2658</v>
      </c>
      <c r="BL176" s="33">
        <v>2601</v>
      </c>
    </row>
    <row r="177" spans="1:64" ht="15.95" customHeight="1">
      <c r="A177" s="68" t="s">
        <v>433</v>
      </c>
      <c r="B177" s="44" t="s">
        <v>237</v>
      </c>
      <c r="C177" s="48">
        <f>_xll.RssMarket("7236","安値")</f>
        <v>14110</v>
      </c>
      <c r="D177" s="16">
        <f t="shared" si="2"/>
        <v>0</v>
      </c>
      <c r="E177" s="33">
        <v>14110</v>
      </c>
      <c r="F177" s="33">
        <v>14200</v>
      </c>
      <c r="G177" s="33">
        <v>14310</v>
      </c>
      <c r="H177" s="33">
        <v>13850</v>
      </c>
      <c r="I177" s="33">
        <v>13770</v>
      </c>
      <c r="J177" s="33">
        <v>14150</v>
      </c>
      <c r="K177" s="33">
        <v>13810</v>
      </c>
      <c r="L177" s="33">
        <v>13960</v>
      </c>
      <c r="M177" s="33">
        <v>14420</v>
      </c>
      <c r="N177" s="33">
        <v>14530</v>
      </c>
      <c r="O177" s="33">
        <v>14800</v>
      </c>
      <c r="P177" s="33">
        <v>14400</v>
      </c>
      <c r="Q177" s="33">
        <v>14960</v>
      </c>
      <c r="R177" s="33">
        <v>14880</v>
      </c>
      <c r="S177" s="33">
        <v>14370</v>
      </c>
      <c r="T177" s="33">
        <v>13600</v>
      </c>
      <c r="U177" s="33">
        <v>13350</v>
      </c>
      <c r="V177" s="33">
        <v>13500</v>
      </c>
      <c r="W177" s="33">
        <v>13760</v>
      </c>
      <c r="X177" s="33">
        <v>14170</v>
      </c>
      <c r="Y177" s="33">
        <v>14450</v>
      </c>
      <c r="Z177" s="33">
        <v>14360</v>
      </c>
      <c r="AA177" s="33">
        <v>14440</v>
      </c>
      <c r="AB177" s="33">
        <v>14550</v>
      </c>
      <c r="AC177" s="33">
        <v>14270</v>
      </c>
      <c r="AD177" s="33">
        <v>14500</v>
      </c>
      <c r="AE177" s="33">
        <v>14360</v>
      </c>
      <c r="AF177" s="33">
        <v>11110</v>
      </c>
      <c r="AG177" s="33">
        <v>9610</v>
      </c>
      <c r="AH177" s="33">
        <v>7910</v>
      </c>
      <c r="AI177" s="33">
        <v>8120</v>
      </c>
      <c r="AJ177" s="33">
        <v>8510</v>
      </c>
      <c r="AK177" s="33">
        <v>8800</v>
      </c>
      <c r="AL177" s="33">
        <v>9000</v>
      </c>
      <c r="AM177" s="33">
        <v>8910</v>
      </c>
      <c r="AN177" s="33">
        <v>8870</v>
      </c>
      <c r="AO177" s="33">
        <v>8630</v>
      </c>
      <c r="AP177" s="33">
        <v>8350</v>
      </c>
      <c r="AQ177" s="33">
        <v>8250</v>
      </c>
      <c r="AR177" s="33">
        <v>8160</v>
      </c>
      <c r="AS177" s="33">
        <v>8170</v>
      </c>
      <c r="AT177" s="33">
        <v>8200</v>
      </c>
      <c r="AU177" s="33">
        <v>8360</v>
      </c>
      <c r="AV177" s="33">
        <v>8030</v>
      </c>
      <c r="AW177" s="33">
        <v>8060</v>
      </c>
      <c r="AX177" s="33">
        <v>7990</v>
      </c>
      <c r="AY177" s="33">
        <v>8030</v>
      </c>
      <c r="AZ177" s="33">
        <v>7920</v>
      </c>
      <c r="BA177" s="33">
        <v>7700</v>
      </c>
      <c r="BB177" s="33">
        <v>7670</v>
      </c>
      <c r="BC177" s="33">
        <v>8170</v>
      </c>
      <c r="BD177" s="33">
        <v>8360</v>
      </c>
      <c r="BE177" s="33">
        <v>8570</v>
      </c>
      <c r="BF177" s="33">
        <v>8400</v>
      </c>
      <c r="BG177" s="33">
        <v>8170</v>
      </c>
      <c r="BH177" s="33">
        <v>8830</v>
      </c>
      <c r="BI177" s="33">
        <v>9100</v>
      </c>
      <c r="BJ177" s="33">
        <v>9030</v>
      </c>
      <c r="BK177" s="33">
        <v>9010</v>
      </c>
      <c r="BL177" s="33">
        <v>9050</v>
      </c>
    </row>
    <row r="178" spans="1:64" ht="15.95" customHeight="1">
      <c r="A178" s="68" t="s">
        <v>434</v>
      </c>
      <c r="B178" s="44" t="s">
        <v>238</v>
      </c>
      <c r="C178" s="48">
        <f>_xll.RssMarket("6436","安値")</f>
        <v>3546</v>
      </c>
      <c r="D178" s="16">
        <f t="shared" si="2"/>
        <v>0</v>
      </c>
      <c r="E178" s="33">
        <v>3546</v>
      </c>
      <c r="F178" s="33">
        <v>3543</v>
      </c>
      <c r="G178" s="33">
        <v>3577</v>
      </c>
      <c r="H178" s="33">
        <v>3578</v>
      </c>
      <c r="I178" s="33">
        <v>3592</v>
      </c>
      <c r="J178" s="33">
        <v>3566</v>
      </c>
      <c r="K178" s="33">
        <v>3453</v>
      </c>
      <c r="L178" s="33">
        <v>3517</v>
      </c>
      <c r="M178" s="33">
        <v>3482</v>
      </c>
      <c r="N178" s="33">
        <v>3506</v>
      </c>
      <c r="O178" s="33">
        <v>3486</v>
      </c>
      <c r="P178" s="33">
        <v>3557</v>
      </c>
      <c r="Q178" s="33">
        <v>3556</v>
      </c>
      <c r="R178" s="33">
        <v>3537</v>
      </c>
      <c r="S178" s="33">
        <v>3571</v>
      </c>
      <c r="T178" s="33">
        <v>3593</v>
      </c>
      <c r="U178" s="33">
        <v>3630</v>
      </c>
      <c r="V178" s="33">
        <v>3617</v>
      </c>
      <c r="W178" s="33">
        <v>3651</v>
      </c>
      <c r="X178" s="33">
        <v>3624</v>
      </c>
      <c r="Y178" s="33">
        <v>3641</v>
      </c>
      <c r="Z178" s="33">
        <v>3642</v>
      </c>
      <c r="AA178" s="33">
        <v>3635</v>
      </c>
      <c r="AB178" s="33">
        <v>3657</v>
      </c>
      <c r="AC178" s="33">
        <v>3666</v>
      </c>
      <c r="AD178" s="33">
        <v>3600</v>
      </c>
      <c r="AE178" s="33">
        <v>3575</v>
      </c>
      <c r="AF178" s="33">
        <v>3524</v>
      </c>
      <c r="AG178" s="33">
        <v>3583</v>
      </c>
      <c r="AH178" s="33">
        <v>3648</v>
      </c>
      <c r="AI178" s="33">
        <v>3580</v>
      </c>
      <c r="AJ178" s="33">
        <v>3793</v>
      </c>
      <c r="AK178" s="33">
        <v>3801</v>
      </c>
      <c r="AL178" s="33">
        <v>3821</v>
      </c>
      <c r="AM178" s="33">
        <v>3824</v>
      </c>
      <c r="AN178" s="33">
        <v>3876</v>
      </c>
      <c r="AO178" s="33">
        <v>3877</v>
      </c>
      <c r="AP178" s="33">
        <v>3869</v>
      </c>
      <c r="AQ178" s="33">
        <v>3846</v>
      </c>
      <c r="AR178" s="33">
        <v>3858</v>
      </c>
      <c r="AS178" s="33">
        <v>3868</v>
      </c>
      <c r="AT178" s="33">
        <v>3863</v>
      </c>
      <c r="AU178" s="33">
        <v>3920</v>
      </c>
      <c r="AV178" s="33">
        <v>3911</v>
      </c>
      <c r="AW178" s="33">
        <v>3870</v>
      </c>
      <c r="AX178" s="33">
        <v>3848</v>
      </c>
      <c r="AY178" s="33">
        <v>3815</v>
      </c>
      <c r="AZ178" s="33">
        <v>3834</v>
      </c>
      <c r="BA178" s="33">
        <v>3816</v>
      </c>
      <c r="BB178" s="33">
        <v>3719</v>
      </c>
      <c r="BC178" s="33">
        <v>3650</v>
      </c>
      <c r="BD178" s="33">
        <v>3867</v>
      </c>
      <c r="BE178" s="33">
        <v>3869</v>
      </c>
      <c r="BF178" s="33">
        <v>3885</v>
      </c>
      <c r="BG178" s="33">
        <v>3842</v>
      </c>
      <c r="BH178" s="33">
        <v>3770</v>
      </c>
      <c r="BI178" s="33">
        <v>3851</v>
      </c>
      <c r="BJ178" s="33">
        <v>3859</v>
      </c>
      <c r="BK178" s="33">
        <v>3846</v>
      </c>
      <c r="BL178" s="33">
        <v>3828</v>
      </c>
    </row>
    <row r="179" spans="1:64" ht="15.95" customHeight="1">
      <c r="A179" s="68" t="s">
        <v>435</v>
      </c>
      <c r="B179" s="44" t="s">
        <v>239</v>
      </c>
      <c r="C179" s="48">
        <f>_xll.RssMarket("5410","安値")</f>
        <v>2609</v>
      </c>
      <c r="D179" s="16">
        <f t="shared" si="2"/>
        <v>0</v>
      </c>
      <c r="E179" s="33">
        <v>2609</v>
      </c>
      <c r="F179" s="33">
        <v>2591</v>
      </c>
      <c r="G179" s="33">
        <v>2610</v>
      </c>
      <c r="H179" s="33">
        <v>2561</v>
      </c>
      <c r="I179" s="33">
        <v>2506</v>
      </c>
      <c r="J179" s="33">
        <v>2489</v>
      </c>
      <c r="K179" s="33">
        <v>2513</v>
      </c>
      <c r="L179" s="33">
        <v>2543</v>
      </c>
      <c r="M179" s="33">
        <v>2528</v>
      </c>
      <c r="N179" s="33">
        <v>2554</v>
      </c>
      <c r="O179" s="33">
        <v>2558</v>
      </c>
      <c r="P179" s="33">
        <v>2704</v>
      </c>
      <c r="Q179" s="33">
        <v>2681</v>
      </c>
      <c r="R179" s="33">
        <v>2634</v>
      </c>
      <c r="S179" s="33">
        <v>2644</v>
      </c>
      <c r="T179" s="33">
        <v>2669</v>
      </c>
      <c r="U179" s="33">
        <v>2707</v>
      </c>
      <c r="V179" s="33">
        <v>2664</v>
      </c>
      <c r="W179" s="33">
        <v>2771</v>
      </c>
      <c r="X179" s="33">
        <v>2756</v>
      </c>
      <c r="Y179" s="33">
        <v>2820</v>
      </c>
      <c r="Z179" s="33">
        <v>2809</v>
      </c>
      <c r="AA179" s="33">
        <v>2819</v>
      </c>
      <c r="AB179" s="33">
        <v>2849</v>
      </c>
      <c r="AC179" s="33">
        <v>2819</v>
      </c>
      <c r="AD179" s="33">
        <v>2877</v>
      </c>
      <c r="AE179" s="33">
        <v>2802</v>
      </c>
      <c r="AF179" s="33">
        <v>2800</v>
      </c>
      <c r="AG179" s="33">
        <v>2905</v>
      </c>
      <c r="AH179" s="33">
        <v>2956</v>
      </c>
      <c r="AI179" s="33">
        <v>3400</v>
      </c>
      <c r="AJ179" s="33">
        <v>3425</v>
      </c>
      <c r="AK179" s="33">
        <v>3475</v>
      </c>
      <c r="AL179" s="33">
        <v>3530</v>
      </c>
      <c r="AM179" s="33">
        <v>3525</v>
      </c>
      <c r="AN179" s="33">
        <v>3535</v>
      </c>
      <c r="AO179" s="33">
        <v>3550</v>
      </c>
      <c r="AP179" s="33">
        <v>3540</v>
      </c>
      <c r="AQ179" s="33">
        <v>3545</v>
      </c>
      <c r="AR179" s="33">
        <v>3535</v>
      </c>
      <c r="AS179" s="33">
        <v>3570</v>
      </c>
      <c r="AT179" s="33">
        <v>3640</v>
      </c>
      <c r="AU179" s="33">
        <v>3700</v>
      </c>
      <c r="AV179" s="33">
        <v>3665</v>
      </c>
      <c r="AW179" s="33">
        <v>3680</v>
      </c>
      <c r="AX179" s="33">
        <v>3675</v>
      </c>
      <c r="AY179" s="33">
        <v>3660</v>
      </c>
      <c r="AZ179" s="33">
        <v>3680</v>
      </c>
      <c r="BA179" s="33">
        <v>3625</v>
      </c>
      <c r="BB179" s="33">
        <v>3540</v>
      </c>
      <c r="BC179" s="33">
        <v>3715</v>
      </c>
      <c r="BD179" s="33">
        <v>3685</v>
      </c>
      <c r="BE179" s="33">
        <v>3730</v>
      </c>
      <c r="BF179" s="33">
        <v>3655</v>
      </c>
      <c r="BG179" s="33">
        <v>3595</v>
      </c>
      <c r="BH179" s="33">
        <v>3685</v>
      </c>
      <c r="BI179" s="33">
        <v>3745</v>
      </c>
      <c r="BJ179" s="33">
        <v>3710</v>
      </c>
      <c r="BK179" s="33">
        <v>3690</v>
      </c>
      <c r="BL179" s="33">
        <v>3730</v>
      </c>
    </row>
    <row r="180" spans="1:64" ht="15.95" customHeight="1">
      <c r="A180" s="68" t="s">
        <v>436</v>
      </c>
      <c r="B180" s="44" t="s">
        <v>240</v>
      </c>
      <c r="C180" s="48">
        <f>_xll.RssMarket("5440","安値")</f>
        <v>1742</v>
      </c>
      <c r="D180" s="16">
        <f t="shared" si="2"/>
        <v>0</v>
      </c>
      <c r="E180" s="33">
        <v>1742</v>
      </c>
      <c r="F180" s="33">
        <v>1745</v>
      </c>
      <c r="G180" s="33">
        <v>1771</v>
      </c>
      <c r="H180" s="33">
        <v>1728</v>
      </c>
      <c r="I180" s="33">
        <v>1698</v>
      </c>
      <c r="J180" s="33">
        <v>1703</v>
      </c>
      <c r="K180" s="33">
        <v>1711</v>
      </c>
      <c r="L180" s="33">
        <v>1740</v>
      </c>
      <c r="M180" s="33">
        <v>1730</v>
      </c>
      <c r="N180" s="33">
        <v>1738</v>
      </c>
      <c r="O180" s="33">
        <v>1712</v>
      </c>
      <c r="P180" s="33">
        <v>1808</v>
      </c>
      <c r="Q180" s="33">
        <v>1809</v>
      </c>
      <c r="R180" s="33">
        <v>1810</v>
      </c>
      <c r="S180" s="33">
        <v>1834</v>
      </c>
      <c r="T180" s="33">
        <v>1843</v>
      </c>
      <c r="U180" s="33">
        <v>1821</v>
      </c>
      <c r="V180" s="33">
        <v>1784</v>
      </c>
      <c r="W180" s="33">
        <v>1821</v>
      </c>
      <c r="X180" s="33">
        <v>1817</v>
      </c>
      <c r="Y180" s="33">
        <v>1846</v>
      </c>
      <c r="Z180" s="33">
        <v>1824</v>
      </c>
      <c r="AA180" s="33">
        <v>1802</v>
      </c>
      <c r="AB180" s="33">
        <v>1811</v>
      </c>
      <c r="AC180" s="33">
        <v>1796</v>
      </c>
      <c r="AD180" s="33">
        <v>1781</v>
      </c>
      <c r="AE180" s="33">
        <v>1795</v>
      </c>
      <c r="AF180" s="33">
        <v>1821</v>
      </c>
      <c r="AG180" s="33">
        <v>1899</v>
      </c>
      <c r="AH180" s="33">
        <v>2161</v>
      </c>
      <c r="AI180" s="33">
        <v>2189</v>
      </c>
      <c r="AJ180" s="33">
        <v>2216</v>
      </c>
      <c r="AK180" s="33">
        <v>2226</v>
      </c>
      <c r="AL180" s="33">
        <v>2240</v>
      </c>
      <c r="AM180" s="33">
        <v>2274</v>
      </c>
      <c r="AN180" s="33">
        <v>2288</v>
      </c>
      <c r="AO180" s="33">
        <v>2285</v>
      </c>
      <c r="AP180" s="33">
        <v>2320</v>
      </c>
      <c r="AQ180" s="33">
        <v>2314</v>
      </c>
      <c r="AR180" s="33">
        <v>2339</v>
      </c>
      <c r="AS180" s="33">
        <v>2326</v>
      </c>
      <c r="AT180" s="33">
        <v>2363</v>
      </c>
      <c r="AU180" s="33">
        <v>2401</v>
      </c>
      <c r="AV180" s="33">
        <v>2415</v>
      </c>
      <c r="AW180" s="33">
        <v>2371</v>
      </c>
      <c r="AX180" s="33">
        <v>2380</v>
      </c>
      <c r="AY180" s="33">
        <v>2351</v>
      </c>
      <c r="AZ180" s="33">
        <v>2359</v>
      </c>
      <c r="BA180" s="33">
        <v>2366</v>
      </c>
      <c r="BB180" s="33">
        <v>2311</v>
      </c>
      <c r="BC180" s="33">
        <v>2254</v>
      </c>
      <c r="BD180" s="33">
        <v>2394</v>
      </c>
      <c r="BE180" s="33">
        <v>2371</v>
      </c>
      <c r="BF180" s="33">
        <v>2385</v>
      </c>
      <c r="BG180" s="33">
        <v>2342</v>
      </c>
      <c r="BH180" s="33">
        <v>2271</v>
      </c>
      <c r="BI180" s="33">
        <v>2358</v>
      </c>
      <c r="BJ180" s="33">
        <v>2386</v>
      </c>
      <c r="BK180" s="33">
        <v>2366</v>
      </c>
      <c r="BL180" s="33">
        <v>2309</v>
      </c>
    </row>
    <row r="181" spans="1:64" ht="15.95" customHeight="1">
      <c r="A181" s="68" t="s">
        <v>437</v>
      </c>
      <c r="B181" s="44" t="s">
        <v>241</v>
      </c>
      <c r="C181" s="48">
        <f>_xll.RssMarket("9505","安値")</f>
        <v>840.1</v>
      </c>
      <c r="D181" s="16">
        <f t="shared" si="2"/>
        <v>0</v>
      </c>
      <c r="E181" s="33">
        <v>840.1</v>
      </c>
      <c r="F181" s="33">
        <v>844.1</v>
      </c>
      <c r="G181" s="33">
        <v>872.4</v>
      </c>
      <c r="H181" s="33">
        <v>848.2</v>
      </c>
      <c r="I181" s="33">
        <v>840.7</v>
      </c>
      <c r="J181" s="33">
        <v>838.6</v>
      </c>
      <c r="K181" s="33">
        <v>804.5</v>
      </c>
      <c r="L181" s="33">
        <v>806.1</v>
      </c>
      <c r="M181" s="33">
        <v>793.9</v>
      </c>
      <c r="N181" s="33">
        <v>811</v>
      </c>
      <c r="O181" s="33">
        <v>782.2</v>
      </c>
      <c r="P181" s="33">
        <v>821</v>
      </c>
      <c r="Q181" s="33">
        <v>838.9</v>
      </c>
      <c r="R181" s="33">
        <v>853.1</v>
      </c>
      <c r="S181" s="33">
        <v>844.3</v>
      </c>
      <c r="T181" s="33">
        <v>860.6</v>
      </c>
      <c r="U181" s="33">
        <v>868.5</v>
      </c>
      <c r="V181" s="33">
        <v>860.9</v>
      </c>
      <c r="W181" s="33">
        <v>863.7</v>
      </c>
      <c r="X181" s="33">
        <v>866.4</v>
      </c>
      <c r="Y181" s="33">
        <v>897</v>
      </c>
      <c r="Z181" s="33">
        <v>904</v>
      </c>
      <c r="AA181" s="33">
        <v>906</v>
      </c>
      <c r="AB181" s="33">
        <v>901.1</v>
      </c>
      <c r="AC181" s="33">
        <v>871</v>
      </c>
      <c r="AD181" s="33">
        <v>878.6</v>
      </c>
      <c r="AE181" s="33">
        <v>856.6</v>
      </c>
      <c r="AF181" s="33">
        <v>856</v>
      </c>
      <c r="AG181" s="33">
        <v>871.3</v>
      </c>
      <c r="AH181" s="33">
        <v>984</v>
      </c>
      <c r="AI181" s="33">
        <v>973.5</v>
      </c>
      <c r="AJ181" s="33">
        <v>989.3</v>
      </c>
      <c r="AK181" s="33">
        <v>978.5</v>
      </c>
      <c r="AL181" s="33">
        <v>994.5</v>
      </c>
      <c r="AM181" s="33">
        <v>1010.5</v>
      </c>
      <c r="AN181" s="33">
        <v>1025.5</v>
      </c>
      <c r="AO181" s="33">
        <v>1058.5</v>
      </c>
      <c r="AP181" s="33">
        <v>1077</v>
      </c>
      <c r="AQ181" s="33">
        <v>1073.5</v>
      </c>
      <c r="AR181" s="33">
        <v>1073.5</v>
      </c>
      <c r="AS181" s="33">
        <v>1082.5</v>
      </c>
      <c r="AT181" s="33">
        <v>1100.5</v>
      </c>
      <c r="AU181" s="33">
        <v>1101</v>
      </c>
      <c r="AV181" s="33">
        <v>1104.5</v>
      </c>
      <c r="AW181" s="33">
        <v>1093.5</v>
      </c>
      <c r="AX181" s="33">
        <v>1080</v>
      </c>
      <c r="AY181" s="33">
        <v>1102.5</v>
      </c>
      <c r="AZ181" s="33">
        <v>1104</v>
      </c>
      <c r="BA181" s="33">
        <v>1078.5</v>
      </c>
      <c r="BB181" s="33">
        <v>1063</v>
      </c>
      <c r="BC181" s="33">
        <v>1045</v>
      </c>
      <c r="BD181" s="33">
        <v>1081</v>
      </c>
      <c r="BE181" s="33">
        <v>1065.5</v>
      </c>
      <c r="BF181" s="33">
        <v>1058</v>
      </c>
      <c r="BG181" s="33">
        <v>1048.5</v>
      </c>
      <c r="BH181" s="33">
        <v>1020.5</v>
      </c>
      <c r="BI181" s="33">
        <v>1084.5</v>
      </c>
      <c r="BJ181" s="33">
        <v>1085</v>
      </c>
      <c r="BK181" s="33">
        <v>1061</v>
      </c>
      <c r="BL181" s="33">
        <v>1049.5</v>
      </c>
    </row>
    <row r="182" spans="1:64" ht="15.95" customHeight="1">
      <c r="A182" s="68" t="s">
        <v>438</v>
      </c>
      <c r="B182" s="44" t="s">
        <v>242</v>
      </c>
      <c r="C182" s="48">
        <f>_xll.RssMarket("8091","安値")</f>
        <v>2211</v>
      </c>
      <c r="D182" s="16">
        <f t="shared" si="2"/>
        <v>0</v>
      </c>
      <c r="E182" s="33">
        <v>2211</v>
      </c>
      <c r="F182" s="33">
        <v>2183</v>
      </c>
      <c r="G182" s="33">
        <v>2184</v>
      </c>
      <c r="H182" s="33">
        <v>2154</v>
      </c>
      <c r="I182" s="33">
        <v>2162</v>
      </c>
      <c r="J182" s="33">
        <v>2166</v>
      </c>
      <c r="K182" s="33">
        <v>2159</v>
      </c>
      <c r="L182" s="33">
        <v>2187</v>
      </c>
      <c r="M182" s="33">
        <v>2128</v>
      </c>
      <c r="N182" s="33">
        <v>2092</v>
      </c>
      <c r="O182" s="33">
        <v>2111</v>
      </c>
      <c r="P182" s="33">
        <v>2162</v>
      </c>
      <c r="Q182" s="33">
        <v>2132</v>
      </c>
      <c r="R182" s="33">
        <v>2122</v>
      </c>
      <c r="S182" s="33">
        <v>2111</v>
      </c>
      <c r="T182" s="33">
        <v>2130</v>
      </c>
      <c r="U182" s="33">
        <v>2150</v>
      </c>
      <c r="V182" s="33">
        <v>2133</v>
      </c>
      <c r="W182" s="33">
        <v>2161</v>
      </c>
      <c r="X182" s="33">
        <v>2114</v>
      </c>
      <c r="Y182" s="33">
        <v>2270</v>
      </c>
      <c r="Z182" s="33">
        <v>2265</v>
      </c>
      <c r="AA182" s="33">
        <v>2245</v>
      </c>
      <c r="AB182" s="33">
        <v>2240</v>
      </c>
      <c r="AC182" s="33">
        <v>2215</v>
      </c>
      <c r="AD182" s="33">
        <v>2227</v>
      </c>
      <c r="AE182" s="33">
        <v>2205</v>
      </c>
      <c r="AF182" s="33">
        <v>2229</v>
      </c>
      <c r="AG182" s="33">
        <v>2260</v>
      </c>
      <c r="AH182" s="33">
        <v>2257</v>
      </c>
      <c r="AI182" s="33">
        <v>2430</v>
      </c>
      <c r="AJ182" s="33">
        <v>2438</v>
      </c>
      <c r="AK182" s="33">
        <v>2464</v>
      </c>
      <c r="AL182" s="33">
        <v>2488</v>
      </c>
      <c r="AM182" s="33">
        <v>2500</v>
      </c>
      <c r="AN182" s="33">
        <v>2509</v>
      </c>
      <c r="AO182" s="33">
        <v>2520</v>
      </c>
      <c r="AP182" s="33">
        <v>2520</v>
      </c>
      <c r="AQ182" s="33">
        <v>2520</v>
      </c>
      <c r="AR182" s="33">
        <v>2509</v>
      </c>
      <c r="AS182" s="33">
        <v>2533</v>
      </c>
      <c r="AT182" s="33">
        <v>2565</v>
      </c>
      <c r="AU182" s="33">
        <v>2569</v>
      </c>
      <c r="AV182" s="33">
        <v>2543</v>
      </c>
      <c r="AW182" s="33">
        <v>2547</v>
      </c>
      <c r="AX182" s="33">
        <v>2545</v>
      </c>
      <c r="AY182" s="33">
        <v>2540</v>
      </c>
      <c r="AZ182" s="33">
        <v>2523</v>
      </c>
      <c r="BA182" s="33">
        <v>2490</v>
      </c>
      <c r="BB182" s="33">
        <v>2438</v>
      </c>
      <c r="BC182" s="33">
        <v>2545</v>
      </c>
      <c r="BD182" s="33">
        <v>2529</v>
      </c>
      <c r="BE182" s="33">
        <v>2560</v>
      </c>
      <c r="BF182" s="33">
        <v>2520</v>
      </c>
      <c r="BG182" s="33">
        <v>2482</v>
      </c>
      <c r="BH182" s="33">
        <v>2566</v>
      </c>
      <c r="BI182" s="33">
        <v>2592</v>
      </c>
      <c r="BJ182" s="33">
        <v>2560</v>
      </c>
      <c r="BK182" s="33">
        <v>2559</v>
      </c>
      <c r="BL182" s="33">
        <v>2560</v>
      </c>
    </row>
    <row r="183" spans="1:64" ht="15.95" customHeight="1">
      <c r="A183" s="68" t="s">
        <v>439</v>
      </c>
      <c r="B183" s="44" t="s">
        <v>243</v>
      </c>
      <c r="C183" s="48">
        <f>_xll.RssMarket("6507","安値")</f>
        <v>14590</v>
      </c>
      <c r="D183" s="16">
        <f t="shared" si="2"/>
        <v>0</v>
      </c>
      <c r="E183" s="33">
        <v>14590</v>
      </c>
      <c r="F183" s="33">
        <v>13710</v>
      </c>
      <c r="G183" s="33">
        <v>13640</v>
      </c>
      <c r="H183" s="33">
        <v>13190</v>
      </c>
      <c r="I183" s="33">
        <v>12350</v>
      </c>
      <c r="J183" s="33">
        <v>13170</v>
      </c>
      <c r="K183" s="33">
        <v>13940</v>
      </c>
      <c r="L183" s="33">
        <v>14700</v>
      </c>
      <c r="M183" s="33">
        <v>13710</v>
      </c>
      <c r="N183" s="33">
        <v>13730</v>
      </c>
      <c r="O183" s="33">
        <v>13430</v>
      </c>
      <c r="P183" s="33">
        <v>13580</v>
      </c>
      <c r="Q183" s="33">
        <v>13760</v>
      </c>
      <c r="R183" s="33">
        <v>14420</v>
      </c>
      <c r="S183" s="33">
        <v>14240</v>
      </c>
      <c r="T183" s="33">
        <v>13790</v>
      </c>
      <c r="U183" s="33">
        <v>13220</v>
      </c>
      <c r="V183" s="33">
        <v>12740</v>
      </c>
      <c r="W183" s="33">
        <v>13520</v>
      </c>
      <c r="X183" s="33">
        <v>14850</v>
      </c>
      <c r="Y183" s="33">
        <v>14930</v>
      </c>
      <c r="Z183" s="33">
        <v>14140</v>
      </c>
      <c r="AA183" s="33">
        <v>14320</v>
      </c>
      <c r="AB183" s="33">
        <v>14670</v>
      </c>
      <c r="AC183" s="33">
        <v>14720</v>
      </c>
      <c r="AD183" s="33">
        <v>14400</v>
      </c>
      <c r="AE183" s="33">
        <v>14870</v>
      </c>
      <c r="AF183" s="33">
        <v>14090</v>
      </c>
      <c r="AG183" s="33">
        <v>13660</v>
      </c>
      <c r="AH183" s="33">
        <v>13530</v>
      </c>
      <c r="AI183" s="33">
        <v>13200</v>
      </c>
      <c r="AJ183" s="33">
        <v>13050</v>
      </c>
      <c r="AK183" s="33">
        <v>12950</v>
      </c>
      <c r="AL183" s="33">
        <v>13070</v>
      </c>
      <c r="AM183" s="33">
        <v>13320</v>
      </c>
      <c r="AN183" s="33">
        <v>13490</v>
      </c>
      <c r="AO183" s="33">
        <v>13440</v>
      </c>
      <c r="AP183" s="33">
        <v>13560</v>
      </c>
      <c r="AQ183" s="33">
        <v>13080</v>
      </c>
      <c r="AR183" s="33">
        <v>13280</v>
      </c>
      <c r="AS183" s="33">
        <v>13030</v>
      </c>
      <c r="AT183" s="33">
        <v>12960</v>
      </c>
      <c r="AU183" s="33">
        <v>12710</v>
      </c>
      <c r="AV183" s="33">
        <v>12720</v>
      </c>
      <c r="AW183" s="33">
        <v>11970</v>
      </c>
      <c r="AX183" s="33">
        <v>11970</v>
      </c>
      <c r="AY183" s="33">
        <v>11800</v>
      </c>
      <c r="AZ183" s="33">
        <v>11650</v>
      </c>
      <c r="BA183" s="33">
        <v>10780</v>
      </c>
      <c r="BB183" s="33">
        <v>10150</v>
      </c>
      <c r="BC183" s="33">
        <v>10510</v>
      </c>
      <c r="BD183" s="33">
        <v>11170</v>
      </c>
      <c r="BE183" s="33">
        <v>11850</v>
      </c>
      <c r="BF183" s="33">
        <v>12040</v>
      </c>
      <c r="BG183" s="33">
        <v>11500</v>
      </c>
      <c r="BH183" s="33">
        <v>11460</v>
      </c>
      <c r="BI183" s="33">
        <v>12490</v>
      </c>
      <c r="BJ183" s="33">
        <v>12530</v>
      </c>
      <c r="BK183" s="33">
        <v>12400</v>
      </c>
      <c r="BL183" s="33">
        <v>12660</v>
      </c>
    </row>
    <row r="184" spans="1:64" ht="15.95" customHeight="1">
      <c r="A184" s="68" t="s">
        <v>440</v>
      </c>
      <c r="B184" s="44" t="s">
        <v>244</v>
      </c>
      <c r="C184" s="48">
        <f>_xll.RssMarket("9022","安値")</f>
        <v>3284</v>
      </c>
      <c r="D184" s="16">
        <f t="shared" si="2"/>
        <v>0</v>
      </c>
      <c r="E184" s="33">
        <v>3284</v>
      </c>
      <c r="F184" s="33">
        <v>3268</v>
      </c>
      <c r="G184" s="33">
        <v>3331</v>
      </c>
      <c r="H184" s="33">
        <v>3349</v>
      </c>
      <c r="I184" s="33">
        <v>3401</v>
      </c>
      <c r="J184" s="33">
        <v>3436</v>
      </c>
      <c r="K184" s="33">
        <v>3337</v>
      </c>
      <c r="L184" s="33">
        <v>3300</v>
      </c>
      <c r="M184" s="33">
        <v>3277</v>
      </c>
      <c r="N184" s="33">
        <v>3304</v>
      </c>
      <c r="O184" s="33">
        <v>3334</v>
      </c>
      <c r="P184" s="33">
        <v>3452</v>
      </c>
      <c r="Q184" s="33">
        <v>3469</v>
      </c>
      <c r="R184" s="33">
        <v>3482</v>
      </c>
      <c r="S184" s="33">
        <v>3496</v>
      </c>
      <c r="T184" s="33">
        <v>3512</v>
      </c>
      <c r="U184" s="33">
        <v>3535</v>
      </c>
      <c r="V184" s="33">
        <v>3521</v>
      </c>
      <c r="W184" s="33">
        <v>3553</v>
      </c>
      <c r="X184" s="33">
        <v>3545</v>
      </c>
      <c r="Y184" s="33">
        <v>3563</v>
      </c>
      <c r="Z184" s="33">
        <v>3591</v>
      </c>
      <c r="AA184" s="33">
        <v>3603</v>
      </c>
      <c r="AB184" s="33">
        <v>3551</v>
      </c>
      <c r="AC184" s="33">
        <v>3564</v>
      </c>
      <c r="AD184" s="33">
        <v>3569</v>
      </c>
      <c r="AE184" s="33">
        <v>3552</v>
      </c>
      <c r="AF184" s="33">
        <v>3570</v>
      </c>
      <c r="AG184" s="33">
        <v>3691</v>
      </c>
      <c r="AH184" s="33">
        <v>4063</v>
      </c>
      <c r="AI184" s="33">
        <v>4027</v>
      </c>
      <c r="AJ184" s="33">
        <v>4062</v>
      </c>
      <c r="AK184" s="33">
        <v>4010</v>
      </c>
      <c r="AL184" s="33">
        <v>4135</v>
      </c>
      <c r="AM184" s="33">
        <v>4206</v>
      </c>
      <c r="AN184" s="33">
        <v>4188</v>
      </c>
      <c r="AO184" s="33">
        <v>4192</v>
      </c>
      <c r="AP184" s="33">
        <v>4251</v>
      </c>
      <c r="AQ184" s="33">
        <v>4291</v>
      </c>
      <c r="AR184" s="33">
        <v>4183</v>
      </c>
      <c r="AS184" s="33">
        <v>4160</v>
      </c>
      <c r="AT184" s="33">
        <v>4196</v>
      </c>
      <c r="AU184" s="33">
        <v>4207</v>
      </c>
      <c r="AV184" s="33">
        <v>4149</v>
      </c>
      <c r="AW184" s="33">
        <v>4032</v>
      </c>
      <c r="AX184" s="33">
        <v>4080</v>
      </c>
      <c r="AY184" s="33">
        <v>4140</v>
      </c>
      <c r="AZ184" s="33">
        <v>4165</v>
      </c>
      <c r="BA184" s="33">
        <v>4134</v>
      </c>
      <c r="BB184" s="33">
        <v>4043</v>
      </c>
      <c r="BC184" s="33">
        <v>4043</v>
      </c>
      <c r="BD184" s="33">
        <v>4186</v>
      </c>
      <c r="BE184" s="33">
        <v>4198</v>
      </c>
      <c r="BF184" s="33">
        <v>4246</v>
      </c>
      <c r="BG184" s="33">
        <v>4130</v>
      </c>
      <c r="BH184" s="33">
        <v>4102</v>
      </c>
      <c r="BI184" s="33">
        <v>4217</v>
      </c>
      <c r="BJ184" s="33">
        <v>4305</v>
      </c>
      <c r="BK184" s="33">
        <v>4250</v>
      </c>
      <c r="BL184" s="33">
        <v>4222</v>
      </c>
    </row>
    <row r="185" spans="1:64" ht="15.95" customHeight="1">
      <c r="A185" s="68" t="s">
        <v>441</v>
      </c>
      <c r="B185" s="44" t="s">
        <v>245</v>
      </c>
      <c r="C185" s="48">
        <f>_xll.RssMarket("9536","安値")</f>
        <v>2237</v>
      </c>
      <c r="D185" s="16">
        <f t="shared" si="2"/>
        <v>0</v>
      </c>
      <c r="E185" s="33">
        <v>2237</v>
      </c>
      <c r="F185" s="33">
        <v>2225</v>
      </c>
      <c r="G185" s="33">
        <v>2248</v>
      </c>
      <c r="H185" s="33">
        <v>2223</v>
      </c>
      <c r="I185" s="33">
        <v>2215</v>
      </c>
      <c r="J185" s="33">
        <v>2221</v>
      </c>
      <c r="K185" s="33">
        <v>2170</v>
      </c>
      <c r="L185" s="33">
        <v>2184</v>
      </c>
      <c r="M185" s="33">
        <v>2168</v>
      </c>
      <c r="N185" s="33">
        <v>2165</v>
      </c>
      <c r="O185" s="33">
        <v>2154</v>
      </c>
      <c r="P185" s="33">
        <v>2187</v>
      </c>
      <c r="Q185" s="33">
        <v>2172</v>
      </c>
      <c r="R185" s="33">
        <v>2196</v>
      </c>
      <c r="S185" s="33">
        <v>2187</v>
      </c>
      <c r="T185" s="33">
        <v>2196</v>
      </c>
      <c r="U185" s="33">
        <v>2201</v>
      </c>
      <c r="V185" s="33">
        <v>2191</v>
      </c>
      <c r="W185" s="33">
        <v>2219</v>
      </c>
      <c r="X185" s="33">
        <v>2182</v>
      </c>
      <c r="Y185" s="33">
        <v>2242</v>
      </c>
      <c r="Z185" s="33">
        <v>2225</v>
      </c>
      <c r="AA185" s="33">
        <v>2218</v>
      </c>
      <c r="AB185" s="33">
        <v>2222</v>
      </c>
      <c r="AC185" s="33">
        <v>2220</v>
      </c>
      <c r="AD185" s="33">
        <v>2208</v>
      </c>
      <c r="AE185" s="33">
        <v>2205</v>
      </c>
      <c r="AF185" s="33">
        <v>2188</v>
      </c>
      <c r="AG185" s="33">
        <v>2236</v>
      </c>
      <c r="AH185" s="33">
        <v>2422</v>
      </c>
      <c r="AI185" s="33">
        <v>2423</v>
      </c>
      <c r="AJ185" s="33">
        <v>2445</v>
      </c>
      <c r="AK185" s="33">
        <v>2430</v>
      </c>
      <c r="AL185" s="33">
        <v>2452</v>
      </c>
      <c r="AM185" s="33">
        <v>2514</v>
      </c>
      <c r="AN185" s="33">
        <v>2523</v>
      </c>
      <c r="AO185" s="33">
        <v>2585</v>
      </c>
      <c r="AP185" s="33">
        <v>2600</v>
      </c>
      <c r="AQ185" s="33">
        <v>2577</v>
      </c>
      <c r="AR185" s="33">
        <v>2556</v>
      </c>
      <c r="AS185" s="33">
        <v>2552</v>
      </c>
      <c r="AT185" s="33">
        <v>2541</v>
      </c>
      <c r="AU185" s="33">
        <v>2575</v>
      </c>
      <c r="AV185" s="33">
        <v>2611</v>
      </c>
      <c r="AW185" s="33">
        <v>2566</v>
      </c>
      <c r="AX185" s="33">
        <v>2555</v>
      </c>
      <c r="AY185" s="33">
        <v>2563</v>
      </c>
      <c r="AZ185" s="33">
        <v>2555</v>
      </c>
      <c r="BA185" s="33">
        <v>2551</v>
      </c>
      <c r="BB185" s="33">
        <v>2537</v>
      </c>
      <c r="BC185" s="33">
        <v>2487</v>
      </c>
      <c r="BD185" s="33">
        <v>2571</v>
      </c>
      <c r="BE185" s="33">
        <v>2554</v>
      </c>
      <c r="BF185" s="33">
        <v>2566</v>
      </c>
      <c r="BG185" s="33">
        <v>2484</v>
      </c>
      <c r="BH185" s="33">
        <v>2403</v>
      </c>
      <c r="BI185" s="33">
        <v>2496</v>
      </c>
      <c r="BJ185" s="33">
        <v>2514</v>
      </c>
      <c r="BK185" s="33">
        <v>2502</v>
      </c>
      <c r="BL185" s="33">
        <v>2496</v>
      </c>
    </row>
    <row r="186" spans="1:64" ht="15.95" customHeight="1">
      <c r="A186" s="68" t="s">
        <v>442</v>
      </c>
      <c r="B186" s="44" t="s">
        <v>246</v>
      </c>
      <c r="C186" s="48">
        <f>_xll.RssMarket("9506","安値")</f>
        <v>1032.5</v>
      </c>
      <c r="D186" s="16">
        <f t="shared" si="2"/>
        <v>0</v>
      </c>
      <c r="E186" s="33">
        <v>1032.5</v>
      </c>
      <c r="F186" s="33">
        <v>1039.5</v>
      </c>
      <c r="G186" s="33">
        <v>1033</v>
      </c>
      <c r="H186" s="33">
        <v>1008</v>
      </c>
      <c r="I186" s="33">
        <v>1013</v>
      </c>
      <c r="J186" s="33">
        <v>1006</v>
      </c>
      <c r="K186" s="33">
        <v>989.4</v>
      </c>
      <c r="L186" s="33">
        <v>993</v>
      </c>
      <c r="M186" s="33">
        <v>989.6</v>
      </c>
      <c r="N186" s="33">
        <v>987.1</v>
      </c>
      <c r="O186" s="33">
        <v>972.2</v>
      </c>
      <c r="P186" s="33">
        <v>985.9</v>
      </c>
      <c r="Q186" s="33">
        <v>993.2</v>
      </c>
      <c r="R186" s="33">
        <v>996.5</v>
      </c>
      <c r="S186" s="33">
        <v>1004</v>
      </c>
      <c r="T186" s="33">
        <v>1006</v>
      </c>
      <c r="U186" s="33">
        <v>1012</v>
      </c>
      <c r="V186" s="33">
        <v>1002</v>
      </c>
      <c r="W186" s="33">
        <v>1012.5</v>
      </c>
      <c r="X186" s="33">
        <v>1006.5</v>
      </c>
      <c r="Y186" s="33">
        <v>1040</v>
      </c>
      <c r="Z186" s="33">
        <v>1050</v>
      </c>
      <c r="AA186" s="33">
        <v>1061</v>
      </c>
      <c r="AB186" s="33">
        <v>1058</v>
      </c>
      <c r="AC186" s="33">
        <v>1050</v>
      </c>
      <c r="AD186" s="33">
        <v>1051.5</v>
      </c>
      <c r="AE186" s="33">
        <v>1060.5</v>
      </c>
      <c r="AF186" s="33">
        <v>1053.5</v>
      </c>
      <c r="AG186" s="33">
        <v>1080.5</v>
      </c>
      <c r="AH186" s="33">
        <v>1124</v>
      </c>
      <c r="AI186" s="33">
        <v>1115.5</v>
      </c>
      <c r="AJ186" s="33">
        <v>1127.5</v>
      </c>
      <c r="AK186" s="33">
        <v>1110</v>
      </c>
      <c r="AL186" s="33">
        <v>1126.5</v>
      </c>
      <c r="AM186" s="33">
        <v>1144.5</v>
      </c>
      <c r="AN186" s="33">
        <v>1166</v>
      </c>
      <c r="AO186" s="33">
        <v>1173</v>
      </c>
      <c r="AP186" s="33">
        <v>1171.5</v>
      </c>
      <c r="AQ186" s="33">
        <v>1170</v>
      </c>
      <c r="AR186" s="33">
        <v>1162.5</v>
      </c>
      <c r="AS186" s="33">
        <v>1157</v>
      </c>
      <c r="AT186" s="33">
        <v>1159.5</v>
      </c>
      <c r="AU186" s="33">
        <v>1166</v>
      </c>
      <c r="AV186" s="33">
        <v>1171.5</v>
      </c>
      <c r="AW186" s="33">
        <v>1162</v>
      </c>
      <c r="AX186" s="33">
        <v>1167</v>
      </c>
      <c r="AY186" s="33">
        <v>1180</v>
      </c>
      <c r="AZ186" s="33">
        <v>1183</v>
      </c>
      <c r="BA186" s="33">
        <v>1181</v>
      </c>
      <c r="BB186" s="33">
        <v>1164</v>
      </c>
      <c r="BC186" s="33">
        <v>1159</v>
      </c>
      <c r="BD186" s="33">
        <v>1190.5</v>
      </c>
      <c r="BE186" s="33">
        <v>1168</v>
      </c>
      <c r="BF186" s="33">
        <v>1157</v>
      </c>
      <c r="BG186" s="33">
        <v>1135</v>
      </c>
      <c r="BH186" s="33">
        <v>1090.5</v>
      </c>
      <c r="BI186" s="33">
        <v>1141</v>
      </c>
      <c r="BJ186" s="33">
        <v>1151</v>
      </c>
      <c r="BK186" s="33">
        <v>1135</v>
      </c>
      <c r="BL186" s="33">
        <v>1134</v>
      </c>
    </row>
    <row r="187" spans="1:64" ht="15.95" customHeight="1">
      <c r="A187" s="68" t="s">
        <v>443</v>
      </c>
      <c r="B187" s="44" t="s">
        <v>247</v>
      </c>
      <c r="C187" s="48">
        <f>_xll.RssMarket("2127","安値")</f>
        <v>640.79999999999995</v>
      </c>
      <c r="D187" s="16">
        <f t="shared" si="2"/>
        <v>0</v>
      </c>
      <c r="E187" s="33">
        <v>640.79999999999995</v>
      </c>
      <c r="F187" s="33">
        <v>632.70000000000005</v>
      </c>
      <c r="G187" s="33">
        <v>636</v>
      </c>
      <c r="H187" s="33">
        <v>633.1</v>
      </c>
      <c r="I187" s="33">
        <v>632.5</v>
      </c>
      <c r="J187" s="33">
        <v>633.20000000000005</v>
      </c>
      <c r="K187" s="33">
        <v>627</v>
      </c>
      <c r="L187" s="33">
        <v>620</v>
      </c>
      <c r="M187" s="33">
        <v>621.20000000000005</v>
      </c>
      <c r="N187" s="33">
        <v>628</v>
      </c>
      <c r="O187" s="33">
        <v>643.5</v>
      </c>
      <c r="P187" s="33">
        <v>650.5</v>
      </c>
      <c r="Q187" s="33">
        <v>644.70000000000005</v>
      </c>
      <c r="R187" s="33">
        <v>660.2</v>
      </c>
      <c r="S187" s="33">
        <v>645.79999999999995</v>
      </c>
      <c r="T187" s="33">
        <v>655.4</v>
      </c>
      <c r="U187" s="33">
        <v>648.6</v>
      </c>
      <c r="V187" s="33">
        <v>640.29999999999995</v>
      </c>
      <c r="W187" s="33">
        <v>639.79999999999995</v>
      </c>
      <c r="X187" s="33">
        <v>631.1</v>
      </c>
      <c r="Y187" s="33">
        <v>633.4</v>
      </c>
      <c r="Z187" s="33">
        <v>634.4</v>
      </c>
      <c r="AA187" s="33">
        <v>634.1</v>
      </c>
      <c r="AB187" s="33">
        <v>636.4</v>
      </c>
      <c r="AC187" s="33">
        <v>650.5</v>
      </c>
      <c r="AD187" s="33">
        <v>637</v>
      </c>
      <c r="AE187" s="33">
        <v>607.70000000000005</v>
      </c>
      <c r="AF187" s="33">
        <v>615.1</v>
      </c>
      <c r="AG187" s="33">
        <v>654</v>
      </c>
      <c r="AH187" s="33">
        <v>683.8</v>
      </c>
      <c r="AI187" s="33">
        <v>669</v>
      </c>
      <c r="AJ187" s="33">
        <v>668.5</v>
      </c>
      <c r="AK187" s="33">
        <v>676.5</v>
      </c>
      <c r="AL187" s="33">
        <v>688.8</v>
      </c>
      <c r="AM187" s="33">
        <v>685.8</v>
      </c>
      <c r="AN187" s="33">
        <v>681</v>
      </c>
      <c r="AO187" s="33">
        <v>687.4</v>
      </c>
      <c r="AP187" s="33">
        <v>682</v>
      </c>
      <c r="AQ187" s="33">
        <v>670.5</v>
      </c>
      <c r="AR187" s="33">
        <v>662.5</v>
      </c>
      <c r="AS187" s="33">
        <v>652.29999999999995</v>
      </c>
      <c r="AT187" s="33">
        <v>654</v>
      </c>
      <c r="AU187" s="33">
        <v>659.7</v>
      </c>
      <c r="AV187" s="33">
        <v>663.2</v>
      </c>
      <c r="AW187" s="33">
        <v>652.20000000000005</v>
      </c>
      <c r="AX187" s="33">
        <v>647.6</v>
      </c>
      <c r="AY187" s="33">
        <v>646.6</v>
      </c>
      <c r="AZ187" s="33">
        <v>642.29999999999995</v>
      </c>
      <c r="BA187" s="33">
        <v>634.9</v>
      </c>
      <c r="BB187" s="33">
        <v>622.4</v>
      </c>
      <c r="BC187" s="33">
        <v>610</v>
      </c>
      <c r="BD187" s="33">
        <v>642.6</v>
      </c>
      <c r="BE187" s="33">
        <v>644</v>
      </c>
      <c r="BF187" s="33">
        <v>643.79999999999995</v>
      </c>
      <c r="BG187" s="33">
        <v>631.20000000000005</v>
      </c>
      <c r="BH187" s="33">
        <v>620.79999999999995</v>
      </c>
      <c r="BI187" s="33">
        <v>629</v>
      </c>
      <c r="BJ187" s="33">
        <v>636.5</v>
      </c>
      <c r="BK187" s="33">
        <v>631.5</v>
      </c>
      <c r="BL187" s="33">
        <v>630.1</v>
      </c>
    </row>
    <row r="188" spans="1:64" ht="15.95" customHeight="1">
      <c r="A188" s="68" t="s">
        <v>444</v>
      </c>
      <c r="B188" s="44" t="s">
        <v>248</v>
      </c>
      <c r="C188" s="48">
        <f>_xll.RssMarket("6753","安値")</f>
        <v>589</v>
      </c>
      <c r="D188" s="16">
        <f t="shared" si="2"/>
        <v>0</v>
      </c>
      <c r="E188" s="33">
        <v>589</v>
      </c>
      <c r="F188" s="33">
        <v>590.70000000000005</v>
      </c>
      <c r="G188" s="33">
        <v>610</v>
      </c>
      <c r="H188" s="33">
        <v>604</v>
      </c>
      <c r="I188" s="33">
        <v>614.1</v>
      </c>
      <c r="J188" s="33">
        <v>628.79999999999995</v>
      </c>
      <c r="K188" s="33">
        <v>647</v>
      </c>
      <c r="L188" s="33">
        <v>654.29999999999995</v>
      </c>
      <c r="M188" s="33">
        <v>652.70000000000005</v>
      </c>
      <c r="N188" s="33">
        <v>650</v>
      </c>
      <c r="O188" s="33">
        <v>614</v>
      </c>
      <c r="P188" s="33">
        <v>603.79999999999995</v>
      </c>
      <c r="Q188" s="33">
        <v>612.6</v>
      </c>
      <c r="R188" s="33">
        <v>605.70000000000005</v>
      </c>
      <c r="S188" s="33">
        <v>620.6</v>
      </c>
      <c r="T188" s="33">
        <v>613.29999999999995</v>
      </c>
      <c r="U188" s="33">
        <v>600</v>
      </c>
      <c r="V188" s="33">
        <v>601</v>
      </c>
      <c r="W188" s="33">
        <v>609.20000000000005</v>
      </c>
      <c r="X188" s="33">
        <v>603.4</v>
      </c>
      <c r="Y188" s="33">
        <v>574.9</v>
      </c>
      <c r="Z188" s="33">
        <v>567.6</v>
      </c>
      <c r="AA188" s="33">
        <v>550</v>
      </c>
      <c r="AB188" s="33">
        <v>554</v>
      </c>
      <c r="AC188" s="33">
        <v>554.29999999999995</v>
      </c>
      <c r="AD188" s="33">
        <v>550.79999999999995</v>
      </c>
      <c r="AE188" s="33">
        <v>559.4</v>
      </c>
      <c r="AF188" s="33">
        <v>554.20000000000005</v>
      </c>
      <c r="AG188" s="33">
        <v>553.5</v>
      </c>
      <c r="AH188" s="33">
        <v>552</v>
      </c>
      <c r="AI188" s="33">
        <v>534.4</v>
      </c>
      <c r="AJ188" s="33">
        <v>555</v>
      </c>
      <c r="AK188" s="33">
        <v>588.29999999999995</v>
      </c>
      <c r="AL188" s="33">
        <v>604.5</v>
      </c>
      <c r="AM188" s="33">
        <v>605</v>
      </c>
      <c r="AN188" s="33">
        <v>612.6</v>
      </c>
      <c r="AO188" s="33">
        <v>604</v>
      </c>
      <c r="AP188" s="33">
        <v>597.5</v>
      </c>
      <c r="AQ188" s="33">
        <v>590.20000000000005</v>
      </c>
      <c r="AR188" s="33">
        <v>585.29999999999995</v>
      </c>
      <c r="AS188" s="33">
        <v>587.79999999999995</v>
      </c>
      <c r="AT188" s="33">
        <v>601.70000000000005</v>
      </c>
      <c r="AU188" s="33">
        <v>608.70000000000005</v>
      </c>
      <c r="AV188" s="33">
        <v>624.20000000000005</v>
      </c>
      <c r="AW188" s="33">
        <v>621.20000000000005</v>
      </c>
      <c r="AX188" s="33">
        <v>637</v>
      </c>
      <c r="AY188" s="33">
        <v>610.79999999999995</v>
      </c>
      <c r="AZ188" s="33">
        <v>598.1</v>
      </c>
      <c r="BA188" s="33">
        <v>590.6</v>
      </c>
      <c r="BB188" s="33">
        <v>573.79999999999995</v>
      </c>
      <c r="BC188" s="33">
        <v>564</v>
      </c>
      <c r="BD188" s="33">
        <v>585.1</v>
      </c>
      <c r="BE188" s="33">
        <v>576.20000000000005</v>
      </c>
      <c r="BF188" s="33">
        <v>578.1</v>
      </c>
      <c r="BG188" s="33">
        <v>575.1</v>
      </c>
      <c r="BH188" s="33">
        <v>558</v>
      </c>
      <c r="BI188" s="33">
        <v>579</v>
      </c>
      <c r="BJ188" s="33">
        <v>587.1</v>
      </c>
      <c r="BK188" s="33">
        <v>582.70000000000005</v>
      </c>
      <c r="BL188" s="33">
        <v>586</v>
      </c>
    </row>
    <row r="189" spans="1:64" ht="15.95" customHeight="1">
      <c r="A189" s="68" t="s">
        <v>478</v>
      </c>
      <c r="B189" s="44" t="str">
        <f>銘柄管理!C189</f>
        <v>ヤマトホールディングス</v>
      </c>
      <c r="C189" s="48">
        <f>_xll.RssMarket("9064","安値")</f>
        <v>1763</v>
      </c>
      <c r="D189" s="16"/>
      <c r="E189" s="33">
        <v>1763</v>
      </c>
      <c r="F189" s="33">
        <v>1760</v>
      </c>
      <c r="G189" s="33">
        <v>1768</v>
      </c>
      <c r="H189" s="33">
        <v>1783.5</v>
      </c>
      <c r="I189" s="33">
        <v>1790</v>
      </c>
      <c r="J189" s="33">
        <v>1785.5</v>
      </c>
      <c r="K189" s="33">
        <v>1775.5</v>
      </c>
      <c r="L189" s="33">
        <v>1790.5</v>
      </c>
      <c r="M189" s="33">
        <v>1794.5</v>
      </c>
      <c r="N189" s="33">
        <v>1803.5</v>
      </c>
      <c r="O189" s="33">
        <v>1781.5</v>
      </c>
      <c r="P189" s="33">
        <v>1794</v>
      </c>
      <c r="Q189" s="33">
        <v>1765</v>
      </c>
      <c r="R189" s="33">
        <v>1749</v>
      </c>
      <c r="S189" s="33">
        <v>1752.5</v>
      </c>
      <c r="T189" s="33">
        <v>1758</v>
      </c>
      <c r="U189" s="33">
        <v>1756</v>
      </c>
      <c r="V189" s="33">
        <v>1735.5</v>
      </c>
      <c r="W189" s="33">
        <v>1750</v>
      </c>
      <c r="X189" s="33">
        <v>1718</v>
      </c>
      <c r="Y189" s="33">
        <v>1714</v>
      </c>
      <c r="Z189" s="33">
        <v>1745</v>
      </c>
      <c r="AA189" s="33">
        <v>1744.5</v>
      </c>
      <c r="AB189" s="33">
        <v>1722</v>
      </c>
      <c r="AC189" s="33">
        <v>1725.5</v>
      </c>
      <c r="AD189" s="33">
        <v>1776.5</v>
      </c>
      <c r="AE189" s="33">
        <v>1735</v>
      </c>
      <c r="AF189" s="33">
        <v>1719.5</v>
      </c>
      <c r="AG189" s="33">
        <v>1756.5</v>
      </c>
      <c r="AH189" s="33">
        <v>1781.5</v>
      </c>
      <c r="AI189" s="33">
        <v>1748.5</v>
      </c>
      <c r="AJ189" s="33">
        <v>1761</v>
      </c>
      <c r="AK189" s="33">
        <v>1758.5</v>
      </c>
      <c r="AL189" s="33">
        <v>1809</v>
      </c>
      <c r="AM189" s="33">
        <v>1826</v>
      </c>
      <c r="AN189" s="33">
        <v>1818.5</v>
      </c>
      <c r="AO189" s="33">
        <v>1845</v>
      </c>
      <c r="AP189" s="33">
        <v>1856</v>
      </c>
      <c r="AQ189" s="33">
        <v>1865</v>
      </c>
      <c r="AR189" s="33">
        <v>1848</v>
      </c>
      <c r="AS189" s="33">
        <v>1830</v>
      </c>
      <c r="AT189" s="33">
        <v>1832.5</v>
      </c>
      <c r="AU189" s="33">
        <v>1848.5</v>
      </c>
      <c r="AV189" s="33">
        <v>1834.5</v>
      </c>
      <c r="AW189" s="33">
        <v>1811</v>
      </c>
      <c r="AX189" s="33">
        <v>1780</v>
      </c>
      <c r="AY189" s="33">
        <v>1768</v>
      </c>
      <c r="AZ189" s="33">
        <v>1758.5</v>
      </c>
      <c r="BA189" s="33">
        <v>1736.5</v>
      </c>
      <c r="BB189" s="33">
        <v>1736</v>
      </c>
      <c r="BC189" s="33">
        <v>1701.5</v>
      </c>
      <c r="BD189" s="33">
        <v>1764.5</v>
      </c>
      <c r="BE189" s="33">
        <v>1752</v>
      </c>
      <c r="BF189" s="33">
        <v>1750</v>
      </c>
      <c r="BG189" s="33">
        <v>1716</v>
      </c>
      <c r="BH189" s="33">
        <v>1697</v>
      </c>
      <c r="BI189" s="33">
        <v>1725.5</v>
      </c>
      <c r="BJ189" s="33">
        <v>1761</v>
      </c>
      <c r="BK189" s="33">
        <v>1748.5</v>
      </c>
      <c r="BL189" s="33">
        <v>1747</v>
      </c>
    </row>
    <row r="190" spans="1:64" ht="15.95" customHeight="1">
      <c r="A190" s="68" t="s">
        <v>445</v>
      </c>
      <c r="B190" s="44" t="s">
        <v>480</v>
      </c>
      <c r="C190" s="48">
        <f>_xll.RssMarket("7181","安値")</f>
        <v>1516</v>
      </c>
      <c r="D190" s="16">
        <f>C190-E190</f>
        <v>0</v>
      </c>
      <c r="E190" s="33">
        <v>1516</v>
      </c>
      <c r="F190" s="33">
        <v>1532.5</v>
      </c>
      <c r="G190" s="33">
        <v>1529.5</v>
      </c>
      <c r="H190" s="33">
        <v>1519.5</v>
      </c>
      <c r="I190" s="33">
        <v>1529</v>
      </c>
      <c r="J190" s="33">
        <v>1555</v>
      </c>
      <c r="K190" s="33">
        <v>1415</v>
      </c>
      <c r="L190" s="33">
        <v>1419</v>
      </c>
      <c r="M190" s="33">
        <v>1381.5</v>
      </c>
      <c r="N190" s="33">
        <v>1416</v>
      </c>
      <c r="O190" s="33">
        <v>1367</v>
      </c>
      <c r="P190" s="33">
        <v>1391</v>
      </c>
      <c r="Q190" s="33">
        <v>1411</v>
      </c>
      <c r="R190" s="33">
        <v>1461.5</v>
      </c>
      <c r="S190" s="33">
        <v>1470.5</v>
      </c>
      <c r="T190" s="33">
        <v>1511.5</v>
      </c>
      <c r="U190" s="33">
        <v>1527</v>
      </c>
      <c r="V190" s="33">
        <v>1515.5</v>
      </c>
      <c r="W190" s="33">
        <v>1474.5</v>
      </c>
      <c r="X190" s="33">
        <v>1450</v>
      </c>
      <c r="Y190" s="33">
        <v>1604.5</v>
      </c>
      <c r="Z190" s="33">
        <v>1594.5</v>
      </c>
      <c r="AA190" s="33">
        <v>1565</v>
      </c>
      <c r="AB190" s="33">
        <v>1540.5</v>
      </c>
      <c r="AC190" s="33">
        <v>1525</v>
      </c>
      <c r="AD190" s="33">
        <v>1540.5</v>
      </c>
      <c r="AE190" s="33">
        <v>1543</v>
      </c>
      <c r="AF190" s="33">
        <v>1508.5</v>
      </c>
      <c r="AG190" s="33">
        <v>1497.5</v>
      </c>
      <c r="AH190" s="33">
        <v>1491.5</v>
      </c>
      <c r="AI190" s="33">
        <v>1466.5</v>
      </c>
      <c r="AJ190" s="33">
        <v>1474</v>
      </c>
      <c r="AK190" s="33">
        <v>1458.5</v>
      </c>
      <c r="AL190" s="33">
        <v>1497.5</v>
      </c>
      <c r="AM190" s="33">
        <v>1542.5</v>
      </c>
      <c r="AN190" s="33">
        <v>1573.5</v>
      </c>
      <c r="AO190" s="33">
        <v>1600.5</v>
      </c>
      <c r="AP190" s="33">
        <v>1650.5</v>
      </c>
      <c r="AQ190" s="33">
        <v>1640.5</v>
      </c>
      <c r="AR190" s="33">
        <v>1608</v>
      </c>
      <c r="AS190" s="33">
        <v>1576</v>
      </c>
      <c r="AT190" s="33">
        <v>1589.5</v>
      </c>
      <c r="AU190" s="33">
        <v>1586.5</v>
      </c>
      <c r="AV190" s="33">
        <v>1626</v>
      </c>
      <c r="AW190" s="33">
        <v>1583</v>
      </c>
      <c r="AX190" s="33">
        <v>1594</v>
      </c>
      <c r="AY190" s="33">
        <v>1606</v>
      </c>
      <c r="AZ190" s="33">
        <v>1612</v>
      </c>
      <c r="BA190" s="33">
        <v>1620</v>
      </c>
      <c r="BB190" s="33">
        <v>1570</v>
      </c>
      <c r="BC190" s="33">
        <v>1529.5</v>
      </c>
      <c r="BD190" s="33">
        <v>1608</v>
      </c>
      <c r="BE190" s="33">
        <v>1585</v>
      </c>
      <c r="BF190" s="33">
        <v>1601</v>
      </c>
      <c r="BG190" s="33">
        <v>1546.3</v>
      </c>
      <c r="BH190" s="33">
        <v>1524</v>
      </c>
      <c r="BI190" s="33">
        <v>1568.6</v>
      </c>
      <c r="BJ190" s="33">
        <v>1585</v>
      </c>
      <c r="BK190" s="33">
        <v>1554.6</v>
      </c>
      <c r="BL190" s="33">
        <v>1534</v>
      </c>
    </row>
    <row r="191" spans="1:64" ht="15.95" customHeight="1">
      <c r="A191" s="68" t="s">
        <v>481</v>
      </c>
      <c r="B191" s="44" t="str">
        <f>銘柄管理!C191</f>
        <v>前澤給装工業</v>
      </c>
      <c r="C191" s="48">
        <f>_xll.RssMarket("6485","安値")</f>
        <v>1454</v>
      </c>
      <c r="D191" s="16"/>
      <c r="E191" s="33">
        <v>1454</v>
      </c>
      <c r="F191" s="33">
        <v>1434</v>
      </c>
      <c r="G191" s="33">
        <v>1430</v>
      </c>
      <c r="H191" s="33">
        <v>1418</v>
      </c>
      <c r="I191" s="33">
        <v>1405</v>
      </c>
      <c r="J191" s="33">
        <v>1418</v>
      </c>
      <c r="K191" s="33">
        <v>1410</v>
      </c>
      <c r="L191" s="33">
        <v>1420</v>
      </c>
      <c r="M191" s="33">
        <v>1388</v>
      </c>
      <c r="N191" s="33">
        <v>1374</v>
      </c>
      <c r="O191" s="33">
        <v>1360</v>
      </c>
      <c r="P191" s="33">
        <v>1417</v>
      </c>
      <c r="Q191" s="33">
        <v>1407</v>
      </c>
      <c r="R191" s="33">
        <v>1409</v>
      </c>
      <c r="S191" s="33">
        <v>1410</v>
      </c>
      <c r="T191" s="33">
        <v>1412</v>
      </c>
      <c r="U191" s="33">
        <v>1445</v>
      </c>
      <c r="V191" s="33">
        <v>1442</v>
      </c>
      <c r="W191" s="33">
        <v>1486</v>
      </c>
      <c r="X191" s="33">
        <v>1462</v>
      </c>
      <c r="Y191" s="33">
        <v>1500</v>
      </c>
      <c r="Z191" s="33">
        <v>1506</v>
      </c>
      <c r="AA191" s="33">
        <v>1508</v>
      </c>
      <c r="AB191" s="33">
        <v>1496</v>
      </c>
      <c r="AC191" s="33">
        <v>1505</v>
      </c>
      <c r="AD191" s="33">
        <v>1488</v>
      </c>
      <c r="AE191" s="33">
        <v>1492</v>
      </c>
      <c r="AF191" s="33">
        <v>1484</v>
      </c>
      <c r="AG191" s="33">
        <v>1486</v>
      </c>
      <c r="AH191" s="33">
        <v>1497</v>
      </c>
      <c r="AI191" s="33">
        <v>1501</v>
      </c>
      <c r="AJ191" s="33">
        <v>1525</v>
      </c>
      <c r="AK191" s="33">
        <v>1554</v>
      </c>
      <c r="AL191" s="33">
        <v>1551</v>
      </c>
      <c r="AM191" s="33">
        <v>1555</v>
      </c>
      <c r="AN191" s="33">
        <v>1567</v>
      </c>
      <c r="AO191" s="33">
        <v>1568</v>
      </c>
      <c r="AP191" s="33">
        <v>1574</v>
      </c>
      <c r="AQ191" s="33">
        <v>1591</v>
      </c>
      <c r="AR191" s="33">
        <v>1607</v>
      </c>
      <c r="AS191" s="33">
        <v>1618</v>
      </c>
      <c r="AT191" s="33">
        <v>1620</v>
      </c>
      <c r="AU191" s="33">
        <v>1589</v>
      </c>
      <c r="AV191" s="33">
        <v>1586</v>
      </c>
      <c r="AW191" s="33">
        <v>1580</v>
      </c>
      <c r="AX191" s="33">
        <v>1572</v>
      </c>
      <c r="AY191" s="33">
        <v>1572</v>
      </c>
      <c r="AZ191" s="33">
        <v>1535</v>
      </c>
      <c r="BA191" s="33">
        <v>1541</v>
      </c>
      <c r="BB191" s="33">
        <v>1590</v>
      </c>
      <c r="BC191" s="33">
        <v>1581</v>
      </c>
      <c r="BD191" s="33">
        <v>1600</v>
      </c>
      <c r="BE191" s="33">
        <v>1565</v>
      </c>
      <c r="BF191" s="33">
        <v>1558</v>
      </c>
      <c r="BG191" s="33">
        <v>1629</v>
      </c>
      <c r="BH191" s="33">
        <v>1647</v>
      </c>
      <c r="BI191" s="33">
        <v>1627</v>
      </c>
      <c r="BJ191" s="33">
        <v>1618</v>
      </c>
      <c r="BK191" s="33">
        <v>1621</v>
      </c>
      <c r="BL191" s="33">
        <v>1621</v>
      </c>
    </row>
    <row r="192" spans="1:64" ht="15.95" customHeight="1">
      <c r="A192" s="68" t="s">
        <v>446</v>
      </c>
      <c r="B192" s="44" t="s">
        <v>249</v>
      </c>
      <c r="C192" s="48">
        <f>_xll.RssMarket("4887","安値")</f>
        <v>1646.5</v>
      </c>
      <c r="D192" s="16">
        <f t="shared" si="2"/>
        <v>0</v>
      </c>
      <c r="E192" s="33">
        <v>1646.5</v>
      </c>
      <c r="F192" s="33">
        <v>1642.5</v>
      </c>
      <c r="G192" s="33">
        <v>1648</v>
      </c>
      <c r="H192" s="33">
        <v>1688</v>
      </c>
      <c r="I192" s="33">
        <v>1695</v>
      </c>
      <c r="J192" s="33">
        <v>1713.5</v>
      </c>
      <c r="K192" s="33">
        <v>1673</v>
      </c>
      <c r="L192" s="33">
        <v>1703</v>
      </c>
      <c r="M192" s="33">
        <v>1707.5</v>
      </c>
      <c r="N192" s="33">
        <v>1664.5</v>
      </c>
      <c r="O192" s="33">
        <v>1683</v>
      </c>
      <c r="P192" s="33">
        <v>1731</v>
      </c>
      <c r="Q192" s="33">
        <v>1726</v>
      </c>
      <c r="R192" s="33">
        <v>1745</v>
      </c>
      <c r="S192" s="33">
        <v>1766</v>
      </c>
      <c r="T192" s="33">
        <v>1740.5</v>
      </c>
      <c r="U192" s="33">
        <v>1751</v>
      </c>
      <c r="V192" s="33">
        <v>1778.5</v>
      </c>
      <c r="W192" s="33">
        <v>1741</v>
      </c>
      <c r="X192" s="33">
        <v>1730.5</v>
      </c>
      <c r="Y192" s="33">
        <v>1972.5</v>
      </c>
      <c r="Z192" s="33">
        <v>2055</v>
      </c>
      <c r="AA192" s="33">
        <v>2063.5</v>
      </c>
      <c r="AB192" s="33">
        <v>2053</v>
      </c>
      <c r="AC192" s="33">
        <v>2085</v>
      </c>
      <c r="AD192" s="33">
        <v>2083</v>
      </c>
      <c r="AE192" s="33">
        <v>2081</v>
      </c>
      <c r="AF192" s="33">
        <v>2057.5</v>
      </c>
      <c r="AG192" s="33">
        <v>2083</v>
      </c>
      <c r="AH192" s="33">
        <v>2068</v>
      </c>
      <c r="AI192" s="33">
        <v>2069.5</v>
      </c>
      <c r="AJ192" s="33">
        <v>2087</v>
      </c>
      <c r="AK192" s="33">
        <v>2073</v>
      </c>
      <c r="AL192" s="33">
        <v>2094</v>
      </c>
      <c r="AM192" s="33">
        <v>2149</v>
      </c>
      <c r="AN192" s="33">
        <v>2173</v>
      </c>
      <c r="AO192" s="33">
        <v>2208</v>
      </c>
      <c r="AP192" s="33">
        <v>2233.5</v>
      </c>
      <c r="AQ192" s="33">
        <v>2177</v>
      </c>
      <c r="AR192" s="33">
        <v>2172.5</v>
      </c>
      <c r="AS192" s="33">
        <v>2224.5</v>
      </c>
      <c r="AT192" s="33">
        <v>2229.5</v>
      </c>
      <c r="AU192" s="33">
        <v>2250</v>
      </c>
      <c r="AV192" s="33">
        <v>2256.5</v>
      </c>
      <c r="AW192" s="33">
        <v>2260.5</v>
      </c>
      <c r="AX192" s="33">
        <v>2256</v>
      </c>
      <c r="AY192" s="33">
        <v>2236.5</v>
      </c>
      <c r="AZ192" s="33">
        <v>2215</v>
      </c>
      <c r="BA192" s="33">
        <v>2211.5</v>
      </c>
      <c r="BB192" s="33">
        <v>2209</v>
      </c>
      <c r="BC192" s="33">
        <v>2231</v>
      </c>
      <c r="BD192" s="33">
        <v>2282.5</v>
      </c>
      <c r="BE192" s="33">
        <v>2251</v>
      </c>
      <c r="BF192" s="33">
        <v>2225</v>
      </c>
      <c r="BG192" s="33">
        <v>2141</v>
      </c>
      <c r="BH192" s="33">
        <v>2100</v>
      </c>
      <c r="BI192" s="33">
        <v>2144.5</v>
      </c>
      <c r="BJ192" s="33">
        <v>2173</v>
      </c>
      <c r="BK192" s="33">
        <v>2138</v>
      </c>
      <c r="BL192" s="33">
        <v>2110</v>
      </c>
    </row>
    <row r="193" spans="1:64" ht="15.95" customHeight="1">
      <c r="A193" s="68" t="s">
        <v>447</v>
      </c>
      <c r="B193" s="44" t="s">
        <v>250</v>
      </c>
      <c r="C193" s="48">
        <f>_xll.RssMarket("5243","安値")</f>
        <v>1720</v>
      </c>
      <c r="D193" s="16">
        <f t="shared" si="2"/>
        <v>0</v>
      </c>
      <c r="E193" s="33">
        <v>1720</v>
      </c>
      <c r="F193" s="33">
        <v>1672</v>
      </c>
      <c r="G193" s="33">
        <v>1655</v>
      </c>
      <c r="H193" s="33">
        <v>1635</v>
      </c>
      <c r="I193" s="33">
        <v>1604</v>
      </c>
      <c r="J193" s="33">
        <v>1635</v>
      </c>
      <c r="K193" s="33">
        <v>1732</v>
      </c>
      <c r="L193" s="33">
        <v>1815</v>
      </c>
      <c r="M193" s="33">
        <v>1810</v>
      </c>
      <c r="N193" s="33">
        <v>1862</v>
      </c>
      <c r="O193" s="33">
        <v>1881</v>
      </c>
      <c r="P193" s="33">
        <v>2031</v>
      </c>
      <c r="Q193" s="33">
        <v>2027</v>
      </c>
      <c r="R193" s="33">
        <v>2051</v>
      </c>
      <c r="S193" s="33">
        <v>2181</v>
      </c>
      <c r="T193" s="33">
        <v>2172</v>
      </c>
      <c r="U193" s="33">
        <v>2150</v>
      </c>
      <c r="V193" s="33">
        <v>2145</v>
      </c>
      <c r="W193" s="33">
        <v>2188</v>
      </c>
      <c r="X193" s="33">
        <v>2181</v>
      </c>
      <c r="Y193" s="33">
        <v>2235</v>
      </c>
      <c r="Z193" s="33">
        <v>2272</v>
      </c>
      <c r="AA193" s="33">
        <v>2271</v>
      </c>
      <c r="AB193" s="33">
        <v>2135</v>
      </c>
      <c r="AC193" s="33">
        <v>2102</v>
      </c>
      <c r="AD193" s="33">
        <v>2134</v>
      </c>
      <c r="AE193" s="33">
        <v>2240</v>
      </c>
      <c r="AF193" s="33">
        <v>2363</v>
      </c>
      <c r="AG193" s="33">
        <v>2396</v>
      </c>
      <c r="AH193" s="33">
        <v>2330</v>
      </c>
      <c r="AI193" s="33">
        <v>2265</v>
      </c>
      <c r="AJ193" s="33">
        <v>2380</v>
      </c>
      <c r="AK193" s="33">
        <v>2467</v>
      </c>
      <c r="AL193" s="33">
        <v>2432</v>
      </c>
      <c r="AM193" s="33">
        <v>2535</v>
      </c>
      <c r="AN193" s="33">
        <v>2520</v>
      </c>
      <c r="AO193" s="33">
        <v>2586</v>
      </c>
      <c r="AP193" s="33">
        <v>2563</v>
      </c>
      <c r="AQ193" s="33">
        <v>2515</v>
      </c>
      <c r="AR193" s="33">
        <v>2853</v>
      </c>
      <c r="AS193" s="33">
        <v>2681</v>
      </c>
      <c r="AT193" s="33">
        <v>2629</v>
      </c>
      <c r="AU193" s="33">
        <v>2645</v>
      </c>
      <c r="AV193" s="33">
        <v>2576</v>
      </c>
      <c r="AW193" s="33">
        <v>2482</v>
      </c>
      <c r="AX193" s="33">
        <v>2481</v>
      </c>
      <c r="AY193" s="33">
        <v>2468</v>
      </c>
      <c r="AZ193" s="33">
        <v>2423</v>
      </c>
      <c r="BA193" s="33">
        <v>2480</v>
      </c>
      <c r="BB193" s="33">
        <v>2367</v>
      </c>
      <c r="BC193" s="33">
        <v>2355</v>
      </c>
      <c r="BD193" s="33">
        <v>2417</v>
      </c>
      <c r="BE193" s="33">
        <v>2408</v>
      </c>
      <c r="BF193" s="33">
        <v>2352</v>
      </c>
      <c r="BG193" s="33">
        <v>2175</v>
      </c>
      <c r="BH193" s="33">
        <v>2055</v>
      </c>
      <c r="BI193" s="33">
        <v>2170</v>
      </c>
      <c r="BJ193" s="33">
        <v>2256</v>
      </c>
      <c r="BK193" s="33">
        <v>2287</v>
      </c>
      <c r="BL193" s="33">
        <v>2413</v>
      </c>
    </row>
    <row r="194" spans="1:64" ht="15.95" customHeight="1">
      <c r="A194" s="68" t="s">
        <v>448</v>
      </c>
      <c r="B194" s="44" t="s">
        <v>251</v>
      </c>
      <c r="C194" s="48">
        <f>_xll.RssMarket("2702","安値")</f>
        <v>7350</v>
      </c>
      <c r="D194" s="16">
        <f t="shared" si="2"/>
        <v>0</v>
      </c>
      <c r="E194" s="33">
        <v>7350</v>
      </c>
      <c r="F194" s="33">
        <v>7320</v>
      </c>
      <c r="G194" s="33">
        <v>7410</v>
      </c>
      <c r="H194" s="33">
        <v>7330</v>
      </c>
      <c r="I194" s="33">
        <v>7320</v>
      </c>
      <c r="J194" s="33">
        <v>7160</v>
      </c>
      <c r="K194" s="33">
        <v>7340</v>
      </c>
      <c r="L194" s="33">
        <v>7320</v>
      </c>
      <c r="M194" s="33">
        <v>7290</v>
      </c>
      <c r="N194" s="33">
        <v>7440</v>
      </c>
      <c r="O194" s="33">
        <v>7540</v>
      </c>
      <c r="P194" s="33">
        <v>7700</v>
      </c>
      <c r="Q194" s="33">
        <v>7760</v>
      </c>
      <c r="R194" s="33">
        <v>7870</v>
      </c>
      <c r="S194" s="33">
        <v>8030</v>
      </c>
      <c r="T194" s="33">
        <v>8010</v>
      </c>
      <c r="U194" s="33">
        <v>7960</v>
      </c>
      <c r="V194" s="33">
        <v>7800</v>
      </c>
      <c r="W194" s="33">
        <v>7780</v>
      </c>
      <c r="X194" s="33">
        <v>8110</v>
      </c>
      <c r="Y194" s="33">
        <v>8290</v>
      </c>
      <c r="Z194" s="33">
        <v>8320</v>
      </c>
      <c r="AA194" s="33">
        <v>7650</v>
      </c>
      <c r="AB194" s="33">
        <v>7740</v>
      </c>
      <c r="AC194" s="33">
        <v>7870</v>
      </c>
      <c r="AD194" s="33">
        <v>7960</v>
      </c>
      <c r="AE194" s="33">
        <v>8090</v>
      </c>
      <c r="AF194" s="33">
        <v>8110</v>
      </c>
      <c r="AG194" s="33">
        <v>8150</v>
      </c>
      <c r="AH194" s="33">
        <v>8070</v>
      </c>
      <c r="AI194" s="33">
        <v>8070</v>
      </c>
      <c r="AJ194" s="33">
        <v>8090</v>
      </c>
      <c r="AK194" s="33">
        <v>8150</v>
      </c>
      <c r="AL194" s="33">
        <v>8200</v>
      </c>
      <c r="AM194" s="33">
        <v>8170</v>
      </c>
      <c r="AN194" s="33">
        <v>8160</v>
      </c>
      <c r="AO194" s="33">
        <v>8160</v>
      </c>
      <c r="AP194" s="33">
        <v>8050</v>
      </c>
      <c r="AQ194" s="33">
        <v>8000</v>
      </c>
      <c r="AR194" s="33">
        <v>8020</v>
      </c>
      <c r="AS194" s="33">
        <v>8240</v>
      </c>
      <c r="AT194" s="33">
        <v>8470</v>
      </c>
      <c r="AU194" s="33">
        <v>8550</v>
      </c>
      <c r="AV194" s="33">
        <v>8470</v>
      </c>
      <c r="AW194" s="33">
        <v>8340</v>
      </c>
      <c r="AX194" s="33">
        <v>8200</v>
      </c>
      <c r="AY194" s="33">
        <v>8190</v>
      </c>
      <c r="AZ194" s="33">
        <v>8170</v>
      </c>
      <c r="BA194" s="33">
        <v>8260</v>
      </c>
      <c r="BB194" s="33">
        <v>8230</v>
      </c>
      <c r="BC194" s="33">
        <v>8110</v>
      </c>
      <c r="BD194" s="33">
        <v>8040</v>
      </c>
      <c r="BE194" s="33">
        <v>8040</v>
      </c>
      <c r="BF194" s="33">
        <v>7910</v>
      </c>
      <c r="BG194" s="33">
        <v>7800</v>
      </c>
      <c r="BH194" s="33">
        <v>7920</v>
      </c>
      <c r="BI194" s="33">
        <v>7880</v>
      </c>
      <c r="BJ194" s="33">
        <v>7810</v>
      </c>
      <c r="BK194" s="33">
        <v>7770</v>
      </c>
      <c r="BL194" s="33">
        <v>7650</v>
      </c>
    </row>
    <row r="195" spans="1:64" ht="15.95" customHeight="1">
      <c r="A195" s="68" t="s">
        <v>449</v>
      </c>
      <c r="B195" s="44" t="s">
        <v>252</v>
      </c>
      <c r="C195" s="48">
        <f>_xll.RssMarket("6890","安値")</f>
        <v>8990</v>
      </c>
      <c r="D195" s="16">
        <f t="shared" si="2"/>
        <v>0</v>
      </c>
      <c r="E195" s="33">
        <v>8990</v>
      </c>
      <c r="F195" s="33">
        <v>9010</v>
      </c>
      <c r="G195" s="33">
        <v>9030</v>
      </c>
      <c r="H195" s="33">
        <v>8760</v>
      </c>
      <c r="I195" s="33">
        <v>7430</v>
      </c>
      <c r="J195" s="33">
        <v>7730</v>
      </c>
      <c r="K195" s="33">
        <v>8120</v>
      </c>
      <c r="L195" s="33">
        <v>8450</v>
      </c>
      <c r="M195" s="33">
        <v>7950</v>
      </c>
      <c r="N195" s="33">
        <v>7840</v>
      </c>
      <c r="O195" s="33">
        <v>7520</v>
      </c>
      <c r="P195" s="33">
        <v>8480</v>
      </c>
      <c r="Q195" s="33">
        <v>8270</v>
      </c>
      <c r="R195" s="33">
        <v>8490</v>
      </c>
      <c r="S195" s="33">
        <v>9060</v>
      </c>
      <c r="T195" s="33">
        <v>8850</v>
      </c>
      <c r="U195" s="33">
        <v>8630</v>
      </c>
      <c r="V195" s="33">
        <v>8550</v>
      </c>
      <c r="W195" s="33">
        <v>8430</v>
      </c>
      <c r="X195" s="33">
        <v>8850</v>
      </c>
      <c r="Y195" s="33">
        <v>9220</v>
      </c>
      <c r="Z195" s="33">
        <v>9600</v>
      </c>
      <c r="AA195" s="33">
        <v>9020</v>
      </c>
      <c r="AB195" s="33">
        <v>9540</v>
      </c>
      <c r="AC195" s="33">
        <v>9570</v>
      </c>
      <c r="AD195" s="33">
        <v>9010</v>
      </c>
      <c r="AE195" s="33">
        <v>8330</v>
      </c>
      <c r="AF195" s="33">
        <v>7600</v>
      </c>
      <c r="AG195" s="33">
        <v>7490</v>
      </c>
      <c r="AH195" s="33">
        <v>7090</v>
      </c>
      <c r="AI195" s="33">
        <v>7200</v>
      </c>
      <c r="AJ195" s="33">
        <v>7160</v>
      </c>
      <c r="AK195" s="33">
        <v>7030</v>
      </c>
      <c r="AL195" s="33">
        <v>6560</v>
      </c>
      <c r="AM195" s="33">
        <v>6640</v>
      </c>
      <c r="AN195" s="33">
        <v>6670</v>
      </c>
      <c r="AO195" s="33">
        <v>6610</v>
      </c>
      <c r="AP195" s="33">
        <v>6720</v>
      </c>
      <c r="AQ195" s="33">
        <v>6670</v>
      </c>
      <c r="AR195" s="33">
        <v>6930</v>
      </c>
      <c r="AS195" s="33">
        <v>6870</v>
      </c>
      <c r="AT195" s="33">
        <v>6920</v>
      </c>
      <c r="AU195" s="33">
        <v>6710</v>
      </c>
      <c r="AV195" s="33">
        <v>6670</v>
      </c>
      <c r="AW195" s="33">
        <v>6490</v>
      </c>
      <c r="AX195" s="33">
        <v>6470</v>
      </c>
      <c r="AY195" s="33">
        <v>6420</v>
      </c>
      <c r="AZ195" s="33">
        <v>6320</v>
      </c>
      <c r="BA195" s="33">
        <v>6550</v>
      </c>
      <c r="BB195" s="33">
        <v>6170</v>
      </c>
      <c r="BC195" s="33">
        <v>6150</v>
      </c>
      <c r="BD195" s="33">
        <v>6250</v>
      </c>
      <c r="BE195" s="33">
        <v>6380</v>
      </c>
      <c r="BF195" s="33">
        <v>6140</v>
      </c>
      <c r="BG195" s="33">
        <v>5790</v>
      </c>
      <c r="BH195" s="33">
        <v>5680</v>
      </c>
      <c r="BI195" s="33">
        <v>6010</v>
      </c>
      <c r="BJ195" s="33">
        <v>5990</v>
      </c>
      <c r="BK195" s="33">
        <v>6010</v>
      </c>
      <c r="BL195" s="33">
        <v>6030</v>
      </c>
    </row>
    <row r="196" spans="1:64" ht="15.95" customHeight="1">
      <c r="A196" s="68" t="s">
        <v>450</v>
      </c>
      <c r="B196" s="44" t="s">
        <v>253</v>
      </c>
      <c r="C196" s="48">
        <f>_xll.RssMarket("4966","安値")</f>
        <v>25750</v>
      </c>
      <c r="D196" s="16">
        <f t="shared" si="2"/>
        <v>0</v>
      </c>
      <c r="E196" s="33">
        <v>25750</v>
      </c>
      <c r="F196" s="33">
        <v>25890</v>
      </c>
      <c r="G196" s="33">
        <v>24840</v>
      </c>
      <c r="H196" s="33">
        <v>23710</v>
      </c>
      <c r="I196" s="33">
        <v>21820</v>
      </c>
      <c r="J196" s="33">
        <v>22000</v>
      </c>
      <c r="K196" s="33">
        <v>20850</v>
      </c>
      <c r="L196" s="33">
        <v>22270</v>
      </c>
      <c r="M196" s="33">
        <v>22800</v>
      </c>
      <c r="N196" s="33">
        <v>23060</v>
      </c>
      <c r="O196" s="33">
        <v>22060</v>
      </c>
      <c r="P196" s="33">
        <v>23020</v>
      </c>
      <c r="Q196" s="33">
        <v>22900</v>
      </c>
      <c r="R196" s="33">
        <v>23540</v>
      </c>
      <c r="S196" s="33">
        <v>23860</v>
      </c>
      <c r="T196" s="33">
        <v>23440</v>
      </c>
      <c r="U196" s="33">
        <v>23000</v>
      </c>
      <c r="V196" s="33">
        <v>21940</v>
      </c>
      <c r="W196" s="33">
        <v>22650</v>
      </c>
      <c r="X196" s="33">
        <v>23450</v>
      </c>
      <c r="Y196" s="33">
        <v>23540</v>
      </c>
      <c r="Z196" s="33">
        <v>25000</v>
      </c>
      <c r="AA196" s="33">
        <v>21500</v>
      </c>
      <c r="AB196" s="33">
        <v>24360</v>
      </c>
      <c r="AC196" s="33">
        <v>23400</v>
      </c>
      <c r="AD196" s="33">
        <v>23060</v>
      </c>
      <c r="AE196" s="33">
        <v>23120</v>
      </c>
      <c r="AF196" s="33">
        <v>22550</v>
      </c>
      <c r="AG196" s="33">
        <v>23120</v>
      </c>
      <c r="AH196" s="33">
        <v>22910</v>
      </c>
      <c r="AI196" s="33">
        <v>23100</v>
      </c>
      <c r="AJ196" s="33">
        <v>23160</v>
      </c>
      <c r="AK196" s="33">
        <v>22770</v>
      </c>
      <c r="AL196" s="33">
        <v>22580</v>
      </c>
      <c r="AM196" s="33">
        <v>22840</v>
      </c>
      <c r="AN196" s="33">
        <v>22660</v>
      </c>
      <c r="AO196" s="33">
        <v>23140</v>
      </c>
      <c r="AP196" s="33">
        <v>23340</v>
      </c>
      <c r="AQ196" s="33">
        <v>23680</v>
      </c>
      <c r="AR196" s="33">
        <v>23750</v>
      </c>
      <c r="AS196" s="33">
        <v>22780</v>
      </c>
      <c r="AT196" s="33">
        <v>22560</v>
      </c>
      <c r="AU196" s="33">
        <v>22380</v>
      </c>
      <c r="AV196" s="33">
        <v>21550</v>
      </c>
      <c r="AW196" s="33">
        <v>20810</v>
      </c>
      <c r="AX196" s="33">
        <v>21000</v>
      </c>
      <c r="AY196" s="33">
        <v>20460</v>
      </c>
      <c r="AZ196" s="33">
        <v>20270</v>
      </c>
      <c r="BA196" s="33">
        <v>20320</v>
      </c>
      <c r="BB196" s="33">
        <v>19550</v>
      </c>
      <c r="BC196" s="33">
        <v>20120</v>
      </c>
      <c r="BD196" s="33">
        <v>21670</v>
      </c>
      <c r="BE196" s="33">
        <v>22370</v>
      </c>
      <c r="BF196" s="33">
        <v>22810</v>
      </c>
      <c r="BG196" s="33">
        <v>21750</v>
      </c>
      <c r="BH196" s="33">
        <v>21300</v>
      </c>
      <c r="BI196" s="33">
        <v>22400</v>
      </c>
      <c r="BJ196" s="33">
        <v>22840</v>
      </c>
      <c r="BK196" s="33">
        <v>22650</v>
      </c>
      <c r="BL196" s="33">
        <v>22260</v>
      </c>
    </row>
    <row r="197" spans="1:64" ht="15.95" customHeight="1">
      <c r="A197" s="68" t="s">
        <v>451</v>
      </c>
      <c r="B197" s="44" t="s">
        <v>254</v>
      </c>
      <c r="C197" s="48">
        <f>_xll.RssMarket("6146","安値")</f>
        <v>80000</v>
      </c>
      <c r="D197" s="16">
        <f t="shared" si="2"/>
        <v>0</v>
      </c>
      <c r="E197" s="33">
        <v>80000</v>
      </c>
      <c r="F197" s="33">
        <v>81210</v>
      </c>
      <c r="G197" s="33">
        <v>80450</v>
      </c>
      <c r="H197" s="33">
        <v>73310</v>
      </c>
      <c r="I197" s="33">
        <v>66440</v>
      </c>
      <c r="J197" s="33">
        <v>69320</v>
      </c>
      <c r="K197" s="33">
        <v>66440</v>
      </c>
      <c r="L197" s="33">
        <v>70440</v>
      </c>
      <c r="M197" s="33">
        <v>68080</v>
      </c>
      <c r="N197" s="33">
        <v>65130</v>
      </c>
      <c r="O197" s="33">
        <v>61530</v>
      </c>
      <c r="P197" s="33">
        <v>63580</v>
      </c>
      <c r="Q197" s="33">
        <v>64800</v>
      </c>
      <c r="R197" s="33">
        <v>67340</v>
      </c>
      <c r="S197" s="33">
        <v>67180</v>
      </c>
      <c r="T197" s="33">
        <v>65090</v>
      </c>
      <c r="U197" s="33">
        <v>63220</v>
      </c>
      <c r="V197" s="33">
        <v>59650</v>
      </c>
      <c r="W197" s="33">
        <v>60650</v>
      </c>
      <c r="X197" s="33">
        <v>62280</v>
      </c>
      <c r="Y197" s="33">
        <v>64300</v>
      </c>
      <c r="Z197" s="33">
        <v>70000</v>
      </c>
      <c r="AA197" s="33">
        <v>70330</v>
      </c>
      <c r="AB197" s="33">
        <v>71370</v>
      </c>
      <c r="AC197" s="33">
        <v>73100</v>
      </c>
      <c r="AD197" s="33">
        <v>74830</v>
      </c>
      <c r="AE197" s="33">
        <v>75800</v>
      </c>
      <c r="AF197" s="33">
        <v>72200</v>
      </c>
      <c r="AG197" s="33">
        <v>72910</v>
      </c>
      <c r="AH197" s="33">
        <v>73600</v>
      </c>
      <c r="AI197" s="33">
        <v>72800</v>
      </c>
      <c r="AJ197" s="33">
        <v>71090</v>
      </c>
      <c r="AK197" s="33">
        <v>71230</v>
      </c>
      <c r="AL197" s="33">
        <v>74180</v>
      </c>
      <c r="AM197" s="33">
        <v>72000</v>
      </c>
      <c r="AN197" s="33">
        <v>71800</v>
      </c>
      <c r="AO197" s="33">
        <v>72020</v>
      </c>
      <c r="AP197" s="33">
        <v>70640</v>
      </c>
      <c r="AQ197" s="33">
        <v>70170</v>
      </c>
      <c r="AR197" s="33">
        <v>69970</v>
      </c>
      <c r="AS197" s="33">
        <v>66200</v>
      </c>
      <c r="AT197" s="33">
        <v>65530</v>
      </c>
      <c r="AU197" s="33">
        <v>64330</v>
      </c>
      <c r="AV197" s="33">
        <v>66000</v>
      </c>
      <c r="AW197" s="33">
        <v>62860</v>
      </c>
      <c r="AX197" s="33">
        <v>66060</v>
      </c>
      <c r="AY197" s="33">
        <v>64470</v>
      </c>
      <c r="AZ197" s="33">
        <v>62500</v>
      </c>
      <c r="BA197" s="33">
        <v>61590</v>
      </c>
      <c r="BB197" s="33">
        <v>60440</v>
      </c>
      <c r="BC197" s="33">
        <v>62290</v>
      </c>
      <c r="BD197" s="33">
        <v>64820</v>
      </c>
      <c r="BE197" s="33">
        <v>67110</v>
      </c>
      <c r="BF197" s="33">
        <v>67010</v>
      </c>
      <c r="BG197" s="33">
        <v>64430</v>
      </c>
      <c r="BH197" s="33">
        <v>63860</v>
      </c>
      <c r="BI197" s="33">
        <v>68650</v>
      </c>
      <c r="BJ197" s="33">
        <v>68660</v>
      </c>
      <c r="BK197" s="33">
        <v>67350</v>
      </c>
      <c r="BL197" s="33">
        <v>68530</v>
      </c>
    </row>
    <row r="198" spans="1:64" ht="15.95" customHeight="1">
      <c r="A198" s="68" t="s">
        <v>452</v>
      </c>
      <c r="B198" s="44" t="s">
        <v>255</v>
      </c>
      <c r="C198" s="48">
        <f>_xll.RssMarket("8035","安値")</f>
        <v>69850</v>
      </c>
      <c r="D198" s="16">
        <f t="shared" ref="D198:D217" si="3">C198-E198</f>
        <v>0</v>
      </c>
      <c r="E198" s="33">
        <v>69850</v>
      </c>
      <c r="F198" s="33">
        <v>70820</v>
      </c>
      <c r="G198" s="33">
        <v>72760</v>
      </c>
      <c r="H198" s="33">
        <v>68000</v>
      </c>
      <c r="I198" s="33">
        <v>60210</v>
      </c>
      <c r="J198" s="33">
        <v>60810</v>
      </c>
      <c r="K198" s="33">
        <v>54650</v>
      </c>
      <c r="L198" s="33">
        <v>58750</v>
      </c>
      <c r="M198" s="33">
        <v>59900</v>
      </c>
      <c r="N198" s="33">
        <v>56390</v>
      </c>
      <c r="O198" s="33">
        <v>52180</v>
      </c>
      <c r="P198" s="33">
        <v>52030</v>
      </c>
      <c r="Q198" s="33">
        <v>51150</v>
      </c>
      <c r="R198" s="33">
        <v>52500</v>
      </c>
      <c r="S198" s="33">
        <v>50030</v>
      </c>
      <c r="T198" s="33">
        <v>48730</v>
      </c>
      <c r="U198" s="33">
        <v>47450</v>
      </c>
      <c r="V198" s="33">
        <v>45030</v>
      </c>
      <c r="W198" s="33">
        <v>47160</v>
      </c>
      <c r="X198" s="33">
        <v>48810</v>
      </c>
      <c r="Y198" s="33">
        <v>49480</v>
      </c>
      <c r="Z198" s="33">
        <v>51200</v>
      </c>
      <c r="AA198" s="33">
        <v>50830</v>
      </c>
      <c r="AB198" s="33">
        <v>51630</v>
      </c>
      <c r="AC198" s="33">
        <v>51870</v>
      </c>
      <c r="AD198" s="33">
        <v>51220</v>
      </c>
      <c r="AE198" s="33">
        <v>50240</v>
      </c>
      <c r="AF198" s="33">
        <v>46710</v>
      </c>
      <c r="AG198" s="33">
        <v>43980</v>
      </c>
      <c r="AH198" s="33">
        <v>45010</v>
      </c>
      <c r="AI198" s="33">
        <v>46300</v>
      </c>
      <c r="AJ198" s="33">
        <v>45410</v>
      </c>
      <c r="AK198" s="33">
        <v>44950</v>
      </c>
      <c r="AL198" s="33">
        <v>45020</v>
      </c>
      <c r="AM198" s="33">
        <v>44670</v>
      </c>
      <c r="AN198" s="33">
        <v>43620</v>
      </c>
      <c r="AO198" s="33">
        <v>44010</v>
      </c>
      <c r="AP198" s="33">
        <v>44100</v>
      </c>
      <c r="AQ198" s="33">
        <v>43360</v>
      </c>
      <c r="AR198" s="33">
        <v>42890</v>
      </c>
      <c r="AS198" s="33">
        <v>42300</v>
      </c>
      <c r="AT198" s="33">
        <v>42620</v>
      </c>
      <c r="AU198" s="33">
        <v>41750</v>
      </c>
      <c r="AV198" s="33">
        <v>41060</v>
      </c>
      <c r="AW198" s="33">
        <v>38270</v>
      </c>
      <c r="AX198" s="33">
        <v>38200</v>
      </c>
      <c r="AY198" s="33">
        <v>38280</v>
      </c>
      <c r="AZ198" s="33">
        <v>37960</v>
      </c>
      <c r="BA198" s="33">
        <v>38380</v>
      </c>
      <c r="BB198" s="33">
        <v>36520</v>
      </c>
      <c r="BC198" s="33">
        <v>37210</v>
      </c>
      <c r="BD198" s="33">
        <v>38670</v>
      </c>
      <c r="BE198" s="33">
        <v>39940</v>
      </c>
      <c r="BF198" s="33">
        <v>40360</v>
      </c>
      <c r="BG198" s="33">
        <v>38280</v>
      </c>
      <c r="BH198" s="33">
        <v>37480</v>
      </c>
      <c r="BI198" s="33">
        <v>38960</v>
      </c>
      <c r="BJ198" s="33">
        <v>39240</v>
      </c>
      <c r="BK198" s="33">
        <v>38630</v>
      </c>
      <c r="BL198" s="33">
        <v>37830</v>
      </c>
    </row>
    <row r="199" spans="1:64" ht="15.95" customHeight="1">
      <c r="A199" s="68" t="s">
        <v>453</v>
      </c>
      <c r="B199" s="44" t="s">
        <v>256</v>
      </c>
      <c r="C199" s="48">
        <f>_xll.RssMarket("6920","安値")</f>
        <v>45770</v>
      </c>
      <c r="D199" s="16">
        <f t="shared" si="3"/>
        <v>0</v>
      </c>
      <c r="E199" s="33">
        <v>45770</v>
      </c>
      <c r="F199" s="33">
        <v>46450</v>
      </c>
      <c r="G199" s="33">
        <v>45460</v>
      </c>
      <c r="H199" s="33">
        <v>41820</v>
      </c>
      <c r="I199" s="33">
        <v>37780</v>
      </c>
      <c r="J199" s="33">
        <v>39660</v>
      </c>
      <c r="K199" s="33">
        <v>38760</v>
      </c>
      <c r="L199" s="33">
        <v>41020</v>
      </c>
      <c r="M199" s="33">
        <v>41230</v>
      </c>
      <c r="N199" s="33">
        <v>39340</v>
      </c>
      <c r="O199" s="33">
        <v>37850</v>
      </c>
      <c r="P199" s="33">
        <v>38930</v>
      </c>
      <c r="Q199" s="33">
        <v>38860</v>
      </c>
      <c r="R199" s="33">
        <v>41530</v>
      </c>
      <c r="S199" s="33">
        <v>40290</v>
      </c>
      <c r="T199" s="33">
        <v>37870</v>
      </c>
      <c r="U199" s="33">
        <v>36720</v>
      </c>
      <c r="V199" s="33">
        <v>34620</v>
      </c>
      <c r="W199" s="33">
        <v>35550</v>
      </c>
      <c r="X199" s="33">
        <v>38080</v>
      </c>
      <c r="Y199" s="33">
        <v>38030</v>
      </c>
      <c r="Z199" s="33">
        <v>40540</v>
      </c>
      <c r="AA199" s="33">
        <v>41400</v>
      </c>
      <c r="AB199" s="33">
        <v>42700</v>
      </c>
      <c r="AC199" s="33">
        <v>43480</v>
      </c>
      <c r="AD199" s="33">
        <v>42760</v>
      </c>
      <c r="AE199" s="33">
        <v>44380</v>
      </c>
      <c r="AF199" s="33">
        <v>40500</v>
      </c>
      <c r="AG199" s="33">
        <v>42520</v>
      </c>
      <c r="AH199" s="33">
        <v>44060</v>
      </c>
      <c r="AI199" s="33">
        <v>45000</v>
      </c>
      <c r="AJ199" s="33">
        <v>44350</v>
      </c>
      <c r="AK199" s="33">
        <v>43100</v>
      </c>
      <c r="AL199" s="33">
        <v>44110</v>
      </c>
      <c r="AM199" s="33">
        <v>42340</v>
      </c>
      <c r="AN199" s="33">
        <v>40530</v>
      </c>
      <c r="AO199" s="33">
        <v>39950</v>
      </c>
      <c r="AP199" s="33">
        <v>40630</v>
      </c>
      <c r="AQ199" s="33">
        <v>41210</v>
      </c>
      <c r="AR199" s="33">
        <v>41630</v>
      </c>
      <c r="AS199" s="33">
        <v>40480</v>
      </c>
      <c r="AT199" s="33">
        <v>39000</v>
      </c>
      <c r="AU199" s="33">
        <v>38340</v>
      </c>
      <c r="AV199" s="33">
        <v>37720</v>
      </c>
      <c r="AW199" s="33">
        <v>36470</v>
      </c>
      <c r="AX199" s="33">
        <v>35720</v>
      </c>
      <c r="AY199" s="33">
        <v>35640</v>
      </c>
      <c r="AZ199" s="33">
        <v>34510</v>
      </c>
      <c r="BA199" s="33">
        <v>33760</v>
      </c>
      <c r="BB199" s="33">
        <v>32910</v>
      </c>
      <c r="BC199" s="33">
        <v>33520</v>
      </c>
      <c r="BD199" s="33">
        <v>33800</v>
      </c>
      <c r="BE199" s="33">
        <v>33600</v>
      </c>
      <c r="BF199" s="33">
        <v>32790</v>
      </c>
      <c r="BG199" s="33">
        <v>31200</v>
      </c>
      <c r="BH199" s="33">
        <v>31580</v>
      </c>
      <c r="BI199" s="33">
        <v>34660</v>
      </c>
      <c r="BJ199" s="33">
        <v>35410</v>
      </c>
      <c r="BK199" s="33">
        <v>35850</v>
      </c>
      <c r="BL199" s="33">
        <v>36560</v>
      </c>
    </row>
    <row r="200" spans="1:64" ht="15.95" customHeight="1">
      <c r="A200" s="68" t="s">
        <v>454</v>
      </c>
      <c r="B200" s="44" t="s">
        <v>66</v>
      </c>
      <c r="C200" s="48">
        <f>_xll.RssMarket("5801","安値")</f>
        <v>44900</v>
      </c>
      <c r="D200" s="16">
        <f t="shared" si="3"/>
        <v>0</v>
      </c>
      <c r="E200" s="33">
        <v>44900</v>
      </c>
      <c r="F200" s="33">
        <v>43580</v>
      </c>
      <c r="G200" s="33">
        <v>43970</v>
      </c>
      <c r="H200" s="33">
        <v>40870</v>
      </c>
      <c r="I200" s="33">
        <v>38080</v>
      </c>
      <c r="J200" s="33">
        <v>40220</v>
      </c>
      <c r="K200" s="33">
        <v>43600</v>
      </c>
      <c r="L200" s="33">
        <v>48120</v>
      </c>
      <c r="M200" s="33">
        <v>50050</v>
      </c>
      <c r="N200" s="33">
        <v>52720</v>
      </c>
      <c r="O200" s="33">
        <v>48020</v>
      </c>
      <c r="P200" s="33">
        <v>49150</v>
      </c>
      <c r="Q200" s="33">
        <v>50650</v>
      </c>
      <c r="R200" s="33">
        <v>55570</v>
      </c>
      <c r="S200" s="33">
        <v>55920</v>
      </c>
      <c r="T200" s="33">
        <v>51010</v>
      </c>
      <c r="U200" s="33">
        <v>49130</v>
      </c>
      <c r="V200" s="33">
        <v>46500</v>
      </c>
      <c r="W200" s="33">
        <v>49600</v>
      </c>
      <c r="X200" s="33">
        <v>53740</v>
      </c>
      <c r="Y200" s="33">
        <v>53330</v>
      </c>
      <c r="Z200" s="33">
        <v>56250</v>
      </c>
      <c r="AA200" s="33">
        <v>51050</v>
      </c>
      <c r="AB200" s="33">
        <v>43660</v>
      </c>
      <c r="AC200" s="33">
        <v>43430</v>
      </c>
      <c r="AD200" s="33">
        <v>43730</v>
      </c>
      <c r="AE200" s="33">
        <v>44590</v>
      </c>
      <c r="AF200" s="33">
        <v>41190</v>
      </c>
      <c r="AG200" s="33">
        <v>41580</v>
      </c>
      <c r="AH200" s="33">
        <v>41130</v>
      </c>
      <c r="AI200" s="33">
        <v>42090</v>
      </c>
      <c r="AJ200" s="33">
        <v>42530</v>
      </c>
      <c r="AK200" s="33">
        <v>41530</v>
      </c>
      <c r="AL200" s="33">
        <v>43090</v>
      </c>
      <c r="AM200" s="33">
        <v>43600</v>
      </c>
      <c r="AN200" s="33">
        <v>43070</v>
      </c>
      <c r="AO200" s="33">
        <v>44330</v>
      </c>
      <c r="AP200" s="33">
        <v>43500</v>
      </c>
      <c r="AQ200" s="33">
        <v>44240</v>
      </c>
      <c r="AR200" s="33">
        <v>46180</v>
      </c>
      <c r="AS200" s="33">
        <v>44930</v>
      </c>
      <c r="AT200" s="33">
        <v>44350</v>
      </c>
      <c r="AU200" s="33">
        <v>41820</v>
      </c>
      <c r="AV200" s="33">
        <v>39930</v>
      </c>
      <c r="AW200" s="33">
        <v>35770</v>
      </c>
      <c r="AX200" s="33">
        <v>36500</v>
      </c>
      <c r="AY200" s="33">
        <v>34180</v>
      </c>
      <c r="AZ200" s="33">
        <v>31160</v>
      </c>
      <c r="BA200" s="33">
        <v>30280</v>
      </c>
      <c r="BB200" s="33">
        <v>28200</v>
      </c>
      <c r="BC200" s="33">
        <v>28935</v>
      </c>
      <c r="BD200" s="33">
        <v>29270</v>
      </c>
      <c r="BE200" s="33">
        <v>31710</v>
      </c>
      <c r="BF200" s="33">
        <v>30210</v>
      </c>
      <c r="BG200" s="33">
        <v>27185</v>
      </c>
      <c r="BH200" s="33">
        <v>26850</v>
      </c>
      <c r="BI200" s="33">
        <v>28110</v>
      </c>
      <c r="BJ200" s="33">
        <v>27950</v>
      </c>
      <c r="BK200" s="33">
        <v>27430</v>
      </c>
      <c r="BL200" s="33">
        <v>28480</v>
      </c>
    </row>
    <row r="201" spans="1:64" ht="15.95" customHeight="1">
      <c r="A201" s="68" t="s">
        <v>455</v>
      </c>
      <c r="B201" s="44" t="s">
        <v>67</v>
      </c>
      <c r="C201" s="48">
        <f>_xll.RssMarket("6506","安値")</f>
        <v>6718</v>
      </c>
      <c r="D201" s="16">
        <f t="shared" si="3"/>
        <v>0</v>
      </c>
      <c r="E201" s="33">
        <v>6718</v>
      </c>
      <c r="F201" s="33">
        <v>6655</v>
      </c>
      <c r="G201" s="33">
        <v>6483</v>
      </c>
      <c r="H201" s="33">
        <v>6281</v>
      </c>
      <c r="I201" s="33">
        <v>5598</v>
      </c>
      <c r="J201" s="33">
        <v>5880</v>
      </c>
      <c r="K201" s="33">
        <v>6234</v>
      </c>
      <c r="L201" s="33">
        <v>6658</v>
      </c>
      <c r="M201" s="33">
        <v>6788</v>
      </c>
      <c r="N201" s="33">
        <v>6888</v>
      </c>
      <c r="O201" s="33">
        <v>6484</v>
      </c>
      <c r="P201" s="33">
        <v>7049</v>
      </c>
      <c r="Q201" s="33">
        <v>6860</v>
      </c>
      <c r="R201" s="33">
        <v>7085</v>
      </c>
      <c r="S201" s="33">
        <v>7316</v>
      </c>
      <c r="T201" s="33">
        <v>6740</v>
      </c>
      <c r="U201" s="33">
        <v>6229</v>
      </c>
      <c r="V201" s="33">
        <v>6025</v>
      </c>
      <c r="W201" s="33">
        <v>6309</v>
      </c>
      <c r="X201" s="33">
        <v>6643</v>
      </c>
      <c r="Y201" s="33">
        <v>6895</v>
      </c>
      <c r="Z201" s="33">
        <v>6977</v>
      </c>
      <c r="AA201" s="33">
        <v>6712</v>
      </c>
      <c r="AB201" s="33">
        <v>6686</v>
      </c>
      <c r="AC201" s="33">
        <v>6240</v>
      </c>
      <c r="AD201" s="33">
        <v>5951</v>
      </c>
      <c r="AE201" s="33">
        <v>5868</v>
      </c>
      <c r="AF201" s="33">
        <v>5450</v>
      </c>
      <c r="AG201" s="33">
        <v>5436</v>
      </c>
      <c r="AH201" s="33">
        <v>5335</v>
      </c>
      <c r="AI201" s="33">
        <v>5192</v>
      </c>
      <c r="AJ201" s="33">
        <v>5106</v>
      </c>
      <c r="AK201" s="33">
        <v>5121</v>
      </c>
      <c r="AL201" s="33">
        <v>5304</v>
      </c>
      <c r="AM201" s="33">
        <v>5411</v>
      </c>
      <c r="AN201" s="33">
        <v>5356</v>
      </c>
      <c r="AO201" s="33">
        <v>5087</v>
      </c>
      <c r="AP201" s="33">
        <v>5201</v>
      </c>
      <c r="AQ201" s="33">
        <v>5194</v>
      </c>
      <c r="AR201" s="33">
        <v>5136</v>
      </c>
      <c r="AS201" s="33">
        <v>4896</v>
      </c>
      <c r="AT201" s="33">
        <v>4806</v>
      </c>
      <c r="AU201" s="33">
        <v>4637</v>
      </c>
      <c r="AV201" s="33">
        <v>4574</v>
      </c>
      <c r="AW201" s="33">
        <v>4220</v>
      </c>
      <c r="AX201" s="33">
        <v>4304</v>
      </c>
      <c r="AY201" s="33">
        <v>4200</v>
      </c>
      <c r="AZ201" s="33">
        <v>4202</v>
      </c>
      <c r="BA201" s="33">
        <v>4201</v>
      </c>
      <c r="BB201" s="33">
        <v>3987</v>
      </c>
      <c r="BC201" s="33">
        <v>4012</v>
      </c>
      <c r="BD201" s="33">
        <v>4208</v>
      </c>
      <c r="BE201" s="33">
        <v>4388</v>
      </c>
      <c r="BF201" s="33">
        <v>4482</v>
      </c>
      <c r="BG201" s="33">
        <v>4236</v>
      </c>
      <c r="BH201" s="33">
        <v>4081</v>
      </c>
      <c r="BI201" s="33">
        <v>4426</v>
      </c>
      <c r="BJ201" s="33">
        <v>4535</v>
      </c>
      <c r="BK201" s="33">
        <v>4521</v>
      </c>
      <c r="BL201" s="33">
        <v>4448</v>
      </c>
    </row>
    <row r="202" spans="1:64" ht="15.95" customHeight="1">
      <c r="A202" s="68" t="s">
        <v>456</v>
      </c>
      <c r="B202" s="44" t="s">
        <v>68</v>
      </c>
      <c r="C202" s="48">
        <f>_xll.RssMarket("2768","安値")</f>
        <v>5239</v>
      </c>
      <c r="D202" s="16">
        <f t="shared" si="3"/>
        <v>0</v>
      </c>
      <c r="E202" s="33">
        <v>5239</v>
      </c>
      <c r="F202" s="33">
        <v>5250</v>
      </c>
      <c r="G202" s="33">
        <v>5223</v>
      </c>
      <c r="H202" s="33">
        <v>5011</v>
      </c>
      <c r="I202" s="33">
        <v>4944</v>
      </c>
      <c r="J202" s="33">
        <v>5040</v>
      </c>
      <c r="K202" s="33">
        <v>5165</v>
      </c>
      <c r="L202" s="33">
        <v>5125</v>
      </c>
      <c r="M202" s="33">
        <v>5095</v>
      </c>
      <c r="N202" s="33">
        <v>5015</v>
      </c>
      <c r="O202" s="33">
        <v>5391</v>
      </c>
      <c r="P202" s="33">
        <v>5372</v>
      </c>
      <c r="Q202" s="33">
        <v>5500</v>
      </c>
      <c r="R202" s="33">
        <v>5508</v>
      </c>
      <c r="S202" s="33">
        <v>5462</v>
      </c>
      <c r="T202" s="33">
        <v>5541</v>
      </c>
      <c r="U202" s="33">
        <v>5512</v>
      </c>
      <c r="V202" s="33">
        <v>5655</v>
      </c>
      <c r="W202" s="33">
        <v>5693</v>
      </c>
      <c r="X202" s="33">
        <v>5837</v>
      </c>
      <c r="Y202" s="33">
        <v>5794</v>
      </c>
      <c r="Z202" s="33">
        <v>5845</v>
      </c>
      <c r="AA202" s="33">
        <v>5745</v>
      </c>
      <c r="AB202" s="33">
        <v>5628</v>
      </c>
      <c r="AC202" s="33">
        <v>5636</v>
      </c>
      <c r="AD202" s="33">
        <v>5909</v>
      </c>
      <c r="AE202" s="33">
        <v>5790</v>
      </c>
      <c r="AF202" s="33">
        <v>5845</v>
      </c>
      <c r="AG202" s="33">
        <v>5853</v>
      </c>
      <c r="AH202" s="33">
        <v>5746</v>
      </c>
      <c r="AI202" s="33">
        <v>5870</v>
      </c>
      <c r="AJ202" s="33">
        <v>5794</v>
      </c>
      <c r="AK202" s="33">
        <v>5874</v>
      </c>
      <c r="AL202" s="33">
        <v>6051</v>
      </c>
      <c r="AM202" s="33">
        <v>6013</v>
      </c>
      <c r="AN202" s="33">
        <v>6077</v>
      </c>
      <c r="AO202" s="33">
        <v>6145</v>
      </c>
      <c r="AP202" s="33">
        <v>6118</v>
      </c>
      <c r="AQ202" s="33">
        <v>6235</v>
      </c>
      <c r="AR202" s="33">
        <v>6321</v>
      </c>
      <c r="AS202" s="33">
        <v>6374</v>
      </c>
      <c r="AT202" s="33">
        <v>6454</v>
      </c>
      <c r="AU202" s="33">
        <v>6508</v>
      </c>
      <c r="AV202" s="33">
        <v>6340</v>
      </c>
      <c r="AW202" s="33">
        <v>6328</v>
      </c>
      <c r="AX202" s="33">
        <v>6334</v>
      </c>
      <c r="AY202" s="33">
        <v>6258</v>
      </c>
      <c r="AZ202" s="33">
        <v>6271</v>
      </c>
      <c r="BA202" s="33">
        <v>6047</v>
      </c>
      <c r="BB202" s="33">
        <v>6031</v>
      </c>
      <c r="BC202" s="33">
        <v>6306</v>
      </c>
      <c r="BD202" s="33">
        <v>6274</v>
      </c>
      <c r="BE202" s="33">
        <v>6292</v>
      </c>
      <c r="BF202" s="33">
        <v>6073</v>
      </c>
      <c r="BG202" s="33">
        <v>5850</v>
      </c>
      <c r="BH202" s="33">
        <v>6215</v>
      </c>
      <c r="BI202" s="33">
        <v>6327</v>
      </c>
      <c r="BJ202" s="33">
        <v>6203</v>
      </c>
      <c r="BK202" s="33">
        <v>6281</v>
      </c>
      <c r="BL202" s="33">
        <v>6080</v>
      </c>
    </row>
    <row r="203" spans="1:64" ht="15.95" customHeight="1">
      <c r="A203" s="68" t="s">
        <v>457</v>
      </c>
      <c r="B203" s="44" t="s">
        <v>69</v>
      </c>
      <c r="C203" s="48">
        <f>_xll.RssMarket("6305","安値")</f>
        <v>5306</v>
      </c>
      <c r="D203" s="16">
        <f t="shared" si="3"/>
        <v>0</v>
      </c>
      <c r="E203" s="33">
        <v>5306</v>
      </c>
      <c r="F203" s="33">
        <v>5395</v>
      </c>
      <c r="G203" s="33">
        <v>5414</v>
      </c>
      <c r="H203" s="33">
        <v>5191</v>
      </c>
      <c r="I203" s="33">
        <v>5034</v>
      </c>
      <c r="J203" s="33">
        <v>5196</v>
      </c>
      <c r="K203" s="33">
        <v>5177</v>
      </c>
      <c r="L203" s="33">
        <v>5340</v>
      </c>
      <c r="M203" s="33">
        <v>5273</v>
      </c>
      <c r="N203" s="33">
        <v>5139</v>
      </c>
      <c r="O203" s="33">
        <v>4890</v>
      </c>
      <c r="P203" s="33">
        <v>5142</v>
      </c>
      <c r="Q203" s="33">
        <v>5109</v>
      </c>
      <c r="R203" s="33">
        <v>5172</v>
      </c>
      <c r="S203" s="33">
        <v>4991</v>
      </c>
      <c r="T203" s="33">
        <v>4960</v>
      </c>
      <c r="U203" s="33">
        <v>4939</v>
      </c>
      <c r="V203" s="33">
        <v>4882</v>
      </c>
      <c r="W203" s="33">
        <v>5001</v>
      </c>
      <c r="X203" s="33">
        <v>5052</v>
      </c>
      <c r="Y203" s="33">
        <v>5205</v>
      </c>
      <c r="Z203" s="33">
        <v>5298</v>
      </c>
      <c r="AA203" s="33">
        <v>5143</v>
      </c>
      <c r="AB203" s="33">
        <v>5180</v>
      </c>
      <c r="AC203" s="33">
        <v>5607</v>
      </c>
      <c r="AD203" s="33">
        <v>5494</v>
      </c>
      <c r="AE203" s="33">
        <v>5407</v>
      </c>
      <c r="AF203" s="33">
        <v>5419</v>
      </c>
      <c r="AG203" s="33">
        <v>5422</v>
      </c>
      <c r="AH203" s="33">
        <v>5485</v>
      </c>
      <c r="AI203" s="33">
        <v>5223</v>
      </c>
      <c r="AJ203" s="33">
        <v>5398</v>
      </c>
      <c r="AK203" s="33">
        <v>5419</v>
      </c>
      <c r="AL203" s="33">
        <v>5361</v>
      </c>
      <c r="AM203" s="33">
        <v>5428</v>
      </c>
      <c r="AN203" s="33">
        <v>5420</v>
      </c>
      <c r="AO203" s="33">
        <v>5365</v>
      </c>
      <c r="AP203" s="33">
        <v>5522</v>
      </c>
      <c r="AQ203" s="33">
        <v>5579</v>
      </c>
      <c r="AR203" s="33">
        <v>5595</v>
      </c>
      <c r="AS203" s="33">
        <v>5621</v>
      </c>
      <c r="AT203" s="33">
        <v>5650</v>
      </c>
      <c r="AU203" s="33">
        <v>5669</v>
      </c>
      <c r="AV203" s="33">
        <v>5634</v>
      </c>
      <c r="AW203" s="33">
        <v>5294</v>
      </c>
      <c r="AX203" s="33">
        <v>5373</v>
      </c>
      <c r="AY203" s="33">
        <v>5404</v>
      </c>
      <c r="AZ203" s="33">
        <v>5367</v>
      </c>
      <c r="BA203" s="33">
        <v>5418</v>
      </c>
      <c r="BB203" s="33">
        <v>5148</v>
      </c>
      <c r="BC203" s="33">
        <v>5100</v>
      </c>
      <c r="BD203" s="33">
        <v>5447</v>
      </c>
      <c r="BE203" s="33">
        <v>5460</v>
      </c>
      <c r="BF203" s="33">
        <v>5494</v>
      </c>
      <c r="BG203" s="33">
        <v>5257</v>
      </c>
      <c r="BH203" s="33">
        <v>5082</v>
      </c>
      <c r="BI203" s="33">
        <v>5420</v>
      </c>
      <c r="BJ203" s="33">
        <v>5632</v>
      </c>
      <c r="BK203" s="33">
        <v>5635</v>
      </c>
      <c r="BL203" s="33">
        <v>5745</v>
      </c>
    </row>
    <row r="204" spans="1:64" ht="15.95" customHeight="1">
      <c r="A204" s="68" t="s">
        <v>458</v>
      </c>
      <c r="B204" s="44" t="s">
        <v>70</v>
      </c>
      <c r="C204" s="48">
        <f>_xll.RssMarket("8015","安値")</f>
        <v>6295</v>
      </c>
      <c r="D204" s="16">
        <f t="shared" si="3"/>
        <v>0</v>
      </c>
      <c r="E204" s="33">
        <v>6295</v>
      </c>
      <c r="F204" s="33">
        <v>6394</v>
      </c>
      <c r="G204" s="33">
        <v>6410</v>
      </c>
      <c r="H204" s="33">
        <v>6112</v>
      </c>
      <c r="I204" s="33">
        <v>5816</v>
      </c>
      <c r="J204" s="33">
        <v>5984</v>
      </c>
      <c r="K204" s="33">
        <v>6114</v>
      </c>
      <c r="L204" s="33">
        <v>6388</v>
      </c>
      <c r="M204" s="33">
        <v>6372</v>
      </c>
      <c r="N204" s="33">
        <v>6431</v>
      </c>
      <c r="O204" s="33">
        <v>6369</v>
      </c>
      <c r="P204" s="33">
        <v>6683</v>
      </c>
      <c r="Q204" s="33">
        <v>6574</v>
      </c>
      <c r="R204" s="33">
        <v>6790</v>
      </c>
      <c r="S204" s="33">
        <v>6852</v>
      </c>
      <c r="T204" s="33">
        <v>6781</v>
      </c>
      <c r="U204" s="33">
        <v>6770</v>
      </c>
      <c r="V204" s="33">
        <v>6700</v>
      </c>
      <c r="W204" s="33">
        <v>6917</v>
      </c>
      <c r="X204" s="33">
        <v>6976</v>
      </c>
      <c r="Y204" s="33">
        <v>7351</v>
      </c>
      <c r="Z204" s="33">
        <v>7202</v>
      </c>
      <c r="AA204" s="33">
        <v>7130</v>
      </c>
      <c r="AB204" s="33">
        <v>7057</v>
      </c>
      <c r="AC204" s="33">
        <v>6723</v>
      </c>
      <c r="AD204" s="33">
        <v>6699</v>
      </c>
      <c r="AE204" s="33">
        <v>6691</v>
      </c>
      <c r="AF204" s="33">
        <v>6329</v>
      </c>
      <c r="AG204" s="33">
        <v>5921</v>
      </c>
      <c r="AH204" s="33">
        <v>6310</v>
      </c>
      <c r="AI204" s="33">
        <v>5998</v>
      </c>
      <c r="AJ204" s="33">
        <v>6044</v>
      </c>
      <c r="AK204" s="33">
        <v>6060</v>
      </c>
      <c r="AL204" s="33">
        <v>6049</v>
      </c>
      <c r="AM204" s="33">
        <v>6278</v>
      </c>
      <c r="AN204" s="33">
        <v>6275</v>
      </c>
      <c r="AO204" s="33">
        <v>6202</v>
      </c>
      <c r="AP204" s="33">
        <v>6274</v>
      </c>
      <c r="AQ204" s="33">
        <v>6218</v>
      </c>
      <c r="AR204" s="33">
        <v>6376</v>
      </c>
      <c r="AS204" s="33">
        <v>6386</v>
      </c>
      <c r="AT204" s="33">
        <v>6566</v>
      </c>
      <c r="AU204" s="33">
        <v>6525</v>
      </c>
      <c r="AV204" s="33">
        <v>6361</v>
      </c>
      <c r="AW204" s="33">
        <v>5974</v>
      </c>
      <c r="AX204" s="33">
        <v>6005</v>
      </c>
      <c r="AY204" s="33">
        <v>6047</v>
      </c>
      <c r="AZ204" s="33">
        <v>6061</v>
      </c>
      <c r="BA204" s="33">
        <v>6216</v>
      </c>
      <c r="BB204" s="33">
        <v>5817</v>
      </c>
      <c r="BC204" s="33">
        <v>5744</v>
      </c>
      <c r="BD204" s="33">
        <v>6072</v>
      </c>
      <c r="BE204" s="33">
        <v>6118</v>
      </c>
      <c r="BF204" s="33">
        <v>6183</v>
      </c>
      <c r="BG204" s="33">
        <v>5952</v>
      </c>
      <c r="BH204" s="33">
        <v>5827</v>
      </c>
      <c r="BI204" s="33">
        <v>6275</v>
      </c>
      <c r="BJ204" s="33">
        <v>6515</v>
      </c>
      <c r="BK204" s="33">
        <v>6383</v>
      </c>
      <c r="BL204" s="33">
        <v>6297</v>
      </c>
    </row>
    <row r="205" spans="1:64">
      <c r="A205" s="65" t="s">
        <v>459</v>
      </c>
      <c r="B205" s="1" t="s">
        <v>71</v>
      </c>
      <c r="C205" s="57">
        <f>_xll.RssMarket("6758","安値")</f>
        <v>3258</v>
      </c>
      <c r="D205" s="16">
        <f t="shared" si="3"/>
        <v>0</v>
      </c>
      <c r="E205" s="2">
        <v>3258</v>
      </c>
      <c r="F205" s="2">
        <v>3226</v>
      </c>
      <c r="G205" s="2">
        <v>3290</v>
      </c>
      <c r="H205" s="2">
        <v>3246</v>
      </c>
      <c r="I205" s="2">
        <v>3312</v>
      </c>
      <c r="J205" s="2">
        <v>3347</v>
      </c>
      <c r="K205" s="2">
        <v>3456</v>
      </c>
      <c r="L205" s="2">
        <v>3559</v>
      </c>
      <c r="M205" s="2">
        <v>3505</v>
      </c>
      <c r="N205" s="2">
        <v>3558</v>
      </c>
      <c r="O205" s="2">
        <v>3562</v>
      </c>
      <c r="P205" s="2">
        <v>3419</v>
      </c>
      <c r="Q205" s="2">
        <v>3384</v>
      </c>
      <c r="R205" s="2">
        <v>3448</v>
      </c>
      <c r="S205" s="2">
        <v>3532</v>
      </c>
      <c r="T205" s="2">
        <v>3458</v>
      </c>
      <c r="U205" s="2">
        <v>3518</v>
      </c>
      <c r="V205" s="2">
        <v>3555</v>
      </c>
      <c r="W205" s="2">
        <v>3596</v>
      </c>
      <c r="X205" s="2">
        <v>3571</v>
      </c>
      <c r="Y205" s="2">
        <v>3529</v>
      </c>
      <c r="Z205" s="2">
        <v>3410</v>
      </c>
      <c r="AA205" s="2">
        <v>3589</v>
      </c>
      <c r="AB205" s="2">
        <v>3368</v>
      </c>
      <c r="AC205" s="2">
        <v>3328</v>
      </c>
      <c r="AD205" s="2">
        <v>6699</v>
      </c>
      <c r="AE205" s="2">
        <v>6691</v>
      </c>
      <c r="AF205" s="2">
        <v>6329</v>
      </c>
      <c r="AG205" s="2">
        <v>5921</v>
      </c>
      <c r="AH205" s="2">
        <v>6310</v>
      </c>
      <c r="AI205" s="2">
        <v>5998</v>
      </c>
      <c r="AJ205" s="2">
        <v>6044</v>
      </c>
      <c r="AK205" s="2">
        <v>6060</v>
      </c>
      <c r="AL205" s="2">
        <v>6049</v>
      </c>
      <c r="AM205" s="2">
        <v>6278</v>
      </c>
      <c r="AN205" s="2">
        <v>6275</v>
      </c>
      <c r="AO205" s="2">
        <v>6202</v>
      </c>
      <c r="AP205" s="2">
        <v>6274</v>
      </c>
      <c r="AQ205" s="2">
        <v>6218</v>
      </c>
      <c r="AR205" s="2">
        <v>6376</v>
      </c>
      <c r="AS205" s="2">
        <v>6386</v>
      </c>
      <c r="AT205" s="2">
        <v>6566</v>
      </c>
      <c r="AU205" s="2">
        <v>6525</v>
      </c>
      <c r="AV205" s="2">
        <v>6361</v>
      </c>
      <c r="AW205" s="2">
        <v>5974</v>
      </c>
      <c r="AX205" s="2">
        <v>6005</v>
      </c>
      <c r="AY205" s="2">
        <v>6047</v>
      </c>
      <c r="AZ205" s="2">
        <v>6061</v>
      </c>
      <c r="BA205" s="2">
        <v>6216</v>
      </c>
      <c r="BB205" s="2">
        <v>5817</v>
      </c>
      <c r="BC205" s="2">
        <v>5744</v>
      </c>
      <c r="BD205" s="2">
        <v>6072</v>
      </c>
      <c r="BE205" s="2">
        <v>6118</v>
      </c>
      <c r="BF205" s="2">
        <v>6183</v>
      </c>
      <c r="BG205" s="2">
        <v>5952</v>
      </c>
      <c r="BH205" s="2">
        <v>5827</v>
      </c>
      <c r="BI205" s="2">
        <v>6275</v>
      </c>
      <c r="BJ205" s="2">
        <v>6515</v>
      </c>
      <c r="BK205" s="2">
        <v>6383</v>
      </c>
      <c r="BL205" s="2">
        <v>6297</v>
      </c>
    </row>
    <row r="206" spans="1:64">
      <c r="A206" s="65" t="s">
        <v>460</v>
      </c>
      <c r="B206" s="1" t="s">
        <v>72</v>
      </c>
      <c r="C206" s="57">
        <f>_xll.RssMarket("9101","安値")</f>
        <v>5281</v>
      </c>
      <c r="D206" s="16">
        <f t="shared" si="3"/>
        <v>0</v>
      </c>
      <c r="E206" s="2">
        <v>5281</v>
      </c>
      <c r="F206" s="2">
        <v>5427</v>
      </c>
      <c r="G206" s="2">
        <v>5466</v>
      </c>
      <c r="H206" s="2">
        <v>5588</v>
      </c>
      <c r="I206" s="2">
        <v>5556</v>
      </c>
      <c r="J206" s="2">
        <v>5520</v>
      </c>
      <c r="K206" s="2">
        <v>5536</v>
      </c>
      <c r="L206" s="2">
        <v>5590</v>
      </c>
      <c r="M206" s="2">
        <v>5388</v>
      </c>
      <c r="N206" s="2">
        <v>5250</v>
      </c>
      <c r="O206" s="2">
        <v>5208</v>
      </c>
      <c r="P206" s="2">
        <v>5277</v>
      </c>
      <c r="Q206" s="2">
        <v>5252</v>
      </c>
      <c r="R206" s="2">
        <v>5190</v>
      </c>
      <c r="S206" s="2">
        <v>5317</v>
      </c>
      <c r="T206" s="2">
        <v>5362</v>
      </c>
      <c r="U206" s="2">
        <v>5497</v>
      </c>
      <c r="V206" s="2">
        <v>5483</v>
      </c>
      <c r="W206" s="2">
        <v>5485</v>
      </c>
      <c r="X206" s="2">
        <v>5503</v>
      </c>
      <c r="Y206" s="2">
        <v>5356</v>
      </c>
      <c r="Z206" s="2">
        <v>5310</v>
      </c>
      <c r="AA206" s="2">
        <v>5262</v>
      </c>
      <c r="AB206" s="2">
        <v>5301</v>
      </c>
      <c r="AC206" s="2">
        <v>5381</v>
      </c>
      <c r="AD206" s="2">
        <v>5478</v>
      </c>
      <c r="AE206" s="2">
        <v>5474</v>
      </c>
      <c r="AF206" s="2">
        <v>5541</v>
      </c>
      <c r="AG206" s="2">
        <v>5552</v>
      </c>
      <c r="AH206" s="2">
        <v>5590</v>
      </c>
      <c r="AI206" s="2">
        <v>5580</v>
      </c>
      <c r="AJ206" s="2">
        <v>5825</v>
      </c>
      <c r="AK206" s="2">
        <v>5740</v>
      </c>
      <c r="AL206" s="2">
        <v>5808</v>
      </c>
      <c r="AM206" s="2">
        <v>5850</v>
      </c>
      <c r="AN206" s="2">
        <v>5870</v>
      </c>
      <c r="AO206" s="2">
        <v>6052</v>
      </c>
      <c r="AP206" s="2">
        <v>5989</v>
      </c>
      <c r="AQ206" s="2">
        <v>6013</v>
      </c>
      <c r="AR206" s="2">
        <v>6045</v>
      </c>
      <c r="AS206" s="2">
        <v>6074</v>
      </c>
      <c r="AT206" s="2">
        <v>6128</v>
      </c>
      <c r="AU206" s="2">
        <v>6127</v>
      </c>
      <c r="AV206" s="2">
        <v>6024</v>
      </c>
      <c r="AW206" s="2">
        <v>6252</v>
      </c>
      <c r="AX206" s="2">
        <v>6161</v>
      </c>
      <c r="AY206" s="2">
        <v>6117</v>
      </c>
      <c r="AZ206" s="2">
        <v>6074</v>
      </c>
      <c r="BA206" s="2">
        <v>5769</v>
      </c>
      <c r="BB206" s="2">
        <v>5660</v>
      </c>
      <c r="BC206" s="2">
        <v>5586</v>
      </c>
      <c r="BD206" s="2">
        <v>5729</v>
      </c>
      <c r="BE206" s="2">
        <v>5708</v>
      </c>
      <c r="BF206" s="2">
        <v>5658</v>
      </c>
      <c r="BG206" s="2">
        <v>5642</v>
      </c>
      <c r="BH206" s="2">
        <v>5637</v>
      </c>
      <c r="BI206" s="2">
        <v>6100</v>
      </c>
      <c r="BJ206" s="2">
        <v>5996</v>
      </c>
      <c r="BK206" s="2">
        <v>5806</v>
      </c>
      <c r="BL206" s="2">
        <v>5614</v>
      </c>
    </row>
    <row r="207" spans="1:64">
      <c r="A207" s="65" t="s">
        <v>461</v>
      </c>
      <c r="B207" s="1" t="s">
        <v>73</v>
      </c>
      <c r="C207" s="57">
        <f>_xll.RssMarket("7011","安値")</f>
        <v>3796</v>
      </c>
      <c r="D207" s="16">
        <f t="shared" si="3"/>
        <v>0</v>
      </c>
      <c r="E207" s="2">
        <v>3796</v>
      </c>
      <c r="F207" s="2">
        <v>3670</v>
      </c>
      <c r="G207" s="2">
        <v>3591</v>
      </c>
      <c r="H207" s="2">
        <v>3486</v>
      </c>
      <c r="I207" s="2">
        <v>3404</v>
      </c>
      <c r="J207" s="2">
        <v>3548</v>
      </c>
      <c r="K207" s="2">
        <v>3644</v>
      </c>
      <c r="L207" s="2">
        <v>3688</v>
      </c>
      <c r="M207" s="2">
        <v>3551</v>
      </c>
      <c r="N207" s="2">
        <v>3481</v>
      </c>
      <c r="O207" s="2">
        <v>3415</v>
      </c>
      <c r="P207" s="2">
        <v>3744</v>
      </c>
      <c r="Q207" s="2">
        <v>3766</v>
      </c>
      <c r="R207" s="2">
        <v>3863</v>
      </c>
      <c r="S207" s="2">
        <v>3860</v>
      </c>
      <c r="T207" s="2">
        <v>3905</v>
      </c>
      <c r="U207" s="2">
        <v>3885</v>
      </c>
      <c r="V207" s="2">
        <v>3940</v>
      </c>
      <c r="W207" s="2">
        <v>4080</v>
      </c>
      <c r="X207" s="2">
        <v>4060</v>
      </c>
      <c r="Y207" s="2">
        <v>4027</v>
      </c>
      <c r="Z207" s="2">
        <v>4096</v>
      </c>
      <c r="AA207" s="2">
        <v>4271</v>
      </c>
      <c r="AB207" s="2">
        <v>4084</v>
      </c>
      <c r="AC207" s="2">
        <v>4326</v>
      </c>
      <c r="AD207" s="2">
        <v>4451</v>
      </c>
      <c r="AE207" s="2">
        <v>4483</v>
      </c>
      <c r="AF207" s="2">
        <v>4543</v>
      </c>
      <c r="AG207" s="2">
        <v>4519</v>
      </c>
      <c r="AH207" s="2">
        <v>4676</v>
      </c>
      <c r="AI207" s="2">
        <v>4590</v>
      </c>
      <c r="AJ207" s="2">
        <v>4704</v>
      </c>
      <c r="AK207" s="2">
        <v>4571</v>
      </c>
      <c r="AL207" s="2">
        <v>4362</v>
      </c>
      <c r="AM207" s="2">
        <v>4381</v>
      </c>
      <c r="AN207" s="2">
        <v>4504</v>
      </c>
      <c r="AO207" s="2">
        <v>4371</v>
      </c>
      <c r="AP207" s="2">
        <v>4496</v>
      </c>
      <c r="AQ207" s="2">
        <v>4541</v>
      </c>
      <c r="AR207" s="2">
        <v>4715</v>
      </c>
      <c r="AS207" s="2">
        <v>4675</v>
      </c>
      <c r="AT207" s="2">
        <v>4704</v>
      </c>
      <c r="AU207" s="2">
        <v>4742</v>
      </c>
      <c r="AV207" s="2">
        <v>4758</v>
      </c>
      <c r="AW207" s="2">
        <v>4746</v>
      </c>
      <c r="AX207" s="2">
        <v>4712</v>
      </c>
      <c r="AY207" s="2">
        <v>4762</v>
      </c>
      <c r="AZ207" s="2">
        <v>4671</v>
      </c>
      <c r="BA207" s="2">
        <v>4393</v>
      </c>
      <c r="BB207" s="2">
        <v>4204</v>
      </c>
      <c r="BC207" s="2">
        <v>4299</v>
      </c>
      <c r="BD207" s="2">
        <v>4452</v>
      </c>
      <c r="BE207" s="2">
        <v>4488</v>
      </c>
      <c r="BF207" s="2">
        <v>4480</v>
      </c>
      <c r="BG207" s="2">
        <v>4373</v>
      </c>
      <c r="BH207" s="2">
        <v>4491</v>
      </c>
      <c r="BI207" s="2">
        <v>4848</v>
      </c>
      <c r="BJ207" s="2">
        <v>4817</v>
      </c>
      <c r="BK207" s="2">
        <v>4847</v>
      </c>
      <c r="BL207" s="2">
        <v>4698</v>
      </c>
    </row>
    <row r="208" spans="1:64">
      <c r="A208" s="65" t="s">
        <v>462</v>
      </c>
      <c r="B208" s="1" t="s">
        <v>74</v>
      </c>
      <c r="C208" s="57">
        <f>_xll.RssMarket("1812","安値")</f>
        <v>5871</v>
      </c>
      <c r="D208" s="16">
        <f t="shared" si="3"/>
        <v>0</v>
      </c>
      <c r="E208" s="2">
        <v>5871</v>
      </c>
      <c r="F208" s="2">
        <v>5890</v>
      </c>
      <c r="G208" s="2">
        <v>5778</v>
      </c>
      <c r="H208" s="2">
        <v>5515</v>
      </c>
      <c r="I208" s="2">
        <v>5363</v>
      </c>
      <c r="J208" s="2">
        <v>5480</v>
      </c>
      <c r="K208" s="2">
        <v>5296</v>
      </c>
      <c r="L208" s="2">
        <v>5425</v>
      </c>
      <c r="M208" s="2">
        <v>5410</v>
      </c>
      <c r="N208" s="2">
        <v>5470</v>
      </c>
      <c r="O208" s="2">
        <v>5401</v>
      </c>
      <c r="P208" s="2">
        <v>5745</v>
      </c>
      <c r="Q208" s="2">
        <v>5725</v>
      </c>
      <c r="R208" s="2">
        <v>5754</v>
      </c>
      <c r="S208" s="2">
        <v>5546</v>
      </c>
      <c r="T208" s="2">
        <v>5451</v>
      </c>
      <c r="U208" s="2">
        <v>5562</v>
      </c>
      <c r="V208" s="2">
        <v>5518</v>
      </c>
      <c r="W208" s="2">
        <v>5685</v>
      </c>
      <c r="X208" s="2">
        <v>5545</v>
      </c>
      <c r="Y208" s="2">
        <v>5812</v>
      </c>
      <c r="Z208" s="2">
        <v>6152</v>
      </c>
      <c r="AA208" s="2">
        <v>6327</v>
      </c>
      <c r="AB208" s="2">
        <v>6185</v>
      </c>
      <c r="AC208" s="2">
        <v>6001</v>
      </c>
      <c r="AD208" s="2">
        <v>6030</v>
      </c>
      <c r="AE208" s="2">
        <v>6110</v>
      </c>
      <c r="AF208" s="2">
        <v>6061</v>
      </c>
      <c r="AG208" s="2">
        <v>6031</v>
      </c>
      <c r="AH208" s="2">
        <v>6037</v>
      </c>
      <c r="AI208" s="2">
        <v>5793</v>
      </c>
      <c r="AJ208" s="2">
        <v>5843</v>
      </c>
      <c r="AK208" s="2">
        <v>5821</v>
      </c>
      <c r="AL208" s="2">
        <v>5871</v>
      </c>
      <c r="AM208" s="2">
        <v>6015</v>
      </c>
      <c r="AN208" s="2">
        <v>5962</v>
      </c>
      <c r="AO208" s="2">
        <v>5891</v>
      </c>
      <c r="AP208" s="2">
        <v>6017</v>
      </c>
      <c r="AQ208" s="2">
        <v>6104</v>
      </c>
      <c r="AR208" s="2">
        <v>6130</v>
      </c>
      <c r="AS208" s="2">
        <v>6103</v>
      </c>
      <c r="AT208" s="2">
        <v>6187</v>
      </c>
      <c r="AU208" s="2">
        <v>6278</v>
      </c>
      <c r="AV208" s="2">
        <v>6200</v>
      </c>
      <c r="AW208" s="2">
        <v>6007</v>
      </c>
      <c r="AX208" s="2">
        <v>5993</v>
      </c>
      <c r="AY208" s="2">
        <v>6054</v>
      </c>
      <c r="AZ208" s="2">
        <v>6039</v>
      </c>
      <c r="BA208" s="2">
        <v>6056</v>
      </c>
      <c r="BB208" s="2">
        <v>5751</v>
      </c>
      <c r="BC208" s="2">
        <v>5682</v>
      </c>
      <c r="BD208" s="2">
        <v>6013</v>
      </c>
      <c r="BE208" s="2">
        <v>6015</v>
      </c>
      <c r="BF208" s="2">
        <v>6037</v>
      </c>
      <c r="BG208" s="2">
        <v>5740</v>
      </c>
      <c r="BH208" s="2">
        <v>5647</v>
      </c>
      <c r="BI208" s="2">
        <v>6099</v>
      </c>
      <c r="BJ208" s="2">
        <v>6131</v>
      </c>
      <c r="BK208" s="2">
        <v>6094</v>
      </c>
      <c r="BL208" s="2">
        <v>6000</v>
      </c>
    </row>
    <row r="209" spans="1:64">
      <c r="A209" s="65" t="s">
        <v>488</v>
      </c>
      <c r="B209" s="1" t="str">
        <f>銘柄管理!C209</f>
        <v>キーエンス</v>
      </c>
      <c r="C209" s="57">
        <f>_xll.RssMarket("6861","安値")</f>
        <v>73490</v>
      </c>
      <c r="D209" s="16"/>
      <c r="E209" s="2">
        <v>73490</v>
      </c>
      <c r="F209" s="2">
        <v>74810</v>
      </c>
      <c r="G209" s="2">
        <v>74410</v>
      </c>
      <c r="H209" s="2">
        <v>71700</v>
      </c>
      <c r="I209" s="2">
        <v>69000</v>
      </c>
      <c r="J209" s="2">
        <v>72020</v>
      </c>
      <c r="K209" s="2">
        <v>73000</v>
      </c>
      <c r="L209" s="2">
        <v>77400</v>
      </c>
      <c r="M209" s="2">
        <v>79020</v>
      </c>
      <c r="N209" s="2">
        <v>78410</v>
      </c>
      <c r="O209" s="2">
        <v>77510</v>
      </c>
      <c r="P209" s="2">
        <v>79060</v>
      </c>
      <c r="Q209" s="2">
        <v>74270</v>
      </c>
      <c r="R209" s="2">
        <v>75390</v>
      </c>
      <c r="S209" s="2">
        <v>77690</v>
      </c>
      <c r="T209" s="2">
        <v>77880</v>
      </c>
      <c r="U209" s="2">
        <v>75250</v>
      </c>
      <c r="V209" s="2">
        <v>72310</v>
      </c>
      <c r="W209" s="2">
        <v>74910</v>
      </c>
      <c r="X209" s="2">
        <v>75540</v>
      </c>
      <c r="Y209" s="2">
        <v>76230</v>
      </c>
      <c r="Z209" s="2">
        <v>77310</v>
      </c>
      <c r="AA209" s="2">
        <v>78100</v>
      </c>
      <c r="AB209" s="2">
        <v>78740</v>
      </c>
      <c r="AC209" s="2">
        <v>81670</v>
      </c>
      <c r="AD209" s="2">
        <v>81010</v>
      </c>
      <c r="AE209" s="2">
        <v>78960</v>
      </c>
      <c r="AF209" s="2">
        <v>72470</v>
      </c>
      <c r="AG209" s="2">
        <v>71070</v>
      </c>
      <c r="AH209" s="2">
        <v>72930</v>
      </c>
      <c r="AI209" s="2">
        <v>72730</v>
      </c>
      <c r="AJ209" s="2">
        <v>63000</v>
      </c>
      <c r="AK209" s="2">
        <v>63090</v>
      </c>
      <c r="AL209" s="2">
        <v>62820</v>
      </c>
      <c r="AM209" s="2">
        <v>63170</v>
      </c>
      <c r="AN209" s="2">
        <v>63000</v>
      </c>
      <c r="AO209" s="2">
        <v>62800</v>
      </c>
      <c r="AP209" s="2">
        <v>62530</v>
      </c>
      <c r="AQ209" s="2">
        <v>61420</v>
      </c>
      <c r="AR209" s="2">
        <v>62740</v>
      </c>
      <c r="AS209" s="2">
        <v>61350</v>
      </c>
      <c r="AT209" s="2">
        <v>61520</v>
      </c>
      <c r="AU209" s="2">
        <v>60340</v>
      </c>
      <c r="AV209" s="2">
        <v>59700</v>
      </c>
      <c r="AW209" s="2">
        <v>57670</v>
      </c>
      <c r="AX209" s="2">
        <v>57850</v>
      </c>
      <c r="AY209" s="2">
        <v>57360</v>
      </c>
      <c r="AZ209" s="2">
        <v>56680</v>
      </c>
      <c r="BA209" s="2">
        <v>55930</v>
      </c>
      <c r="BB209" s="2">
        <v>54340</v>
      </c>
      <c r="BC209" s="2">
        <v>54680</v>
      </c>
      <c r="BD209" s="2">
        <v>56410</v>
      </c>
      <c r="BE209" s="2">
        <v>57350</v>
      </c>
      <c r="BF209" s="2">
        <v>57900</v>
      </c>
      <c r="BG209" s="2">
        <v>56290</v>
      </c>
      <c r="BH209" s="2">
        <v>55870</v>
      </c>
      <c r="BI209" s="2">
        <v>59080</v>
      </c>
      <c r="BJ209" s="2">
        <v>59550</v>
      </c>
      <c r="BK209" s="2">
        <v>59510</v>
      </c>
      <c r="BL209" s="2">
        <v>59200</v>
      </c>
    </row>
    <row r="210" spans="1:64">
      <c r="A210" s="65" t="s">
        <v>463</v>
      </c>
      <c r="B210" s="1" t="s">
        <v>75</v>
      </c>
      <c r="C210" s="57">
        <f>_xll.RssMarket("6324","安値")</f>
        <v>7190</v>
      </c>
      <c r="D210" s="16">
        <f t="shared" si="3"/>
        <v>0</v>
      </c>
      <c r="E210" s="2">
        <v>7190</v>
      </c>
      <c r="F210" s="2">
        <v>6730</v>
      </c>
      <c r="G210" s="2">
        <v>6760</v>
      </c>
      <c r="H210" s="2">
        <v>6520</v>
      </c>
      <c r="I210" s="2">
        <v>5770</v>
      </c>
      <c r="J210" s="2">
        <v>6100</v>
      </c>
      <c r="K210" s="2">
        <v>6420</v>
      </c>
      <c r="L210" s="2">
        <v>6550</v>
      </c>
      <c r="M210" s="2">
        <v>6830</v>
      </c>
      <c r="N210" s="2">
        <v>7110</v>
      </c>
      <c r="O210" s="2">
        <v>6890</v>
      </c>
      <c r="P210" s="2">
        <v>7540</v>
      </c>
      <c r="Q210" s="2">
        <v>7320</v>
      </c>
      <c r="R210" s="2">
        <v>7730</v>
      </c>
      <c r="S210" s="2">
        <v>7420</v>
      </c>
      <c r="T210" s="2">
        <v>6640</v>
      </c>
      <c r="U210" s="2">
        <v>6150</v>
      </c>
      <c r="V210" s="2">
        <v>5800</v>
      </c>
      <c r="W210" s="2">
        <v>5920</v>
      </c>
      <c r="X210" s="2">
        <v>6640</v>
      </c>
      <c r="Y210" s="2">
        <v>6680</v>
      </c>
      <c r="Z210" s="2">
        <v>6430</v>
      </c>
      <c r="AA210" s="2">
        <v>6440</v>
      </c>
      <c r="AB210" s="2">
        <v>6390</v>
      </c>
      <c r="AC210" s="2">
        <v>6300</v>
      </c>
      <c r="AD210" s="2">
        <v>5590</v>
      </c>
      <c r="AE210" s="2">
        <v>5420</v>
      </c>
      <c r="AF210" s="2">
        <v>5070</v>
      </c>
      <c r="AG210" s="2">
        <v>4745</v>
      </c>
      <c r="AH210" s="2">
        <v>4705</v>
      </c>
      <c r="AI210" s="2">
        <v>4380</v>
      </c>
      <c r="AJ210" s="2">
        <v>4190</v>
      </c>
      <c r="AK210" s="2">
        <v>4245</v>
      </c>
      <c r="AL210" s="2">
        <v>4315</v>
      </c>
      <c r="AM210" s="2">
        <v>4455</v>
      </c>
      <c r="AN210" s="2">
        <v>4470</v>
      </c>
      <c r="AO210" s="2">
        <v>4420</v>
      </c>
      <c r="AP210" s="2">
        <v>4520</v>
      </c>
      <c r="AQ210" s="2">
        <v>4220</v>
      </c>
      <c r="AR210" s="2">
        <v>4080</v>
      </c>
      <c r="AS210" s="2">
        <v>3990</v>
      </c>
      <c r="AT210" s="2">
        <v>3920</v>
      </c>
      <c r="AU210" s="2">
        <v>3935</v>
      </c>
      <c r="AV210" s="2">
        <v>3870</v>
      </c>
      <c r="AW210" s="2">
        <v>3755</v>
      </c>
      <c r="AX210" s="2">
        <v>3740</v>
      </c>
      <c r="AY210" s="2">
        <v>3600</v>
      </c>
      <c r="AZ210" s="2">
        <v>3485</v>
      </c>
      <c r="BA210" s="2">
        <v>3550</v>
      </c>
      <c r="BB210" s="2">
        <v>3440</v>
      </c>
      <c r="BC210" s="2">
        <v>3735</v>
      </c>
      <c r="BD210" s="2">
        <v>3955</v>
      </c>
      <c r="BE210" s="2">
        <v>4025</v>
      </c>
      <c r="BF210" s="2">
        <v>3975</v>
      </c>
      <c r="BG210" s="2">
        <v>3795</v>
      </c>
      <c r="BH210" s="2">
        <v>3695</v>
      </c>
      <c r="BI210" s="2">
        <v>4110</v>
      </c>
      <c r="BJ210" s="2">
        <v>4200</v>
      </c>
      <c r="BK210" s="2">
        <v>4170</v>
      </c>
      <c r="BL210" s="2">
        <v>4125</v>
      </c>
    </row>
    <row r="211" spans="1:64">
      <c r="A211" s="65" t="s">
        <v>464</v>
      </c>
      <c r="B211" s="1" t="s">
        <v>76</v>
      </c>
      <c r="C211" s="57">
        <f>_xll.RssMarket("6273","安値")</f>
        <v>70450</v>
      </c>
      <c r="D211" s="16">
        <f t="shared" si="3"/>
        <v>0</v>
      </c>
      <c r="E211" s="2">
        <v>70450</v>
      </c>
      <c r="F211" s="2">
        <v>68420</v>
      </c>
      <c r="G211" s="2">
        <v>67650</v>
      </c>
      <c r="H211" s="2">
        <v>65400</v>
      </c>
      <c r="I211" s="2">
        <v>58310</v>
      </c>
      <c r="J211" s="2">
        <v>60060</v>
      </c>
      <c r="K211" s="2">
        <v>61150</v>
      </c>
      <c r="L211" s="2">
        <v>63690</v>
      </c>
      <c r="M211" s="2">
        <v>64120</v>
      </c>
      <c r="N211" s="2">
        <v>63890</v>
      </c>
      <c r="O211" s="2">
        <v>63460</v>
      </c>
      <c r="P211" s="2">
        <v>67550</v>
      </c>
      <c r="Q211" s="2">
        <v>65980</v>
      </c>
      <c r="R211" s="2">
        <v>66450</v>
      </c>
      <c r="S211" s="2">
        <v>65030</v>
      </c>
      <c r="T211" s="2">
        <v>64390</v>
      </c>
      <c r="U211" s="2">
        <v>64090</v>
      </c>
      <c r="V211" s="2">
        <v>63160</v>
      </c>
      <c r="W211" s="2">
        <v>66660</v>
      </c>
      <c r="X211" s="2">
        <v>65250</v>
      </c>
      <c r="Y211" s="2">
        <v>67550</v>
      </c>
      <c r="Z211" s="2">
        <v>79470</v>
      </c>
      <c r="AA211" s="2">
        <v>82120</v>
      </c>
      <c r="AB211" s="2">
        <v>82710</v>
      </c>
      <c r="AC211" s="2">
        <v>80830</v>
      </c>
      <c r="AD211" s="2">
        <v>79340</v>
      </c>
      <c r="AE211" s="2">
        <v>77440</v>
      </c>
      <c r="AF211" s="2">
        <v>74920</v>
      </c>
      <c r="AG211" s="2">
        <v>75220</v>
      </c>
      <c r="AH211" s="2">
        <v>75660</v>
      </c>
      <c r="AI211" s="2">
        <v>72100</v>
      </c>
      <c r="AJ211" s="2">
        <v>68850</v>
      </c>
      <c r="AK211" s="2">
        <v>69400</v>
      </c>
      <c r="AL211" s="2">
        <v>70330</v>
      </c>
      <c r="AM211" s="2">
        <v>71300</v>
      </c>
      <c r="AN211" s="2">
        <v>70510</v>
      </c>
      <c r="AO211" s="2">
        <v>69890</v>
      </c>
      <c r="AP211" s="2">
        <v>71400</v>
      </c>
      <c r="AQ211" s="2">
        <v>70950</v>
      </c>
      <c r="AR211" s="2">
        <v>70840</v>
      </c>
      <c r="AS211" s="2">
        <v>69600</v>
      </c>
      <c r="AT211" s="2">
        <v>68100</v>
      </c>
      <c r="AU211" s="2">
        <v>67110</v>
      </c>
      <c r="AV211" s="2">
        <v>65220</v>
      </c>
      <c r="AW211" s="2">
        <v>61180</v>
      </c>
      <c r="AX211" s="2">
        <v>62120</v>
      </c>
      <c r="AY211" s="2">
        <v>61640</v>
      </c>
      <c r="AZ211" s="2">
        <v>61030</v>
      </c>
      <c r="BA211" s="2">
        <v>62050</v>
      </c>
      <c r="BB211" s="2">
        <v>59350</v>
      </c>
      <c r="BC211" s="2">
        <v>59030</v>
      </c>
      <c r="BD211" s="2">
        <v>61610</v>
      </c>
      <c r="BE211" s="2">
        <v>64160</v>
      </c>
      <c r="BF211" s="2">
        <v>64300</v>
      </c>
      <c r="BG211" s="2">
        <v>62050</v>
      </c>
      <c r="BH211" s="2">
        <v>60070</v>
      </c>
      <c r="BI211" s="2">
        <v>64790</v>
      </c>
      <c r="BJ211" s="2">
        <v>66540</v>
      </c>
      <c r="BK211" s="2">
        <v>65480</v>
      </c>
      <c r="BL211" s="2">
        <v>64360</v>
      </c>
    </row>
    <row r="212" spans="1:64">
      <c r="A212" s="65" t="s">
        <v>465</v>
      </c>
      <c r="B212" s="1" t="s">
        <v>77</v>
      </c>
      <c r="C212" s="57">
        <f>_xll.RssMarket("4502","安値")</f>
        <v>4938</v>
      </c>
      <c r="D212" s="16">
        <f t="shared" si="3"/>
        <v>0</v>
      </c>
      <c r="E212" s="2">
        <v>4938</v>
      </c>
      <c r="F212" s="2">
        <v>4954</v>
      </c>
      <c r="G212" s="2">
        <v>5069</v>
      </c>
      <c r="H212" s="2">
        <v>5031</v>
      </c>
      <c r="I212" s="2">
        <v>4998</v>
      </c>
      <c r="J212" s="2">
        <v>5013</v>
      </c>
      <c r="K212" s="2">
        <v>4896</v>
      </c>
      <c r="L212" s="2">
        <v>4909</v>
      </c>
      <c r="M212" s="2">
        <v>4766</v>
      </c>
      <c r="N212" s="2">
        <v>4710</v>
      </c>
      <c r="O212" s="2">
        <v>4784</v>
      </c>
      <c r="P212" s="2">
        <v>5074</v>
      </c>
      <c r="Q212" s="2">
        <v>5113</v>
      </c>
      <c r="R212" s="2">
        <v>5056</v>
      </c>
      <c r="S212" s="2">
        <v>5077</v>
      </c>
      <c r="T212" s="2">
        <v>5109</v>
      </c>
      <c r="U212" s="2">
        <v>5180</v>
      </c>
      <c r="V212" s="2">
        <v>5187</v>
      </c>
      <c r="W212" s="2">
        <v>5244</v>
      </c>
      <c r="X212" s="2">
        <v>5221</v>
      </c>
      <c r="Y212" s="2">
        <v>5252</v>
      </c>
      <c r="Z212" s="2">
        <v>5039</v>
      </c>
      <c r="AA212" s="2">
        <v>5174</v>
      </c>
      <c r="AB212" s="2">
        <v>5138</v>
      </c>
      <c r="AC212" s="2">
        <v>5151</v>
      </c>
      <c r="AD212" s="2">
        <v>5205</v>
      </c>
      <c r="AE212" s="2">
        <v>5195</v>
      </c>
      <c r="AF212" s="2">
        <v>5191</v>
      </c>
      <c r="AG212" s="2">
        <v>5170</v>
      </c>
      <c r="AH212" s="2">
        <v>5224</v>
      </c>
      <c r="AI212" s="2">
        <v>5187</v>
      </c>
      <c r="AJ212" s="2">
        <v>5306</v>
      </c>
      <c r="AK212" s="2">
        <v>5258</v>
      </c>
      <c r="AL212" s="2">
        <v>5316</v>
      </c>
      <c r="AM212" s="2">
        <v>5457</v>
      </c>
      <c r="AN212" s="2">
        <v>5545</v>
      </c>
      <c r="AO212" s="2">
        <v>5585</v>
      </c>
      <c r="AP212" s="2">
        <v>5639</v>
      </c>
      <c r="AQ212" s="2">
        <v>5598</v>
      </c>
      <c r="AR212" s="2">
        <v>5582</v>
      </c>
      <c r="AS212" s="2">
        <v>5630</v>
      </c>
      <c r="AT212" s="2">
        <v>5696</v>
      </c>
      <c r="AU212" s="2">
        <v>5801</v>
      </c>
      <c r="AV212" s="2">
        <v>5763</v>
      </c>
      <c r="AW212" s="2">
        <v>5745</v>
      </c>
      <c r="AX212" s="2">
        <v>5754</v>
      </c>
      <c r="AY212" s="2">
        <v>5802</v>
      </c>
      <c r="AZ212" s="2">
        <v>5885</v>
      </c>
      <c r="BA212" s="2">
        <v>5784</v>
      </c>
      <c r="BB212" s="2">
        <v>5645</v>
      </c>
      <c r="BC212" s="2">
        <v>5515</v>
      </c>
      <c r="BD212" s="2">
        <v>5758</v>
      </c>
      <c r="BE212" s="2">
        <v>5738</v>
      </c>
      <c r="BF212" s="2">
        <v>5769</v>
      </c>
      <c r="BG212" s="2">
        <v>5623</v>
      </c>
      <c r="BH212" s="2">
        <v>5553</v>
      </c>
      <c r="BI212" s="2">
        <v>5750</v>
      </c>
      <c r="BJ212" s="2">
        <v>5791</v>
      </c>
      <c r="BK212" s="2">
        <v>5785</v>
      </c>
      <c r="BL212" s="2">
        <v>5633</v>
      </c>
    </row>
    <row r="213" spans="1:64">
      <c r="A213" s="65" t="s">
        <v>466</v>
      </c>
      <c r="B213" s="1" t="s">
        <v>78</v>
      </c>
      <c r="C213" s="57">
        <f>_xll.RssMarket("4004","安値")</f>
        <v>17630</v>
      </c>
      <c r="D213" s="16">
        <f t="shared" si="3"/>
        <v>0</v>
      </c>
      <c r="E213" s="2">
        <v>17630</v>
      </c>
      <c r="F213" s="2">
        <v>18000</v>
      </c>
      <c r="G213" s="2">
        <v>17780</v>
      </c>
      <c r="H213" s="2">
        <v>16950</v>
      </c>
      <c r="I213" s="2">
        <v>14505</v>
      </c>
      <c r="J213" s="2">
        <v>15170</v>
      </c>
      <c r="K213" s="2">
        <v>15540</v>
      </c>
      <c r="L213" s="2">
        <v>16765</v>
      </c>
      <c r="M213" s="2">
        <v>17520</v>
      </c>
      <c r="N213" s="2">
        <v>18660</v>
      </c>
      <c r="O213" s="2">
        <v>16930</v>
      </c>
      <c r="P213" s="2">
        <v>17840</v>
      </c>
      <c r="Q213" s="2">
        <v>17760</v>
      </c>
      <c r="R213" s="2">
        <v>18955</v>
      </c>
      <c r="S213" s="2">
        <v>18510</v>
      </c>
      <c r="T213" s="2">
        <v>17255</v>
      </c>
      <c r="U213" s="2">
        <v>16160</v>
      </c>
      <c r="V213" s="2">
        <v>15780</v>
      </c>
      <c r="W213" s="2">
        <v>15805</v>
      </c>
      <c r="X213" s="2">
        <v>16690</v>
      </c>
      <c r="Y213" s="2">
        <v>17010</v>
      </c>
      <c r="Z213" s="2">
        <v>18050</v>
      </c>
      <c r="AA213" s="2">
        <v>17080</v>
      </c>
      <c r="AB213" s="2">
        <v>17165</v>
      </c>
      <c r="AC213" s="2">
        <v>16245</v>
      </c>
      <c r="AD213" s="2">
        <v>15180</v>
      </c>
      <c r="AE213" s="2">
        <v>15010</v>
      </c>
      <c r="AF213" s="2">
        <v>13920</v>
      </c>
      <c r="AG213" s="2">
        <v>13820</v>
      </c>
      <c r="AH213" s="2">
        <v>13630</v>
      </c>
      <c r="AI213" s="2">
        <v>13725</v>
      </c>
      <c r="AJ213" s="2">
        <v>13755</v>
      </c>
      <c r="AK213" s="2">
        <v>13475</v>
      </c>
      <c r="AL213" s="2">
        <v>13750</v>
      </c>
      <c r="AM213" s="2">
        <v>12710</v>
      </c>
      <c r="AN213" s="2">
        <v>12440</v>
      </c>
      <c r="AO213" s="2">
        <v>12425</v>
      </c>
      <c r="AP213" s="2">
        <v>12945</v>
      </c>
      <c r="AQ213" s="2">
        <v>12775</v>
      </c>
      <c r="AR213" s="2">
        <v>13440</v>
      </c>
      <c r="AS213" s="2">
        <v>12935</v>
      </c>
      <c r="AT213" s="2">
        <v>13350</v>
      </c>
      <c r="AU213" s="2">
        <v>12575</v>
      </c>
      <c r="AV213" s="2">
        <v>12610</v>
      </c>
      <c r="AW213" s="2">
        <v>11525</v>
      </c>
      <c r="AX213" s="2">
        <v>11300</v>
      </c>
      <c r="AY213" s="2">
        <v>11010</v>
      </c>
      <c r="AZ213" s="2">
        <v>10135</v>
      </c>
      <c r="BA213" s="2">
        <v>10280</v>
      </c>
      <c r="BB213" s="2">
        <v>9654</v>
      </c>
      <c r="BC213" s="2">
        <v>9960</v>
      </c>
      <c r="BD213" s="2">
        <v>10340</v>
      </c>
      <c r="BE213" s="2">
        <v>10720</v>
      </c>
      <c r="BF213" s="2">
        <v>10690</v>
      </c>
      <c r="BG213" s="2">
        <v>10280</v>
      </c>
      <c r="BH213" s="2">
        <v>10160</v>
      </c>
      <c r="BI213" s="2">
        <v>10710</v>
      </c>
      <c r="BJ213" s="2">
        <v>10900</v>
      </c>
      <c r="BK213" s="2">
        <v>10620</v>
      </c>
      <c r="BL213" s="2">
        <v>10750</v>
      </c>
    </row>
    <row r="214" spans="1:64">
      <c r="A214" s="65" t="s">
        <v>467</v>
      </c>
      <c r="B214" s="1" t="s">
        <v>79</v>
      </c>
      <c r="C214" s="57">
        <f>_xll.RssMarket("9519","安値")</f>
        <v>857</v>
      </c>
      <c r="D214" s="16">
        <f t="shared" si="3"/>
        <v>0</v>
      </c>
      <c r="E214" s="2">
        <v>857</v>
      </c>
      <c r="F214" s="2">
        <v>865</v>
      </c>
      <c r="G214" s="2">
        <v>885</v>
      </c>
      <c r="H214" s="2">
        <v>888</v>
      </c>
      <c r="I214" s="2">
        <v>874</v>
      </c>
      <c r="J214" s="2">
        <v>884</v>
      </c>
      <c r="K214" s="2">
        <v>988</v>
      </c>
      <c r="L214" s="2">
        <v>945</v>
      </c>
      <c r="M214" s="2">
        <v>966</v>
      </c>
      <c r="N214" s="2">
        <v>1018</v>
      </c>
      <c r="O214" s="2">
        <v>1105</v>
      </c>
      <c r="P214" s="2">
        <v>1201</v>
      </c>
      <c r="Q214" s="2">
        <v>1159</v>
      </c>
      <c r="R214" s="2">
        <v>1264</v>
      </c>
      <c r="S214" s="2">
        <v>1291</v>
      </c>
      <c r="T214" s="2">
        <v>1316</v>
      </c>
      <c r="U214" s="2">
        <v>1233</v>
      </c>
      <c r="V214" s="2">
        <v>1245</v>
      </c>
      <c r="W214" s="2">
        <v>1293</v>
      </c>
      <c r="X214" s="2">
        <v>1262</v>
      </c>
      <c r="Y214" s="2">
        <v>1287</v>
      </c>
      <c r="Z214" s="2">
        <v>1242</v>
      </c>
      <c r="AA214" s="2">
        <v>1188</v>
      </c>
      <c r="AB214" s="2">
        <v>1209</v>
      </c>
      <c r="AC214" s="2">
        <v>1160</v>
      </c>
      <c r="AD214" s="2">
        <v>1129</v>
      </c>
      <c r="AE214" s="2">
        <v>1103</v>
      </c>
      <c r="AF214" s="2">
        <v>1089</v>
      </c>
      <c r="AG214" s="2">
        <v>1100</v>
      </c>
      <c r="AH214" s="2">
        <v>1078</v>
      </c>
      <c r="AI214" s="2">
        <v>1005</v>
      </c>
      <c r="AJ214" s="2">
        <v>991</v>
      </c>
      <c r="AK214" s="2">
        <v>957</v>
      </c>
      <c r="AL214" s="2">
        <v>947</v>
      </c>
      <c r="AM214" s="2">
        <v>977</v>
      </c>
      <c r="AN214" s="2">
        <v>997</v>
      </c>
      <c r="AO214" s="2">
        <v>1008</v>
      </c>
      <c r="AP214" s="2">
        <v>1059</v>
      </c>
      <c r="AQ214" s="2">
        <v>1016</v>
      </c>
      <c r="AR214" s="2">
        <v>977</v>
      </c>
      <c r="AS214" s="2">
        <v>952</v>
      </c>
      <c r="AT214" s="2">
        <v>935</v>
      </c>
      <c r="AU214" s="2">
        <v>927</v>
      </c>
      <c r="AV214" s="2">
        <v>917</v>
      </c>
      <c r="AW214" s="2">
        <v>855</v>
      </c>
      <c r="AX214" s="2">
        <v>905</v>
      </c>
      <c r="AY214" s="2">
        <v>901</v>
      </c>
      <c r="AZ214" s="2">
        <v>868</v>
      </c>
      <c r="BA214" s="2">
        <v>860</v>
      </c>
      <c r="BB214" s="2">
        <v>838</v>
      </c>
      <c r="BC214" s="2">
        <v>789</v>
      </c>
      <c r="BD214" s="2">
        <v>780</v>
      </c>
      <c r="BE214" s="2">
        <v>769</v>
      </c>
      <c r="BF214" s="2">
        <v>769</v>
      </c>
      <c r="BG214" s="2">
        <v>736</v>
      </c>
      <c r="BH214" s="2">
        <v>704</v>
      </c>
      <c r="BI214" s="2">
        <v>757</v>
      </c>
      <c r="BJ214" s="2">
        <v>816</v>
      </c>
      <c r="BK214" s="2">
        <v>802</v>
      </c>
      <c r="BL214" s="2">
        <v>794</v>
      </c>
    </row>
    <row r="215" spans="1:64">
      <c r="A215" s="65" t="s">
        <v>468</v>
      </c>
      <c r="B215" s="1" t="s">
        <v>80</v>
      </c>
      <c r="C215" s="57">
        <f>_xll.RssMarket("6752","安値")</f>
        <v>4152</v>
      </c>
      <c r="D215" s="16">
        <f t="shared" si="3"/>
        <v>0</v>
      </c>
      <c r="E215" s="2">
        <v>4152</v>
      </c>
      <c r="F215" s="2">
        <v>3993</v>
      </c>
      <c r="G215" s="2">
        <v>3914</v>
      </c>
      <c r="H215" s="2">
        <v>3762</v>
      </c>
      <c r="I215" s="2">
        <v>3571</v>
      </c>
      <c r="J215" s="2">
        <v>3712</v>
      </c>
      <c r="K215" s="2">
        <v>3431</v>
      </c>
      <c r="L215" s="2">
        <v>3638</v>
      </c>
      <c r="M215" s="2">
        <v>3633</v>
      </c>
      <c r="N215" s="2">
        <v>3680</v>
      </c>
      <c r="O215" s="2">
        <v>3487</v>
      </c>
      <c r="P215" s="2">
        <v>3529</v>
      </c>
      <c r="Q215" s="2">
        <v>3416</v>
      </c>
      <c r="R215" s="2">
        <v>3544</v>
      </c>
      <c r="S215" s="2">
        <v>3491</v>
      </c>
      <c r="T215" s="2">
        <v>3420</v>
      </c>
      <c r="U215" s="2">
        <v>3214</v>
      </c>
      <c r="V215" s="2">
        <v>3183</v>
      </c>
      <c r="W215" s="2">
        <v>3300</v>
      </c>
      <c r="X215" s="2">
        <v>3221</v>
      </c>
      <c r="Y215" s="2">
        <v>3263</v>
      </c>
      <c r="Z215" s="2">
        <v>3295</v>
      </c>
      <c r="AA215" s="2">
        <v>3121</v>
      </c>
      <c r="AB215" s="2">
        <v>3333</v>
      </c>
      <c r="AC215" s="2">
        <v>3221</v>
      </c>
      <c r="AD215" s="2">
        <v>3222</v>
      </c>
      <c r="AE215" s="2">
        <v>3297</v>
      </c>
      <c r="AF215" s="2">
        <v>3232</v>
      </c>
      <c r="AG215" s="2">
        <v>3071</v>
      </c>
      <c r="AH215" s="2">
        <v>3036</v>
      </c>
      <c r="AI215" s="2">
        <v>2931</v>
      </c>
      <c r="AJ215" s="2">
        <v>2836.5</v>
      </c>
      <c r="AK215" s="2">
        <v>2877</v>
      </c>
      <c r="AL215" s="2">
        <v>2957.5</v>
      </c>
      <c r="AM215" s="2">
        <v>2999</v>
      </c>
      <c r="AN215" s="2">
        <v>2880</v>
      </c>
      <c r="AO215" s="2">
        <v>2897</v>
      </c>
      <c r="AP215" s="2">
        <v>2927.5</v>
      </c>
      <c r="AQ215" s="2">
        <v>2889.5</v>
      </c>
      <c r="AR215" s="2">
        <v>2870</v>
      </c>
      <c r="AS215" s="2">
        <v>2810</v>
      </c>
      <c r="AT215" s="2">
        <v>2855</v>
      </c>
      <c r="AU215" s="2">
        <v>2832</v>
      </c>
      <c r="AV215" s="2">
        <v>2935.5</v>
      </c>
      <c r="AW215" s="2">
        <v>2785</v>
      </c>
      <c r="AX215" s="2">
        <v>2716</v>
      </c>
      <c r="AY215" s="2">
        <v>2712</v>
      </c>
      <c r="AZ215" s="2">
        <v>2715.5</v>
      </c>
      <c r="BA215" s="2">
        <v>2695.5</v>
      </c>
      <c r="BB215" s="2">
        <v>2533</v>
      </c>
      <c r="BC215" s="2">
        <v>2543.5</v>
      </c>
      <c r="BD215" s="2">
        <v>2658</v>
      </c>
      <c r="BE215" s="2">
        <v>2631.5</v>
      </c>
      <c r="BF215" s="2">
        <v>2605</v>
      </c>
      <c r="BG215" s="2">
        <v>2533</v>
      </c>
      <c r="BH215" s="2">
        <v>2438</v>
      </c>
      <c r="BI215" s="2">
        <v>2577.5</v>
      </c>
      <c r="BJ215" s="2">
        <v>2604</v>
      </c>
      <c r="BK215" s="2">
        <v>2582.5</v>
      </c>
      <c r="BL215" s="2">
        <v>2540</v>
      </c>
    </row>
    <row r="216" spans="1:64">
      <c r="A216" s="65" t="s">
        <v>469</v>
      </c>
      <c r="B216" s="1" t="s">
        <v>81</v>
      </c>
      <c r="C216" s="57">
        <f>_xll.RssMarket("6622","安値")</f>
        <v>16030</v>
      </c>
      <c r="D216" s="16">
        <f t="shared" si="3"/>
        <v>0</v>
      </c>
      <c r="E216" s="2">
        <v>16030</v>
      </c>
      <c r="F216" s="2">
        <v>16050</v>
      </c>
      <c r="G216" s="2">
        <v>15490</v>
      </c>
      <c r="H216" s="2">
        <v>14700</v>
      </c>
      <c r="I216" s="2">
        <v>13690</v>
      </c>
      <c r="J216" s="2">
        <v>14580</v>
      </c>
      <c r="K216" s="2">
        <v>14440</v>
      </c>
      <c r="L216" s="2">
        <v>15310</v>
      </c>
      <c r="M216" s="2">
        <v>15300</v>
      </c>
      <c r="N216" s="2">
        <v>15130</v>
      </c>
      <c r="O216" s="2">
        <v>14840</v>
      </c>
      <c r="P216" s="2">
        <v>15750</v>
      </c>
      <c r="Q216" s="2">
        <v>15840</v>
      </c>
      <c r="R216" s="2">
        <v>16560</v>
      </c>
      <c r="S216" s="2">
        <v>16710</v>
      </c>
      <c r="T216" s="2">
        <v>16220</v>
      </c>
      <c r="U216" s="2">
        <v>15360</v>
      </c>
      <c r="V216" s="2">
        <v>14980</v>
      </c>
      <c r="W216" s="2">
        <v>15650</v>
      </c>
      <c r="X216" s="2">
        <v>16510</v>
      </c>
      <c r="Y216" s="2">
        <v>16670</v>
      </c>
      <c r="Z216" s="2">
        <v>17250</v>
      </c>
      <c r="AA216" s="2">
        <v>17500</v>
      </c>
      <c r="AB216" s="2">
        <v>17640</v>
      </c>
      <c r="AC216" s="2">
        <v>17370</v>
      </c>
      <c r="AD216" s="2">
        <v>16570</v>
      </c>
      <c r="AE216" s="2">
        <v>16500</v>
      </c>
      <c r="AF216" s="2">
        <v>15150</v>
      </c>
      <c r="AG216" s="2">
        <v>15000</v>
      </c>
      <c r="AH216" s="2">
        <v>14500</v>
      </c>
      <c r="AI216" s="2">
        <v>13940</v>
      </c>
      <c r="AJ216" s="2">
        <v>13650</v>
      </c>
      <c r="AK216" s="2">
        <v>13420</v>
      </c>
      <c r="AL216" s="2">
        <v>13750</v>
      </c>
      <c r="AM216" s="2">
        <v>13940</v>
      </c>
      <c r="AN216" s="2">
        <v>13820</v>
      </c>
      <c r="AO216" s="2">
        <v>13820</v>
      </c>
      <c r="AP216" s="2">
        <v>14090</v>
      </c>
      <c r="AQ216" s="2">
        <v>13880</v>
      </c>
      <c r="AR216" s="2">
        <v>14270</v>
      </c>
      <c r="AS216" s="2">
        <v>13810</v>
      </c>
      <c r="AT216" s="2">
        <v>13760</v>
      </c>
      <c r="AU216" s="2">
        <v>13210</v>
      </c>
      <c r="AV216" s="2">
        <v>12960</v>
      </c>
      <c r="AW216" s="2">
        <v>12280</v>
      </c>
      <c r="AX216" s="2">
        <v>11910</v>
      </c>
      <c r="AY216" s="2">
        <v>11930</v>
      </c>
      <c r="AZ216" s="2">
        <v>11830</v>
      </c>
      <c r="BA216" s="2">
        <v>11880</v>
      </c>
      <c r="BB216" s="2">
        <v>10960</v>
      </c>
      <c r="BC216" s="2">
        <v>11160</v>
      </c>
      <c r="BD216" s="2">
        <v>11820</v>
      </c>
      <c r="BE216" s="2">
        <v>12310</v>
      </c>
      <c r="BF216" s="2">
        <v>12450</v>
      </c>
      <c r="BG216" s="2">
        <v>11730</v>
      </c>
      <c r="BH216" s="2">
        <v>11570</v>
      </c>
      <c r="BI216" s="2">
        <v>12300</v>
      </c>
      <c r="BJ216" s="2">
        <v>12550</v>
      </c>
      <c r="BK216" s="2">
        <v>12240</v>
      </c>
      <c r="BL216" s="2">
        <v>12170</v>
      </c>
    </row>
    <row r="217" spans="1:64">
      <c r="A217" s="65" t="s">
        <v>470</v>
      </c>
      <c r="B217" s="1" t="s">
        <v>82</v>
      </c>
      <c r="C217" s="57">
        <f>_xll.RssMarket("1407","安値")</f>
        <v>2220</v>
      </c>
      <c r="D217" s="16">
        <f t="shared" si="3"/>
        <v>0</v>
      </c>
      <c r="E217" s="2">
        <v>2220</v>
      </c>
      <c r="F217" s="2">
        <v>2211</v>
      </c>
      <c r="G217" s="2">
        <v>2240</v>
      </c>
      <c r="H217" s="2">
        <v>2290</v>
      </c>
      <c r="I217" s="2">
        <v>2191</v>
      </c>
      <c r="J217" s="2">
        <v>2251</v>
      </c>
      <c r="K217" s="2">
        <v>2307</v>
      </c>
      <c r="L217" s="2">
        <v>2290</v>
      </c>
      <c r="M217" s="2">
        <v>2436</v>
      </c>
      <c r="N217" s="2">
        <v>2503</v>
      </c>
      <c r="O217" s="2">
        <v>2430</v>
      </c>
      <c r="P217" s="2">
        <v>2691</v>
      </c>
      <c r="Q217" s="2">
        <v>2845</v>
      </c>
      <c r="R217" s="2">
        <v>3075</v>
      </c>
      <c r="S217" s="2">
        <v>2877</v>
      </c>
      <c r="T217" s="2">
        <v>2833</v>
      </c>
      <c r="U217" s="2">
        <v>2892</v>
      </c>
      <c r="V217" s="2">
        <v>2903</v>
      </c>
      <c r="W217" s="2">
        <v>2839</v>
      </c>
      <c r="X217" s="2">
        <v>2901</v>
      </c>
      <c r="Y217" s="2">
        <v>2985</v>
      </c>
      <c r="Z217" s="2">
        <v>2980</v>
      </c>
      <c r="AA217" s="2">
        <v>2790</v>
      </c>
      <c r="AB217" s="2">
        <v>2917</v>
      </c>
      <c r="AC217" s="2">
        <v>3050</v>
      </c>
      <c r="AD217" s="2">
        <v>2830</v>
      </c>
      <c r="AE217" s="2">
        <v>2714</v>
      </c>
      <c r="AF217" s="2">
        <v>2820</v>
      </c>
      <c r="AG217" s="2">
        <v>2702</v>
      </c>
      <c r="AH217" s="2">
        <v>2620</v>
      </c>
      <c r="AI217" s="2">
        <v>2495</v>
      </c>
      <c r="AJ217" s="2">
        <v>2383</v>
      </c>
      <c r="AK217" s="2">
        <v>2310</v>
      </c>
      <c r="AL217" s="2">
        <v>2211</v>
      </c>
      <c r="AM217" s="2">
        <v>2274</v>
      </c>
      <c r="AN217" s="2">
        <v>2161</v>
      </c>
      <c r="AO217" s="2">
        <v>2206</v>
      </c>
      <c r="AP217" s="2">
        <v>2090</v>
      </c>
      <c r="AQ217" s="2">
        <v>1903</v>
      </c>
      <c r="AR217" s="2">
        <v>1730</v>
      </c>
      <c r="AS217" s="2">
        <v>1802</v>
      </c>
      <c r="AT217" s="2">
        <v>1827</v>
      </c>
      <c r="AU217" s="2">
        <v>1803</v>
      </c>
      <c r="AV217" s="2">
        <v>1833</v>
      </c>
      <c r="AW217" s="2">
        <v>1806</v>
      </c>
      <c r="AX217" s="2">
        <v>1894</v>
      </c>
      <c r="AY217" s="2">
        <v>1824</v>
      </c>
      <c r="AZ217" s="2">
        <v>1821</v>
      </c>
      <c r="BA217" s="2">
        <v>1770</v>
      </c>
      <c r="BB217" s="2">
        <v>1736</v>
      </c>
      <c r="BC217" s="2">
        <v>1668</v>
      </c>
      <c r="BD217" s="2">
        <v>1713</v>
      </c>
      <c r="BE217" s="2">
        <v>1705</v>
      </c>
      <c r="BF217" s="2">
        <v>1750</v>
      </c>
      <c r="BG217" s="2">
        <v>1663</v>
      </c>
      <c r="BH217" s="2">
        <v>1604</v>
      </c>
      <c r="BI217" s="2">
        <v>1730</v>
      </c>
      <c r="BJ217" s="2">
        <v>1801</v>
      </c>
      <c r="BK217" s="2">
        <v>1833</v>
      </c>
      <c r="BL217" s="2">
        <v>1897</v>
      </c>
    </row>
    <row r="218" spans="1:64">
      <c r="A218" s="65" t="s">
        <v>260</v>
      </c>
      <c r="B218" s="1" t="s">
        <v>259</v>
      </c>
      <c r="C218" s="57">
        <f>_xll.RssMarket("285A","安値")</f>
        <v>92320</v>
      </c>
      <c r="D218" s="16">
        <f>C218-E218</f>
        <v>0</v>
      </c>
      <c r="E218" s="2">
        <v>92320</v>
      </c>
      <c r="F218" s="2">
        <v>90920</v>
      </c>
      <c r="G218" s="2">
        <v>85200</v>
      </c>
      <c r="H218" s="2">
        <v>78920</v>
      </c>
      <c r="I218" s="2">
        <v>67600</v>
      </c>
      <c r="J218" s="2">
        <v>70130</v>
      </c>
      <c r="K218" s="2">
        <v>69010</v>
      </c>
      <c r="L218" s="2">
        <v>73290</v>
      </c>
      <c r="M218" s="2">
        <v>75000</v>
      </c>
      <c r="N218" s="2">
        <v>76240</v>
      </c>
      <c r="O218" s="2">
        <v>70230</v>
      </c>
      <c r="P218" s="2">
        <v>61110</v>
      </c>
      <c r="Q218" s="2">
        <v>56900</v>
      </c>
      <c r="R218" s="2">
        <v>60170</v>
      </c>
      <c r="S218" s="2">
        <v>58090</v>
      </c>
      <c r="T218" s="2">
        <v>56280</v>
      </c>
      <c r="U218" s="2">
        <v>51120</v>
      </c>
      <c r="V218" s="2">
        <v>48270</v>
      </c>
      <c r="W218" s="2">
        <v>48000</v>
      </c>
      <c r="X218" s="2">
        <v>51450</v>
      </c>
      <c r="Y218" s="2">
        <v>42100</v>
      </c>
      <c r="Z218" s="2">
        <v>45110</v>
      </c>
      <c r="AA218" s="2">
        <v>44740</v>
      </c>
      <c r="AB218" s="2">
        <v>43630</v>
      </c>
      <c r="AC218" s="2">
        <v>45690</v>
      </c>
      <c r="AD218" s="2">
        <v>41900</v>
      </c>
      <c r="AE218" s="2">
        <v>43410</v>
      </c>
      <c r="AF218" s="2">
        <v>36050</v>
      </c>
      <c r="AG218" s="2">
        <v>36920</v>
      </c>
      <c r="AH218" s="2">
        <v>36200</v>
      </c>
      <c r="AI218" s="2">
        <v>35030</v>
      </c>
      <c r="AJ218" s="2">
        <v>34150</v>
      </c>
      <c r="AK218" s="2">
        <v>33750</v>
      </c>
      <c r="AL218" s="2">
        <v>32400</v>
      </c>
      <c r="AM218" s="2">
        <v>30710</v>
      </c>
      <c r="AN218" s="2">
        <v>30090</v>
      </c>
      <c r="AO218" s="2">
        <v>30460</v>
      </c>
      <c r="AP218" s="2">
        <v>31010</v>
      </c>
      <c r="AQ218" s="2">
        <v>32100</v>
      </c>
      <c r="AR218" s="2">
        <v>33820</v>
      </c>
      <c r="AS218" s="2">
        <v>29530</v>
      </c>
      <c r="AT218" s="2">
        <v>28890</v>
      </c>
      <c r="AU218" s="2">
        <v>26600</v>
      </c>
      <c r="AV218" s="2">
        <v>25840</v>
      </c>
      <c r="AW218" s="2">
        <v>22575</v>
      </c>
      <c r="AX218" s="2">
        <v>21955</v>
      </c>
      <c r="AY218" s="2">
        <v>21500</v>
      </c>
      <c r="AZ218" s="2">
        <v>20650</v>
      </c>
      <c r="BA218" s="2">
        <v>20410</v>
      </c>
      <c r="BB218" s="2">
        <v>18540</v>
      </c>
      <c r="BC218" s="2">
        <v>19070</v>
      </c>
      <c r="BD218" s="2">
        <v>19075</v>
      </c>
      <c r="BE218" s="2">
        <v>20945</v>
      </c>
      <c r="BF218" s="2">
        <v>21410</v>
      </c>
      <c r="BG218" s="2">
        <v>20025</v>
      </c>
      <c r="BH218" s="2">
        <v>20800</v>
      </c>
      <c r="BI218" s="2">
        <v>22080</v>
      </c>
      <c r="BJ218" s="2">
        <v>22370</v>
      </c>
      <c r="BK218" s="2">
        <v>21400</v>
      </c>
      <c r="BL218" s="2">
        <v>21245</v>
      </c>
    </row>
    <row r="219" spans="1:64">
      <c r="A219" s="65" t="s">
        <v>261</v>
      </c>
      <c r="B219" s="1" t="s">
        <v>471</v>
      </c>
      <c r="C219" s="57">
        <f>_xll.RssMarket("141A","安値")</f>
        <v>2768</v>
      </c>
      <c r="D219" s="16">
        <f>C219-E219</f>
        <v>0</v>
      </c>
      <c r="E219" s="2">
        <v>2768</v>
      </c>
      <c r="F219" s="2">
        <v>2721</v>
      </c>
      <c r="G219" s="2">
        <v>2746</v>
      </c>
      <c r="H219" s="2">
        <v>2789</v>
      </c>
      <c r="I219" s="2">
        <v>2811</v>
      </c>
      <c r="J219" s="2">
        <v>2725</v>
      </c>
      <c r="K219" s="2">
        <v>2716</v>
      </c>
      <c r="L219" s="2">
        <v>2669</v>
      </c>
      <c r="M219" s="2">
        <v>2667</v>
      </c>
      <c r="N219" s="2">
        <v>2506</v>
      </c>
      <c r="O219" s="2">
        <v>2545</v>
      </c>
      <c r="P219" s="2">
        <v>2865</v>
      </c>
      <c r="Q219" s="2">
        <v>2813</v>
      </c>
      <c r="R219" s="2">
        <v>2617</v>
      </c>
      <c r="S219" s="2">
        <v>2874</v>
      </c>
      <c r="T219" s="2">
        <v>2952</v>
      </c>
      <c r="U219" s="2">
        <v>2929</v>
      </c>
      <c r="V219" s="2">
        <v>3085</v>
      </c>
      <c r="W219" s="2">
        <v>2921</v>
      </c>
      <c r="X219" s="2">
        <v>2887</v>
      </c>
      <c r="Y219" s="2">
        <v>3570</v>
      </c>
      <c r="Z219" s="2">
        <v>4205</v>
      </c>
      <c r="AA219" s="2">
        <v>4280</v>
      </c>
      <c r="AB219" s="2">
        <v>4265</v>
      </c>
      <c r="AC219" s="2">
        <v>4090</v>
      </c>
      <c r="AD219" s="2">
        <v>4090</v>
      </c>
      <c r="AE219" s="2">
        <v>3875</v>
      </c>
      <c r="AF219" s="2">
        <v>3870</v>
      </c>
      <c r="AG219" s="2">
        <v>3845</v>
      </c>
      <c r="AH219" s="2">
        <v>3810</v>
      </c>
      <c r="AI219" s="2">
        <v>3850</v>
      </c>
      <c r="AJ219" s="2">
        <v>3970</v>
      </c>
      <c r="AK219" s="2">
        <v>4135</v>
      </c>
      <c r="AL219" s="2">
        <v>4490</v>
      </c>
      <c r="AM219" s="2">
        <v>4610</v>
      </c>
      <c r="AN219" s="2">
        <v>4455</v>
      </c>
      <c r="AO219" s="2">
        <v>4440</v>
      </c>
      <c r="AP219" s="2">
        <v>4350</v>
      </c>
      <c r="AQ219" s="2">
        <v>4310</v>
      </c>
      <c r="AR219" s="2">
        <v>4125</v>
      </c>
      <c r="AS219" s="2">
        <v>4115</v>
      </c>
      <c r="AT219" s="2">
        <v>4445</v>
      </c>
      <c r="AU219" s="2">
        <v>4370</v>
      </c>
      <c r="AV219" s="2">
        <v>4570</v>
      </c>
      <c r="AW219" s="2">
        <v>4680</v>
      </c>
      <c r="AX219" s="2">
        <v>4645</v>
      </c>
      <c r="AY219" s="2">
        <v>4535</v>
      </c>
      <c r="AZ219" s="2">
        <v>4430</v>
      </c>
      <c r="BA219" s="2">
        <v>4260</v>
      </c>
      <c r="BB219" s="2">
        <v>4105</v>
      </c>
      <c r="BC219" s="2">
        <v>4035</v>
      </c>
      <c r="BD219" s="2">
        <v>4100</v>
      </c>
      <c r="BE219" s="2">
        <v>4065</v>
      </c>
      <c r="BF219" s="2">
        <v>4195</v>
      </c>
      <c r="BG219" s="2">
        <v>4050</v>
      </c>
      <c r="BH219" s="2">
        <v>3995</v>
      </c>
      <c r="BI219" s="2">
        <v>4215</v>
      </c>
      <c r="BJ219" s="2">
        <v>4185</v>
      </c>
      <c r="BK219" s="2">
        <v>4040</v>
      </c>
      <c r="BL219" s="2">
        <v>3980</v>
      </c>
    </row>
    <row r="220" spans="1:64">
      <c r="A220" s="65" t="s">
        <v>262</v>
      </c>
      <c r="B220" s="1" t="s">
        <v>475</v>
      </c>
      <c r="C220" s="57">
        <f>_xll.RssMarket("464A","安値")</f>
        <v>2166</v>
      </c>
      <c r="D220" s="16">
        <f>C220-E220</f>
        <v>0</v>
      </c>
      <c r="E220" s="2">
        <v>2166</v>
      </c>
      <c r="F220" s="2">
        <v>2247</v>
      </c>
      <c r="G220" s="2">
        <v>2307</v>
      </c>
      <c r="H220" s="2">
        <v>2685</v>
      </c>
      <c r="I220" s="2">
        <v>2430</v>
      </c>
      <c r="J220" s="2">
        <v>2461</v>
      </c>
      <c r="K220" s="2">
        <v>2695</v>
      </c>
      <c r="L220" s="2">
        <v>2833</v>
      </c>
      <c r="M220" s="2">
        <v>2600</v>
      </c>
      <c r="N220" s="2">
        <v>2894</v>
      </c>
      <c r="O220" s="2">
        <v>2900</v>
      </c>
      <c r="P220" s="2">
        <v>3915</v>
      </c>
      <c r="Q220" s="2">
        <v>4075</v>
      </c>
      <c r="R220" s="2">
        <v>4080</v>
      </c>
      <c r="S220" s="2">
        <v>3780</v>
      </c>
      <c r="T220" s="2">
        <v>3385</v>
      </c>
      <c r="U220" s="2">
        <v>3175</v>
      </c>
      <c r="V220" s="2">
        <v>3220</v>
      </c>
      <c r="W220" s="2">
        <v>3320</v>
      </c>
      <c r="X220" s="2">
        <v>3170</v>
      </c>
      <c r="Y220" s="2">
        <v>3230</v>
      </c>
      <c r="Z220" s="2">
        <v>3175</v>
      </c>
      <c r="AA220" s="2">
        <v>2868</v>
      </c>
      <c r="AB220" s="2">
        <v>2840</v>
      </c>
      <c r="AC220" s="2">
        <v>2949</v>
      </c>
      <c r="AD220" s="2">
        <v>2635</v>
      </c>
      <c r="AE220" s="2">
        <v>2631</v>
      </c>
      <c r="AF220" s="2">
        <v>2493</v>
      </c>
      <c r="AG220" s="2">
        <v>2473</v>
      </c>
      <c r="AH220" s="2">
        <v>2432</v>
      </c>
      <c r="AI220" s="2">
        <v>2404</v>
      </c>
      <c r="AJ220" s="2">
        <v>2477</v>
      </c>
      <c r="AK220" s="2">
        <v>2501</v>
      </c>
      <c r="AL220" s="2">
        <v>2652</v>
      </c>
      <c r="AM220" s="2">
        <v>2650</v>
      </c>
      <c r="AN220" s="2">
        <v>2596</v>
      </c>
      <c r="AO220" s="2">
        <v>2581</v>
      </c>
      <c r="AP220" s="2">
        <v>2530</v>
      </c>
      <c r="AQ220" s="2">
        <v>2496</v>
      </c>
      <c r="AR220" s="2">
        <v>2543</v>
      </c>
      <c r="AS220" s="2">
        <v>2732</v>
      </c>
      <c r="AT220" s="2">
        <v>2660</v>
      </c>
      <c r="AU220" s="2">
        <v>2576</v>
      </c>
      <c r="AV220" s="2">
        <v>2512</v>
      </c>
      <c r="AW220" s="2">
        <v>2394</v>
      </c>
      <c r="AX220" s="2">
        <v>2366</v>
      </c>
      <c r="AY220" s="2">
        <v>2289</v>
      </c>
      <c r="AZ220" s="2">
        <v>2269</v>
      </c>
      <c r="BA220" s="2">
        <v>2150</v>
      </c>
      <c r="BB220" s="2">
        <v>2063</v>
      </c>
      <c r="BC220" s="2">
        <v>2086</v>
      </c>
      <c r="BD220" s="2">
        <v>2281</v>
      </c>
      <c r="BE220" s="2">
        <v>2335</v>
      </c>
      <c r="BF220" s="2">
        <v>2300</v>
      </c>
      <c r="BG220" s="2">
        <v>2191</v>
      </c>
      <c r="BH220" s="2">
        <v>2260</v>
      </c>
      <c r="BI220" s="2">
        <v>2473</v>
      </c>
      <c r="BJ220" s="2">
        <v>2402</v>
      </c>
      <c r="BK220" s="2">
        <v>2241</v>
      </c>
      <c r="BL220" s="2">
        <v>2188</v>
      </c>
    </row>
    <row r="221" spans="1:64">
      <c r="A221" s="65" t="s">
        <v>473</v>
      </c>
      <c r="B221" s="1" t="s">
        <v>474</v>
      </c>
      <c r="C221" s="57">
        <f>_xll.RssMarket("485A","安値")</f>
        <v>2291</v>
      </c>
      <c r="D221" s="16">
        <f>C221-E221</f>
        <v>0</v>
      </c>
      <c r="E221" s="2">
        <v>2291</v>
      </c>
      <c r="F221" s="2">
        <v>2345</v>
      </c>
      <c r="G221" s="2">
        <v>2323</v>
      </c>
      <c r="H221" s="2">
        <v>2430</v>
      </c>
      <c r="I221" s="2">
        <v>2130</v>
      </c>
      <c r="J221" s="2">
        <v>2217</v>
      </c>
      <c r="K221" s="2">
        <v>2628</v>
      </c>
      <c r="L221" s="2">
        <v>2657</v>
      </c>
      <c r="M221" s="2">
        <v>2853</v>
      </c>
      <c r="N221" s="2">
        <v>3120</v>
      </c>
      <c r="O221" s="2">
        <v>3075</v>
      </c>
      <c r="P221" s="2">
        <v>3640</v>
      </c>
      <c r="Q221" s="2">
        <v>4075</v>
      </c>
      <c r="R221" s="2">
        <v>13500</v>
      </c>
      <c r="S221" s="2">
        <v>12950</v>
      </c>
      <c r="T221" s="2">
        <v>12700</v>
      </c>
      <c r="U221" s="2">
        <v>12930</v>
      </c>
      <c r="V221" s="2">
        <v>13220</v>
      </c>
      <c r="W221" s="2">
        <v>14180</v>
      </c>
      <c r="X221" s="2">
        <v>12600</v>
      </c>
      <c r="Y221" s="2">
        <v>12040</v>
      </c>
      <c r="Z221" s="2">
        <v>11890</v>
      </c>
      <c r="AA221" s="2">
        <v>11120</v>
      </c>
      <c r="AB221" s="2">
        <v>11960</v>
      </c>
      <c r="AC221" s="2">
        <v>13800</v>
      </c>
      <c r="AD221" s="2">
        <v>12350</v>
      </c>
      <c r="AE221" s="2">
        <v>9910</v>
      </c>
      <c r="AF221" s="2">
        <v>10210</v>
      </c>
      <c r="AG221" s="2">
        <v>9530</v>
      </c>
      <c r="AH221" s="2">
        <v>8810</v>
      </c>
      <c r="AI221" s="2">
        <v>8000</v>
      </c>
      <c r="AJ221" s="2">
        <v>7260</v>
      </c>
      <c r="AK221" s="2">
        <v>6960</v>
      </c>
      <c r="AL221" s="2">
        <v>6940</v>
      </c>
      <c r="AM221" s="2">
        <v>6810</v>
      </c>
      <c r="AN221" s="2">
        <v>6540</v>
      </c>
      <c r="AO221" s="2">
        <v>6530</v>
      </c>
      <c r="AP221" s="2">
        <v>6650</v>
      </c>
      <c r="AQ221" s="2">
        <v>6700</v>
      </c>
      <c r="AR221" s="2">
        <v>6620</v>
      </c>
      <c r="AS221" s="2">
        <v>7110</v>
      </c>
      <c r="AT221" s="2">
        <v>6660</v>
      </c>
      <c r="AU221" s="2">
        <v>6110</v>
      </c>
      <c r="AV221" s="2">
        <v>5540</v>
      </c>
      <c r="AW221" s="2">
        <v>5530</v>
      </c>
      <c r="AX221" s="2">
        <v>5980</v>
      </c>
      <c r="AY221" s="2">
        <v>5490</v>
      </c>
      <c r="AZ221" s="2">
        <v>4995</v>
      </c>
      <c r="BA221" s="2">
        <v>4900</v>
      </c>
      <c r="BB221" s="2">
        <v>4480</v>
      </c>
      <c r="BC221" s="2">
        <v>4120</v>
      </c>
      <c r="BD221" s="2">
        <v>3800</v>
      </c>
      <c r="BE221" s="2">
        <v>3850</v>
      </c>
      <c r="BF221" s="2">
        <v>4180</v>
      </c>
      <c r="BG221" s="2">
        <v>4730</v>
      </c>
      <c r="BH221" s="2">
        <v>5310</v>
      </c>
      <c r="BI221" s="2">
        <v>5460</v>
      </c>
      <c r="BJ221" s="2">
        <v>5270</v>
      </c>
      <c r="BK221" s="2">
        <v>5100</v>
      </c>
      <c r="BL221" s="2">
        <v>5480</v>
      </c>
    </row>
    <row r="222" spans="1:64">
      <c r="A222" s="65" t="s">
        <v>490</v>
      </c>
      <c r="B222" s="1" t="str">
        <f>銘柄管理!C222</f>
        <v>ＮＦ日経レバ</v>
      </c>
      <c r="C222" s="57">
        <f>_xll.RssMarket("1570","安値")</f>
        <v>76880</v>
      </c>
      <c r="D222" s="16"/>
      <c r="E222" s="2">
        <v>76880</v>
      </c>
      <c r="F222" s="2">
        <v>77580</v>
      </c>
      <c r="G222" s="2">
        <v>76230</v>
      </c>
      <c r="H222" s="2">
        <v>70550</v>
      </c>
      <c r="I222" s="2">
        <v>63340</v>
      </c>
      <c r="J222" s="2">
        <v>66310</v>
      </c>
      <c r="K222" s="2">
        <v>65660</v>
      </c>
      <c r="L222" s="2">
        <v>71000</v>
      </c>
      <c r="M222" s="2">
        <v>73330</v>
      </c>
      <c r="N222" s="2">
        <v>74440</v>
      </c>
      <c r="O222" s="2">
        <v>70450</v>
      </c>
      <c r="P222" s="2">
        <v>70540</v>
      </c>
      <c r="Q222" s="2">
        <v>66970</v>
      </c>
      <c r="R222" s="2">
        <v>69560</v>
      </c>
      <c r="S222" s="2">
        <v>66840</v>
      </c>
      <c r="T222" s="2">
        <v>63840</v>
      </c>
      <c r="U222" s="2">
        <v>61640</v>
      </c>
      <c r="V222" s="2">
        <v>57900</v>
      </c>
      <c r="W222" s="2">
        <v>59830</v>
      </c>
      <c r="X222" s="2">
        <v>60050</v>
      </c>
      <c r="Y222" s="2">
        <v>61210</v>
      </c>
      <c r="Z222" s="2">
        <v>64770</v>
      </c>
      <c r="AA222" s="2">
        <v>63870</v>
      </c>
      <c r="AB222" s="2">
        <v>63710</v>
      </c>
      <c r="AC222" s="2">
        <v>64200</v>
      </c>
      <c r="AD222" s="2">
        <v>63700</v>
      </c>
      <c r="AE222" s="2">
        <v>63130</v>
      </c>
      <c r="AF222" s="2">
        <v>58360</v>
      </c>
      <c r="AG222" s="2">
        <v>57500</v>
      </c>
      <c r="AH222" s="2">
        <v>59080</v>
      </c>
      <c r="AI222" s="2">
        <v>58860</v>
      </c>
      <c r="AJ222" s="2">
        <v>58180</v>
      </c>
      <c r="AK222" s="2">
        <v>56960</v>
      </c>
      <c r="AL222" s="2">
        <v>57740</v>
      </c>
      <c r="AM222" s="2">
        <v>57800</v>
      </c>
      <c r="AN222" s="2">
        <v>57230</v>
      </c>
      <c r="AO222" s="2">
        <v>57070</v>
      </c>
      <c r="AP222" s="2">
        <v>56910</v>
      </c>
      <c r="AQ222" s="2">
        <v>55960</v>
      </c>
      <c r="AR222" s="2">
        <v>54700</v>
      </c>
      <c r="AS222" s="2">
        <v>52570</v>
      </c>
      <c r="AT222" s="2">
        <v>53010</v>
      </c>
      <c r="AU222" s="2">
        <v>51790</v>
      </c>
      <c r="AV222" s="2">
        <v>51520</v>
      </c>
      <c r="AW222" s="2">
        <v>47150</v>
      </c>
      <c r="AX222" s="2">
        <v>47190</v>
      </c>
      <c r="AY222" s="2">
        <v>46760</v>
      </c>
      <c r="AZ222" s="2">
        <v>45610</v>
      </c>
      <c r="BA222" s="2">
        <v>46470</v>
      </c>
      <c r="BB222" s="2">
        <v>42820</v>
      </c>
      <c r="BC222" s="2">
        <v>42940</v>
      </c>
      <c r="BD222" s="2">
        <v>45560</v>
      </c>
      <c r="BE222" s="2">
        <v>46760</v>
      </c>
      <c r="BF222" s="2">
        <v>47270</v>
      </c>
      <c r="BG222" s="2">
        <v>44160</v>
      </c>
      <c r="BH222" s="2">
        <v>42510</v>
      </c>
      <c r="BI222" s="2">
        <v>46980</v>
      </c>
      <c r="BJ222" s="2">
        <v>49080</v>
      </c>
      <c r="BK222" s="2">
        <v>47590</v>
      </c>
      <c r="BL222" s="2">
        <v>46950</v>
      </c>
    </row>
    <row r="223" spans="1:64">
      <c r="A223" s="65" t="s">
        <v>489</v>
      </c>
      <c r="B223" s="1" t="str">
        <f>銘柄管理!C223</f>
        <v>牧野フライス</v>
      </c>
      <c r="C223" s="57">
        <f>_xll.RssMarket("6135","安値")</f>
        <v>14110</v>
      </c>
      <c r="D223" s="16"/>
      <c r="E223" s="2">
        <v>14110</v>
      </c>
      <c r="F223" s="1">
        <v>14060</v>
      </c>
      <c r="G223" s="1">
        <v>14030</v>
      </c>
      <c r="H223" s="1">
        <v>13970</v>
      </c>
      <c r="I223" s="1">
        <v>13930</v>
      </c>
      <c r="J223" s="1">
        <v>14420</v>
      </c>
      <c r="K223" s="1">
        <v>13730</v>
      </c>
      <c r="L223" s="1">
        <v>14000</v>
      </c>
      <c r="M223" s="1">
        <v>13840</v>
      </c>
      <c r="N223" s="1">
        <v>13530</v>
      </c>
      <c r="O223" s="1">
        <v>13700</v>
      </c>
      <c r="P223" s="1">
        <v>13210</v>
      </c>
      <c r="Q223" s="1">
        <v>12920</v>
      </c>
      <c r="R223" s="1">
        <v>12960</v>
      </c>
      <c r="S223" s="1">
        <v>13190</v>
      </c>
      <c r="T223" s="1">
        <v>12850</v>
      </c>
      <c r="U223" s="1">
        <v>13180</v>
      </c>
      <c r="V223" s="1">
        <v>13110</v>
      </c>
      <c r="W223" s="1">
        <v>13620</v>
      </c>
      <c r="X223" s="1">
        <v>13510</v>
      </c>
      <c r="Y223" s="1">
        <v>13400</v>
      </c>
      <c r="Z223" s="1">
        <v>13390</v>
      </c>
      <c r="AA223" s="1">
        <v>13580</v>
      </c>
      <c r="AB223" s="1">
        <v>13510</v>
      </c>
      <c r="AC223" s="1">
        <v>12930</v>
      </c>
      <c r="AD223" s="1">
        <v>13190</v>
      </c>
      <c r="AE223" s="1">
        <v>12950</v>
      </c>
      <c r="AF223" s="1">
        <v>11920</v>
      </c>
      <c r="AG223" s="1">
        <v>11730</v>
      </c>
      <c r="AH223" s="1">
        <v>11640</v>
      </c>
      <c r="AI223" s="1">
        <v>11640</v>
      </c>
      <c r="AJ223" s="1">
        <v>11700</v>
      </c>
      <c r="AK223" s="1">
        <v>10370</v>
      </c>
      <c r="AL223" s="1">
        <v>11590</v>
      </c>
      <c r="AM223" s="1">
        <v>11610</v>
      </c>
      <c r="AN223" s="1">
        <v>11600</v>
      </c>
      <c r="AO223" s="1">
        <v>11600</v>
      </c>
      <c r="AP223" s="1">
        <v>11580</v>
      </c>
      <c r="AQ223" s="1">
        <v>11580</v>
      </c>
      <c r="AR223" s="1">
        <v>11580</v>
      </c>
      <c r="AS223" s="1">
        <v>11550</v>
      </c>
      <c r="AT223" s="1">
        <v>11590</v>
      </c>
      <c r="AU223" s="1">
        <v>11550</v>
      </c>
      <c r="AV223" s="1">
        <v>11540</v>
      </c>
      <c r="AW223" s="1">
        <v>11520</v>
      </c>
      <c r="AX223" s="1">
        <v>11520</v>
      </c>
      <c r="AY223" s="1">
        <v>11520</v>
      </c>
      <c r="AZ223" s="1">
        <v>11480</v>
      </c>
      <c r="BA223" s="1">
        <v>11490</v>
      </c>
      <c r="BB223" s="1">
        <v>11440</v>
      </c>
      <c r="BC223" s="1">
        <v>11470</v>
      </c>
      <c r="BD223" s="1">
        <v>11480</v>
      </c>
      <c r="BE223" s="1">
        <v>11480</v>
      </c>
      <c r="BF223" s="1">
        <v>11480</v>
      </c>
      <c r="BG223" s="1">
        <v>11460</v>
      </c>
      <c r="BH223" s="1">
        <v>11440</v>
      </c>
      <c r="BI223" s="1">
        <v>11540</v>
      </c>
      <c r="BJ223" s="1">
        <v>11540</v>
      </c>
      <c r="BK223" s="1">
        <v>11530</v>
      </c>
      <c r="BL223" s="1">
        <v>11520</v>
      </c>
    </row>
    <row r="224" spans="1:64">
      <c r="A224" s="65" t="s">
        <v>546</v>
      </c>
      <c r="B224" s="1" t="str">
        <f>銘柄管理!C224</f>
        <v>ジャパンマテリアル</v>
      </c>
      <c r="C224" s="57">
        <f>_xll.RssMarket("6055","安値")</f>
        <v>2325</v>
      </c>
      <c r="D224" s="16"/>
      <c r="E224" s="2">
        <v>2325</v>
      </c>
      <c r="F224" s="1">
        <v>2391</v>
      </c>
      <c r="G224" s="1">
        <v>2388</v>
      </c>
      <c r="H224" s="1">
        <v>2251</v>
      </c>
      <c r="I224" s="1">
        <v>2051</v>
      </c>
      <c r="J224" s="1">
        <v>2087</v>
      </c>
      <c r="K224" s="1">
        <v>2051</v>
      </c>
      <c r="L224" s="1">
        <v>2155</v>
      </c>
      <c r="M224" s="1">
        <v>2117</v>
      </c>
      <c r="N224" s="1">
        <v>2039</v>
      </c>
      <c r="O224" s="1">
        <v>1956</v>
      </c>
      <c r="P224" s="1">
        <v>2030</v>
      </c>
      <c r="Q224" s="1">
        <v>2000</v>
      </c>
      <c r="R224" s="1">
        <v>2041</v>
      </c>
      <c r="S224" s="1">
        <v>2016</v>
      </c>
      <c r="T224" s="1">
        <v>1981</v>
      </c>
      <c r="U224" s="1">
        <v>1963</v>
      </c>
      <c r="V224" s="1">
        <v>1885</v>
      </c>
      <c r="W224" s="1">
        <v>1938</v>
      </c>
      <c r="X224" s="1">
        <v>2065</v>
      </c>
      <c r="Y224" s="1">
        <v>1953</v>
      </c>
      <c r="Z224" s="1">
        <v>2006</v>
      </c>
      <c r="AA224" s="1">
        <v>2052</v>
      </c>
      <c r="AB224" s="1">
        <v>2095</v>
      </c>
      <c r="AC224" s="1">
        <v>1996</v>
      </c>
      <c r="AD224" s="1">
        <v>1922</v>
      </c>
      <c r="AE224" s="1">
        <v>1914</v>
      </c>
      <c r="AF224" s="1">
        <v>1778</v>
      </c>
      <c r="AG224" s="1">
        <v>1768</v>
      </c>
      <c r="AH224" s="1">
        <v>1794</v>
      </c>
      <c r="AI224" s="1">
        <v>1838</v>
      </c>
      <c r="AJ224" s="1">
        <v>1786</v>
      </c>
      <c r="AK224" s="1">
        <v>1751</v>
      </c>
      <c r="AL224" s="1">
        <v>1803</v>
      </c>
      <c r="AM224" s="1">
        <v>1834</v>
      </c>
      <c r="AN224" s="1">
        <v>1836</v>
      </c>
      <c r="AO224" s="1">
        <v>1850</v>
      </c>
      <c r="AP224" s="1">
        <v>1886</v>
      </c>
      <c r="AQ224" s="1">
        <v>1880</v>
      </c>
      <c r="AR224" s="1">
        <v>1840</v>
      </c>
      <c r="AS224" s="1">
        <v>1768</v>
      </c>
      <c r="AT224" s="1">
        <v>1789</v>
      </c>
      <c r="AU224" s="1">
        <v>1752</v>
      </c>
      <c r="AV224" s="1">
        <v>1724</v>
      </c>
      <c r="AW224" s="1">
        <v>1645</v>
      </c>
      <c r="AX224" s="1">
        <v>1625</v>
      </c>
      <c r="AY224" s="1">
        <v>1616</v>
      </c>
      <c r="AZ224" s="1">
        <v>1603</v>
      </c>
      <c r="BA224" s="1">
        <v>1611</v>
      </c>
      <c r="BB224" s="1">
        <v>1540</v>
      </c>
      <c r="BC224" s="1">
        <v>1568</v>
      </c>
      <c r="BD224" s="1">
        <v>1686</v>
      </c>
      <c r="BE224" s="1">
        <v>1696</v>
      </c>
      <c r="BF224" s="1">
        <v>1710</v>
      </c>
      <c r="BG224" s="1">
        <v>1642</v>
      </c>
      <c r="BH224" s="1">
        <v>1608</v>
      </c>
      <c r="BI224" s="1">
        <v>1713</v>
      </c>
      <c r="BJ224" s="1">
        <v>1805</v>
      </c>
      <c r="BK224" s="1">
        <v>1780</v>
      </c>
      <c r="BL224" s="1">
        <v>1802</v>
      </c>
    </row>
    <row r="225" spans="1:64">
      <c r="A225" s="65" t="s">
        <v>476</v>
      </c>
      <c r="B225" s="1" t="str">
        <f>銘柄管理!C225</f>
        <v>ミナトホールディングス</v>
      </c>
      <c r="C225" s="1">
        <f>_xll.RssMarket("6862","安値")</f>
        <v>2050</v>
      </c>
      <c r="E225" s="2">
        <v>2050</v>
      </c>
      <c r="F225" s="1">
        <v>2036</v>
      </c>
      <c r="G225" s="1">
        <v>1980</v>
      </c>
      <c r="H225" s="1">
        <v>1900</v>
      </c>
      <c r="I225" s="1">
        <v>1891</v>
      </c>
      <c r="J225" s="1">
        <v>1915</v>
      </c>
      <c r="K225" s="1">
        <v>2040</v>
      </c>
      <c r="L225" s="1">
        <v>2103</v>
      </c>
      <c r="M225" s="1">
        <v>2097</v>
      </c>
      <c r="N225" s="1">
        <v>2202</v>
      </c>
      <c r="O225" s="1">
        <v>2068</v>
      </c>
      <c r="P225" s="1">
        <v>2180</v>
      </c>
      <c r="Q225" s="1">
        <v>2130</v>
      </c>
      <c r="R225" s="1">
        <v>2232</v>
      </c>
      <c r="S225" s="1">
        <v>2541</v>
      </c>
      <c r="T225" s="1">
        <v>2513</v>
      </c>
      <c r="U225" s="1">
        <v>2335</v>
      </c>
      <c r="V225" s="1">
        <v>2320</v>
      </c>
      <c r="W225" s="1">
        <v>2500</v>
      </c>
      <c r="X225" s="1">
        <v>2680</v>
      </c>
      <c r="Y225" s="1">
        <v>2671</v>
      </c>
      <c r="Z225" s="1">
        <v>2853</v>
      </c>
      <c r="AA225" s="1">
        <v>2930</v>
      </c>
      <c r="AB225" s="1">
        <v>3505</v>
      </c>
      <c r="AC225" s="1">
        <v>3450</v>
      </c>
      <c r="AD225" s="1">
        <v>3550</v>
      </c>
      <c r="AE225" s="1">
        <v>3640</v>
      </c>
      <c r="AF225" s="1">
        <v>2752</v>
      </c>
      <c r="AG225" s="1">
        <v>2622</v>
      </c>
      <c r="AH225" s="1">
        <v>2585</v>
      </c>
      <c r="AI225" s="1">
        <v>2480</v>
      </c>
      <c r="AJ225" s="1">
        <v>2379</v>
      </c>
      <c r="AK225" s="1">
        <v>2390</v>
      </c>
      <c r="AL225" s="1">
        <v>2430</v>
      </c>
      <c r="AM225" s="1">
        <v>2498</v>
      </c>
      <c r="AN225" s="1">
        <v>2417</v>
      </c>
      <c r="AO225" s="1">
        <v>2367</v>
      </c>
      <c r="AP225" s="1">
        <v>2380</v>
      </c>
      <c r="AQ225" s="1">
        <v>2360</v>
      </c>
      <c r="AR225" s="1">
        <v>2420</v>
      </c>
      <c r="AS225" s="1">
        <v>2171</v>
      </c>
      <c r="AT225" s="1">
        <v>2145</v>
      </c>
      <c r="AU225" s="1">
        <v>2170</v>
      </c>
      <c r="AV225" s="1">
        <v>2149</v>
      </c>
      <c r="AW225" s="1">
        <v>2012</v>
      </c>
      <c r="AX225" s="1">
        <v>2080</v>
      </c>
      <c r="AY225" s="1">
        <v>2018</v>
      </c>
      <c r="AZ225" s="1">
        <v>2013</v>
      </c>
      <c r="BA225" s="1">
        <v>2022</v>
      </c>
      <c r="BB225" s="1">
        <v>1974</v>
      </c>
      <c r="BC225" s="1">
        <v>2104</v>
      </c>
      <c r="BD225" s="1">
        <v>2250</v>
      </c>
      <c r="BE225" s="1">
        <v>2445</v>
      </c>
      <c r="BF225" s="1">
        <v>2180</v>
      </c>
      <c r="BG225" s="1">
        <v>2065</v>
      </c>
      <c r="BH225" s="1">
        <v>2065</v>
      </c>
      <c r="BI225" s="1">
        <v>2237</v>
      </c>
      <c r="BJ225" s="1">
        <v>2321</v>
      </c>
      <c r="BK225" s="1">
        <v>2265</v>
      </c>
      <c r="BL225" s="1">
        <v>2282</v>
      </c>
    </row>
    <row r="226" spans="1:64">
      <c r="A226" s="65" t="s">
        <v>491</v>
      </c>
      <c r="B226" s="1" t="str">
        <f>銘柄管理!C226</f>
        <v>ヤクルト</v>
      </c>
      <c r="C226" s="1">
        <f>_xll.RssMarket("2267","安値")</f>
        <v>2612.5</v>
      </c>
      <c r="E226" s="2">
        <v>2612.5</v>
      </c>
      <c r="F226" s="1">
        <v>2619</v>
      </c>
      <c r="G226" s="1">
        <v>2645.5</v>
      </c>
      <c r="H226" s="1">
        <v>2640</v>
      </c>
      <c r="I226" s="1">
        <v>2648</v>
      </c>
      <c r="J226" s="1">
        <v>2656</v>
      </c>
      <c r="K226" s="1">
        <v>2633.5</v>
      </c>
      <c r="L226" s="1">
        <v>2626</v>
      </c>
      <c r="M226" s="1">
        <v>2669</v>
      </c>
      <c r="N226" s="1">
        <v>2685</v>
      </c>
      <c r="O226" s="1">
        <v>2630.5</v>
      </c>
      <c r="P226" s="1">
        <v>2664.5</v>
      </c>
      <c r="Q226" s="1">
        <v>2706</v>
      </c>
      <c r="R226" s="1">
        <v>2660</v>
      </c>
      <c r="S226" s="1">
        <v>2752</v>
      </c>
      <c r="T226" s="1">
        <v>2704.5</v>
      </c>
      <c r="U226" s="1">
        <v>2754</v>
      </c>
      <c r="V226" s="1">
        <v>2757.5</v>
      </c>
      <c r="W226" s="1">
        <v>2714</v>
      </c>
      <c r="X226" s="1">
        <v>2700</v>
      </c>
      <c r="Y226" s="1">
        <v>2730</v>
      </c>
      <c r="Z226" s="1">
        <v>2760</v>
      </c>
      <c r="AA226" s="1">
        <v>2642</v>
      </c>
      <c r="AB226" s="1">
        <v>2620</v>
      </c>
      <c r="AC226" s="1">
        <v>2844.5</v>
      </c>
      <c r="AD226" s="1">
        <v>2885</v>
      </c>
      <c r="AE226" s="1">
        <v>2911</v>
      </c>
      <c r="AF226" s="1">
        <v>2798</v>
      </c>
      <c r="AG226" s="1">
        <v>2706.5</v>
      </c>
      <c r="AH226" s="1">
        <v>2711</v>
      </c>
      <c r="AI226" s="1">
        <v>2701.5</v>
      </c>
      <c r="AJ226" s="1">
        <v>2615.5</v>
      </c>
      <c r="AK226" s="1">
        <v>2583.5</v>
      </c>
      <c r="AL226" s="1">
        <v>2598.5</v>
      </c>
      <c r="AM226" s="1">
        <v>2604.5</v>
      </c>
      <c r="AN226" s="1">
        <v>2618.5</v>
      </c>
      <c r="AO226" s="1">
        <v>2641</v>
      </c>
      <c r="AP226" s="1">
        <v>2645.5</v>
      </c>
      <c r="AQ226" s="1">
        <v>2625.5</v>
      </c>
      <c r="AR226" s="1">
        <v>2604</v>
      </c>
      <c r="AS226" s="1">
        <v>2637</v>
      </c>
      <c r="AT226" s="1">
        <v>2647</v>
      </c>
      <c r="AU226" s="1">
        <v>2690</v>
      </c>
      <c r="AV226" s="1">
        <v>2760.5</v>
      </c>
      <c r="AW226" s="1">
        <v>2734.5</v>
      </c>
      <c r="AX226" s="1">
        <v>2711.5</v>
      </c>
      <c r="AY226" s="1">
        <v>2648.5</v>
      </c>
      <c r="AZ226" s="1">
        <v>2658.5</v>
      </c>
      <c r="BA226" s="1">
        <v>2634</v>
      </c>
      <c r="BB226" s="1">
        <v>2660</v>
      </c>
      <c r="BC226" s="1">
        <v>2598</v>
      </c>
      <c r="BD226" s="1">
        <v>2641.5</v>
      </c>
      <c r="BE226" s="1">
        <v>2600.5</v>
      </c>
      <c r="BF226" s="1">
        <v>2600</v>
      </c>
      <c r="BG226" s="1">
        <v>2581</v>
      </c>
      <c r="BH226" s="1">
        <v>2565</v>
      </c>
      <c r="BI226" s="1">
        <v>2581.5</v>
      </c>
      <c r="BJ226" s="1">
        <v>2590</v>
      </c>
      <c r="BK226" s="1">
        <v>2569.5</v>
      </c>
      <c r="BL226" s="1">
        <v>2576</v>
      </c>
    </row>
    <row r="227" spans="1:64">
      <c r="A227" s="65" t="s">
        <v>492</v>
      </c>
      <c r="B227" s="1" t="str">
        <f>銘柄管理!C227</f>
        <v>ＮＦエネ資源Ｔ１７</v>
      </c>
      <c r="C227" s="1">
        <f>_xll.RssMarket("1618","安値")</f>
        <v>31780</v>
      </c>
      <c r="E227" s="2">
        <v>31780</v>
      </c>
      <c r="F227" s="1">
        <v>32100</v>
      </c>
      <c r="G227" s="1">
        <v>32730</v>
      </c>
      <c r="H227" s="1">
        <v>32420</v>
      </c>
      <c r="I227" s="1">
        <v>32350</v>
      </c>
      <c r="J227" s="1">
        <v>32130</v>
      </c>
      <c r="K227" s="1">
        <v>33010</v>
      </c>
      <c r="L227" s="1">
        <v>33910</v>
      </c>
      <c r="M227" s="1">
        <v>33790</v>
      </c>
      <c r="N227" s="1">
        <v>34100</v>
      </c>
      <c r="O227" s="1">
        <v>32760</v>
      </c>
      <c r="P227" s="1">
        <v>33520</v>
      </c>
      <c r="Q227" s="1">
        <v>33490</v>
      </c>
      <c r="R227" s="1">
        <v>33570</v>
      </c>
      <c r="S227" s="1">
        <v>33740</v>
      </c>
      <c r="T227" s="1">
        <v>34370</v>
      </c>
      <c r="U227" s="1">
        <v>34870</v>
      </c>
      <c r="V227" s="1">
        <v>35400</v>
      </c>
      <c r="W227" s="1">
        <v>35710</v>
      </c>
      <c r="X227" s="1">
        <v>35800</v>
      </c>
      <c r="Y227" s="1">
        <v>35530</v>
      </c>
      <c r="Z227" s="1">
        <v>35000</v>
      </c>
      <c r="AA227" s="1">
        <v>35800</v>
      </c>
      <c r="AB227" s="1">
        <v>35720</v>
      </c>
      <c r="AC227" s="1">
        <v>34580</v>
      </c>
      <c r="AD227" s="1">
        <v>34250</v>
      </c>
      <c r="AE227" s="1">
        <v>35260</v>
      </c>
      <c r="AF227" s="1">
        <v>35650</v>
      </c>
      <c r="AG227" s="1">
        <v>35700</v>
      </c>
      <c r="AH227" s="1">
        <v>35220</v>
      </c>
      <c r="AI227" s="1">
        <v>34600</v>
      </c>
      <c r="AJ227" s="1">
        <v>35510</v>
      </c>
      <c r="AK227" s="1">
        <v>35000</v>
      </c>
      <c r="AL227" s="1">
        <v>35340</v>
      </c>
      <c r="AM227" s="1">
        <v>35630</v>
      </c>
      <c r="AN227" s="1">
        <v>35950</v>
      </c>
      <c r="AO227" s="1">
        <v>37150</v>
      </c>
      <c r="AP227" s="1">
        <v>37580</v>
      </c>
      <c r="AQ227" s="1">
        <v>37650</v>
      </c>
      <c r="AR227" s="1">
        <v>37800</v>
      </c>
      <c r="AS227" s="1">
        <v>38820</v>
      </c>
      <c r="AT227" s="1">
        <v>38340</v>
      </c>
      <c r="AU227" s="1">
        <v>38820</v>
      </c>
      <c r="AV227" s="1">
        <v>39080</v>
      </c>
      <c r="AW227" s="1">
        <v>40570</v>
      </c>
      <c r="AX227" s="1">
        <v>40620</v>
      </c>
      <c r="AY227" s="1">
        <v>40240</v>
      </c>
      <c r="AZ227" s="1">
        <v>39670</v>
      </c>
      <c r="BA227" s="1">
        <v>39920</v>
      </c>
      <c r="BB227" s="1">
        <v>40320</v>
      </c>
      <c r="BC227" s="1">
        <v>40600</v>
      </c>
      <c r="BD227" s="1">
        <v>39940</v>
      </c>
      <c r="BE227" s="1">
        <v>39420</v>
      </c>
      <c r="BF227" s="1">
        <v>38380</v>
      </c>
      <c r="BG227" s="1">
        <v>37720</v>
      </c>
      <c r="BH227" s="1">
        <v>37050</v>
      </c>
      <c r="BI227" s="1">
        <v>39590</v>
      </c>
      <c r="BJ227" s="1">
        <v>39600</v>
      </c>
      <c r="BK227" s="1">
        <v>38070</v>
      </c>
      <c r="BL227" s="1">
        <v>37810</v>
      </c>
    </row>
    <row r="228" spans="1:64">
      <c r="A228" s="65" t="s">
        <v>493</v>
      </c>
      <c r="C228" s="1">
        <f>_xll.RssMarket("3696","安値")</f>
        <v>1794</v>
      </c>
      <c r="E228" s="2">
        <v>1794</v>
      </c>
      <c r="F228" s="1">
        <v>1780</v>
      </c>
      <c r="G228" s="1">
        <v>1801</v>
      </c>
      <c r="H228" s="1">
        <v>1709</v>
      </c>
      <c r="I228" s="1">
        <v>1701</v>
      </c>
      <c r="J228" s="1">
        <v>1752</v>
      </c>
      <c r="K228" s="1">
        <v>1725</v>
      </c>
      <c r="L228" s="1">
        <v>1742</v>
      </c>
      <c r="M228" s="1">
        <v>1694</v>
      </c>
      <c r="N228" s="1">
        <v>1747</v>
      </c>
      <c r="O228" s="1">
        <v>1782</v>
      </c>
      <c r="P228" s="1">
        <v>1754</v>
      </c>
      <c r="Q228" s="1">
        <v>1713</v>
      </c>
      <c r="R228" s="1">
        <v>1691</v>
      </c>
      <c r="S228" s="1">
        <v>1755</v>
      </c>
      <c r="T228" s="1">
        <v>1774</v>
      </c>
      <c r="U228" s="1">
        <v>1815</v>
      </c>
      <c r="V228" s="1">
        <v>1779</v>
      </c>
      <c r="W228" s="1">
        <v>1883</v>
      </c>
      <c r="X228" s="1">
        <v>1859</v>
      </c>
      <c r="Y228" s="1">
        <v>1887</v>
      </c>
      <c r="Z228" s="1">
        <v>1845</v>
      </c>
      <c r="AA228" s="1">
        <v>1886</v>
      </c>
      <c r="AB228" s="1">
        <v>4265</v>
      </c>
      <c r="AC228" s="1">
        <v>4090</v>
      </c>
      <c r="AD228" s="1">
        <v>4090</v>
      </c>
      <c r="AE228" s="1">
        <v>3875</v>
      </c>
      <c r="AF228" s="1">
        <v>3870</v>
      </c>
      <c r="AG228" s="1">
        <v>3845</v>
      </c>
      <c r="AH228" s="1">
        <v>3810</v>
      </c>
      <c r="AI228" s="1">
        <v>3850</v>
      </c>
      <c r="AJ228" s="1">
        <v>3970</v>
      </c>
      <c r="AK228" s="1">
        <v>4135</v>
      </c>
      <c r="AL228" s="1">
        <v>4490</v>
      </c>
      <c r="AM228" s="1">
        <v>4610</v>
      </c>
      <c r="AN228" s="1">
        <v>4455</v>
      </c>
      <c r="AO228" s="1">
        <v>4440</v>
      </c>
      <c r="AP228" s="1">
        <v>4350</v>
      </c>
      <c r="AQ228" s="1">
        <v>4310</v>
      </c>
      <c r="AR228" s="1">
        <v>4125</v>
      </c>
      <c r="AS228" s="1">
        <v>4115</v>
      </c>
      <c r="AT228" s="1">
        <v>4445</v>
      </c>
      <c r="AU228" s="1">
        <v>4370</v>
      </c>
      <c r="AV228" s="1">
        <v>4570</v>
      </c>
      <c r="AW228" s="1">
        <v>4680</v>
      </c>
      <c r="AX228" s="1">
        <v>4645</v>
      </c>
      <c r="AY228" s="1">
        <v>4535</v>
      </c>
      <c r="AZ228" s="1">
        <v>4430</v>
      </c>
      <c r="BA228" s="1">
        <v>4260</v>
      </c>
      <c r="BB228" s="1">
        <v>4105</v>
      </c>
      <c r="BC228" s="1">
        <v>4035</v>
      </c>
      <c r="BD228" s="1">
        <v>4100</v>
      </c>
      <c r="BE228" s="1">
        <v>4065</v>
      </c>
      <c r="BF228" s="1">
        <v>4195</v>
      </c>
      <c r="BG228" s="1">
        <v>4050</v>
      </c>
      <c r="BH228" s="1">
        <v>3995</v>
      </c>
      <c r="BI228" s="1">
        <v>4215</v>
      </c>
      <c r="BJ228" s="1">
        <v>4185</v>
      </c>
      <c r="BK228" s="1">
        <v>4040</v>
      </c>
      <c r="BL228" s="1">
        <v>3980</v>
      </c>
    </row>
    <row r="229" spans="1:64">
      <c r="A229" s="65" t="s">
        <v>494</v>
      </c>
      <c r="B229" s="1" t="str">
        <f>銘柄管理!C229</f>
        <v>児玉化学</v>
      </c>
      <c r="C229" s="1">
        <f>_xll.RssMarket("4222","安値")</f>
        <v>683</v>
      </c>
      <c r="E229" s="2">
        <v>683</v>
      </c>
      <c r="F229" s="1">
        <v>677</v>
      </c>
      <c r="G229" s="1">
        <v>664</v>
      </c>
      <c r="H229" s="1">
        <v>642</v>
      </c>
      <c r="I229" s="1">
        <v>653</v>
      </c>
      <c r="J229" s="1">
        <v>648</v>
      </c>
      <c r="K229" s="1">
        <v>673</v>
      </c>
      <c r="L229" s="1">
        <v>699</v>
      </c>
      <c r="M229" s="1">
        <v>693</v>
      </c>
      <c r="N229" s="1">
        <v>687</v>
      </c>
      <c r="O229" s="1">
        <v>681</v>
      </c>
      <c r="P229" s="1">
        <v>726</v>
      </c>
      <c r="Q229" s="1">
        <v>728</v>
      </c>
      <c r="R229" s="1">
        <v>753</v>
      </c>
      <c r="S229" s="1">
        <v>790</v>
      </c>
      <c r="T229" s="1">
        <v>774</v>
      </c>
      <c r="U229" s="1">
        <v>800</v>
      </c>
      <c r="V229" s="1">
        <v>846</v>
      </c>
      <c r="W229" s="1">
        <v>851</v>
      </c>
      <c r="X229" s="1">
        <v>894</v>
      </c>
      <c r="Y229" s="1">
        <v>1161</v>
      </c>
      <c r="Z229" s="1">
        <v>1189</v>
      </c>
      <c r="AA229" s="1">
        <v>1241</v>
      </c>
      <c r="AB229" s="1">
        <v>1169</v>
      </c>
      <c r="AC229" s="1">
        <v>1130</v>
      </c>
      <c r="AD229" s="1">
        <v>1121</v>
      </c>
      <c r="AE229" s="1">
        <v>1084</v>
      </c>
      <c r="AF229" s="1">
        <v>1101</v>
      </c>
      <c r="AG229" s="1">
        <v>1115</v>
      </c>
      <c r="AH229" s="1">
        <v>1132</v>
      </c>
      <c r="AI229" s="1">
        <v>1110</v>
      </c>
      <c r="AJ229" s="1">
        <v>1116</v>
      </c>
      <c r="AK229" s="1">
        <v>1145</v>
      </c>
      <c r="AL229" s="1">
        <v>1151</v>
      </c>
      <c r="AM229" s="1">
        <v>1145</v>
      </c>
      <c r="AN229" s="1">
        <v>1137</v>
      </c>
      <c r="AO229" s="1">
        <v>1142</v>
      </c>
      <c r="AP229" s="1">
        <v>1130</v>
      </c>
      <c r="AQ229" s="1">
        <v>1124</v>
      </c>
      <c r="AR229" s="1">
        <v>1082</v>
      </c>
      <c r="AS229" s="1">
        <v>1105</v>
      </c>
      <c r="AT229" s="1">
        <v>1107</v>
      </c>
      <c r="AU229" s="1">
        <v>1062</v>
      </c>
      <c r="AV229" s="1">
        <v>1012</v>
      </c>
      <c r="AW229" s="1">
        <v>1020</v>
      </c>
      <c r="AX229" s="1">
        <v>1002</v>
      </c>
      <c r="AY229" s="1">
        <v>987</v>
      </c>
      <c r="AZ229" s="1">
        <v>984</v>
      </c>
      <c r="BA229" s="1">
        <v>986</v>
      </c>
      <c r="BB229" s="1">
        <v>980</v>
      </c>
      <c r="BC229" s="1">
        <v>1033</v>
      </c>
      <c r="BD229" s="1">
        <v>1060</v>
      </c>
      <c r="BE229" s="1">
        <v>1027</v>
      </c>
      <c r="BF229" s="1">
        <v>970</v>
      </c>
      <c r="BG229" s="1">
        <v>955</v>
      </c>
      <c r="BH229" s="1">
        <v>1028</v>
      </c>
      <c r="BI229" s="1">
        <v>1065</v>
      </c>
      <c r="BJ229" s="1">
        <v>1044</v>
      </c>
      <c r="BK229" s="1">
        <v>1039</v>
      </c>
      <c r="BL229" s="1">
        <v>1085</v>
      </c>
    </row>
    <row r="230" spans="1:64">
      <c r="A230" s="65" t="s">
        <v>512</v>
      </c>
      <c r="B230" s="1" t="str">
        <f>銘柄管理!C230</f>
        <v>ＦＯＯＤ＆ＬＩＦＥＣＯＭＰＡＮ</v>
      </c>
      <c r="C230" s="1">
        <f>_xll.RssMarket("3563","安値")</f>
        <v>9625</v>
      </c>
      <c r="E230" s="1">
        <v>9625</v>
      </c>
      <c r="F230" s="1">
        <v>9789</v>
      </c>
      <c r="G230" s="1">
        <v>9917</v>
      </c>
      <c r="H230" s="1">
        <v>9669</v>
      </c>
      <c r="I230" s="1">
        <v>9776</v>
      </c>
      <c r="J230" s="1">
        <v>9585</v>
      </c>
      <c r="K230" s="1">
        <v>9699</v>
      </c>
      <c r="L230" s="1">
        <v>9660</v>
      </c>
      <c r="M230" s="1">
        <v>9629</v>
      </c>
      <c r="N230" s="1">
        <v>10270</v>
      </c>
      <c r="O230" s="1">
        <v>10280</v>
      </c>
      <c r="P230" s="1">
        <v>10360</v>
      </c>
      <c r="Q230" s="1">
        <v>10110</v>
      </c>
      <c r="R230" s="1">
        <v>9910</v>
      </c>
      <c r="S230" s="1">
        <v>10115</v>
      </c>
      <c r="T230" s="1">
        <v>10545</v>
      </c>
      <c r="U230" s="1">
        <v>10510</v>
      </c>
      <c r="V230" s="1">
        <v>10680</v>
      </c>
      <c r="W230" s="1">
        <v>10505</v>
      </c>
      <c r="X230" s="1">
        <v>10250</v>
      </c>
      <c r="Y230" s="1">
        <v>10300</v>
      </c>
      <c r="Z230" s="1">
        <v>10520</v>
      </c>
      <c r="AA230" s="1">
        <v>10255</v>
      </c>
      <c r="AB230" s="1">
        <v>10255</v>
      </c>
      <c r="AC230" s="1">
        <v>10185</v>
      </c>
      <c r="AD230" s="1">
        <v>9720</v>
      </c>
      <c r="AE230" s="1">
        <v>9147</v>
      </c>
      <c r="AF230" s="1">
        <v>8955</v>
      </c>
      <c r="AG230" s="1">
        <v>8815</v>
      </c>
      <c r="AH230" s="1">
        <v>8930</v>
      </c>
      <c r="AI230" s="1">
        <v>8926</v>
      </c>
      <c r="AJ230" s="1">
        <v>9015</v>
      </c>
      <c r="AK230" s="1">
        <v>8938</v>
      </c>
      <c r="AL230" s="1">
        <v>9139</v>
      </c>
      <c r="AM230" s="1">
        <v>9363</v>
      </c>
      <c r="AN230" s="1">
        <v>9242</v>
      </c>
      <c r="AO230" s="1">
        <v>9132</v>
      </c>
      <c r="AP230" s="1">
        <v>9424</v>
      </c>
      <c r="AQ230" s="1">
        <v>9425</v>
      </c>
      <c r="AR230" s="1">
        <v>9481</v>
      </c>
      <c r="AS230" s="1">
        <v>9402</v>
      </c>
      <c r="AT230" s="1">
        <v>9302</v>
      </c>
      <c r="AU230" s="1">
        <v>9381</v>
      </c>
      <c r="AV230" s="1">
        <v>9630</v>
      </c>
      <c r="AW230" s="1">
        <v>9529</v>
      </c>
      <c r="AX230" s="1">
        <v>9611</v>
      </c>
      <c r="AY230" s="1">
        <v>9562</v>
      </c>
      <c r="AZ230" s="1">
        <v>9563</v>
      </c>
      <c r="BA230" s="1">
        <v>9434</v>
      </c>
      <c r="BB230" s="1">
        <v>9196</v>
      </c>
      <c r="BC230" s="1">
        <v>9276</v>
      </c>
      <c r="BD230" s="1">
        <v>9746</v>
      </c>
      <c r="BE230" s="1">
        <v>9795</v>
      </c>
      <c r="BF230" s="1">
        <v>9938</v>
      </c>
      <c r="BG230" s="1">
        <v>9661</v>
      </c>
      <c r="BH230" s="1">
        <v>9266</v>
      </c>
      <c r="BI230" s="1">
        <v>9510</v>
      </c>
      <c r="BJ230" s="1">
        <v>9453</v>
      </c>
      <c r="BK230" s="1">
        <v>9455</v>
      </c>
      <c r="BL230" s="1">
        <v>9297</v>
      </c>
    </row>
    <row r="231" spans="1:64">
      <c r="A231" s="65" t="s">
        <v>513</v>
      </c>
      <c r="B231" s="1" t="str">
        <f>銘柄管理!C231</f>
        <v>ＩＨＩ</v>
      </c>
      <c r="C231" s="1">
        <f>_xll.RssMarket("7013","安値")</f>
        <v>2800</v>
      </c>
      <c r="E231" s="1">
        <v>2800</v>
      </c>
      <c r="F231" s="1">
        <v>2762</v>
      </c>
      <c r="G231" s="1">
        <v>2498</v>
      </c>
      <c r="H231" s="1">
        <v>2371</v>
      </c>
      <c r="I231" s="1">
        <v>2245</v>
      </c>
      <c r="J231" s="1">
        <v>2416.5</v>
      </c>
      <c r="K231" s="1">
        <v>2475.5</v>
      </c>
      <c r="L231" s="1">
        <v>2542.5</v>
      </c>
      <c r="M231" s="1">
        <v>2452</v>
      </c>
      <c r="N231" s="1">
        <v>2411</v>
      </c>
      <c r="O231" s="1">
        <v>2526.5</v>
      </c>
      <c r="P231" s="1">
        <v>2718</v>
      </c>
      <c r="Q231" s="1">
        <v>2694</v>
      </c>
      <c r="R231" s="1">
        <v>2809</v>
      </c>
      <c r="S231" s="1">
        <v>2738</v>
      </c>
      <c r="T231" s="1">
        <v>2711</v>
      </c>
      <c r="U231" s="1">
        <v>2598.5</v>
      </c>
      <c r="V231" s="1">
        <v>2468</v>
      </c>
      <c r="W231" s="1">
        <v>2561</v>
      </c>
      <c r="X231" s="1">
        <v>2664.5</v>
      </c>
      <c r="Y231" s="1">
        <v>2635</v>
      </c>
      <c r="Z231" s="1">
        <v>2642</v>
      </c>
      <c r="AA231" s="1">
        <v>2735.5</v>
      </c>
      <c r="AB231" s="1">
        <v>2778.5</v>
      </c>
      <c r="AC231" s="1">
        <v>2803.5</v>
      </c>
      <c r="AD231" s="1">
        <v>3001</v>
      </c>
      <c r="AE231" s="1">
        <v>2838</v>
      </c>
      <c r="AF231" s="1">
        <v>2827.5</v>
      </c>
      <c r="AG231" s="1">
        <v>2832.5</v>
      </c>
      <c r="AH231" s="1">
        <v>2905</v>
      </c>
      <c r="AI231" s="1">
        <v>2811</v>
      </c>
      <c r="AJ231" s="1">
        <v>2969</v>
      </c>
      <c r="AK231" s="1">
        <v>3001</v>
      </c>
      <c r="AL231" s="1">
        <v>2912</v>
      </c>
      <c r="AM231" s="1">
        <v>3041</v>
      </c>
      <c r="AN231" s="1">
        <v>3099</v>
      </c>
      <c r="AO231" s="1">
        <v>3081</v>
      </c>
      <c r="AP231" s="1">
        <v>3141</v>
      </c>
      <c r="AQ231" s="1">
        <v>3145</v>
      </c>
      <c r="AR231" s="1">
        <v>3241</v>
      </c>
      <c r="AS231" s="1">
        <v>3260</v>
      </c>
      <c r="AT231" s="1">
        <v>3271</v>
      </c>
      <c r="AU231" s="1">
        <v>3354</v>
      </c>
      <c r="AV231" s="1">
        <v>3335</v>
      </c>
      <c r="AW231" s="1">
        <v>3291</v>
      </c>
      <c r="AX231" s="1">
        <v>3301</v>
      </c>
      <c r="AY231" s="1">
        <v>3370</v>
      </c>
      <c r="AZ231" s="1">
        <v>3342</v>
      </c>
      <c r="BA231" s="1">
        <v>3191</v>
      </c>
      <c r="BB231" s="1">
        <v>3125</v>
      </c>
      <c r="BC231" s="1">
        <v>3226</v>
      </c>
      <c r="BD231" s="1">
        <v>3397</v>
      </c>
      <c r="BE231" s="1">
        <v>3445</v>
      </c>
      <c r="BF231" s="1">
        <v>3477</v>
      </c>
      <c r="BG231" s="1">
        <v>3343</v>
      </c>
      <c r="BH231" s="1">
        <v>3467</v>
      </c>
      <c r="BI231" s="1">
        <v>3769</v>
      </c>
      <c r="BJ231" s="1">
        <v>3772</v>
      </c>
      <c r="BK231" s="1">
        <v>3744</v>
      </c>
      <c r="BL231" s="1">
        <v>3648</v>
      </c>
    </row>
    <row r="232" spans="1:64">
      <c r="A232" s="65" t="s">
        <v>516</v>
      </c>
      <c r="B232" s="1" t="str">
        <f>銘柄管理!C232</f>
        <v>ＮＥＣキャピタルソリューション</v>
      </c>
      <c r="C232" s="1">
        <f>_xll.RssMarket("8793","安値")</f>
        <v>4100</v>
      </c>
      <c r="E232" s="1">
        <v>4100</v>
      </c>
      <c r="F232" s="1">
        <v>4070</v>
      </c>
      <c r="G232" s="1">
        <v>4135</v>
      </c>
      <c r="H232" s="1">
        <v>4105</v>
      </c>
      <c r="I232" s="1">
        <v>4075</v>
      </c>
      <c r="J232" s="1">
        <v>4105</v>
      </c>
      <c r="K232" s="1">
        <v>3985</v>
      </c>
      <c r="L232" s="1">
        <v>3950</v>
      </c>
      <c r="M232" s="1">
        <v>3900</v>
      </c>
      <c r="N232" s="1">
        <v>3850</v>
      </c>
      <c r="O232" s="1">
        <v>3960</v>
      </c>
      <c r="P232" s="1">
        <v>3915</v>
      </c>
      <c r="Q232" s="1">
        <v>3930</v>
      </c>
      <c r="R232" s="1">
        <v>3950</v>
      </c>
      <c r="S232" s="1">
        <v>3960</v>
      </c>
      <c r="T232" s="1">
        <v>3950</v>
      </c>
      <c r="U232" s="1">
        <v>3910</v>
      </c>
      <c r="V232" s="1">
        <v>3925</v>
      </c>
      <c r="W232" s="1">
        <v>3905</v>
      </c>
      <c r="X232" s="1">
        <v>3940</v>
      </c>
      <c r="Y232" s="1">
        <v>3975</v>
      </c>
      <c r="Z232" s="1">
        <v>4015</v>
      </c>
      <c r="AA232" s="1">
        <v>4000</v>
      </c>
      <c r="AB232" s="1">
        <v>4005</v>
      </c>
      <c r="AC232" s="1">
        <v>4020</v>
      </c>
      <c r="AD232" s="1">
        <v>3970</v>
      </c>
      <c r="AE232" s="1">
        <v>4000</v>
      </c>
      <c r="AF232" s="1">
        <v>4025</v>
      </c>
      <c r="AG232" s="1">
        <v>4180</v>
      </c>
      <c r="AH232" s="1">
        <v>4165</v>
      </c>
      <c r="AI232" s="1">
        <v>4200</v>
      </c>
      <c r="AJ232" s="1">
        <v>4175</v>
      </c>
      <c r="AK232" s="1">
        <v>4190</v>
      </c>
      <c r="AL232" s="1">
        <v>4240</v>
      </c>
      <c r="AM232" s="1">
        <v>4255</v>
      </c>
      <c r="AN232" s="1">
        <v>4235</v>
      </c>
      <c r="AO232" s="1">
        <v>4265</v>
      </c>
      <c r="AP232" s="1">
        <v>4240</v>
      </c>
      <c r="AQ232" s="1">
        <v>4150</v>
      </c>
      <c r="AR232" s="1">
        <v>4145</v>
      </c>
      <c r="AS232" s="1">
        <v>4145</v>
      </c>
      <c r="AT232" s="1">
        <v>4205</v>
      </c>
      <c r="AU232" s="1">
        <v>4230</v>
      </c>
      <c r="AV232" s="1">
        <v>4175</v>
      </c>
      <c r="AW232" s="1">
        <v>4145</v>
      </c>
      <c r="AX232" s="1">
        <v>4145</v>
      </c>
      <c r="AY232" s="1">
        <v>4135</v>
      </c>
      <c r="AZ232" s="1">
        <v>4065</v>
      </c>
      <c r="BA232" s="1">
        <v>4015</v>
      </c>
      <c r="BB232" s="1">
        <v>3930</v>
      </c>
      <c r="BC232" s="1">
        <v>4145</v>
      </c>
      <c r="BD232" s="1">
        <v>4125</v>
      </c>
      <c r="BE232" s="1">
        <v>4150</v>
      </c>
      <c r="BF232" s="1">
        <v>4075</v>
      </c>
      <c r="BG232" s="1">
        <v>4020</v>
      </c>
      <c r="BH232" s="1">
        <v>4100</v>
      </c>
      <c r="BI232" s="1">
        <v>4105</v>
      </c>
      <c r="BJ232" s="1">
        <v>4065</v>
      </c>
      <c r="BK232" s="1">
        <v>4055</v>
      </c>
      <c r="BL232" s="1">
        <v>4065</v>
      </c>
    </row>
    <row r="233" spans="1:64">
      <c r="A233" s="65" t="s">
        <v>517</v>
      </c>
      <c r="B233" s="1" t="str">
        <f>銘柄管理!C233</f>
        <v>ミスミグループ本社</v>
      </c>
      <c r="C233" s="1">
        <f>_xll.RssMarket("9962","安値")</f>
        <v>3832</v>
      </c>
      <c r="E233" s="1">
        <v>3832</v>
      </c>
      <c r="F233" s="1">
        <v>3806</v>
      </c>
      <c r="G233" s="1">
        <v>3746</v>
      </c>
      <c r="H233" s="1">
        <v>3680</v>
      </c>
      <c r="I233" s="1">
        <v>3505</v>
      </c>
      <c r="J233" s="1">
        <v>3530</v>
      </c>
      <c r="K233" s="1">
        <v>3547</v>
      </c>
      <c r="L233" s="1">
        <v>3669</v>
      </c>
      <c r="M233" s="1">
        <v>3726</v>
      </c>
      <c r="N233" s="1">
        <v>3678</v>
      </c>
      <c r="O233" s="1">
        <v>3559</v>
      </c>
      <c r="P233" s="1">
        <v>3683</v>
      </c>
      <c r="Q233" s="1">
        <v>3506</v>
      </c>
      <c r="R233" s="1">
        <v>3505</v>
      </c>
      <c r="S233" s="1">
        <v>3405</v>
      </c>
      <c r="T233" s="1">
        <v>3376</v>
      </c>
      <c r="U233" s="1">
        <v>3184</v>
      </c>
      <c r="V233" s="1">
        <v>3053</v>
      </c>
      <c r="W233" s="1">
        <v>3071</v>
      </c>
      <c r="X233" s="1">
        <v>3104</v>
      </c>
      <c r="Y233" s="1">
        <v>3205</v>
      </c>
      <c r="Z233" s="1">
        <v>3348</v>
      </c>
      <c r="AA233" s="1">
        <v>3248</v>
      </c>
      <c r="AB233" s="1">
        <v>3356</v>
      </c>
      <c r="AC233" s="1">
        <v>3356</v>
      </c>
      <c r="AD233" s="1">
        <v>3386</v>
      </c>
      <c r="AE233" s="1">
        <v>3400</v>
      </c>
      <c r="AF233" s="1">
        <v>3246</v>
      </c>
      <c r="AG233" s="1">
        <v>3350</v>
      </c>
      <c r="AH233" s="1">
        <v>3309</v>
      </c>
      <c r="AI233" s="1">
        <v>3044</v>
      </c>
      <c r="AJ233" s="1">
        <v>2982</v>
      </c>
      <c r="AK233" s="1">
        <v>2963.5</v>
      </c>
      <c r="AL233" s="1">
        <v>3048</v>
      </c>
      <c r="AM233" s="1">
        <v>3107</v>
      </c>
      <c r="AN233" s="1">
        <v>3062</v>
      </c>
      <c r="AO233" s="1">
        <v>3000</v>
      </c>
      <c r="AP233" s="1">
        <v>3006</v>
      </c>
      <c r="AQ233" s="1">
        <v>2982.5</v>
      </c>
      <c r="AR233" s="1">
        <v>2938</v>
      </c>
      <c r="AS233" s="1">
        <v>2935.5</v>
      </c>
      <c r="AT233" s="1">
        <v>2995.5</v>
      </c>
      <c r="AU233" s="1">
        <v>2958.5</v>
      </c>
      <c r="AV233" s="1">
        <v>2890</v>
      </c>
      <c r="AW233" s="1">
        <v>2767</v>
      </c>
      <c r="AX233" s="1">
        <v>2787</v>
      </c>
      <c r="AY233" s="1">
        <v>2735</v>
      </c>
      <c r="AZ233" s="1">
        <v>2702</v>
      </c>
      <c r="BA233" s="1">
        <v>2691</v>
      </c>
      <c r="BB233" s="1">
        <v>2528</v>
      </c>
      <c r="BC233" s="1">
        <v>2562.5</v>
      </c>
      <c r="BD233" s="1">
        <v>2734</v>
      </c>
      <c r="BE233" s="1">
        <v>2788.5</v>
      </c>
      <c r="BF233" s="1">
        <v>2802</v>
      </c>
      <c r="BG233" s="1">
        <v>2668.5</v>
      </c>
      <c r="BH233" s="1">
        <v>2630</v>
      </c>
      <c r="BI233" s="1">
        <v>2786.5</v>
      </c>
      <c r="BJ233" s="1">
        <v>2879</v>
      </c>
      <c r="BK233" s="1">
        <v>2861</v>
      </c>
      <c r="BL233" s="1">
        <v>2797</v>
      </c>
    </row>
    <row r="234" spans="1:64">
      <c r="A234" s="65" t="s">
        <v>518</v>
      </c>
      <c r="B234" s="1" t="str">
        <f>銘柄管理!C234</f>
        <v>ＴＤＫ</v>
      </c>
      <c r="C234" s="1">
        <f>_xll.RssMarket("6762","安値")</f>
        <v>3728</v>
      </c>
      <c r="E234" s="1">
        <v>3728</v>
      </c>
      <c r="F234" s="1">
        <v>3802</v>
      </c>
      <c r="G234" s="1">
        <v>3638</v>
      </c>
      <c r="H234" s="1">
        <v>3469</v>
      </c>
      <c r="I234" s="1">
        <v>3415</v>
      </c>
      <c r="J234" s="1">
        <v>3587</v>
      </c>
      <c r="K234" s="1">
        <v>3637</v>
      </c>
      <c r="L234" s="1">
        <v>3851</v>
      </c>
      <c r="M234" s="1">
        <v>3872</v>
      </c>
      <c r="N234" s="1">
        <v>3895</v>
      </c>
      <c r="O234" s="1">
        <v>3822</v>
      </c>
      <c r="P234" s="1">
        <v>3958</v>
      </c>
      <c r="Q234" s="1">
        <v>3572</v>
      </c>
      <c r="R234" s="1">
        <v>3608</v>
      </c>
      <c r="S234" s="1">
        <v>3473</v>
      </c>
      <c r="T234" s="1">
        <v>3132</v>
      </c>
      <c r="U234" s="1">
        <v>2962.5</v>
      </c>
      <c r="V234" s="1">
        <v>2836</v>
      </c>
      <c r="W234" s="1">
        <v>2947</v>
      </c>
      <c r="X234" s="1">
        <v>2929</v>
      </c>
      <c r="Y234" s="1">
        <v>2965.5</v>
      </c>
      <c r="Z234" s="1">
        <v>2975</v>
      </c>
      <c r="AA234" s="1">
        <v>2851</v>
      </c>
      <c r="AB234" s="1">
        <v>2906</v>
      </c>
      <c r="AC234" s="1">
        <v>2913.5</v>
      </c>
      <c r="AD234" s="1">
        <v>2890.5</v>
      </c>
      <c r="AE234" s="1">
        <v>2817.5</v>
      </c>
      <c r="AF234" s="1">
        <v>2775</v>
      </c>
      <c r="AG234" s="1">
        <v>2839</v>
      </c>
      <c r="AH234" s="1">
        <v>2659</v>
      </c>
      <c r="AI234" s="1">
        <v>2636.5</v>
      </c>
      <c r="AJ234" s="1">
        <v>2674</v>
      </c>
      <c r="AK234" s="1">
        <v>2621</v>
      </c>
      <c r="AL234" s="1">
        <v>2546</v>
      </c>
      <c r="AM234" s="1">
        <v>2498</v>
      </c>
      <c r="AN234" s="1">
        <v>2518.5</v>
      </c>
      <c r="AO234" s="1">
        <v>2491.5</v>
      </c>
      <c r="AP234" s="1">
        <v>2270.5</v>
      </c>
      <c r="AQ234" s="1">
        <v>2226</v>
      </c>
      <c r="AR234" s="1">
        <v>2259.5</v>
      </c>
      <c r="AS234" s="1">
        <v>2261.5</v>
      </c>
      <c r="AT234" s="1">
        <v>2226</v>
      </c>
      <c r="AU234" s="1">
        <v>2167</v>
      </c>
      <c r="AV234" s="1">
        <v>2169</v>
      </c>
      <c r="AW234" s="1">
        <v>2018.5</v>
      </c>
      <c r="AX234" s="1">
        <v>2005.5</v>
      </c>
      <c r="AY234" s="1">
        <v>1974</v>
      </c>
      <c r="AZ234" s="1">
        <v>1945.5</v>
      </c>
      <c r="BA234" s="1">
        <v>2014.5</v>
      </c>
      <c r="BB234" s="1">
        <v>1919</v>
      </c>
      <c r="BC234" s="1">
        <v>1920</v>
      </c>
      <c r="BD234" s="1">
        <v>2038</v>
      </c>
      <c r="BE234" s="1">
        <v>2064.5</v>
      </c>
      <c r="BF234" s="1">
        <v>2066</v>
      </c>
      <c r="BG234" s="1">
        <v>1994.5</v>
      </c>
      <c r="BH234" s="1">
        <v>1962</v>
      </c>
      <c r="BI234" s="1">
        <v>2092</v>
      </c>
      <c r="BJ234" s="1">
        <v>2156.5</v>
      </c>
      <c r="BK234" s="1">
        <v>2084.5</v>
      </c>
      <c r="BL234" s="1">
        <v>2056</v>
      </c>
    </row>
    <row r="235" spans="1:64">
      <c r="A235" s="65" t="s">
        <v>519</v>
      </c>
      <c r="B235" s="1" t="str">
        <f>銘柄管理!C235</f>
        <v>ＦＩＧ</v>
      </c>
      <c r="C235" s="1">
        <f>_xll.RssMarket("4392","安値")</f>
        <v>1210</v>
      </c>
      <c r="E235" s="1">
        <v>1210</v>
      </c>
      <c r="F235" s="1">
        <v>1190</v>
      </c>
      <c r="G235" s="1">
        <v>1315</v>
      </c>
      <c r="H235" s="1">
        <v>1305</v>
      </c>
      <c r="I235" s="1">
        <v>1407</v>
      </c>
      <c r="J235" s="1">
        <v>1470</v>
      </c>
      <c r="K235" s="1">
        <v>1251</v>
      </c>
      <c r="L235" s="1">
        <v>1300</v>
      </c>
      <c r="M235" s="1">
        <v>1340</v>
      </c>
      <c r="N235" s="1">
        <v>1499</v>
      </c>
      <c r="O235" s="1">
        <v>1668</v>
      </c>
      <c r="P235" s="1">
        <v>1617</v>
      </c>
      <c r="Q235" s="1">
        <v>1880</v>
      </c>
      <c r="R235" s="1">
        <v>2071</v>
      </c>
      <c r="S235" s="1">
        <v>1980</v>
      </c>
      <c r="T235" s="1">
        <v>1684</v>
      </c>
      <c r="U235" s="1">
        <v>1701</v>
      </c>
      <c r="V235" s="1">
        <v>1261</v>
      </c>
      <c r="W235" s="1">
        <v>1360</v>
      </c>
      <c r="X235" s="1">
        <v>1060</v>
      </c>
      <c r="Y235" s="1">
        <v>910</v>
      </c>
      <c r="Z235" s="1">
        <v>742</v>
      </c>
      <c r="AA235" s="1">
        <v>720</v>
      </c>
      <c r="AB235" s="1">
        <v>727</v>
      </c>
      <c r="AC235" s="1">
        <v>509</v>
      </c>
      <c r="AD235" s="1">
        <v>429</v>
      </c>
      <c r="AE235" s="1">
        <v>346</v>
      </c>
      <c r="AF235" s="1">
        <v>339</v>
      </c>
      <c r="AG235" s="1">
        <v>344</v>
      </c>
      <c r="AH235" s="1">
        <v>350</v>
      </c>
      <c r="AI235" s="1">
        <v>351</v>
      </c>
      <c r="AJ235" s="1">
        <v>341</v>
      </c>
      <c r="AK235" s="1">
        <v>342</v>
      </c>
      <c r="AL235" s="1">
        <v>344</v>
      </c>
      <c r="AM235" s="1">
        <v>337</v>
      </c>
      <c r="AN235" s="1">
        <v>327</v>
      </c>
      <c r="AO235" s="1">
        <v>326</v>
      </c>
      <c r="AP235" s="1">
        <v>325</v>
      </c>
      <c r="AQ235" s="1">
        <v>320</v>
      </c>
      <c r="AR235" s="1">
        <v>321</v>
      </c>
      <c r="AS235" s="1">
        <v>316</v>
      </c>
      <c r="AT235" s="1">
        <v>320</v>
      </c>
      <c r="AU235" s="1">
        <v>324</v>
      </c>
      <c r="AV235" s="1">
        <v>327</v>
      </c>
      <c r="AW235" s="1">
        <v>320</v>
      </c>
      <c r="AX235" s="1">
        <v>320</v>
      </c>
      <c r="AY235" s="1">
        <v>317</v>
      </c>
      <c r="AZ235" s="1">
        <v>313</v>
      </c>
      <c r="BA235" s="1">
        <v>315</v>
      </c>
      <c r="BB235" s="1">
        <v>306</v>
      </c>
      <c r="BC235" s="1">
        <v>305</v>
      </c>
      <c r="BD235" s="1">
        <v>319</v>
      </c>
      <c r="BE235" s="1">
        <v>317</v>
      </c>
      <c r="BF235" s="1">
        <v>315</v>
      </c>
      <c r="BG235" s="1">
        <v>307</v>
      </c>
      <c r="BH235" s="1">
        <v>297</v>
      </c>
      <c r="BI235" s="1">
        <v>308</v>
      </c>
      <c r="BJ235" s="1">
        <v>318</v>
      </c>
      <c r="BK235" s="1">
        <v>314</v>
      </c>
      <c r="BL235" s="1">
        <v>313</v>
      </c>
    </row>
    <row r="236" spans="1:64">
      <c r="A236" s="65" t="s">
        <v>520</v>
      </c>
      <c r="B236" s="1" t="str">
        <f>銘柄管理!C236</f>
        <v>スクロール</v>
      </c>
      <c r="C236" s="1">
        <f>_xll.RssMarket("8005","安値")</f>
        <v>1639</v>
      </c>
      <c r="E236" s="1">
        <v>1639</v>
      </c>
      <c r="F236" s="1">
        <v>1609</v>
      </c>
      <c r="G236" s="1">
        <v>1617</v>
      </c>
      <c r="H236" s="1">
        <v>1612</v>
      </c>
      <c r="I236" s="1">
        <v>1610</v>
      </c>
      <c r="J236" s="1">
        <v>1612</v>
      </c>
      <c r="K236" s="1">
        <v>1613</v>
      </c>
      <c r="L236" s="1">
        <v>1621</v>
      </c>
      <c r="M236" s="1">
        <v>1620</v>
      </c>
      <c r="N236" s="1">
        <v>1632</v>
      </c>
      <c r="O236" s="1">
        <v>1634</v>
      </c>
      <c r="P236" s="1">
        <v>1626</v>
      </c>
      <c r="Q236" s="1">
        <v>1616</v>
      </c>
      <c r="R236" s="1">
        <v>1625</v>
      </c>
      <c r="S236" s="1">
        <v>1624</v>
      </c>
      <c r="T236" s="1">
        <v>1628</v>
      </c>
      <c r="U236" s="1">
        <v>1642</v>
      </c>
      <c r="V236" s="1">
        <v>1631</v>
      </c>
      <c r="W236" s="1">
        <v>1642</v>
      </c>
      <c r="X236" s="1">
        <v>1610</v>
      </c>
      <c r="Y236" s="1">
        <v>1618</v>
      </c>
      <c r="Z236" s="1">
        <v>1631</v>
      </c>
      <c r="AA236" s="1">
        <v>1652</v>
      </c>
      <c r="AB236" s="1">
        <v>1652</v>
      </c>
      <c r="AC236" s="1">
        <v>1705</v>
      </c>
      <c r="AD236" s="1">
        <v>1597</v>
      </c>
      <c r="AE236" s="1">
        <v>1291</v>
      </c>
      <c r="AF236" s="1">
        <v>1286</v>
      </c>
      <c r="AG236" s="1">
        <v>1312</v>
      </c>
      <c r="AH236" s="1">
        <v>1310</v>
      </c>
      <c r="AI236" s="1">
        <v>1313</v>
      </c>
      <c r="AJ236" s="1">
        <v>1311</v>
      </c>
      <c r="AK236" s="1">
        <v>1310</v>
      </c>
      <c r="AL236" s="1">
        <v>1325</v>
      </c>
      <c r="AM236" s="1">
        <v>1341</v>
      </c>
      <c r="AN236" s="1">
        <v>1342</v>
      </c>
      <c r="AO236" s="1">
        <v>1346</v>
      </c>
      <c r="AP236" s="1">
        <v>1347</v>
      </c>
      <c r="AQ236" s="1">
        <v>1329</v>
      </c>
      <c r="AR236" s="1">
        <v>1309</v>
      </c>
      <c r="AS236" s="1">
        <v>1309</v>
      </c>
      <c r="AT236" s="1">
        <v>1323</v>
      </c>
      <c r="AU236" s="1">
        <v>1351</v>
      </c>
      <c r="AV236" s="1">
        <v>1352</v>
      </c>
      <c r="AW236" s="1">
        <v>1341</v>
      </c>
      <c r="AX236" s="1">
        <v>1336</v>
      </c>
      <c r="AY236" s="1">
        <v>1334</v>
      </c>
      <c r="AZ236" s="1">
        <v>1339</v>
      </c>
      <c r="BA236" s="1">
        <v>1328</v>
      </c>
      <c r="BB236" s="1">
        <v>1300</v>
      </c>
      <c r="BC236" s="1">
        <v>1247</v>
      </c>
      <c r="BD236" s="1">
        <v>1334</v>
      </c>
      <c r="BE236" s="1">
        <v>1322</v>
      </c>
      <c r="BF236" s="1">
        <v>1321</v>
      </c>
      <c r="BG236" s="1">
        <v>1296</v>
      </c>
      <c r="BH236" s="1">
        <v>1277</v>
      </c>
      <c r="BI236" s="1">
        <v>1305</v>
      </c>
      <c r="BJ236" s="1">
        <v>1322</v>
      </c>
      <c r="BK236" s="1">
        <v>1313</v>
      </c>
      <c r="BL236" s="1">
        <v>1308</v>
      </c>
    </row>
    <row r="237" spans="1:64">
      <c r="A237" s="65" t="s">
        <v>521</v>
      </c>
      <c r="B237" s="1" t="str">
        <f>銘柄管理!C237</f>
        <v>デジタルアーツ</v>
      </c>
      <c r="C237" s="1">
        <f>_xll.RssMarket("2326","安値")</f>
        <v>3585</v>
      </c>
      <c r="E237" s="1">
        <v>3585</v>
      </c>
      <c r="F237" s="1">
        <v>3500</v>
      </c>
      <c r="G237" s="1">
        <v>3565</v>
      </c>
      <c r="H237" s="1">
        <v>3540</v>
      </c>
      <c r="I237" s="1">
        <v>3575</v>
      </c>
      <c r="J237" s="1">
        <v>3690</v>
      </c>
      <c r="K237" s="1">
        <v>3700</v>
      </c>
      <c r="L237" s="1">
        <v>3585</v>
      </c>
      <c r="M237" s="1">
        <v>3595</v>
      </c>
      <c r="N237" s="1">
        <v>3660</v>
      </c>
      <c r="O237" s="1">
        <v>3980</v>
      </c>
      <c r="P237" s="1">
        <v>3990</v>
      </c>
      <c r="Q237" s="1">
        <v>4040</v>
      </c>
      <c r="R237" s="1">
        <v>4055</v>
      </c>
      <c r="S237" s="1">
        <v>4080</v>
      </c>
      <c r="T237" s="1">
        <v>4105</v>
      </c>
      <c r="U237" s="1">
        <v>4235</v>
      </c>
      <c r="V237" s="1">
        <v>4105</v>
      </c>
      <c r="W237" s="1">
        <v>4015</v>
      </c>
      <c r="X237" s="1">
        <v>3945</v>
      </c>
      <c r="Y237" s="1">
        <v>3925</v>
      </c>
      <c r="Z237" s="1">
        <v>3955</v>
      </c>
      <c r="AA237" s="1">
        <v>4240</v>
      </c>
      <c r="AB237" s="1">
        <v>4940</v>
      </c>
      <c r="AC237" s="1">
        <v>5730</v>
      </c>
      <c r="AD237" s="1">
        <v>5500</v>
      </c>
      <c r="AE237" s="1">
        <v>5420</v>
      </c>
      <c r="AF237" s="1">
        <v>5450</v>
      </c>
      <c r="AG237" s="1">
        <v>5400</v>
      </c>
      <c r="AH237" s="1">
        <v>5500</v>
      </c>
      <c r="AI237" s="1">
        <v>5650</v>
      </c>
      <c r="AJ237" s="1">
        <v>5950</v>
      </c>
      <c r="AK237" s="1">
        <v>5880</v>
      </c>
      <c r="AL237" s="1">
        <v>5760</v>
      </c>
      <c r="AM237" s="1">
        <v>5760</v>
      </c>
      <c r="AN237" s="1">
        <v>5740</v>
      </c>
      <c r="AO237" s="1">
        <v>5520</v>
      </c>
      <c r="AP237" s="1">
        <v>5470</v>
      </c>
      <c r="AQ237" s="1">
        <v>5340</v>
      </c>
      <c r="AR237" s="1">
        <v>5280</v>
      </c>
      <c r="AS237" s="1">
        <v>5400</v>
      </c>
      <c r="AT237" s="1">
        <v>5500</v>
      </c>
      <c r="AU237" s="1">
        <v>5400</v>
      </c>
      <c r="AV237" s="1">
        <v>5330</v>
      </c>
      <c r="AW237" s="1">
        <v>5310</v>
      </c>
      <c r="AX237" s="1">
        <v>5250</v>
      </c>
      <c r="AY237" s="1">
        <v>5240</v>
      </c>
      <c r="AZ237" s="1">
        <v>5150</v>
      </c>
      <c r="BA237" s="1">
        <v>4875</v>
      </c>
      <c r="BB237" s="1">
        <v>5080</v>
      </c>
      <c r="BC237" s="1">
        <v>5020</v>
      </c>
      <c r="BD237" s="1">
        <v>4945</v>
      </c>
      <c r="BE237" s="1">
        <v>4925</v>
      </c>
      <c r="BF237" s="1">
        <v>4810</v>
      </c>
      <c r="BG237" s="1">
        <v>5020</v>
      </c>
      <c r="BH237" s="1">
        <v>5160</v>
      </c>
      <c r="BI237" s="1">
        <v>5180</v>
      </c>
      <c r="BJ237" s="1">
        <v>5260</v>
      </c>
      <c r="BK237" s="1">
        <v>5280</v>
      </c>
      <c r="BL237" s="1">
        <v>5300</v>
      </c>
    </row>
    <row r="238" spans="1:64">
      <c r="A238" s="65" t="s">
        <v>522</v>
      </c>
      <c r="B238" s="1" t="str">
        <f>銘柄管理!C238</f>
        <v>ＴＯＡ</v>
      </c>
      <c r="C238" s="1">
        <f>_xll.RssMarket("6809","安値")</f>
        <v>1563</v>
      </c>
      <c r="E238" s="1">
        <v>1563</v>
      </c>
      <c r="F238" s="1">
        <v>1551</v>
      </c>
      <c r="G238" s="1">
        <v>1566</v>
      </c>
      <c r="H238" s="1">
        <v>1546</v>
      </c>
      <c r="I238" s="1">
        <v>1527</v>
      </c>
      <c r="J238" s="1">
        <v>1548</v>
      </c>
      <c r="K238" s="1">
        <v>1533</v>
      </c>
      <c r="L238" s="1">
        <v>1547</v>
      </c>
      <c r="M238" s="1">
        <v>1533</v>
      </c>
      <c r="N238" s="1">
        <v>1536</v>
      </c>
      <c r="O238" s="1">
        <v>1522</v>
      </c>
      <c r="P238" s="1">
        <v>1535</v>
      </c>
      <c r="Q238" s="1">
        <v>1514</v>
      </c>
      <c r="R238" s="1">
        <v>1530</v>
      </c>
      <c r="S238" s="1">
        <v>1557</v>
      </c>
      <c r="T238" s="1">
        <v>1530</v>
      </c>
      <c r="U238" s="1">
        <v>1525</v>
      </c>
      <c r="V238" s="1">
        <v>1512</v>
      </c>
      <c r="W238" s="1">
        <v>1577</v>
      </c>
      <c r="X238" s="1">
        <v>1567</v>
      </c>
      <c r="Y238" s="1">
        <v>1584</v>
      </c>
      <c r="Z238" s="1">
        <v>1562</v>
      </c>
      <c r="AA238" s="1">
        <v>1554</v>
      </c>
      <c r="AB238" s="1">
        <v>1555</v>
      </c>
      <c r="AC238" s="1">
        <v>1566</v>
      </c>
      <c r="AD238" s="1">
        <v>1565</v>
      </c>
      <c r="AE238" s="1">
        <v>1760</v>
      </c>
      <c r="AF238" s="1">
        <v>1707</v>
      </c>
      <c r="AG238" s="1">
        <v>1702</v>
      </c>
      <c r="AH238" s="1">
        <v>1699</v>
      </c>
      <c r="AI238" s="1">
        <v>1700</v>
      </c>
      <c r="AJ238" s="1">
        <v>1713</v>
      </c>
      <c r="AK238" s="1">
        <v>1725</v>
      </c>
      <c r="AL238" s="1">
        <v>1752</v>
      </c>
      <c r="AM238" s="1">
        <v>1759</v>
      </c>
      <c r="AN238" s="1">
        <v>1769</v>
      </c>
      <c r="AO238" s="1">
        <v>1774</v>
      </c>
      <c r="AP238" s="1">
        <v>1770</v>
      </c>
      <c r="AQ238" s="1">
        <v>1768</v>
      </c>
      <c r="AR238" s="1">
        <v>1774</v>
      </c>
      <c r="AS238" s="1">
        <v>1782</v>
      </c>
      <c r="AT238" s="1">
        <v>1803</v>
      </c>
      <c r="AU238" s="1">
        <v>1813</v>
      </c>
      <c r="AV238" s="1">
        <v>1817</v>
      </c>
      <c r="AW238" s="1">
        <v>1801</v>
      </c>
      <c r="AX238" s="1">
        <v>1765</v>
      </c>
      <c r="AY238" s="1">
        <v>1785</v>
      </c>
      <c r="AZ238" s="1">
        <v>1776</v>
      </c>
      <c r="BA238" s="1">
        <v>1766</v>
      </c>
      <c r="BB238" s="1">
        <v>1741</v>
      </c>
      <c r="BC238" s="1">
        <v>1773</v>
      </c>
      <c r="BD238" s="1">
        <v>1871</v>
      </c>
      <c r="BE238" s="1">
        <v>1857</v>
      </c>
      <c r="BF238" s="1">
        <v>1854</v>
      </c>
      <c r="BG238" s="1">
        <v>1805</v>
      </c>
      <c r="BH238" s="1">
        <v>1753</v>
      </c>
      <c r="BI238" s="1">
        <v>1801</v>
      </c>
      <c r="BJ238" s="1">
        <v>1750</v>
      </c>
      <c r="BK238" s="1">
        <v>1727</v>
      </c>
      <c r="BL238" s="1">
        <v>1721</v>
      </c>
    </row>
    <row r="239" spans="1:64">
      <c r="A239" s="65" t="s">
        <v>523</v>
      </c>
      <c r="B239" s="1" t="str">
        <f>銘柄管理!C239</f>
        <v>ユーザーローカル</v>
      </c>
      <c r="C239" s="1">
        <f>_xll.RssMarket("3984","安値")</f>
        <v>1763</v>
      </c>
      <c r="E239" s="1">
        <v>1763</v>
      </c>
      <c r="F239" s="1">
        <v>1755</v>
      </c>
      <c r="G239" s="1">
        <v>1760</v>
      </c>
      <c r="H239" s="1">
        <v>1746</v>
      </c>
      <c r="I239" s="1">
        <v>1728</v>
      </c>
      <c r="J239" s="1">
        <v>1777</v>
      </c>
      <c r="K239" s="1">
        <v>1811</v>
      </c>
      <c r="L239" s="1">
        <v>1836</v>
      </c>
      <c r="M239" s="1">
        <v>1795</v>
      </c>
      <c r="N239" s="1">
        <v>1772</v>
      </c>
      <c r="O239" s="1">
        <v>1697</v>
      </c>
      <c r="P239" s="1">
        <v>1652</v>
      </c>
      <c r="Q239" s="1">
        <v>1689</v>
      </c>
      <c r="R239" s="1">
        <v>1711</v>
      </c>
      <c r="S239" s="1">
        <v>1755</v>
      </c>
      <c r="T239" s="1">
        <v>1746</v>
      </c>
      <c r="U239" s="1">
        <v>1719</v>
      </c>
      <c r="V239" s="1">
        <v>1709</v>
      </c>
      <c r="W239" s="1">
        <v>1693</v>
      </c>
      <c r="X239" s="1">
        <v>1679</v>
      </c>
      <c r="Y239" s="1">
        <v>1691</v>
      </c>
      <c r="Z239" s="1">
        <v>1721</v>
      </c>
      <c r="AA239" s="1">
        <v>1723</v>
      </c>
      <c r="AB239" s="1">
        <v>1786</v>
      </c>
      <c r="AC239" s="1">
        <v>1723</v>
      </c>
      <c r="AD239" s="1">
        <v>1576</v>
      </c>
      <c r="AE239" s="1">
        <v>1532</v>
      </c>
      <c r="AF239" s="1">
        <v>1532</v>
      </c>
      <c r="AG239" s="1">
        <v>1540</v>
      </c>
      <c r="AH239" s="1">
        <v>1547</v>
      </c>
      <c r="AI239" s="1">
        <v>1554</v>
      </c>
      <c r="AJ239" s="1">
        <v>1555</v>
      </c>
      <c r="AK239" s="1">
        <v>1586</v>
      </c>
      <c r="AL239" s="1">
        <v>1569</v>
      </c>
      <c r="AM239" s="1">
        <v>1556</v>
      </c>
      <c r="AN239" s="1">
        <v>1567</v>
      </c>
      <c r="AO239" s="1">
        <v>1554</v>
      </c>
      <c r="AP239" s="1">
        <v>1495</v>
      </c>
      <c r="AQ239" s="1">
        <v>1452</v>
      </c>
      <c r="AR239" s="1">
        <v>1428</v>
      </c>
      <c r="AS239" s="1">
        <v>1448</v>
      </c>
      <c r="AT239" s="1">
        <v>1490</v>
      </c>
      <c r="AU239" s="1">
        <v>1495</v>
      </c>
      <c r="AV239" s="1">
        <v>1456</v>
      </c>
      <c r="AW239" s="1">
        <v>1451</v>
      </c>
      <c r="AX239" s="1">
        <v>1451</v>
      </c>
      <c r="AY239" s="1">
        <v>1432</v>
      </c>
      <c r="AZ239" s="1">
        <v>1435</v>
      </c>
      <c r="BA239" s="1">
        <v>1380</v>
      </c>
      <c r="BB239" s="1">
        <v>1350</v>
      </c>
      <c r="BC239" s="1">
        <v>1420</v>
      </c>
      <c r="BD239" s="1">
        <v>1419</v>
      </c>
      <c r="BE239" s="1">
        <v>1466</v>
      </c>
      <c r="BF239" s="1">
        <v>1440</v>
      </c>
      <c r="BG239" s="1">
        <v>1419</v>
      </c>
      <c r="BH239" s="1">
        <v>1473</v>
      </c>
      <c r="BI239" s="1">
        <v>1517</v>
      </c>
      <c r="BJ239" s="1">
        <v>1511</v>
      </c>
      <c r="BK239" s="1">
        <v>1520</v>
      </c>
      <c r="BL239" s="1">
        <v>1524</v>
      </c>
    </row>
    <row r="240" spans="1:64">
      <c r="A240" s="65" t="s">
        <v>524</v>
      </c>
      <c r="B240" s="1" t="str">
        <f>銘柄管理!C240</f>
        <v>ダイトロン</v>
      </c>
      <c r="C240" s="1">
        <f>_xll.RssMarket("7609","安値")</f>
        <v>3525</v>
      </c>
      <c r="E240" s="1">
        <v>3525</v>
      </c>
      <c r="F240" s="1">
        <v>3545</v>
      </c>
      <c r="G240" s="1">
        <v>3580</v>
      </c>
      <c r="H240" s="1">
        <v>3380</v>
      </c>
      <c r="I240" s="1">
        <v>3260</v>
      </c>
      <c r="J240" s="1">
        <v>3380</v>
      </c>
      <c r="K240" s="1">
        <v>3490</v>
      </c>
      <c r="L240" s="1">
        <v>3570</v>
      </c>
      <c r="M240" s="1">
        <v>3635</v>
      </c>
      <c r="N240" s="1">
        <v>3585</v>
      </c>
      <c r="O240" s="1">
        <v>3440</v>
      </c>
      <c r="P240" s="1">
        <v>3550</v>
      </c>
      <c r="Q240" s="1">
        <v>3425</v>
      </c>
      <c r="R240" s="1">
        <v>3530</v>
      </c>
      <c r="S240" s="1">
        <v>3585</v>
      </c>
      <c r="T240" s="1">
        <v>3560</v>
      </c>
      <c r="U240" s="1">
        <v>3535</v>
      </c>
      <c r="V240" s="1">
        <v>3415</v>
      </c>
      <c r="W240" s="1">
        <v>3575</v>
      </c>
      <c r="X240" s="1">
        <v>3825</v>
      </c>
      <c r="Y240" s="1">
        <v>3740</v>
      </c>
      <c r="Z240" s="1">
        <v>3915</v>
      </c>
      <c r="AA240" s="1">
        <v>3785</v>
      </c>
      <c r="AB240" s="1">
        <v>3860</v>
      </c>
      <c r="AC240" s="1">
        <v>3805</v>
      </c>
      <c r="AD240" s="1">
        <v>3660</v>
      </c>
      <c r="AE240" s="1">
        <v>3215</v>
      </c>
      <c r="AF240" s="1">
        <v>2912</v>
      </c>
      <c r="AG240" s="1">
        <v>2854</v>
      </c>
      <c r="AH240" s="1">
        <v>2860</v>
      </c>
      <c r="AI240" s="1">
        <v>2851</v>
      </c>
      <c r="AJ240" s="1">
        <v>2848</v>
      </c>
      <c r="AK240" s="1">
        <v>2815</v>
      </c>
      <c r="AL240" s="1">
        <v>2822</v>
      </c>
      <c r="AM240" s="1">
        <v>2862</v>
      </c>
      <c r="AN240" s="1">
        <v>2833</v>
      </c>
      <c r="AO240" s="1">
        <v>2852</v>
      </c>
      <c r="AP240" s="1">
        <v>2885</v>
      </c>
      <c r="AQ240" s="1">
        <v>2868</v>
      </c>
      <c r="AR240" s="1">
        <v>2832</v>
      </c>
      <c r="AS240" s="1">
        <v>2798</v>
      </c>
      <c r="AT240" s="1">
        <v>2775</v>
      </c>
      <c r="AU240" s="1">
        <v>2770</v>
      </c>
      <c r="AV240" s="1">
        <v>2784</v>
      </c>
      <c r="AW240" s="1">
        <v>2686</v>
      </c>
      <c r="AX240" s="1">
        <v>2709</v>
      </c>
      <c r="AY240" s="1">
        <v>2701</v>
      </c>
      <c r="AZ240" s="1">
        <v>2714</v>
      </c>
      <c r="BA240" s="1">
        <v>2731</v>
      </c>
      <c r="BB240" s="1">
        <v>2635</v>
      </c>
      <c r="BC240" s="1">
        <v>2710</v>
      </c>
      <c r="BD240" s="1">
        <v>2794</v>
      </c>
      <c r="BE240" s="1">
        <v>2837</v>
      </c>
      <c r="BF240" s="1">
        <v>2829</v>
      </c>
      <c r="BG240" s="1">
        <v>2749</v>
      </c>
      <c r="BH240" s="1">
        <v>2688</v>
      </c>
      <c r="BI240" s="1">
        <v>2822</v>
      </c>
      <c r="BJ240" s="1">
        <v>2888</v>
      </c>
      <c r="BK240" s="1">
        <v>2845</v>
      </c>
      <c r="BL240" s="1">
        <v>2852</v>
      </c>
    </row>
    <row r="241" spans="1:64">
      <c r="A241" s="65" t="s">
        <v>525</v>
      </c>
      <c r="B241" s="1" t="str">
        <f>銘柄管理!C241</f>
        <v>イトーキ</v>
      </c>
      <c r="C241" s="1">
        <f>_xll.RssMarket("7972","安値")</f>
        <v>2429</v>
      </c>
      <c r="E241" s="1">
        <v>2429</v>
      </c>
      <c r="F241" s="1">
        <v>2417</v>
      </c>
      <c r="G241" s="1">
        <v>2445</v>
      </c>
      <c r="H241" s="1">
        <v>2409</v>
      </c>
      <c r="I241" s="1">
        <v>2386</v>
      </c>
      <c r="J241" s="1">
        <v>2392</v>
      </c>
      <c r="K241" s="1">
        <v>2381</v>
      </c>
      <c r="L241" s="1">
        <v>2389</v>
      </c>
      <c r="M241" s="1">
        <v>2355</v>
      </c>
      <c r="N241" s="1">
        <v>2389</v>
      </c>
      <c r="O241" s="1">
        <v>2412</v>
      </c>
      <c r="P241" s="1">
        <v>2544</v>
      </c>
      <c r="Q241" s="1">
        <v>2551</v>
      </c>
      <c r="R241" s="1">
        <v>2677</v>
      </c>
      <c r="S241" s="1">
        <v>2581</v>
      </c>
      <c r="T241" s="1">
        <v>2580</v>
      </c>
      <c r="U241" s="1">
        <v>2573</v>
      </c>
      <c r="V241" s="1">
        <v>2619</v>
      </c>
      <c r="W241" s="1">
        <v>2684</v>
      </c>
      <c r="X241" s="1">
        <v>2652</v>
      </c>
      <c r="Y241" s="1">
        <v>2690</v>
      </c>
      <c r="Z241" s="1">
        <v>2789</v>
      </c>
      <c r="AA241" s="1">
        <v>2791</v>
      </c>
      <c r="AB241" s="1">
        <v>2783</v>
      </c>
      <c r="AC241" s="1">
        <v>2760</v>
      </c>
      <c r="AD241" s="1">
        <v>2775</v>
      </c>
      <c r="AE241" s="1">
        <v>3160</v>
      </c>
      <c r="AF241" s="1">
        <v>3120</v>
      </c>
      <c r="AG241" s="1">
        <v>3080</v>
      </c>
      <c r="AH241" s="1">
        <v>3210</v>
      </c>
      <c r="AI241" s="1">
        <v>3170</v>
      </c>
      <c r="AJ241" s="1">
        <v>3160</v>
      </c>
      <c r="AK241" s="1">
        <v>3185</v>
      </c>
      <c r="AL241" s="1">
        <v>3250</v>
      </c>
      <c r="AM241" s="1">
        <v>3285</v>
      </c>
      <c r="AN241" s="1">
        <v>3275</v>
      </c>
      <c r="AO241" s="1">
        <v>3265</v>
      </c>
      <c r="AP241" s="1">
        <v>3330</v>
      </c>
      <c r="AQ241" s="1">
        <v>3355</v>
      </c>
      <c r="AR241" s="1">
        <v>3530</v>
      </c>
      <c r="AS241" s="1">
        <v>3490</v>
      </c>
      <c r="AT241" s="1">
        <v>3465</v>
      </c>
      <c r="AU241" s="1">
        <v>3435</v>
      </c>
      <c r="AV241" s="1">
        <v>3450</v>
      </c>
      <c r="AW241" s="1">
        <v>3295</v>
      </c>
      <c r="AX241" s="1">
        <v>3260</v>
      </c>
      <c r="AY241" s="1">
        <v>3240</v>
      </c>
      <c r="AZ241" s="1">
        <v>3230</v>
      </c>
      <c r="BA241" s="1">
        <v>3170</v>
      </c>
      <c r="BB241" s="1">
        <v>3000</v>
      </c>
      <c r="BC241" s="1">
        <v>3060</v>
      </c>
      <c r="BD241" s="1">
        <v>3240</v>
      </c>
      <c r="BE241" s="1">
        <v>3240</v>
      </c>
      <c r="BF241" s="1">
        <v>3355</v>
      </c>
      <c r="BG241" s="1">
        <v>3265</v>
      </c>
      <c r="BH241" s="1">
        <v>3150</v>
      </c>
      <c r="BI241" s="1">
        <v>3280</v>
      </c>
      <c r="BJ241" s="1">
        <v>3410</v>
      </c>
      <c r="BK241" s="1">
        <v>3440</v>
      </c>
      <c r="BL241" s="1">
        <v>3395</v>
      </c>
    </row>
    <row r="242" spans="1:64">
      <c r="A242" s="65" t="s">
        <v>526</v>
      </c>
      <c r="B242" s="1" t="str">
        <f>銘柄管理!C242</f>
        <v>オキサイド</v>
      </c>
      <c r="C242" s="1">
        <f>_xll.RssMarket("6521","安値")</f>
        <v>4455</v>
      </c>
      <c r="E242" s="1">
        <v>4455</v>
      </c>
      <c r="F242" s="1">
        <v>4390</v>
      </c>
      <c r="G242" s="1">
        <v>4415</v>
      </c>
      <c r="H242" s="1">
        <v>4265</v>
      </c>
      <c r="I242" s="1">
        <v>4255</v>
      </c>
      <c r="J242" s="1">
        <v>4290</v>
      </c>
      <c r="K242" s="1">
        <v>4670</v>
      </c>
      <c r="L242" s="1">
        <v>4855</v>
      </c>
      <c r="M242" s="1">
        <v>4790</v>
      </c>
      <c r="N242" s="1">
        <v>5040</v>
      </c>
      <c r="O242" s="1">
        <v>4785</v>
      </c>
      <c r="P242" s="1">
        <v>5270</v>
      </c>
      <c r="Q242" s="1">
        <v>5550</v>
      </c>
      <c r="R242" s="1">
        <v>5520</v>
      </c>
      <c r="S242" s="1">
        <v>5900</v>
      </c>
      <c r="T242" s="1">
        <v>5740</v>
      </c>
      <c r="U242" s="1">
        <v>5420</v>
      </c>
      <c r="V242" s="1">
        <v>5540</v>
      </c>
      <c r="W242" s="1">
        <v>5780</v>
      </c>
      <c r="X242" s="1">
        <v>6260</v>
      </c>
      <c r="Y242" s="1">
        <v>5910</v>
      </c>
      <c r="Z242" s="1">
        <v>6300</v>
      </c>
      <c r="AA242" s="1">
        <v>5930</v>
      </c>
      <c r="AB242" s="1">
        <v>6400</v>
      </c>
      <c r="AC242" s="1">
        <v>6310</v>
      </c>
      <c r="AD242" s="1">
        <v>5110</v>
      </c>
      <c r="AE242" s="1">
        <v>4770</v>
      </c>
      <c r="AF242" s="1">
        <v>4545</v>
      </c>
      <c r="AG242" s="1">
        <v>4590</v>
      </c>
      <c r="AH242" s="1">
        <v>4545</v>
      </c>
      <c r="AI242" s="1">
        <v>4355</v>
      </c>
      <c r="AJ242" s="1">
        <v>4610</v>
      </c>
      <c r="AK242" s="1">
        <v>4600</v>
      </c>
      <c r="AL242" s="1">
        <v>4800</v>
      </c>
      <c r="AM242" s="1">
        <v>4555</v>
      </c>
      <c r="AN242" s="1">
        <v>4055</v>
      </c>
      <c r="AO242" s="1">
        <v>4040</v>
      </c>
      <c r="AP242" s="1">
        <v>4250</v>
      </c>
      <c r="AQ242" s="1">
        <v>4315</v>
      </c>
      <c r="AR242" s="1">
        <v>4745</v>
      </c>
      <c r="AS242" s="1">
        <v>4620</v>
      </c>
      <c r="AT242" s="1">
        <v>4515</v>
      </c>
      <c r="AU242" s="1">
        <v>4360</v>
      </c>
      <c r="AV242" s="1">
        <v>4460</v>
      </c>
      <c r="AW242" s="1">
        <v>4240</v>
      </c>
      <c r="AX242" s="1">
        <v>4320</v>
      </c>
      <c r="AY242" s="1">
        <v>4120</v>
      </c>
      <c r="AZ242" s="1">
        <v>4050</v>
      </c>
      <c r="BA242" s="1">
        <v>4390</v>
      </c>
      <c r="BB242" s="1">
        <v>4155</v>
      </c>
      <c r="BC242" s="1">
        <v>3980</v>
      </c>
      <c r="BD242" s="1">
        <v>4285</v>
      </c>
      <c r="BE242" s="1">
        <v>4300</v>
      </c>
      <c r="BF242" s="1">
        <v>4470</v>
      </c>
      <c r="BG242" s="1">
        <v>4765</v>
      </c>
      <c r="BH242" s="1">
        <v>4610</v>
      </c>
      <c r="BI242" s="1">
        <v>4905</v>
      </c>
      <c r="BJ242" s="1">
        <v>4740</v>
      </c>
      <c r="BK242" s="1">
        <v>4755</v>
      </c>
      <c r="BL242" s="1">
        <v>4490</v>
      </c>
    </row>
    <row r="243" spans="1:64">
      <c r="A243" s="65" t="s">
        <v>527</v>
      </c>
      <c r="B243" s="1" t="str">
        <f>銘柄管理!C243</f>
        <v>クオルテック</v>
      </c>
      <c r="C243" s="1">
        <f>_xll.RssMarket("9165","安値")</f>
        <v>1686</v>
      </c>
      <c r="E243" s="1">
        <v>1686</v>
      </c>
      <c r="F243" s="1">
        <v>1680</v>
      </c>
      <c r="G243" s="1">
        <v>1702</v>
      </c>
      <c r="H243" s="1">
        <v>1676</v>
      </c>
      <c r="I243" s="1">
        <v>1625</v>
      </c>
      <c r="J243" s="1">
        <v>1678</v>
      </c>
      <c r="K243" s="1">
        <v>1690</v>
      </c>
      <c r="L243" s="1">
        <v>1801</v>
      </c>
      <c r="M243" s="1">
        <v>1776</v>
      </c>
      <c r="N243" s="1">
        <v>1755</v>
      </c>
      <c r="O243" s="1">
        <v>1720</v>
      </c>
      <c r="P243" s="1">
        <v>1800</v>
      </c>
      <c r="Q243" s="1">
        <v>1757</v>
      </c>
      <c r="R243" s="1">
        <v>1890</v>
      </c>
      <c r="S243" s="1">
        <v>2140</v>
      </c>
      <c r="T243" s="1">
        <v>1790</v>
      </c>
      <c r="U243" s="1">
        <v>1725</v>
      </c>
      <c r="V243" s="1">
        <v>1779</v>
      </c>
      <c r="W243" s="1">
        <v>1763</v>
      </c>
      <c r="X243" s="1">
        <v>1708</v>
      </c>
      <c r="Y243" s="1">
        <v>1650</v>
      </c>
      <c r="Z243" s="1">
        <v>1716</v>
      </c>
      <c r="AA243" s="1">
        <v>1708</v>
      </c>
      <c r="AB243" s="1">
        <v>1723</v>
      </c>
      <c r="AC243" s="1">
        <v>1761</v>
      </c>
      <c r="AD243" s="1">
        <v>1680</v>
      </c>
      <c r="AE243" s="1">
        <v>1476</v>
      </c>
      <c r="AF243" s="1">
        <v>1470</v>
      </c>
      <c r="AG243" s="1">
        <v>1458</v>
      </c>
      <c r="AH243" s="1">
        <v>1456</v>
      </c>
      <c r="AI243" s="1">
        <v>1460</v>
      </c>
      <c r="AJ243" s="1">
        <v>1457</v>
      </c>
      <c r="AK243" s="1">
        <v>1445</v>
      </c>
      <c r="AL243" s="1">
        <v>1458</v>
      </c>
      <c r="AM243" s="1">
        <v>1450</v>
      </c>
      <c r="AN243" s="1">
        <v>1446</v>
      </c>
      <c r="AO243" s="1">
        <v>1443</v>
      </c>
      <c r="AP243" s="1">
        <v>1427</v>
      </c>
      <c r="AQ243" s="1">
        <v>1446</v>
      </c>
      <c r="AR243" s="1">
        <v>1425</v>
      </c>
      <c r="AS243" s="1">
        <v>1422</v>
      </c>
      <c r="AT243" s="1">
        <v>1420</v>
      </c>
      <c r="AU243" s="1">
        <v>1434</v>
      </c>
      <c r="AV243" s="1">
        <v>1420</v>
      </c>
      <c r="AW243" s="1">
        <v>1418</v>
      </c>
      <c r="AX243" s="1">
        <v>1410</v>
      </c>
      <c r="AY243" s="1">
        <v>1400</v>
      </c>
      <c r="AZ243" s="1">
        <v>1396</v>
      </c>
      <c r="BA243" s="1">
        <v>1406</v>
      </c>
      <c r="BB243" s="1">
        <v>1390</v>
      </c>
      <c r="BC243" s="1">
        <v>1391</v>
      </c>
      <c r="BD243" s="1">
        <v>1414</v>
      </c>
      <c r="BE243" s="1">
        <v>1408</v>
      </c>
      <c r="BF243" s="1">
        <v>1398</v>
      </c>
      <c r="BG243" s="1">
        <v>1420</v>
      </c>
      <c r="BH243" s="1">
        <v>1379</v>
      </c>
      <c r="BI243" s="1">
        <v>1395</v>
      </c>
      <c r="BJ243" s="1">
        <v>1413</v>
      </c>
      <c r="BK243" s="1">
        <v>1412</v>
      </c>
      <c r="BL243" s="1">
        <v>1337</v>
      </c>
    </row>
    <row r="244" spans="1:64">
      <c r="A244" s="65" t="s">
        <v>528</v>
      </c>
      <c r="B244" s="1" t="str">
        <f>銘柄管理!C244</f>
        <v>デンソー</v>
      </c>
      <c r="C244" s="1">
        <f>_xll.RssMarket("6902","安値")</f>
        <v>1900.5</v>
      </c>
      <c r="E244" s="1">
        <v>1900.5</v>
      </c>
      <c r="F244" s="1">
        <v>1882.5</v>
      </c>
      <c r="G244" s="1">
        <v>1876.5</v>
      </c>
      <c r="H244" s="1">
        <v>1841</v>
      </c>
      <c r="I244" s="1">
        <v>1813</v>
      </c>
      <c r="J244" s="1">
        <v>1865</v>
      </c>
      <c r="K244" s="1">
        <v>1872</v>
      </c>
      <c r="L244" s="1">
        <v>1870</v>
      </c>
      <c r="M244" s="1">
        <v>1901.5</v>
      </c>
      <c r="N244" s="1">
        <v>1861.5</v>
      </c>
      <c r="O244" s="1">
        <v>1824.5</v>
      </c>
      <c r="P244" s="1">
        <v>1868</v>
      </c>
      <c r="Q244" s="1">
        <v>1871.5</v>
      </c>
      <c r="R244" s="1">
        <v>1852</v>
      </c>
      <c r="S244" s="1">
        <v>1817</v>
      </c>
      <c r="T244" s="1">
        <v>1833.5</v>
      </c>
      <c r="U244" s="1">
        <v>1843.5</v>
      </c>
      <c r="V244" s="1">
        <v>1814.5</v>
      </c>
      <c r="W244" s="1">
        <v>1835.5</v>
      </c>
      <c r="X244" s="1">
        <v>1838.5</v>
      </c>
      <c r="Y244" s="1">
        <v>1885</v>
      </c>
      <c r="Z244" s="1">
        <v>1850</v>
      </c>
      <c r="AA244" s="1">
        <v>1872</v>
      </c>
      <c r="AB244" s="1">
        <v>1867</v>
      </c>
      <c r="AC244" s="1">
        <v>1873</v>
      </c>
      <c r="AD244" s="1">
        <v>1912.5</v>
      </c>
      <c r="AE244" s="1">
        <v>1848</v>
      </c>
      <c r="AF244" s="1">
        <v>1850</v>
      </c>
      <c r="AG244" s="1">
        <v>1827</v>
      </c>
      <c r="AH244" s="1">
        <v>1801</v>
      </c>
      <c r="AI244" s="1">
        <v>1874</v>
      </c>
      <c r="AJ244" s="1">
        <v>1864</v>
      </c>
      <c r="AK244" s="1">
        <v>1885</v>
      </c>
      <c r="AL244" s="1">
        <v>1918</v>
      </c>
      <c r="AM244" s="1">
        <v>1936</v>
      </c>
      <c r="AN244" s="1">
        <v>1942</v>
      </c>
      <c r="AO244" s="1">
        <v>1921.5</v>
      </c>
      <c r="AP244" s="1">
        <v>1917.5</v>
      </c>
      <c r="AQ244" s="1">
        <v>1915</v>
      </c>
      <c r="AR244" s="1">
        <v>1918.5</v>
      </c>
      <c r="AS244" s="1">
        <v>1909</v>
      </c>
      <c r="AT244" s="1">
        <v>1933</v>
      </c>
      <c r="AU244" s="1">
        <v>1949.5</v>
      </c>
      <c r="AV244" s="1">
        <v>1949</v>
      </c>
      <c r="AW244" s="1">
        <v>1894</v>
      </c>
      <c r="AX244" s="1">
        <v>1907.5</v>
      </c>
      <c r="AY244" s="1">
        <v>1911</v>
      </c>
      <c r="AZ244" s="1">
        <v>1930</v>
      </c>
      <c r="BA244" s="1">
        <v>1921</v>
      </c>
      <c r="BB244" s="1">
        <v>1875.5</v>
      </c>
      <c r="BC244" s="1">
        <v>1848.5</v>
      </c>
      <c r="BD244" s="1">
        <v>1928.5</v>
      </c>
      <c r="BE244" s="1">
        <v>1923</v>
      </c>
      <c r="BF244" s="1">
        <v>1913</v>
      </c>
      <c r="BG244" s="1">
        <v>1878</v>
      </c>
      <c r="BH244" s="1">
        <v>1822</v>
      </c>
      <c r="BI244" s="1">
        <v>1908.5</v>
      </c>
      <c r="BJ244" s="1">
        <v>1949</v>
      </c>
      <c r="BK244" s="1">
        <v>1943</v>
      </c>
      <c r="BL244" s="1">
        <v>1922</v>
      </c>
    </row>
    <row r="245" spans="1:64">
      <c r="A245" s="65" t="s">
        <v>529</v>
      </c>
      <c r="B245" s="1" t="str">
        <f>銘柄管理!C245</f>
        <v>グローバルウェイ</v>
      </c>
      <c r="C245" s="1">
        <f>_xll.RssMarket("3936","安値")</f>
        <v>152</v>
      </c>
      <c r="E245" s="1">
        <v>152</v>
      </c>
      <c r="F245" s="1">
        <v>151</v>
      </c>
      <c r="G245" s="1">
        <v>162</v>
      </c>
      <c r="H245" s="1">
        <v>159</v>
      </c>
      <c r="I245" s="1">
        <v>158</v>
      </c>
      <c r="J245" s="1">
        <v>166</v>
      </c>
      <c r="K245" s="1">
        <v>171</v>
      </c>
      <c r="L245" s="1">
        <v>167</v>
      </c>
      <c r="M245" s="1">
        <v>165</v>
      </c>
      <c r="N245" s="1">
        <v>161</v>
      </c>
      <c r="O245" s="1">
        <v>163</v>
      </c>
      <c r="P245" s="1">
        <v>164</v>
      </c>
      <c r="Q245" s="1">
        <v>156</v>
      </c>
      <c r="R245" s="1">
        <v>160</v>
      </c>
      <c r="S245" s="1">
        <v>155</v>
      </c>
      <c r="T245" s="1">
        <v>160</v>
      </c>
      <c r="U245" s="1">
        <v>165</v>
      </c>
      <c r="V245" s="1">
        <v>166</v>
      </c>
      <c r="W245" s="1">
        <v>164</v>
      </c>
      <c r="X245" s="1">
        <v>161</v>
      </c>
      <c r="Y245" s="1">
        <v>192</v>
      </c>
      <c r="Z245" s="1">
        <v>206</v>
      </c>
      <c r="AA245" s="1">
        <v>155</v>
      </c>
      <c r="AB245" s="1">
        <v>166</v>
      </c>
      <c r="AC245" s="1">
        <v>169</v>
      </c>
      <c r="AD245" s="1">
        <v>162</v>
      </c>
      <c r="AE245" s="1">
        <v>173</v>
      </c>
      <c r="AF245" s="1">
        <v>166</v>
      </c>
      <c r="AG245" s="1">
        <v>170</v>
      </c>
      <c r="AH245" s="1">
        <v>191</v>
      </c>
      <c r="AI245" s="1">
        <v>208</v>
      </c>
      <c r="AJ245" s="1">
        <v>227</v>
      </c>
      <c r="AK245" s="1">
        <v>176</v>
      </c>
      <c r="AL245" s="1">
        <v>198</v>
      </c>
      <c r="AM245" s="1">
        <v>139</v>
      </c>
      <c r="AN245" s="1">
        <v>130</v>
      </c>
      <c r="AO245" s="1">
        <v>126</v>
      </c>
      <c r="AP245" s="1">
        <v>124</v>
      </c>
      <c r="AQ245" s="1">
        <v>124</v>
      </c>
      <c r="AR245" s="1">
        <v>123</v>
      </c>
      <c r="AS245" s="1">
        <v>125</v>
      </c>
      <c r="AT245" s="1">
        <v>127</v>
      </c>
      <c r="AU245" s="1">
        <v>127</v>
      </c>
      <c r="AV245" s="1">
        <v>126</v>
      </c>
      <c r="AW245" s="1">
        <v>126</v>
      </c>
      <c r="AX245" s="1">
        <v>126</v>
      </c>
      <c r="AY245" s="1">
        <v>125</v>
      </c>
      <c r="AZ245" s="1">
        <v>126</v>
      </c>
      <c r="BA245" s="1">
        <v>124</v>
      </c>
      <c r="BB245" s="1">
        <v>124</v>
      </c>
      <c r="BC245" s="1">
        <v>124</v>
      </c>
      <c r="BD245" s="1">
        <v>124</v>
      </c>
      <c r="BE245" s="1">
        <v>128</v>
      </c>
      <c r="BF245" s="1">
        <v>125</v>
      </c>
      <c r="BG245" s="1">
        <v>122</v>
      </c>
      <c r="BH245" s="1">
        <v>128</v>
      </c>
      <c r="BI245" s="1">
        <v>132</v>
      </c>
      <c r="BJ245" s="1">
        <v>130</v>
      </c>
      <c r="BK245" s="1">
        <v>128</v>
      </c>
      <c r="BL245" s="1">
        <v>128</v>
      </c>
    </row>
    <row r="246" spans="1:64">
      <c r="A246" s="65" t="s">
        <v>547</v>
      </c>
      <c r="B246" s="1" t="str">
        <f>銘柄管理!C246</f>
        <v>エノモト</v>
      </c>
      <c r="C246" s="1">
        <f>_xll.RssMarket("6928","安値")</f>
        <v>3275</v>
      </c>
      <c r="E246" s="1">
        <v>3275</v>
      </c>
      <c r="F246" s="1">
        <v>3270</v>
      </c>
      <c r="G246" s="1">
        <v>3230</v>
      </c>
      <c r="H246" s="1">
        <v>3160</v>
      </c>
      <c r="I246" s="1">
        <v>3270</v>
      </c>
      <c r="J246" s="1">
        <v>3350</v>
      </c>
      <c r="K246" s="1">
        <v>3270</v>
      </c>
      <c r="L246" s="1">
        <v>3540</v>
      </c>
      <c r="M246" s="1">
        <v>3615</v>
      </c>
      <c r="N246" s="1">
        <v>3655</v>
      </c>
      <c r="O246" s="1">
        <v>3635</v>
      </c>
      <c r="P246" s="1">
        <v>3735</v>
      </c>
      <c r="Q246" s="1">
        <v>3425</v>
      </c>
      <c r="R246" s="1">
        <v>3505</v>
      </c>
      <c r="S246" s="1">
        <v>3595</v>
      </c>
      <c r="T246" s="1">
        <v>3500</v>
      </c>
      <c r="U246" s="1">
        <v>3485</v>
      </c>
      <c r="V246" s="1">
        <v>3355</v>
      </c>
      <c r="W246" s="1">
        <v>3380</v>
      </c>
      <c r="X246" s="1">
        <v>3420</v>
      </c>
      <c r="Y246" s="1">
        <v>3405</v>
      </c>
      <c r="Z246" s="1">
        <v>3425</v>
      </c>
      <c r="AA246" s="1">
        <v>3380</v>
      </c>
      <c r="AB246" s="1">
        <v>3400</v>
      </c>
      <c r="AC246" s="1">
        <v>3355</v>
      </c>
      <c r="AD246" s="1">
        <v>3500</v>
      </c>
      <c r="AE246" s="1">
        <v>3480</v>
      </c>
      <c r="AF246" s="1">
        <v>3200</v>
      </c>
      <c r="AG246" s="1">
        <v>3105</v>
      </c>
      <c r="AH246" s="1">
        <v>3160</v>
      </c>
      <c r="AI246" s="1">
        <v>3075</v>
      </c>
      <c r="AJ246" s="1">
        <v>3140</v>
      </c>
      <c r="AK246" s="1">
        <v>3090</v>
      </c>
      <c r="AL246" s="1">
        <v>3170</v>
      </c>
      <c r="AM246" s="1">
        <v>3205</v>
      </c>
      <c r="AN246" s="1">
        <v>3190</v>
      </c>
      <c r="AO246" s="1">
        <v>3210</v>
      </c>
      <c r="AP246" s="1">
        <v>3280</v>
      </c>
      <c r="AQ246" s="1">
        <v>3230</v>
      </c>
      <c r="AR246" s="1">
        <v>3170</v>
      </c>
      <c r="AS246" s="1">
        <v>3105</v>
      </c>
      <c r="AT246" s="1">
        <v>3085</v>
      </c>
      <c r="AU246" s="1">
        <v>3045</v>
      </c>
      <c r="AV246" s="1">
        <v>2999</v>
      </c>
      <c r="AW246" s="1">
        <v>2885</v>
      </c>
      <c r="AX246" s="1">
        <v>2851</v>
      </c>
      <c r="AY246" s="1">
        <v>2828</v>
      </c>
      <c r="AZ246" s="1">
        <v>2835</v>
      </c>
      <c r="BA246" s="1">
        <v>2833</v>
      </c>
      <c r="BB246" s="1">
        <v>2766</v>
      </c>
      <c r="BC246" s="1">
        <v>2682</v>
      </c>
      <c r="BD246" s="1">
        <v>2820</v>
      </c>
      <c r="BE246" s="1">
        <v>2835</v>
      </c>
      <c r="BF246" s="1">
        <v>2892</v>
      </c>
      <c r="BG246" s="1">
        <v>2789</v>
      </c>
      <c r="BH246" s="1">
        <v>2691</v>
      </c>
      <c r="BI246" s="1">
        <v>2840</v>
      </c>
      <c r="BJ246" s="1">
        <v>2981</v>
      </c>
      <c r="BK246" s="1">
        <v>2941</v>
      </c>
      <c r="BL246" s="1">
        <v>2951</v>
      </c>
    </row>
    <row r="247" spans="1:64">
      <c r="A247" s="65" t="s">
        <v>548</v>
      </c>
      <c r="B247" s="1" t="str">
        <f>銘柄管理!C247</f>
        <v>三菱製鋼</v>
      </c>
      <c r="C247" s="1">
        <f>_xll.RssMarket("5632","安値")</f>
        <v>2141</v>
      </c>
      <c r="E247" s="1">
        <v>2141</v>
      </c>
      <c r="F247" s="1">
        <v>2162</v>
      </c>
      <c r="G247" s="1">
        <v>2169</v>
      </c>
      <c r="H247" s="1">
        <v>2130</v>
      </c>
      <c r="I247" s="1">
        <v>2041</v>
      </c>
      <c r="J247" s="1">
        <v>2072</v>
      </c>
      <c r="K247" s="1">
        <v>2037</v>
      </c>
      <c r="L247" s="1">
        <v>2115</v>
      </c>
      <c r="M247" s="1">
        <v>2044</v>
      </c>
      <c r="N247" s="1">
        <v>2079</v>
      </c>
      <c r="O247" s="1">
        <v>2042</v>
      </c>
      <c r="P247" s="1">
        <v>2128</v>
      </c>
      <c r="Q247" s="1">
        <v>2094</v>
      </c>
      <c r="R247" s="1">
        <v>2115</v>
      </c>
      <c r="S247" s="1">
        <v>2102</v>
      </c>
      <c r="T247" s="1">
        <v>2104</v>
      </c>
      <c r="U247" s="1">
        <v>2047</v>
      </c>
      <c r="V247" s="1">
        <v>1993</v>
      </c>
      <c r="W247" s="1">
        <v>2061</v>
      </c>
      <c r="X247" s="1">
        <v>2037</v>
      </c>
      <c r="Y247" s="1">
        <v>2054</v>
      </c>
      <c r="Z247" s="1">
        <v>1994</v>
      </c>
      <c r="AA247" s="1">
        <v>1819</v>
      </c>
      <c r="AB247" s="1">
        <v>1857</v>
      </c>
      <c r="AC247" s="1">
        <v>1800</v>
      </c>
      <c r="AD247" s="1">
        <v>1815</v>
      </c>
      <c r="AE247" s="1">
        <v>1817</v>
      </c>
      <c r="AF247" s="1">
        <v>1774</v>
      </c>
      <c r="AG247" s="1">
        <v>1782</v>
      </c>
      <c r="AH247" s="1">
        <v>1780</v>
      </c>
      <c r="AI247" s="1">
        <v>1774</v>
      </c>
      <c r="AJ247" s="1">
        <v>1776</v>
      </c>
      <c r="AK247" s="1">
        <v>1788</v>
      </c>
      <c r="AL247" s="1">
        <v>1802</v>
      </c>
      <c r="AM247" s="1">
        <v>1823</v>
      </c>
      <c r="AN247" s="1">
        <v>1829</v>
      </c>
      <c r="AO247" s="1">
        <v>1821</v>
      </c>
      <c r="AP247" s="1">
        <v>1821</v>
      </c>
      <c r="AQ247" s="1">
        <v>1813</v>
      </c>
      <c r="AR247" s="1">
        <v>1798</v>
      </c>
      <c r="AS247" s="1">
        <v>1782</v>
      </c>
      <c r="AT247" s="1">
        <v>1790</v>
      </c>
      <c r="AU247" s="1">
        <v>1808</v>
      </c>
      <c r="AV247" s="1">
        <v>1831</v>
      </c>
      <c r="AW247" s="1">
        <v>1792</v>
      </c>
      <c r="AX247" s="1">
        <v>1796</v>
      </c>
      <c r="AY247" s="1">
        <v>1813</v>
      </c>
      <c r="AZ247" s="1">
        <v>1791</v>
      </c>
      <c r="BA247" s="1">
        <v>1810</v>
      </c>
      <c r="BB247" s="1">
        <v>1781</v>
      </c>
      <c r="BC247" s="1">
        <v>1760</v>
      </c>
      <c r="BD247" s="1">
        <v>1859</v>
      </c>
      <c r="BE247" s="1">
        <v>1845</v>
      </c>
      <c r="BF247" s="1">
        <v>1869</v>
      </c>
      <c r="BG247" s="1">
        <v>1804</v>
      </c>
      <c r="BH247" s="1">
        <v>1745</v>
      </c>
      <c r="BI247" s="1">
        <v>1834</v>
      </c>
      <c r="BJ247" s="1">
        <v>1849</v>
      </c>
      <c r="BK247" s="1">
        <v>1826</v>
      </c>
      <c r="BL247" s="1">
        <v>1798</v>
      </c>
    </row>
    <row r="248" spans="1:64">
      <c r="A248" s="65" t="s">
        <v>549</v>
      </c>
      <c r="B248" s="1" t="str">
        <f>銘柄管理!C248</f>
        <v>リクルートホールディングス</v>
      </c>
      <c r="C248" s="1">
        <f>_xll.RssMarket("6098","安値")</f>
        <v>10505</v>
      </c>
      <c r="E248" s="1">
        <v>10505</v>
      </c>
      <c r="F248" s="1">
        <v>10520</v>
      </c>
      <c r="G248" s="1">
        <v>10700</v>
      </c>
      <c r="H248" s="1">
        <v>10760</v>
      </c>
      <c r="I248" s="1">
        <v>10990</v>
      </c>
      <c r="J248" s="1">
        <v>11125</v>
      </c>
      <c r="K248" s="1">
        <v>10635</v>
      </c>
      <c r="L248" s="1">
        <v>10555</v>
      </c>
      <c r="M248" s="1">
        <v>10560</v>
      </c>
      <c r="N248" s="1">
        <v>10540</v>
      </c>
      <c r="O248" s="1">
        <v>10695</v>
      </c>
      <c r="P248" s="1">
        <v>10325</v>
      </c>
      <c r="Q248" s="1">
        <v>9933</v>
      </c>
      <c r="R248" s="1">
        <v>9907</v>
      </c>
      <c r="S248" s="1">
        <v>9537</v>
      </c>
      <c r="T248" s="1">
        <v>9401</v>
      </c>
      <c r="U248" s="1">
        <v>9504</v>
      </c>
      <c r="V248" s="1">
        <v>9600</v>
      </c>
      <c r="W248" s="1">
        <v>9308</v>
      </c>
      <c r="X248" s="1">
        <v>8800</v>
      </c>
      <c r="Y248" s="1">
        <v>7670</v>
      </c>
      <c r="Z248" s="1">
        <v>7542</v>
      </c>
      <c r="AA248" s="1">
        <v>7660</v>
      </c>
      <c r="AB248" s="1">
        <v>7508</v>
      </c>
      <c r="AC248" s="1">
        <v>7680</v>
      </c>
      <c r="AD248" s="1">
        <v>7781</v>
      </c>
      <c r="AE248" s="1">
        <v>7358</v>
      </c>
      <c r="AF248" s="1">
        <v>7163</v>
      </c>
      <c r="AG248" s="1">
        <v>7102</v>
      </c>
      <c r="AH248" s="1">
        <v>7324</v>
      </c>
      <c r="AI248" s="1">
        <v>7273</v>
      </c>
      <c r="AJ248" s="1">
        <v>7211</v>
      </c>
      <c r="AK248" s="1">
        <v>7382</v>
      </c>
      <c r="AL248" s="1">
        <v>7826</v>
      </c>
      <c r="AM248" s="1">
        <v>7572</v>
      </c>
      <c r="AN248" s="1">
        <v>7482</v>
      </c>
      <c r="AO248" s="1">
        <v>7270</v>
      </c>
      <c r="AP248" s="1">
        <v>7241</v>
      </c>
      <c r="AQ248" s="1">
        <v>6960</v>
      </c>
      <c r="AR248" s="1">
        <v>6985</v>
      </c>
      <c r="AS248" s="1">
        <v>6902</v>
      </c>
      <c r="AT248" s="1">
        <v>6995</v>
      </c>
      <c r="AU248" s="1">
        <v>7102</v>
      </c>
      <c r="AV248" s="1">
        <v>7201</v>
      </c>
      <c r="AW248" s="1">
        <v>6931</v>
      </c>
      <c r="AX248" s="1">
        <v>6909</v>
      </c>
      <c r="AY248" s="1">
        <v>6876</v>
      </c>
      <c r="AZ248" s="1">
        <v>6896</v>
      </c>
      <c r="BA248" s="1">
        <v>6865</v>
      </c>
      <c r="BB248" s="1">
        <v>6396</v>
      </c>
      <c r="BC248" s="1">
        <v>6117</v>
      </c>
      <c r="BD248" s="1">
        <v>6418</v>
      </c>
      <c r="BE248" s="1">
        <v>6375</v>
      </c>
      <c r="BF248" s="1">
        <v>6366</v>
      </c>
      <c r="BG248" s="1">
        <v>6345</v>
      </c>
      <c r="BH248" s="1">
        <v>6132</v>
      </c>
      <c r="BI248" s="1">
        <v>6264</v>
      </c>
      <c r="BJ248" s="1">
        <v>6438</v>
      </c>
      <c r="BK248" s="1">
        <v>6448</v>
      </c>
      <c r="BL248" s="1">
        <v>6413</v>
      </c>
    </row>
    <row r="249" spans="1:64">
      <c r="A249" s="65" t="s">
        <v>550</v>
      </c>
      <c r="B249" s="1" t="str">
        <f>銘柄管理!C249</f>
        <v>荏原製作所</v>
      </c>
      <c r="C249" s="1">
        <f>_xll.RssMarket("6361","安値")</f>
        <v>6089</v>
      </c>
      <c r="E249" s="1">
        <v>6089</v>
      </c>
      <c r="F249" s="1">
        <v>6074</v>
      </c>
      <c r="G249" s="1">
        <v>5719</v>
      </c>
      <c r="H249" s="1">
        <v>5471</v>
      </c>
      <c r="I249" s="1">
        <v>5011</v>
      </c>
      <c r="J249" s="1">
        <v>5171</v>
      </c>
      <c r="K249" s="1">
        <v>4969</v>
      </c>
      <c r="L249" s="1">
        <v>5342</v>
      </c>
      <c r="M249" s="1">
        <v>5375</v>
      </c>
      <c r="N249" s="1">
        <v>5237</v>
      </c>
      <c r="O249" s="1">
        <v>5247</v>
      </c>
      <c r="P249" s="1">
        <v>5490</v>
      </c>
      <c r="Q249" s="1">
        <v>5361</v>
      </c>
      <c r="R249" s="1">
        <v>5467</v>
      </c>
      <c r="S249" s="1">
        <v>5651</v>
      </c>
      <c r="T249" s="1">
        <v>5278</v>
      </c>
      <c r="U249" s="1">
        <v>4951</v>
      </c>
      <c r="V249" s="1">
        <v>4870</v>
      </c>
      <c r="W249" s="1">
        <v>5121</v>
      </c>
      <c r="X249" s="1">
        <v>5279</v>
      </c>
      <c r="Y249" s="1">
        <v>5445</v>
      </c>
      <c r="Z249" s="1">
        <v>5727</v>
      </c>
      <c r="AA249" s="1">
        <v>5644</v>
      </c>
      <c r="AB249" s="1">
        <v>5797</v>
      </c>
      <c r="AC249" s="1">
        <v>5624</v>
      </c>
      <c r="AD249" s="1">
        <v>5637</v>
      </c>
      <c r="AE249" s="1">
        <v>5651</v>
      </c>
      <c r="AF249" s="1">
        <v>5242</v>
      </c>
      <c r="AG249" s="1">
        <v>5272</v>
      </c>
      <c r="AH249" s="1">
        <v>5422</v>
      </c>
      <c r="AI249" s="1">
        <v>5231</v>
      </c>
      <c r="AJ249" s="1">
        <v>5269</v>
      </c>
      <c r="AK249" s="1">
        <v>5223</v>
      </c>
      <c r="AL249" s="1">
        <v>5171</v>
      </c>
      <c r="AM249" s="1">
        <v>5114</v>
      </c>
      <c r="AN249" s="1">
        <v>5050</v>
      </c>
      <c r="AO249" s="1">
        <v>4933</v>
      </c>
      <c r="AP249" s="1">
        <v>4965</v>
      </c>
      <c r="AQ249" s="1">
        <v>4988</v>
      </c>
      <c r="AR249" s="1">
        <v>5166</v>
      </c>
      <c r="AS249" s="1">
        <v>5016</v>
      </c>
      <c r="AT249" s="1">
        <v>4940</v>
      </c>
      <c r="AU249" s="1">
        <v>4947</v>
      </c>
      <c r="AV249" s="1">
        <v>4858</v>
      </c>
      <c r="AW249" s="1">
        <v>4522</v>
      </c>
      <c r="AX249" s="1">
        <v>4486</v>
      </c>
      <c r="AY249" s="1">
        <v>4415</v>
      </c>
      <c r="AZ249" s="1">
        <v>4410</v>
      </c>
      <c r="BA249" s="1">
        <v>4445</v>
      </c>
      <c r="BB249" s="1">
        <v>4074</v>
      </c>
      <c r="BC249" s="1">
        <v>4176</v>
      </c>
      <c r="BD249" s="1">
        <v>4350</v>
      </c>
      <c r="BE249" s="1">
        <v>4612</v>
      </c>
      <c r="BF249" s="1">
        <v>4679</v>
      </c>
      <c r="BG249" s="1">
        <v>4379</v>
      </c>
      <c r="BH249" s="1">
        <v>4307</v>
      </c>
      <c r="BI249" s="1">
        <v>4740</v>
      </c>
      <c r="BJ249" s="1">
        <v>4806</v>
      </c>
      <c r="BK249" s="1">
        <v>4657</v>
      </c>
      <c r="BL249" s="1">
        <v>4616</v>
      </c>
    </row>
    <row r="250" spans="1:64">
      <c r="A250" s="65" t="s">
        <v>551</v>
      </c>
      <c r="B250" s="1" t="str">
        <f>銘柄管理!C250</f>
        <v>情報戦略テクノロジー</v>
      </c>
      <c r="C250" s="1">
        <f>_xll.RssMarket("155A","安値")</f>
        <v>830</v>
      </c>
      <c r="E250" s="1">
        <v>830</v>
      </c>
      <c r="F250" s="1">
        <v>816</v>
      </c>
      <c r="G250" s="1">
        <v>832</v>
      </c>
      <c r="H250" s="1">
        <v>830</v>
      </c>
      <c r="I250" s="1">
        <v>853</v>
      </c>
      <c r="J250" s="1">
        <v>860</v>
      </c>
      <c r="K250" s="1">
        <v>828</v>
      </c>
      <c r="L250" s="1">
        <v>834</v>
      </c>
      <c r="M250" s="1">
        <v>827</v>
      </c>
      <c r="N250" s="1">
        <v>828</v>
      </c>
      <c r="O250" s="1">
        <v>803</v>
      </c>
      <c r="P250" s="1">
        <v>866</v>
      </c>
      <c r="Q250" s="1">
        <v>849</v>
      </c>
      <c r="R250" s="1">
        <v>851</v>
      </c>
      <c r="S250" s="1">
        <v>858</v>
      </c>
      <c r="T250" s="1">
        <v>824</v>
      </c>
      <c r="U250" s="1">
        <v>837</v>
      </c>
      <c r="V250" s="1">
        <v>823</v>
      </c>
      <c r="W250" s="1">
        <v>855</v>
      </c>
      <c r="X250" s="1">
        <v>867</v>
      </c>
      <c r="Y250" s="1">
        <v>831</v>
      </c>
      <c r="Z250" s="1">
        <v>727</v>
      </c>
      <c r="AA250" s="1">
        <v>751</v>
      </c>
      <c r="AB250" s="1">
        <v>785</v>
      </c>
      <c r="AC250" s="1">
        <v>798</v>
      </c>
      <c r="AD250" s="1">
        <v>813</v>
      </c>
      <c r="AE250" s="1">
        <v>803</v>
      </c>
      <c r="AF250" s="1">
        <v>796</v>
      </c>
      <c r="AG250" s="1">
        <v>789</v>
      </c>
      <c r="AH250" s="1">
        <v>803</v>
      </c>
      <c r="AI250" s="1">
        <v>807</v>
      </c>
      <c r="AJ250" s="1">
        <v>820</v>
      </c>
      <c r="AK250" s="1">
        <v>825</v>
      </c>
      <c r="AL250" s="1">
        <v>844</v>
      </c>
      <c r="AM250" s="1">
        <v>832</v>
      </c>
      <c r="AN250" s="1">
        <v>833</v>
      </c>
      <c r="AO250" s="1">
        <v>830</v>
      </c>
      <c r="AP250" s="1">
        <v>829</v>
      </c>
      <c r="AQ250" s="1">
        <v>813</v>
      </c>
      <c r="AR250" s="1">
        <v>806</v>
      </c>
      <c r="AS250" s="1">
        <v>794</v>
      </c>
      <c r="AT250" s="1">
        <v>817</v>
      </c>
      <c r="AU250" s="1">
        <v>843</v>
      </c>
      <c r="AV250" s="1">
        <v>853</v>
      </c>
      <c r="AW250" s="1">
        <v>840</v>
      </c>
      <c r="AX250" s="1">
        <v>843</v>
      </c>
      <c r="AY250" s="1">
        <v>838</v>
      </c>
      <c r="AZ250" s="1">
        <v>835</v>
      </c>
      <c r="BA250" s="1">
        <v>832</v>
      </c>
      <c r="BB250" s="1">
        <v>805</v>
      </c>
      <c r="BC250" s="1">
        <v>825</v>
      </c>
      <c r="BD250" s="1">
        <v>850</v>
      </c>
      <c r="BE250" s="1">
        <v>856</v>
      </c>
      <c r="BF250" s="1">
        <v>879</v>
      </c>
      <c r="BG250" s="1">
        <v>860</v>
      </c>
      <c r="BH250" s="1">
        <v>844</v>
      </c>
      <c r="BI250" s="1">
        <v>887</v>
      </c>
      <c r="BJ250" s="1">
        <v>879</v>
      </c>
      <c r="BK250" s="1">
        <v>872</v>
      </c>
      <c r="BL250" s="1">
        <v>874</v>
      </c>
    </row>
    <row r="251" spans="1:64">
      <c r="A251" s="65" t="s">
        <v>552</v>
      </c>
      <c r="B251" s="1" t="str">
        <f>銘柄管理!C251</f>
        <v>ＴＥＲＲＡＤＲＯＮＥ</v>
      </c>
      <c r="C251" s="1">
        <f>_xll.RssMarket("278A","安値")</f>
        <v>7940</v>
      </c>
      <c r="E251" s="1">
        <v>7940</v>
      </c>
      <c r="F251" s="1">
        <v>8350</v>
      </c>
      <c r="G251" s="1">
        <v>7050</v>
      </c>
      <c r="H251" s="1">
        <v>8100</v>
      </c>
      <c r="I251" s="1">
        <v>8080</v>
      </c>
      <c r="J251" s="1">
        <v>8520</v>
      </c>
      <c r="K251" s="1">
        <v>7930</v>
      </c>
      <c r="L251" s="1">
        <v>7890</v>
      </c>
      <c r="M251" s="1">
        <v>7820</v>
      </c>
      <c r="N251" s="1">
        <v>8230</v>
      </c>
      <c r="O251" s="1">
        <v>8350</v>
      </c>
      <c r="P251" s="1">
        <v>9690</v>
      </c>
      <c r="Q251" s="1">
        <v>8900</v>
      </c>
      <c r="R251" s="1">
        <v>8660</v>
      </c>
      <c r="S251" s="1">
        <v>10440</v>
      </c>
      <c r="T251" s="1">
        <v>10550</v>
      </c>
      <c r="U251" s="1">
        <v>10270</v>
      </c>
      <c r="V251" s="1">
        <v>11030</v>
      </c>
      <c r="W251" s="1">
        <v>12350</v>
      </c>
      <c r="X251" s="1">
        <v>11220</v>
      </c>
      <c r="Y251" s="1">
        <v>10930</v>
      </c>
      <c r="Z251" s="1">
        <v>10500</v>
      </c>
      <c r="AA251" s="1">
        <v>9420</v>
      </c>
      <c r="AB251" s="1">
        <v>12400</v>
      </c>
      <c r="AC251" s="1">
        <v>15060</v>
      </c>
      <c r="AD251" s="1">
        <v>12020</v>
      </c>
      <c r="AE251" s="1">
        <v>11100</v>
      </c>
      <c r="AF251" s="1">
        <v>9960</v>
      </c>
      <c r="AG251" s="1">
        <v>8000</v>
      </c>
      <c r="AH251" s="1">
        <v>7030</v>
      </c>
      <c r="AI251" s="1">
        <v>7230</v>
      </c>
      <c r="AJ251" s="1">
        <v>7780</v>
      </c>
      <c r="AK251" s="1">
        <v>7170</v>
      </c>
      <c r="AL251" s="1">
        <v>6830</v>
      </c>
      <c r="AM251" s="1">
        <v>6100</v>
      </c>
      <c r="AN251" s="1">
        <v>6390</v>
      </c>
      <c r="AO251" s="1">
        <v>6320</v>
      </c>
      <c r="AP251" s="1">
        <v>6230</v>
      </c>
      <c r="AQ251" s="1">
        <v>5510</v>
      </c>
      <c r="AR251" s="1">
        <v>5460</v>
      </c>
      <c r="AS251" s="1">
        <v>5310</v>
      </c>
      <c r="AT251" s="1">
        <v>4370</v>
      </c>
      <c r="AU251" s="1">
        <v>4125</v>
      </c>
      <c r="AV251" s="1">
        <v>4030</v>
      </c>
      <c r="AW251" s="1">
        <v>4200</v>
      </c>
      <c r="AX251" s="1">
        <v>4420</v>
      </c>
      <c r="AY251" s="1">
        <v>4430</v>
      </c>
      <c r="AZ251" s="1">
        <v>4630</v>
      </c>
      <c r="BA251" s="1">
        <v>4495</v>
      </c>
      <c r="BB251" s="1">
        <v>3610</v>
      </c>
      <c r="BC251" s="1">
        <v>3720</v>
      </c>
      <c r="BD251" s="1">
        <v>3715</v>
      </c>
      <c r="BE251" s="1">
        <v>3830</v>
      </c>
      <c r="BF251" s="1">
        <v>3510</v>
      </c>
      <c r="BG251" s="1">
        <v>3395</v>
      </c>
      <c r="BH251" s="1">
        <v>2763</v>
      </c>
      <c r="BI251" s="1">
        <v>2910</v>
      </c>
      <c r="BJ251" s="1">
        <v>2843</v>
      </c>
      <c r="BK251" s="1">
        <v>2858</v>
      </c>
      <c r="BL251" s="1">
        <v>2575</v>
      </c>
    </row>
    <row r="252" spans="1:64">
      <c r="A252" s="65" t="s">
        <v>553</v>
      </c>
      <c r="B252" s="1" t="str">
        <f>銘柄管理!C252</f>
        <v>ＭＩＣ</v>
      </c>
      <c r="C252" s="1">
        <f>_xll.RssMarket("300A","安値")</f>
        <v>2810</v>
      </c>
      <c r="E252" s="1">
        <v>2810</v>
      </c>
      <c r="F252" s="1">
        <v>2797</v>
      </c>
      <c r="G252" s="1">
        <v>2775</v>
      </c>
      <c r="H252" s="1">
        <v>2764</v>
      </c>
      <c r="I252" s="1">
        <v>2737</v>
      </c>
      <c r="J252" s="1">
        <v>2797</v>
      </c>
      <c r="K252" s="1">
        <v>2719</v>
      </c>
      <c r="L252" s="1">
        <v>2754</v>
      </c>
      <c r="M252" s="1">
        <v>2733</v>
      </c>
      <c r="N252" s="1">
        <v>2753</v>
      </c>
      <c r="O252" s="1">
        <v>2752</v>
      </c>
      <c r="P252" s="1">
        <v>2835</v>
      </c>
      <c r="Q252" s="1">
        <v>2810</v>
      </c>
      <c r="R252" s="1">
        <v>2833</v>
      </c>
      <c r="S252" s="1">
        <v>2869</v>
      </c>
      <c r="T252" s="1">
        <v>2864</v>
      </c>
      <c r="U252" s="1">
        <v>2836</v>
      </c>
      <c r="V252" s="1">
        <v>2874</v>
      </c>
      <c r="W252" s="1">
        <v>2848</v>
      </c>
      <c r="X252" s="1">
        <v>2748</v>
      </c>
      <c r="Y252" s="1">
        <v>2904</v>
      </c>
      <c r="Z252" s="1">
        <v>2595</v>
      </c>
      <c r="AA252" s="1">
        <v>2753</v>
      </c>
      <c r="AB252" s="1">
        <v>2731</v>
      </c>
      <c r="AC252" s="1">
        <v>2777</v>
      </c>
      <c r="AD252" s="1">
        <v>2709</v>
      </c>
      <c r="AE252" s="1">
        <v>2733</v>
      </c>
      <c r="AF252" s="1">
        <v>2687</v>
      </c>
      <c r="AG252" s="1">
        <v>2747</v>
      </c>
      <c r="AH252" s="1">
        <v>2783</v>
      </c>
      <c r="AI252" s="1">
        <v>2720</v>
      </c>
      <c r="AJ252" s="1">
        <v>2859</v>
      </c>
      <c r="AK252" s="1">
        <v>2931</v>
      </c>
      <c r="AL252" s="1">
        <v>3045</v>
      </c>
      <c r="AM252" s="1">
        <v>3005</v>
      </c>
      <c r="AN252" s="1">
        <v>2982</v>
      </c>
      <c r="AO252" s="1">
        <v>2964</v>
      </c>
      <c r="AP252" s="1">
        <v>2964</v>
      </c>
      <c r="AQ252" s="1">
        <v>2879</v>
      </c>
      <c r="AR252" s="1">
        <v>2868</v>
      </c>
      <c r="AS252" s="1">
        <v>2828</v>
      </c>
      <c r="AT252" s="1">
        <v>2853</v>
      </c>
      <c r="AU252" s="1">
        <v>2768</v>
      </c>
      <c r="AV252" s="1">
        <v>2740</v>
      </c>
      <c r="AW252" s="1">
        <v>2770</v>
      </c>
      <c r="AX252" s="1">
        <v>2801</v>
      </c>
      <c r="AY252" s="1">
        <v>2792</v>
      </c>
      <c r="AZ252" s="1">
        <v>2763</v>
      </c>
      <c r="BA252" s="1">
        <v>2777</v>
      </c>
      <c r="BB252" s="1">
        <v>2702</v>
      </c>
      <c r="BC252" s="1">
        <v>2660</v>
      </c>
      <c r="BD252" s="1">
        <v>2760</v>
      </c>
      <c r="BE252" s="1">
        <v>2742</v>
      </c>
      <c r="BF252" s="1">
        <v>2750</v>
      </c>
      <c r="BG252" s="1">
        <v>2684</v>
      </c>
      <c r="BH252" s="1">
        <v>2626</v>
      </c>
      <c r="BI252" s="1">
        <v>2740</v>
      </c>
      <c r="BJ252" s="1">
        <v>2750</v>
      </c>
      <c r="BK252" s="1">
        <v>2741</v>
      </c>
      <c r="BL252" s="1">
        <v>2741</v>
      </c>
    </row>
    <row r="253" spans="1:64">
      <c r="A253" s="65" t="s">
        <v>554</v>
      </c>
      <c r="B253" s="1" t="str">
        <f>銘柄管理!C253</f>
        <v>サイボウズ</v>
      </c>
      <c r="C253" s="1">
        <f>_xll.RssMarket("4776","安値")</f>
        <v>2266</v>
      </c>
      <c r="E253" s="1">
        <v>2266</v>
      </c>
      <c r="F253" s="1">
        <v>2285</v>
      </c>
      <c r="G253" s="1">
        <v>2306</v>
      </c>
      <c r="H253" s="1">
        <v>2235</v>
      </c>
      <c r="I253" s="1">
        <v>2274</v>
      </c>
      <c r="J253" s="1">
        <v>2309</v>
      </c>
      <c r="K253" s="1">
        <v>2361</v>
      </c>
      <c r="L253" s="1">
        <v>2425</v>
      </c>
      <c r="M253" s="1">
        <v>2385</v>
      </c>
      <c r="N253" s="1">
        <v>2468</v>
      </c>
      <c r="O253" s="1">
        <v>2572</v>
      </c>
      <c r="P253" s="1">
        <v>2537</v>
      </c>
      <c r="Q253" s="1">
        <v>2506</v>
      </c>
      <c r="R253" s="1">
        <v>2523</v>
      </c>
      <c r="S253" s="1">
        <v>2500</v>
      </c>
      <c r="T253" s="1">
        <v>2474</v>
      </c>
      <c r="U253" s="1">
        <v>2469</v>
      </c>
      <c r="V253" s="1">
        <v>2416</v>
      </c>
      <c r="W253" s="1">
        <v>2372</v>
      </c>
      <c r="X253" s="1">
        <v>2320</v>
      </c>
      <c r="Y253" s="1">
        <v>2265</v>
      </c>
      <c r="Z253" s="1">
        <v>2086</v>
      </c>
      <c r="AA253" s="1">
        <v>2126</v>
      </c>
      <c r="AB253" s="1">
        <v>2115</v>
      </c>
      <c r="AC253" s="1">
        <v>2150</v>
      </c>
      <c r="AD253" s="1">
        <v>2108</v>
      </c>
      <c r="AE253" s="1">
        <v>2047</v>
      </c>
      <c r="AF253" s="1">
        <v>2076</v>
      </c>
      <c r="AG253" s="1">
        <v>2050</v>
      </c>
      <c r="AH253" s="1">
        <v>2099</v>
      </c>
      <c r="AI253" s="1">
        <v>2098</v>
      </c>
      <c r="AJ253" s="1">
        <v>2095</v>
      </c>
      <c r="AK253" s="1">
        <v>2086</v>
      </c>
      <c r="AL253" s="1">
        <v>2136</v>
      </c>
      <c r="AM253" s="1">
        <v>2133</v>
      </c>
      <c r="AN253" s="1">
        <v>2177</v>
      </c>
      <c r="AO253" s="1">
        <v>2226</v>
      </c>
      <c r="AP253" s="1">
        <v>2185</v>
      </c>
      <c r="AQ253" s="1">
        <v>2064</v>
      </c>
      <c r="AR253" s="1">
        <v>2014</v>
      </c>
      <c r="AS253" s="1">
        <v>1948</v>
      </c>
      <c r="AT253" s="1">
        <v>1965</v>
      </c>
      <c r="AU253" s="1">
        <v>2034</v>
      </c>
      <c r="AV253" s="1">
        <v>2082</v>
      </c>
      <c r="AW253" s="1">
        <v>2069</v>
      </c>
      <c r="AX253" s="1">
        <v>2033</v>
      </c>
      <c r="AY253" s="1">
        <v>2033</v>
      </c>
      <c r="AZ253" s="1">
        <v>2026</v>
      </c>
      <c r="BA253" s="1">
        <v>2073</v>
      </c>
      <c r="BB253" s="1">
        <v>2065</v>
      </c>
      <c r="BC253" s="1">
        <v>2012</v>
      </c>
      <c r="BD253" s="1">
        <v>2053</v>
      </c>
      <c r="BE253" s="1">
        <v>2032</v>
      </c>
      <c r="BF253" s="1">
        <v>2012</v>
      </c>
      <c r="BG253" s="1">
        <v>2000</v>
      </c>
      <c r="BH253" s="1">
        <v>1990</v>
      </c>
      <c r="BI253" s="1">
        <v>2074</v>
      </c>
      <c r="BJ253" s="1">
        <v>2117</v>
      </c>
      <c r="BK253" s="1">
        <v>2112</v>
      </c>
      <c r="BL253" s="1">
        <v>2130</v>
      </c>
    </row>
    <row r="254" spans="1:64">
      <c r="A254" s="65" t="s">
        <v>555</v>
      </c>
      <c r="B254" s="1" t="str">
        <f>銘柄管理!C254</f>
        <v>トレンドマイクロ</v>
      </c>
      <c r="C254" s="1">
        <f>_xll.RssMarket("4704","安値")</f>
        <v>5717</v>
      </c>
      <c r="E254" s="1">
        <v>5717</v>
      </c>
      <c r="F254" s="1">
        <v>5662</v>
      </c>
      <c r="G254" s="1">
        <v>5833</v>
      </c>
      <c r="H254" s="1">
        <v>5900</v>
      </c>
      <c r="I254" s="1">
        <v>6092</v>
      </c>
      <c r="J254" s="1">
        <v>6113</v>
      </c>
      <c r="K254" s="1">
        <v>6302</v>
      </c>
      <c r="L254" s="1">
        <v>6615</v>
      </c>
      <c r="M254" s="1">
        <v>6040</v>
      </c>
      <c r="N254" s="1">
        <v>6103</v>
      </c>
      <c r="O254" s="1">
        <v>6310</v>
      </c>
      <c r="P254" s="1">
        <v>5977</v>
      </c>
      <c r="Q254" s="1">
        <v>5865</v>
      </c>
      <c r="R254" s="1">
        <v>5993</v>
      </c>
      <c r="S254" s="1">
        <v>6072</v>
      </c>
      <c r="T254" s="1">
        <v>6009</v>
      </c>
      <c r="U254" s="1">
        <v>5861</v>
      </c>
      <c r="V254" s="1">
        <v>5854</v>
      </c>
      <c r="W254" s="1">
        <v>6024</v>
      </c>
      <c r="X254" s="1">
        <v>5682</v>
      </c>
      <c r="Y254" s="1">
        <v>5307</v>
      </c>
      <c r="Z254" s="1">
        <v>5375</v>
      </c>
      <c r="AA254" s="1">
        <v>5605</v>
      </c>
      <c r="AB254" s="1">
        <v>5569</v>
      </c>
      <c r="AC254" s="1">
        <v>5612</v>
      </c>
      <c r="AD254" s="1">
        <v>5581</v>
      </c>
      <c r="AE254" s="1">
        <v>5259</v>
      </c>
      <c r="AF254" s="1">
        <v>5226</v>
      </c>
      <c r="AG254" s="1">
        <v>5386</v>
      </c>
      <c r="AH254" s="1">
        <v>5468</v>
      </c>
      <c r="AI254" s="1">
        <v>5476</v>
      </c>
      <c r="AJ254" s="1">
        <v>5560</v>
      </c>
      <c r="AK254" s="1">
        <v>5682</v>
      </c>
      <c r="AL254" s="1">
        <v>5853</v>
      </c>
      <c r="AM254" s="1">
        <v>5863</v>
      </c>
      <c r="AN254" s="1">
        <v>5756</v>
      </c>
      <c r="AO254" s="1">
        <v>5965</v>
      </c>
      <c r="AP254" s="1">
        <v>5826</v>
      </c>
      <c r="AQ254" s="1">
        <v>5424</v>
      </c>
      <c r="AR254" s="1">
        <v>5267</v>
      </c>
      <c r="AS254" s="1">
        <v>5065</v>
      </c>
      <c r="AT254" s="1">
        <v>5094</v>
      </c>
      <c r="AU254" s="1">
        <v>5313</v>
      </c>
      <c r="AV254" s="1">
        <v>5496</v>
      </c>
      <c r="AW254" s="1">
        <v>5297</v>
      </c>
      <c r="AX254" s="1">
        <v>5286</v>
      </c>
      <c r="AY254" s="1">
        <v>5316</v>
      </c>
      <c r="AZ254" s="1">
        <v>5267</v>
      </c>
      <c r="BA254" s="1">
        <v>5268</v>
      </c>
      <c r="BB254" s="1">
        <v>5185</v>
      </c>
      <c r="BC254" s="1">
        <v>5065</v>
      </c>
      <c r="BD254" s="1">
        <v>5267</v>
      </c>
      <c r="BE254" s="1">
        <v>5142</v>
      </c>
      <c r="BF254" s="1">
        <v>5135</v>
      </c>
      <c r="BG254" s="1">
        <v>5287</v>
      </c>
      <c r="BH254" s="1">
        <v>5235</v>
      </c>
      <c r="BI254" s="1">
        <v>5289</v>
      </c>
      <c r="BJ254" s="1">
        <v>5291</v>
      </c>
      <c r="BK254" s="1">
        <v>5280</v>
      </c>
      <c r="BL254" s="1">
        <v>5346</v>
      </c>
    </row>
    <row r="255" spans="1:64">
      <c r="A255" s="65" t="s">
        <v>556</v>
      </c>
      <c r="B255" s="1" t="str">
        <f>銘柄管理!C255</f>
        <v>栗田工業</v>
      </c>
      <c r="C255" s="1">
        <f>_xll.RssMarket("6370","安値")</f>
        <v>9206</v>
      </c>
      <c r="E255" s="1">
        <v>9206</v>
      </c>
      <c r="F255" s="1">
        <v>8700</v>
      </c>
      <c r="G255" s="1">
        <v>8524</v>
      </c>
      <c r="H255" s="1">
        <v>8267</v>
      </c>
      <c r="I255" s="1">
        <v>7740</v>
      </c>
      <c r="J255" s="1">
        <v>8125</v>
      </c>
      <c r="K255" s="1">
        <v>8148</v>
      </c>
      <c r="L255" s="1">
        <v>8660</v>
      </c>
      <c r="M255" s="1">
        <v>8702</v>
      </c>
      <c r="N255" s="1">
        <v>8653</v>
      </c>
      <c r="O255" s="1">
        <v>8327</v>
      </c>
      <c r="P255" s="1">
        <v>8662</v>
      </c>
      <c r="Q255" s="1">
        <v>8535</v>
      </c>
      <c r="R255" s="1">
        <v>8725</v>
      </c>
      <c r="S255" s="1">
        <v>8735</v>
      </c>
      <c r="T255" s="1">
        <v>8684</v>
      </c>
      <c r="U255" s="1">
        <v>8456</v>
      </c>
      <c r="V255" s="1">
        <v>8276</v>
      </c>
      <c r="W255" s="1">
        <v>8738</v>
      </c>
      <c r="X255" s="1">
        <v>8661</v>
      </c>
      <c r="Y255" s="1">
        <v>8910</v>
      </c>
      <c r="Z255" s="1">
        <v>8802</v>
      </c>
      <c r="AA255" s="1">
        <v>8713</v>
      </c>
      <c r="AB255" s="1">
        <v>8936</v>
      </c>
      <c r="AC255" s="1">
        <v>8786</v>
      </c>
      <c r="AD255" s="1">
        <v>8278</v>
      </c>
      <c r="AE255" s="1">
        <v>8209</v>
      </c>
      <c r="AF255" s="1">
        <v>8044</v>
      </c>
      <c r="AG255" s="1">
        <v>8372</v>
      </c>
      <c r="AH255" s="1">
        <v>8251</v>
      </c>
      <c r="AI255" s="1">
        <v>7811</v>
      </c>
      <c r="AJ255" s="1">
        <v>7767</v>
      </c>
      <c r="AK255" s="1">
        <v>7708</v>
      </c>
      <c r="AL255" s="1">
        <v>7818</v>
      </c>
      <c r="AM255" s="1">
        <v>8015</v>
      </c>
      <c r="AN255" s="1">
        <v>8065</v>
      </c>
      <c r="AO255" s="1">
        <v>8010</v>
      </c>
      <c r="AP255" s="1">
        <v>7882</v>
      </c>
      <c r="AQ255" s="1">
        <v>7860</v>
      </c>
      <c r="AR255" s="1">
        <v>7915</v>
      </c>
      <c r="AS255" s="1">
        <v>8031</v>
      </c>
      <c r="AT255" s="1">
        <v>8014</v>
      </c>
      <c r="AU255" s="1">
        <v>8046</v>
      </c>
      <c r="AV255" s="1">
        <v>7943</v>
      </c>
      <c r="AW255" s="1">
        <v>7690</v>
      </c>
      <c r="AX255" s="1">
        <v>7700</v>
      </c>
      <c r="AY255" s="1">
        <v>7600</v>
      </c>
      <c r="AZ255" s="1">
        <v>7527</v>
      </c>
      <c r="BA255" s="1">
        <v>7528</v>
      </c>
      <c r="BB255" s="1">
        <v>7215</v>
      </c>
      <c r="BC255" s="1">
        <v>7183</v>
      </c>
      <c r="BD255" s="1">
        <v>7536</v>
      </c>
      <c r="BE255" s="1">
        <v>7651</v>
      </c>
      <c r="BF255" s="1">
        <v>7617</v>
      </c>
      <c r="BG255" s="1">
        <v>7360</v>
      </c>
      <c r="BH255" s="1">
        <v>7048</v>
      </c>
      <c r="BI255" s="1">
        <v>7626</v>
      </c>
      <c r="BJ255" s="1">
        <v>7774</v>
      </c>
      <c r="BK255" s="1">
        <v>7826</v>
      </c>
      <c r="BL255" s="1">
        <v>7698</v>
      </c>
    </row>
    <row r="256" spans="1:64">
      <c r="A256" s="65" t="s">
        <v>557</v>
      </c>
      <c r="B256" s="1" t="str">
        <f>銘柄管理!C256</f>
        <v>名村造船所</v>
      </c>
      <c r="C256" s="1">
        <f>_xll.RssMarket("7014","安値")</f>
        <v>3750</v>
      </c>
      <c r="E256" s="1">
        <v>3750</v>
      </c>
      <c r="F256" s="1">
        <v>3720</v>
      </c>
      <c r="G256" s="1">
        <v>3655</v>
      </c>
      <c r="H256" s="1">
        <v>3425</v>
      </c>
      <c r="I256" s="1">
        <v>3250</v>
      </c>
      <c r="J256" s="1">
        <v>3385</v>
      </c>
      <c r="K256" s="1">
        <v>3525</v>
      </c>
      <c r="L256" s="1">
        <v>3645</v>
      </c>
      <c r="M256" s="1">
        <v>3420</v>
      </c>
      <c r="N256" s="1">
        <v>3405</v>
      </c>
      <c r="O256" s="1">
        <v>3325</v>
      </c>
      <c r="P256" s="1">
        <v>3605</v>
      </c>
      <c r="Q256" s="1">
        <v>3755</v>
      </c>
      <c r="R256" s="1">
        <v>4030</v>
      </c>
      <c r="S256" s="1">
        <v>3925</v>
      </c>
      <c r="T256" s="1">
        <v>3725</v>
      </c>
      <c r="U256" s="1">
        <v>8456</v>
      </c>
      <c r="V256" s="1">
        <v>8276</v>
      </c>
      <c r="W256" s="1">
        <v>8738</v>
      </c>
      <c r="X256" s="1">
        <v>8661</v>
      </c>
      <c r="Y256" s="1">
        <v>8910</v>
      </c>
      <c r="Z256" s="1">
        <v>8802</v>
      </c>
      <c r="AA256" s="1">
        <v>8713</v>
      </c>
      <c r="AB256" s="1">
        <v>8936</v>
      </c>
      <c r="AC256" s="1">
        <v>8786</v>
      </c>
      <c r="AD256" s="1">
        <v>8278</v>
      </c>
      <c r="AE256" s="1">
        <v>8209</v>
      </c>
      <c r="AF256" s="1">
        <v>8044</v>
      </c>
      <c r="AG256" s="1">
        <v>8372</v>
      </c>
      <c r="AH256" s="1">
        <v>8251</v>
      </c>
      <c r="AI256" s="1">
        <v>7811</v>
      </c>
      <c r="AJ256" s="1">
        <v>7767</v>
      </c>
      <c r="AK256" s="1">
        <v>7708</v>
      </c>
      <c r="AL256" s="1">
        <v>7818</v>
      </c>
      <c r="AM256" s="1">
        <v>8015</v>
      </c>
      <c r="AN256" s="1">
        <v>8065</v>
      </c>
      <c r="AO256" s="1">
        <v>8010</v>
      </c>
      <c r="AP256" s="1">
        <v>7882</v>
      </c>
      <c r="AQ256" s="1">
        <v>7860</v>
      </c>
      <c r="AR256" s="1">
        <v>7915</v>
      </c>
      <c r="AS256" s="1">
        <v>8031</v>
      </c>
      <c r="AT256" s="1">
        <v>8014</v>
      </c>
      <c r="AU256" s="1">
        <v>8046</v>
      </c>
      <c r="AV256" s="1">
        <v>7943</v>
      </c>
      <c r="AW256" s="1">
        <v>7690</v>
      </c>
      <c r="AX256" s="1">
        <v>7700</v>
      </c>
      <c r="AY256" s="1">
        <v>7600</v>
      </c>
      <c r="AZ256" s="1">
        <v>7527</v>
      </c>
      <c r="BA256" s="1">
        <v>7528</v>
      </c>
      <c r="BB256" s="1">
        <v>7215</v>
      </c>
      <c r="BC256" s="1">
        <v>7183</v>
      </c>
      <c r="BD256" s="1">
        <v>7536</v>
      </c>
      <c r="BE256" s="1">
        <v>7651</v>
      </c>
      <c r="BF256" s="1">
        <v>7617</v>
      </c>
      <c r="BG256" s="1">
        <v>7360</v>
      </c>
      <c r="BH256" s="1">
        <v>7048</v>
      </c>
      <c r="BI256" s="1">
        <v>7626</v>
      </c>
      <c r="BJ256" s="1">
        <v>7774</v>
      </c>
      <c r="BK256" s="1">
        <v>7826</v>
      </c>
      <c r="BL256" s="1">
        <v>7698</v>
      </c>
    </row>
    <row r="257" spans="1:64">
      <c r="A257" s="65" t="s">
        <v>558</v>
      </c>
      <c r="B257" s="1" t="str">
        <f>銘柄管理!C257</f>
        <v>イノテック</v>
      </c>
      <c r="C257" s="1">
        <f>_xll.RssMarket("9880","安値")</f>
        <v>3840</v>
      </c>
      <c r="E257" s="1">
        <v>3840</v>
      </c>
      <c r="F257" s="1">
        <v>3930</v>
      </c>
      <c r="G257" s="1">
        <v>4035</v>
      </c>
      <c r="H257" s="1">
        <v>3950</v>
      </c>
      <c r="I257" s="1">
        <v>3875</v>
      </c>
      <c r="J257" s="1">
        <v>4045</v>
      </c>
      <c r="K257" s="1">
        <v>4040</v>
      </c>
      <c r="L257" s="1">
        <v>4180</v>
      </c>
      <c r="M257" s="1">
        <v>4300</v>
      </c>
      <c r="N257" s="1">
        <v>4285</v>
      </c>
      <c r="O257" s="1">
        <v>4100</v>
      </c>
      <c r="P257" s="1">
        <v>4185</v>
      </c>
      <c r="Q257" s="1">
        <v>4105</v>
      </c>
      <c r="R257" s="1">
        <v>4300</v>
      </c>
      <c r="S257" s="1">
        <v>4330</v>
      </c>
      <c r="T257" s="1">
        <v>4225</v>
      </c>
      <c r="U257" s="1">
        <v>4230</v>
      </c>
      <c r="V257" s="1">
        <v>3995</v>
      </c>
      <c r="W257" s="1">
        <v>4230</v>
      </c>
      <c r="X257" s="1">
        <v>4225</v>
      </c>
      <c r="Y257" s="1">
        <v>3745</v>
      </c>
      <c r="Z257" s="1">
        <v>3265</v>
      </c>
      <c r="AA257" s="1">
        <v>3215</v>
      </c>
      <c r="AB257" s="1">
        <v>3325</v>
      </c>
      <c r="AC257" s="1">
        <v>3270</v>
      </c>
      <c r="AD257" s="1">
        <v>3120</v>
      </c>
      <c r="AE257" s="1">
        <v>2950</v>
      </c>
      <c r="AF257" s="1">
        <v>2741</v>
      </c>
      <c r="AG257" s="1">
        <v>2767</v>
      </c>
      <c r="AH257" s="1">
        <v>2721</v>
      </c>
      <c r="AI257" s="1">
        <v>2710</v>
      </c>
      <c r="AJ257" s="1">
        <v>2633</v>
      </c>
      <c r="AK257" s="1">
        <v>2613</v>
      </c>
      <c r="AL257" s="1">
        <v>2657</v>
      </c>
      <c r="AM257" s="1">
        <v>2728</v>
      </c>
      <c r="AN257" s="1">
        <v>2746</v>
      </c>
      <c r="AO257" s="1">
        <v>2806</v>
      </c>
      <c r="AP257" s="1">
        <v>2860</v>
      </c>
      <c r="AQ257" s="1">
        <v>2809</v>
      </c>
      <c r="AR257" s="1">
        <v>2639</v>
      </c>
      <c r="AS257" s="1">
        <v>2560</v>
      </c>
      <c r="AT257" s="1">
        <v>2556</v>
      </c>
      <c r="AU257" s="1">
        <v>2551</v>
      </c>
      <c r="AV257" s="1">
        <v>2553</v>
      </c>
      <c r="AW257" s="1">
        <v>2465</v>
      </c>
      <c r="AX257" s="1">
        <v>2465</v>
      </c>
      <c r="AY257" s="1">
        <v>2455</v>
      </c>
      <c r="AZ257" s="1">
        <v>2434</v>
      </c>
      <c r="BA257" s="1">
        <v>2433</v>
      </c>
      <c r="BB257" s="1">
        <v>2321</v>
      </c>
      <c r="BC257" s="1">
        <v>2306</v>
      </c>
      <c r="BD257" s="1">
        <v>2486</v>
      </c>
      <c r="BE257" s="1">
        <v>2571</v>
      </c>
      <c r="BF257" s="1">
        <v>2528</v>
      </c>
      <c r="BG257" s="1">
        <v>2441</v>
      </c>
      <c r="BH257" s="1">
        <v>2321</v>
      </c>
      <c r="BI257" s="1">
        <v>2516</v>
      </c>
      <c r="BJ257" s="1">
        <v>2584</v>
      </c>
      <c r="BK257" s="1">
        <v>2532</v>
      </c>
      <c r="BL257" s="1">
        <v>2550</v>
      </c>
    </row>
    <row r="258" spans="1:64">
      <c r="A258" s="65" t="s">
        <v>559</v>
      </c>
      <c r="B258" s="1" t="str">
        <f>銘柄管理!C258</f>
        <v>カバー</v>
      </c>
      <c r="C258" s="1">
        <f>_xll.RssMarket("5253","安値")</f>
        <v>1403</v>
      </c>
      <c r="E258" s="1">
        <v>1403</v>
      </c>
      <c r="F258" s="1">
        <v>1381</v>
      </c>
      <c r="G258" s="1">
        <v>1412</v>
      </c>
      <c r="H258" s="1">
        <v>1418</v>
      </c>
      <c r="I258" s="1">
        <v>1422</v>
      </c>
      <c r="J258" s="1">
        <v>1505</v>
      </c>
      <c r="K258" s="1">
        <v>1585</v>
      </c>
      <c r="L258" s="1">
        <v>1618</v>
      </c>
      <c r="M258" s="1">
        <v>1586</v>
      </c>
      <c r="N258" s="1">
        <v>1537</v>
      </c>
      <c r="O258" s="1">
        <v>1576</v>
      </c>
      <c r="P258" s="1">
        <v>1513</v>
      </c>
      <c r="Q258" s="1">
        <v>1527</v>
      </c>
      <c r="R258" s="1">
        <v>1654</v>
      </c>
      <c r="S258" s="1">
        <v>1726</v>
      </c>
      <c r="T258" s="1">
        <v>1631</v>
      </c>
      <c r="U258" s="1">
        <v>1642</v>
      </c>
      <c r="V258" s="1">
        <v>1587</v>
      </c>
      <c r="W258" s="1">
        <v>1498</v>
      </c>
      <c r="X258" s="1">
        <v>1323</v>
      </c>
      <c r="Y258" s="1">
        <v>1402</v>
      </c>
      <c r="Z258" s="1">
        <v>1403</v>
      </c>
      <c r="AA258" s="1">
        <v>1374</v>
      </c>
      <c r="AB258" s="1">
        <v>1403</v>
      </c>
      <c r="AC258" s="1">
        <v>1408</v>
      </c>
      <c r="AD258" s="1">
        <v>1371</v>
      </c>
      <c r="AE258" s="1">
        <v>1365</v>
      </c>
      <c r="AF258" s="1">
        <v>1350</v>
      </c>
      <c r="AG258" s="1">
        <v>1365</v>
      </c>
      <c r="AH258" s="1">
        <v>1350</v>
      </c>
      <c r="AI258" s="1">
        <v>1377</v>
      </c>
      <c r="AJ258" s="1">
        <v>1390</v>
      </c>
      <c r="AK258" s="1">
        <v>1418</v>
      </c>
      <c r="AL258" s="1">
        <v>1440</v>
      </c>
      <c r="AM258" s="1">
        <v>1442</v>
      </c>
      <c r="AN258" s="1">
        <v>1451</v>
      </c>
      <c r="AO258" s="1">
        <v>1441</v>
      </c>
      <c r="AP258" s="1">
        <v>1452</v>
      </c>
      <c r="AQ258" s="1">
        <v>1427</v>
      </c>
      <c r="AR258" s="1">
        <v>1402</v>
      </c>
      <c r="AS258" s="1">
        <v>1409</v>
      </c>
      <c r="AT258" s="1">
        <v>1446</v>
      </c>
      <c r="AU258" s="1">
        <v>1431</v>
      </c>
      <c r="AV258" s="1">
        <v>1397</v>
      </c>
      <c r="AW258" s="1">
        <v>1366</v>
      </c>
      <c r="AX258" s="1">
        <v>1355</v>
      </c>
      <c r="AY258" s="1">
        <v>1338</v>
      </c>
      <c r="AZ258" s="1">
        <v>1353</v>
      </c>
      <c r="BA258" s="1">
        <v>1329</v>
      </c>
      <c r="BB258" s="1">
        <v>1311</v>
      </c>
      <c r="BC258" s="1">
        <v>1383</v>
      </c>
      <c r="BD258" s="1">
        <v>1392</v>
      </c>
      <c r="BE258" s="1">
        <v>1422</v>
      </c>
      <c r="BF258" s="1">
        <v>1387</v>
      </c>
      <c r="BG258" s="1">
        <v>1398</v>
      </c>
      <c r="BH258" s="1">
        <v>1583</v>
      </c>
      <c r="BI258" s="1">
        <v>1611</v>
      </c>
      <c r="BJ258" s="1">
        <v>1612</v>
      </c>
      <c r="BK258" s="1">
        <v>1580</v>
      </c>
      <c r="BL258" s="1">
        <v>1575</v>
      </c>
    </row>
    <row r="259" spans="1:64">
      <c r="A259" s="65" t="s">
        <v>560</v>
      </c>
      <c r="B259" s="1" t="str">
        <f>銘柄管理!C259</f>
        <v>商船三井</v>
      </c>
      <c r="C259" s="1">
        <f>_xll.RssMarket("9104","安値")</f>
        <v>5372</v>
      </c>
      <c r="E259" s="1">
        <v>5372</v>
      </c>
      <c r="F259" s="1">
        <v>5547</v>
      </c>
      <c r="G259" s="1">
        <v>5570</v>
      </c>
      <c r="H259" s="1">
        <v>5681</v>
      </c>
      <c r="I259" s="1">
        <v>5630</v>
      </c>
      <c r="J259" s="1">
        <v>5613</v>
      </c>
      <c r="K259" s="1">
        <v>5677</v>
      </c>
      <c r="L259" s="1">
        <v>5650</v>
      </c>
      <c r="M259" s="1">
        <v>5431</v>
      </c>
      <c r="N259" s="1">
        <v>5382</v>
      </c>
      <c r="O259" s="1">
        <v>5361</v>
      </c>
      <c r="P259" s="1">
        <v>5371</v>
      </c>
      <c r="Q259" s="1">
        <v>5397</v>
      </c>
      <c r="R259" s="1">
        <v>5430</v>
      </c>
      <c r="S259" s="1">
        <v>5507</v>
      </c>
      <c r="T259" s="1">
        <v>5589</v>
      </c>
      <c r="U259" s="1">
        <v>5703</v>
      </c>
      <c r="V259" s="1">
        <v>5680</v>
      </c>
      <c r="W259" s="1">
        <v>5813</v>
      </c>
      <c r="X259" s="1">
        <v>5823</v>
      </c>
      <c r="Y259" s="1">
        <v>5809</v>
      </c>
      <c r="Z259" s="1">
        <v>5794</v>
      </c>
      <c r="AA259" s="1">
        <v>5762</v>
      </c>
      <c r="AB259" s="1">
        <v>5751</v>
      </c>
      <c r="AC259" s="1">
        <v>5676</v>
      </c>
      <c r="AD259" s="1">
        <v>5676</v>
      </c>
      <c r="AE259" s="1">
        <v>5723</v>
      </c>
      <c r="AF259" s="1">
        <v>5789</v>
      </c>
      <c r="AG259" s="1">
        <v>5765</v>
      </c>
      <c r="AH259" s="1">
        <v>5775</v>
      </c>
      <c r="AI259" s="1">
        <v>5761</v>
      </c>
      <c r="AJ259" s="1">
        <v>6064</v>
      </c>
      <c r="AK259" s="1">
        <v>5921</v>
      </c>
      <c r="AL259" s="1">
        <v>6051</v>
      </c>
      <c r="AM259" s="1">
        <v>6018</v>
      </c>
      <c r="AN259" s="1">
        <v>6090</v>
      </c>
      <c r="AO259" s="1">
        <v>6305</v>
      </c>
      <c r="AP259" s="1">
        <v>6267</v>
      </c>
      <c r="AQ259" s="1">
        <v>6231</v>
      </c>
      <c r="AR259" s="1">
        <v>6248</v>
      </c>
      <c r="AS259" s="1">
        <v>6382</v>
      </c>
      <c r="AT259" s="1">
        <v>6423</v>
      </c>
      <c r="AU259" s="1">
        <v>6580</v>
      </c>
      <c r="AV259" s="1">
        <v>6556</v>
      </c>
      <c r="AW259" s="1">
        <v>6792</v>
      </c>
      <c r="AX259" s="1">
        <v>6762</v>
      </c>
      <c r="AY259" s="1">
        <v>6667</v>
      </c>
      <c r="AZ259" s="1">
        <v>6481</v>
      </c>
      <c r="BA259" s="1">
        <v>6200</v>
      </c>
      <c r="BB259" s="1">
        <v>6496</v>
      </c>
      <c r="BC259" s="1">
        <v>6655</v>
      </c>
      <c r="BD259" s="1">
        <v>6778</v>
      </c>
      <c r="BE259" s="1">
        <v>6681</v>
      </c>
      <c r="BF259" s="1">
        <v>6338</v>
      </c>
      <c r="BG259" s="1">
        <v>6314</v>
      </c>
      <c r="BH259" s="1">
        <v>6346</v>
      </c>
      <c r="BI259" s="1">
        <v>6964</v>
      </c>
      <c r="BJ259" s="1">
        <v>6445</v>
      </c>
      <c r="BK259" s="1">
        <v>6041</v>
      </c>
      <c r="BL259" s="1">
        <v>6008</v>
      </c>
    </row>
    <row r="260" spans="1:64">
      <c r="A260" s="65" t="s">
        <v>561</v>
      </c>
      <c r="B260" s="1" t="str">
        <f>銘柄管理!C260</f>
        <v>千代田化工建</v>
      </c>
      <c r="C260" s="1">
        <f>_xll.RssMarket("6366","安値")</f>
        <v>773</v>
      </c>
      <c r="E260" s="1">
        <v>773</v>
      </c>
      <c r="F260" s="1">
        <v>736</v>
      </c>
      <c r="G260" s="1">
        <v>753</v>
      </c>
      <c r="H260" s="1">
        <v>702</v>
      </c>
      <c r="I260" s="1">
        <v>644</v>
      </c>
      <c r="J260" s="1">
        <v>667</v>
      </c>
      <c r="K260" s="1">
        <v>687</v>
      </c>
      <c r="L260" s="1">
        <v>712</v>
      </c>
      <c r="M260" s="1">
        <v>687</v>
      </c>
      <c r="N260" s="1">
        <v>695</v>
      </c>
      <c r="O260" s="1">
        <v>685</v>
      </c>
      <c r="P260" s="1">
        <v>725</v>
      </c>
      <c r="Q260" s="1">
        <v>771</v>
      </c>
      <c r="R260" s="1">
        <v>796</v>
      </c>
      <c r="S260" s="1">
        <v>685</v>
      </c>
      <c r="T260" s="1">
        <v>703</v>
      </c>
      <c r="U260" s="1">
        <v>704</v>
      </c>
      <c r="V260" s="1">
        <v>759</v>
      </c>
      <c r="W260" s="1">
        <v>751</v>
      </c>
      <c r="X260" s="1">
        <v>790</v>
      </c>
      <c r="Y260" s="1">
        <v>803</v>
      </c>
      <c r="Z260" s="1">
        <v>791</v>
      </c>
      <c r="AA260" s="1">
        <v>746</v>
      </c>
      <c r="AB260" s="1">
        <v>843</v>
      </c>
      <c r="AC260" s="1">
        <v>982</v>
      </c>
      <c r="AD260" s="1">
        <v>1020</v>
      </c>
      <c r="AE260" s="1">
        <v>994</v>
      </c>
      <c r="AF260" s="1">
        <v>1008</v>
      </c>
      <c r="AG260" s="1">
        <v>1027</v>
      </c>
      <c r="AH260" s="1">
        <v>977</v>
      </c>
      <c r="AI260" s="1">
        <v>1018</v>
      </c>
      <c r="AJ260" s="1">
        <v>1028</v>
      </c>
      <c r="AK260" s="1">
        <v>1037</v>
      </c>
      <c r="AL260" s="1">
        <v>1061</v>
      </c>
      <c r="AM260" s="1">
        <v>1109</v>
      </c>
      <c r="AN260" s="1">
        <v>1131</v>
      </c>
      <c r="AO260" s="1">
        <v>1113</v>
      </c>
      <c r="AP260" s="1">
        <v>1100</v>
      </c>
      <c r="AQ260" s="1">
        <v>1117</v>
      </c>
      <c r="AR260" s="1">
        <v>1108</v>
      </c>
      <c r="AS260" s="1">
        <v>1131</v>
      </c>
      <c r="AT260" s="1">
        <v>1117</v>
      </c>
      <c r="AU260" s="1">
        <v>1055</v>
      </c>
      <c r="AV260" s="1">
        <v>946</v>
      </c>
      <c r="AW260" s="1">
        <v>967</v>
      </c>
      <c r="AX260" s="1">
        <v>961</v>
      </c>
      <c r="AY260" s="1">
        <v>952</v>
      </c>
      <c r="AZ260" s="1">
        <v>904</v>
      </c>
      <c r="BA260" s="1">
        <v>861</v>
      </c>
      <c r="BB260" s="1">
        <v>816</v>
      </c>
      <c r="BC260" s="1">
        <v>884</v>
      </c>
      <c r="BD260" s="1">
        <v>920</v>
      </c>
      <c r="BE260" s="1">
        <v>1038</v>
      </c>
      <c r="BF260" s="1">
        <v>1004</v>
      </c>
      <c r="BG260" s="1">
        <v>996</v>
      </c>
      <c r="BH260" s="1">
        <v>1125</v>
      </c>
      <c r="BI260" s="1">
        <v>1110</v>
      </c>
      <c r="BJ260" s="1">
        <v>1044</v>
      </c>
      <c r="BK260" s="1">
        <v>1028</v>
      </c>
      <c r="BL260" s="1">
        <v>1021</v>
      </c>
    </row>
    <row r="261" spans="1:64">
      <c r="A261" s="65" t="s">
        <v>562</v>
      </c>
      <c r="B261" s="1" t="str">
        <f>銘柄管理!C261</f>
        <v>旭ダイヤモンド</v>
      </c>
      <c r="C261" s="1">
        <f>_xll.RssMarket("6140","安値")</f>
        <v>1281</v>
      </c>
      <c r="E261" s="1">
        <v>1281</v>
      </c>
      <c r="F261" s="1">
        <v>1262</v>
      </c>
      <c r="G261" s="1">
        <v>1230</v>
      </c>
      <c r="H261" s="1">
        <v>1170</v>
      </c>
      <c r="I261" s="1">
        <v>1212</v>
      </c>
      <c r="J261" s="1">
        <v>1269</v>
      </c>
      <c r="K261" s="1">
        <v>1299</v>
      </c>
      <c r="L261" s="1">
        <v>1297</v>
      </c>
      <c r="M261" s="1">
        <v>1310</v>
      </c>
      <c r="N261" s="1">
        <v>1273</v>
      </c>
      <c r="O261" s="1">
        <v>1343</v>
      </c>
      <c r="P261" s="1">
        <v>1306</v>
      </c>
      <c r="Q261" s="1">
        <v>1342</v>
      </c>
      <c r="R261" s="1">
        <v>1347</v>
      </c>
      <c r="S261" s="1">
        <v>1268</v>
      </c>
      <c r="T261" s="1">
        <v>1272</v>
      </c>
      <c r="U261" s="1">
        <v>1245</v>
      </c>
      <c r="V261" s="1">
        <v>1244</v>
      </c>
      <c r="W261" s="1">
        <v>1267</v>
      </c>
      <c r="X261" s="1">
        <v>1302</v>
      </c>
      <c r="Y261" s="1">
        <v>1356</v>
      </c>
      <c r="Z261" s="1">
        <v>1331</v>
      </c>
      <c r="AA261" s="1">
        <v>1326</v>
      </c>
      <c r="AB261" s="1">
        <v>1309</v>
      </c>
      <c r="AC261" s="1">
        <v>1296</v>
      </c>
      <c r="AD261" s="1">
        <v>1286</v>
      </c>
      <c r="AE261" s="1">
        <v>1271</v>
      </c>
      <c r="AF261" s="1">
        <v>1271</v>
      </c>
      <c r="AG261" s="1">
        <v>1286</v>
      </c>
      <c r="AH261" s="1">
        <v>1275</v>
      </c>
      <c r="AI261" s="1">
        <v>1292</v>
      </c>
      <c r="AJ261" s="1">
        <v>1250</v>
      </c>
      <c r="AK261" s="1">
        <v>1271</v>
      </c>
      <c r="AL261" s="1">
        <v>1301</v>
      </c>
      <c r="AM261" s="1">
        <v>1308</v>
      </c>
      <c r="AN261" s="1">
        <v>1260</v>
      </c>
      <c r="AO261" s="1">
        <v>1159</v>
      </c>
      <c r="AP261" s="1">
        <v>1157</v>
      </c>
      <c r="AQ261" s="1">
        <v>1167</v>
      </c>
      <c r="AR261" s="1">
        <v>1137</v>
      </c>
      <c r="AS261" s="1">
        <v>1157</v>
      </c>
      <c r="AT261" s="1">
        <v>1152</v>
      </c>
      <c r="AU261" s="1">
        <v>1191</v>
      </c>
      <c r="AV261" s="1">
        <v>1144</v>
      </c>
      <c r="AW261" s="1">
        <v>1155</v>
      </c>
      <c r="AX261" s="1">
        <v>1197</v>
      </c>
      <c r="AY261" s="1">
        <v>1217</v>
      </c>
      <c r="AZ261" s="1">
        <v>1211</v>
      </c>
      <c r="BA261" s="1">
        <v>1181</v>
      </c>
      <c r="BB261" s="1">
        <v>1194</v>
      </c>
      <c r="BC261" s="1">
        <v>1242</v>
      </c>
      <c r="BD261" s="1">
        <v>1228</v>
      </c>
      <c r="BE261" s="1">
        <v>1252</v>
      </c>
      <c r="BF261" s="1">
        <v>1222</v>
      </c>
      <c r="BG261" s="1">
        <v>1221</v>
      </c>
      <c r="BH261" s="1">
        <v>1326</v>
      </c>
      <c r="BI261" s="1">
        <v>1358</v>
      </c>
      <c r="BJ261" s="1">
        <v>1350</v>
      </c>
      <c r="BK261" s="1">
        <v>1341</v>
      </c>
      <c r="BL261" s="1">
        <v>1310</v>
      </c>
    </row>
    <row r="262" spans="1:64">
      <c r="A262" s="65" t="s">
        <v>563</v>
      </c>
      <c r="B262" s="1" t="str">
        <f>銘柄管理!C262</f>
        <v>住石ホールディングス</v>
      </c>
      <c r="C262" s="1">
        <f>_xll.RssMarket("1514","安値")</f>
        <v>541</v>
      </c>
      <c r="E262" s="1">
        <v>541</v>
      </c>
      <c r="F262" s="1">
        <v>543</v>
      </c>
      <c r="G262" s="1">
        <v>545</v>
      </c>
      <c r="H262" s="1">
        <v>547</v>
      </c>
      <c r="I262" s="1">
        <v>542</v>
      </c>
      <c r="J262" s="1">
        <v>550</v>
      </c>
      <c r="K262" s="1">
        <v>563</v>
      </c>
      <c r="L262" s="1">
        <v>564</v>
      </c>
      <c r="M262" s="1">
        <v>550</v>
      </c>
      <c r="N262" s="1">
        <v>558</v>
      </c>
      <c r="O262" s="1">
        <v>557</v>
      </c>
      <c r="P262" s="1">
        <v>585</v>
      </c>
      <c r="Q262" s="1">
        <v>599</v>
      </c>
      <c r="R262" s="1">
        <v>580</v>
      </c>
      <c r="S262" s="1">
        <v>593</v>
      </c>
      <c r="T262" s="1">
        <v>582</v>
      </c>
      <c r="U262" s="1">
        <v>586</v>
      </c>
      <c r="V262" s="1">
        <v>615</v>
      </c>
      <c r="W262" s="1">
        <v>617</v>
      </c>
      <c r="X262" s="1">
        <v>693</v>
      </c>
      <c r="Y262" s="1">
        <v>708</v>
      </c>
      <c r="Z262" s="1">
        <v>723</v>
      </c>
      <c r="AA262" s="1">
        <v>724</v>
      </c>
      <c r="AB262" s="1">
        <v>738</v>
      </c>
      <c r="AC262" s="1">
        <v>736</v>
      </c>
      <c r="AD262" s="1">
        <v>735</v>
      </c>
      <c r="AE262" s="1">
        <v>749</v>
      </c>
      <c r="AF262" s="1">
        <v>765</v>
      </c>
      <c r="AG262" s="1">
        <v>768</v>
      </c>
      <c r="AH262" s="1">
        <v>762</v>
      </c>
      <c r="AI262" s="1">
        <v>774</v>
      </c>
      <c r="AJ262" s="1">
        <v>802</v>
      </c>
      <c r="AK262" s="1">
        <v>823</v>
      </c>
      <c r="AL262" s="1">
        <v>848</v>
      </c>
      <c r="AM262" s="1">
        <v>850</v>
      </c>
      <c r="AN262" s="1">
        <v>838</v>
      </c>
      <c r="AO262" s="1">
        <v>871</v>
      </c>
      <c r="AP262" s="1">
        <v>837</v>
      </c>
      <c r="AQ262" s="1">
        <v>837</v>
      </c>
      <c r="AR262" s="1">
        <v>853</v>
      </c>
      <c r="AS262" s="1">
        <v>819</v>
      </c>
      <c r="AT262" s="1">
        <v>865</v>
      </c>
      <c r="AU262" s="1">
        <v>863</v>
      </c>
      <c r="AV262" s="1">
        <v>893</v>
      </c>
      <c r="AW262" s="1">
        <v>916</v>
      </c>
      <c r="AX262" s="1">
        <v>935</v>
      </c>
      <c r="AY262" s="1">
        <v>925</v>
      </c>
      <c r="AZ262" s="1">
        <v>937</v>
      </c>
      <c r="BA262" s="1">
        <v>985</v>
      </c>
      <c r="BB262" s="1">
        <v>1048</v>
      </c>
      <c r="BC262" s="1">
        <v>991</v>
      </c>
      <c r="BD262" s="1">
        <v>851</v>
      </c>
      <c r="BE262" s="1">
        <v>862</v>
      </c>
      <c r="BF262" s="1">
        <v>840</v>
      </c>
      <c r="BG262" s="1">
        <v>864</v>
      </c>
      <c r="BH262" s="1">
        <v>939</v>
      </c>
      <c r="BI262" s="1">
        <v>976</v>
      </c>
      <c r="BJ262" s="1">
        <v>1020</v>
      </c>
      <c r="BK262" s="1">
        <v>1007</v>
      </c>
      <c r="BL262" s="1">
        <v>1030</v>
      </c>
    </row>
    <row r="263" spans="1:64">
      <c r="A263" s="65" t="s">
        <v>564</v>
      </c>
      <c r="B263" s="1" t="str">
        <f>銘柄管理!C263</f>
        <v>日本製鋼所</v>
      </c>
      <c r="C263" s="1">
        <f>_xll.RssMarket("5631","安値")</f>
        <v>7839</v>
      </c>
      <c r="E263" s="1">
        <v>7839</v>
      </c>
      <c r="F263" s="1">
        <v>7669</v>
      </c>
      <c r="G263" s="1">
        <v>7600</v>
      </c>
      <c r="H263" s="1">
        <v>7411</v>
      </c>
      <c r="I263" s="1">
        <v>6694</v>
      </c>
      <c r="J263" s="1">
        <v>7063</v>
      </c>
      <c r="K263" s="1">
        <v>7341</v>
      </c>
      <c r="L263" s="1">
        <v>7486</v>
      </c>
      <c r="M263" s="1">
        <v>7172</v>
      </c>
      <c r="N263" s="1">
        <v>7280</v>
      </c>
      <c r="O263" s="1">
        <v>7115</v>
      </c>
      <c r="P263" s="1">
        <v>7656</v>
      </c>
      <c r="Q263" s="1">
        <v>7615</v>
      </c>
      <c r="R263" s="1">
        <v>7950</v>
      </c>
      <c r="S263" s="1">
        <v>7860</v>
      </c>
      <c r="T263" s="1">
        <v>7728</v>
      </c>
      <c r="U263" s="1">
        <v>7612</v>
      </c>
      <c r="V263" s="1">
        <v>7638</v>
      </c>
      <c r="W263" s="1">
        <v>7678</v>
      </c>
      <c r="X263" s="1">
        <v>7650</v>
      </c>
      <c r="Y263" s="1">
        <v>7757</v>
      </c>
      <c r="Z263" s="1">
        <v>8032</v>
      </c>
      <c r="AA263" s="1">
        <v>8652</v>
      </c>
      <c r="AB263" s="1">
        <v>8771</v>
      </c>
      <c r="AC263" s="1">
        <v>8915</v>
      </c>
      <c r="AD263" s="1">
        <v>8951</v>
      </c>
      <c r="AE263" s="1">
        <v>9165</v>
      </c>
      <c r="AF263" s="1">
        <v>9273</v>
      </c>
      <c r="AG263" s="1">
        <v>9444</v>
      </c>
      <c r="AH263" s="1">
        <v>9600</v>
      </c>
      <c r="AI263" s="1">
        <v>9485</v>
      </c>
      <c r="AJ263" s="1">
        <v>9695</v>
      </c>
      <c r="AK263" s="1">
        <v>9431</v>
      </c>
      <c r="AL263" s="1">
        <v>9217</v>
      </c>
      <c r="AM263" s="1">
        <v>8968</v>
      </c>
      <c r="AN263" s="1">
        <v>9080</v>
      </c>
      <c r="AO263" s="1">
        <v>9061</v>
      </c>
      <c r="AP263" s="1">
        <v>9032</v>
      </c>
      <c r="AQ263" s="1">
        <v>9032</v>
      </c>
      <c r="AR263" s="1">
        <v>9726</v>
      </c>
      <c r="AS263" s="1">
        <v>9520</v>
      </c>
      <c r="AT263" s="1">
        <v>9815</v>
      </c>
      <c r="AU263" s="1">
        <v>9620</v>
      </c>
      <c r="AV263" s="1">
        <v>9618</v>
      </c>
      <c r="AW263" s="1">
        <v>9434</v>
      </c>
      <c r="AX263" s="1">
        <v>9401</v>
      </c>
      <c r="AY263" s="1">
        <v>9321</v>
      </c>
      <c r="AZ263" s="1">
        <v>8936</v>
      </c>
      <c r="BA263" s="1">
        <v>8833</v>
      </c>
      <c r="BB263" s="1">
        <v>8360</v>
      </c>
      <c r="BC263" s="1">
        <v>8537</v>
      </c>
      <c r="BD263" s="1">
        <v>8958</v>
      </c>
      <c r="BE263" s="1">
        <v>9388</v>
      </c>
      <c r="BF263" s="1">
        <v>9171</v>
      </c>
      <c r="BG263" s="1">
        <v>9053</v>
      </c>
      <c r="BH263" s="1">
        <v>9388</v>
      </c>
      <c r="BI263" s="1">
        <v>9781</v>
      </c>
      <c r="BJ263" s="1">
        <v>9600</v>
      </c>
      <c r="BK263" s="1">
        <v>9581</v>
      </c>
      <c r="BL263" s="1">
        <v>9625</v>
      </c>
    </row>
    <row r="264" spans="1:64">
      <c r="A264" s="65" t="s">
        <v>565</v>
      </c>
      <c r="B264" s="1" t="str">
        <f>銘柄管理!C264</f>
        <v>ジーエス・ユアサコーポ</v>
      </c>
      <c r="C264" s="1">
        <f>_xll.RssMarket("6674","安値")</f>
        <v>6580</v>
      </c>
      <c r="E264" s="1">
        <v>6580</v>
      </c>
      <c r="F264" s="1">
        <v>6265</v>
      </c>
      <c r="G264" s="1">
        <v>6196</v>
      </c>
      <c r="H264" s="1">
        <v>6197</v>
      </c>
      <c r="I264" s="1">
        <v>5971</v>
      </c>
      <c r="J264" s="1">
        <v>6369</v>
      </c>
      <c r="K264" s="1">
        <v>6595</v>
      </c>
      <c r="L264" s="1">
        <v>7080</v>
      </c>
      <c r="M264" s="1">
        <v>7143</v>
      </c>
      <c r="N264" s="1">
        <v>7031</v>
      </c>
      <c r="O264" s="1">
        <v>6618</v>
      </c>
      <c r="P264" s="1">
        <v>6470</v>
      </c>
      <c r="Q264" s="1">
        <v>6284</v>
      </c>
      <c r="R264" s="1">
        <v>6298</v>
      </c>
      <c r="S264" s="1">
        <v>6268</v>
      </c>
      <c r="T264" s="1">
        <v>6017</v>
      </c>
      <c r="U264" s="1">
        <v>5956</v>
      </c>
      <c r="V264" s="1">
        <v>6044</v>
      </c>
      <c r="W264" s="1">
        <v>6154</v>
      </c>
      <c r="X264" s="1">
        <v>6180</v>
      </c>
      <c r="Y264" s="1">
        <v>6251</v>
      </c>
      <c r="Z264" s="1">
        <v>6130</v>
      </c>
      <c r="AA264" s="1">
        <v>6130</v>
      </c>
      <c r="AB264" s="1">
        <v>6605</v>
      </c>
      <c r="AC264" s="1">
        <v>6499</v>
      </c>
      <c r="AD264" s="1">
        <v>6412</v>
      </c>
      <c r="AE264" s="1">
        <v>6457</v>
      </c>
      <c r="AF264" s="1">
        <v>6224</v>
      </c>
      <c r="AG264" s="1">
        <v>6080</v>
      </c>
      <c r="AH264" s="1">
        <v>6080</v>
      </c>
      <c r="AI264" s="1">
        <v>6160</v>
      </c>
      <c r="AJ264" s="1">
        <v>6223</v>
      </c>
      <c r="AK264" s="1">
        <v>6244</v>
      </c>
      <c r="AL264" s="1">
        <v>6354</v>
      </c>
      <c r="AM264" s="1">
        <v>6602</v>
      </c>
      <c r="AN264" s="1">
        <v>6540</v>
      </c>
      <c r="AO264" s="1">
        <v>6703</v>
      </c>
      <c r="AP264" s="1">
        <v>6578</v>
      </c>
      <c r="AQ264" s="1">
        <v>6550</v>
      </c>
      <c r="AR264" s="1">
        <v>6435</v>
      </c>
      <c r="AS264" s="1">
        <v>6258</v>
      </c>
      <c r="AT264" s="1">
        <v>6200</v>
      </c>
      <c r="AU264" s="1">
        <v>6150</v>
      </c>
      <c r="AV264" s="1">
        <v>5994</v>
      </c>
      <c r="AW264" s="1">
        <v>5825</v>
      </c>
      <c r="AX264" s="1">
        <v>5900</v>
      </c>
      <c r="AY264" s="1">
        <v>5690</v>
      </c>
      <c r="AZ264" s="1">
        <v>5573</v>
      </c>
      <c r="BA264" s="1">
        <v>5528</v>
      </c>
      <c r="BB264" s="1">
        <v>5223</v>
      </c>
      <c r="BC264" s="1">
        <v>5108</v>
      </c>
      <c r="BD264" s="1">
        <v>5011</v>
      </c>
      <c r="BE264" s="1">
        <v>5114</v>
      </c>
      <c r="BF264" s="1">
        <v>5125</v>
      </c>
      <c r="BG264" s="1">
        <v>4942</v>
      </c>
      <c r="BH264" s="1">
        <v>4710</v>
      </c>
      <c r="BI264" s="1">
        <v>5058</v>
      </c>
      <c r="BJ264" s="1">
        <v>5075</v>
      </c>
      <c r="BK264" s="1">
        <v>5070</v>
      </c>
      <c r="BL264" s="1">
        <v>4954</v>
      </c>
    </row>
    <row r="265" spans="1:64">
      <c r="A265" s="65" t="s">
        <v>566</v>
      </c>
      <c r="B265" s="1" t="str">
        <f>銘柄管理!C265</f>
        <v>ＦＤＫ</v>
      </c>
      <c r="C265" s="1">
        <f>_xll.RssMarket("6955","安値")</f>
        <v>488</v>
      </c>
      <c r="E265" s="1">
        <v>488</v>
      </c>
      <c r="F265" s="1">
        <v>467</v>
      </c>
      <c r="G265" s="1">
        <v>471</v>
      </c>
      <c r="H265" s="1">
        <v>495</v>
      </c>
      <c r="I265" s="1">
        <v>488</v>
      </c>
      <c r="J265" s="1">
        <v>513</v>
      </c>
      <c r="K265" s="1">
        <v>591</v>
      </c>
      <c r="L265" s="1">
        <v>488</v>
      </c>
      <c r="M265" s="1">
        <v>481</v>
      </c>
      <c r="N265" s="1">
        <v>453</v>
      </c>
      <c r="O265" s="1">
        <v>426</v>
      </c>
      <c r="P265" s="1">
        <v>422</v>
      </c>
      <c r="Q265" s="1">
        <v>407</v>
      </c>
      <c r="R265" s="1">
        <v>400</v>
      </c>
      <c r="S265" s="1">
        <v>407</v>
      </c>
      <c r="T265" s="1">
        <v>404</v>
      </c>
      <c r="U265" s="1">
        <v>402</v>
      </c>
      <c r="V265" s="1">
        <v>412</v>
      </c>
      <c r="W265" s="1">
        <v>410</v>
      </c>
      <c r="X265" s="1">
        <v>418</v>
      </c>
      <c r="Y265" s="1">
        <v>420</v>
      </c>
      <c r="Z265" s="1">
        <v>426</v>
      </c>
      <c r="AA265" s="1">
        <v>430</v>
      </c>
      <c r="AB265" s="1">
        <v>425</v>
      </c>
      <c r="AC265" s="1">
        <v>433</v>
      </c>
      <c r="AD265" s="1">
        <v>449</v>
      </c>
      <c r="AE265" s="1">
        <v>425</v>
      </c>
      <c r="AF265" s="1">
        <v>415</v>
      </c>
      <c r="AG265" s="1">
        <v>445</v>
      </c>
      <c r="AH265" s="1">
        <v>450</v>
      </c>
      <c r="AI265" s="1">
        <v>450</v>
      </c>
      <c r="AJ265" s="1">
        <v>445</v>
      </c>
      <c r="AK265" s="1">
        <v>442</v>
      </c>
      <c r="AL265" s="1">
        <v>450</v>
      </c>
      <c r="AM265" s="1">
        <v>448</v>
      </c>
      <c r="AN265" s="1">
        <v>445</v>
      </c>
      <c r="AO265" s="1">
        <v>450</v>
      </c>
      <c r="AP265" s="1">
        <v>445</v>
      </c>
      <c r="AQ265" s="1">
        <v>452</v>
      </c>
      <c r="AR265" s="1">
        <v>441</v>
      </c>
      <c r="AS265" s="1">
        <v>447</v>
      </c>
      <c r="AT265" s="1">
        <v>468</v>
      </c>
      <c r="AU265" s="1">
        <v>478</v>
      </c>
      <c r="AV265" s="1">
        <v>464</v>
      </c>
      <c r="AW265" s="1">
        <v>474</v>
      </c>
      <c r="AX265" s="1">
        <v>462</v>
      </c>
      <c r="AY265" s="1">
        <v>459</v>
      </c>
      <c r="AZ265" s="1">
        <v>470</v>
      </c>
      <c r="BA265" s="1">
        <v>463</v>
      </c>
      <c r="BB265" s="1">
        <v>463</v>
      </c>
      <c r="BC265" s="1">
        <v>476</v>
      </c>
      <c r="BD265" s="1">
        <v>484</v>
      </c>
      <c r="BE265" s="1">
        <v>484</v>
      </c>
      <c r="BF265" s="1">
        <v>463</v>
      </c>
      <c r="BG265" s="1">
        <v>462</v>
      </c>
      <c r="BH265" s="1">
        <v>486</v>
      </c>
      <c r="BI265" s="1">
        <v>506</v>
      </c>
      <c r="BJ265" s="1">
        <v>476</v>
      </c>
      <c r="BK265" s="1">
        <v>447</v>
      </c>
      <c r="BL265" s="1">
        <v>443</v>
      </c>
    </row>
    <row r="266" spans="1:64">
      <c r="A266" s="65" t="s">
        <v>567</v>
      </c>
      <c r="B266" s="1" t="str">
        <f>銘柄管理!C266</f>
        <v>インフォメティス</v>
      </c>
      <c r="C266" s="1">
        <f>_xll.RssMarket("281A","安値")</f>
        <v>602</v>
      </c>
      <c r="E266" s="1">
        <v>602</v>
      </c>
      <c r="F266" s="1">
        <v>604</v>
      </c>
      <c r="G266" s="1">
        <v>634</v>
      </c>
      <c r="H266" s="1">
        <v>526</v>
      </c>
      <c r="I266" s="1">
        <v>518</v>
      </c>
      <c r="J266" s="1">
        <v>515</v>
      </c>
      <c r="K266" s="1">
        <v>568</v>
      </c>
      <c r="L266" s="1">
        <v>606</v>
      </c>
      <c r="M266" s="1">
        <v>650</v>
      </c>
      <c r="N266" s="1">
        <v>665</v>
      </c>
      <c r="O266" s="1">
        <v>679</v>
      </c>
      <c r="P266" s="1">
        <v>759</v>
      </c>
      <c r="Q266" s="1">
        <v>802</v>
      </c>
      <c r="R266" s="1">
        <v>811</v>
      </c>
      <c r="S266" s="1">
        <v>840</v>
      </c>
      <c r="T266" s="1">
        <v>758</v>
      </c>
      <c r="U266" s="1">
        <v>722</v>
      </c>
      <c r="V266" s="1">
        <v>754</v>
      </c>
      <c r="W266" s="1">
        <v>790</v>
      </c>
      <c r="X266" s="1">
        <v>730</v>
      </c>
      <c r="Y266" s="1">
        <v>749</v>
      </c>
      <c r="Z266" s="1">
        <v>712</v>
      </c>
      <c r="AA266" s="1">
        <v>715</v>
      </c>
      <c r="AB266" s="1">
        <v>726</v>
      </c>
      <c r="AC266" s="1">
        <v>782</v>
      </c>
      <c r="AD266" s="1">
        <v>753</v>
      </c>
      <c r="AE266" s="1">
        <v>680</v>
      </c>
      <c r="AF266" s="1">
        <v>710</v>
      </c>
      <c r="AG266" s="1">
        <v>683</v>
      </c>
      <c r="AH266" s="1">
        <v>712</v>
      </c>
      <c r="AI266" s="1">
        <v>755</v>
      </c>
      <c r="AJ266" s="1">
        <v>738</v>
      </c>
      <c r="AK266" s="1">
        <v>764</v>
      </c>
      <c r="AL266" s="1">
        <v>757</v>
      </c>
      <c r="AM266" s="1">
        <v>870</v>
      </c>
      <c r="AN266" s="1">
        <v>803</v>
      </c>
      <c r="AO266" s="1">
        <v>731</v>
      </c>
      <c r="AP266" s="1">
        <v>712</v>
      </c>
      <c r="AQ266" s="1">
        <v>661</v>
      </c>
      <c r="AR266" s="1">
        <v>643</v>
      </c>
      <c r="AS266" s="1">
        <v>631</v>
      </c>
      <c r="AT266" s="1">
        <v>620</v>
      </c>
      <c r="AU266" s="1">
        <v>558</v>
      </c>
      <c r="AV266" s="1">
        <v>515</v>
      </c>
      <c r="AW266" s="1">
        <v>527</v>
      </c>
      <c r="AX266" s="1">
        <v>517</v>
      </c>
      <c r="AY266" s="1">
        <v>445</v>
      </c>
      <c r="AZ266" s="1">
        <v>428</v>
      </c>
      <c r="BA266" s="1">
        <v>444</v>
      </c>
      <c r="BB266" s="1">
        <v>454</v>
      </c>
      <c r="BC266" s="1">
        <v>441</v>
      </c>
      <c r="BD266" s="1">
        <v>442</v>
      </c>
      <c r="BE266" s="1">
        <v>465</v>
      </c>
      <c r="BF266" s="1">
        <v>560</v>
      </c>
      <c r="BG266" s="1">
        <v>600</v>
      </c>
      <c r="BH266" s="1">
        <v>525</v>
      </c>
      <c r="BI266" s="1">
        <v>505</v>
      </c>
      <c r="BJ266" s="1">
        <v>470</v>
      </c>
      <c r="BK266" s="1">
        <v>497</v>
      </c>
      <c r="BL266" s="1">
        <v>339</v>
      </c>
    </row>
    <row r="267" spans="1:64">
      <c r="A267" s="65" t="s">
        <v>568</v>
      </c>
      <c r="B267" s="1" t="str">
        <f>銘柄管理!C267</f>
        <v>日本ギア工業</v>
      </c>
      <c r="C267" s="1">
        <f>_xll.RssMarket("6356","安値")</f>
        <v>1393</v>
      </c>
      <c r="E267" s="1">
        <v>1393</v>
      </c>
      <c r="F267" s="1">
        <v>1360</v>
      </c>
      <c r="G267" s="1">
        <v>1402</v>
      </c>
      <c r="H267" s="1">
        <v>1393</v>
      </c>
      <c r="I267" s="1">
        <v>1329</v>
      </c>
      <c r="J267" s="1">
        <v>1416</v>
      </c>
      <c r="K267" s="1">
        <v>1431</v>
      </c>
      <c r="L267" s="1">
        <v>1517</v>
      </c>
      <c r="M267" s="1">
        <v>1451</v>
      </c>
      <c r="N267" s="1">
        <v>1448</v>
      </c>
      <c r="O267" s="1">
        <v>1442</v>
      </c>
      <c r="P267" s="1">
        <v>1633</v>
      </c>
      <c r="Q267" s="1">
        <v>1622</v>
      </c>
      <c r="R267" s="1">
        <v>1670</v>
      </c>
      <c r="S267" s="1">
        <v>1496</v>
      </c>
      <c r="T267" s="1">
        <v>1361</v>
      </c>
      <c r="U267" s="1">
        <v>1345</v>
      </c>
      <c r="V267" s="1">
        <v>1341</v>
      </c>
      <c r="W267" s="1">
        <v>1403</v>
      </c>
      <c r="X267" s="1">
        <v>1361</v>
      </c>
      <c r="Y267" s="1">
        <v>1366</v>
      </c>
      <c r="Z267" s="1">
        <v>1403</v>
      </c>
      <c r="AA267" s="1">
        <v>1397</v>
      </c>
      <c r="AB267" s="1">
        <v>1457</v>
      </c>
      <c r="AC267" s="1">
        <v>1474</v>
      </c>
      <c r="AD267" s="1">
        <v>1464</v>
      </c>
      <c r="AE267" s="1">
        <v>1434</v>
      </c>
      <c r="AF267" s="1">
        <v>1485</v>
      </c>
      <c r="AG267" s="1">
        <v>1586</v>
      </c>
      <c r="AH267" s="1">
        <v>1628</v>
      </c>
      <c r="AI267" s="1">
        <v>1550</v>
      </c>
      <c r="AJ267" s="1">
        <v>1452</v>
      </c>
      <c r="AK267" s="1">
        <v>1411</v>
      </c>
      <c r="AL267" s="1">
        <v>1225</v>
      </c>
      <c r="AM267" s="1">
        <v>1258</v>
      </c>
      <c r="AN267" s="1">
        <v>1304</v>
      </c>
      <c r="AO267" s="1">
        <v>1293</v>
      </c>
      <c r="AP267" s="1">
        <v>1319</v>
      </c>
      <c r="AQ267" s="1">
        <v>1254</v>
      </c>
      <c r="AR267" s="1">
        <v>1271</v>
      </c>
      <c r="AS267" s="1">
        <v>1195</v>
      </c>
      <c r="AT267" s="1">
        <v>1232</v>
      </c>
      <c r="AU267" s="1">
        <v>1250</v>
      </c>
      <c r="AV267" s="1">
        <v>1213</v>
      </c>
      <c r="AW267" s="1">
        <v>1163</v>
      </c>
      <c r="AX267" s="1">
        <v>1181</v>
      </c>
      <c r="AY267" s="1">
        <v>1183</v>
      </c>
      <c r="AZ267" s="1">
        <v>1190</v>
      </c>
      <c r="BA267" s="1">
        <v>1281</v>
      </c>
      <c r="BB267" s="1">
        <v>1313</v>
      </c>
      <c r="BC267" s="1">
        <v>1350</v>
      </c>
      <c r="BD267" s="1">
        <v>1415</v>
      </c>
      <c r="BE267" s="1">
        <v>1443</v>
      </c>
      <c r="BF267" s="1">
        <v>1527</v>
      </c>
      <c r="BG267" s="1">
        <v>1454</v>
      </c>
      <c r="BH267" s="1">
        <v>1500</v>
      </c>
      <c r="BI267" s="1">
        <v>1750</v>
      </c>
      <c r="BJ267" s="1">
        <v>1572</v>
      </c>
      <c r="BK267" s="1">
        <v>1608</v>
      </c>
      <c r="BL267" s="1">
        <v>1761</v>
      </c>
    </row>
    <row r="268" spans="1:64">
      <c r="A268" s="65" t="s">
        <v>569</v>
      </c>
      <c r="B268" s="1" t="str">
        <f>銘柄管理!C268</f>
        <v>助川電気工業</v>
      </c>
      <c r="C268" s="1">
        <f>_xll.RssMarket("7711","安値")</f>
        <v>5160</v>
      </c>
      <c r="E268" s="1">
        <v>5160</v>
      </c>
      <c r="F268" s="1">
        <v>4705</v>
      </c>
      <c r="G268" s="1">
        <v>4805</v>
      </c>
      <c r="H268" s="1">
        <v>4665</v>
      </c>
      <c r="I268" s="1">
        <v>4515</v>
      </c>
      <c r="J268" s="1">
        <v>4645</v>
      </c>
      <c r="K268" s="1">
        <v>5030</v>
      </c>
      <c r="L268" s="1">
        <v>5250</v>
      </c>
      <c r="M268" s="1">
        <v>5010</v>
      </c>
      <c r="N268" s="1">
        <v>5080</v>
      </c>
      <c r="O268" s="1">
        <v>5300</v>
      </c>
      <c r="P268" s="1">
        <v>5400</v>
      </c>
      <c r="Q268" s="1">
        <v>5320</v>
      </c>
      <c r="R268" s="1">
        <v>5080</v>
      </c>
      <c r="S268" s="1">
        <v>5040</v>
      </c>
      <c r="T268" s="1">
        <v>4955</v>
      </c>
      <c r="U268" s="1">
        <v>5160</v>
      </c>
      <c r="V268" s="1">
        <v>5250</v>
      </c>
      <c r="W268" s="1">
        <v>5360</v>
      </c>
      <c r="X268" s="1">
        <v>5370</v>
      </c>
      <c r="Y268" s="1">
        <v>5620</v>
      </c>
      <c r="Z268" s="1">
        <v>5610</v>
      </c>
      <c r="AA268" s="1">
        <v>5820</v>
      </c>
      <c r="AB268" s="1">
        <v>6000</v>
      </c>
      <c r="AC268" s="1">
        <v>6060</v>
      </c>
      <c r="AD268" s="1">
        <v>5870</v>
      </c>
      <c r="AE268" s="1">
        <v>5960</v>
      </c>
      <c r="AF268" s="1">
        <v>6100</v>
      </c>
      <c r="AG268" s="1">
        <v>6170</v>
      </c>
      <c r="AH268" s="1">
        <v>6310</v>
      </c>
      <c r="AI268" s="1">
        <v>6340</v>
      </c>
      <c r="AJ268" s="1">
        <v>6200</v>
      </c>
      <c r="AK268" s="1">
        <v>6120</v>
      </c>
      <c r="AL268" s="1">
        <v>6230</v>
      </c>
      <c r="AM268" s="1">
        <v>6230</v>
      </c>
      <c r="AN268" s="1">
        <v>6150</v>
      </c>
      <c r="AO268" s="1">
        <v>6080</v>
      </c>
      <c r="AP268" s="1">
        <v>6240</v>
      </c>
      <c r="AQ268" s="1">
        <v>6200</v>
      </c>
      <c r="AR268" s="1">
        <v>6240</v>
      </c>
      <c r="AS268" s="1">
        <v>6410</v>
      </c>
      <c r="AT268" s="1">
        <v>6400</v>
      </c>
      <c r="AU268" s="1">
        <v>6220</v>
      </c>
      <c r="AV268" s="1">
        <v>6450</v>
      </c>
      <c r="AW268" s="1">
        <v>6480</v>
      </c>
      <c r="AX268" s="1">
        <v>6430</v>
      </c>
      <c r="AY268" s="1">
        <v>6500</v>
      </c>
      <c r="AZ268" s="1">
        <v>6340</v>
      </c>
      <c r="BA268" s="1">
        <v>6320</v>
      </c>
      <c r="BB268" s="1">
        <v>6550</v>
      </c>
      <c r="BC268" s="1">
        <v>6680</v>
      </c>
      <c r="BD268" s="1">
        <v>6750</v>
      </c>
      <c r="BE268" s="1">
        <v>6570</v>
      </c>
      <c r="BF268" s="1">
        <v>6500</v>
      </c>
      <c r="BG268" s="1">
        <v>7090</v>
      </c>
      <c r="BH268" s="1">
        <v>7120</v>
      </c>
      <c r="BI268" s="1">
        <v>7050</v>
      </c>
      <c r="BJ268" s="1">
        <v>7240</v>
      </c>
      <c r="BK268" s="1">
        <v>7120</v>
      </c>
      <c r="BL268" s="1">
        <v>7180</v>
      </c>
    </row>
    <row r="269" spans="1:64">
      <c r="A269" s="65" t="s">
        <v>570</v>
      </c>
      <c r="B269" s="1" t="str">
        <f>銘柄管理!C269</f>
        <v>日機装</v>
      </c>
      <c r="C269" s="1">
        <f>_xll.RssMarket("6376","安値")</f>
        <v>3715</v>
      </c>
      <c r="E269" s="1">
        <v>3715</v>
      </c>
      <c r="F269" s="1">
        <v>3665</v>
      </c>
      <c r="G269" s="1">
        <v>3690</v>
      </c>
      <c r="H269" s="1">
        <v>3565</v>
      </c>
      <c r="I269" s="1">
        <v>3450</v>
      </c>
      <c r="J269" s="1">
        <v>3390</v>
      </c>
      <c r="K269" s="1">
        <v>3130</v>
      </c>
      <c r="L269" s="1">
        <v>3160</v>
      </c>
      <c r="M269" s="1">
        <v>3035</v>
      </c>
      <c r="N269" s="1">
        <v>3065</v>
      </c>
      <c r="O269" s="1">
        <v>3015</v>
      </c>
      <c r="P269" s="1">
        <v>3105</v>
      </c>
      <c r="Q269" s="1">
        <v>3140</v>
      </c>
      <c r="R269" s="1">
        <v>3255</v>
      </c>
      <c r="S269" s="1">
        <v>3025</v>
      </c>
      <c r="T269" s="1">
        <v>2988</v>
      </c>
      <c r="U269" s="1">
        <v>2794</v>
      </c>
      <c r="V269" s="1">
        <v>2863</v>
      </c>
      <c r="W269" s="1">
        <v>2781</v>
      </c>
      <c r="X269" s="1">
        <v>2530</v>
      </c>
      <c r="Y269" s="1">
        <v>2614</v>
      </c>
      <c r="Z269" s="1">
        <v>2582</v>
      </c>
      <c r="AA269" s="1">
        <v>2643</v>
      </c>
      <c r="AB269" s="1">
        <v>2614</v>
      </c>
      <c r="AC269" s="1">
        <v>2585</v>
      </c>
      <c r="AD269" s="1">
        <v>2628</v>
      </c>
      <c r="AE269" s="1">
        <v>2600</v>
      </c>
      <c r="AF269" s="1">
        <v>2590</v>
      </c>
      <c r="AG269" s="1">
        <v>2552</v>
      </c>
      <c r="AH269" s="1">
        <v>2574</v>
      </c>
      <c r="AI269" s="1">
        <v>2581</v>
      </c>
      <c r="AJ269" s="1">
        <v>2526</v>
      </c>
      <c r="AK269" s="1">
        <v>2493</v>
      </c>
      <c r="AL269" s="1">
        <v>2570</v>
      </c>
      <c r="AM269" s="1">
        <v>2622</v>
      </c>
      <c r="AN269" s="1">
        <v>2653</v>
      </c>
      <c r="AO269" s="1">
        <v>2714</v>
      </c>
      <c r="AP269" s="1">
        <v>2747</v>
      </c>
      <c r="AQ269" s="1">
        <v>2807</v>
      </c>
      <c r="AR269" s="1">
        <v>2802</v>
      </c>
      <c r="AS269" s="1">
        <v>2788</v>
      </c>
      <c r="AT269" s="1">
        <v>2692</v>
      </c>
      <c r="AU269" s="1">
        <v>2690</v>
      </c>
      <c r="AV269" s="1">
        <v>2643</v>
      </c>
      <c r="AW269" s="1">
        <v>2653</v>
      </c>
      <c r="AX269" s="1">
        <v>2610</v>
      </c>
      <c r="AY269" s="1">
        <v>2541</v>
      </c>
      <c r="AZ269" s="1">
        <v>2579</v>
      </c>
      <c r="BA269" s="1">
        <v>2354</v>
      </c>
      <c r="BB269" s="1">
        <v>2283</v>
      </c>
      <c r="BC269" s="1">
        <v>2342</v>
      </c>
      <c r="BD269" s="1">
        <v>2276</v>
      </c>
      <c r="BE269" s="1">
        <v>2270</v>
      </c>
      <c r="BF269" s="1">
        <v>2225</v>
      </c>
      <c r="BG269" s="1">
        <v>2164</v>
      </c>
      <c r="BH269" s="1">
        <v>2313</v>
      </c>
      <c r="BI269" s="1">
        <v>2395</v>
      </c>
      <c r="BJ269" s="1">
        <v>2389</v>
      </c>
      <c r="BK269" s="1">
        <v>2310</v>
      </c>
      <c r="BL269" s="1">
        <v>2283</v>
      </c>
    </row>
    <row r="270" spans="1:64">
      <c r="A270" s="65" t="s">
        <v>571</v>
      </c>
      <c r="B270" s="1" t="str">
        <f>銘柄管理!C270</f>
        <v>明海グループ</v>
      </c>
      <c r="C270" s="1">
        <f>_xll.RssMarket("9115","安値")</f>
        <v>790</v>
      </c>
      <c r="E270" s="1">
        <v>790</v>
      </c>
      <c r="F270" s="1">
        <v>815</v>
      </c>
      <c r="G270" s="1">
        <v>807</v>
      </c>
      <c r="H270" s="1">
        <v>838</v>
      </c>
      <c r="I270" s="1">
        <v>883</v>
      </c>
      <c r="J270" s="1">
        <v>892</v>
      </c>
      <c r="K270" s="1">
        <v>958</v>
      </c>
      <c r="L270" s="1">
        <v>981</v>
      </c>
      <c r="M270" s="1">
        <v>955</v>
      </c>
      <c r="N270" s="1">
        <v>1002</v>
      </c>
      <c r="O270" s="1">
        <v>1026</v>
      </c>
      <c r="P270" s="1">
        <v>1087</v>
      </c>
      <c r="Q270" s="1">
        <v>1078</v>
      </c>
      <c r="R270" s="1">
        <v>1140</v>
      </c>
      <c r="S270" s="1">
        <v>1131</v>
      </c>
      <c r="T270" s="1">
        <v>1101</v>
      </c>
      <c r="U270" s="1">
        <v>1096</v>
      </c>
      <c r="V270" s="1">
        <v>1081</v>
      </c>
      <c r="W270" s="1">
        <v>1095</v>
      </c>
      <c r="X270" s="1">
        <v>1192</v>
      </c>
      <c r="Y270" s="1">
        <v>1175</v>
      </c>
      <c r="Z270" s="1">
        <v>1159</v>
      </c>
      <c r="AA270" s="1">
        <v>1147</v>
      </c>
      <c r="AB270" s="1">
        <v>1216</v>
      </c>
      <c r="AC270" s="1">
        <v>1215</v>
      </c>
      <c r="AD270" s="1">
        <v>1236</v>
      </c>
      <c r="AE270" s="1">
        <v>1284</v>
      </c>
      <c r="AF270" s="1">
        <v>1230</v>
      </c>
      <c r="AG270" s="1">
        <v>1220</v>
      </c>
      <c r="AH270" s="1">
        <v>1174</v>
      </c>
      <c r="AI270" s="1">
        <v>1169</v>
      </c>
      <c r="AJ270" s="1">
        <v>1151</v>
      </c>
      <c r="AK270" s="1">
        <v>1171</v>
      </c>
      <c r="AL270" s="1">
        <v>1212</v>
      </c>
      <c r="AM270" s="1">
        <v>1240</v>
      </c>
      <c r="AN270" s="1">
        <v>1221</v>
      </c>
      <c r="AO270" s="1">
        <v>1241</v>
      </c>
      <c r="AP270" s="1">
        <v>1284</v>
      </c>
      <c r="AQ270" s="1">
        <v>1263</v>
      </c>
      <c r="AR270" s="1">
        <v>1236</v>
      </c>
      <c r="AS270" s="1">
        <v>1286</v>
      </c>
      <c r="AT270" s="1">
        <v>1225</v>
      </c>
      <c r="AU270" s="1">
        <v>1249</v>
      </c>
      <c r="AV270" s="1">
        <v>1191</v>
      </c>
      <c r="AW270" s="1">
        <v>1227</v>
      </c>
      <c r="AX270" s="1">
        <v>1230</v>
      </c>
      <c r="AY270" s="1">
        <v>1178</v>
      </c>
      <c r="AZ270" s="1">
        <v>1231</v>
      </c>
      <c r="BA270" s="1">
        <v>1250</v>
      </c>
      <c r="BB270" s="1">
        <v>1335</v>
      </c>
      <c r="BC270" s="1">
        <v>1421</v>
      </c>
      <c r="BD270" s="1">
        <v>1366</v>
      </c>
      <c r="BE270" s="1">
        <v>1433</v>
      </c>
      <c r="BF270" s="1">
        <v>1411</v>
      </c>
      <c r="BG270" s="1">
        <v>1280</v>
      </c>
      <c r="BH270" s="1">
        <v>1267</v>
      </c>
      <c r="BI270" s="1">
        <v>1125</v>
      </c>
      <c r="BJ270" s="1">
        <v>939</v>
      </c>
      <c r="BK270" s="1">
        <v>870</v>
      </c>
      <c r="BL270" s="1">
        <v>792</v>
      </c>
    </row>
    <row r="271" spans="1:64">
      <c r="A271" s="65" t="s">
        <v>572</v>
      </c>
      <c r="B271" s="1" t="str">
        <f>銘柄管理!C271</f>
        <v>三菱製紙</v>
      </c>
      <c r="C271" s="1">
        <f>_xll.RssMarket("3864","安値")</f>
        <v>1058</v>
      </c>
      <c r="E271" s="1">
        <v>1058</v>
      </c>
      <c r="F271" s="1">
        <v>1060</v>
      </c>
      <c r="G271" s="1">
        <v>1074</v>
      </c>
      <c r="H271" s="1">
        <v>1056</v>
      </c>
      <c r="I271" s="1">
        <v>1046</v>
      </c>
      <c r="J271" s="1">
        <v>1052</v>
      </c>
      <c r="K271" s="1">
        <v>1032</v>
      </c>
      <c r="L271" s="1">
        <v>1038</v>
      </c>
      <c r="M271" s="1">
        <v>1025</v>
      </c>
      <c r="N271" s="1">
        <v>1038</v>
      </c>
      <c r="O271" s="1">
        <v>1100</v>
      </c>
      <c r="P271" s="1">
        <v>1102</v>
      </c>
      <c r="Q271" s="1">
        <v>1091</v>
      </c>
      <c r="R271" s="1">
        <v>1062</v>
      </c>
      <c r="S271" s="1">
        <v>1080</v>
      </c>
      <c r="T271" s="1">
        <v>1051</v>
      </c>
      <c r="U271" s="1">
        <v>997</v>
      </c>
      <c r="V271" s="1">
        <v>1007</v>
      </c>
      <c r="W271" s="1">
        <v>971</v>
      </c>
      <c r="X271" s="1">
        <v>950</v>
      </c>
      <c r="Y271" s="1">
        <v>898</v>
      </c>
      <c r="Z271" s="1">
        <v>909</v>
      </c>
      <c r="AA271" s="1">
        <v>910</v>
      </c>
      <c r="AB271" s="1">
        <v>927</v>
      </c>
      <c r="AC271" s="1">
        <v>934</v>
      </c>
      <c r="AD271" s="1">
        <v>918</v>
      </c>
      <c r="AE271" s="1">
        <v>924</v>
      </c>
      <c r="AF271" s="1">
        <v>924</v>
      </c>
      <c r="AG271" s="1">
        <v>933</v>
      </c>
      <c r="AH271" s="1">
        <v>934</v>
      </c>
      <c r="AI271" s="1">
        <v>937</v>
      </c>
      <c r="AJ271" s="1">
        <v>940</v>
      </c>
      <c r="AK271" s="1">
        <v>959</v>
      </c>
      <c r="AL271" s="1">
        <v>956</v>
      </c>
      <c r="AM271" s="1">
        <v>970</v>
      </c>
      <c r="AN271" s="1">
        <v>961</v>
      </c>
      <c r="AO271" s="1">
        <v>956</v>
      </c>
      <c r="AP271" s="1">
        <v>915</v>
      </c>
      <c r="AQ271" s="1">
        <v>918</v>
      </c>
      <c r="AR271" s="1">
        <v>892</v>
      </c>
      <c r="AS271" s="1">
        <v>892</v>
      </c>
      <c r="AT271" s="1">
        <v>880</v>
      </c>
      <c r="AU271" s="1">
        <v>881</v>
      </c>
      <c r="AV271" s="1">
        <v>857</v>
      </c>
      <c r="AW271" s="1">
        <v>845</v>
      </c>
      <c r="AX271" s="1">
        <v>849</v>
      </c>
      <c r="AY271" s="1">
        <v>832</v>
      </c>
      <c r="AZ271" s="1">
        <v>827</v>
      </c>
      <c r="BA271" s="1">
        <v>806</v>
      </c>
      <c r="BB271" s="1">
        <v>782</v>
      </c>
      <c r="BC271" s="1">
        <v>812</v>
      </c>
      <c r="BD271" s="1">
        <v>803</v>
      </c>
      <c r="BE271" s="1">
        <v>804</v>
      </c>
      <c r="BF271" s="1">
        <v>792</v>
      </c>
      <c r="BG271" s="1">
        <v>774</v>
      </c>
      <c r="BH271" s="1">
        <v>812</v>
      </c>
      <c r="BI271" s="1">
        <v>833</v>
      </c>
      <c r="BJ271" s="1">
        <v>823</v>
      </c>
      <c r="BK271" s="1">
        <v>825</v>
      </c>
      <c r="BL271" s="1">
        <v>823</v>
      </c>
    </row>
    <row r="272" spans="1:64">
      <c r="A272" s="65" t="s">
        <v>573</v>
      </c>
      <c r="B272" s="1" t="str">
        <f>銘柄管理!C272</f>
        <v>日本ケミコン</v>
      </c>
      <c r="C272" s="1">
        <f>_xll.RssMarket("6997","安値")</f>
        <v>4350</v>
      </c>
      <c r="E272" s="1">
        <v>4350</v>
      </c>
      <c r="F272" s="1">
        <v>4505</v>
      </c>
      <c r="G272" s="1">
        <v>4085</v>
      </c>
      <c r="H272" s="1">
        <v>4070</v>
      </c>
      <c r="I272" s="1">
        <v>3890</v>
      </c>
      <c r="J272" s="1">
        <v>4050</v>
      </c>
      <c r="K272" s="1">
        <v>4280</v>
      </c>
      <c r="L272" s="1">
        <v>4385</v>
      </c>
      <c r="M272" s="1">
        <v>4510</v>
      </c>
      <c r="N272" s="1">
        <v>4450</v>
      </c>
      <c r="O272" s="1">
        <v>4635</v>
      </c>
      <c r="P272" s="1">
        <v>4665</v>
      </c>
      <c r="Q272" s="1">
        <v>3685</v>
      </c>
      <c r="R272" s="1">
        <v>3630</v>
      </c>
      <c r="S272" s="1">
        <v>3595</v>
      </c>
      <c r="T272" s="1">
        <v>2973</v>
      </c>
      <c r="U272" s="1">
        <v>2834</v>
      </c>
      <c r="V272" s="1">
        <v>2926</v>
      </c>
      <c r="W272" s="1">
        <v>2890</v>
      </c>
      <c r="X272" s="1">
        <v>2869</v>
      </c>
      <c r="Y272" s="1">
        <v>2980</v>
      </c>
      <c r="Z272" s="1">
        <v>3230</v>
      </c>
      <c r="AA272" s="1">
        <v>3065</v>
      </c>
      <c r="AB272" s="1">
        <v>3110</v>
      </c>
      <c r="AC272" s="1">
        <v>3100</v>
      </c>
      <c r="AD272" s="1">
        <v>2873</v>
      </c>
      <c r="AE272" s="1">
        <v>2736</v>
      </c>
      <c r="AF272" s="1">
        <v>2549</v>
      </c>
      <c r="AG272" s="1">
        <v>2397</v>
      </c>
      <c r="AH272" s="1">
        <v>2277</v>
      </c>
      <c r="AI272" s="1">
        <v>2205</v>
      </c>
      <c r="AJ272" s="1">
        <v>2224</v>
      </c>
      <c r="AK272" s="1">
        <v>2186</v>
      </c>
      <c r="AL272" s="1">
        <v>2292</v>
      </c>
      <c r="AM272" s="1">
        <v>2354</v>
      </c>
      <c r="AN272" s="1">
        <v>2169</v>
      </c>
      <c r="AO272" s="1">
        <v>2102</v>
      </c>
      <c r="AP272" s="1">
        <v>2057</v>
      </c>
      <c r="AQ272" s="1">
        <v>1965</v>
      </c>
      <c r="AR272" s="1">
        <v>1780</v>
      </c>
      <c r="AS272" s="1">
        <v>1637</v>
      </c>
      <c r="AT272" s="1">
        <v>1656</v>
      </c>
      <c r="AU272" s="1">
        <v>1612</v>
      </c>
      <c r="AV272" s="1">
        <v>1543</v>
      </c>
      <c r="AW272" s="1">
        <v>1483</v>
      </c>
      <c r="AX272" s="1">
        <v>1463</v>
      </c>
      <c r="AY272" s="1">
        <v>1462</v>
      </c>
      <c r="AZ272" s="1">
        <v>1448</v>
      </c>
      <c r="BA272" s="1">
        <v>1451</v>
      </c>
      <c r="BB272" s="1">
        <v>1391</v>
      </c>
      <c r="BC272" s="1">
        <v>1442</v>
      </c>
      <c r="BD272" s="1">
        <v>1411</v>
      </c>
      <c r="BE272" s="1">
        <v>1442</v>
      </c>
      <c r="BF272" s="1">
        <v>1455</v>
      </c>
      <c r="BG272" s="1">
        <v>1382</v>
      </c>
      <c r="BH272" s="1">
        <v>1375</v>
      </c>
      <c r="BI272" s="1">
        <v>1502</v>
      </c>
      <c r="BJ272" s="1">
        <v>1573</v>
      </c>
      <c r="BK272" s="1">
        <v>1522</v>
      </c>
      <c r="BL272" s="1">
        <v>1486</v>
      </c>
    </row>
    <row r="273" spans="1:64">
      <c r="A273" s="65" t="s">
        <v>574</v>
      </c>
      <c r="B273" s="1" t="str">
        <f>銘柄管理!C273</f>
        <v>ＨＵグループＨＤ</v>
      </c>
      <c r="C273" s="1">
        <f>_xll.RssMarket("4544","安値")</f>
        <v>3170</v>
      </c>
      <c r="E273" s="1">
        <v>3170</v>
      </c>
      <c r="F273" s="1">
        <v>3211</v>
      </c>
      <c r="G273" s="1">
        <v>3234</v>
      </c>
      <c r="H273" s="1">
        <v>3352</v>
      </c>
      <c r="I273" s="1">
        <v>3381</v>
      </c>
      <c r="J273" s="1">
        <v>3424</v>
      </c>
      <c r="K273" s="1">
        <v>3262</v>
      </c>
      <c r="L273" s="1">
        <v>3333</v>
      </c>
      <c r="M273" s="1">
        <v>3232</v>
      </c>
      <c r="N273" s="1">
        <v>3083</v>
      </c>
      <c r="O273" s="1">
        <v>3117</v>
      </c>
      <c r="P273" s="1">
        <v>3105</v>
      </c>
      <c r="Q273" s="1">
        <v>3111</v>
      </c>
      <c r="R273" s="1">
        <v>3138</v>
      </c>
      <c r="S273" s="1">
        <v>3153</v>
      </c>
      <c r="T273" s="1">
        <v>3147</v>
      </c>
      <c r="U273" s="1">
        <v>3190</v>
      </c>
      <c r="V273" s="1">
        <v>3185</v>
      </c>
      <c r="W273" s="1">
        <v>3163</v>
      </c>
      <c r="X273" s="1">
        <v>3067</v>
      </c>
      <c r="Y273" s="1">
        <v>3050</v>
      </c>
      <c r="Z273" s="1">
        <v>3100</v>
      </c>
      <c r="AA273" s="1">
        <v>3086</v>
      </c>
      <c r="AB273" s="1">
        <v>3056</v>
      </c>
      <c r="AC273" s="1">
        <v>3095</v>
      </c>
      <c r="AD273" s="1">
        <v>3112</v>
      </c>
      <c r="AE273" s="1">
        <v>3060</v>
      </c>
      <c r="AF273" s="1">
        <v>3078</v>
      </c>
      <c r="AG273" s="1">
        <v>3133</v>
      </c>
      <c r="AH273" s="1">
        <v>3163</v>
      </c>
      <c r="AI273" s="1">
        <v>3128</v>
      </c>
      <c r="AJ273" s="1">
        <v>3126</v>
      </c>
      <c r="AK273" s="1">
        <v>3125</v>
      </c>
      <c r="AL273" s="1">
        <v>3104</v>
      </c>
      <c r="AM273" s="1">
        <v>3134</v>
      </c>
      <c r="AN273" s="1">
        <v>3143</v>
      </c>
      <c r="AO273" s="1">
        <v>3175</v>
      </c>
      <c r="AP273" s="1">
        <v>3156</v>
      </c>
      <c r="AQ273" s="1">
        <v>3133</v>
      </c>
      <c r="AR273" s="1">
        <v>3077</v>
      </c>
      <c r="AS273" s="1">
        <v>3122</v>
      </c>
      <c r="AT273" s="1">
        <v>3200</v>
      </c>
      <c r="AU273" s="1">
        <v>3239</v>
      </c>
      <c r="AV273" s="1">
        <v>3201</v>
      </c>
      <c r="AW273" s="1">
        <v>3220</v>
      </c>
      <c r="AX273" s="1">
        <v>3200</v>
      </c>
      <c r="AY273" s="1">
        <v>3208</v>
      </c>
      <c r="AZ273" s="1">
        <v>3193</v>
      </c>
      <c r="BA273" s="1">
        <v>3185</v>
      </c>
      <c r="BB273" s="1">
        <v>3149</v>
      </c>
      <c r="BC273" s="1">
        <v>3207</v>
      </c>
      <c r="BD273" s="1">
        <v>3121</v>
      </c>
      <c r="BE273" s="1">
        <v>3033</v>
      </c>
      <c r="BF273" s="1">
        <v>3003</v>
      </c>
      <c r="BG273" s="1">
        <v>2944.5</v>
      </c>
      <c r="BH273" s="1">
        <v>3112</v>
      </c>
      <c r="BI273" s="1">
        <v>3112</v>
      </c>
      <c r="BJ273" s="1">
        <v>3104</v>
      </c>
      <c r="BK273" s="1">
        <v>3075</v>
      </c>
      <c r="BL273" s="1">
        <v>3001</v>
      </c>
    </row>
    <row r="274" spans="1:64">
      <c r="A274" s="65" t="s">
        <v>575</v>
      </c>
      <c r="B274" s="1" t="str">
        <f>銘柄管理!C274</f>
        <v>東亜ディーケーケー</v>
      </c>
      <c r="C274" s="1">
        <f>_xll.RssMarket("6848","安値")</f>
        <v>855</v>
      </c>
      <c r="E274" s="1">
        <v>855</v>
      </c>
      <c r="F274" s="1">
        <v>852</v>
      </c>
      <c r="G274" s="1">
        <v>850</v>
      </c>
      <c r="H274" s="1">
        <v>848</v>
      </c>
      <c r="I274" s="1">
        <v>850</v>
      </c>
      <c r="J274" s="1">
        <v>851</v>
      </c>
      <c r="K274" s="1">
        <v>852</v>
      </c>
      <c r="L274" s="1">
        <v>860</v>
      </c>
      <c r="M274" s="1">
        <v>855</v>
      </c>
      <c r="N274" s="1">
        <v>853</v>
      </c>
      <c r="O274" s="1">
        <v>854</v>
      </c>
      <c r="P274" s="1">
        <v>850</v>
      </c>
      <c r="Q274" s="1">
        <v>848</v>
      </c>
      <c r="R274" s="1">
        <v>843</v>
      </c>
      <c r="S274" s="1">
        <v>869</v>
      </c>
      <c r="T274" s="1">
        <v>862</v>
      </c>
      <c r="U274" s="1">
        <v>858</v>
      </c>
      <c r="V274" s="1">
        <v>863</v>
      </c>
      <c r="W274" s="1">
        <v>865</v>
      </c>
      <c r="X274" s="1">
        <v>864</v>
      </c>
      <c r="Y274" s="1">
        <v>869</v>
      </c>
      <c r="Z274" s="1">
        <v>870</v>
      </c>
      <c r="AA274" s="1">
        <v>863</v>
      </c>
      <c r="AB274" s="1">
        <v>862</v>
      </c>
      <c r="AC274" s="1">
        <v>870</v>
      </c>
      <c r="AD274" s="1">
        <v>863</v>
      </c>
      <c r="AE274" s="1">
        <v>866</v>
      </c>
      <c r="AF274" s="1">
        <v>872</v>
      </c>
      <c r="AG274" s="1">
        <v>868</v>
      </c>
      <c r="AH274" s="1">
        <v>870</v>
      </c>
      <c r="AI274" s="1">
        <v>876</v>
      </c>
      <c r="AJ274" s="1">
        <v>875</v>
      </c>
      <c r="AK274" s="1">
        <v>872</v>
      </c>
      <c r="AL274" s="1">
        <v>860</v>
      </c>
      <c r="AM274" s="1">
        <v>870</v>
      </c>
      <c r="AN274" s="1">
        <v>873</v>
      </c>
      <c r="AO274" s="1">
        <v>872</v>
      </c>
      <c r="AP274" s="1">
        <v>871</v>
      </c>
      <c r="AQ274" s="1">
        <v>882</v>
      </c>
      <c r="AR274" s="1">
        <v>878</v>
      </c>
      <c r="AS274" s="1">
        <v>876</v>
      </c>
      <c r="AT274" s="1">
        <v>876</v>
      </c>
      <c r="AU274" s="1">
        <v>883</v>
      </c>
      <c r="AV274" s="1">
        <v>880</v>
      </c>
      <c r="AW274" s="1">
        <v>877</v>
      </c>
      <c r="AX274" s="1">
        <v>885</v>
      </c>
      <c r="AY274" s="1">
        <v>876</v>
      </c>
      <c r="AZ274" s="1">
        <v>898</v>
      </c>
      <c r="BA274" s="1">
        <v>898</v>
      </c>
      <c r="BB274" s="1">
        <v>883</v>
      </c>
      <c r="BC274" s="1">
        <v>874</v>
      </c>
      <c r="BD274" s="1">
        <v>880</v>
      </c>
      <c r="BE274" s="1">
        <v>912</v>
      </c>
      <c r="BF274" s="1">
        <v>912</v>
      </c>
      <c r="BG274" s="1">
        <v>913</v>
      </c>
      <c r="BH274" s="1">
        <v>914</v>
      </c>
      <c r="BI274" s="1">
        <v>911</v>
      </c>
      <c r="BJ274" s="1">
        <v>911</v>
      </c>
      <c r="BK274" s="1">
        <v>914</v>
      </c>
      <c r="BL274" s="1">
        <v>911</v>
      </c>
    </row>
    <row r="275" spans="1:64">
      <c r="A275" s="65" t="s">
        <v>576</v>
      </c>
      <c r="B275" s="1" t="str">
        <f>銘柄管理!C275</f>
        <v>大紀アルミニウム</v>
      </c>
      <c r="C275" s="1">
        <f>_xll.RssMarket("5702","安値")</f>
        <v>1701</v>
      </c>
      <c r="E275" s="1">
        <v>1701</v>
      </c>
      <c r="F275" s="1">
        <v>1724</v>
      </c>
      <c r="G275" s="1">
        <v>1817</v>
      </c>
      <c r="H275" s="1">
        <v>1813</v>
      </c>
      <c r="I275" s="1">
        <v>1781</v>
      </c>
      <c r="J275" s="1">
        <v>1783</v>
      </c>
      <c r="K275" s="1">
        <v>1797</v>
      </c>
      <c r="L275" s="1">
        <v>1823</v>
      </c>
      <c r="M275" s="1">
        <v>1900</v>
      </c>
      <c r="N275" s="1">
        <v>1979</v>
      </c>
      <c r="O275" s="1">
        <v>1867</v>
      </c>
      <c r="P275" s="1">
        <v>1923</v>
      </c>
      <c r="Q275" s="1">
        <v>1911</v>
      </c>
      <c r="R275" s="1">
        <v>1972</v>
      </c>
      <c r="S275" s="1">
        <v>1909</v>
      </c>
      <c r="T275" s="1">
        <v>1875</v>
      </c>
      <c r="U275" s="1">
        <v>1809</v>
      </c>
      <c r="V275" s="1">
        <v>1785</v>
      </c>
      <c r="W275" s="1">
        <v>1786</v>
      </c>
      <c r="X275" s="1">
        <v>1781</v>
      </c>
      <c r="Y275" s="1">
        <v>1836</v>
      </c>
      <c r="Z275" s="1">
        <v>1554</v>
      </c>
      <c r="AA275" s="1">
        <v>1562</v>
      </c>
      <c r="AB275" s="1">
        <v>1576</v>
      </c>
      <c r="AC275" s="1">
        <v>1591</v>
      </c>
      <c r="AD275" s="1">
        <v>1547</v>
      </c>
      <c r="AE275" s="1">
        <v>1515</v>
      </c>
      <c r="AF275" s="1">
        <v>1463</v>
      </c>
      <c r="AG275" s="1">
        <v>1444</v>
      </c>
      <c r="AH275" s="1">
        <v>1459</v>
      </c>
      <c r="AI275" s="1">
        <v>1425</v>
      </c>
      <c r="AJ275" s="1">
        <v>1431</v>
      </c>
      <c r="AK275" s="1">
        <v>1435</v>
      </c>
      <c r="AL275" s="1">
        <v>1464</v>
      </c>
      <c r="AM275" s="1">
        <v>1493</v>
      </c>
      <c r="AN275" s="1">
        <v>1473</v>
      </c>
      <c r="AO275" s="1">
        <v>1515</v>
      </c>
      <c r="AP275" s="1">
        <v>1551</v>
      </c>
      <c r="AQ275" s="1">
        <v>1551</v>
      </c>
      <c r="AR275" s="1">
        <v>1584</v>
      </c>
      <c r="AS275" s="1">
        <v>1527</v>
      </c>
      <c r="AT275" s="1">
        <v>1539</v>
      </c>
      <c r="AU275" s="1">
        <v>1530</v>
      </c>
      <c r="AV275" s="1">
        <v>1514</v>
      </c>
      <c r="AW275" s="1">
        <v>1473</v>
      </c>
      <c r="AX275" s="1">
        <v>1449</v>
      </c>
      <c r="AY275" s="1">
        <v>1441</v>
      </c>
      <c r="AZ275" s="1">
        <v>1407</v>
      </c>
      <c r="BA275" s="1">
        <v>1416</v>
      </c>
      <c r="BB275" s="1">
        <v>1370</v>
      </c>
      <c r="BC275" s="1">
        <v>1235</v>
      </c>
      <c r="BD275" s="1">
        <v>1282</v>
      </c>
      <c r="BE275" s="1">
        <v>1280</v>
      </c>
      <c r="BF275" s="1">
        <v>1292</v>
      </c>
      <c r="BG275" s="1">
        <v>1244</v>
      </c>
      <c r="BH275" s="1">
        <v>1220</v>
      </c>
      <c r="BI275" s="1">
        <v>1313</v>
      </c>
      <c r="BJ275" s="1">
        <v>1355</v>
      </c>
      <c r="BK275" s="1">
        <v>1353</v>
      </c>
      <c r="BL275" s="1">
        <v>1336</v>
      </c>
    </row>
    <row r="276" spans="1:64">
      <c r="A276" s="65" t="s">
        <v>577</v>
      </c>
      <c r="B276" s="1" t="str">
        <f>銘柄管理!C276</f>
        <v>河合楽器</v>
      </c>
      <c r="C276" s="1">
        <f>_xll.RssMarket("7952","安値")</f>
        <v>3175</v>
      </c>
      <c r="E276" s="1">
        <v>3175</v>
      </c>
      <c r="F276" s="1">
        <v>3150</v>
      </c>
      <c r="G276" s="1">
        <v>3070</v>
      </c>
      <c r="H276" s="1">
        <v>2989</v>
      </c>
      <c r="I276" s="1">
        <v>2958</v>
      </c>
      <c r="J276" s="1">
        <v>3095</v>
      </c>
      <c r="K276" s="1">
        <v>3075</v>
      </c>
      <c r="L276" s="1">
        <v>3140</v>
      </c>
      <c r="M276" s="1">
        <v>3145</v>
      </c>
      <c r="N276" s="1">
        <v>3135</v>
      </c>
      <c r="O276" s="1">
        <v>3240</v>
      </c>
      <c r="P276" s="1">
        <v>3030</v>
      </c>
      <c r="Q276" s="1">
        <v>3000</v>
      </c>
      <c r="R276" s="1">
        <v>2950</v>
      </c>
      <c r="S276" s="1">
        <v>2942</v>
      </c>
      <c r="T276" s="1">
        <v>2937</v>
      </c>
      <c r="U276" s="1">
        <v>2910</v>
      </c>
      <c r="V276" s="1">
        <v>3095</v>
      </c>
      <c r="W276" s="1">
        <v>3070</v>
      </c>
      <c r="X276" s="1">
        <v>3025</v>
      </c>
      <c r="Y276" s="1">
        <v>2981</v>
      </c>
      <c r="Z276" s="1">
        <v>2924</v>
      </c>
      <c r="AA276" s="1">
        <v>2797</v>
      </c>
      <c r="AB276" s="1">
        <v>2719</v>
      </c>
      <c r="AC276" s="1">
        <v>2707</v>
      </c>
      <c r="AD276" s="1">
        <v>2774</v>
      </c>
      <c r="AE276" s="1">
        <v>2733</v>
      </c>
      <c r="AF276" s="1">
        <v>2737</v>
      </c>
      <c r="AG276" s="1">
        <v>2817</v>
      </c>
      <c r="AH276" s="1">
        <v>2800</v>
      </c>
      <c r="AI276" s="1">
        <v>2786</v>
      </c>
      <c r="AJ276" s="1">
        <v>2868</v>
      </c>
      <c r="AK276" s="1">
        <v>3010</v>
      </c>
      <c r="AL276" s="1">
        <v>3055</v>
      </c>
      <c r="AM276" s="1">
        <v>3045</v>
      </c>
      <c r="AN276" s="1">
        <v>3045</v>
      </c>
      <c r="AO276" s="1">
        <v>3040</v>
      </c>
      <c r="AP276" s="1">
        <v>3020</v>
      </c>
      <c r="AQ276" s="1">
        <v>3000</v>
      </c>
      <c r="AR276" s="1">
        <v>2995</v>
      </c>
      <c r="AS276" s="1">
        <v>2986</v>
      </c>
      <c r="AT276" s="1">
        <v>2934</v>
      </c>
      <c r="AU276" s="1">
        <v>2991</v>
      </c>
      <c r="AV276" s="1">
        <v>2975</v>
      </c>
      <c r="AW276" s="1">
        <v>2929</v>
      </c>
      <c r="AX276" s="1">
        <v>2930</v>
      </c>
      <c r="AY276" s="1">
        <v>2952</v>
      </c>
      <c r="AZ276" s="1">
        <v>2865</v>
      </c>
      <c r="BA276" s="1">
        <v>2716</v>
      </c>
      <c r="BB276" s="1">
        <v>2698</v>
      </c>
      <c r="BC276" s="1">
        <v>2791</v>
      </c>
      <c r="BD276" s="1">
        <v>2763</v>
      </c>
      <c r="BE276" s="1">
        <v>2742</v>
      </c>
      <c r="BF276" s="1">
        <v>2702</v>
      </c>
      <c r="BG276" s="1">
        <v>2628</v>
      </c>
      <c r="BH276" s="1">
        <v>2721</v>
      </c>
      <c r="BI276" s="1">
        <v>2798</v>
      </c>
      <c r="BJ276" s="1">
        <v>2767</v>
      </c>
      <c r="BK276" s="1">
        <v>2766</v>
      </c>
      <c r="BL276" s="1">
        <v>2764</v>
      </c>
    </row>
    <row r="277" spans="1:64">
      <c r="A277" s="65" t="s">
        <v>578</v>
      </c>
      <c r="B277" s="1" t="str">
        <f>銘柄管理!C277</f>
        <v>グンゼ</v>
      </c>
      <c r="C277" s="1">
        <f>_xll.RssMarket("3002","安値")</f>
        <v>3795</v>
      </c>
      <c r="E277" s="1">
        <v>3795</v>
      </c>
      <c r="F277" s="1">
        <v>3790</v>
      </c>
      <c r="G277" s="1">
        <v>3815</v>
      </c>
      <c r="H277" s="1">
        <v>3790</v>
      </c>
      <c r="I277" s="1">
        <v>3695</v>
      </c>
      <c r="J277" s="1">
        <v>3725</v>
      </c>
      <c r="K277" s="1">
        <v>3635</v>
      </c>
      <c r="L277" s="1">
        <v>3695</v>
      </c>
      <c r="M277" s="1">
        <v>3665</v>
      </c>
      <c r="N277" s="1">
        <v>3655</v>
      </c>
      <c r="O277" s="1">
        <v>3630</v>
      </c>
      <c r="P277" s="1">
        <v>3700</v>
      </c>
      <c r="Q277" s="1">
        <v>3670</v>
      </c>
      <c r="R277" s="1">
        <v>3665</v>
      </c>
      <c r="S277" s="1">
        <v>3625</v>
      </c>
      <c r="T277" s="1">
        <v>3650</v>
      </c>
      <c r="U277" s="1">
        <v>3670</v>
      </c>
      <c r="V277" s="1">
        <v>3605</v>
      </c>
      <c r="W277" s="1">
        <v>3695</v>
      </c>
      <c r="X277" s="1">
        <v>3660</v>
      </c>
      <c r="Y277" s="1">
        <v>3655</v>
      </c>
      <c r="Z277" s="1">
        <v>3545</v>
      </c>
      <c r="AA277" s="1">
        <v>3570</v>
      </c>
      <c r="AB277" s="1">
        <v>3575</v>
      </c>
      <c r="AC277" s="1">
        <v>3615</v>
      </c>
      <c r="AD277" s="1">
        <v>3555</v>
      </c>
      <c r="AE277" s="1">
        <v>3620</v>
      </c>
      <c r="AF277" s="1">
        <v>3590</v>
      </c>
      <c r="AG277" s="1">
        <v>3600</v>
      </c>
      <c r="AH277" s="1">
        <v>3665</v>
      </c>
      <c r="AI277" s="1">
        <v>3625</v>
      </c>
      <c r="AJ277" s="1">
        <v>3665</v>
      </c>
      <c r="AK277" s="1">
        <v>3670</v>
      </c>
      <c r="AL277" s="1">
        <v>3740</v>
      </c>
      <c r="AM277" s="1">
        <v>3835</v>
      </c>
      <c r="AN277" s="1">
        <v>3915</v>
      </c>
      <c r="AO277" s="1">
        <v>3890</v>
      </c>
      <c r="AP277" s="1">
        <v>3880</v>
      </c>
      <c r="AQ277" s="1">
        <v>3845</v>
      </c>
      <c r="AR277" s="1">
        <v>3875</v>
      </c>
      <c r="AS277" s="1">
        <v>3900</v>
      </c>
      <c r="AT277" s="1">
        <v>3930</v>
      </c>
      <c r="AU277" s="1">
        <v>3935</v>
      </c>
      <c r="AV277" s="1">
        <v>3900</v>
      </c>
      <c r="AW277" s="1">
        <v>3835</v>
      </c>
      <c r="AX277" s="1">
        <v>3805</v>
      </c>
      <c r="AY277" s="1">
        <v>3800</v>
      </c>
      <c r="AZ277" s="1">
        <v>3775</v>
      </c>
      <c r="BA277" s="1">
        <v>3745</v>
      </c>
      <c r="BB277" s="1">
        <v>3695</v>
      </c>
      <c r="BC277" s="1">
        <v>3700</v>
      </c>
      <c r="BD277" s="1">
        <v>4175</v>
      </c>
      <c r="BE277" s="1">
        <v>4160</v>
      </c>
      <c r="BF277" s="1">
        <v>4220</v>
      </c>
      <c r="BG277" s="1">
        <v>4155</v>
      </c>
      <c r="BH277" s="1">
        <v>4100</v>
      </c>
      <c r="BI277" s="1">
        <v>4250</v>
      </c>
      <c r="BJ277" s="1">
        <v>4310</v>
      </c>
      <c r="BK277" s="1">
        <v>4270</v>
      </c>
      <c r="BL277" s="1">
        <v>4250</v>
      </c>
    </row>
    <row r="278" spans="1:64">
      <c r="A278" s="65" t="s">
        <v>579</v>
      </c>
      <c r="B278" s="1" t="str">
        <f>銘柄管理!C278</f>
        <v>ゴールドクレスト</v>
      </c>
      <c r="C278" s="1">
        <f>_xll.RssMarket("8871","安値")</f>
        <v>3245</v>
      </c>
      <c r="E278" s="1">
        <v>3245</v>
      </c>
      <c r="F278" s="1">
        <v>3280</v>
      </c>
      <c r="G278" s="1">
        <v>3335</v>
      </c>
      <c r="H278" s="1">
        <v>3280</v>
      </c>
      <c r="I278" s="1">
        <v>3310</v>
      </c>
      <c r="J278" s="1">
        <v>3275</v>
      </c>
      <c r="K278" s="1">
        <v>3220</v>
      </c>
      <c r="L278" s="1">
        <v>3305</v>
      </c>
      <c r="M278" s="1">
        <v>3400</v>
      </c>
      <c r="N278" s="1">
        <v>3535</v>
      </c>
      <c r="O278" s="1">
        <v>3475</v>
      </c>
      <c r="P278" s="1">
        <v>3500</v>
      </c>
      <c r="Q278" s="1">
        <v>3455</v>
      </c>
      <c r="R278" s="1">
        <v>3485</v>
      </c>
      <c r="S278" s="1">
        <v>3525</v>
      </c>
      <c r="T278" s="1">
        <v>3530</v>
      </c>
      <c r="U278" s="1">
        <v>3660</v>
      </c>
      <c r="V278" s="1">
        <v>3615</v>
      </c>
      <c r="W278" s="1">
        <v>3525</v>
      </c>
      <c r="X278" s="1">
        <v>3225</v>
      </c>
      <c r="Y278" s="1">
        <v>3275</v>
      </c>
      <c r="Z278" s="1">
        <v>3320</v>
      </c>
      <c r="AA278" s="1">
        <v>3305</v>
      </c>
      <c r="AB278" s="1">
        <v>3295</v>
      </c>
      <c r="AC278" s="1">
        <v>3320</v>
      </c>
      <c r="AD278" s="1">
        <v>3310</v>
      </c>
      <c r="AE278" s="1">
        <v>3310</v>
      </c>
      <c r="AF278" s="1">
        <v>3320</v>
      </c>
      <c r="AG278" s="1">
        <v>3285</v>
      </c>
      <c r="AH278" s="1">
        <v>3285</v>
      </c>
      <c r="AI278" s="1">
        <v>3290</v>
      </c>
      <c r="AJ278" s="1">
        <v>3295</v>
      </c>
      <c r="AK278" s="1">
        <v>3380</v>
      </c>
      <c r="AL278" s="1">
        <v>3405</v>
      </c>
      <c r="AM278" s="1">
        <v>3410</v>
      </c>
      <c r="AN278" s="1">
        <v>3460</v>
      </c>
      <c r="AO278" s="1">
        <v>3440</v>
      </c>
      <c r="AP278" s="1">
        <v>3435</v>
      </c>
      <c r="AQ278" s="1">
        <v>3460</v>
      </c>
      <c r="AR278" s="1">
        <v>3500</v>
      </c>
      <c r="AS278" s="1">
        <v>3480</v>
      </c>
      <c r="AT278" s="1">
        <v>3480</v>
      </c>
      <c r="AU278" s="1">
        <v>3430</v>
      </c>
      <c r="AV278" s="1">
        <v>3435</v>
      </c>
      <c r="AW278" s="1">
        <v>3310</v>
      </c>
      <c r="AX278" s="1">
        <v>3420</v>
      </c>
      <c r="AY278" s="1">
        <v>3380</v>
      </c>
      <c r="AZ278" s="1">
        <v>3320</v>
      </c>
      <c r="BA278" s="1">
        <v>3245</v>
      </c>
      <c r="BB278" s="1">
        <v>3345</v>
      </c>
      <c r="BC278" s="1">
        <v>3320</v>
      </c>
      <c r="BD278" s="1">
        <v>3320</v>
      </c>
      <c r="BE278" s="1">
        <v>3300</v>
      </c>
      <c r="BF278" s="1">
        <v>3235</v>
      </c>
      <c r="BG278" s="1">
        <v>3310</v>
      </c>
      <c r="BH278" s="1">
        <v>3325</v>
      </c>
      <c r="BI278" s="1">
        <v>3315</v>
      </c>
      <c r="BJ278" s="1">
        <v>3305</v>
      </c>
      <c r="BK278" s="1">
        <v>3265</v>
      </c>
      <c r="BL278" s="1">
        <v>3280</v>
      </c>
    </row>
    <row r="279" spans="1:64">
      <c r="A279" s="65" t="s">
        <v>583</v>
      </c>
      <c r="B279" s="1" t="str">
        <f>銘柄管理!C279</f>
        <v>アバールデータ</v>
      </c>
      <c r="C279" s="1">
        <f>_xll.RssMarket("6918","安値")</f>
        <v>3190</v>
      </c>
      <c r="E279" s="1">
        <v>3190</v>
      </c>
      <c r="F279" s="1">
        <v>3200</v>
      </c>
      <c r="G279" s="1">
        <v>3135</v>
      </c>
      <c r="H279" s="1">
        <v>3030</v>
      </c>
      <c r="I279" s="1">
        <v>2824</v>
      </c>
      <c r="J279" s="1">
        <v>2866</v>
      </c>
      <c r="K279" s="1">
        <v>3005</v>
      </c>
      <c r="L279" s="1">
        <v>3145</v>
      </c>
      <c r="M279" s="1">
        <v>3160</v>
      </c>
      <c r="N279" s="1">
        <v>3260</v>
      </c>
      <c r="O279" s="1">
        <v>3285</v>
      </c>
      <c r="P279" s="1">
        <v>3430</v>
      </c>
      <c r="Q279" s="1">
        <v>3290</v>
      </c>
      <c r="R279" s="1">
        <v>3265</v>
      </c>
      <c r="S279" s="1">
        <v>3405</v>
      </c>
      <c r="T279" s="1">
        <v>3345</v>
      </c>
      <c r="U279" s="1">
        <v>3360</v>
      </c>
      <c r="V279" s="1">
        <v>3285</v>
      </c>
      <c r="W279" s="1">
        <v>3485</v>
      </c>
      <c r="X279" s="1">
        <v>3560</v>
      </c>
      <c r="Y279" s="1">
        <v>3320</v>
      </c>
      <c r="Z279" s="1">
        <v>3435</v>
      </c>
      <c r="AA279" s="1">
        <v>3510</v>
      </c>
      <c r="AB279" s="1">
        <v>3605</v>
      </c>
      <c r="AC279" s="1">
        <v>3375</v>
      </c>
      <c r="AD279" s="1">
        <v>3230</v>
      </c>
      <c r="AE279" s="1">
        <v>3135</v>
      </c>
      <c r="AF279" s="1">
        <v>2908</v>
      </c>
      <c r="AG279" s="1">
        <v>2883</v>
      </c>
      <c r="AH279" s="1">
        <v>2886</v>
      </c>
      <c r="AI279" s="1">
        <v>2952</v>
      </c>
      <c r="AJ279" s="1">
        <v>2986</v>
      </c>
      <c r="AK279" s="1">
        <v>2966</v>
      </c>
      <c r="AL279" s="1">
        <v>2992</v>
      </c>
      <c r="AM279" s="1">
        <v>2907</v>
      </c>
      <c r="AN279" s="1">
        <v>2813</v>
      </c>
      <c r="AO279" s="1">
        <v>2800</v>
      </c>
      <c r="AP279" s="1">
        <v>2816</v>
      </c>
      <c r="AQ279" s="1">
        <v>2800</v>
      </c>
      <c r="AR279" s="1">
        <v>2820</v>
      </c>
      <c r="AS279" s="1">
        <v>2747</v>
      </c>
      <c r="AT279" s="1">
        <v>2727</v>
      </c>
      <c r="AU279" s="1">
        <v>2676</v>
      </c>
      <c r="AV279" s="1">
        <v>2655</v>
      </c>
      <c r="AW279" s="1">
        <v>2603</v>
      </c>
      <c r="AX279" s="1">
        <v>2601</v>
      </c>
      <c r="AY279" s="1">
        <v>2578</v>
      </c>
      <c r="AZ279" s="1">
        <v>2568</v>
      </c>
      <c r="BA279" s="1">
        <v>2589</v>
      </c>
      <c r="BB279" s="1">
        <v>2537</v>
      </c>
      <c r="BC279" s="1">
        <v>2580</v>
      </c>
      <c r="BD279" s="1">
        <v>2720</v>
      </c>
      <c r="BE279" s="1">
        <v>2765</v>
      </c>
      <c r="BF279" s="1">
        <v>2733</v>
      </c>
      <c r="BG279" s="1">
        <v>2694</v>
      </c>
      <c r="BH279" s="1">
        <v>2650</v>
      </c>
      <c r="BI279" s="1">
        <v>2725</v>
      </c>
      <c r="BJ279" s="1">
        <v>2787</v>
      </c>
      <c r="BK279" s="1">
        <v>2755</v>
      </c>
      <c r="BL279" s="1">
        <v>2700</v>
      </c>
    </row>
    <row r="280" spans="1:64">
      <c r="A280" s="65" t="s">
        <v>580</v>
      </c>
      <c r="B280" s="1" t="str">
        <f>銘柄管理!C280</f>
        <v>ヨシタケ</v>
      </c>
      <c r="C280" s="1">
        <f>_xll.RssMarket("6488","安値")</f>
        <v>920</v>
      </c>
      <c r="E280" s="1">
        <v>920</v>
      </c>
      <c r="F280" s="1">
        <v>917</v>
      </c>
      <c r="G280" s="1">
        <v>915</v>
      </c>
      <c r="H280" s="1">
        <v>913</v>
      </c>
      <c r="I280" s="1">
        <v>910</v>
      </c>
      <c r="J280" s="1">
        <v>921</v>
      </c>
      <c r="K280" s="1">
        <v>928</v>
      </c>
      <c r="L280" s="1">
        <v>933</v>
      </c>
      <c r="M280" s="1">
        <v>928</v>
      </c>
      <c r="N280" s="1">
        <v>923</v>
      </c>
      <c r="O280" s="1">
        <v>920</v>
      </c>
      <c r="P280" s="1">
        <v>925</v>
      </c>
      <c r="Q280" s="1">
        <v>920</v>
      </c>
      <c r="R280" s="1">
        <v>930</v>
      </c>
      <c r="S280" s="1">
        <v>950</v>
      </c>
      <c r="T280" s="1">
        <v>960</v>
      </c>
      <c r="U280" s="1">
        <v>953</v>
      </c>
      <c r="V280" s="1">
        <v>961</v>
      </c>
      <c r="W280" s="1">
        <v>951</v>
      </c>
      <c r="X280" s="1">
        <v>958</v>
      </c>
      <c r="Y280" s="1">
        <v>938</v>
      </c>
      <c r="Z280" s="1">
        <v>931</v>
      </c>
      <c r="AA280" s="1">
        <v>932</v>
      </c>
      <c r="AB280" s="1">
        <v>935</v>
      </c>
      <c r="AC280" s="1">
        <v>934</v>
      </c>
      <c r="AD280" s="1">
        <v>930</v>
      </c>
      <c r="AE280" s="1">
        <v>934</v>
      </c>
      <c r="AF280" s="1">
        <v>940</v>
      </c>
      <c r="AG280" s="1">
        <v>935</v>
      </c>
      <c r="AH280" s="1">
        <v>933</v>
      </c>
      <c r="AI280" s="1">
        <v>934</v>
      </c>
      <c r="AJ280" s="1">
        <v>931</v>
      </c>
      <c r="AK280" s="1">
        <v>925</v>
      </c>
      <c r="AL280" s="1">
        <v>940</v>
      </c>
      <c r="AM280" s="1">
        <v>942</v>
      </c>
      <c r="AN280" s="1">
        <v>952</v>
      </c>
      <c r="AO280" s="1">
        <v>930</v>
      </c>
      <c r="AP280" s="1">
        <v>937</v>
      </c>
      <c r="AQ280" s="1">
        <v>940</v>
      </c>
      <c r="AR280" s="1">
        <v>926</v>
      </c>
      <c r="AS280" s="1">
        <v>942</v>
      </c>
      <c r="AT280" s="1">
        <v>941</v>
      </c>
      <c r="AU280" s="1">
        <v>938</v>
      </c>
      <c r="AV280" s="1">
        <v>929</v>
      </c>
      <c r="AW280" s="1">
        <v>922</v>
      </c>
      <c r="AX280" s="1">
        <v>929</v>
      </c>
      <c r="AY280" s="1">
        <v>929</v>
      </c>
      <c r="AZ280" s="1">
        <v>921</v>
      </c>
      <c r="BA280" s="1">
        <v>917</v>
      </c>
      <c r="BB280" s="1">
        <v>883</v>
      </c>
      <c r="BC280" s="1">
        <v>960</v>
      </c>
      <c r="BD280" s="1">
        <v>957</v>
      </c>
      <c r="BE280" s="1">
        <v>944</v>
      </c>
      <c r="BF280" s="1">
        <v>940</v>
      </c>
      <c r="BG280" s="1">
        <v>910</v>
      </c>
      <c r="BH280" s="1">
        <v>958</v>
      </c>
      <c r="BI280" s="1">
        <v>960</v>
      </c>
      <c r="BJ280" s="1">
        <v>961</v>
      </c>
      <c r="BK280" s="1">
        <v>962</v>
      </c>
      <c r="BL280" s="1">
        <v>960</v>
      </c>
    </row>
    <row r="281" spans="1:64">
      <c r="A281" s="65" t="s">
        <v>581</v>
      </c>
      <c r="B281" s="1" t="str">
        <f>銘柄管理!C281</f>
        <v>高島</v>
      </c>
      <c r="C281" s="1">
        <f>_xll.RssMarket("8007","安値")</f>
        <v>746</v>
      </c>
      <c r="E281" s="1">
        <v>746</v>
      </c>
      <c r="F281" s="1">
        <v>741</v>
      </c>
      <c r="G281" s="1">
        <v>746</v>
      </c>
      <c r="H281" s="1">
        <v>735</v>
      </c>
      <c r="I281" s="1">
        <v>729</v>
      </c>
      <c r="J281" s="1">
        <v>737</v>
      </c>
      <c r="K281" s="1">
        <v>725</v>
      </c>
      <c r="L281" s="1">
        <v>732</v>
      </c>
      <c r="M281" s="1">
        <v>724</v>
      </c>
      <c r="N281" s="1">
        <v>720</v>
      </c>
      <c r="O281" s="1">
        <v>715</v>
      </c>
      <c r="P281" s="1">
        <v>753</v>
      </c>
      <c r="Q281" s="1">
        <v>747</v>
      </c>
      <c r="R281" s="1">
        <v>737</v>
      </c>
      <c r="S281" s="1">
        <v>736</v>
      </c>
      <c r="T281" s="1">
        <v>733</v>
      </c>
      <c r="U281" s="1">
        <v>723</v>
      </c>
      <c r="V281" s="1">
        <v>741</v>
      </c>
      <c r="W281" s="1">
        <v>746</v>
      </c>
      <c r="X281" s="1">
        <v>755</v>
      </c>
      <c r="Y281" s="1">
        <v>696</v>
      </c>
      <c r="Z281" s="1">
        <v>680</v>
      </c>
      <c r="AA281" s="1">
        <v>764</v>
      </c>
      <c r="AB281" s="1">
        <v>768</v>
      </c>
      <c r="AC281" s="1">
        <v>776</v>
      </c>
      <c r="AD281" s="1">
        <v>786</v>
      </c>
      <c r="AE281" s="1">
        <v>782</v>
      </c>
      <c r="AF281" s="1">
        <v>781</v>
      </c>
      <c r="AG281" s="1">
        <v>775</v>
      </c>
      <c r="AH281" s="1">
        <v>766</v>
      </c>
      <c r="AI281" s="1">
        <v>768</v>
      </c>
      <c r="AJ281" s="1">
        <v>770</v>
      </c>
      <c r="AK281" s="1">
        <v>776</v>
      </c>
      <c r="AL281" s="1">
        <v>786</v>
      </c>
      <c r="AM281" s="1">
        <v>793</v>
      </c>
      <c r="AN281" s="1">
        <v>804</v>
      </c>
      <c r="AO281" s="1">
        <v>809</v>
      </c>
      <c r="AP281" s="1">
        <v>808</v>
      </c>
      <c r="AQ281" s="1">
        <v>809</v>
      </c>
      <c r="AR281" s="1">
        <v>808</v>
      </c>
      <c r="AS281" s="1">
        <v>814</v>
      </c>
      <c r="AT281" s="1">
        <v>824</v>
      </c>
      <c r="AU281" s="1">
        <v>826</v>
      </c>
      <c r="AV281" s="1">
        <v>822</v>
      </c>
      <c r="AW281" s="1">
        <v>817</v>
      </c>
      <c r="AX281" s="1">
        <v>815</v>
      </c>
      <c r="AY281" s="1">
        <v>816</v>
      </c>
      <c r="AZ281" s="1">
        <v>816</v>
      </c>
      <c r="BA281" s="1">
        <v>808</v>
      </c>
      <c r="BB281" s="1">
        <v>802</v>
      </c>
      <c r="BC281" s="1">
        <v>847</v>
      </c>
      <c r="BD281" s="1">
        <v>838</v>
      </c>
      <c r="BE281" s="1">
        <v>842</v>
      </c>
      <c r="BF281" s="1">
        <v>825</v>
      </c>
      <c r="BG281" s="1">
        <v>814</v>
      </c>
      <c r="BH281" s="1">
        <v>835</v>
      </c>
      <c r="BI281" s="1">
        <v>843</v>
      </c>
      <c r="BJ281" s="1">
        <v>835</v>
      </c>
      <c r="BK281" s="1">
        <v>832</v>
      </c>
      <c r="BL281" s="1">
        <v>843</v>
      </c>
    </row>
    <row r="282" spans="1:64">
      <c r="A282" s="65" t="s">
        <v>582</v>
      </c>
      <c r="B282" s="1" t="str">
        <f>銘柄管理!C282</f>
        <v>ニチバン</v>
      </c>
      <c r="C282" s="1">
        <f>_xll.RssMarket("4218","安値")</f>
        <v>1834</v>
      </c>
      <c r="E282" s="1">
        <v>1834</v>
      </c>
      <c r="F282" s="1">
        <v>1829</v>
      </c>
      <c r="G282" s="1">
        <v>1840</v>
      </c>
      <c r="H282" s="1">
        <v>1829</v>
      </c>
      <c r="I282" s="1">
        <v>1816</v>
      </c>
      <c r="J282" s="1">
        <v>1803</v>
      </c>
      <c r="K282" s="1">
        <v>1790</v>
      </c>
      <c r="L282" s="1">
        <v>1795</v>
      </c>
      <c r="M282" s="1">
        <v>1790</v>
      </c>
      <c r="N282" s="1">
        <v>1781</v>
      </c>
      <c r="O282" s="1">
        <v>1790</v>
      </c>
      <c r="P282" s="1">
        <v>1825</v>
      </c>
      <c r="Q282" s="1">
        <v>1844</v>
      </c>
      <c r="R282" s="1">
        <v>1856</v>
      </c>
      <c r="S282" s="1">
        <v>1857</v>
      </c>
      <c r="T282" s="1">
        <v>1854</v>
      </c>
      <c r="U282" s="1">
        <v>1859</v>
      </c>
      <c r="V282" s="1">
        <v>1851</v>
      </c>
      <c r="W282" s="1">
        <v>1864</v>
      </c>
      <c r="X282" s="1">
        <v>1857</v>
      </c>
      <c r="Y282" s="1">
        <v>1870</v>
      </c>
      <c r="Z282" s="1">
        <v>1822</v>
      </c>
      <c r="AA282" s="1">
        <v>1823</v>
      </c>
      <c r="AB282" s="1">
        <v>1821</v>
      </c>
      <c r="AC282" s="1">
        <v>1817</v>
      </c>
      <c r="AD282" s="1">
        <v>1825</v>
      </c>
      <c r="AE282" s="1">
        <v>1833</v>
      </c>
      <c r="AF282" s="1">
        <v>1810</v>
      </c>
      <c r="AG282" s="1">
        <v>1809</v>
      </c>
      <c r="AH282" s="1">
        <v>1808</v>
      </c>
      <c r="AI282" s="1">
        <v>1811</v>
      </c>
      <c r="AJ282" s="1">
        <v>1823</v>
      </c>
      <c r="AK282" s="1">
        <v>1842</v>
      </c>
      <c r="AL282" s="1">
        <v>1856</v>
      </c>
      <c r="AM282" s="1">
        <v>1872</v>
      </c>
      <c r="AN282" s="1">
        <v>1884</v>
      </c>
      <c r="AO282" s="1">
        <v>1884</v>
      </c>
      <c r="AP282" s="1">
        <v>1881</v>
      </c>
      <c r="AQ282" s="1">
        <v>1882</v>
      </c>
      <c r="AR282" s="1">
        <v>1876</v>
      </c>
      <c r="AS282" s="1">
        <v>1885</v>
      </c>
      <c r="AT282" s="1">
        <v>1890</v>
      </c>
      <c r="AU282" s="1">
        <v>1896</v>
      </c>
      <c r="AV282" s="1">
        <v>1896</v>
      </c>
      <c r="AW282" s="1">
        <v>1894</v>
      </c>
      <c r="AX282" s="1">
        <v>1889</v>
      </c>
      <c r="AY282" s="1">
        <v>1887</v>
      </c>
      <c r="AZ282" s="1">
        <v>1884</v>
      </c>
      <c r="BA282" s="1">
        <v>1878</v>
      </c>
      <c r="BB282" s="1">
        <v>1870</v>
      </c>
      <c r="BC282" s="1">
        <v>1852</v>
      </c>
      <c r="BD282" s="1">
        <v>1911</v>
      </c>
      <c r="BE282" s="1">
        <v>1908</v>
      </c>
      <c r="BF282" s="1">
        <v>1901</v>
      </c>
      <c r="BG282" s="1">
        <v>1876</v>
      </c>
      <c r="BH282" s="1">
        <v>1865</v>
      </c>
      <c r="BI282" s="1">
        <v>1896</v>
      </c>
      <c r="BJ282" s="1">
        <v>1902</v>
      </c>
      <c r="BK282" s="1">
        <v>1894</v>
      </c>
      <c r="BL282" s="1">
        <v>1891</v>
      </c>
    </row>
    <row r="283" spans="1:64">
      <c r="A283" s="65" t="s">
        <v>584</v>
      </c>
      <c r="B283" s="1" t="str">
        <f>銘柄管理!C283</f>
        <v>ＳＣＲＥＥＮホールディングス</v>
      </c>
      <c r="C283" s="1">
        <f>_xll.RssMarket("7735","安値")</f>
        <v>14550</v>
      </c>
      <c r="E283" s="1">
        <v>14550</v>
      </c>
      <c r="F283" s="1">
        <v>14750</v>
      </c>
      <c r="G283" s="1">
        <v>14410</v>
      </c>
      <c r="H283" s="1">
        <v>13730</v>
      </c>
      <c r="I283" s="1">
        <v>12460</v>
      </c>
      <c r="J283" s="1">
        <v>12560</v>
      </c>
      <c r="K283" s="1">
        <v>11275</v>
      </c>
      <c r="L283" s="1">
        <v>12395</v>
      </c>
      <c r="M283" s="1">
        <v>12955</v>
      </c>
      <c r="N283" s="1">
        <v>12305</v>
      </c>
      <c r="O283" s="1">
        <v>10685</v>
      </c>
      <c r="P283" s="1">
        <v>10850</v>
      </c>
      <c r="Q283" s="1">
        <v>10775</v>
      </c>
      <c r="R283" s="1">
        <v>10880</v>
      </c>
      <c r="S283" s="1">
        <v>10860</v>
      </c>
      <c r="T283" s="1">
        <v>10670</v>
      </c>
      <c r="U283" s="1">
        <v>10650</v>
      </c>
      <c r="V283" s="1">
        <v>10310</v>
      </c>
      <c r="W283" s="1">
        <v>10290</v>
      </c>
      <c r="X283" s="1">
        <v>10710</v>
      </c>
      <c r="Y283" s="1">
        <v>11155</v>
      </c>
      <c r="Z283" s="1">
        <v>11955</v>
      </c>
      <c r="AA283" s="1">
        <v>11050</v>
      </c>
      <c r="AB283" s="1">
        <v>11250</v>
      </c>
      <c r="AC283" s="1">
        <v>11275</v>
      </c>
      <c r="AD283" s="1">
        <v>10910</v>
      </c>
      <c r="AE283" s="1">
        <v>10930</v>
      </c>
      <c r="AF283" s="1">
        <v>10390</v>
      </c>
      <c r="AG283" s="1">
        <v>10190</v>
      </c>
      <c r="AH283" s="1">
        <v>10380</v>
      </c>
      <c r="AI283" s="1">
        <v>10630</v>
      </c>
      <c r="AJ283" s="1">
        <v>10390</v>
      </c>
      <c r="AK283" s="1">
        <v>10130</v>
      </c>
      <c r="AL283" s="1">
        <v>10310</v>
      </c>
      <c r="AM283" s="1">
        <v>10650</v>
      </c>
      <c r="AN283" s="1">
        <v>10490</v>
      </c>
      <c r="AO283" s="1">
        <v>10510</v>
      </c>
      <c r="AP283" s="1">
        <v>10720</v>
      </c>
      <c r="AQ283" s="1">
        <v>10820</v>
      </c>
      <c r="AR283" s="1">
        <v>10970</v>
      </c>
      <c r="AS283" s="1">
        <v>10440</v>
      </c>
      <c r="AT283" s="1">
        <v>10335</v>
      </c>
      <c r="AU283" s="1">
        <v>9940</v>
      </c>
      <c r="AV283" s="1">
        <v>9748</v>
      </c>
      <c r="AW283" s="1">
        <v>9128</v>
      </c>
      <c r="AX283" s="1">
        <v>8935</v>
      </c>
      <c r="AY283" s="1">
        <v>9072</v>
      </c>
      <c r="AZ283" s="1">
        <v>9022</v>
      </c>
      <c r="BA283" s="1">
        <v>9283</v>
      </c>
      <c r="BB283" s="1">
        <v>8590</v>
      </c>
      <c r="BC283" s="1">
        <v>8803</v>
      </c>
      <c r="BD283" s="1">
        <v>9337.5</v>
      </c>
      <c r="BE283" s="1">
        <v>9697.5</v>
      </c>
      <c r="BF283" s="1">
        <v>9732.5</v>
      </c>
      <c r="BG283" s="1">
        <v>9480</v>
      </c>
      <c r="BH283" s="1">
        <v>9245</v>
      </c>
      <c r="BI283" s="1">
        <v>9682.5</v>
      </c>
      <c r="BJ283" s="1">
        <v>9727.5</v>
      </c>
      <c r="BK283" s="1">
        <v>9690</v>
      </c>
      <c r="BL283" s="1">
        <v>9307.5</v>
      </c>
    </row>
    <row r="284" spans="1:64">
      <c r="A284" s="65" t="s">
        <v>585</v>
      </c>
      <c r="B284" s="1" t="str">
        <f>銘柄管理!C284</f>
        <v>データセクション</v>
      </c>
      <c r="C284" s="1">
        <f>_xll.RssMarket("3905","安値")</f>
        <v>4780</v>
      </c>
      <c r="E284" s="1">
        <v>4780</v>
      </c>
      <c r="F284" s="1">
        <v>4585</v>
      </c>
      <c r="G284" s="1">
        <v>4525</v>
      </c>
      <c r="H284" s="1">
        <v>4225</v>
      </c>
      <c r="I284" s="1">
        <v>4260</v>
      </c>
      <c r="J284" s="1">
        <v>4130</v>
      </c>
      <c r="K284" s="1">
        <v>4480</v>
      </c>
      <c r="L284" s="1">
        <v>4810</v>
      </c>
      <c r="M284" s="1">
        <v>4715</v>
      </c>
      <c r="N284" s="1">
        <v>5000</v>
      </c>
      <c r="O284" s="1">
        <v>4310</v>
      </c>
      <c r="P284" s="1">
        <v>5360</v>
      </c>
      <c r="Q284" s="1">
        <v>4335</v>
      </c>
      <c r="R284" s="1">
        <v>4325</v>
      </c>
      <c r="S284" s="1">
        <v>4100</v>
      </c>
      <c r="T284" s="1">
        <v>4200</v>
      </c>
      <c r="U284" s="1">
        <v>3260</v>
      </c>
      <c r="V284" s="1">
        <v>2945</v>
      </c>
      <c r="W284" s="1">
        <v>3345</v>
      </c>
      <c r="X284" s="1">
        <v>2843</v>
      </c>
      <c r="Y284" s="1">
        <v>2194</v>
      </c>
      <c r="Z284" s="1">
        <v>2107</v>
      </c>
      <c r="AA284" s="1">
        <v>2105</v>
      </c>
      <c r="AB284" s="1">
        <v>2200</v>
      </c>
      <c r="AC284" s="1">
        <v>1946</v>
      </c>
      <c r="AD284" s="1">
        <v>1668</v>
      </c>
      <c r="AE284" s="1">
        <v>1514</v>
      </c>
      <c r="AF284" s="1">
        <v>1469</v>
      </c>
      <c r="AG284" s="1">
        <v>1460</v>
      </c>
      <c r="AH284" s="1">
        <v>1441</v>
      </c>
      <c r="AI284" s="1">
        <v>1406</v>
      </c>
      <c r="AJ284" s="1">
        <v>1464</v>
      </c>
      <c r="AK284" s="1">
        <v>1462</v>
      </c>
      <c r="AL284" s="1">
        <v>1486</v>
      </c>
      <c r="AM284" s="1">
        <v>1568</v>
      </c>
      <c r="AN284" s="1">
        <v>1501</v>
      </c>
      <c r="AO284" s="1">
        <v>1551</v>
      </c>
      <c r="AP284" s="1">
        <v>1442</v>
      </c>
      <c r="AQ284" s="1">
        <v>1434</v>
      </c>
      <c r="AR284" s="1">
        <v>1380</v>
      </c>
      <c r="AS284" s="1">
        <v>1343</v>
      </c>
      <c r="AT284" s="1">
        <v>1346</v>
      </c>
      <c r="AU284" s="1">
        <v>1335</v>
      </c>
      <c r="AV284" s="1">
        <v>1325</v>
      </c>
      <c r="AW284" s="1">
        <v>1292</v>
      </c>
      <c r="AX284" s="1">
        <v>1307</v>
      </c>
      <c r="AY284" s="1">
        <v>1326</v>
      </c>
      <c r="AZ284" s="1">
        <v>1331</v>
      </c>
      <c r="BA284" s="1">
        <v>1310</v>
      </c>
      <c r="BB284" s="1">
        <v>1270</v>
      </c>
      <c r="BC284" s="1">
        <v>1297</v>
      </c>
      <c r="BD284" s="1">
        <v>1335</v>
      </c>
      <c r="BE284" s="1">
        <v>1375</v>
      </c>
      <c r="BF284" s="1">
        <v>1330</v>
      </c>
      <c r="BG284" s="1">
        <v>1298</v>
      </c>
      <c r="BH284" s="1">
        <v>1289</v>
      </c>
      <c r="BI284" s="1">
        <v>1480</v>
      </c>
      <c r="BJ284" s="1">
        <v>1519</v>
      </c>
      <c r="BK284" s="1">
        <v>1500</v>
      </c>
      <c r="BL284" s="1">
        <v>1563</v>
      </c>
    </row>
    <row r="285" spans="1:64">
      <c r="A285" s="65" t="s">
        <v>586</v>
      </c>
      <c r="B285" s="1" t="str">
        <f>銘柄管理!C285</f>
        <v>トリドールホールディングス</v>
      </c>
      <c r="C285" s="1">
        <f>_xll.RssMarket("3397","安値")</f>
        <v>3650</v>
      </c>
      <c r="E285" s="1">
        <v>3650</v>
      </c>
      <c r="F285" s="1">
        <v>3702</v>
      </c>
      <c r="G285" s="1">
        <v>3739</v>
      </c>
      <c r="H285" s="1">
        <v>3800</v>
      </c>
      <c r="I285" s="1">
        <v>3858</v>
      </c>
      <c r="J285" s="1">
        <v>3768</v>
      </c>
      <c r="K285" s="1">
        <v>3700</v>
      </c>
      <c r="L285" s="1">
        <v>3676</v>
      </c>
      <c r="M285" s="1">
        <v>3727</v>
      </c>
      <c r="N285" s="1">
        <v>3780</v>
      </c>
      <c r="O285" s="1">
        <v>3787</v>
      </c>
      <c r="P285" s="1">
        <v>3783</v>
      </c>
      <c r="Q285" s="1">
        <v>3736</v>
      </c>
      <c r="R285" s="1">
        <v>3648</v>
      </c>
      <c r="S285" s="1">
        <v>3850</v>
      </c>
      <c r="T285" s="1">
        <v>3787</v>
      </c>
      <c r="U285" s="1">
        <v>3800</v>
      </c>
      <c r="V285" s="1">
        <v>3858</v>
      </c>
      <c r="W285" s="1">
        <v>3775</v>
      </c>
      <c r="X285" s="1">
        <v>3715</v>
      </c>
      <c r="Y285" s="1">
        <v>3628</v>
      </c>
      <c r="Z285" s="1">
        <v>3880</v>
      </c>
      <c r="AA285" s="1">
        <v>3957</v>
      </c>
      <c r="AB285" s="1">
        <v>3913</v>
      </c>
      <c r="AC285" s="1">
        <v>3901</v>
      </c>
      <c r="AD285" s="1">
        <v>3956</v>
      </c>
      <c r="AE285" s="1">
        <v>3950</v>
      </c>
      <c r="AF285" s="1">
        <v>3996</v>
      </c>
      <c r="AG285" s="1">
        <v>4040</v>
      </c>
      <c r="AH285" s="1">
        <v>4051</v>
      </c>
      <c r="AI285" s="1">
        <v>4053</v>
      </c>
      <c r="AJ285" s="1">
        <v>4067</v>
      </c>
      <c r="AK285" s="1">
        <v>4108</v>
      </c>
      <c r="AL285" s="1">
        <v>4142</v>
      </c>
      <c r="AM285" s="1">
        <v>4157</v>
      </c>
      <c r="AN285" s="1">
        <v>4175</v>
      </c>
      <c r="AO285" s="1">
        <v>4165</v>
      </c>
      <c r="AP285" s="1">
        <v>4215</v>
      </c>
      <c r="AQ285" s="1">
        <v>4246</v>
      </c>
      <c r="AR285" s="1">
        <v>4225</v>
      </c>
      <c r="AS285" s="1">
        <v>4258</v>
      </c>
      <c r="AT285" s="1">
        <v>4286</v>
      </c>
      <c r="AU285" s="1">
        <v>4366</v>
      </c>
      <c r="AV285" s="1">
        <v>4499</v>
      </c>
      <c r="AW285" s="1">
        <v>4498</v>
      </c>
      <c r="AX285" s="1">
        <v>4483</v>
      </c>
      <c r="AY285" s="1">
        <v>4486</v>
      </c>
      <c r="AZ285" s="1">
        <v>4471</v>
      </c>
      <c r="BA285" s="1">
        <v>4340</v>
      </c>
      <c r="BB285" s="1">
        <v>4312</v>
      </c>
      <c r="BC285" s="1">
        <v>4250</v>
      </c>
      <c r="BD285" s="1">
        <v>4337</v>
      </c>
      <c r="BE285" s="1">
        <v>4342</v>
      </c>
      <c r="BF285" s="1">
        <v>4359</v>
      </c>
      <c r="BG285" s="1">
        <v>4343</v>
      </c>
      <c r="BH285" s="1">
        <v>4295</v>
      </c>
      <c r="BI285" s="1">
        <v>4306</v>
      </c>
      <c r="BJ285" s="1">
        <v>4298</v>
      </c>
      <c r="BK285" s="1">
        <v>4294</v>
      </c>
      <c r="BL285" s="1">
        <v>4282</v>
      </c>
    </row>
    <row r="286" spans="1:64">
      <c r="A286" s="65" t="s">
        <v>587</v>
      </c>
      <c r="B286" s="1" t="str">
        <f>銘柄管理!C286</f>
        <v>ＳＵＢＡＲＵ</v>
      </c>
      <c r="C286" s="1">
        <f>_xll.RssMarket("7270","安値")</f>
        <v>2569</v>
      </c>
      <c r="E286" s="1">
        <v>2569</v>
      </c>
      <c r="F286" s="1">
        <v>2506.5</v>
      </c>
      <c r="G286" s="1">
        <v>2505</v>
      </c>
      <c r="H286" s="1">
        <v>2467.5</v>
      </c>
      <c r="I286" s="1">
        <v>2472</v>
      </c>
      <c r="J286" s="1">
        <v>2523.5</v>
      </c>
      <c r="K286" s="1">
        <v>2462</v>
      </c>
      <c r="L286" s="1">
        <v>2444</v>
      </c>
      <c r="M286" s="1">
        <v>2453</v>
      </c>
      <c r="N286" s="1">
        <v>2436.5</v>
      </c>
      <c r="O286" s="1">
        <v>2359.5</v>
      </c>
      <c r="P286" s="1">
        <v>2442</v>
      </c>
      <c r="Q286" s="1">
        <v>2441.5</v>
      </c>
      <c r="R286" s="1">
        <v>2424</v>
      </c>
      <c r="S286" s="1">
        <v>2445</v>
      </c>
      <c r="T286" s="1">
        <v>2439</v>
      </c>
      <c r="U286" s="1">
        <v>2450</v>
      </c>
      <c r="V286" s="1">
        <v>2430.5</v>
      </c>
      <c r="W286" s="1">
        <v>2357</v>
      </c>
      <c r="X286" s="1">
        <v>2362</v>
      </c>
      <c r="Y286" s="1">
        <v>2435.5</v>
      </c>
      <c r="Z286" s="1">
        <v>2337.5</v>
      </c>
      <c r="AA286" s="1">
        <v>2266</v>
      </c>
      <c r="AB286" s="1">
        <v>2265</v>
      </c>
      <c r="AC286" s="1">
        <v>2247.5</v>
      </c>
      <c r="AD286" s="1">
        <v>2348</v>
      </c>
      <c r="AE286" s="1">
        <v>2327</v>
      </c>
      <c r="AF286" s="1">
        <v>2334.5</v>
      </c>
      <c r="AG286" s="1">
        <v>2338</v>
      </c>
      <c r="AH286" s="1">
        <v>2438</v>
      </c>
      <c r="AI286" s="1">
        <v>2425</v>
      </c>
      <c r="AJ286" s="1">
        <v>2447.5</v>
      </c>
      <c r="AK286" s="1">
        <v>2477.5</v>
      </c>
      <c r="AL286" s="1">
        <v>2500.5</v>
      </c>
      <c r="AM286" s="1">
        <v>2535</v>
      </c>
      <c r="AN286" s="1">
        <v>2542</v>
      </c>
      <c r="AO286" s="1">
        <v>2527.5</v>
      </c>
      <c r="AP286" s="1">
        <v>2534.5</v>
      </c>
      <c r="AQ286" s="1">
        <v>2498.5</v>
      </c>
      <c r="AR286" s="1">
        <v>2516.5</v>
      </c>
      <c r="AS286" s="1">
        <v>2501.5</v>
      </c>
      <c r="AT286" s="1">
        <v>2530</v>
      </c>
      <c r="AU286" s="1">
        <v>2531</v>
      </c>
      <c r="AV286" s="1">
        <v>2545.5</v>
      </c>
      <c r="AW286" s="1">
        <v>2501.5</v>
      </c>
      <c r="AX286" s="1">
        <v>2523</v>
      </c>
      <c r="AY286" s="1">
        <v>2512</v>
      </c>
      <c r="AZ286" s="1">
        <v>2502.5</v>
      </c>
      <c r="BA286" s="1">
        <v>2530.5</v>
      </c>
      <c r="BB286" s="1">
        <v>2470.5</v>
      </c>
      <c r="BC286" s="1">
        <v>2445.5</v>
      </c>
      <c r="BD286" s="1">
        <v>2566</v>
      </c>
      <c r="BE286" s="1">
        <v>2568</v>
      </c>
      <c r="BF286" s="1">
        <v>2575.5</v>
      </c>
      <c r="BG286" s="1">
        <v>2513</v>
      </c>
      <c r="BH286" s="1">
        <v>2432.5</v>
      </c>
      <c r="BI286" s="1">
        <v>2550</v>
      </c>
      <c r="BJ286" s="1">
        <v>2588</v>
      </c>
      <c r="BK286" s="1">
        <v>2553.5</v>
      </c>
      <c r="BL286" s="1">
        <v>2558</v>
      </c>
    </row>
    <row r="287" spans="1:64">
      <c r="A287" s="65" t="s">
        <v>588</v>
      </c>
      <c r="B287" s="1" t="str">
        <f>銘柄管理!C287</f>
        <v>サン電子</v>
      </c>
      <c r="C287" s="1">
        <f>_xll.RssMarket("6736","安値")</f>
        <v>9030</v>
      </c>
      <c r="E287" s="1">
        <v>9030</v>
      </c>
      <c r="F287" s="1">
        <v>8910</v>
      </c>
      <c r="G287" s="1">
        <v>8980</v>
      </c>
      <c r="H287" s="1">
        <v>8630</v>
      </c>
      <c r="I287" s="1">
        <v>8680</v>
      </c>
      <c r="J287" s="1">
        <v>8950</v>
      </c>
      <c r="K287" s="1">
        <v>8380</v>
      </c>
      <c r="L287" s="1">
        <v>8500</v>
      </c>
      <c r="M287" s="1">
        <v>8600</v>
      </c>
      <c r="N287" s="1">
        <v>8920</v>
      </c>
      <c r="O287" s="1">
        <v>8950</v>
      </c>
      <c r="P287" s="1">
        <v>9090</v>
      </c>
      <c r="Q287" s="1">
        <v>9020</v>
      </c>
      <c r="R287" s="1">
        <v>9030</v>
      </c>
      <c r="S287" s="1">
        <v>8990</v>
      </c>
      <c r="T287" s="1">
        <v>9100</v>
      </c>
      <c r="U287" s="1">
        <v>8800</v>
      </c>
      <c r="V287" s="1">
        <v>8690</v>
      </c>
      <c r="W287" s="1">
        <v>8640</v>
      </c>
      <c r="X287" s="1">
        <v>8910</v>
      </c>
      <c r="Y287" s="1">
        <v>8760</v>
      </c>
      <c r="Z287" s="1">
        <v>8440</v>
      </c>
      <c r="AA287" s="1">
        <v>8340</v>
      </c>
      <c r="AB287" s="1">
        <v>8470</v>
      </c>
      <c r="AC287" s="1">
        <v>8860</v>
      </c>
      <c r="AD287" s="1">
        <v>8580</v>
      </c>
      <c r="AE287" s="1">
        <v>8520</v>
      </c>
      <c r="AF287" s="1">
        <v>8520</v>
      </c>
      <c r="AG287" s="1">
        <v>8210</v>
      </c>
      <c r="AH287" s="1">
        <v>8190</v>
      </c>
      <c r="AI287" s="1">
        <v>7990</v>
      </c>
      <c r="AJ287" s="1">
        <v>7970</v>
      </c>
      <c r="AK287" s="1">
        <v>7970</v>
      </c>
      <c r="AL287" s="1">
        <v>7950</v>
      </c>
      <c r="AM287" s="1">
        <v>7920</v>
      </c>
      <c r="AN287" s="1">
        <v>7920</v>
      </c>
      <c r="AO287" s="1">
        <v>7910</v>
      </c>
      <c r="AP287" s="1">
        <v>7670</v>
      </c>
      <c r="AQ287" s="1">
        <v>6970</v>
      </c>
      <c r="AR287" s="1">
        <v>7250</v>
      </c>
      <c r="AS287" s="1">
        <v>7480</v>
      </c>
      <c r="AT287" s="1">
        <v>8240</v>
      </c>
      <c r="AU287" s="1">
        <v>8710</v>
      </c>
      <c r="AV287" s="1">
        <v>8400</v>
      </c>
      <c r="AW287" s="1">
        <v>8320</v>
      </c>
      <c r="AX287" s="1">
        <v>8330</v>
      </c>
      <c r="AY287" s="1">
        <v>8280</v>
      </c>
      <c r="AZ287" s="1">
        <v>8310</v>
      </c>
      <c r="BA287" s="1">
        <v>8230</v>
      </c>
      <c r="BB287" s="1">
        <v>7980</v>
      </c>
      <c r="BC287" s="1">
        <v>7980</v>
      </c>
      <c r="BD287" s="1">
        <v>8160</v>
      </c>
      <c r="BE287" s="1">
        <v>8060</v>
      </c>
      <c r="BF287" s="1">
        <v>7790</v>
      </c>
      <c r="BG287" s="1">
        <v>7690</v>
      </c>
      <c r="BH287" s="1">
        <v>7430</v>
      </c>
      <c r="BI287" s="1">
        <v>7610</v>
      </c>
      <c r="BJ287" s="1">
        <v>7740</v>
      </c>
      <c r="BK287" s="1">
        <v>7700</v>
      </c>
      <c r="BL287" s="1">
        <v>7620</v>
      </c>
    </row>
    <row r="288" spans="1:64">
      <c r="A288" s="65" t="s">
        <v>589</v>
      </c>
      <c r="B288" s="1" t="str">
        <f>銘柄管理!C288</f>
        <v>紀文食品</v>
      </c>
      <c r="C288" s="1">
        <f>_xll.RssMarket("2933","安値")</f>
        <v>1050</v>
      </c>
      <c r="E288" s="1">
        <v>1050</v>
      </c>
      <c r="F288" s="1">
        <v>1039</v>
      </c>
      <c r="G288" s="1">
        <v>1045</v>
      </c>
      <c r="H288" s="1">
        <v>1040</v>
      </c>
      <c r="I288" s="1">
        <v>1043</v>
      </c>
      <c r="J288" s="1">
        <v>1040</v>
      </c>
      <c r="K288" s="1">
        <v>1033</v>
      </c>
      <c r="L288" s="1">
        <v>1027</v>
      </c>
      <c r="M288" s="1">
        <v>1022</v>
      </c>
      <c r="N288" s="1">
        <v>1013</v>
      </c>
      <c r="O288" s="1">
        <v>1018</v>
      </c>
      <c r="P288" s="1">
        <v>1036</v>
      </c>
      <c r="Q288" s="1">
        <v>1033</v>
      </c>
      <c r="R288" s="1">
        <v>1031</v>
      </c>
      <c r="S288" s="1">
        <v>1033</v>
      </c>
      <c r="T288" s="1">
        <v>1038</v>
      </c>
      <c r="U288" s="1">
        <v>1040</v>
      </c>
      <c r="V288" s="1">
        <v>1037</v>
      </c>
      <c r="W288" s="1">
        <v>1038</v>
      </c>
      <c r="X288" s="1">
        <v>1033</v>
      </c>
      <c r="Y288" s="1">
        <v>1028</v>
      </c>
      <c r="Z288" s="1">
        <v>1027</v>
      </c>
      <c r="AA288" s="1">
        <v>1030</v>
      </c>
      <c r="AB288" s="1">
        <v>1023</v>
      </c>
      <c r="AC288" s="1">
        <v>1024</v>
      </c>
      <c r="AD288" s="1">
        <v>1021</v>
      </c>
      <c r="AE288" s="1">
        <v>1030</v>
      </c>
      <c r="AF288" s="1">
        <v>1027</v>
      </c>
      <c r="AG288" s="1">
        <v>1025</v>
      </c>
      <c r="AH288" s="1">
        <v>1025</v>
      </c>
      <c r="AI288" s="1">
        <v>1026</v>
      </c>
      <c r="AJ288" s="1">
        <v>1030</v>
      </c>
      <c r="AK288" s="1">
        <v>1033</v>
      </c>
      <c r="AL288" s="1">
        <v>1040</v>
      </c>
      <c r="AM288" s="1">
        <v>1052</v>
      </c>
      <c r="AN288" s="1">
        <v>1059</v>
      </c>
      <c r="AO288" s="1">
        <v>1058</v>
      </c>
      <c r="AP288" s="1">
        <v>1055</v>
      </c>
      <c r="AQ288" s="1">
        <v>1051</v>
      </c>
      <c r="AR288" s="1">
        <v>1049</v>
      </c>
      <c r="AS288" s="1">
        <v>1056</v>
      </c>
      <c r="AT288" s="1">
        <v>1055</v>
      </c>
      <c r="AU288" s="1">
        <v>1058</v>
      </c>
      <c r="AV288" s="1">
        <v>1060</v>
      </c>
      <c r="AW288" s="1">
        <v>1058</v>
      </c>
      <c r="AX288" s="1">
        <v>1056</v>
      </c>
      <c r="AY288" s="1">
        <v>1050</v>
      </c>
      <c r="AZ288" s="1">
        <v>1048</v>
      </c>
      <c r="BA288" s="1">
        <v>1040</v>
      </c>
      <c r="BB288" s="1">
        <v>1030</v>
      </c>
      <c r="BC288" s="1">
        <v>1022</v>
      </c>
      <c r="BD288" s="1">
        <v>1050</v>
      </c>
      <c r="BE288" s="1">
        <v>1043</v>
      </c>
      <c r="BF288" s="1">
        <v>1046</v>
      </c>
      <c r="BG288" s="1">
        <v>1030</v>
      </c>
      <c r="BH288" s="1">
        <v>1027</v>
      </c>
      <c r="BI288" s="1">
        <v>1039</v>
      </c>
      <c r="BJ288" s="1">
        <v>1038</v>
      </c>
      <c r="BK288" s="1">
        <v>1035</v>
      </c>
      <c r="BL288" s="1">
        <v>1032</v>
      </c>
    </row>
    <row r="289" spans="1:64">
      <c r="A289" s="65" t="s">
        <v>590</v>
      </c>
      <c r="B289" s="1" t="str">
        <f>銘柄管理!C289</f>
        <v>関東電化</v>
      </c>
      <c r="C289" s="1">
        <f>_xll.RssMarket("4047","安値")</f>
        <v>3610</v>
      </c>
      <c r="E289" s="1">
        <v>3610</v>
      </c>
      <c r="F289" s="1">
        <v>3650</v>
      </c>
      <c r="G289" s="1">
        <v>3780</v>
      </c>
      <c r="H289" s="1">
        <v>3750</v>
      </c>
      <c r="I289" s="1">
        <v>3580</v>
      </c>
      <c r="J289" s="1">
        <v>3765</v>
      </c>
      <c r="K289" s="1">
        <v>3535</v>
      </c>
      <c r="L289" s="1">
        <v>3945</v>
      </c>
      <c r="M289" s="1">
        <v>3705</v>
      </c>
      <c r="N289" s="1">
        <v>3685</v>
      </c>
      <c r="O289" s="1">
        <v>3330</v>
      </c>
      <c r="P289" s="1">
        <v>3550</v>
      </c>
      <c r="Q289" s="1">
        <v>3210</v>
      </c>
      <c r="R289" s="1">
        <v>3275</v>
      </c>
      <c r="S289" s="1">
        <v>3125</v>
      </c>
      <c r="T289" s="1">
        <v>2879</v>
      </c>
      <c r="U289" s="1">
        <v>2703</v>
      </c>
      <c r="V289" s="1">
        <v>2611</v>
      </c>
      <c r="W289" s="1">
        <v>2668</v>
      </c>
      <c r="X289" s="1">
        <v>2550</v>
      </c>
      <c r="Y289" s="1">
        <v>1951</v>
      </c>
      <c r="Z289" s="1">
        <v>2102</v>
      </c>
      <c r="AA289" s="1">
        <v>1951</v>
      </c>
      <c r="AB289" s="1">
        <v>1962</v>
      </c>
      <c r="AC289" s="1">
        <v>1853</v>
      </c>
      <c r="AD289" s="1">
        <v>1775</v>
      </c>
      <c r="AE289" s="1">
        <v>1782</v>
      </c>
      <c r="AF289" s="1">
        <v>1650</v>
      </c>
      <c r="AG289" s="1">
        <v>1650</v>
      </c>
      <c r="AH289" s="1">
        <v>1666</v>
      </c>
      <c r="AI289" s="1">
        <v>1611</v>
      </c>
      <c r="AJ289" s="1">
        <v>1623</v>
      </c>
      <c r="AK289" s="1">
        <v>1601</v>
      </c>
      <c r="AL289" s="1">
        <v>1620</v>
      </c>
      <c r="AM289" s="1">
        <v>1642</v>
      </c>
      <c r="AN289" s="1">
        <v>1624</v>
      </c>
      <c r="AO289" s="1">
        <v>1629</v>
      </c>
      <c r="AP289" s="1">
        <v>1650</v>
      </c>
      <c r="AQ289" s="1">
        <v>1650</v>
      </c>
      <c r="AR289" s="1">
        <v>1655</v>
      </c>
      <c r="AS289" s="1">
        <v>1603</v>
      </c>
      <c r="AT289" s="1">
        <v>1587</v>
      </c>
      <c r="AU289" s="1">
        <v>1561</v>
      </c>
      <c r="AV289" s="1">
        <v>1500</v>
      </c>
      <c r="AW289" s="1">
        <v>1408</v>
      </c>
      <c r="AX289" s="1">
        <v>1342</v>
      </c>
      <c r="AY289" s="1">
        <v>1362</v>
      </c>
      <c r="AZ289" s="1">
        <v>1351</v>
      </c>
      <c r="BA289" s="1">
        <v>1383</v>
      </c>
      <c r="BB289" s="1">
        <v>1336</v>
      </c>
      <c r="BC289" s="1">
        <v>1384</v>
      </c>
      <c r="BD289" s="1">
        <v>1451</v>
      </c>
      <c r="BE289" s="1">
        <v>1489</v>
      </c>
      <c r="BF289" s="1">
        <v>1450</v>
      </c>
      <c r="BG289" s="1">
        <v>1367</v>
      </c>
      <c r="BH289" s="1">
        <v>1342</v>
      </c>
      <c r="BI289" s="1">
        <v>1442</v>
      </c>
      <c r="BJ289" s="1">
        <v>1506</v>
      </c>
      <c r="BK289" s="1">
        <v>1461</v>
      </c>
      <c r="BL289" s="1">
        <v>1514</v>
      </c>
    </row>
    <row r="290" spans="1:64">
      <c r="A290" s="65" t="s">
        <v>591</v>
      </c>
      <c r="B290" s="1" t="str">
        <f>銘柄管理!C290</f>
        <v>ＹＵＳＨＩＮ</v>
      </c>
      <c r="C290" s="1">
        <f>_xll.RssMarket("6482","安値")</f>
        <v>714</v>
      </c>
      <c r="E290" s="1">
        <v>714</v>
      </c>
      <c r="F290" s="1">
        <v>687</v>
      </c>
      <c r="G290" s="1">
        <v>680</v>
      </c>
      <c r="H290" s="1">
        <v>673</v>
      </c>
      <c r="I290" s="1">
        <v>659</v>
      </c>
      <c r="J290" s="1">
        <v>665</v>
      </c>
      <c r="K290" s="1">
        <v>646</v>
      </c>
      <c r="L290" s="1">
        <v>657</v>
      </c>
      <c r="M290" s="1">
        <v>648</v>
      </c>
      <c r="N290" s="1">
        <v>638</v>
      </c>
      <c r="O290" s="1">
        <v>666</v>
      </c>
      <c r="P290" s="1">
        <v>655</v>
      </c>
      <c r="Q290" s="1">
        <v>657</v>
      </c>
      <c r="R290" s="1">
        <v>709</v>
      </c>
      <c r="S290" s="1">
        <v>703</v>
      </c>
      <c r="T290" s="1">
        <v>705</v>
      </c>
      <c r="U290" s="1">
        <v>705</v>
      </c>
      <c r="V290" s="1">
        <v>706</v>
      </c>
      <c r="W290" s="1">
        <v>711</v>
      </c>
      <c r="X290" s="1">
        <v>730</v>
      </c>
      <c r="Y290" s="1">
        <v>720</v>
      </c>
      <c r="Z290" s="1">
        <v>724</v>
      </c>
      <c r="AA290" s="1">
        <v>710</v>
      </c>
      <c r="AB290" s="1">
        <v>678</v>
      </c>
      <c r="AC290" s="1">
        <v>674</v>
      </c>
      <c r="AD290" s="1">
        <v>683</v>
      </c>
      <c r="AE290" s="1">
        <v>663</v>
      </c>
      <c r="AF290" s="1">
        <v>658</v>
      </c>
      <c r="AG290" s="1">
        <v>656</v>
      </c>
      <c r="AH290" s="1">
        <v>651</v>
      </c>
      <c r="AI290" s="1">
        <v>656</v>
      </c>
      <c r="AJ290" s="1">
        <v>655</v>
      </c>
      <c r="AK290" s="1">
        <v>668</v>
      </c>
      <c r="AL290" s="1">
        <v>677</v>
      </c>
      <c r="AM290" s="1">
        <v>669</v>
      </c>
      <c r="AN290" s="1">
        <v>670</v>
      </c>
      <c r="AO290" s="1">
        <v>676</v>
      </c>
      <c r="AP290" s="1">
        <v>673</v>
      </c>
      <c r="AQ290" s="1">
        <v>677</v>
      </c>
      <c r="AR290" s="1">
        <v>672</v>
      </c>
      <c r="AS290" s="1">
        <v>678</v>
      </c>
      <c r="AT290" s="1">
        <v>680</v>
      </c>
      <c r="AU290" s="1">
        <v>689</v>
      </c>
      <c r="AV290" s="1">
        <v>679</v>
      </c>
      <c r="AW290" s="1">
        <v>668</v>
      </c>
      <c r="AX290" s="1">
        <v>665</v>
      </c>
      <c r="AY290" s="1">
        <v>662</v>
      </c>
      <c r="AZ290" s="1">
        <v>668</v>
      </c>
      <c r="BA290" s="1">
        <v>653</v>
      </c>
      <c r="BB290" s="1">
        <v>652</v>
      </c>
      <c r="BC290" s="1">
        <v>684</v>
      </c>
      <c r="BD290" s="1">
        <v>684</v>
      </c>
      <c r="BE290" s="1">
        <v>688</v>
      </c>
      <c r="BF290" s="1">
        <v>675</v>
      </c>
      <c r="BG290" s="1">
        <v>647</v>
      </c>
      <c r="BH290" s="1">
        <v>672</v>
      </c>
      <c r="BI290" s="1">
        <v>713</v>
      </c>
      <c r="BJ290" s="1">
        <v>701</v>
      </c>
      <c r="BK290" s="1">
        <v>695</v>
      </c>
      <c r="BL290" s="1">
        <v>689</v>
      </c>
    </row>
    <row r="291" spans="1:64">
      <c r="A291" s="65" t="s">
        <v>592</v>
      </c>
      <c r="B291" s="1" t="str">
        <f>銘柄管理!C291</f>
        <v>電気興業</v>
      </c>
      <c r="C291" s="1">
        <f>_xll.RssMarket("6706","安値")</f>
        <v>3105</v>
      </c>
      <c r="E291" s="1">
        <v>3105</v>
      </c>
      <c r="F291" s="1">
        <v>3160</v>
      </c>
      <c r="G291" s="1">
        <v>3230</v>
      </c>
      <c r="H291" s="1">
        <v>3095</v>
      </c>
      <c r="I291" s="1">
        <v>3130</v>
      </c>
      <c r="J291" s="1">
        <v>3275</v>
      </c>
      <c r="K291" s="1">
        <v>3315</v>
      </c>
      <c r="L291" s="1">
        <v>3455</v>
      </c>
      <c r="M291" s="1">
        <v>3465</v>
      </c>
      <c r="N291" s="1">
        <v>3455</v>
      </c>
      <c r="O291" s="1">
        <v>3425</v>
      </c>
      <c r="P291" s="1">
        <v>3510</v>
      </c>
      <c r="Q291" s="1">
        <v>3415</v>
      </c>
      <c r="R291" s="1">
        <v>3435</v>
      </c>
      <c r="S291" s="1">
        <v>3410</v>
      </c>
      <c r="T291" s="1">
        <v>3395</v>
      </c>
      <c r="U291" s="1">
        <v>3400</v>
      </c>
      <c r="V291" s="1">
        <v>3370</v>
      </c>
      <c r="W291" s="1">
        <v>3345</v>
      </c>
      <c r="X291" s="1">
        <v>3300</v>
      </c>
      <c r="Y291" s="1">
        <v>3415</v>
      </c>
      <c r="Z291" s="1">
        <v>3420</v>
      </c>
      <c r="AA291" s="1">
        <v>3465</v>
      </c>
      <c r="AB291" s="1">
        <v>3420</v>
      </c>
      <c r="AC291" s="1">
        <v>3385</v>
      </c>
      <c r="AD291" s="1">
        <v>3375</v>
      </c>
      <c r="AE291" s="1">
        <v>3380</v>
      </c>
      <c r="AF291" s="1">
        <v>3285</v>
      </c>
      <c r="AG291" s="1">
        <v>3280</v>
      </c>
      <c r="AH291" s="1">
        <v>3290</v>
      </c>
      <c r="AI291" s="1">
        <v>3285</v>
      </c>
      <c r="AJ291" s="1">
        <v>3285</v>
      </c>
      <c r="AK291" s="1">
        <v>3260</v>
      </c>
      <c r="AL291" s="1">
        <v>3265</v>
      </c>
      <c r="AM291" s="1">
        <v>3270</v>
      </c>
      <c r="AN291" s="1">
        <v>3270</v>
      </c>
      <c r="AO291" s="1">
        <v>3265</v>
      </c>
      <c r="AP291" s="1">
        <v>3255</v>
      </c>
      <c r="AQ291" s="1">
        <v>3250</v>
      </c>
      <c r="AR291" s="1">
        <v>3190</v>
      </c>
      <c r="AS291" s="1">
        <v>3025</v>
      </c>
      <c r="AT291" s="1">
        <v>3075</v>
      </c>
      <c r="AU291" s="1">
        <v>3090</v>
      </c>
      <c r="AV291" s="1">
        <v>3095</v>
      </c>
      <c r="AW291" s="1">
        <v>3050</v>
      </c>
      <c r="AX291" s="1">
        <v>3065</v>
      </c>
      <c r="AY291" s="1">
        <v>3040</v>
      </c>
      <c r="AZ291" s="1">
        <v>3050</v>
      </c>
      <c r="BA291" s="1">
        <v>3030</v>
      </c>
      <c r="BB291" s="1">
        <v>2977</v>
      </c>
      <c r="BC291" s="1">
        <v>2937</v>
      </c>
      <c r="BD291" s="1">
        <v>3010</v>
      </c>
      <c r="BE291" s="1">
        <v>3015</v>
      </c>
      <c r="BF291" s="1">
        <v>3085</v>
      </c>
      <c r="BG291" s="1">
        <v>3040</v>
      </c>
      <c r="BH291" s="1">
        <v>2960</v>
      </c>
      <c r="BI291" s="1">
        <v>3125</v>
      </c>
      <c r="BJ291" s="1">
        <v>3150</v>
      </c>
      <c r="BK291" s="1">
        <v>3075</v>
      </c>
      <c r="BL291" s="1">
        <v>3150</v>
      </c>
    </row>
    <row r="292" spans="1:64">
      <c r="A292" s="65" t="s">
        <v>593</v>
      </c>
      <c r="B292" s="1" t="str">
        <f>銘柄管理!C292</f>
        <v>新光商事</v>
      </c>
      <c r="C292" s="1">
        <f>_xll.RssMarket("8141","安値")</f>
        <v>1580</v>
      </c>
      <c r="E292" s="1">
        <v>1580</v>
      </c>
      <c r="F292" s="1">
        <v>1578</v>
      </c>
      <c r="G292" s="1">
        <v>1577</v>
      </c>
      <c r="H292" s="1">
        <v>1579</v>
      </c>
      <c r="I292" s="1">
        <v>1577</v>
      </c>
      <c r="J292" s="1">
        <v>1576</v>
      </c>
      <c r="K292" s="1">
        <v>1579</v>
      </c>
      <c r="L292" s="1">
        <v>1582</v>
      </c>
      <c r="M292" s="1">
        <v>1579</v>
      </c>
      <c r="N292" s="1">
        <v>1577</v>
      </c>
      <c r="O292" s="1">
        <v>1576</v>
      </c>
      <c r="P292" s="1">
        <v>1575</v>
      </c>
      <c r="Q292" s="1">
        <v>1577</v>
      </c>
      <c r="R292" s="1">
        <v>1589</v>
      </c>
      <c r="S292" s="1">
        <v>1593</v>
      </c>
      <c r="T292" s="1">
        <v>1598</v>
      </c>
      <c r="U292" s="1">
        <v>1601</v>
      </c>
      <c r="V292" s="1">
        <v>1594</v>
      </c>
      <c r="W292" s="1">
        <v>1595</v>
      </c>
      <c r="X292" s="1">
        <v>1590</v>
      </c>
      <c r="Y292" s="1">
        <v>1494</v>
      </c>
      <c r="Z292" s="1">
        <v>1480</v>
      </c>
      <c r="AA292" s="1">
        <v>1440</v>
      </c>
      <c r="AB292" s="1">
        <v>1655</v>
      </c>
      <c r="AC292" s="1">
        <v>1651</v>
      </c>
      <c r="AD292" s="1">
        <v>1676</v>
      </c>
      <c r="AE292" s="1">
        <v>1675</v>
      </c>
      <c r="AF292" s="1">
        <v>1580</v>
      </c>
      <c r="AG292" s="1">
        <v>1585</v>
      </c>
      <c r="AH292" s="1">
        <v>1546</v>
      </c>
      <c r="AI292" s="1">
        <v>1522</v>
      </c>
      <c r="AJ292" s="1">
        <v>1507</v>
      </c>
      <c r="AK292" s="1">
        <v>1512</v>
      </c>
      <c r="AL292" s="1">
        <v>1542</v>
      </c>
      <c r="AM292" s="1">
        <v>1527</v>
      </c>
      <c r="AN292" s="1">
        <v>1487</v>
      </c>
      <c r="AO292" s="1">
        <v>1441</v>
      </c>
      <c r="AP292" s="1">
        <v>1443</v>
      </c>
      <c r="AQ292" s="1">
        <v>1362</v>
      </c>
      <c r="AR292" s="1">
        <v>1340</v>
      </c>
      <c r="AS292" s="1">
        <v>1419</v>
      </c>
      <c r="AT292" s="1">
        <v>1386</v>
      </c>
      <c r="AU292" s="1">
        <v>1370</v>
      </c>
      <c r="AV292" s="1">
        <v>1357</v>
      </c>
      <c r="AW292" s="1">
        <v>1310</v>
      </c>
      <c r="AX292" s="1">
        <v>1300</v>
      </c>
      <c r="AY292" s="1">
        <v>1296</v>
      </c>
      <c r="AZ292" s="1">
        <v>1252</v>
      </c>
      <c r="BA292" s="1">
        <v>1258</v>
      </c>
      <c r="BB292" s="1">
        <v>1251</v>
      </c>
      <c r="BC292" s="1">
        <v>1190</v>
      </c>
      <c r="BD292" s="1">
        <v>1158</v>
      </c>
      <c r="BE292" s="1">
        <v>1152</v>
      </c>
      <c r="BF292" s="1">
        <v>1111</v>
      </c>
      <c r="BG292" s="1">
        <v>1087</v>
      </c>
      <c r="BH292" s="1">
        <v>1079</v>
      </c>
      <c r="BI292" s="1">
        <v>1088</v>
      </c>
      <c r="BJ292" s="1">
        <v>1100</v>
      </c>
      <c r="BK292" s="1">
        <v>1092</v>
      </c>
      <c r="BL292" s="1">
        <v>1084</v>
      </c>
    </row>
    <row r="293" spans="1:64">
      <c r="A293" s="65" t="s">
        <v>594</v>
      </c>
      <c r="B293" s="1" t="str">
        <f>銘柄管理!C293</f>
        <v>山形銀行</v>
      </c>
      <c r="C293" s="1">
        <f>_xll.RssMarket("8344","安値")</f>
        <v>3440</v>
      </c>
      <c r="E293" s="1">
        <v>3440</v>
      </c>
      <c r="F293" s="1">
        <v>3445</v>
      </c>
      <c r="G293" s="1">
        <v>3505</v>
      </c>
      <c r="H293" s="1">
        <v>3400</v>
      </c>
      <c r="I293" s="1">
        <v>3305</v>
      </c>
      <c r="J293" s="1">
        <v>3200</v>
      </c>
      <c r="K293" s="1">
        <v>2982</v>
      </c>
      <c r="L293" s="1">
        <v>3025</v>
      </c>
      <c r="M293" s="1">
        <v>2919</v>
      </c>
      <c r="N293" s="1">
        <v>2972</v>
      </c>
      <c r="O293" s="1">
        <v>2923</v>
      </c>
      <c r="P293" s="1">
        <v>3085</v>
      </c>
      <c r="Q293" s="1">
        <v>3000</v>
      </c>
      <c r="R293" s="1">
        <v>2988</v>
      </c>
      <c r="S293" s="1">
        <v>2914</v>
      </c>
      <c r="T293" s="1">
        <v>3025</v>
      </c>
      <c r="U293" s="1">
        <v>2948</v>
      </c>
      <c r="V293" s="1">
        <v>2891</v>
      </c>
      <c r="W293" s="1">
        <v>2666</v>
      </c>
      <c r="X293" s="1">
        <v>2593</v>
      </c>
      <c r="Y293" s="1">
        <v>2579</v>
      </c>
      <c r="Z293" s="1">
        <v>2539</v>
      </c>
      <c r="AA293" s="1">
        <v>2538</v>
      </c>
      <c r="AB293" s="1">
        <v>2504</v>
      </c>
      <c r="AC293" s="1">
        <v>2469</v>
      </c>
      <c r="AD293" s="1">
        <v>2557</v>
      </c>
      <c r="AE293" s="1">
        <v>2486</v>
      </c>
      <c r="AF293" s="1">
        <v>2450</v>
      </c>
      <c r="AG293" s="1">
        <v>2405</v>
      </c>
      <c r="AH293" s="1">
        <v>2357</v>
      </c>
      <c r="AI293" s="1">
        <v>2415</v>
      </c>
      <c r="AJ293" s="1">
        <v>2457</v>
      </c>
      <c r="AK293" s="1">
        <v>2521</v>
      </c>
      <c r="AL293" s="1">
        <v>2628</v>
      </c>
      <c r="AM293" s="1">
        <v>2718</v>
      </c>
      <c r="AN293" s="1">
        <v>2769</v>
      </c>
      <c r="AO293" s="1">
        <v>2751</v>
      </c>
      <c r="AP293" s="1">
        <v>2720</v>
      </c>
      <c r="AQ293" s="1">
        <v>2666</v>
      </c>
      <c r="AR293" s="1">
        <v>2628</v>
      </c>
      <c r="AS293" s="1">
        <v>2666</v>
      </c>
      <c r="AT293" s="1">
        <v>2641</v>
      </c>
      <c r="AU293" s="1">
        <v>2640</v>
      </c>
      <c r="AV293" s="1">
        <v>2560</v>
      </c>
      <c r="AW293" s="1">
        <v>2511</v>
      </c>
      <c r="AX293" s="1">
        <v>2488</v>
      </c>
      <c r="AY293" s="1">
        <v>2490</v>
      </c>
      <c r="AZ293" s="1">
        <v>2455</v>
      </c>
      <c r="BA293" s="1">
        <v>2342</v>
      </c>
      <c r="BB293" s="1">
        <v>2337</v>
      </c>
      <c r="BC293" s="1">
        <v>2438</v>
      </c>
      <c r="BD293" s="1">
        <v>2446</v>
      </c>
      <c r="BE293" s="1">
        <v>2457</v>
      </c>
      <c r="BF293" s="1">
        <v>2358</v>
      </c>
      <c r="BG293" s="1">
        <v>2246</v>
      </c>
      <c r="BH293" s="1">
        <v>2386</v>
      </c>
      <c r="BI293" s="1">
        <v>2414</v>
      </c>
      <c r="BJ293" s="1">
        <v>2400</v>
      </c>
      <c r="BK293" s="1">
        <v>2367</v>
      </c>
      <c r="BL293" s="1">
        <v>2372</v>
      </c>
    </row>
    <row r="294" spans="1:64">
      <c r="A294" s="65" t="s">
        <v>595</v>
      </c>
      <c r="B294" s="1" t="str">
        <f>銘柄管理!C294</f>
        <v>小野建</v>
      </c>
      <c r="C294" s="1">
        <f>_xll.RssMarket("7414","安値")</f>
        <v>1329</v>
      </c>
      <c r="E294" s="1">
        <v>1329</v>
      </c>
      <c r="F294" s="1">
        <v>1315</v>
      </c>
      <c r="G294" s="1">
        <v>1323</v>
      </c>
      <c r="H294" s="1">
        <v>1309</v>
      </c>
      <c r="I294" s="1">
        <v>1295</v>
      </c>
      <c r="J294" s="1">
        <v>1299</v>
      </c>
      <c r="K294" s="1">
        <v>1306</v>
      </c>
      <c r="L294" s="1">
        <v>1314</v>
      </c>
      <c r="M294" s="1">
        <v>1301</v>
      </c>
      <c r="N294" s="1">
        <v>1293</v>
      </c>
      <c r="O294" s="1">
        <v>1289</v>
      </c>
      <c r="P294" s="1">
        <v>1344</v>
      </c>
      <c r="Q294" s="1">
        <v>1332</v>
      </c>
      <c r="R294" s="1">
        <v>1330</v>
      </c>
      <c r="S294" s="1">
        <v>1315</v>
      </c>
      <c r="T294" s="1">
        <v>1319</v>
      </c>
      <c r="U294" s="1">
        <v>1325</v>
      </c>
      <c r="V294" s="1">
        <v>1320</v>
      </c>
      <c r="W294" s="1">
        <v>1336</v>
      </c>
      <c r="X294" s="1">
        <v>1330</v>
      </c>
      <c r="Y294" s="1">
        <v>1350</v>
      </c>
      <c r="Z294" s="1">
        <v>1429</v>
      </c>
      <c r="AA294" s="1">
        <v>1428</v>
      </c>
      <c r="AB294" s="1">
        <v>1435</v>
      </c>
      <c r="AC294" s="1">
        <v>1423</v>
      </c>
      <c r="AD294" s="1">
        <v>1418</v>
      </c>
      <c r="AE294" s="1">
        <v>1414</v>
      </c>
      <c r="AF294" s="1">
        <v>1385</v>
      </c>
      <c r="AG294" s="1">
        <v>1381</v>
      </c>
      <c r="AH294" s="1">
        <v>1373</v>
      </c>
      <c r="AI294" s="1">
        <v>1372</v>
      </c>
      <c r="AJ294" s="1">
        <v>1371</v>
      </c>
      <c r="AK294" s="1">
        <v>1365</v>
      </c>
      <c r="AL294" s="1">
        <v>1380</v>
      </c>
      <c r="AM294" s="1">
        <v>1394</v>
      </c>
      <c r="AN294" s="1">
        <v>1395</v>
      </c>
      <c r="AO294" s="1">
        <v>1393</v>
      </c>
      <c r="AP294" s="1">
        <v>1400</v>
      </c>
      <c r="AQ294" s="1">
        <v>1401</v>
      </c>
      <c r="AR294" s="1">
        <v>1402</v>
      </c>
      <c r="AS294" s="1">
        <v>1398</v>
      </c>
      <c r="AT294" s="1">
        <v>1407</v>
      </c>
      <c r="AU294" s="1">
        <v>1419</v>
      </c>
      <c r="AV294" s="1">
        <v>1417</v>
      </c>
      <c r="AW294" s="1">
        <v>1397</v>
      </c>
      <c r="AX294" s="1">
        <v>1393</v>
      </c>
      <c r="AY294" s="1">
        <v>1389</v>
      </c>
      <c r="AZ294" s="1">
        <v>1385</v>
      </c>
      <c r="BA294" s="1">
        <v>1387</v>
      </c>
      <c r="BB294" s="1">
        <v>1385</v>
      </c>
      <c r="BC294" s="1">
        <v>1352</v>
      </c>
      <c r="BD294" s="1">
        <v>1422</v>
      </c>
      <c r="BE294" s="1">
        <v>1426</v>
      </c>
      <c r="BF294" s="1">
        <v>1434</v>
      </c>
      <c r="BG294" s="1">
        <v>1404</v>
      </c>
      <c r="BH294" s="1">
        <v>1381</v>
      </c>
      <c r="BI294" s="1">
        <v>1413</v>
      </c>
      <c r="BJ294" s="1">
        <v>1425</v>
      </c>
      <c r="BK294" s="1">
        <v>1415</v>
      </c>
      <c r="BL294" s="1">
        <v>1410</v>
      </c>
    </row>
    <row r="295" spans="1:64">
      <c r="A295" s="65" t="s">
        <v>596</v>
      </c>
      <c r="B295" s="1" t="str">
        <f>銘柄管理!C295</f>
        <v>ＣＫＤ</v>
      </c>
      <c r="C295" s="1">
        <f>_xll.RssMarket("6407","安値")</f>
        <v>7290</v>
      </c>
      <c r="E295" s="1">
        <v>7290</v>
      </c>
      <c r="F295" s="1">
        <v>7270</v>
      </c>
      <c r="G295" s="1">
        <v>6890</v>
      </c>
      <c r="H295" s="1">
        <v>6490</v>
      </c>
      <c r="I295" s="1">
        <v>5760</v>
      </c>
      <c r="J295" s="1">
        <v>5980</v>
      </c>
      <c r="K295" s="1">
        <v>5680</v>
      </c>
      <c r="L295" s="1">
        <v>6090</v>
      </c>
      <c r="M295" s="1">
        <v>6240</v>
      </c>
      <c r="N295" s="1">
        <v>6290</v>
      </c>
      <c r="O295" s="1">
        <v>6090</v>
      </c>
      <c r="P295" s="1">
        <v>6490</v>
      </c>
      <c r="Q295" s="1">
        <v>6360</v>
      </c>
      <c r="R295" s="1">
        <v>6650</v>
      </c>
      <c r="S295" s="1">
        <v>6740</v>
      </c>
      <c r="T295" s="1">
        <v>5950</v>
      </c>
      <c r="U295" s="1">
        <v>5750</v>
      </c>
      <c r="V295" s="1">
        <v>5830</v>
      </c>
      <c r="W295" s="1">
        <v>5930</v>
      </c>
      <c r="X295" s="1">
        <v>6730</v>
      </c>
      <c r="Y295" s="1">
        <v>6890</v>
      </c>
      <c r="Z295" s="1">
        <v>6700</v>
      </c>
      <c r="AA295" s="1">
        <v>6760</v>
      </c>
      <c r="AB295" s="1">
        <v>6460</v>
      </c>
      <c r="AC295" s="1">
        <v>6240</v>
      </c>
      <c r="AD295" s="1">
        <v>6470</v>
      </c>
      <c r="AE295" s="1">
        <v>5960</v>
      </c>
      <c r="AF295" s="1">
        <v>5870</v>
      </c>
      <c r="AG295" s="1">
        <v>5750</v>
      </c>
      <c r="AH295" s="1">
        <v>5480</v>
      </c>
      <c r="AI295" s="1">
        <v>5430</v>
      </c>
      <c r="AJ295" s="1">
        <v>5450</v>
      </c>
      <c r="AK295" s="1">
        <v>5570</v>
      </c>
      <c r="AL295" s="1">
        <v>5560</v>
      </c>
      <c r="AM295" s="1">
        <v>5560</v>
      </c>
      <c r="AN295" s="1">
        <v>5540</v>
      </c>
      <c r="AO295" s="1">
        <v>5500</v>
      </c>
      <c r="AP295" s="1">
        <v>5580</v>
      </c>
      <c r="AQ295" s="1">
        <v>5690</v>
      </c>
      <c r="AR295" s="1">
        <v>5520</v>
      </c>
      <c r="AS295" s="1">
        <v>5420</v>
      </c>
      <c r="AT295" s="1">
        <v>4975</v>
      </c>
      <c r="AU295" s="1">
        <v>5060</v>
      </c>
      <c r="AV295" s="1">
        <v>4840</v>
      </c>
      <c r="AW295" s="1">
        <v>4850</v>
      </c>
      <c r="AX295" s="1">
        <v>4725</v>
      </c>
      <c r="AY295" s="1">
        <v>4550</v>
      </c>
      <c r="AZ295" s="1">
        <v>4550</v>
      </c>
      <c r="BA295" s="1">
        <v>4105</v>
      </c>
      <c r="BB295" s="1">
        <v>4085</v>
      </c>
      <c r="BC295" s="1">
        <v>4230</v>
      </c>
      <c r="BD295" s="1">
        <v>4475</v>
      </c>
      <c r="BE295" s="1">
        <v>4635</v>
      </c>
      <c r="BF295" s="1">
        <v>4195</v>
      </c>
      <c r="BG295" s="1">
        <v>4060</v>
      </c>
      <c r="BH295" s="1">
        <v>4465</v>
      </c>
      <c r="BI295" s="1">
        <v>4470</v>
      </c>
      <c r="BJ295" s="1">
        <v>4420</v>
      </c>
      <c r="BK295" s="1">
        <v>4295</v>
      </c>
      <c r="BL295" s="1">
        <v>4275</v>
      </c>
    </row>
    <row r="296" spans="1:64">
      <c r="A296" s="65" t="s">
        <v>597</v>
      </c>
      <c r="B296" s="1" t="str">
        <f>銘柄管理!C296</f>
        <v>ベルトラ</v>
      </c>
      <c r="C296" s="1">
        <f>_xll.RssMarket("7048","安値")</f>
        <v>124</v>
      </c>
      <c r="E296" s="1">
        <v>124</v>
      </c>
      <c r="F296" s="1">
        <v>122</v>
      </c>
      <c r="G296" s="1">
        <v>120</v>
      </c>
      <c r="H296" s="1">
        <v>116</v>
      </c>
      <c r="I296" s="1">
        <v>115</v>
      </c>
      <c r="J296" s="1">
        <v>116</v>
      </c>
      <c r="K296" s="1">
        <v>125</v>
      </c>
      <c r="L296" s="1">
        <v>129</v>
      </c>
      <c r="M296" s="1">
        <v>126</v>
      </c>
      <c r="N296" s="1">
        <v>130</v>
      </c>
      <c r="O296" s="1">
        <v>132</v>
      </c>
      <c r="P296" s="1">
        <v>136</v>
      </c>
      <c r="Q296" s="1">
        <v>141</v>
      </c>
      <c r="R296" s="1">
        <v>143</v>
      </c>
      <c r="S296" s="1">
        <v>141</v>
      </c>
      <c r="T296" s="1">
        <v>145</v>
      </c>
      <c r="U296" s="1">
        <v>144</v>
      </c>
      <c r="V296" s="1">
        <v>143</v>
      </c>
      <c r="W296" s="1">
        <v>159</v>
      </c>
      <c r="X296" s="1">
        <v>161</v>
      </c>
      <c r="Y296" s="1">
        <v>159</v>
      </c>
      <c r="Z296" s="1">
        <v>161</v>
      </c>
      <c r="AA296" s="1">
        <v>160</v>
      </c>
      <c r="AB296" s="1">
        <v>161</v>
      </c>
      <c r="AC296" s="1">
        <v>158</v>
      </c>
      <c r="AD296" s="1">
        <v>158</v>
      </c>
      <c r="AE296" s="1">
        <v>160</v>
      </c>
      <c r="AF296" s="1">
        <v>161</v>
      </c>
      <c r="AG296" s="1">
        <v>162</v>
      </c>
      <c r="AH296" s="1">
        <v>167</v>
      </c>
      <c r="AI296" s="1">
        <v>172</v>
      </c>
      <c r="AJ296" s="1">
        <v>178</v>
      </c>
      <c r="AK296" s="1">
        <v>182</v>
      </c>
      <c r="AL296" s="1">
        <v>184</v>
      </c>
      <c r="AM296" s="1">
        <v>176</v>
      </c>
      <c r="AN296" s="1">
        <v>175</v>
      </c>
      <c r="AO296" s="1">
        <v>172</v>
      </c>
      <c r="AP296" s="1">
        <v>169</v>
      </c>
      <c r="AQ296" s="1">
        <v>173</v>
      </c>
      <c r="AR296" s="1">
        <v>177</v>
      </c>
      <c r="AS296" s="1">
        <v>181</v>
      </c>
      <c r="AT296" s="1">
        <v>178</v>
      </c>
      <c r="AU296" s="1">
        <v>175</v>
      </c>
      <c r="AV296" s="1">
        <v>177</v>
      </c>
      <c r="AW296" s="1">
        <v>174</v>
      </c>
      <c r="AX296" s="1">
        <v>177</v>
      </c>
      <c r="AY296" s="1">
        <v>171</v>
      </c>
      <c r="AZ296" s="1">
        <v>169</v>
      </c>
      <c r="BA296" s="1">
        <v>175</v>
      </c>
      <c r="BB296" s="1">
        <v>175</v>
      </c>
      <c r="BC296" s="1">
        <v>181</v>
      </c>
      <c r="BD296" s="1">
        <v>175</v>
      </c>
      <c r="BE296" s="1">
        <v>173</v>
      </c>
      <c r="BF296" s="1">
        <v>180</v>
      </c>
      <c r="BG296" s="1">
        <v>187</v>
      </c>
      <c r="BH296" s="1">
        <v>184</v>
      </c>
      <c r="BI296" s="1">
        <v>184</v>
      </c>
      <c r="BJ296" s="1">
        <v>187</v>
      </c>
      <c r="BK296" s="1">
        <v>190</v>
      </c>
      <c r="BL296" s="1">
        <v>199</v>
      </c>
    </row>
    <row r="297" spans="1:64">
      <c r="A297" s="65" t="s">
        <v>598</v>
      </c>
      <c r="B297" s="1" t="str">
        <f>銘柄管理!C297</f>
        <v>長谷工コーポレーシヨン</v>
      </c>
      <c r="C297" s="1">
        <f>_xll.RssMarket("1808","安値")</f>
        <v>2695.5</v>
      </c>
      <c r="E297" s="1">
        <v>2695.5</v>
      </c>
      <c r="F297" s="1">
        <v>2673</v>
      </c>
      <c r="G297" s="1">
        <v>2699.5</v>
      </c>
      <c r="H297" s="1">
        <v>2690.5</v>
      </c>
      <c r="I297" s="1">
        <v>2706.5</v>
      </c>
      <c r="J297" s="1">
        <v>2679</v>
      </c>
      <c r="K297" s="1">
        <v>2619</v>
      </c>
      <c r="L297" s="1">
        <v>2633</v>
      </c>
      <c r="M297" s="1">
        <v>2592</v>
      </c>
      <c r="N297" s="1">
        <v>2599.5</v>
      </c>
      <c r="O297" s="1">
        <v>2555</v>
      </c>
      <c r="P297" s="1">
        <v>2686</v>
      </c>
      <c r="Q297" s="1">
        <v>2679.5</v>
      </c>
      <c r="R297" s="1">
        <v>2692.5</v>
      </c>
      <c r="S297" s="1">
        <v>2665</v>
      </c>
      <c r="T297" s="1">
        <v>2686.5</v>
      </c>
      <c r="U297" s="1">
        <v>2714.5</v>
      </c>
      <c r="V297" s="1">
        <v>2687</v>
      </c>
      <c r="W297" s="1">
        <v>2754</v>
      </c>
      <c r="X297" s="1">
        <v>2825.5</v>
      </c>
      <c r="Y297" s="1">
        <v>2657.5</v>
      </c>
      <c r="Z297" s="1">
        <v>2688</v>
      </c>
      <c r="AA297" s="1">
        <v>2770.5</v>
      </c>
      <c r="AB297" s="1">
        <v>2721.5</v>
      </c>
      <c r="AC297" s="1">
        <v>2732</v>
      </c>
      <c r="AD297" s="1">
        <v>2698.5</v>
      </c>
      <c r="AE297" s="1">
        <v>2732.5</v>
      </c>
      <c r="AF297" s="1">
        <v>2680</v>
      </c>
      <c r="AG297" s="1">
        <v>2692.5</v>
      </c>
      <c r="AH297" s="1">
        <v>2735</v>
      </c>
      <c r="AI297" s="1">
        <v>2650.5</v>
      </c>
      <c r="AJ297" s="1">
        <v>2680.5</v>
      </c>
      <c r="AK297" s="1">
        <v>2693</v>
      </c>
      <c r="AL297" s="1">
        <v>2738</v>
      </c>
      <c r="AM297" s="1">
        <v>2750</v>
      </c>
      <c r="AN297" s="1">
        <v>2762.5</v>
      </c>
      <c r="AO297" s="1">
        <v>2730</v>
      </c>
      <c r="AP297" s="1">
        <v>2760</v>
      </c>
      <c r="AQ297" s="1">
        <v>2732</v>
      </c>
      <c r="AR297" s="1">
        <v>2706</v>
      </c>
      <c r="AS297" s="1">
        <v>2861.5</v>
      </c>
      <c r="AT297" s="1">
        <v>2893</v>
      </c>
      <c r="AU297" s="1">
        <v>2925</v>
      </c>
      <c r="AV297" s="1">
        <v>2949.5</v>
      </c>
      <c r="AW297" s="1">
        <v>2892.5</v>
      </c>
      <c r="AX297" s="1">
        <v>2897</v>
      </c>
      <c r="AY297" s="1">
        <v>2890</v>
      </c>
      <c r="AZ297" s="1">
        <v>2931.5</v>
      </c>
      <c r="BA297" s="1">
        <v>2916</v>
      </c>
      <c r="BB297" s="1">
        <v>2849</v>
      </c>
      <c r="BC297" s="1">
        <v>2818</v>
      </c>
      <c r="BD297" s="1">
        <v>2982</v>
      </c>
      <c r="BE297" s="1">
        <v>2976</v>
      </c>
      <c r="BF297" s="1">
        <v>2951</v>
      </c>
      <c r="BG297" s="1">
        <v>2883.5</v>
      </c>
      <c r="BH297" s="1">
        <v>2842.5</v>
      </c>
      <c r="BI297" s="1">
        <v>2938</v>
      </c>
      <c r="BJ297" s="1">
        <v>3022</v>
      </c>
      <c r="BK297" s="1">
        <v>3000</v>
      </c>
      <c r="BL297" s="1">
        <v>2973.5</v>
      </c>
    </row>
    <row r="298" spans="1:64">
      <c r="A298" s="65" t="s">
        <v>770</v>
      </c>
      <c r="B298" s="1" t="str">
        <f>銘柄管理!C298</f>
        <v>ＵＢＥ</v>
      </c>
      <c r="C298" s="1">
        <f>_xll.RssMarket("4208","安値")</f>
        <v>3148</v>
      </c>
      <c r="E298" s="1">
        <v>3148</v>
      </c>
      <c r="F298" s="1">
        <v>3168</v>
      </c>
      <c r="G298" s="1">
        <v>3120</v>
      </c>
      <c r="H298" s="1">
        <v>3022</v>
      </c>
      <c r="I298" s="1">
        <v>2964</v>
      </c>
      <c r="J298" s="1">
        <v>2962.5</v>
      </c>
      <c r="K298" s="1">
        <v>2883</v>
      </c>
      <c r="L298" s="1">
        <v>2897</v>
      </c>
      <c r="M298" s="1">
        <v>2937.5</v>
      </c>
      <c r="N298" s="1">
        <v>2951</v>
      </c>
      <c r="O298" s="1">
        <v>2857</v>
      </c>
      <c r="P298" s="1">
        <v>2930.5</v>
      </c>
      <c r="Q298" s="1">
        <v>2892.5</v>
      </c>
      <c r="R298" s="1">
        <v>2960</v>
      </c>
      <c r="S298" s="1">
        <v>2969.5</v>
      </c>
      <c r="T298" s="1">
        <v>2956.5</v>
      </c>
      <c r="U298" s="1">
        <v>2900</v>
      </c>
      <c r="V298" s="1">
        <v>2660</v>
      </c>
      <c r="W298" s="1">
        <v>2364</v>
      </c>
      <c r="X298" s="1">
        <v>2376.5</v>
      </c>
      <c r="Y298" s="1">
        <v>2365.5</v>
      </c>
      <c r="Z298" s="1">
        <v>2432</v>
      </c>
      <c r="AA298" s="1">
        <v>2325.5</v>
      </c>
      <c r="AB298" s="1">
        <v>2313.5</v>
      </c>
      <c r="AC298" s="1">
        <v>2376.5</v>
      </c>
      <c r="AD298" s="1">
        <v>2358.5</v>
      </c>
      <c r="AE298" s="1">
        <v>2379.5</v>
      </c>
      <c r="AF298" s="1">
        <v>2351.5</v>
      </c>
      <c r="AG298" s="1">
        <v>2334.5</v>
      </c>
      <c r="AH298" s="1">
        <v>2358</v>
      </c>
      <c r="AI298" s="1">
        <v>2333.5</v>
      </c>
      <c r="AJ298" s="1">
        <v>2337.5</v>
      </c>
      <c r="AK298" s="1">
        <v>2327.5</v>
      </c>
      <c r="AL298" s="1">
        <v>2375.5</v>
      </c>
      <c r="AM298" s="1">
        <v>2413</v>
      </c>
      <c r="AN298" s="1">
        <v>2412.5</v>
      </c>
      <c r="AO298" s="1">
        <v>2424.5</v>
      </c>
      <c r="AP298" s="1">
        <v>2421</v>
      </c>
      <c r="AQ298" s="1">
        <v>2410</v>
      </c>
      <c r="AR298" s="1">
        <v>2400.5</v>
      </c>
      <c r="AS298" s="1">
        <v>2415</v>
      </c>
      <c r="AT298" s="1">
        <v>2440</v>
      </c>
      <c r="AU298" s="1">
        <v>2463</v>
      </c>
      <c r="AV298" s="1">
        <v>2496</v>
      </c>
      <c r="AW298" s="1">
        <v>2433</v>
      </c>
      <c r="AX298" s="1">
        <v>2445</v>
      </c>
      <c r="AY298" s="1">
        <v>2444</v>
      </c>
      <c r="AZ298" s="1">
        <v>2448</v>
      </c>
      <c r="BA298" s="1">
        <v>2461.5</v>
      </c>
      <c r="BB298" s="1">
        <v>2422.5</v>
      </c>
      <c r="BC298" s="1">
        <v>2379.5</v>
      </c>
      <c r="BD298" s="1">
        <v>2504.5</v>
      </c>
      <c r="BE298" s="1">
        <v>2490.5</v>
      </c>
      <c r="BF298" s="1">
        <v>2509</v>
      </c>
      <c r="BG298" s="1">
        <v>2451</v>
      </c>
      <c r="BH298" s="1">
        <v>2377</v>
      </c>
      <c r="BI298" s="1">
        <v>2485.5</v>
      </c>
      <c r="BJ298" s="1">
        <v>2555</v>
      </c>
      <c r="BK298" s="1">
        <v>2515</v>
      </c>
      <c r="BL298" s="1">
        <v>2513</v>
      </c>
    </row>
    <row r="299" spans="1:64">
      <c r="A299" s="65" t="s">
        <v>772</v>
      </c>
      <c r="B299" s="1" t="str">
        <f>銘柄管理!C299</f>
        <v>アストロスケールホールディンク</v>
      </c>
      <c r="C299" s="1">
        <f>_xll.RssMarket("186A","安値")</f>
        <v>1304</v>
      </c>
      <c r="E299" s="1">
        <v>1304</v>
      </c>
      <c r="F299" s="1">
        <v>1328</v>
      </c>
      <c r="G299" s="1">
        <v>1505</v>
      </c>
      <c r="H299" s="1">
        <v>1836</v>
      </c>
      <c r="I299" s="1">
        <v>1690</v>
      </c>
      <c r="J299" s="1">
        <v>1718</v>
      </c>
      <c r="K299" s="1">
        <v>1910</v>
      </c>
      <c r="L299" s="1">
        <v>2020</v>
      </c>
      <c r="M299" s="1">
        <v>1788</v>
      </c>
      <c r="N299" s="1">
        <v>2002</v>
      </c>
      <c r="O299" s="1">
        <v>2015</v>
      </c>
      <c r="P299" s="1">
        <v>2614</v>
      </c>
      <c r="Q299" s="1">
        <v>2633</v>
      </c>
      <c r="R299" s="1">
        <v>2616</v>
      </c>
      <c r="S299" s="1">
        <v>2612</v>
      </c>
      <c r="T299" s="1">
        <v>1988</v>
      </c>
      <c r="U299" s="1">
        <v>1832</v>
      </c>
      <c r="V299" s="1">
        <v>1863</v>
      </c>
      <c r="W299" s="1">
        <v>1914</v>
      </c>
      <c r="X299" s="1">
        <v>1865</v>
      </c>
      <c r="Y299" s="1">
        <v>1873</v>
      </c>
      <c r="Z299" s="1">
        <v>1770</v>
      </c>
      <c r="AA299" s="1">
        <v>1696</v>
      </c>
      <c r="AB299" s="1">
        <v>1703</v>
      </c>
      <c r="AC299" s="1">
        <v>1651</v>
      </c>
      <c r="AD299" s="1">
        <v>1388</v>
      </c>
      <c r="AE299" s="1">
        <v>1328</v>
      </c>
      <c r="AF299" s="1">
        <v>1237</v>
      </c>
      <c r="AG299" s="1">
        <v>1251</v>
      </c>
      <c r="AH299" s="1">
        <v>1220</v>
      </c>
      <c r="AI299" s="1">
        <v>1219</v>
      </c>
      <c r="AJ299" s="1">
        <v>1285</v>
      </c>
      <c r="AK299" s="1">
        <v>1360</v>
      </c>
      <c r="AL299" s="1">
        <v>1431</v>
      </c>
      <c r="AM299" s="1">
        <v>1449</v>
      </c>
      <c r="AN299" s="1">
        <v>1353</v>
      </c>
      <c r="AO299" s="1">
        <v>1327</v>
      </c>
      <c r="AP299" s="1">
        <v>1354</v>
      </c>
      <c r="AQ299" s="1">
        <v>1335</v>
      </c>
      <c r="AR299" s="1">
        <v>1292</v>
      </c>
      <c r="AS299" s="1">
        <v>1276</v>
      </c>
      <c r="AT299" s="1">
        <v>1232</v>
      </c>
      <c r="AU299" s="1">
        <v>1154</v>
      </c>
      <c r="AV299" s="1">
        <v>1111</v>
      </c>
      <c r="AW299" s="1">
        <v>1072</v>
      </c>
      <c r="AX299" s="1">
        <v>1035</v>
      </c>
      <c r="AY299" s="1">
        <v>1007</v>
      </c>
      <c r="AZ299" s="1">
        <v>991</v>
      </c>
      <c r="BA299" s="1">
        <v>884</v>
      </c>
      <c r="BB299" s="1">
        <v>874</v>
      </c>
      <c r="BC299" s="1">
        <v>890</v>
      </c>
      <c r="BD299" s="1">
        <v>960</v>
      </c>
      <c r="BE299" s="1">
        <v>985</v>
      </c>
      <c r="BF299" s="1">
        <v>981</v>
      </c>
      <c r="BG299" s="1">
        <v>943</v>
      </c>
      <c r="BH299" s="1">
        <v>981</v>
      </c>
      <c r="BI299" s="1">
        <v>1096</v>
      </c>
      <c r="BJ299" s="1">
        <v>1141</v>
      </c>
      <c r="BK299" s="1">
        <v>1101</v>
      </c>
      <c r="BL299" s="1">
        <v>1056</v>
      </c>
    </row>
    <row r="300" spans="1:64">
      <c r="A300" s="65" t="s">
        <v>773</v>
      </c>
      <c r="B300" s="1" t="str">
        <f>銘柄管理!C300</f>
        <v>浜松ホトニクス</v>
      </c>
      <c r="C300" s="1">
        <f>_xll.RssMarket("6965","安値")</f>
        <v>2594</v>
      </c>
      <c r="E300" s="1">
        <v>2594</v>
      </c>
      <c r="F300" s="1">
        <v>2560.5</v>
      </c>
      <c r="G300" s="1">
        <v>2521.5</v>
      </c>
      <c r="H300" s="1">
        <v>2459.5</v>
      </c>
      <c r="I300" s="1">
        <v>2281.5</v>
      </c>
      <c r="J300" s="1">
        <v>2320</v>
      </c>
      <c r="K300" s="1">
        <v>2572</v>
      </c>
      <c r="L300" s="1">
        <v>2788</v>
      </c>
      <c r="M300" s="1">
        <v>2820</v>
      </c>
      <c r="N300" s="1">
        <v>2806</v>
      </c>
      <c r="O300" s="1">
        <v>2617</v>
      </c>
      <c r="P300" s="1">
        <v>2807</v>
      </c>
      <c r="Q300" s="1">
        <v>2660</v>
      </c>
      <c r="R300" s="1">
        <v>2669</v>
      </c>
      <c r="S300" s="1">
        <v>2964</v>
      </c>
      <c r="T300" s="1">
        <v>2727</v>
      </c>
      <c r="U300" s="1">
        <v>2635</v>
      </c>
      <c r="V300" s="1">
        <v>2555</v>
      </c>
      <c r="W300" s="1">
        <v>2627</v>
      </c>
      <c r="X300" s="1">
        <v>2661.5</v>
      </c>
      <c r="Y300" s="1">
        <v>2577</v>
      </c>
      <c r="Z300" s="1">
        <v>2154</v>
      </c>
      <c r="AA300" s="1">
        <v>2073</v>
      </c>
      <c r="AB300" s="1">
        <v>2145</v>
      </c>
      <c r="AC300" s="1">
        <v>2133</v>
      </c>
      <c r="AD300" s="1">
        <v>2070</v>
      </c>
      <c r="AE300" s="1">
        <v>1992</v>
      </c>
      <c r="AF300" s="1">
        <v>1988</v>
      </c>
      <c r="AG300" s="1">
        <v>1971.5</v>
      </c>
      <c r="AH300" s="1">
        <v>1990</v>
      </c>
      <c r="AI300" s="1">
        <v>1935</v>
      </c>
      <c r="AJ300" s="1">
        <v>1894.5</v>
      </c>
      <c r="AK300" s="1">
        <v>1879.5</v>
      </c>
      <c r="AL300" s="1">
        <v>1926.5</v>
      </c>
      <c r="AM300" s="1">
        <v>1930.5</v>
      </c>
      <c r="AN300" s="1">
        <v>1918</v>
      </c>
      <c r="AO300" s="1">
        <v>1912.5</v>
      </c>
      <c r="AP300" s="1">
        <v>1903</v>
      </c>
      <c r="AQ300" s="1">
        <v>1889.5</v>
      </c>
      <c r="AR300" s="1">
        <v>1933.5</v>
      </c>
      <c r="AS300" s="1">
        <v>1907</v>
      </c>
      <c r="AT300" s="1">
        <v>1926</v>
      </c>
      <c r="AU300" s="1">
        <v>1922.5</v>
      </c>
      <c r="AV300" s="1">
        <v>1888</v>
      </c>
      <c r="AW300" s="1">
        <v>1835.5</v>
      </c>
      <c r="AX300" s="1">
        <v>1862</v>
      </c>
      <c r="AY300" s="1">
        <v>1839</v>
      </c>
      <c r="AZ300" s="1">
        <v>1818.5</v>
      </c>
      <c r="BA300" s="1">
        <v>1806.5</v>
      </c>
      <c r="BB300" s="1">
        <v>1747</v>
      </c>
      <c r="BC300" s="1">
        <v>1802</v>
      </c>
      <c r="BD300" s="1">
        <v>1902.5</v>
      </c>
      <c r="BE300" s="1">
        <v>1979</v>
      </c>
      <c r="BF300" s="1">
        <v>1912.5</v>
      </c>
      <c r="BG300" s="1">
        <v>1788</v>
      </c>
      <c r="BH300" s="1">
        <v>1755</v>
      </c>
      <c r="BI300" s="1">
        <v>1906</v>
      </c>
      <c r="BJ300" s="1">
        <v>1962.5</v>
      </c>
      <c r="BK300" s="1">
        <v>1981</v>
      </c>
      <c r="BL300" s="1">
        <v>2023.5</v>
      </c>
    </row>
    <row r="301" spans="1:64">
      <c r="A301" s="65" t="s">
        <v>793</v>
      </c>
      <c r="B301" s="1" t="str">
        <f>銘柄管理!C301</f>
        <v>三菱化工機</v>
      </c>
      <c r="C301" s="1">
        <f>_xll.RssMarket("6331","安値")</f>
        <v>3900</v>
      </c>
      <c r="E301" s="1">
        <v>3900</v>
      </c>
      <c r="F301" s="1">
        <v>3825</v>
      </c>
      <c r="G301" s="1">
        <v>3730</v>
      </c>
      <c r="H301" s="1">
        <v>3635</v>
      </c>
      <c r="I301" s="1">
        <v>3515</v>
      </c>
      <c r="J301" s="1">
        <v>3470</v>
      </c>
      <c r="K301" s="1">
        <v>3445</v>
      </c>
      <c r="L301" s="1">
        <v>3465</v>
      </c>
      <c r="M301" s="1">
        <v>3455</v>
      </c>
      <c r="N301" s="1">
        <v>3425</v>
      </c>
      <c r="O301" s="1">
        <v>3300</v>
      </c>
      <c r="P301" s="1">
        <v>3590</v>
      </c>
      <c r="Q301" s="1">
        <v>3585</v>
      </c>
      <c r="R301" s="1">
        <v>3630</v>
      </c>
      <c r="S301" s="1">
        <v>3420</v>
      </c>
      <c r="T301" s="1">
        <v>3390</v>
      </c>
      <c r="U301" s="1">
        <v>3470</v>
      </c>
      <c r="V301" s="1">
        <v>3365</v>
      </c>
      <c r="W301" s="1">
        <v>3550</v>
      </c>
      <c r="X301" s="1">
        <v>3545</v>
      </c>
      <c r="Y301" s="1">
        <v>3270</v>
      </c>
      <c r="Z301" s="1">
        <v>3290</v>
      </c>
      <c r="AA301" s="1">
        <v>3255</v>
      </c>
      <c r="AB301" s="1">
        <v>3270</v>
      </c>
      <c r="AC301" s="1">
        <v>3260</v>
      </c>
      <c r="AD301" s="1">
        <v>3210</v>
      </c>
      <c r="AE301" s="1">
        <v>3270</v>
      </c>
      <c r="AF301" s="1">
        <v>3200</v>
      </c>
      <c r="AG301" s="1">
        <v>3115</v>
      </c>
      <c r="AH301" s="1">
        <v>3180</v>
      </c>
      <c r="AI301" s="1">
        <v>3195</v>
      </c>
      <c r="AJ301" s="1">
        <v>3130</v>
      </c>
      <c r="AK301" s="1">
        <v>3040</v>
      </c>
      <c r="AL301" s="1">
        <v>2993</v>
      </c>
      <c r="AM301" s="1">
        <v>3020</v>
      </c>
      <c r="AN301" s="1">
        <v>3020</v>
      </c>
      <c r="AO301" s="1">
        <v>3005</v>
      </c>
      <c r="AP301" s="1">
        <v>3020</v>
      </c>
      <c r="AQ301" s="1">
        <v>3005</v>
      </c>
      <c r="AR301" s="1">
        <v>3080</v>
      </c>
      <c r="AS301" s="1">
        <v>3075</v>
      </c>
      <c r="AT301" s="1">
        <v>3175</v>
      </c>
      <c r="AU301" s="1">
        <v>3140</v>
      </c>
      <c r="AV301" s="1">
        <v>3185</v>
      </c>
      <c r="AW301" s="1">
        <v>3050</v>
      </c>
      <c r="AX301" s="1">
        <v>3055</v>
      </c>
      <c r="AY301" s="1">
        <v>3015</v>
      </c>
      <c r="AZ301" s="1">
        <v>3020</v>
      </c>
      <c r="BA301" s="1">
        <v>3025</v>
      </c>
      <c r="BB301" s="1">
        <v>2882</v>
      </c>
      <c r="BC301" s="1">
        <v>2909</v>
      </c>
      <c r="BD301" s="1">
        <v>3070</v>
      </c>
      <c r="BE301" s="1">
        <v>3120</v>
      </c>
      <c r="BF301" s="1">
        <v>3175</v>
      </c>
      <c r="BG301" s="1">
        <v>3050</v>
      </c>
      <c r="BH301" s="1">
        <v>2990</v>
      </c>
      <c r="BI301" s="1">
        <v>3255</v>
      </c>
      <c r="BJ301" s="1">
        <v>3295</v>
      </c>
      <c r="BK301" s="1">
        <v>3220</v>
      </c>
      <c r="BL301" s="1">
        <v>3200</v>
      </c>
    </row>
    <row r="302" spans="1:64">
      <c r="A302" s="65" t="s">
        <v>795</v>
      </c>
      <c r="B302" s="1" t="str">
        <f>銘柄管理!C302</f>
        <v>ＨＯＹＡ</v>
      </c>
      <c r="C302" s="1">
        <f>_xll.RssMarket("7741","安値")</f>
        <v>26900</v>
      </c>
      <c r="E302" s="1">
        <v>26900</v>
      </c>
      <c r="F302" s="1">
        <v>26510</v>
      </c>
      <c r="G302" s="1">
        <v>26445</v>
      </c>
      <c r="H302" s="1">
        <v>25965</v>
      </c>
      <c r="I302" s="1">
        <v>25165</v>
      </c>
      <c r="J302" s="1">
        <v>25265</v>
      </c>
      <c r="K302" s="1">
        <v>25100</v>
      </c>
      <c r="L302" s="1">
        <v>26155</v>
      </c>
      <c r="M302" s="1">
        <v>26280</v>
      </c>
      <c r="N302" s="1">
        <v>26360</v>
      </c>
      <c r="O302" s="1">
        <v>25990</v>
      </c>
      <c r="P302" s="1">
        <v>26985</v>
      </c>
      <c r="Q302" s="1">
        <v>26740</v>
      </c>
      <c r="R302" s="1">
        <v>27025</v>
      </c>
      <c r="S302" s="1">
        <v>25870</v>
      </c>
      <c r="T302" s="1">
        <v>26225</v>
      </c>
      <c r="U302" s="1">
        <v>26580</v>
      </c>
      <c r="V302" s="1">
        <v>26220</v>
      </c>
      <c r="W302" s="1">
        <v>26705</v>
      </c>
      <c r="X302" s="1">
        <v>27255</v>
      </c>
      <c r="Y302" s="1">
        <v>27630</v>
      </c>
      <c r="Z302" s="1">
        <v>27380</v>
      </c>
      <c r="AA302" s="1">
        <v>27300</v>
      </c>
      <c r="AB302" s="1">
        <v>27220</v>
      </c>
      <c r="AC302" s="1">
        <v>27050</v>
      </c>
      <c r="AD302" s="1">
        <v>27405</v>
      </c>
      <c r="AE302" s="1">
        <v>26805</v>
      </c>
      <c r="AF302" s="1">
        <v>27750</v>
      </c>
      <c r="AG302" s="1">
        <v>27665</v>
      </c>
      <c r="AH302" s="1">
        <v>28945</v>
      </c>
      <c r="AI302" s="1">
        <v>28785</v>
      </c>
      <c r="AJ302" s="1">
        <v>28300</v>
      </c>
      <c r="AK302" s="1">
        <v>28180</v>
      </c>
      <c r="AL302" s="1">
        <v>28625</v>
      </c>
      <c r="AM302" s="1">
        <v>28970</v>
      </c>
      <c r="AN302" s="1">
        <v>29290</v>
      </c>
      <c r="AO302" s="1">
        <v>28995</v>
      </c>
      <c r="AP302" s="1">
        <v>29405</v>
      </c>
      <c r="AQ302" s="1">
        <v>29620</v>
      </c>
      <c r="AR302" s="1">
        <v>29205</v>
      </c>
      <c r="AS302" s="1">
        <v>28965</v>
      </c>
      <c r="AT302" s="1">
        <v>28925</v>
      </c>
      <c r="AU302" s="1">
        <v>28900</v>
      </c>
      <c r="AV302" s="1">
        <v>28725</v>
      </c>
      <c r="AW302" s="1">
        <v>28005</v>
      </c>
      <c r="AX302" s="1">
        <v>27700</v>
      </c>
      <c r="AY302" s="1">
        <v>27485</v>
      </c>
      <c r="AZ302" s="1">
        <v>27215</v>
      </c>
      <c r="BA302" s="1">
        <v>27080</v>
      </c>
      <c r="BB302" s="1">
        <v>26350</v>
      </c>
      <c r="BC302" s="1">
        <v>26000</v>
      </c>
      <c r="BD302" s="1">
        <v>27015</v>
      </c>
      <c r="BE302" s="1">
        <v>27645</v>
      </c>
      <c r="BF302" s="1">
        <v>28105</v>
      </c>
      <c r="BG302" s="1">
        <v>27825</v>
      </c>
      <c r="BH302" s="1">
        <v>26870</v>
      </c>
      <c r="BI302" s="1">
        <v>27520</v>
      </c>
      <c r="BJ302" s="1">
        <v>27730</v>
      </c>
      <c r="BK302" s="1">
        <v>27640</v>
      </c>
      <c r="BL302" s="1">
        <v>27045</v>
      </c>
    </row>
    <row r="303" spans="1:64">
      <c r="A303" s="67"/>
    </row>
    <row r="304" spans="1:64">
      <c r="A304" s="67"/>
    </row>
    <row r="305" spans="1:1">
      <c r="A305" s="67"/>
    </row>
    <row r="306" spans="1:1">
      <c r="A306" s="67"/>
    </row>
    <row r="307" spans="1:1">
      <c r="A307" s="67"/>
    </row>
    <row r="308" spans="1:1">
      <c r="A308" s="67"/>
    </row>
    <row r="309" spans="1:1">
      <c r="A309" s="67"/>
    </row>
    <row r="310" spans="1:1">
      <c r="A310" s="67"/>
    </row>
    <row r="311" spans="1:1">
      <c r="A311" s="67"/>
    </row>
    <row r="312" spans="1:1">
      <c r="A312" s="67"/>
    </row>
    <row r="313" spans="1:1">
      <c r="A313" s="67"/>
    </row>
    <row r="314" spans="1:1">
      <c r="A314" s="67"/>
    </row>
    <row r="315" spans="1:1">
      <c r="A315" s="67"/>
    </row>
    <row r="316" spans="1:1">
      <c r="A316" s="67"/>
    </row>
    <row r="317" spans="1:1">
      <c r="A317" s="67"/>
    </row>
    <row r="318" spans="1:1">
      <c r="A318" s="67"/>
    </row>
    <row r="319" spans="1:1">
      <c r="A319" s="67"/>
    </row>
    <row r="320" spans="1:1">
      <c r="A320" s="67"/>
    </row>
    <row r="321" spans="1:1">
      <c r="A321" s="67"/>
    </row>
    <row r="322" spans="1:1">
      <c r="A322" s="67"/>
    </row>
    <row r="323" spans="1:1">
      <c r="A323" s="67"/>
    </row>
    <row r="324" spans="1:1">
      <c r="A324" s="67"/>
    </row>
    <row r="325" spans="1:1">
      <c r="A325" s="67"/>
    </row>
    <row r="326" spans="1:1">
      <c r="A326" s="67"/>
    </row>
    <row r="327" spans="1:1">
      <c r="A327" s="67"/>
    </row>
    <row r="328" spans="1:1">
      <c r="A328" s="67"/>
    </row>
    <row r="329" spans="1:1">
      <c r="A329" s="67"/>
    </row>
    <row r="330" spans="1:1">
      <c r="A330" s="67"/>
    </row>
    <row r="331" spans="1:1">
      <c r="A331" s="67"/>
    </row>
    <row r="332" spans="1:1">
      <c r="A332" s="67"/>
    </row>
    <row r="333" spans="1:1">
      <c r="A333" s="67"/>
    </row>
    <row r="334" spans="1:1">
      <c r="A334" s="67"/>
    </row>
    <row r="335" spans="1:1">
      <c r="A335" s="67"/>
    </row>
    <row r="336" spans="1:1">
      <c r="A336" s="67"/>
    </row>
    <row r="337" spans="1:1">
      <c r="A337" s="67"/>
    </row>
    <row r="338" spans="1:1">
      <c r="A338" s="67"/>
    </row>
    <row r="339" spans="1:1">
      <c r="A339" s="67"/>
    </row>
    <row r="340" spans="1:1">
      <c r="A340" s="67"/>
    </row>
    <row r="341" spans="1:1">
      <c r="A341" s="67"/>
    </row>
    <row r="342" spans="1:1">
      <c r="A342" s="67"/>
    </row>
    <row r="343" spans="1:1">
      <c r="A343" s="67"/>
    </row>
    <row r="344" spans="1:1">
      <c r="A344" s="67"/>
    </row>
    <row r="345" spans="1:1">
      <c r="A345" s="67"/>
    </row>
    <row r="346" spans="1:1">
      <c r="A346" s="67"/>
    </row>
    <row r="347" spans="1:1">
      <c r="A347" s="67"/>
    </row>
    <row r="348" spans="1:1">
      <c r="A348" s="67"/>
    </row>
    <row r="349" spans="1:1">
      <c r="A349" s="67"/>
    </row>
    <row r="350" spans="1:1">
      <c r="A350" s="67"/>
    </row>
    <row r="351" spans="1:1">
      <c r="A351" s="67"/>
    </row>
    <row r="352" spans="1:1">
      <c r="A352" s="67"/>
    </row>
    <row r="353" spans="1:1">
      <c r="A353" s="67"/>
    </row>
    <row r="354" spans="1:1">
      <c r="A354" s="67"/>
    </row>
    <row r="355" spans="1:1">
      <c r="A355" s="67"/>
    </row>
    <row r="356" spans="1:1">
      <c r="A356" s="67"/>
    </row>
    <row r="357" spans="1:1">
      <c r="A357" s="67"/>
    </row>
    <row r="358" spans="1:1">
      <c r="A358" s="67"/>
    </row>
    <row r="359" spans="1:1">
      <c r="A359" s="67"/>
    </row>
    <row r="360" spans="1:1">
      <c r="A360" s="67"/>
    </row>
    <row r="361" spans="1:1">
      <c r="A361" s="67"/>
    </row>
    <row r="362" spans="1:1">
      <c r="A362" s="67"/>
    </row>
    <row r="363" spans="1:1">
      <c r="A363" s="67"/>
    </row>
    <row r="364" spans="1:1">
      <c r="A364" s="67"/>
    </row>
    <row r="365" spans="1:1">
      <c r="A365" s="67"/>
    </row>
    <row r="366" spans="1:1">
      <c r="A366" s="67"/>
    </row>
    <row r="367" spans="1:1">
      <c r="A367" s="67"/>
    </row>
    <row r="368" spans="1:1">
      <c r="A368" s="67"/>
    </row>
    <row r="369" spans="1:1">
      <c r="A369" s="67"/>
    </row>
    <row r="370" spans="1:1">
      <c r="A370" s="67"/>
    </row>
    <row r="371" spans="1:1">
      <c r="A371" s="67"/>
    </row>
    <row r="372" spans="1:1">
      <c r="A372" s="67"/>
    </row>
    <row r="373" spans="1:1">
      <c r="A373" s="67"/>
    </row>
    <row r="374" spans="1:1">
      <c r="A374" s="67"/>
    </row>
    <row r="375" spans="1:1">
      <c r="A375" s="67"/>
    </row>
    <row r="376" spans="1:1">
      <c r="A376" s="67"/>
    </row>
    <row r="377" spans="1:1">
      <c r="A377" s="67"/>
    </row>
    <row r="378" spans="1:1">
      <c r="A378" s="67"/>
    </row>
    <row r="379" spans="1:1">
      <c r="A379" s="67"/>
    </row>
    <row r="380" spans="1:1">
      <c r="A380" s="67"/>
    </row>
    <row r="381" spans="1:1">
      <c r="A381" s="67"/>
    </row>
    <row r="382" spans="1:1">
      <c r="A382" s="67"/>
    </row>
    <row r="383" spans="1:1">
      <c r="A383" s="67"/>
    </row>
    <row r="384" spans="1:1">
      <c r="A384" s="67"/>
    </row>
    <row r="385" spans="1:1">
      <c r="A385" s="67"/>
    </row>
    <row r="386" spans="1:1">
      <c r="A386" s="67"/>
    </row>
    <row r="387" spans="1:1">
      <c r="A387" s="67"/>
    </row>
    <row r="388" spans="1:1">
      <c r="A388" s="67"/>
    </row>
    <row r="389" spans="1:1">
      <c r="A389" s="67"/>
    </row>
    <row r="390" spans="1:1">
      <c r="A390" s="67"/>
    </row>
    <row r="391" spans="1:1">
      <c r="A391" s="67"/>
    </row>
    <row r="392" spans="1:1">
      <c r="A392" s="67"/>
    </row>
    <row r="393" spans="1:1">
      <c r="A393" s="67"/>
    </row>
    <row r="394" spans="1:1">
      <c r="A394" s="67"/>
    </row>
    <row r="395" spans="1:1">
      <c r="A395" s="67"/>
    </row>
    <row r="396" spans="1:1">
      <c r="A396" s="67"/>
    </row>
    <row r="397" spans="1:1">
      <c r="A397" s="67"/>
    </row>
    <row r="398" spans="1:1">
      <c r="A398" s="67"/>
    </row>
    <row r="399" spans="1:1">
      <c r="A399" s="67"/>
    </row>
    <row r="400" spans="1:1">
      <c r="A400" s="67"/>
    </row>
    <row r="401" spans="1:1">
      <c r="A401" s="67"/>
    </row>
    <row r="402" spans="1:1">
      <c r="A402" s="67"/>
    </row>
    <row r="403" spans="1:1">
      <c r="A403" s="67"/>
    </row>
    <row r="404" spans="1:1">
      <c r="A404" s="67"/>
    </row>
    <row r="405" spans="1:1">
      <c r="A405" s="67"/>
    </row>
    <row r="406" spans="1:1">
      <c r="A406" s="67"/>
    </row>
    <row r="407" spans="1:1">
      <c r="A407" s="67"/>
    </row>
    <row r="408" spans="1:1">
      <c r="A408" s="67"/>
    </row>
    <row r="409" spans="1:1">
      <c r="A409" s="67"/>
    </row>
    <row r="410" spans="1:1">
      <c r="A410" s="67"/>
    </row>
    <row r="411" spans="1:1">
      <c r="A411" s="67"/>
    </row>
    <row r="412" spans="1:1">
      <c r="A412" s="67"/>
    </row>
    <row r="413" spans="1:1">
      <c r="A413" s="67"/>
    </row>
    <row r="414" spans="1:1">
      <c r="A414" s="67"/>
    </row>
    <row r="415" spans="1:1">
      <c r="A415" s="67"/>
    </row>
    <row r="416" spans="1:1">
      <c r="A416" s="67"/>
    </row>
    <row r="417" spans="1:1">
      <c r="A417" s="67"/>
    </row>
    <row r="418" spans="1:1">
      <c r="A418" s="67"/>
    </row>
    <row r="419" spans="1:1">
      <c r="A419" s="67"/>
    </row>
    <row r="420" spans="1:1">
      <c r="A420" s="67"/>
    </row>
    <row r="421" spans="1:1">
      <c r="A421" s="67"/>
    </row>
    <row r="422" spans="1:1">
      <c r="A422" s="67"/>
    </row>
    <row r="423" spans="1:1">
      <c r="A423" s="67"/>
    </row>
    <row r="424" spans="1:1">
      <c r="A424" s="67"/>
    </row>
    <row r="425" spans="1:1">
      <c r="A425" s="67"/>
    </row>
    <row r="426" spans="1:1">
      <c r="A426" s="67"/>
    </row>
    <row r="427" spans="1:1">
      <c r="A427" s="67"/>
    </row>
    <row r="428" spans="1:1">
      <c r="A428" s="67"/>
    </row>
    <row r="429" spans="1:1">
      <c r="A429" s="67"/>
    </row>
    <row r="430" spans="1:1">
      <c r="A430" s="67"/>
    </row>
    <row r="431" spans="1:1">
      <c r="A431" s="67"/>
    </row>
    <row r="432" spans="1:1">
      <c r="A432" s="67"/>
    </row>
    <row r="433" spans="1:1">
      <c r="A433" s="67"/>
    </row>
    <row r="434" spans="1:1">
      <c r="A434" s="67"/>
    </row>
    <row r="435" spans="1:1">
      <c r="A435" s="67"/>
    </row>
    <row r="436" spans="1:1">
      <c r="A436" s="67"/>
    </row>
    <row r="437" spans="1:1">
      <c r="A437" s="67"/>
    </row>
    <row r="438" spans="1:1">
      <c r="A438" s="67"/>
    </row>
    <row r="439" spans="1:1">
      <c r="A439" s="67"/>
    </row>
    <row r="440" spans="1:1">
      <c r="A440" s="67"/>
    </row>
    <row r="441" spans="1:1">
      <c r="A441" s="67"/>
    </row>
    <row r="442" spans="1:1">
      <c r="A442" s="67"/>
    </row>
    <row r="443" spans="1:1">
      <c r="A443" s="67"/>
    </row>
    <row r="444" spans="1:1">
      <c r="A444" s="67"/>
    </row>
    <row r="445" spans="1:1">
      <c r="A445" s="67"/>
    </row>
    <row r="446" spans="1:1">
      <c r="A446" s="67"/>
    </row>
    <row r="447" spans="1:1">
      <c r="A447" s="67"/>
    </row>
    <row r="448" spans="1:1">
      <c r="A448" s="67"/>
    </row>
    <row r="449" spans="1:1">
      <c r="A449" s="67"/>
    </row>
    <row r="450" spans="1:1">
      <c r="A450" s="67"/>
    </row>
    <row r="451" spans="1:1">
      <c r="A451" s="67"/>
    </row>
    <row r="452" spans="1:1">
      <c r="A452" s="67"/>
    </row>
    <row r="453" spans="1:1">
      <c r="A453" s="67"/>
    </row>
    <row r="454" spans="1:1">
      <c r="A454" s="67"/>
    </row>
    <row r="455" spans="1:1">
      <c r="A455" s="67"/>
    </row>
    <row r="456" spans="1:1">
      <c r="A456" s="67"/>
    </row>
    <row r="457" spans="1:1">
      <c r="A457" s="67"/>
    </row>
    <row r="458" spans="1:1">
      <c r="A458" s="67"/>
    </row>
    <row r="459" spans="1:1">
      <c r="A459" s="67"/>
    </row>
    <row r="460" spans="1:1">
      <c r="A460" s="67"/>
    </row>
    <row r="461" spans="1:1">
      <c r="A461" s="67"/>
    </row>
    <row r="462" spans="1:1">
      <c r="A462" s="67"/>
    </row>
    <row r="463" spans="1:1">
      <c r="A463" s="67"/>
    </row>
    <row r="464" spans="1:1">
      <c r="A464" s="67"/>
    </row>
    <row r="465" spans="1:1">
      <c r="A465" s="67"/>
    </row>
    <row r="466" spans="1:1">
      <c r="A466" s="67"/>
    </row>
    <row r="467" spans="1:1">
      <c r="A467" s="67"/>
    </row>
    <row r="468" spans="1:1">
      <c r="A468" s="67"/>
    </row>
    <row r="469" spans="1:1">
      <c r="A469" s="67"/>
    </row>
    <row r="470" spans="1:1">
      <c r="A470" s="67"/>
    </row>
    <row r="471" spans="1:1">
      <c r="A471" s="67"/>
    </row>
    <row r="472" spans="1:1">
      <c r="A472" s="67"/>
    </row>
    <row r="473" spans="1:1">
      <c r="A473" s="67"/>
    </row>
    <row r="474" spans="1:1">
      <c r="A474" s="67"/>
    </row>
    <row r="475" spans="1:1">
      <c r="A475" s="67"/>
    </row>
    <row r="476" spans="1:1">
      <c r="A476" s="67"/>
    </row>
    <row r="477" spans="1:1">
      <c r="A477" s="67"/>
    </row>
    <row r="478" spans="1:1">
      <c r="A478" s="67"/>
    </row>
    <row r="479" spans="1:1">
      <c r="A479" s="67"/>
    </row>
    <row r="480" spans="1:1">
      <c r="A480" s="67"/>
    </row>
    <row r="481" spans="1:1">
      <c r="A481" s="67"/>
    </row>
    <row r="482" spans="1:1">
      <c r="A482" s="67"/>
    </row>
    <row r="483" spans="1:1">
      <c r="A483" s="67"/>
    </row>
    <row r="484" spans="1:1">
      <c r="A484" s="67"/>
    </row>
    <row r="485" spans="1:1">
      <c r="A485" s="67"/>
    </row>
    <row r="486" spans="1:1">
      <c r="A486" s="67"/>
    </row>
    <row r="487" spans="1:1">
      <c r="A487" s="67"/>
    </row>
    <row r="488" spans="1:1">
      <c r="A488" s="67"/>
    </row>
    <row r="489" spans="1:1">
      <c r="A489" s="67"/>
    </row>
    <row r="490" spans="1:1">
      <c r="A490" s="67"/>
    </row>
    <row r="491" spans="1:1">
      <c r="A491" s="67"/>
    </row>
    <row r="492" spans="1:1">
      <c r="A492" s="67"/>
    </row>
    <row r="493" spans="1:1">
      <c r="A493" s="67"/>
    </row>
    <row r="494" spans="1:1">
      <c r="A494" s="67"/>
    </row>
    <row r="495" spans="1:1">
      <c r="A495" s="67"/>
    </row>
    <row r="496" spans="1:1">
      <c r="A496" s="67"/>
    </row>
    <row r="497" spans="1:1">
      <c r="A497" s="67"/>
    </row>
    <row r="498" spans="1:1">
      <c r="A498" s="67"/>
    </row>
    <row r="499" spans="1:1">
      <c r="A499" s="67"/>
    </row>
    <row r="500" spans="1:1">
      <c r="A500" s="67"/>
    </row>
    <row r="501" spans="1:1">
      <c r="A501" s="67"/>
    </row>
    <row r="502" spans="1:1">
      <c r="A502" s="67"/>
    </row>
    <row r="503" spans="1:1">
      <c r="A503" s="67"/>
    </row>
    <row r="504" spans="1:1">
      <c r="A504" s="67"/>
    </row>
    <row r="505" spans="1:1">
      <c r="A505" s="67"/>
    </row>
  </sheetData>
  <sheetProtection algorithmName="SHA-512" hashValue="jG8OdZ+jXoj+KIPnjgPgRFMiUT7o2AEV5438MA8o8dtkjhgJSBf8dK53QMwARQR6s/gZNXP8MDZyFCkC0cxQiA==" saltValue="xhA9kutrZle8vIFx+L2ag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7" sqref="C7"/>
    </sheetView>
  </sheetViews>
  <sheetFormatPr defaultRowHeight="13.5"/>
  <cols>
    <col min="1" max="1" width="9" style="4" customWidth="1"/>
    <col min="2" max="2" width="18" style="4" customWidth="1"/>
    <col min="3" max="4" width="10" style="4" customWidth="1"/>
    <col min="5" max="64" width="7" style="4" customWidth="1"/>
    <col min="65" max="65" width="9" style="4" customWidth="1"/>
    <col min="66" max="16384" width="9" style="4"/>
  </cols>
  <sheetData>
    <row r="1" spans="1:64" ht="30" customHeight="1">
      <c r="A1" s="527" t="s">
        <v>45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528"/>
      <c r="R1" s="528"/>
      <c r="S1" s="528"/>
      <c r="T1" s="528"/>
      <c r="U1" s="528"/>
      <c r="V1" s="528"/>
      <c r="W1" s="528"/>
      <c r="X1" s="528"/>
      <c r="Y1" s="528"/>
      <c r="Z1" s="528"/>
      <c r="AA1" s="528"/>
      <c r="AB1" s="528"/>
      <c r="AC1" s="528"/>
      <c r="AD1" s="528"/>
      <c r="AE1" s="528"/>
      <c r="AF1" s="528"/>
      <c r="AG1" s="528"/>
      <c r="AH1" s="528"/>
      <c r="AI1" s="528"/>
      <c r="AJ1" s="528"/>
      <c r="AK1" s="528"/>
      <c r="AL1" s="528"/>
      <c r="AM1" s="528"/>
      <c r="AN1" s="528"/>
      <c r="AO1" s="528"/>
      <c r="AP1" s="528"/>
      <c r="AQ1" s="528"/>
      <c r="AR1" s="528"/>
      <c r="AS1" s="528"/>
      <c r="AT1" s="528"/>
      <c r="AU1" s="528"/>
      <c r="AV1" s="528"/>
      <c r="AW1" s="528"/>
      <c r="AX1" s="528"/>
      <c r="AY1" s="528"/>
      <c r="AZ1" s="528"/>
      <c r="BA1" s="528"/>
      <c r="BB1" s="528"/>
      <c r="BC1" s="528"/>
      <c r="BD1" s="528"/>
      <c r="BE1" s="528"/>
      <c r="BF1" s="528"/>
      <c r="BG1" s="528"/>
      <c r="BH1" s="528"/>
      <c r="BI1" s="528"/>
      <c r="BJ1" s="528"/>
      <c r="BK1" s="528"/>
      <c r="BL1" s="529"/>
    </row>
    <row r="2" spans="1:64" ht="18" customHeight="1">
      <c r="A2" s="203" t="s">
        <v>2</v>
      </c>
      <c r="B2" s="203" t="s">
        <v>3</v>
      </c>
      <c r="C2" s="203" t="s">
        <v>46</v>
      </c>
      <c r="D2" s="203" t="s">
        <v>39</v>
      </c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</row>
    <row r="3" spans="1:64" s="207" customFormat="1" ht="22.5" customHeight="1">
      <c r="A3" s="205" t="s">
        <v>40</v>
      </c>
      <c r="B3" s="205"/>
      <c r="C3" s="224" t="s">
        <v>530</v>
      </c>
      <c r="D3" s="205"/>
      <c r="E3" s="206">
        <v>46190</v>
      </c>
      <c r="F3" s="206">
        <v>46189</v>
      </c>
      <c r="G3" s="206">
        <v>46188</v>
      </c>
      <c r="H3" s="206">
        <v>46185</v>
      </c>
      <c r="I3" s="206">
        <v>46184</v>
      </c>
      <c r="J3" s="206">
        <v>46183</v>
      </c>
      <c r="K3" s="206">
        <v>46181</v>
      </c>
      <c r="L3" s="206">
        <v>46178</v>
      </c>
      <c r="M3" s="206">
        <v>46177</v>
      </c>
      <c r="N3" s="206">
        <v>46176</v>
      </c>
      <c r="O3" s="206">
        <v>46175</v>
      </c>
      <c r="P3" s="206">
        <v>46174</v>
      </c>
      <c r="Q3" s="206">
        <v>46171</v>
      </c>
      <c r="R3" s="206">
        <v>46170</v>
      </c>
      <c r="S3" s="206">
        <v>46169</v>
      </c>
      <c r="T3" s="206">
        <v>46167</v>
      </c>
      <c r="U3" s="206">
        <v>46164</v>
      </c>
      <c r="V3" s="206">
        <v>46163</v>
      </c>
      <c r="W3" s="206">
        <v>46162</v>
      </c>
      <c r="X3" s="206">
        <v>46161</v>
      </c>
      <c r="Y3" s="206">
        <v>46160</v>
      </c>
      <c r="Z3" s="206">
        <v>46157</v>
      </c>
      <c r="AA3" s="206">
        <v>46156</v>
      </c>
      <c r="AB3" s="206">
        <v>46155</v>
      </c>
      <c r="AC3" s="206">
        <v>46154</v>
      </c>
      <c r="AD3" s="206">
        <v>46153</v>
      </c>
      <c r="AE3" s="206">
        <v>46150</v>
      </c>
      <c r="AF3" s="206">
        <v>46149</v>
      </c>
      <c r="AG3" s="206">
        <v>46143</v>
      </c>
      <c r="AH3" s="206">
        <v>46142</v>
      </c>
      <c r="AI3" s="206">
        <v>46140</v>
      </c>
      <c r="AJ3" s="206">
        <v>46139</v>
      </c>
      <c r="AK3" s="206">
        <v>46136</v>
      </c>
      <c r="AL3" s="206">
        <v>46135</v>
      </c>
      <c r="AM3" s="206">
        <v>46134</v>
      </c>
      <c r="AN3" s="206">
        <v>46133</v>
      </c>
      <c r="AO3" s="206">
        <v>46132</v>
      </c>
      <c r="AP3" s="206">
        <v>46129</v>
      </c>
      <c r="AQ3" s="206">
        <v>46128</v>
      </c>
      <c r="AR3" s="206">
        <v>46127</v>
      </c>
      <c r="AS3" s="206">
        <v>46126</v>
      </c>
      <c r="AT3" s="206">
        <v>46125</v>
      </c>
      <c r="AU3" s="206">
        <v>46122</v>
      </c>
      <c r="AV3" s="206">
        <v>46121</v>
      </c>
      <c r="AW3" s="206">
        <v>46120</v>
      </c>
      <c r="AX3" s="206">
        <v>46119</v>
      </c>
      <c r="AY3" s="206">
        <v>46118</v>
      </c>
      <c r="AZ3" s="206">
        <v>46115</v>
      </c>
      <c r="BA3" s="206">
        <v>46114</v>
      </c>
      <c r="BB3" s="206">
        <v>46113</v>
      </c>
      <c r="BC3" s="206">
        <v>46112</v>
      </c>
      <c r="BD3" s="206">
        <v>46111</v>
      </c>
      <c r="BE3" s="206">
        <v>46108</v>
      </c>
      <c r="BF3" s="206">
        <v>46107</v>
      </c>
      <c r="BG3" s="206">
        <v>46106</v>
      </c>
      <c r="BH3" s="206">
        <v>46105</v>
      </c>
      <c r="BI3" s="206">
        <v>46104</v>
      </c>
      <c r="BJ3" s="206">
        <v>46100</v>
      </c>
      <c r="BK3" s="206">
        <v>46099</v>
      </c>
      <c r="BL3" s="206">
        <v>46098</v>
      </c>
    </row>
    <row r="4" spans="1:64" ht="22.5" customHeight="1">
      <c r="A4" s="208"/>
      <c r="B4" s="208"/>
      <c r="C4" s="208"/>
      <c r="D4" s="208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</row>
    <row r="5" spans="1:64" ht="22.5" customHeight="1">
      <c r="A5" s="5" t="str">
        <f>IF(銘柄管理!B5="","",銘柄管理!B5)</f>
        <v>TOPX</v>
      </c>
      <c r="B5" s="6">
        <f>IF(銘柄管理!C5="","",銘柄管理!C5)</f>
        <v>4013.23</v>
      </c>
      <c r="C5" s="7" cm="1">
        <f t="array" ref="C5">_xll.RssIndexMarket("TOPX", "現在値")</f>
        <v>4013.23</v>
      </c>
      <c r="D5" s="8">
        <f>IF(OR(C5=0,E5=0),"",C5-E5)</f>
        <v>0</v>
      </c>
      <c r="E5" s="9">
        <v>4013.23</v>
      </c>
      <c r="F5" s="9">
        <v>3991.14</v>
      </c>
      <c r="G5" s="9">
        <v>3881.96</v>
      </c>
      <c r="H5" s="9">
        <v>3830.35</v>
      </c>
      <c r="I5" s="9">
        <v>3847.6</v>
      </c>
      <c r="J5" s="9">
        <v>3852.38</v>
      </c>
      <c r="K5" s="9">
        <v>3949.09</v>
      </c>
      <c r="L5" s="9">
        <v>3951.85</v>
      </c>
      <c r="M5" s="9">
        <v>3996.2</v>
      </c>
      <c r="N5" s="9">
        <v>3924.24</v>
      </c>
      <c r="O5" s="9">
        <v>3940.7</v>
      </c>
      <c r="P5" s="9">
        <v>3957.17</v>
      </c>
      <c r="Q5" s="9">
        <v>3902.01</v>
      </c>
      <c r="R5" s="9">
        <v>3918.01</v>
      </c>
      <c r="S5" s="9">
        <v>3942.57</v>
      </c>
      <c r="T5" s="9">
        <v>3892.46</v>
      </c>
      <c r="U5" s="9">
        <v>3853.81</v>
      </c>
      <c r="V5" s="9">
        <v>3791.65</v>
      </c>
      <c r="W5" s="9">
        <v>3850.67</v>
      </c>
      <c r="X5" s="9">
        <v>3826.51</v>
      </c>
      <c r="Y5" s="9">
        <v>3863.97</v>
      </c>
      <c r="Z5" s="9">
        <v>3879.27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</row>
    <row r="6" spans="1:64" ht="22.5" customHeight="1">
      <c r="A6" s="64" t="s">
        <v>263</v>
      </c>
      <c r="B6" s="6" t="s">
        <v>477</v>
      </c>
      <c r="C6" s="15">
        <f>自動注文決済!G42</f>
        <v>0</v>
      </c>
      <c r="D6" s="16">
        <f t="shared" ref="D6:D69" si="0">C6-E6</f>
        <v>-49550</v>
      </c>
      <c r="E6" s="11">
        <v>49550</v>
      </c>
      <c r="F6" s="11">
        <v>53840</v>
      </c>
      <c r="G6" s="11">
        <v>51630</v>
      </c>
      <c r="H6" s="12">
        <v>48750</v>
      </c>
      <c r="I6" s="11">
        <v>51800</v>
      </c>
      <c r="J6" s="11">
        <v>53330</v>
      </c>
      <c r="K6" s="11">
        <v>49610</v>
      </c>
      <c r="L6" s="11">
        <v>46670</v>
      </c>
      <c r="M6" s="11">
        <v>44360</v>
      </c>
      <c r="N6" s="11">
        <v>44790</v>
      </c>
      <c r="O6" s="11">
        <v>47320</v>
      </c>
      <c r="P6" s="11">
        <v>46640</v>
      </c>
      <c r="Q6" s="11">
        <v>50660</v>
      </c>
      <c r="R6" s="11">
        <v>54900</v>
      </c>
      <c r="S6" s="11">
        <v>50850</v>
      </c>
      <c r="T6" s="11">
        <v>51250</v>
      </c>
      <c r="U6" s="11">
        <v>50000</v>
      </c>
      <c r="V6" s="11">
        <v>48060</v>
      </c>
      <c r="W6" s="11">
        <v>41060</v>
      </c>
      <c r="X6" s="11">
        <v>42350</v>
      </c>
      <c r="Y6" s="11">
        <v>41370</v>
      </c>
      <c r="Z6" s="11">
        <v>39300</v>
      </c>
      <c r="AA6" s="11">
        <v>38660</v>
      </c>
      <c r="AB6" s="11">
        <v>36830</v>
      </c>
      <c r="AC6" s="11">
        <v>38260</v>
      </c>
      <c r="AD6" s="11">
        <v>37390</v>
      </c>
      <c r="AE6" s="11">
        <v>35480</v>
      </c>
      <c r="AF6" s="11">
        <v>36500</v>
      </c>
      <c r="AG6" s="11">
        <v>37750</v>
      </c>
      <c r="AH6" s="11">
        <v>35690</v>
      </c>
      <c r="AI6" s="11">
        <v>38260</v>
      </c>
      <c r="AJ6" s="11">
        <v>36430</v>
      </c>
      <c r="AK6" s="11">
        <v>37200</v>
      </c>
      <c r="AL6" s="11">
        <v>34770</v>
      </c>
      <c r="AM6" s="11">
        <v>35000</v>
      </c>
      <c r="AN6" s="11">
        <v>31550</v>
      </c>
      <c r="AO6" s="11">
        <v>31960</v>
      </c>
      <c r="AP6" s="11">
        <v>31520</v>
      </c>
      <c r="AQ6" s="13">
        <v>29650</v>
      </c>
      <c r="AR6" s="13">
        <v>30730</v>
      </c>
      <c r="AS6" s="13">
        <v>28040</v>
      </c>
      <c r="AT6" s="13">
        <v>29565</v>
      </c>
      <c r="AU6" s="13">
        <v>31270</v>
      </c>
      <c r="AV6" s="13">
        <v>30890</v>
      </c>
      <c r="AW6" s="13">
        <v>31630</v>
      </c>
      <c r="AX6" s="13">
        <v>30100</v>
      </c>
      <c r="AY6" s="13">
        <v>29190</v>
      </c>
      <c r="AZ6" s="13">
        <v>31110</v>
      </c>
      <c r="BA6" s="13">
        <v>32400</v>
      </c>
      <c r="BB6" s="13">
        <v>30110</v>
      </c>
      <c r="BC6" s="13">
        <v>31600</v>
      </c>
      <c r="BD6" s="13">
        <v>31580</v>
      </c>
      <c r="BE6" s="13">
        <v>31260</v>
      </c>
      <c r="BF6" s="13">
        <v>32380</v>
      </c>
      <c r="BG6" s="13">
        <v>30790</v>
      </c>
      <c r="BH6" s="13">
        <v>29485</v>
      </c>
      <c r="BI6" s="13">
        <v>32740</v>
      </c>
      <c r="BJ6" s="13">
        <v>34170</v>
      </c>
      <c r="BK6" s="13">
        <v>32830</v>
      </c>
      <c r="BL6" s="13">
        <v>36130</v>
      </c>
    </row>
    <row r="7" spans="1:64" ht="22.5" customHeight="1">
      <c r="A7" s="64" t="s">
        <v>264</v>
      </c>
      <c r="B7" s="6" t="s">
        <v>83</v>
      </c>
      <c r="C7" s="15">
        <f>_xll.RssMarket("5423","現在値")</f>
        <v>1771</v>
      </c>
      <c r="D7" s="16">
        <f t="shared" si="0"/>
        <v>0</v>
      </c>
      <c r="E7" s="11">
        <v>1771</v>
      </c>
      <c r="F7" s="11">
        <v>1742</v>
      </c>
      <c r="G7" s="11">
        <v>1717</v>
      </c>
      <c r="H7" s="11">
        <v>1689</v>
      </c>
      <c r="I7" s="11">
        <v>1671</v>
      </c>
      <c r="J7" s="11">
        <v>1699</v>
      </c>
      <c r="K7" s="11">
        <v>1698</v>
      </c>
      <c r="L7" s="11">
        <v>1703</v>
      </c>
      <c r="M7" s="11">
        <v>1702</v>
      </c>
      <c r="N7" s="11">
        <v>1705</v>
      </c>
      <c r="O7" s="11">
        <v>1756</v>
      </c>
      <c r="P7" s="11">
        <v>1712</v>
      </c>
      <c r="Q7" s="11">
        <v>1707</v>
      </c>
      <c r="R7" s="11">
        <v>1708</v>
      </c>
      <c r="S7" s="11">
        <v>1725</v>
      </c>
      <c r="T7" s="11">
        <v>1745</v>
      </c>
      <c r="U7" s="11">
        <v>1704</v>
      </c>
      <c r="V7" s="11">
        <v>1758</v>
      </c>
      <c r="W7" s="11">
        <v>1798</v>
      </c>
      <c r="X7" s="11">
        <v>1825</v>
      </c>
      <c r="Y7" s="11">
        <v>1844</v>
      </c>
      <c r="Z7" s="11">
        <v>1701</v>
      </c>
      <c r="AA7" s="11">
        <v>1663</v>
      </c>
      <c r="AB7" s="11">
        <v>1656</v>
      </c>
      <c r="AC7" s="11">
        <v>1657</v>
      </c>
      <c r="AD7" s="11">
        <v>1682</v>
      </c>
      <c r="AE7" s="11">
        <v>1677</v>
      </c>
      <c r="AF7" s="11">
        <v>1697</v>
      </c>
      <c r="AG7" s="11">
        <v>1693</v>
      </c>
      <c r="AH7" s="11">
        <v>1697</v>
      </c>
      <c r="AI7" s="11">
        <v>1703</v>
      </c>
      <c r="AJ7" s="11">
        <v>1736</v>
      </c>
      <c r="AK7" s="11">
        <v>1805</v>
      </c>
      <c r="AL7" s="11">
        <v>1827</v>
      </c>
      <c r="AM7" s="11">
        <v>1780</v>
      </c>
      <c r="AN7" s="11">
        <v>1768</v>
      </c>
      <c r="AO7" s="11">
        <v>1782</v>
      </c>
      <c r="AP7" s="11">
        <v>1733</v>
      </c>
      <c r="AQ7" s="13">
        <v>1725</v>
      </c>
      <c r="AR7" s="13">
        <v>1723</v>
      </c>
      <c r="AS7" s="13">
        <v>1745</v>
      </c>
      <c r="AT7" s="13">
        <v>1777</v>
      </c>
      <c r="AU7" s="13">
        <v>1826</v>
      </c>
      <c r="AV7" s="13">
        <v>1784</v>
      </c>
      <c r="AW7" s="13">
        <v>1871</v>
      </c>
      <c r="AX7" s="13">
        <v>1902</v>
      </c>
      <c r="AY7" s="13">
        <v>1627</v>
      </c>
      <c r="AZ7" s="13">
        <v>1630</v>
      </c>
      <c r="BA7" s="13">
        <v>1618</v>
      </c>
      <c r="BB7" s="13">
        <v>1633</v>
      </c>
      <c r="BC7" s="13">
        <v>1656</v>
      </c>
      <c r="BD7" s="13">
        <v>1641</v>
      </c>
      <c r="BE7" s="13">
        <v>1606</v>
      </c>
      <c r="BF7" s="13">
        <v>1590</v>
      </c>
      <c r="BG7" s="13">
        <v>1563</v>
      </c>
      <c r="BH7" s="13">
        <v>1608</v>
      </c>
      <c r="BI7" s="13">
        <v>1650</v>
      </c>
      <c r="BJ7" s="13">
        <v>1631</v>
      </c>
      <c r="BK7" s="13">
        <v>1612</v>
      </c>
      <c r="BL7" s="13">
        <v>1629</v>
      </c>
    </row>
    <row r="8" spans="1:64" ht="15.95" customHeight="1">
      <c r="A8" s="64" t="s">
        <v>265</v>
      </c>
      <c r="B8" s="6" t="s">
        <v>84</v>
      </c>
      <c r="C8" s="15">
        <f>_xll.RssMarket("5713","現在値")</f>
        <v>9155</v>
      </c>
      <c r="D8" s="16">
        <f t="shared" si="0"/>
        <v>0</v>
      </c>
      <c r="E8" s="14">
        <v>9155</v>
      </c>
      <c r="F8" s="14">
        <v>8863</v>
      </c>
      <c r="G8" s="14">
        <v>8638</v>
      </c>
      <c r="H8" s="14">
        <v>7735</v>
      </c>
      <c r="I8" s="14">
        <v>7844</v>
      </c>
      <c r="J8" s="14">
        <v>7996</v>
      </c>
      <c r="K8" s="14">
        <v>8578</v>
      </c>
      <c r="L8" s="14">
        <v>8654</v>
      </c>
      <c r="M8" s="14">
        <v>9099</v>
      </c>
      <c r="N8" s="14">
        <v>8779</v>
      </c>
      <c r="O8" s="14">
        <v>8989</v>
      </c>
      <c r="P8" s="14">
        <v>9093</v>
      </c>
      <c r="Q8" s="14">
        <v>8910</v>
      </c>
      <c r="R8" s="14">
        <v>9608</v>
      </c>
      <c r="S8" s="14">
        <v>9800</v>
      </c>
      <c r="T8" s="14">
        <v>9504</v>
      </c>
      <c r="U8" s="14">
        <v>9193</v>
      </c>
      <c r="V8" s="14">
        <v>8980</v>
      </c>
      <c r="W8" s="14">
        <v>9280</v>
      </c>
      <c r="X8" s="14">
        <v>9560</v>
      </c>
      <c r="Y8" s="14">
        <v>10275</v>
      </c>
      <c r="Z8" s="14">
        <v>10565</v>
      </c>
      <c r="AA8" s="14">
        <v>10820</v>
      </c>
      <c r="AB8" s="14">
        <v>10725</v>
      </c>
      <c r="AC8" s="14">
        <v>10155</v>
      </c>
      <c r="AD8" s="14">
        <v>10615</v>
      </c>
      <c r="AE8" s="14">
        <v>10085</v>
      </c>
      <c r="AF8" s="14">
        <v>9532</v>
      </c>
      <c r="AG8" s="14">
        <v>9423</v>
      </c>
      <c r="AH8" s="14">
        <v>9664</v>
      </c>
      <c r="AI8" s="14">
        <v>9713</v>
      </c>
      <c r="AJ8" s="14">
        <v>9740</v>
      </c>
      <c r="AK8" s="14">
        <v>10030</v>
      </c>
      <c r="AL8" s="14">
        <v>10290</v>
      </c>
      <c r="AM8" s="14">
        <v>10070</v>
      </c>
      <c r="AN8" s="14">
        <v>10150</v>
      </c>
      <c r="AO8" s="14">
        <v>11020</v>
      </c>
      <c r="AP8" s="14">
        <v>10645</v>
      </c>
      <c r="AQ8" s="13">
        <v>10400</v>
      </c>
      <c r="AR8" s="13">
        <v>9867</v>
      </c>
      <c r="AS8" s="13">
        <v>9986</v>
      </c>
      <c r="AT8" s="13">
        <v>9922</v>
      </c>
      <c r="AU8" s="13">
        <v>10355</v>
      </c>
      <c r="AV8" s="13">
        <v>9544</v>
      </c>
      <c r="AW8" s="13">
        <v>9476</v>
      </c>
      <c r="AX8" s="13">
        <v>9440</v>
      </c>
      <c r="AY8" s="13">
        <v>9214</v>
      </c>
      <c r="AZ8" s="13">
        <v>9593</v>
      </c>
      <c r="BA8" s="13">
        <v>8855</v>
      </c>
      <c r="BB8" s="13">
        <v>9250</v>
      </c>
      <c r="BC8" s="13">
        <v>9478</v>
      </c>
      <c r="BD8" s="13">
        <v>9337</v>
      </c>
      <c r="BE8" s="13">
        <v>9240</v>
      </c>
      <c r="BF8" s="13">
        <v>8827</v>
      </c>
      <c r="BG8" s="13">
        <v>8372</v>
      </c>
      <c r="BH8" s="13">
        <v>9137</v>
      </c>
      <c r="BI8" s="13">
        <v>10015</v>
      </c>
      <c r="BJ8" s="13">
        <v>9567</v>
      </c>
      <c r="BK8" s="13">
        <v>9711</v>
      </c>
      <c r="BL8" s="13">
        <v>9929</v>
      </c>
    </row>
    <row r="9" spans="1:64" ht="15.95" customHeight="1">
      <c r="A9" s="64" t="s">
        <v>266</v>
      </c>
      <c r="B9" s="6" t="s">
        <v>85</v>
      </c>
      <c r="C9" s="15">
        <f>_xll.RssMarket("5711","現在値")</f>
        <v>4882</v>
      </c>
      <c r="D9" s="16">
        <f t="shared" si="0"/>
        <v>0</v>
      </c>
      <c r="E9" s="13">
        <v>4882</v>
      </c>
      <c r="F9" s="13">
        <v>4898</v>
      </c>
      <c r="G9" s="13">
        <v>4640</v>
      </c>
      <c r="H9" s="13">
        <v>4443</v>
      </c>
      <c r="I9" s="13">
        <v>4471</v>
      </c>
      <c r="J9" s="13">
        <v>4595</v>
      </c>
      <c r="K9" s="13">
        <v>4904</v>
      </c>
      <c r="L9" s="13">
        <v>4973</v>
      </c>
      <c r="M9" s="13">
        <v>5187</v>
      </c>
      <c r="N9" s="13">
        <v>5050</v>
      </c>
      <c r="O9" s="13">
        <v>5089</v>
      </c>
      <c r="P9" s="13">
        <v>5153</v>
      </c>
      <c r="Q9" s="13">
        <v>5128</v>
      </c>
      <c r="R9" s="13">
        <v>5271</v>
      </c>
      <c r="S9" s="13">
        <v>5255</v>
      </c>
      <c r="T9" s="13">
        <v>5038</v>
      </c>
      <c r="U9" s="13">
        <v>4890</v>
      </c>
      <c r="V9" s="13">
        <v>4786</v>
      </c>
      <c r="W9" s="13">
        <v>4959</v>
      </c>
      <c r="X9" s="13">
        <v>5057</v>
      </c>
      <c r="Y9" s="13">
        <v>5428</v>
      </c>
      <c r="Z9" s="13">
        <v>5362</v>
      </c>
      <c r="AA9" s="13">
        <v>6100</v>
      </c>
      <c r="AB9" s="13">
        <v>5817</v>
      </c>
      <c r="AC9" s="13">
        <v>5584</v>
      </c>
      <c r="AD9" s="13">
        <v>5562</v>
      </c>
      <c r="AE9" s="13">
        <v>5340</v>
      </c>
      <c r="AF9" s="13">
        <v>5080</v>
      </c>
      <c r="AG9" s="13">
        <v>5092</v>
      </c>
      <c r="AH9" s="13">
        <v>5215</v>
      </c>
      <c r="AI9" s="13">
        <v>5261</v>
      </c>
      <c r="AJ9" s="13">
        <v>5292</v>
      </c>
      <c r="AK9" s="13">
        <v>5419</v>
      </c>
      <c r="AL9" s="13">
        <v>5548</v>
      </c>
      <c r="AM9" s="13">
        <v>5500</v>
      </c>
      <c r="AN9" s="13">
        <v>5528</v>
      </c>
      <c r="AO9" s="13">
        <v>5774</v>
      </c>
      <c r="AP9" s="13">
        <v>5652</v>
      </c>
      <c r="AQ9" s="13">
        <v>5688</v>
      </c>
      <c r="AR9" s="13">
        <v>5460</v>
      </c>
      <c r="AS9" s="13">
        <v>5560</v>
      </c>
      <c r="AT9" s="13">
        <v>5562</v>
      </c>
      <c r="AU9" s="13">
        <v>5637</v>
      </c>
      <c r="AV9" s="13">
        <v>5203</v>
      </c>
      <c r="AW9" s="13">
        <v>5168</v>
      </c>
      <c r="AX9" s="13">
        <v>5189</v>
      </c>
      <c r="AY9" s="13">
        <v>4995</v>
      </c>
      <c r="AZ9" s="13">
        <v>5186</v>
      </c>
      <c r="BA9" s="13">
        <v>4815</v>
      </c>
      <c r="BB9" s="13">
        <v>4944</v>
      </c>
      <c r="BC9" s="13">
        <v>5130</v>
      </c>
      <c r="BD9" s="13">
        <v>5144</v>
      </c>
      <c r="BE9" s="13">
        <v>5185</v>
      </c>
      <c r="BF9" s="13">
        <v>4965</v>
      </c>
      <c r="BG9" s="13">
        <v>4733</v>
      </c>
      <c r="BH9" s="13">
        <v>5221</v>
      </c>
      <c r="BI9" s="13">
        <v>5603</v>
      </c>
      <c r="BJ9" s="13">
        <v>4903</v>
      </c>
      <c r="BK9" s="13">
        <v>4930</v>
      </c>
      <c r="BL9" s="13">
        <v>5039</v>
      </c>
    </row>
    <row r="10" spans="1:64" ht="15.95" customHeight="1">
      <c r="A10" s="64" t="s">
        <v>267</v>
      </c>
      <c r="B10" s="6" t="s">
        <v>86</v>
      </c>
      <c r="C10" s="15">
        <f>_xll.RssMarket("5714","現在値")</f>
        <v>9839</v>
      </c>
      <c r="D10" s="16">
        <f t="shared" si="0"/>
        <v>0</v>
      </c>
      <c r="E10" s="13">
        <v>9839</v>
      </c>
      <c r="F10" s="13">
        <v>9685</v>
      </c>
      <c r="G10" s="13">
        <v>9377</v>
      </c>
      <c r="H10" s="13">
        <v>8905</v>
      </c>
      <c r="I10" s="13">
        <v>8997</v>
      </c>
      <c r="J10" s="13">
        <v>9257</v>
      </c>
      <c r="K10" s="13">
        <v>10005</v>
      </c>
      <c r="L10" s="13">
        <v>9834</v>
      </c>
      <c r="M10" s="13">
        <v>10370</v>
      </c>
      <c r="N10" s="13">
        <v>10150</v>
      </c>
      <c r="O10" s="13">
        <v>10430</v>
      </c>
      <c r="P10" s="13">
        <v>10300</v>
      </c>
      <c r="Q10" s="13">
        <v>10530</v>
      </c>
      <c r="R10" s="13">
        <v>10845</v>
      </c>
      <c r="S10" s="13">
        <v>10935</v>
      </c>
      <c r="T10" s="13">
        <v>10390</v>
      </c>
      <c r="U10" s="13">
        <v>10165</v>
      </c>
      <c r="V10" s="13">
        <v>10125</v>
      </c>
      <c r="W10" s="13">
        <v>10370</v>
      </c>
      <c r="X10" s="13">
        <v>11125</v>
      </c>
      <c r="Y10" s="13">
        <v>11640</v>
      </c>
      <c r="Z10" s="13">
        <v>10025</v>
      </c>
      <c r="AA10" s="13">
        <v>10655</v>
      </c>
      <c r="AB10" s="13">
        <v>10350</v>
      </c>
      <c r="AC10" s="13">
        <v>10360</v>
      </c>
      <c r="AD10" s="13">
        <v>10180</v>
      </c>
      <c r="AE10" s="13">
        <v>9848</v>
      </c>
      <c r="AF10" s="13">
        <v>9492</v>
      </c>
      <c r="AG10" s="13">
        <v>9476</v>
      </c>
      <c r="AH10" s="13">
        <v>9730</v>
      </c>
      <c r="AI10" s="13">
        <v>9589</v>
      </c>
      <c r="AJ10" s="13">
        <v>9640</v>
      </c>
      <c r="AK10" s="13">
        <v>9667</v>
      </c>
      <c r="AL10" s="13">
        <v>9782</v>
      </c>
      <c r="AM10" s="13">
        <v>9937</v>
      </c>
      <c r="AN10" s="13">
        <v>9792</v>
      </c>
      <c r="AO10" s="13">
        <v>9962</v>
      </c>
      <c r="AP10" s="13">
        <v>10355</v>
      </c>
      <c r="AQ10" s="13">
        <v>10055</v>
      </c>
      <c r="AR10" s="13">
        <v>10055</v>
      </c>
      <c r="AS10" s="13">
        <v>9677</v>
      </c>
      <c r="AT10" s="13">
        <v>9758</v>
      </c>
      <c r="AU10" s="13">
        <v>9769</v>
      </c>
      <c r="AV10" s="13">
        <v>9891</v>
      </c>
      <c r="AW10" s="13">
        <v>9309</v>
      </c>
      <c r="AX10" s="13">
        <v>9117</v>
      </c>
      <c r="AY10" s="13">
        <v>9094</v>
      </c>
      <c r="AZ10" s="13">
        <v>8913</v>
      </c>
      <c r="BA10" s="13">
        <v>9271</v>
      </c>
      <c r="BB10" s="13">
        <v>8735</v>
      </c>
      <c r="BC10" s="13">
        <v>8882</v>
      </c>
      <c r="BD10" s="13">
        <v>9390</v>
      </c>
      <c r="BE10" s="13">
        <v>9466</v>
      </c>
      <c r="BF10" s="13">
        <v>9394</v>
      </c>
      <c r="BG10" s="13">
        <v>9018</v>
      </c>
      <c r="BH10" s="13">
        <v>8710</v>
      </c>
      <c r="BI10" s="13">
        <v>9271</v>
      </c>
      <c r="BJ10" s="13">
        <v>10050</v>
      </c>
      <c r="BK10" s="13">
        <v>9613</v>
      </c>
      <c r="BL10" s="13">
        <v>9629</v>
      </c>
    </row>
    <row r="11" spans="1:64" ht="15.95" customHeight="1">
      <c r="A11" s="64" t="s">
        <v>268</v>
      </c>
      <c r="B11" s="6" t="s">
        <v>87</v>
      </c>
      <c r="C11" s="15">
        <f>_xll.RssMarket("6701","現在値")</f>
        <v>3852</v>
      </c>
      <c r="D11" s="16">
        <f t="shared" si="0"/>
        <v>0</v>
      </c>
      <c r="E11" s="13">
        <v>3852</v>
      </c>
      <c r="F11" s="13">
        <v>3849</v>
      </c>
      <c r="G11" s="13">
        <v>3879</v>
      </c>
      <c r="H11" s="13">
        <v>4000</v>
      </c>
      <c r="I11" s="13">
        <v>4010</v>
      </c>
      <c r="J11" s="13">
        <v>4096</v>
      </c>
      <c r="K11" s="13">
        <v>4253</v>
      </c>
      <c r="L11" s="13">
        <v>4224</v>
      </c>
      <c r="M11" s="13">
        <v>4273</v>
      </c>
      <c r="N11" s="13">
        <v>4434</v>
      </c>
      <c r="O11" s="13">
        <v>4369</v>
      </c>
      <c r="P11" s="13">
        <v>4103</v>
      </c>
      <c r="Q11" s="13">
        <v>4086</v>
      </c>
      <c r="R11" s="13">
        <v>4146</v>
      </c>
      <c r="S11" s="13">
        <v>4106</v>
      </c>
      <c r="T11" s="13">
        <v>4105</v>
      </c>
      <c r="U11" s="13">
        <v>4125</v>
      </c>
      <c r="V11" s="13">
        <v>4140</v>
      </c>
      <c r="W11" s="13">
        <v>4297</v>
      </c>
      <c r="X11" s="13">
        <v>4162</v>
      </c>
      <c r="Y11" s="13">
        <v>4004</v>
      </c>
      <c r="Z11" s="13">
        <v>4049</v>
      </c>
      <c r="AA11" s="13">
        <v>4190</v>
      </c>
      <c r="AB11" s="13">
        <v>4130</v>
      </c>
      <c r="AC11" s="13">
        <v>4101</v>
      </c>
      <c r="AD11" s="13">
        <v>4200</v>
      </c>
      <c r="AE11" s="13">
        <v>4028</v>
      </c>
      <c r="AF11" s="13">
        <v>4035</v>
      </c>
      <c r="AG11" s="13">
        <v>4101</v>
      </c>
      <c r="AH11" s="13">
        <v>4625</v>
      </c>
      <c r="AI11" s="13">
        <v>4513</v>
      </c>
      <c r="AJ11" s="13">
        <v>4292</v>
      </c>
      <c r="AK11" s="13">
        <v>4524</v>
      </c>
      <c r="AL11" s="13">
        <v>4431</v>
      </c>
      <c r="AM11" s="13">
        <v>4327</v>
      </c>
      <c r="AN11" s="13">
        <v>4328</v>
      </c>
      <c r="AO11" s="13">
        <v>4328</v>
      </c>
      <c r="AP11" s="13">
        <v>4269</v>
      </c>
      <c r="AQ11" s="13">
        <v>4083</v>
      </c>
      <c r="AR11" s="13">
        <v>3882</v>
      </c>
      <c r="AS11" s="13">
        <v>3860</v>
      </c>
      <c r="AT11" s="13">
        <v>4048</v>
      </c>
      <c r="AU11" s="13">
        <v>4188</v>
      </c>
      <c r="AV11" s="13">
        <v>4074</v>
      </c>
      <c r="AW11" s="13">
        <v>4011</v>
      </c>
      <c r="AX11" s="13">
        <v>4046</v>
      </c>
      <c r="AY11" s="13">
        <v>4046</v>
      </c>
      <c r="AZ11" s="13">
        <v>4023</v>
      </c>
      <c r="BA11" s="13">
        <v>4023</v>
      </c>
      <c r="BB11" s="13">
        <v>4025</v>
      </c>
      <c r="BC11" s="13">
        <v>4025</v>
      </c>
      <c r="BD11" s="13">
        <v>4025</v>
      </c>
      <c r="BE11" s="13">
        <v>3846</v>
      </c>
      <c r="BF11" s="13">
        <v>3846</v>
      </c>
      <c r="BG11" s="13">
        <v>3846</v>
      </c>
      <c r="BH11" s="13">
        <v>3789</v>
      </c>
      <c r="BI11" s="13">
        <v>3789</v>
      </c>
      <c r="BJ11" s="13">
        <v>3789</v>
      </c>
      <c r="BK11" s="13">
        <v>3990</v>
      </c>
      <c r="BL11" s="13">
        <v>3990</v>
      </c>
    </row>
    <row r="12" spans="1:64" ht="15.95" customHeight="1">
      <c r="A12" s="64" t="s">
        <v>269</v>
      </c>
      <c r="B12" s="6" t="s">
        <v>88</v>
      </c>
      <c r="C12" s="15">
        <f>_xll.RssMarket("1605","現在値")</f>
        <v>3406</v>
      </c>
      <c r="D12" s="16">
        <f t="shared" si="0"/>
        <v>0</v>
      </c>
      <c r="E12" s="13">
        <v>3406</v>
      </c>
      <c r="F12" s="13">
        <v>3378</v>
      </c>
      <c r="G12" s="13">
        <v>3559</v>
      </c>
      <c r="H12" s="13">
        <v>3607</v>
      </c>
      <c r="I12" s="13">
        <v>3483</v>
      </c>
      <c r="J12" s="13">
        <v>3641</v>
      </c>
      <c r="K12" s="13">
        <v>3685</v>
      </c>
      <c r="L12" s="13">
        <v>3648</v>
      </c>
      <c r="M12" s="13">
        <v>3707</v>
      </c>
      <c r="N12" s="13">
        <v>3567</v>
      </c>
      <c r="O12" s="13">
        <v>3416</v>
      </c>
      <c r="P12" s="13">
        <v>3604</v>
      </c>
      <c r="Q12" s="13">
        <v>3693</v>
      </c>
      <c r="R12" s="13">
        <v>3689</v>
      </c>
      <c r="S12" s="13">
        <v>3658</v>
      </c>
      <c r="T12" s="13">
        <v>3839</v>
      </c>
      <c r="U12" s="13">
        <v>3885</v>
      </c>
      <c r="V12" s="13">
        <v>3990</v>
      </c>
      <c r="W12" s="13">
        <v>3993</v>
      </c>
      <c r="X12" s="13">
        <v>3934</v>
      </c>
      <c r="Y12" s="13">
        <v>3921</v>
      </c>
      <c r="Z12" s="13">
        <v>3920</v>
      </c>
      <c r="AA12" s="13">
        <v>3930</v>
      </c>
      <c r="AB12" s="13">
        <v>3944</v>
      </c>
      <c r="AC12" s="13">
        <v>3848</v>
      </c>
      <c r="AD12" s="13">
        <v>3788</v>
      </c>
      <c r="AE12" s="13">
        <v>3850</v>
      </c>
      <c r="AF12" s="13">
        <v>4118</v>
      </c>
      <c r="AG12" s="13">
        <v>4150</v>
      </c>
      <c r="AH12" s="13">
        <v>4123</v>
      </c>
      <c r="AI12" s="13">
        <v>3930</v>
      </c>
      <c r="AJ12" s="13">
        <v>4074</v>
      </c>
      <c r="AK12" s="13">
        <v>3969</v>
      </c>
      <c r="AL12" s="13">
        <v>3807</v>
      </c>
      <c r="AM12" s="13">
        <v>3830</v>
      </c>
      <c r="AN12" s="13">
        <v>3843</v>
      </c>
      <c r="AO12" s="13">
        <v>3985</v>
      </c>
      <c r="AP12" s="13">
        <v>3948</v>
      </c>
      <c r="AQ12" s="13">
        <v>4035</v>
      </c>
      <c r="AR12" s="13">
        <v>4190</v>
      </c>
      <c r="AS12" s="13">
        <v>4277</v>
      </c>
      <c r="AT12" s="13">
        <v>4147</v>
      </c>
      <c r="AU12" s="13">
        <v>4230</v>
      </c>
      <c r="AV12" s="13">
        <v>4201</v>
      </c>
      <c r="AW12" s="13">
        <v>4480</v>
      </c>
      <c r="AX12" s="13">
        <v>4512</v>
      </c>
      <c r="AY12" s="13">
        <v>4675</v>
      </c>
      <c r="AZ12" s="13">
        <v>4567</v>
      </c>
      <c r="BA12" s="13">
        <v>4701</v>
      </c>
      <c r="BB12" s="13">
        <v>4678</v>
      </c>
      <c r="BC12" s="13">
        <v>4892</v>
      </c>
      <c r="BD12" s="13">
        <v>4900</v>
      </c>
      <c r="BE12" s="13">
        <v>4687</v>
      </c>
      <c r="BF12" s="13">
        <v>4444</v>
      </c>
      <c r="BG12" s="13">
        <v>4519</v>
      </c>
      <c r="BH12" s="13">
        <v>4483</v>
      </c>
      <c r="BI12" s="13">
        <v>4700</v>
      </c>
      <c r="BJ12" s="13">
        <v>4675</v>
      </c>
      <c r="BK12" s="13">
        <v>4507</v>
      </c>
      <c r="BL12" s="13">
        <v>4370</v>
      </c>
    </row>
    <row r="13" spans="1:64" ht="15.95" customHeight="1">
      <c r="A13" s="64" t="s">
        <v>270</v>
      </c>
      <c r="B13" s="6" t="s">
        <v>89</v>
      </c>
      <c r="C13" s="15">
        <f>_xll.RssMarket("5703","現在値")</f>
        <v>2958</v>
      </c>
      <c r="D13" s="16">
        <f t="shared" si="0"/>
        <v>0</v>
      </c>
      <c r="E13" s="13">
        <v>2958</v>
      </c>
      <c r="F13" s="13">
        <v>3010</v>
      </c>
      <c r="G13" s="13">
        <v>3040</v>
      </c>
      <c r="H13" s="13">
        <v>2986</v>
      </c>
      <c r="I13" s="13">
        <v>3065</v>
      </c>
      <c r="J13" s="13">
        <v>3135</v>
      </c>
      <c r="K13" s="13">
        <v>3255</v>
      </c>
      <c r="L13" s="13">
        <v>3175</v>
      </c>
      <c r="M13" s="13">
        <v>3270</v>
      </c>
      <c r="N13" s="13">
        <v>3165</v>
      </c>
      <c r="O13" s="13">
        <v>3130</v>
      </c>
      <c r="P13" s="13">
        <v>3165</v>
      </c>
      <c r="Q13" s="13">
        <v>3190</v>
      </c>
      <c r="R13" s="13">
        <v>3200</v>
      </c>
      <c r="S13" s="13">
        <v>3245</v>
      </c>
      <c r="T13" s="13">
        <v>3050</v>
      </c>
      <c r="U13" s="13">
        <v>3065</v>
      </c>
      <c r="V13" s="13">
        <v>3050</v>
      </c>
      <c r="W13" s="13">
        <v>3085</v>
      </c>
      <c r="X13" s="13">
        <v>3150</v>
      </c>
      <c r="Y13" s="13">
        <v>3120</v>
      </c>
      <c r="Z13" s="13">
        <v>3040</v>
      </c>
      <c r="AA13" s="13">
        <v>2951</v>
      </c>
      <c r="AB13" s="13">
        <v>2960</v>
      </c>
      <c r="AC13" s="13">
        <v>2902</v>
      </c>
      <c r="AD13" s="13">
        <v>2928</v>
      </c>
      <c r="AE13" s="13">
        <v>2930</v>
      </c>
      <c r="AF13" s="13">
        <v>2823</v>
      </c>
      <c r="AG13" s="13">
        <v>2853</v>
      </c>
      <c r="AH13" s="13">
        <v>2868</v>
      </c>
      <c r="AI13" s="13">
        <v>2886</v>
      </c>
      <c r="AJ13" s="13">
        <v>2858</v>
      </c>
      <c r="AK13" s="13">
        <v>2855</v>
      </c>
      <c r="AL13" s="13">
        <v>2908</v>
      </c>
      <c r="AM13" s="13">
        <v>2963</v>
      </c>
      <c r="AN13" s="13">
        <v>2948</v>
      </c>
      <c r="AO13" s="13">
        <v>2982</v>
      </c>
      <c r="AP13" s="13">
        <v>3045</v>
      </c>
      <c r="AQ13" s="13">
        <v>3010</v>
      </c>
      <c r="AR13" s="13">
        <v>3040</v>
      </c>
      <c r="AS13" s="13">
        <v>2999</v>
      </c>
      <c r="AT13" s="13">
        <v>2983</v>
      </c>
      <c r="AU13" s="13">
        <v>2945</v>
      </c>
      <c r="AV13" s="13">
        <v>2978</v>
      </c>
      <c r="AW13" s="13">
        <v>2893</v>
      </c>
      <c r="AX13" s="13">
        <v>2867</v>
      </c>
      <c r="AY13" s="13">
        <v>2873</v>
      </c>
      <c r="AZ13" s="13">
        <v>2774</v>
      </c>
      <c r="BA13" s="13">
        <v>2839</v>
      </c>
      <c r="BB13" s="13">
        <v>2776</v>
      </c>
      <c r="BC13" s="13">
        <v>2656</v>
      </c>
      <c r="BD13" s="13">
        <v>2732</v>
      </c>
      <c r="BE13" s="13">
        <v>2718</v>
      </c>
      <c r="BF13" s="13">
        <v>2735</v>
      </c>
      <c r="BG13" s="13">
        <v>2640</v>
      </c>
      <c r="BH13" s="13">
        <v>2544</v>
      </c>
      <c r="BI13" s="13">
        <v>2736</v>
      </c>
      <c r="BJ13" s="13">
        <v>2906</v>
      </c>
      <c r="BK13" s="13">
        <v>2812</v>
      </c>
      <c r="BL13" s="13">
        <v>2811</v>
      </c>
    </row>
    <row r="14" spans="1:64" ht="15.95" customHeight="1">
      <c r="A14" s="64" t="s">
        <v>271</v>
      </c>
      <c r="B14" s="6" t="s">
        <v>90</v>
      </c>
      <c r="C14" s="15">
        <f>_xll.RssMarket("8002","現在値")</f>
        <v>4949</v>
      </c>
      <c r="D14" s="16">
        <f t="shared" si="0"/>
        <v>0</v>
      </c>
      <c r="E14" s="13">
        <v>4949</v>
      </c>
      <c r="F14" s="13">
        <v>4921</v>
      </c>
      <c r="G14" s="13">
        <v>4899</v>
      </c>
      <c r="H14" s="13">
        <v>4812</v>
      </c>
      <c r="I14" s="13">
        <v>4795</v>
      </c>
      <c r="J14" s="13">
        <v>4870</v>
      </c>
      <c r="K14" s="13">
        <v>5044</v>
      </c>
      <c r="L14" s="13">
        <v>4968</v>
      </c>
      <c r="M14" s="13">
        <v>4993</v>
      </c>
      <c r="N14" s="13">
        <v>4910</v>
      </c>
      <c r="O14" s="13">
        <v>4918</v>
      </c>
      <c r="P14" s="13">
        <v>5196</v>
      </c>
      <c r="Q14" s="13">
        <v>5224</v>
      </c>
      <c r="R14" s="13">
        <v>5220</v>
      </c>
      <c r="S14" s="13">
        <v>5312</v>
      </c>
      <c r="T14" s="13">
        <v>5271</v>
      </c>
      <c r="U14" s="13">
        <v>5325</v>
      </c>
      <c r="V14" s="13">
        <v>5374</v>
      </c>
      <c r="W14" s="13">
        <v>5553</v>
      </c>
      <c r="X14" s="13">
        <v>5638</v>
      </c>
      <c r="Y14" s="13">
        <v>5856</v>
      </c>
      <c r="Z14" s="13">
        <v>5898</v>
      </c>
      <c r="AA14" s="13">
        <v>5740</v>
      </c>
      <c r="AB14" s="13">
        <v>5520</v>
      </c>
      <c r="AC14" s="13">
        <v>5418</v>
      </c>
      <c r="AD14" s="13">
        <v>5495</v>
      </c>
      <c r="AE14" s="13">
        <v>5755</v>
      </c>
      <c r="AF14" s="13">
        <v>6072</v>
      </c>
      <c r="AG14" s="13">
        <v>6084</v>
      </c>
      <c r="AH14" s="13">
        <v>5910</v>
      </c>
      <c r="AI14" s="13">
        <v>5936</v>
      </c>
      <c r="AJ14" s="13">
        <v>5929</v>
      </c>
      <c r="AK14" s="13">
        <v>5908</v>
      </c>
      <c r="AL14" s="13">
        <v>6001</v>
      </c>
      <c r="AM14" s="13">
        <v>5885</v>
      </c>
      <c r="AN14" s="13">
        <v>5853</v>
      </c>
      <c r="AO14" s="13">
        <v>6040</v>
      </c>
      <c r="AP14" s="13">
        <v>5909</v>
      </c>
      <c r="AQ14" s="13">
        <v>6018</v>
      </c>
      <c r="AR14" s="13">
        <v>5932</v>
      </c>
      <c r="AS14" s="13">
        <v>5950</v>
      </c>
      <c r="AT14" s="13">
        <v>6088</v>
      </c>
      <c r="AU14" s="13">
        <v>6119</v>
      </c>
      <c r="AV14" s="13">
        <v>5919</v>
      </c>
      <c r="AW14" s="13">
        <v>5890</v>
      </c>
      <c r="AX14" s="13">
        <v>5988</v>
      </c>
      <c r="AY14" s="13">
        <v>5890</v>
      </c>
      <c r="AZ14" s="13">
        <v>5993</v>
      </c>
      <c r="BA14" s="13">
        <v>5618</v>
      </c>
      <c r="BB14" s="13">
        <v>5763</v>
      </c>
      <c r="BC14" s="13">
        <v>5751</v>
      </c>
      <c r="BD14" s="13">
        <v>5661</v>
      </c>
      <c r="BE14" s="13">
        <v>5610</v>
      </c>
      <c r="BF14" s="13">
        <v>5356</v>
      </c>
      <c r="BG14" s="13">
        <v>5189</v>
      </c>
      <c r="BH14" s="13">
        <v>5495</v>
      </c>
      <c r="BI14" s="13">
        <v>5835</v>
      </c>
      <c r="BJ14" s="13">
        <v>5694</v>
      </c>
      <c r="BK14" s="13">
        <v>5633</v>
      </c>
      <c r="BL14" s="13">
        <v>5591</v>
      </c>
    </row>
    <row r="15" spans="1:64" ht="15.95" customHeight="1">
      <c r="A15" s="64" t="s">
        <v>272</v>
      </c>
      <c r="B15" s="6" t="s">
        <v>91</v>
      </c>
      <c r="C15" s="15">
        <f>_xll.RssMarket("5021","現在値")</f>
        <v>3669</v>
      </c>
      <c r="D15" s="16">
        <f t="shared" si="0"/>
        <v>0</v>
      </c>
      <c r="E15" s="13">
        <v>3669</v>
      </c>
      <c r="F15" s="13">
        <v>3676</v>
      </c>
      <c r="G15" s="13">
        <v>3571</v>
      </c>
      <c r="H15" s="13">
        <v>3503</v>
      </c>
      <c r="I15" s="13">
        <v>3462</v>
      </c>
      <c r="J15" s="13">
        <v>3586</v>
      </c>
      <c r="K15" s="13">
        <v>3611</v>
      </c>
      <c r="L15" s="13">
        <v>3663</v>
      </c>
      <c r="M15" s="13">
        <v>3833</v>
      </c>
      <c r="N15" s="13">
        <v>3717</v>
      </c>
      <c r="O15" s="13">
        <v>3671</v>
      </c>
      <c r="P15" s="13">
        <v>3739</v>
      </c>
      <c r="Q15" s="13">
        <v>3700</v>
      </c>
      <c r="R15" s="13">
        <v>3685</v>
      </c>
      <c r="S15" s="13">
        <v>3680</v>
      </c>
      <c r="T15" s="13">
        <v>3701</v>
      </c>
      <c r="U15" s="13">
        <v>3700</v>
      </c>
      <c r="V15" s="13">
        <v>3739</v>
      </c>
      <c r="W15" s="13">
        <v>3774</v>
      </c>
      <c r="X15" s="13">
        <v>3733</v>
      </c>
      <c r="Y15" s="13">
        <v>3832</v>
      </c>
      <c r="Z15" s="13">
        <v>3867</v>
      </c>
      <c r="AA15" s="13">
        <v>3760</v>
      </c>
      <c r="AB15" s="13">
        <v>3969</v>
      </c>
      <c r="AC15" s="13">
        <v>3958</v>
      </c>
      <c r="AD15" s="13">
        <v>3951</v>
      </c>
      <c r="AE15" s="13">
        <v>3909</v>
      </c>
      <c r="AF15" s="13">
        <v>3982</v>
      </c>
      <c r="AG15" s="13">
        <v>4003</v>
      </c>
      <c r="AH15" s="13">
        <v>3985</v>
      </c>
      <c r="AI15" s="13">
        <v>3906</v>
      </c>
      <c r="AJ15" s="13">
        <v>3943</v>
      </c>
      <c r="AK15" s="13">
        <v>4021</v>
      </c>
      <c r="AL15" s="13">
        <v>4067</v>
      </c>
      <c r="AM15" s="13">
        <v>4197</v>
      </c>
      <c r="AN15" s="13">
        <v>4267</v>
      </c>
      <c r="AO15" s="13">
        <v>4355</v>
      </c>
      <c r="AP15" s="13">
        <v>4357</v>
      </c>
      <c r="AQ15" s="13">
        <v>4374</v>
      </c>
      <c r="AR15" s="13">
        <v>4357</v>
      </c>
      <c r="AS15" s="13">
        <v>4385</v>
      </c>
      <c r="AT15" s="13">
        <v>4431</v>
      </c>
      <c r="AU15" s="13">
        <v>4507</v>
      </c>
      <c r="AV15" s="13">
        <v>4449</v>
      </c>
      <c r="AW15" s="13">
        <v>4509</v>
      </c>
      <c r="AX15" s="13">
        <v>4461</v>
      </c>
      <c r="AY15" s="13">
        <v>4530</v>
      </c>
      <c r="AZ15" s="13">
        <v>4442</v>
      </c>
      <c r="BA15" s="13">
        <v>4545</v>
      </c>
      <c r="BB15" s="13">
        <v>4432</v>
      </c>
      <c r="BC15" s="13">
        <v>4534</v>
      </c>
      <c r="BD15" s="13">
        <v>4585</v>
      </c>
      <c r="BE15" s="13">
        <v>4603</v>
      </c>
      <c r="BF15" s="13">
        <v>4494</v>
      </c>
      <c r="BG15" s="13">
        <v>4516</v>
      </c>
      <c r="BH15" s="13">
        <v>4341</v>
      </c>
      <c r="BI15" s="13">
        <v>4588</v>
      </c>
      <c r="BJ15" s="13">
        <v>4688</v>
      </c>
      <c r="BK15" s="13">
        <v>4547</v>
      </c>
      <c r="BL15" s="13">
        <v>4452</v>
      </c>
    </row>
    <row r="16" spans="1:64" ht="15.95" customHeight="1">
      <c r="A16" s="64" t="s">
        <v>273</v>
      </c>
      <c r="B16" s="6" t="s">
        <v>92</v>
      </c>
      <c r="C16" s="15">
        <f>_xll.RssMarket("8058","現在値")</f>
        <v>4610</v>
      </c>
      <c r="D16" s="16">
        <f t="shared" si="0"/>
        <v>0</v>
      </c>
      <c r="E16" s="13">
        <v>4610</v>
      </c>
      <c r="F16" s="13">
        <v>4595</v>
      </c>
      <c r="G16" s="13">
        <v>4683</v>
      </c>
      <c r="H16" s="13">
        <v>4605</v>
      </c>
      <c r="I16" s="13">
        <v>4615</v>
      </c>
      <c r="J16" s="13">
        <v>4833</v>
      </c>
      <c r="K16" s="13">
        <v>4859</v>
      </c>
      <c r="L16" s="13">
        <v>4896</v>
      </c>
      <c r="M16" s="13">
        <v>4979</v>
      </c>
      <c r="N16" s="13">
        <v>4924</v>
      </c>
      <c r="O16" s="13">
        <v>4921</v>
      </c>
      <c r="P16" s="13">
        <v>5065</v>
      </c>
      <c r="Q16" s="13">
        <v>5038</v>
      </c>
      <c r="R16" s="13">
        <v>5124</v>
      </c>
      <c r="S16" s="13">
        <v>5320</v>
      </c>
      <c r="T16" s="13">
        <v>5432</v>
      </c>
      <c r="U16" s="13">
        <v>5411</v>
      </c>
      <c r="V16" s="13">
        <v>5436</v>
      </c>
      <c r="W16" s="13">
        <v>5519</v>
      </c>
      <c r="X16" s="13">
        <v>5500</v>
      </c>
      <c r="Y16" s="13">
        <v>5849</v>
      </c>
      <c r="Z16" s="13">
        <v>5882</v>
      </c>
      <c r="AA16" s="13">
        <v>5864</v>
      </c>
      <c r="AB16" s="13">
        <v>5500</v>
      </c>
      <c r="AC16" s="13">
        <v>5252</v>
      </c>
      <c r="AD16" s="13">
        <v>5249</v>
      </c>
      <c r="AE16" s="13">
        <v>5398</v>
      </c>
      <c r="AF16" s="13">
        <v>5219</v>
      </c>
      <c r="AG16" s="13">
        <v>4990</v>
      </c>
      <c r="AH16" s="13">
        <v>4913</v>
      </c>
      <c r="AI16" s="13">
        <v>4810</v>
      </c>
      <c r="AJ16" s="13">
        <v>4950</v>
      </c>
      <c r="AK16" s="13">
        <v>4792</v>
      </c>
      <c r="AL16" s="13">
        <v>4746</v>
      </c>
      <c r="AM16" s="13">
        <v>4844</v>
      </c>
      <c r="AN16" s="13">
        <v>4910</v>
      </c>
      <c r="AO16" s="13">
        <v>4952</v>
      </c>
      <c r="AP16" s="13">
        <v>5086</v>
      </c>
      <c r="AQ16" s="13">
        <v>4989</v>
      </c>
      <c r="AR16" s="13">
        <v>5193</v>
      </c>
      <c r="AS16" s="13">
        <v>5275</v>
      </c>
      <c r="AT16" s="13">
        <v>5307</v>
      </c>
      <c r="AU16" s="13">
        <v>5413</v>
      </c>
      <c r="AV16" s="13">
        <v>5436</v>
      </c>
      <c r="AW16" s="13">
        <v>5425</v>
      </c>
      <c r="AX16" s="13">
        <v>5405</v>
      </c>
      <c r="AY16" s="13">
        <v>5475</v>
      </c>
      <c r="AZ16" s="13">
        <v>5397</v>
      </c>
      <c r="BA16" s="13">
        <v>5490</v>
      </c>
      <c r="BB16" s="13">
        <v>5317</v>
      </c>
      <c r="BC16" s="13">
        <v>5669</v>
      </c>
      <c r="BD16" s="13">
        <v>5762</v>
      </c>
      <c r="BE16" s="13">
        <v>5655</v>
      </c>
      <c r="BF16" s="13">
        <v>5556</v>
      </c>
      <c r="BG16" s="13">
        <v>5426</v>
      </c>
      <c r="BH16" s="13">
        <v>5272</v>
      </c>
      <c r="BI16" s="13">
        <v>5397</v>
      </c>
      <c r="BJ16" s="13">
        <v>5712</v>
      </c>
      <c r="BK16" s="13">
        <v>5297</v>
      </c>
      <c r="BL16" s="13">
        <v>5175</v>
      </c>
    </row>
    <row r="17" spans="1:64" ht="15.95" customHeight="1">
      <c r="A17" s="64" t="s">
        <v>274</v>
      </c>
      <c r="B17" s="6" t="s">
        <v>93</v>
      </c>
      <c r="C17" s="15">
        <f>_xll.RssMarket("5333","現在値")</f>
        <v>6972</v>
      </c>
      <c r="D17" s="16">
        <f t="shared" si="0"/>
        <v>0</v>
      </c>
      <c r="E17" s="13">
        <v>6972</v>
      </c>
      <c r="F17" s="13">
        <v>6747</v>
      </c>
      <c r="G17" s="13">
        <v>6117</v>
      </c>
      <c r="H17" s="13">
        <v>5957</v>
      </c>
      <c r="I17" s="13">
        <v>5933</v>
      </c>
      <c r="J17" s="13">
        <v>6092</v>
      </c>
      <c r="K17" s="13">
        <v>6575</v>
      </c>
      <c r="L17" s="13">
        <v>6356</v>
      </c>
      <c r="M17" s="13">
        <v>6483</v>
      </c>
      <c r="N17" s="13">
        <v>6170</v>
      </c>
      <c r="O17" s="13">
        <v>6355</v>
      </c>
      <c r="P17" s="13">
        <v>6316</v>
      </c>
      <c r="Q17" s="13">
        <v>6120</v>
      </c>
      <c r="R17" s="13">
        <v>6069</v>
      </c>
      <c r="S17" s="13">
        <v>6210</v>
      </c>
      <c r="T17" s="13">
        <v>5861</v>
      </c>
      <c r="U17" s="13">
        <v>5700</v>
      </c>
      <c r="V17" s="13">
        <v>5456</v>
      </c>
      <c r="W17" s="13">
        <v>5493</v>
      </c>
      <c r="X17" s="13">
        <v>5609</v>
      </c>
      <c r="Y17" s="13">
        <v>5696</v>
      </c>
      <c r="Z17" s="13">
        <v>5787</v>
      </c>
      <c r="AA17" s="13">
        <v>5731</v>
      </c>
      <c r="AB17" s="13">
        <v>5614</v>
      </c>
      <c r="AC17" s="13">
        <v>5550</v>
      </c>
      <c r="AD17" s="13">
        <v>5374</v>
      </c>
      <c r="AE17" s="13">
        <v>5345</v>
      </c>
      <c r="AF17" s="13">
        <v>5121</v>
      </c>
      <c r="AG17" s="13">
        <v>4961</v>
      </c>
      <c r="AH17" s="13">
        <v>4670</v>
      </c>
      <c r="AI17" s="13">
        <v>4613</v>
      </c>
      <c r="AJ17" s="13">
        <v>4428</v>
      </c>
      <c r="AK17" s="13">
        <v>4379</v>
      </c>
      <c r="AL17" s="13">
        <v>4481</v>
      </c>
      <c r="AM17" s="13">
        <v>4543</v>
      </c>
      <c r="AN17" s="13">
        <v>4521</v>
      </c>
      <c r="AO17" s="13">
        <v>4473</v>
      </c>
      <c r="AP17" s="13">
        <v>4561</v>
      </c>
      <c r="AQ17" s="13">
        <v>4444</v>
      </c>
      <c r="AR17" s="13">
        <v>4449</v>
      </c>
      <c r="AS17" s="13">
        <v>4412</v>
      </c>
      <c r="AT17" s="13">
        <v>4441</v>
      </c>
      <c r="AU17" s="13">
        <v>4399</v>
      </c>
      <c r="AV17" s="13">
        <v>4375</v>
      </c>
      <c r="AW17" s="13">
        <v>4145</v>
      </c>
      <c r="AX17" s="13">
        <v>4120</v>
      </c>
      <c r="AY17" s="13">
        <v>4135</v>
      </c>
      <c r="AZ17" s="13">
        <v>4059</v>
      </c>
      <c r="BA17" s="13">
        <v>4206</v>
      </c>
      <c r="BB17" s="13">
        <v>3977</v>
      </c>
      <c r="BC17" s="13">
        <v>4014</v>
      </c>
      <c r="BD17" s="13">
        <v>4144</v>
      </c>
      <c r="BE17" s="13">
        <v>4155</v>
      </c>
      <c r="BF17" s="13">
        <v>4162</v>
      </c>
      <c r="BG17" s="13">
        <v>3937</v>
      </c>
      <c r="BH17" s="13">
        <v>3792</v>
      </c>
      <c r="BI17" s="13">
        <v>3976</v>
      </c>
      <c r="BJ17" s="13">
        <v>4180</v>
      </c>
      <c r="BK17" s="13">
        <v>4046</v>
      </c>
      <c r="BL17" s="13">
        <v>4038</v>
      </c>
    </row>
    <row r="18" spans="1:64" ht="15.95" customHeight="1">
      <c r="A18" s="64" t="s">
        <v>275</v>
      </c>
      <c r="B18" s="6" t="s">
        <v>94</v>
      </c>
      <c r="C18" s="15">
        <f>_xll.RssMarket("1662","現在値")</f>
        <v>1645</v>
      </c>
      <c r="D18" s="16">
        <f t="shared" si="0"/>
        <v>0</v>
      </c>
      <c r="E18" s="13">
        <v>1645</v>
      </c>
      <c r="F18" s="13">
        <v>1648</v>
      </c>
      <c r="G18" s="13">
        <v>1658</v>
      </c>
      <c r="H18" s="13">
        <v>1668</v>
      </c>
      <c r="I18" s="13">
        <v>1639</v>
      </c>
      <c r="J18" s="13">
        <v>1734</v>
      </c>
      <c r="K18" s="13">
        <v>1730</v>
      </c>
      <c r="L18" s="13">
        <v>1721</v>
      </c>
      <c r="M18" s="13">
        <v>1760</v>
      </c>
      <c r="N18" s="13">
        <v>1761</v>
      </c>
      <c r="O18" s="13">
        <v>1753</v>
      </c>
      <c r="P18" s="13">
        <v>1789</v>
      </c>
      <c r="Q18" s="13">
        <v>1868</v>
      </c>
      <c r="R18" s="13">
        <v>1872</v>
      </c>
      <c r="S18" s="13">
        <v>1840</v>
      </c>
      <c r="T18" s="13">
        <v>1900</v>
      </c>
      <c r="U18" s="13">
        <v>1883</v>
      </c>
      <c r="V18" s="13">
        <v>2021</v>
      </c>
      <c r="W18" s="13">
        <v>1955</v>
      </c>
      <c r="X18" s="13">
        <v>1933</v>
      </c>
      <c r="Y18" s="13">
        <v>1965</v>
      </c>
      <c r="Z18" s="13">
        <v>2012</v>
      </c>
      <c r="AA18" s="13">
        <v>1998</v>
      </c>
      <c r="AB18" s="13">
        <v>2198</v>
      </c>
      <c r="AC18" s="13">
        <v>2164</v>
      </c>
      <c r="AD18" s="13">
        <v>2155</v>
      </c>
      <c r="AE18" s="13">
        <v>2117</v>
      </c>
      <c r="AF18" s="13">
        <v>2233</v>
      </c>
      <c r="AG18" s="13">
        <v>2275</v>
      </c>
      <c r="AH18" s="13">
        <v>2295</v>
      </c>
      <c r="AI18" s="13">
        <v>2181</v>
      </c>
      <c r="AJ18" s="13">
        <v>2253</v>
      </c>
      <c r="AK18" s="13">
        <v>2315</v>
      </c>
      <c r="AL18" s="13">
        <v>2127</v>
      </c>
      <c r="AM18" s="13">
        <v>2131</v>
      </c>
      <c r="AN18" s="13">
        <v>2168</v>
      </c>
      <c r="AO18" s="13">
        <v>2348</v>
      </c>
      <c r="AP18" s="13">
        <v>2396</v>
      </c>
      <c r="AQ18" s="13">
        <v>2400</v>
      </c>
      <c r="AR18" s="13">
        <v>2491</v>
      </c>
      <c r="AS18" s="13">
        <v>2524</v>
      </c>
      <c r="AT18" s="13">
        <v>2387</v>
      </c>
      <c r="AU18" s="13">
        <v>2464</v>
      </c>
      <c r="AV18" s="13">
        <v>2414</v>
      </c>
      <c r="AW18" s="13">
        <v>2519</v>
      </c>
      <c r="AX18" s="13">
        <v>2519</v>
      </c>
      <c r="AY18" s="13">
        <v>2577</v>
      </c>
      <c r="AZ18" s="13">
        <v>2525</v>
      </c>
      <c r="BA18" s="13">
        <v>2621</v>
      </c>
      <c r="BB18" s="13">
        <v>2608</v>
      </c>
      <c r="BC18" s="13">
        <v>2694</v>
      </c>
      <c r="BD18" s="13">
        <v>2664</v>
      </c>
      <c r="BE18" s="13">
        <v>2594</v>
      </c>
      <c r="BF18" s="13">
        <v>2456</v>
      </c>
      <c r="BG18" s="13">
        <v>2520</v>
      </c>
      <c r="BH18" s="13">
        <v>2483</v>
      </c>
      <c r="BI18" s="13">
        <v>2591</v>
      </c>
      <c r="BJ18" s="13">
        <v>2715</v>
      </c>
      <c r="BK18" s="13">
        <v>2654</v>
      </c>
      <c r="BL18" s="13">
        <v>2562</v>
      </c>
    </row>
    <row r="19" spans="1:64" ht="15.95" customHeight="1">
      <c r="A19" s="64" t="s">
        <v>276</v>
      </c>
      <c r="B19" s="6" t="s">
        <v>95</v>
      </c>
      <c r="C19" s="15">
        <f>_xll.RssMarket("8411","現在値")</f>
        <v>8006</v>
      </c>
      <c r="D19" s="16">
        <f t="shared" si="0"/>
        <v>0</v>
      </c>
      <c r="E19" s="13">
        <v>8006</v>
      </c>
      <c r="F19" s="13">
        <v>7757</v>
      </c>
      <c r="G19" s="13">
        <v>7563</v>
      </c>
      <c r="H19" s="13">
        <v>7394</v>
      </c>
      <c r="I19" s="13">
        <v>7614</v>
      </c>
      <c r="J19" s="13">
        <v>7562</v>
      </c>
      <c r="K19" s="13">
        <v>7716</v>
      </c>
      <c r="L19" s="13">
        <v>7645</v>
      </c>
      <c r="M19" s="13">
        <v>7633</v>
      </c>
      <c r="N19" s="13">
        <v>7346</v>
      </c>
      <c r="O19" s="13">
        <v>7185</v>
      </c>
      <c r="P19" s="13">
        <v>7195</v>
      </c>
      <c r="Q19" s="13">
        <v>7065</v>
      </c>
      <c r="R19" s="13">
        <v>7217</v>
      </c>
      <c r="S19" s="13">
        <v>7304</v>
      </c>
      <c r="T19" s="13">
        <v>7457</v>
      </c>
      <c r="U19" s="13">
        <v>7301</v>
      </c>
      <c r="V19" s="13">
        <v>6982</v>
      </c>
      <c r="W19" s="13">
        <v>6886</v>
      </c>
      <c r="X19" s="13">
        <v>6525</v>
      </c>
      <c r="Y19" s="13">
        <v>6912</v>
      </c>
      <c r="Z19" s="13">
        <v>6984</v>
      </c>
      <c r="AA19" s="13">
        <v>7050</v>
      </c>
      <c r="AB19" s="13">
        <v>6970</v>
      </c>
      <c r="AC19" s="13">
        <v>6890</v>
      </c>
      <c r="AD19" s="13">
        <v>6771</v>
      </c>
      <c r="AE19" s="13">
        <v>6926</v>
      </c>
      <c r="AF19" s="13">
        <v>6704</v>
      </c>
      <c r="AG19" s="13">
        <v>6722</v>
      </c>
      <c r="AH19" s="13">
        <v>6936</v>
      </c>
      <c r="AI19" s="13">
        <v>6598</v>
      </c>
      <c r="AJ19" s="13">
        <v>6427</v>
      </c>
      <c r="AK19" s="13">
        <v>6482</v>
      </c>
      <c r="AL19" s="13">
        <v>6613</v>
      </c>
      <c r="AM19" s="13">
        <v>6647</v>
      </c>
      <c r="AN19" s="13">
        <v>6775</v>
      </c>
      <c r="AO19" s="13">
        <v>6768</v>
      </c>
      <c r="AP19" s="13">
        <v>6872</v>
      </c>
      <c r="AQ19" s="13">
        <v>6955</v>
      </c>
      <c r="AR19" s="13">
        <v>6790</v>
      </c>
      <c r="AS19" s="13">
        <v>6735</v>
      </c>
      <c r="AT19" s="13">
        <v>6786</v>
      </c>
      <c r="AU19" s="13">
        <v>6730</v>
      </c>
      <c r="AV19" s="13">
        <v>6946</v>
      </c>
      <c r="AW19" s="13">
        <v>6539</v>
      </c>
      <c r="AX19" s="13">
        <v>6475</v>
      </c>
      <c r="AY19" s="13">
        <v>6468</v>
      </c>
      <c r="AZ19" s="13">
        <v>6424</v>
      </c>
      <c r="BA19" s="13">
        <v>6609</v>
      </c>
      <c r="BB19" s="13">
        <v>6087</v>
      </c>
      <c r="BC19" s="13">
        <v>6135</v>
      </c>
      <c r="BD19" s="13">
        <v>6379</v>
      </c>
      <c r="BE19" s="13">
        <v>6368</v>
      </c>
      <c r="BF19" s="13">
        <v>6421</v>
      </c>
      <c r="BG19" s="13">
        <v>6159</v>
      </c>
      <c r="BH19" s="13">
        <v>5929</v>
      </c>
      <c r="BI19" s="13">
        <v>6150</v>
      </c>
      <c r="BJ19" s="13">
        <v>6320</v>
      </c>
      <c r="BK19" s="13">
        <v>6130</v>
      </c>
      <c r="BL19" s="13">
        <v>6095</v>
      </c>
    </row>
    <row r="20" spans="1:64" ht="15.95" customHeight="1">
      <c r="A20" s="64" t="s">
        <v>277</v>
      </c>
      <c r="B20" s="6" t="s">
        <v>96</v>
      </c>
      <c r="C20" s="15">
        <f>_xll.RssMarket("5541","現在値")</f>
        <v>2285</v>
      </c>
      <c r="D20" s="16">
        <f t="shared" si="0"/>
        <v>0</v>
      </c>
      <c r="E20" s="13">
        <v>2285</v>
      </c>
      <c r="F20" s="13">
        <v>2271</v>
      </c>
      <c r="G20" s="13">
        <v>2175</v>
      </c>
      <c r="H20" s="13">
        <v>2109</v>
      </c>
      <c r="I20" s="13">
        <v>2134</v>
      </c>
      <c r="J20" s="13">
        <v>2200</v>
      </c>
      <c r="K20" s="13">
        <v>2273</v>
      </c>
      <c r="L20" s="13">
        <v>2263</v>
      </c>
      <c r="M20" s="13">
        <v>2319</v>
      </c>
      <c r="N20" s="13">
        <v>2230</v>
      </c>
      <c r="O20" s="13">
        <v>2245</v>
      </c>
      <c r="P20" s="13">
        <v>2311</v>
      </c>
      <c r="Q20" s="13">
        <v>2248</v>
      </c>
      <c r="R20" s="13">
        <v>2294</v>
      </c>
      <c r="S20" s="13">
        <v>2220</v>
      </c>
      <c r="T20" s="13">
        <v>2166</v>
      </c>
      <c r="U20" s="13">
        <v>2165</v>
      </c>
      <c r="V20" s="13">
        <v>2138</v>
      </c>
      <c r="W20" s="13">
        <v>2231</v>
      </c>
      <c r="X20" s="13">
        <v>2254</v>
      </c>
      <c r="Y20" s="13">
        <v>2404</v>
      </c>
      <c r="Z20" s="13">
        <v>2380</v>
      </c>
      <c r="AA20" s="13">
        <v>2472</v>
      </c>
      <c r="AB20" s="13">
        <v>2312</v>
      </c>
      <c r="AC20" s="13">
        <v>2664</v>
      </c>
      <c r="AD20" s="13">
        <v>2649</v>
      </c>
      <c r="AE20" s="13">
        <v>2627</v>
      </c>
      <c r="AF20" s="13">
        <v>2580</v>
      </c>
      <c r="AG20" s="13">
        <v>2522</v>
      </c>
      <c r="AH20" s="13">
        <v>2656</v>
      </c>
      <c r="AI20" s="13">
        <v>2431</v>
      </c>
      <c r="AJ20" s="13">
        <v>2442</v>
      </c>
      <c r="AK20" s="13">
        <v>2463</v>
      </c>
      <c r="AL20" s="13">
        <v>2487</v>
      </c>
      <c r="AM20" s="13">
        <v>2554</v>
      </c>
      <c r="AN20" s="13">
        <v>2520</v>
      </c>
      <c r="AO20" s="13">
        <v>2582</v>
      </c>
      <c r="AP20" s="13">
        <v>2726</v>
      </c>
      <c r="AQ20" s="13">
        <v>2649</v>
      </c>
      <c r="AR20" s="13">
        <v>2677</v>
      </c>
      <c r="AS20" s="13">
        <v>2619</v>
      </c>
      <c r="AT20" s="13">
        <v>2673</v>
      </c>
      <c r="AU20" s="13">
        <v>2706</v>
      </c>
      <c r="AV20" s="13">
        <v>2826</v>
      </c>
      <c r="AW20" s="13">
        <v>2664</v>
      </c>
      <c r="AX20" s="13">
        <v>2697</v>
      </c>
      <c r="AY20" s="13">
        <v>2683</v>
      </c>
      <c r="AZ20" s="13">
        <v>2641</v>
      </c>
      <c r="BA20" s="13">
        <v>2754</v>
      </c>
      <c r="BB20" s="13">
        <v>2627</v>
      </c>
      <c r="BC20" s="13">
        <v>2710</v>
      </c>
      <c r="BD20" s="13">
        <v>2843</v>
      </c>
      <c r="BE20" s="13">
        <v>2763</v>
      </c>
      <c r="BF20" s="13">
        <v>2817</v>
      </c>
      <c r="BG20" s="13">
        <v>2749</v>
      </c>
      <c r="BH20" s="13">
        <v>2673</v>
      </c>
      <c r="BI20" s="13">
        <v>3175</v>
      </c>
      <c r="BJ20" s="13">
        <v>3065</v>
      </c>
      <c r="BK20" s="13">
        <v>3080</v>
      </c>
      <c r="BL20" s="13">
        <v>3090</v>
      </c>
    </row>
    <row r="21" spans="1:64" ht="15.95" customHeight="1">
      <c r="A21" s="64" t="s">
        <v>278</v>
      </c>
      <c r="B21" s="6" t="s">
        <v>97</v>
      </c>
      <c r="C21" s="15">
        <f>_xll.RssMarket("5332","現在値")</f>
        <v>8297</v>
      </c>
      <c r="D21" s="16">
        <f t="shared" si="0"/>
        <v>0</v>
      </c>
      <c r="E21" s="13">
        <v>8297</v>
      </c>
      <c r="F21" s="13">
        <v>8144</v>
      </c>
      <c r="G21" s="13">
        <v>7681</v>
      </c>
      <c r="H21" s="13">
        <v>7450</v>
      </c>
      <c r="I21" s="13">
        <v>7500</v>
      </c>
      <c r="J21" s="13">
        <v>7664</v>
      </c>
      <c r="K21" s="13">
        <v>8003</v>
      </c>
      <c r="L21" s="13">
        <v>8026</v>
      </c>
      <c r="M21" s="13">
        <v>7926</v>
      </c>
      <c r="N21" s="13">
        <v>7284</v>
      </c>
      <c r="O21" s="13">
        <v>7577</v>
      </c>
      <c r="P21" s="13">
        <v>7678</v>
      </c>
      <c r="Q21" s="13">
        <v>7381</v>
      </c>
      <c r="R21" s="13">
        <v>7290</v>
      </c>
      <c r="S21" s="13">
        <v>7057</v>
      </c>
      <c r="T21" s="13">
        <v>6820</v>
      </c>
      <c r="U21" s="13">
        <v>6570</v>
      </c>
      <c r="V21" s="13">
        <v>6399</v>
      </c>
      <c r="W21" s="13">
        <v>6689</v>
      </c>
      <c r="X21" s="13">
        <v>6929</v>
      </c>
      <c r="Y21" s="13">
        <v>7127</v>
      </c>
      <c r="Z21" s="13">
        <v>7235</v>
      </c>
      <c r="AA21" s="13">
        <v>6906</v>
      </c>
      <c r="AB21" s="13">
        <v>6896</v>
      </c>
      <c r="AC21" s="13">
        <v>7175</v>
      </c>
      <c r="AD21" s="13">
        <v>7083</v>
      </c>
      <c r="AE21" s="13">
        <v>6740</v>
      </c>
      <c r="AF21" s="13">
        <v>6425</v>
      </c>
      <c r="AG21" s="13">
        <v>5425</v>
      </c>
      <c r="AH21" s="13">
        <v>5425</v>
      </c>
      <c r="AI21" s="13">
        <v>5373</v>
      </c>
      <c r="AJ21" s="13">
        <v>5346</v>
      </c>
      <c r="AK21" s="13">
        <v>5221</v>
      </c>
      <c r="AL21" s="13">
        <v>5242</v>
      </c>
      <c r="AM21" s="13">
        <v>5384</v>
      </c>
      <c r="AN21" s="13">
        <v>5547</v>
      </c>
      <c r="AO21" s="13">
        <v>5522</v>
      </c>
      <c r="AP21" s="13">
        <v>5578</v>
      </c>
      <c r="AQ21" s="13">
        <v>5500</v>
      </c>
      <c r="AR21" s="13">
        <v>5421</v>
      </c>
      <c r="AS21" s="13">
        <v>5322</v>
      </c>
      <c r="AT21" s="13">
        <v>5732</v>
      </c>
      <c r="AU21" s="13">
        <v>5732</v>
      </c>
      <c r="AV21" s="13">
        <v>5709</v>
      </c>
      <c r="AW21" s="13">
        <v>5410</v>
      </c>
      <c r="AX21" s="13">
        <v>5270</v>
      </c>
      <c r="AY21" s="13">
        <v>5212</v>
      </c>
      <c r="AZ21" s="13">
        <v>5171</v>
      </c>
      <c r="BA21" s="13">
        <v>5288</v>
      </c>
      <c r="BB21" s="13">
        <v>5090</v>
      </c>
      <c r="BC21" s="13">
        <v>5252</v>
      </c>
      <c r="BD21" s="13">
        <v>5429</v>
      </c>
      <c r="BE21" s="13">
        <v>5569</v>
      </c>
      <c r="BF21" s="13">
        <v>5903</v>
      </c>
      <c r="BG21" s="13">
        <v>5669</v>
      </c>
      <c r="BH21" s="13">
        <v>5516</v>
      </c>
      <c r="BI21" s="13">
        <v>5721</v>
      </c>
      <c r="BJ21" s="13">
        <v>5941</v>
      </c>
      <c r="BK21" s="13">
        <v>5767</v>
      </c>
      <c r="BL21" s="13">
        <v>5757</v>
      </c>
    </row>
    <row r="22" spans="1:64" ht="15.95" customHeight="1">
      <c r="A22" s="64" t="s">
        <v>279</v>
      </c>
      <c r="B22" s="6" t="s">
        <v>98</v>
      </c>
      <c r="C22" s="15">
        <f>_xll.RssMarket("8725","現在値")</f>
        <v>4557</v>
      </c>
      <c r="D22" s="16">
        <f t="shared" si="0"/>
        <v>0</v>
      </c>
      <c r="E22" s="13">
        <v>4557</v>
      </c>
      <c r="F22" s="13">
        <v>4616</v>
      </c>
      <c r="G22" s="13">
        <v>4597</v>
      </c>
      <c r="H22" s="13">
        <v>4552</v>
      </c>
      <c r="I22" s="13">
        <v>4597</v>
      </c>
      <c r="J22" s="13">
        <v>4402</v>
      </c>
      <c r="K22" s="13">
        <v>4325</v>
      </c>
      <c r="L22" s="13">
        <v>4247</v>
      </c>
      <c r="M22" s="13">
        <v>4294</v>
      </c>
      <c r="N22" s="13">
        <v>4266</v>
      </c>
      <c r="O22" s="13">
        <v>4298</v>
      </c>
      <c r="P22" s="13">
        <v>4287</v>
      </c>
      <c r="Q22" s="13">
        <v>4245</v>
      </c>
      <c r="R22" s="13">
        <v>4290</v>
      </c>
      <c r="S22" s="13">
        <v>4216</v>
      </c>
      <c r="T22" s="13">
        <v>4245</v>
      </c>
      <c r="U22" s="13">
        <v>4350</v>
      </c>
      <c r="V22" s="13">
        <v>4420</v>
      </c>
      <c r="W22" s="13">
        <v>4503</v>
      </c>
      <c r="X22" s="13">
        <v>4420</v>
      </c>
      <c r="Y22" s="13">
        <v>4391</v>
      </c>
      <c r="Z22" s="13">
        <v>4399</v>
      </c>
      <c r="AA22" s="13">
        <v>4414</v>
      </c>
      <c r="AB22" s="13">
        <v>4285</v>
      </c>
      <c r="AC22" s="13">
        <v>4024</v>
      </c>
      <c r="AD22" s="13">
        <v>3978</v>
      </c>
      <c r="AE22" s="13">
        <v>4003</v>
      </c>
      <c r="AF22" s="13">
        <v>3996</v>
      </c>
      <c r="AG22" s="13">
        <v>4034</v>
      </c>
      <c r="AH22" s="13">
        <v>4019</v>
      </c>
      <c r="AI22" s="13">
        <v>3931</v>
      </c>
      <c r="AJ22" s="13">
        <v>3946</v>
      </c>
      <c r="AK22" s="13">
        <v>3974</v>
      </c>
      <c r="AL22" s="13">
        <v>3996</v>
      </c>
      <c r="AM22" s="13">
        <v>4014</v>
      </c>
      <c r="AN22" s="13">
        <v>4026</v>
      </c>
      <c r="AO22" s="13">
        <v>4055</v>
      </c>
      <c r="AP22" s="13">
        <v>4121</v>
      </c>
      <c r="AQ22" s="13">
        <v>4046</v>
      </c>
      <c r="AR22" s="13">
        <v>4046</v>
      </c>
      <c r="AS22" s="13">
        <v>4064</v>
      </c>
      <c r="AT22" s="13">
        <v>4077</v>
      </c>
      <c r="AU22" s="13">
        <v>4115</v>
      </c>
      <c r="AV22" s="13">
        <v>4158</v>
      </c>
      <c r="AW22" s="13">
        <v>4089</v>
      </c>
      <c r="AX22" s="13">
        <v>4128</v>
      </c>
      <c r="AY22" s="13">
        <v>4136</v>
      </c>
      <c r="AZ22" s="13">
        <v>4097</v>
      </c>
      <c r="BA22" s="13">
        <v>4203</v>
      </c>
      <c r="BB22" s="13">
        <v>4032</v>
      </c>
      <c r="BC22" s="13">
        <v>4021</v>
      </c>
      <c r="BD22" s="13">
        <v>4208</v>
      </c>
      <c r="BE22" s="13">
        <v>4151</v>
      </c>
      <c r="BF22" s="13">
        <v>4214</v>
      </c>
      <c r="BG22" s="13">
        <v>4011</v>
      </c>
      <c r="BH22" s="13">
        <v>3890</v>
      </c>
      <c r="BI22" s="13">
        <v>4028</v>
      </c>
      <c r="BJ22" s="13">
        <v>4139</v>
      </c>
      <c r="BK22" s="13">
        <v>4030</v>
      </c>
      <c r="BL22" s="13">
        <v>3973</v>
      </c>
    </row>
    <row r="23" spans="1:64" ht="15.95" customHeight="1">
      <c r="A23" s="64" t="s">
        <v>280</v>
      </c>
      <c r="B23" s="6" t="s">
        <v>99</v>
      </c>
      <c r="C23" s="15">
        <f>_xll.RssMarket("8795","現在値")</f>
        <v>4746</v>
      </c>
      <c r="D23" s="16">
        <f t="shared" si="0"/>
        <v>0</v>
      </c>
      <c r="E23" s="13">
        <v>4746</v>
      </c>
      <c r="F23" s="13">
        <v>4902</v>
      </c>
      <c r="G23" s="13">
        <v>4712</v>
      </c>
      <c r="H23" s="13">
        <v>4656</v>
      </c>
      <c r="I23" s="13">
        <v>4686</v>
      </c>
      <c r="J23" s="13">
        <v>4395</v>
      </c>
      <c r="K23" s="13">
        <v>4390</v>
      </c>
      <c r="L23" s="13">
        <v>4125</v>
      </c>
      <c r="M23" s="13">
        <v>4231</v>
      </c>
      <c r="N23" s="13">
        <v>4250</v>
      </c>
      <c r="O23" s="13">
        <v>4202</v>
      </c>
      <c r="P23" s="13">
        <v>4194</v>
      </c>
      <c r="Q23" s="13">
        <v>4095</v>
      </c>
      <c r="R23" s="13">
        <v>4151</v>
      </c>
      <c r="S23" s="13">
        <v>4091</v>
      </c>
      <c r="T23" s="13">
        <v>4118</v>
      </c>
      <c r="U23" s="13">
        <v>4075</v>
      </c>
      <c r="V23" s="13">
        <v>4140</v>
      </c>
      <c r="W23" s="13">
        <v>4151</v>
      </c>
      <c r="X23" s="13">
        <v>4001</v>
      </c>
      <c r="Y23" s="13">
        <v>3949</v>
      </c>
      <c r="Z23" s="13">
        <v>4002</v>
      </c>
      <c r="AA23" s="13">
        <v>3987</v>
      </c>
      <c r="AB23" s="13">
        <v>3957</v>
      </c>
      <c r="AC23" s="13">
        <v>3986</v>
      </c>
      <c r="AD23" s="13">
        <v>3878</v>
      </c>
      <c r="AE23" s="13">
        <v>3939</v>
      </c>
      <c r="AF23" s="13">
        <v>3782</v>
      </c>
      <c r="AG23" s="13">
        <v>3792</v>
      </c>
      <c r="AH23" s="13">
        <v>3773</v>
      </c>
      <c r="AI23" s="13">
        <v>3655</v>
      </c>
      <c r="AJ23" s="13">
        <v>3680</v>
      </c>
      <c r="AK23" s="13">
        <v>3704</v>
      </c>
      <c r="AL23" s="13">
        <v>3767</v>
      </c>
      <c r="AM23" s="13">
        <v>3820</v>
      </c>
      <c r="AN23" s="13">
        <v>3921</v>
      </c>
      <c r="AO23" s="13">
        <v>4000</v>
      </c>
      <c r="AP23" s="13">
        <v>4083</v>
      </c>
      <c r="AQ23" s="13">
        <v>4012</v>
      </c>
      <c r="AR23" s="13">
        <v>4068</v>
      </c>
      <c r="AS23" s="13">
        <v>4005</v>
      </c>
      <c r="AT23" s="13">
        <v>4024</v>
      </c>
      <c r="AU23" s="13">
        <v>4053</v>
      </c>
      <c r="AV23" s="13">
        <v>4132</v>
      </c>
      <c r="AW23" s="13">
        <v>3963</v>
      </c>
      <c r="AX23" s="13">
        <v>3874</v>
      </c>
      <c r="AY23" s="13">
        <v>4152</v>
      </c>
      <c r="AZ23" s="13">
        <v>4114</v>
      </c>
      <c r="BA23" s="13">
        <v>4234</v>
      </c>
      <c r="BB23" s="13">
        <v>3956</v>
      </c>
      <c r="BC23" s="13">
        <v>3880</v>
      </c>
      <c r="BD23" s="13">
        <v>4017</v>
      </c>
      <c r="BE23" s="13">
        <v>3944</v>
      </c>
      <c r="BF23" s="13">
        <v>3968</v>
      </c>
      <c r="BG23" s="13">
        <v>3746</v>
      </c>
      <c r="BH23" s="13">
        <v>3626</v>
      </c>
      <c r="BI23" s="13">
        <v>3735</v>
      </c>
      <c r="BJ23" s="13">
        <v>3830</v>
      </c>
      <c r="BK23" s="13">
        <v>3715</v>
      </c>
      <c r="BL23" s="13">
        <v>3667</v>
      </c>
    </row>
    <row r="24" spans="1:64" ht="15.95" customHeight="1">
      <c r="A24" s="64" t="s">
        <v>281</v>
      </c>
      <c r="B24" s="6" t="s">
        <v>100</v>
      </c>
      <c r="C24" s="15">
        <f>_xll.RssMarket("5019","現在値")</f>
        <v>1284.5</v>
      </c>
      <c r="D24" s="16">
        <f t="shared" si="0"/>
        <v>0</v>
      </c>
      <c r="E24" s="13">
        <v>1284.5</v>
      </c>
      <c r="F24" s="13">
        <v>1287.5</v>
      </c>
      <c r="G24" s="13">
        <v>1314.5</v>
      </c>
      <c r="H24" s="13">
        <v>1344</v>
      </c>
      <c r="I24" s="13">
        <v>1332</v>
      </c>
      <c r="J24" s="13">
        <v>1348.5</v>
      </c>
      <c r="K24" s="13">
        <v>1381</v>
      </c>
      <c r="L24" s="13">
        <v>1397</v>
      </c>
      <c r="M24" s="13">
        <v>1407.5</v>
      </c>
      <c r="N24" s="13">
        <v>1354.5</v>
      </c>
      <c r="O24" s="13">
        <v>1357</v>
      </c>
      <c r="P24" s="13">
        <v>1398.5</v>
      </c>
      <c r="Q24" s="13">
        <v>1314.5</v>
      </c>
      <c r="R24" s="13">
        <v>1326.5</v>
      </c>
      <c r="S24" s="13">
        <v>1313</v>
      </c>
      <c r="T24" s="13">
        <v>1332</v>
      </c>
      <c r="U24" s="13">
        <v>1346</v>
      </c>
      <c r="V24" s="13">
        <v>1374.5</v>
      </c>
      <c r="W24" s="13">
        <v>1376.5</v>
      </c>
      <c r="X24" s="13">
        <v>1365.5</v>
      </c>
      <c r="Y24" s="13">
        <v>1428</v>
      </c>
      <c r="Z24" s="13">
        <v>1417.5</v>
      </c>
      <c r="AA24" s="13">
        <v>1389</v>
      </c>
      <c r="AB24" s="13">
        <v>1394</v>
      </c>
      <c r="AC24" s="13">
        <v>1360</v>
      </c>
      <c r="AD24" s="13">
        <v>1340.5</v>
      </c>
      <c r="AE24" s="13">
        <v>1370</v>
      </c>
      <c r="AF24" s="13">
        <v>1348.5</v>
      </c>
      <c r="AG24" s="13">
        <v>1348</v>
      </c>
      <c r="AH24" s="13">
        <v>1315</v>
      </c>
      <c r="AI24" s="13">
        <v>1336</v>
      </c>
      <c r="AJ24" s="13">
        <v>1345.5</v>
      </c>
      <c r="AK24" s="13">
        <v>1385</v>
      </c>
      <c r="AL24" s="13">
        <v>1411.5</v>
      </c>
      <c r="AM24" s="13">
        <v>1444.5</v>
      </c>
      <c r="AN24" s="13">
        <v>1487.5</v>
      </c>
      <c r="AO24" s="13">
        <v>1505</v>
      </c>
      <c r="AP24" s="13">
        <v>1509</v>
      </c>
      <c r="AQ24" s="13">
        <v>1536</v>
      </c>
      <c r="AR24" s="13">
        <v>1545.5</v>
      </c>
      <c r="AS24" s="13">
        <v>1544</v>
      </c>
      <c r="AT24" s="13">
        <v>1558.5</v>
      </c>
      <c r="AU24" s="13">
        <v>1561.5</v>
      </c>
      <c r="AV24" s="13">
        <v>1659</v>
      </c>
      <c r="AW24" s="13">
        <v>1627</v>
      </c>
      <c r="AX24" s="13">
        <v>1595</v>
      </c>
      <c r="AY24" s="13">
        <v>1560</v>
      </c>
      <c r="AZ24" s="13">
        <v>1595.5</v>
      </c>
      <c r="BA24" s="13">
        <v>1541.5</v>
      </c>
      <c r="BB24" s="13">
        <v>1557.5</v>
      </c>
      <c r="BC24" s="13">
        <v>1553.5</v>
      </c>
      <c r="BD24" s="13">
        <v>1528</v>
      </c>
      <c r="BE24" s="13">
        <v>1488.5</v>
      </c>
      <c r="BF24" s="13">
        <v>1460</v>
      </c>
      <c r="BG24" s="13">
        <v>1407.5</v>
      </c>
      <c r="BH24" s="13">
        <v>1479</v>
      </c>
      <c r="BI24" s="13">
        <v>1536.5</v>
      </c>
      <c r="BJ24" s="13">
        <v>1478</v>
      </c>
      <c r="BK24" s="13">
        <v>1441.5</v>
      </c>
      <c r="BL24" s="13">
        <v>1462</v>
      </c>
    </row>
    <row r="25" spans="1:64" ht="15.95" customHeight="1">
      <c r="A25" s="64" t="s">
        <v>282</v>
      </c>
      <c r="B25" s="6" t="s">
        <v>101</v>
      </c>
      <c r="C25" s="15">
        <f>_xll.RssMarket("8053","現在値")</f>
        <v>6547</v>
      </c>
      <c r="D25" s="16">
        <f t="shared" si="0"/>
        <v>0</v>
      </c>
      <c r="E25" s="13">
        <v>6547</v>
      </c>
      <c r="F25" s="13">
        <v>6529</v>
      </c>
      <c r="G25" s="13">
        <v>6259</v>
      </c>
      <c r="H25" s="13">
        <v>6186</v>
      </c>
      <c r="I25" s="13">
        <v>6338</v>
      </c>
      <c r="J25" s="13">
        <v>6617</v>
      </c>
      <c r="K25" s="13">
        <v>6842</v>
      </c>
      <c r="L25" s="13">
        <v>6775</v>
      </c>
      <c r="M25" s="13">
        <v>6842</v>
      </c>
      <c r="N25" s="13">
        <v>6820</v>
      </c>
      <c r="O25" s="13">
        <v>6982</v>
      </c>
      <c r="P25" s="13">
        <v>7099</v>
      </c>
      <c r="Q25" s="13">
        <v>7105</v>
      </c>
      <c r="R25" s="13">
        <v>7190</v>
      </c>
      <c r="S25" s="13">
        <v>7361</v>
      </c>
      <c r="T25" s="13">
        <v>7131</v>
      </c>
      <c r="U25" s="13">
        <v>7120</v>
      </c>
      <c r="V25" s="13">
        <v>7011</v>
      </c>
      <c r="W25" s="13">
        <v>7217</v>
      </c>
      <c r="X25" s="13">
        <v>7257</v>
      </c>
      <c r="Y25" s="13">
        <v>7510</v>
      </c>
      <c r="Z25" s="13">
        <v>7540</v>
      </c>
      <c r="AA25" s="13">
        <v>7699</v>
      </c>
      <c r="AB25" s="13">
        <v>7428</v>
      </c>
      <c r="AC25" s="13">
        <v>7206</v>
      </c>
      <c r="AD25" s="13">
        <v>7180</v>
      </c>
      <c r="AE25" s="13">
        <v>7400</v>
      </c>
      <c r="AF25" s="13">
        <v>6840</v>
      </c>
      <c r="AG25" s="13">
        <v>5840</v>
      </c>
      <c r="AH25" s="13">
        <v>5801</v>
      </c>
      <c r="AI25" s="13">
        <v>5693</v>
      </c>
      <c r="AJ25" s="13">
        <v>5781</v>
      </c>
      <c r="AK25" s="13">
        <v>5754</v>
      </c>
      <c r="AL25" s="13">
        <v>5821</v>
      </c>
      <c r="AM25" s="13">
        <v>5990</v>
      </c>
      <c r="AN25" s="13">
        <v>6000</v>
      </c>
      <c r="AO25" s="13">
        <v>6015</v>
      </c>
      <c r="AP25" s="13">
        <v>6094</v>
      </c>
      <c r="AQ25" s="13">
        <v>6062</v>
      </c>
      <c r="AR25" s="13">
        <v>6069</v>
      </c>
      <c r="AS25" s="13">
        <v>6035</v>
      </c>
      <c r="AT25" s="13">
        <v>6084</v>
      </c>
      <c r="AU25" s="13">
        <v>6231</v>
      </c>
      <c r="AV25" s="13">
        <v>6253</v>
      </c>
      <c r="AW25" s="13">
        <v>6045</v>
      </c>
      <c r="AX25" s="13">
        <v>5963</v>
      </c>
      <c r="AY25" s="13">
        <v>6035</v>
      </c>
      <c r="AZ25" s="13">
        <v>6001</v>
      </c>
      <c r="BA25" s="13">
        <v>6182</v>
      </c>
      <c r="BB25" s="13">
        <v>5780</v>
      </c>
      <c r="BC25" s="13">
        <v>5852</v>
      </c>
      <c r="BD25" s="13">
        <v>5991</v>
      </c>
      <c r="BE25" s="13">
        <v>5887</v>
      </c>
      <c r="BF25" s="13">
        <v>5832</v>
      </c>
      <c r="BG25" s="13">
        <v>5702</v>
      </c>
      <c r="BH25" s="13">
        <v>5472</v>
      </c>
      <c r="BI25" s="13">
        <v>5700</v>
      </c>
      <c r="BJ25" s="13">
        <v>5992</v>
      </c>
      <c r="BK25" s="13">
        <v>5721</v>
      </c>
      <c r="BL25" s="13">
        <v>5634</v>
      </c>
    </row>
    <row r="26" spans="1:64" ht="15.95" customHeight="1">
      <c r="A26" s="64" t="s">
        <v>283</v>
      </c>
      <c r="B26" s="6" t="s">
        <v>102</v>
      </c>
      <c r="C26" s="15">
        <f>_xll.RssMarket("8591","現在値")</f>
        <v>6336</v>
      </c>
      <c r="D26" s="16">
        <f t="shared" si="0"/>
        <v>0</v>
      </c>
      <c r="E26" s="13">
        <v>6336</v>
      </c>
      <c r="F26" s="13">
        <v>6305</v>
      </c>
      <c r="G26" s="13">
        <v>6092</v>
      </c>
      <c r="H26" s="13">
        <v>6050</v>
      </c>
      <c r="I26" s="13">
        <v>6167</v>
      </c>
      <c r="J26" s="13">
        <v>6101</v>
      </c>
      <c r="K26" s="13">
        <v>6113</v>
      </c>
      <c r="L26" s="13">
        <v>6250</v>
      </c>
      <c r="M26" s="13">
        <v>6300</v>
      </c>
      <c r="N26" s="13">
        <v>6220</v>
      </c>
      <c r="O26" s="13">
        <v>6205</v>
      </c>
      <c r="P26" s="13">
        <v>6237</v>
      </c>
      <c r="Q26" s="13">
        <v>6124</v>
      </c>
      <c r="R26" s="13">
        <v>6156</v>
      </c>
      <c r="S26" s="13">
        <v>6286</v>
      </c>
      <c r="T26" s="13">
        <v>6230</v>
      </c>
      <c r="U26" s="13">
        <v>6241</v>
      </c>
      <c r="V26" s="13">
        <v>6052</v>
      </c>
      <c r="W26" s="13">
        <v>5914</v>
      </c>
      <c r="X26" s="13">
        <v>5778</v>
      </c>
      <c r="Y26" s="13">
        <v>5772</v>
      </c>
      <c r="Z26" s="13">
        <v>5787</v>
      </c>
      <c r="AA26" s="13">
        <v>6018</v>
      </c>
      <c r="AB26" s="13">
        <v>5986</v>
      </c>
      <c r="AC26" s="13">
        <v>5514</v>
      </c>
      <c r="AD26" s="13">
        <v>5277</v>
      </c>
      <c r="AE26" s="13">
        <v>5252</v>
      </c>
      <c r="AF26" s="13">
        <v>5209</v>
      </c>
      <c r="AG26" s="13">
        <v>5275</v>
      </c>
      <c r="AH26" s="13">
        <v>5350</v>
      </c>
      <c r="AI26" s="13">
        <v>4871</v>
      </c>
      <c r="AJ26" s="13">
        <v>4846</v>
      </c>
      <c r="AK26" s="13">
        <v>4850</v>
      </c>
      <c r="AL26" s="13">
        <v>4897</v>
      </c>
      <c r="AM26" s="13">
        <v>4947</v>
      </c>
      <c r="AN26" s="13">
        <v>5040</v>
      </c>
      <c r="AO26" s="13">
        <v>5010</v>
      </c>
      <c r="AP26" s="13">
        <v>5069</v>
      </c>
      <c r="AQ26" s="13">
        <v>5033</v>
      </c>
      <c r="AR26" s="13">
        <v>4982</v>
      </c>
      <c r="AS26" s="13">
        <v>4835</v>
      </c>
      <c r="AT26" s="13">
        <v>4879</v>
      </c>
      <c r="AU26" s="13">
        <v>4842</v>
      </c>
      <c r="AV26" s="13">
        <v>4897</v>
      </c>
      <c r="AW26" s="13">
        <v>4731</v>
      </c>
      <c r="AX26" s="13">
        <v>4681</v>
      </c>
      <c r="AY26" s="13">
        <v>4704</v>
      </c>
      <c r="AZ26" s="13">
        <v>4677</v>
      </c>
      <c r="BA26" s="13">
        <v>4760</v>
      </c>
      <c r="BB26" s="13">
        <v>4607</v>
      </c>
      <c r="BC26" s="13">
        <v>4597</v>
      </c>
      <c r="BD26" s="13">
        <v>4781</v>
      </c>
      <c r="BE26" s="13">
        <v>4768</v>
      </c>
      <c r="BF26" s="13">
        <v>4807</v>
      </c>
      <c r="BG26" s="13">
        <v>4664</v>
      </c>
      <c r="BH26" s="13">
        <v>4562</v>
      </c>
      <c r="BI26" s="13">
        <v>4736</v>
      </c>
      <c r="BJ26" s="13">
        <v>4907</v>
      </c>
      <c r="BK26" s="13">
        <v>4804</v>
      </c>
      <c r="BL26" s="13">
        <v>4757</v>
      </c>
    </row>
    <row r="27" spans="1:64" ht="15.95" customHeight="1">
      <c r="A27" s="64" t="s">
        <v>284</v>
      </c>
      <c r="B27" s="6" t="s">
        <v>103</v>
      </c>
      <c r="C27" s="15">
        <f>_xll.RssMarket("3401","現在値")</f>
        <v>1648</v>
      </c>
      <c r="D27" s="16">
        <f t="shared" si="0"/>
        <v>0</v>
      </c>
      <c r="E27" s="13">
        <v>1648</v>
      </c>
      <c r="F27" s="13">
        <v>1641</v>
      </c>
      <c r="G27" s="13">
        <v>1638.5</v>
      </c>
      <c r="H27" s="13">
        <v>1607.5</v>
      </c>
      <c r="I27" s="13">
        <v>1619.5</v>
      </c>
      <c r="J27" s="13">
        <v>1600.5</v>
      </c>
      <c r="K27" s="13">
        <v>1623</v>
      </c>
      <c r="L27" s="13">
        <v>1626</v>
      </c>
      <c r="M27" s="13">
        <v>1642</v>
      </c>
      <c r="N27" s="13">
        <v>1612</v>
      </c>
      <c r="O27" s="13">
        <v>1617</v>
      </c>
      <c r="P27" s="13">
        <v>1651.5</v>
      </c>
      <c r="Q27" s="13">
        <v>1607</v>
      </c>
      <c r="R27" s="13">
        <v>1603.5</v>
      </c>
      <c r="S27" s="13">
        <v>1630</v>
      </c>
      <c r="T27" s="13">
        <v>1572.5</v>
      </c>
      <c r="U27" s="13">
        <v>1606</v>
      </c>
      <c r="V27" s="13">
        <v>1602.5</v>
      </c>
      <c r="W27" s="13">
        <v>1644.5</v>
      </c>
      <c r="X27" s="13">
        <v>1615.5</v>
      </c>
      <c r="Y27" s="13">
        <v>1681.5</v>
      </c>
      <c r="Z27" s="13">
        <v>1717</v>
      </c>
      <c r="AA27" s="13">
        <v>1737</v>
      </c>
      <c r="AB27" s="13">
        <v>1711.5</v>
      </c>
      <c r="AC27" s="13">
        <v>1569.5</v>
      </c>
      <c r="AD27" s="13">
        <v>1567</v>
      </c>
      <c r="AE27" s="13">
        <v>1596</v>
      </c>
      <c r="AF27" s="13">
        <v>1563</v>
      </c>
      <c r="AG27" s="13">
        <v>4907</v>
      </c>
      <c r="AH27" s="13">
        <v>1610</v>
      </c>
      <c r="AI27" s="13">
        <v>4804</v>
      </c>
      <c r="AJ27" s="13">
        <v>1570.5</v>
      </c>
      <c r="AK27" s="13">
        <v>4757</v>
      </c>
      <c r="AL27" s="13">
        <v>1548</v>
      </c>
      <c r="AM27" s="13">
        <v>4778</v>
      </c>
      <c r="AN27" s="13">
        <v>1560.5</v>
      </c>
      <c r="AO27" s="13">
        <v>4845</v>
      </c>
      <c r="AP27" s="13">
        <v>1575.5</v>
      </c>
      <c r="AQ27" s="13">
        <v>4950</v>
      </c>
      <c r="AR27" s="13">
        <v>1593.5</v>
      </c>
      <c r="AS27" s="13">
        <v>4937</v>
      </c>
      <c r="AT27" s="13">
        <v>1573.5</v>
      </c>
      <c r="AU27" s="13">
        <v>4925</v>
      </c>
      <c r="AV27" s="13">
        <v>1540</v>
      </c>
      <c r="AW27" s="13">
        <v>5062</v>
      </c>
      <c r="AX27" s="13">
        <v>1647</v>
      </c>
      <c r="AY27" s="13">
        <v>4927</v>
      </c>
      <c r="AZ27" s="13">
        <v>1654.5</v>
      </c>
      <c r="BA27" s="13">
        <v>4862</v>
      </c>
      <c r="BB27" s="13">
        <v>1625.5</v>
      </c>
      <c r="BC27" s="13">
        <v>5146</v>
      </c>
      <c r="BD27" s="13">
        <v>1687</v>
      </c>
      <c r="BE27" s="13">
        <v>5375</v>
      </c>
      <c r="BF27" s="13">
        <v>1734</v>
      </c>
      <c r="BG27" s="13">
        <v>5543</v>
      </c>
      <c r="BH27" s="13">
        <v>1733.5</v>
      </c>
      <c r="BI27" s="13">
        <v>5499</v>
      </c>
      <c r="BJ27" s="13">
        <v>1696.5</v>
      </c>
      <c r="BK27" s="13">
        <v>5482</v>
      </c>
      <c r="BL27" s="13">
        <v>1689.5</v>
      </c>
    </row>
    <row r="28" spans="1:64" ht="15.95" customHeight="1">
      <c r="A28" s="64" t="s">
        <v>285</v>
      </c>
      <c r="B28" s="6" t="s">
        <v>104</v>
      </c>
      <c r="C28" s="15">
        <f>_xll.RssMarket("3436","現在値")</f>
        <v>4152</v>
      </c>
      <c r="D28" s="16">
        <f t="shared" si="0"/>
        <v>0</v>
      </c>
      <c r="E28" s="13">
        <v>4152</v>
      </c>
      <c r="F28" s="13">
        <v>4155</v>
      </c>
      <c r="G28" s="13">
        <v>3653</v>
      </c>
      <c r="H28" s="13">
        <v>3408</v>
      </c>
      <c r="I28" s="13">
        <v>3200</v>
      </c>
      <c r="J28" s="13">
        <v>3522</v>
      </c>
      <c r="K28" s="13">
        <v>4041</v>
      </c>
      <c r="L28" s="13">
        <v>4366</v>
      </c>
      <c r="M28" s="13">
        <v>4459</v>
      </c>
      <c r="N28" s="13">
        <v>4285</v>
      </c>
      <c r="O28" s="13">
        <v>4372</v>
      </c>
      <c r="P28" s="13">
        <v>3994</v>
      </c>
      <c r="Q28" s="13">
        <v>3348</v>
      </c>
      <c r="R28" s="13">
        <v>3285</v>
      </c>
      <c r="S28" s="13">
        <v>3427</v>
      </c>
      <c r="T28" s="13">
        <v>3177</v>
      </c>
      <c r="U28" s="13">
        <v>3078</v>
      </c>
      <c r="V28" s="13">
        <v>3020</v>
      </c>
      <c r="W28" s="13">
        <v>2960</v>
      </c>
      <c r="X28" s="13">
        <v>2992</v>
      </c>
      <c r="Y28" s="13">
        <v>3090</v>
      </c>
      <c r="Z28" s="13">
        <v>3427</v>
      </c>
      <c r="AA28" s="13">
        <v>3505</v>
      </c>
      <c r="AB28" s="13">
        <v>3760</v>
      </c>
      <c r="AC28" s="13">
        <v>3613</v>
      </c>
      <c r="AD28" s="13">
        <v>3578</v>
      </c>
      <c r="AE28" s="13">
        <v>3033</v>
      </c>
      <c r="AF28" s="13">
        <v>2533</v>
      </c>
      <c r="AG28" s="13">
        <v>2476</v>
      </c>
      <c r="AH28" s="13">
        <v>2347.5</v>
      </c>
      <c r="AI28" s="13">
        <v>2379.5</v>
      </c>
      <c r="AJ28" s="13">
        <v>2242</v>
      </c>
      <c r="AK28" s="13">
        <v>2163</v>
      </c>
      <c r="AL28" s="13">
        <v>2241</v>
      </c>
      <c r="AM28" s="13">
        <v>2226</v>
      </c>
      <c r="AN28" s="13">
        <v>2110</v>
      </c>
      <c r="AO28" s="13">
        <v>2095</v>
      </c>
      <c r="AP28" s="13">
        <v>2327.5</v>
      </c>
      <c r="AQ28" s="13">
        <v>2238.5</v>
      </c>
      <c r="AR28" s="13">
        <v>2174</v>
      </c>
      <c r="AS28" s="13">
        <v>2154</v>
      </c>
      <c r="AT28" s="13">
        <v>2033.5</v>
      </c>
      <c r="AU28" s="13">
        <v>1949.5</v>
      </c>
      <c r="AV28" s="13">
        <v>1894.5</v>
      </c>
      <c r="AW28" s="13">
        <v>1763</v>
      </c>
      <c r="AX28" s="13">
        <v>1746</v>
      </c>
      <c r="AY28" s="13">
        <v>1738</v>
      </c>
      <c r="AZ28" s="13">
        <v>1713.5</v>
      </c>
      <c r="BA28" s="13">
        <v>1748.5</v>
      </c>
      <c r="BB28" s="13">
        <v>1659.5</v>
      </c>
      <c r="BC28" s="13">
        <v>1782</v>
      </c>
      <c r="BD28" s="13">
        <v>1850.5</v>
      </c>
      <c r="BE28" s="13">
        <v>1851.5</v>
      </c>
      <c r="BF28" s="13">
        <v>1762</v>
      </c>
      <c r="BG28" s="13">
        <v>1639.5</v>
      </c>
      <c r="BH28" s="13">
        <v>1596</v>
      </c>
      <c r="BI28" s="13">
        <v>1682.5</v>
      </c>
      <c r="BJ28" s="13">
        <v>1768.5</v>
      </c>
      <c r="BK28" s="13">
        <v>1618.5</v>
      </c>
      <c r="BL28" s="13">
        <v>1616</v>
      </c>
    </row>
    <row r="29" spans="1:64" ht="15.95" customHeight="1">
      <c r="A29" s="64" t="s">
        <v>286</v>
      </c>
      <c r="B29" s="6" t="s">
        <v>105</v>
      </c>
      <c r="C29" s="15">
        <f>_xll.RssMarket("5020","現在値")</f>
        <v>1246.5</v>
      </c>
      <c r="D29" s="16">
        <f t="shared" si="0"/>
        <v>0</v>
      </c>
      <c r="E29" s="13">
        <v>1246.5</v>
      </c>
      <c r="F29" s="13">
        <v>1241</v>
      </c>
      <c r="G29" s="13">
        <v>1235.5</v>
      </c>
      <c r="H29" s="13">
        <v>1222.5</v>
      </c>
      <c r="I29" s="13">
        <v>1208.5</v>
      </c>
      <c r="J29" s="13">
        <v>1250</v>
      </c>
      <c r="K29" s="13">
        <v>1277</v>
      </c>
      <c r="L29" s="13">
        <v>1287</v>
      </c>
      <c r="M29" s="13">
        <v>1327.5</v>
      </c>
      <c r="N29" s="13">
        <v>1286.5</v>
      </c>
      <c r="O29" s="13">
        <v>1265</v>
      </c>
      <c r="P29" s="13">
        <v>1305.5</v>
      </c>
      <c r="Q29" s="13">
        <v>1291.5</v>
      </c>
      <c r="R29" s="13">
        <v>1296</v>
      </c>
      <c r="S29" s="13">
        <v>1289.5</v>
      </c>
      <c r="T29" s="13">
        <v>1300</v>
      </c>
      <c r="U29" s="13">
        <v>1307.5</v>
      </c>
      <c r="V29" s="13">
        <v>1313.5</v>
      </c>
      <c r="W29" s="13">
        <v>1360</v>
      </c>
      <c r="X29" s="13">
        <v>1358</v>
      </c>
      <c r="Y29" s="13">
        <v>1386</v>
      </c>
      <c r="Z29" s="13">
        <v>1315.5</v>
      </c>
      <c r="AA29" s="13">
        <v>1351.5</v>
      </c>
      <c r="AB29" s="13">
        <v>1371</v>
      </c>
      <c r="AC29" s="13">
        <v>1305</v>
      </c>
      <c r="AD29" s="13">
        <v>1289.5</v>
      </c>
      <c r="AE29" s="13">
        <v>1311</v>
      </c>
      <c r="AF29" s="13">
        <v>1325.5</v>
      </c>
      <c r="AG29" s="13">
        <v>1320.5</v>
      </c>
      <c r="AH29" s="13">
        <v>1300.5</v>
      </c>
      <c r="AI29" s="13">
        <v>1284</v>
      </c>
      <c r="AJ29" s="13">
        <v>1299.5</v>
      </c>
      <c r="AK29" s="13">
        <v>1298</v>
      </c>
      <c r="AL29" s="13">
        <v>1319</v>
      </c>
      <c r="AM29" s="13">
        <v>1325.5</v>
      </c>
      <c r="AN29" s="13">
        <v>1337.5</v>
      </c>
      <c r="AO29" s="13">
        <v>1375</v>
      </c>
      <c r="AP29" s="13">
        <v>1406.5</v>
      </c>
      <c r="AQ29" s="13">
        <v>1413.5</v>
      </c>
      <c r="AR29" s="13">
        <v>1430</v>
      </c>
      <c r="AS29" s="13">
        <v>1427.5</v>
      </c>
      <c r="AT29" s="13">
        <v>1425.5</v>
      </c>
      <c r="AU29" s="13">
        <v>1443.5</v>
      </c>
      <c r="AV29" s="13">
        <v>1464</v>
      </c>
      <c r="AW29" s="13">
        <v>1471.5</v>
      </c>
      <c r="AX29" s="13">
        <v>1460</v>
      </c>
      <c r="AY29" s="13">
        <v>1463</v>
      </c>
      <c r="AZ29" s="13">
        <v>1439</v>
      </c>
      <c r="BA29" s="13">
        <v>1497</v>
      </c>
      <c r="BB29" s="13">
        <v>1410.5</v>
      </c>
      <c r="BC29" s="13">
        <v>1436.5</v>
      </c>
      <c r="BD29" s="13">
        <v>1434.5</v>
      </c>
      <c r="BE29" s="13">
        <v>1402</v>
      </c>
      <c r="BF29" s="13">
        <v>1376</v>
      </c>
      <c r="BG29" s="13">
        <v>1346.5</v>
      </c>
      <c r="BH29" s="13">
        <v>1293.5</v>
      </c>
      <c r="BI29" s="13">
        <v>1367.5</v>
      </c>
      <c r="BJ29" s="13">
        <v>1439</v>
      </c>
      <c r="BK29" s="13">
        <v>1357.5</v>
      </c>
      <c r="BL29" s="13">
        <v>1328.5</v>
      </c>
    </row>
    <row r="30" spans="1:64" ht="15.95" customHeight="1">
      <c r="A30" s="64" t="s">
        <v>287</v>
      </c>
      <c r="B30" s="6" t="s">
        <v>106</v>
      </c>
      <c r="C30" s="15">
        <f>_xll.RssMarket("6254","現在値")</f>
        <v>4900</v>
      </c>
      <c r="D30" s="16">
        <f t="shared" si="0"/>
        <v>0</v>
      </c>
      <c r="E30" s="13">
        <v>4900</v>
      </c>
      <c r="F30" s="13">
        <v>4600</v>
      </c>
      <c r="G30" s="13">
        <v>4320</v>
      </c>
      <c r="H30" s="13">
        <v>3940</v>
      </c>
      <c r="I30" s="13">
        <v>3965</v>
      </c>
      <c r="J30" s="13">
        <v>4015</v>
      </c>
      <c r="K30" s="13">
        <v>4255</v>
      </c>
      <c r="L30" s="13">
        <v>4455</v>
      </c>
      <c r="M30" s="13">
        <v>4385</v>
      </c>
      <c r="N30" s="13">
        <v>4360</v>
      </c>
      <c r="O30" s="13">
        <v>4615</v>
      </c>
      <c r="P30" s="13">
        <v>4590</v>
      </c>
      <c r="Q30" s="13">
        <v>4725</v>
      </c>
      <c r="R30" s="13">
        <v>4695</v>
      </c>
      <c r="S30" s="13">
        <v>5130</v>
      </c>
      <c r="T30" s="13">
        <v>4980</v>
      </c>
      <c r="U30" s="13">
        <v>4585</v>
      </c>
      <c r="V30" s="13">
        <v>4415</v>
      </c>
      <c r="W30" s="13">
        <v>4675</v>
      </c>
      <c r="X30" s="13">
        <v>4860</v>
      </c>
      <c r="Y30" s="13">
        <v>4950</v>
      </c>
      <c r="Z30" s="13">
        <v>4355</v>
      </c>
      <c r="AA30" s="13">
        <v>4325</v>
      </c>
      <c r="AB30" s="13">
        <v>4490</v>
      </c>
      <c r="AC30" s="13">
        <v>4630</v>
      </c>
      <c r="AD30" s="13">
        <v>4480</v>
      </c>
      <c r="AE30" s="13">
        <v>4070</v>
      </c>
      <c r="AF30" s="13">
        <v>3675</v>
      </c>
      <c r="AG30" s="13">
        <v>3655</v>
      </c>
      <c r="AH30" s="13">
        <v>3765</v>
      </c>
      <c r="AI30" s="13">
        <v>3735</v>
      </c>
      <c r="AJ30" s="13">
        <v>3660</v>
      </c>
      <c r="AK30" s="13">
        <v>3720</v>
      </c>
      <c r="AL30" s="13">
        <v>3720</v>
      </c>
      <c r="AM30" s="13">
        <v>3850</v>
      </c>
      <c r="AN30" s="13">
        <v>3845</v>
      </c>
      <c r="AO30" s="13">
        <v>3715</v>
      </c>
      <c r="AP30" s="13">
        <v>3770</v>
      </c>
      <c r="AQ30" s="13">
        <v>3650</v>
      </c>
      <c r="AR30" s="13">
        <v>3650</v>
      </c>
      <c r="AS30" s="13">
        <v>3565</v>
      </c>
      <c r="AT30" s="13">
        <v>3565</v>
      </c>
      <c r="AU30" s="13">
        <v>3425</v>
      </c>
      <c r="AV30" s="13">
        <v>3430</v>
      </c>
      <c r="AW30" s="13">
        <v>3150</v>
      </c>
      <c r="AX30" s="13">
        <v>3140</v>
      </c>
      <c r="AY30" s="13">
        <v>3135</v>
      </c>
      <c r="AZ30" s="13">
        <v>3220</v>
      </c>
      <c r="BA30" s="13">
        <v>3300</v>
      </c>
      <c r="BB30" s="13">
        <v>3030</v>
      </c>
      <c r="BC30" s="13">
        <v>3115</v>
      </c>
      <c r="BD30" s="13">
        <v>3210</v>
      </c>
      <c r="BE30" s="13">
        <v>3185</v>
      </c>
      <c r="BF30" s="13">
        <v>2908</v>
      </c>
      <c r="BG30" s="13">
        <v>2704</v>
      </c>
      <c r="BH30" s="13">
        <v>2684</v>
      </c>
      <c r="BI30" s="13">
        <v>2834</v>
      </c>
      <c r="BJ30" s="13">
        <v>3050</v>
      </c>
      <c r="BK30" s="13">
        <v>2918</v>
      </c>
      <c r="BL30" s="13">
        <v>2894</v>
      </c>
    </row>
    <row r="31" spans="1:64" ht="15.95" customHeight="1">
      <c r="A31" s="64" t="s">
        <v>288</v>
      </c>
      <c r="B31" s="6" t="s">
        <v>107</v>
      </c>
      <c r="C31" s="15">
        <f>_xll.RssMarket("8309","現在値")</f>
        <v>6033</v>
      </c>
      <c r="D31" s="16">
        <f t="shared" si="0"/>
        <v>0</v>
      </c>
      <c r="E31" s="13">
        <v>6033</v>
      </c>
      <c r="F31" s="13">
        <v>5979</v>
      </c>
      <c r="G31" s="13">
        <v>5961</v>
      </c>
      <c r="H31" s="13">
        <v>5876</v>
      </c>
      <c r="I31" s="13">
        <v>5918</v>
      </c>
      <c r="J31" s="13">
        <v>5786</v>
      </c>
      <c r="K31" s="13">
        <v>5828</v>
      </c>
      <c r="L31" s="13">
        <v>5726</v>
      </c>
      <c r="M31" s="13">
        <v>5719</v>
      </c>
      <c r="N31" s="13">
        <v>5556</v>
      </c>
      <c r="O31" s="13">
        <v>5468</v>
      </c>
      <c r="P31" s="13">
        <v>5474</v>
      </c>
      <c r="Q31" s="13">
        <v>5554</v>
      </c>
      <c r="R31" s="13">
        <v>5628</v>
      </c>
      <c r="S31" s="13">
        <v>5661</v>
      </c>
      <c r="T31" s="13">
        <v>5614</v>
      </c>
      <c r="U31" s="13">
        <v>5703</v>
      </c>
      <c r="V31" s="13">
        <v>5643</v>
      </c>
      <c r="W31" s="13">
        <v>5715</v>
      </c>
      <c r="X31" s="13">
        <v>5464</v>
      </c>
      <c r="Y31" s="13">
        <v>5623</v>
      </c>
      <c r="Z31" s="13">
        <v>5636</v>
      </c>
      <c r="AA31" s="13">
        <v>5660</v>
      </c>
      <c r="AB31" s="13">
        <v>5613</v>
      </c>
      <c r="AC31" s="13">
        <v>5508</v>
      </c>
      <c r="AD31" s="13">
        <v>5406</v>
      </c>
      <c r="AE31" s="13">
        <v>5571</v>
      </c>
      <c r="AF31" s="13">
        <v>5328</v>
      </c>
      <c r="AG31" s="13">
        <v>5178</v>
      </c>
      <c r="AH31" s="13">
        <v>5316</v>
      </c>
      <c r="AI31" s="13">
        <v>5107</v>
      </c>
      <c r="AJ31" s="13">
        <v>5120</v>
      </c>
      <c r="AK31" s="13">
        <v>5134</v>
      </c>
      <c r="AL31" s="13">
        <v>5157</v>
      </c>
      <c r="AM31" s="13">
        <v>5195</v>
      </c>
      <c r="AN31" s="13">
        <v>5307</v>
      </c>
      <c r="AO31" s="13">
        <v>5376</v>
      </c>
      <c r="AP31" s="13">
        <v>5466</v>
      </c>
      <c r="AQ31" s="13">
        <v>5438</v>
      </c>
      <c r="AR31" s="13">
        <v>5388</v>
      </c>
      <c r="AS31" s="13">
        <v>5345</v>
      </c>
      <c r="AT31" s="13">
        <v>5336</v>
      </c>
      <c r="AU31" s="13">
        <v>5300</v>
      </c>
      <c r="AV31" s="13">
        <v>5360</v>
      </c>
      <c r="AW31" s="13">
        <v>5162</v>
      </c>
      <c r="AX31" s="13">
        <v>5127</v>
      </c>
      <c r="AY31" s="13">
        <v>5123</v>
      </c>
      <c r="AZ31" s="13">
        <v>5104</v>
      </c>
      <c r="BA31" s="13">
        <v>5176</v>
      </c>
      <c r="BB31" s="13">
        <v>4902</v>
      </c>
      <c r="BC31" s="13">
        <v>4930</v>
      </c>
      <c r="BD31" s="13">
        <v>5113</v>
      </c>
      <c r="BE31" s="13">
        <v>5098</v>
      </c>
      <c r="BF31" s="13">
        <v>5109</v>
      </c>
      <c r="BG31" s="13">
        <v>4983</v>
      </c>
      <c r="BH31" s="13">
        <v>4842</v>
      </c>
      <c r="BI31" s="13">
        <v>5037</v>
      </c>
      <c r="BJ31" s="13">
        <v>5133</v>
      </c>
      <c r="BK31" s="13">
        <v>4954</v>
      </c>
      <c r="BL31" s="13">
        <v>4914</v>
      </c>
    </row>
    <row r="32" spans="1:64" ht="15.95" customHeight="1">
      <c r="A32" s="64" t="s">
        <v>289</v>
      </c>
      <c r="B32" s="6" t="s">
        <v>108</v>
      </c>
      <c r="C32" s="15">
        <f>_xll.RssMarket("3863","現在値")</f>
        <v>1242</v>
      </c>
      <c r="D32" s="16">
        <f t="shared" si="0"/>
        <v>0</v>
      </c>
      <c r="E32" s="13">
        <v>1242</v>
      </c>
      <c r="F32" s="13">
        <v>1231</v>
      </c>
      <c r="G32" s="13">
        <v>1218</v>
      </c>
      <c r="H32" s="13">
        <v>1210</v>
      </c>
      <c r="I32" s="13">
        <v>1214</v>
      </c>
      <c r="J32" s="13">
        <v>1253</v>
      </c>
      <c r="K32" s="13">
        <v>1220</v>
      </c>
      <c r="L32" s="13">
        <v>1188</v>
      </c>
      <c r="M32" s="13">
        <v>1198</v>
      </c>
      <c r="N32" s="13">
        <v>1222</v>
      </c>
      <c r="O32" s="13">
        <v>1224</v>
      </c>
      <c r="P32" s="13">
        <v>1259</v>
      </c>
      <c r="Q32" s="13">
        <v>1367</v>
      </c>
      <c r="R32" s="13">
        <v>1351</v>
      </c>
      <c r="S32" s="13">
        <v>1360</v>
      </c>
      <c r="T32" s="13">
        <v>1364</v>
      </c>
      <c r="U32" s="13">
        <v>1371</v>
      </c>
      <c r="V32" s="13">
        <v>1397</v>
      </c>
      <c r="W32" s="13">
        <v>1437</v>
      </c>
      <c r="X32" s="13">
        <v>1474</v>
      </c>
      <c r="Y32" s="13">
        <v>1450</v>
      </c>
      <c r="Z32" s="13">
        <v>1476</v>
      </c>
      <c r="AA32" s="13">
        <v>1474</v>
      </c>
      <c r="AB32" s="13">
        <v>1510</v>
      </c>
      <c r="AC32" s="13">
        <v>1443</v>
      </c>
      <c r="AD32" s="13">
        <v>1451</v>
      </c>
      <c r="AE32" s="13">
        <v>1412</v>
      </c>
      <c r="AF32" s="13">
        <v>1371</v>
      </c>
      <c r="AG32" s="13">
        <v>1312</v>
      </c>
      <c r="AH32" s="13">
        <v>1266</v>
      </c>
      <c r="AI32" s="13">
        <v>1302</v>
      </c>
      <c r="AJ32" s="13">
        <v>1432</v>
      </c>
      <c r="AK32" s="13">
        <v>1418</v>
      </c>
      <c r="AL32" s="13">
        <v>1481</v>
      </c>
      <c r="AM32" s="13">
        <v>1484</v>
      </c>
      <c r="AN32" s="13">
        <v>1451</v>
      </c>
      <c r="AO32" s="13">
        <v>1431</v>
      </c>
      <c r="AP32" s="13">
        <v>1404</v>
      </c>
      <c r="AQ32" s="13">
        <v>1361</v>
      </c>
      <c r="AR32" s="13">
        <v>1335</v>
      </c>
      <c r="AS32" s="13">
        <v>1318</v>
      </c>
      <c r="AT32" s="13">
        <v>1322</v>
      </c>
      <c r="AU32" s="13">
        <v>1299</v>
      </c>
      <c r="AV32" s="13">
        <v>1314</v>
      </c>
      <c r="AW32" s="13">
        <v>1292</v>
      </c>
      <c r="AX32" s="13">
        <v>1283</v>
      </c>
      <c r="AY32" s="13">
        <v>1290</v>
      </c>
      <c r="AZ32" s="13">
        <v>1271</v>
      </c>
      <c r="BA32" s="13">
        <v>1279</v>
      </c>
      <c r="BB32" s="13">
        <v>1269</v>
      </c>
      <c r="BC32" s="13">
        <v>1273</v>
      </c>
      <c r="BD32" s="13">
        <v>1273</v>
      </c>
      <c r="BE32" s="13">
        <v>1246</v>
      </c>
      <c r="BF32" s="13">
        <v>1217</v>
      </c>
      <c r="BG32" s="13">
        <v>1188</v>
      </c>
      <c r="BH32" s="13">
        <v>1180</v>
      </c>
      <c r="BI32" s="13">
        <v>1206</v>
      </c>
      <c r="BJ32" s="13">
        <v>1286</v>
      </c>
      <c r="BK32" s="13">
        <v>1272</v>
      </c>
      <c r="BL32" s="13">
        <v>1267</v>
      </c>
    </row>
    <row r="33" spans="1:64" ht="15.95" customHeight="1">
      <c r="A33" s="64" t="s">
        <v>290</v>
      </c>
      <c r="B33" s="6" t="s">
        <v>109</v>
      </c>
      <c r="C33" s="15">
        <f>_xll.RssMarket("8601","現在値")</f>
        <v>1607.5</v>
      </c>
      <c r="D33" s="16">
        <f t="shared" si="0"/>
        <v>0</v>
      </c>
      <c r="E33" s="13">
        <v>1607.5</v>
      </c>
      <c r="F33" s="13">
        <v>1602.5</v>
      </c>
      <c r="G33" s="13">
        <v>1569.5</v>
      </c>
      <c r="H33" s="13">
        <v>1538</v>
      </c>
      <c r="I33" s="13">
        <v>1563</v>
      </c>
      <c r="J33" s="13">
        <v>1535.5</v>
      </c>
      <c r="K33" s="13">
        <v>1561</v>
      </c>
      <c r="L33" s="13">
        <v>1532.5</v>
      </c>
      <c r="M33" s="13">
        <v>1499</v>
      </c>
      <c r="N33" s="13">
        <v>1494.5</v>
      </c>
      <c r="O33" s="13">
        <v>1500.5</v>
      </c>
      <c r="P33" s="13">
        <v>1472</v>
      </c>
      <c r="Q33" s="13">
        <v>1466</v>
      </c>
      <c r="R33" s="13">
        <v>1495</v>
      </c>
      <c r="S33" s="13">
        <v>1490</v>
      </c>
      <c r="T33" s="13">
        <v>1509</v>
      </c>
      <c r="U33" s="13">
        <v>1472.5</v>
      </c>
      <c r="V33" s="13">
        <v>1491.5</v>
      </c>
      <c r="W33" s="13">
        <v>1467</v>
      </c>
      <c r="X33" s="13">
        <v>1482.5</v>
      </c>
      <c r="Y33" s="13">
        <v>1478</v>
      </c>
      <c r="Z33" s="13">
        <v>1495</v>
      </c>
      <c r="AA33" s="13">
        <v>1468.5</v>
      </c>
      <c r="AB33" s="13">
        <v>1464</v>
      </c>
      <c r="AC33" s="13">
        <v>1445</v>
      </c>
      <c r="AD33" s="13">
        <v>1518.5</v>
      </c>
      <c r="AE33" s="13">
        <v>1453</v>
      </c>
      <c r="AF33" s="13">
        <v>1467.5</v>
      </c>
      <c r="AG33" s="13">
        <v>1466.5</v>
      </c>
      <c r="AH33" s="13">
        <v>1516.5</v>
      </c>
      <c r="AI33" s="13">
        <v>1505</v>
      </c>
      <c r="AJ33" s="13">
        <v>1496</v>
      </c>
      <c r="AK33" s="13">
        <v>1505.5</v>
      </c>
      <c r="AL33" s="13">
        <v>1523</v>
      </c>
      <c r="AM33" s="13">
        <v>1523.5</v>
      </c>
      <c r="AN33" s="13">
        <v>1531</v>
      </c>
      <c r="AO33" s="13">
        <v>1559</v>
      </c>
      <c r="AP33" s="13">
        <v>1571.5</v>
      </c>
      <c r="AQ33" s="13">
        <v>1547.5</v>
      </c>
      <c r="AR33" s="13">
        <v>1532</v>
      </c>
      <c r="AS33" s="13">
        <v>1545.5</v>
      </c>
      <c r="AT33" s="13">
        <v>1541</v>
      </c>
      <c r="AU33" s="13">
        <v>1563.5</v>
      </c>
      <c r="AV33" s="13">
        <v>1504.5</v>
      </c>
      <c r="AW33" s="13">
        <v>1510.5</v>
      </c>
      <c r="AX33" s="13">
        <v>1519</v>
      </c>
      <c r="AY33" s="13">
        <v>1504</v>
      </c>
      <c r="AZ33" s="13">
        <v>1526.5</v>
      </c>
      <c r="BA33" s="13">
        <v>1460</v>
      </c>
      <c r="BB33" s="13">
        <v>1495</v>
      </c>
      <c r="BC33" s="13">
        <v>1577</v>
      </c>
      <c r="BD33" s="13">
        <v>1565.5</v>
      </c>
      <c r="BE33" s="13">
        <v>1560.5</v>
      </c>
      <c r="BF33" s="13">
        <v>1500</v>
      </c>
      <c r="BG33" s="13">
        <v>1465.5</v>
      </c>
      <c r="BH33" s="13">
        <v>1477</v>
      </c>
      <c r="BI33" s="13">
        <v>1509.5</v>
      </c>
      <c r="BJ33" s="13">
        <v>1462.5</v>
      </c>
      <c r="BK33" s="13">
        <v>1438.5</v>
      </c>
      <c r="BL33" s="13">
        <v>1436.5</v>
      </c>
    </row>
    <row r="34" spans="1:64" ht="15.95" customHeight="1">
      <c r="A34" s="64" t="s">
        <v>291</v>
      </c>
      <c r="B34" s="6" t="s">
        <v>110</v>
      </c>
      <c r="C34" s="15">
        <f>_xll.RssMarket("5233","現在値")</f>
        <v>4425</v>
      </c>
      <c r="D34" s="16">
        <f t="shared" si="0"/>
        <v>0</v>
      </c>
      <c r="E34" s="13">
        <v>4425</v>
      </c>
      <c r="F34" s="13">
        <v>4370</v>
      </c>
      <c r="G34" s="13">
        <v>4201</v>
      </c>
      <c r="H34" s="13">
        <v>4075</v>
      </c>
      <c r="I34" s="13">
        <v>4130</v>
      </c>
      <c r="J34" s="13">
        <v>4265</v>
      </c>
      <c r="K34" s="13">
        <v>4348</v>
      </c>
      <c r="L34" s="13">
        <v>4425</v>
      </c>
      <c r="M34" s="13">
        <v>4460</v>
      </c>
      <c r="N34" s="13">
        <v>4359</v>
      </c>
      <c r="O34" s="13">
        <v>4458</v>
      </c>
      <c r="P34" s="13">
        <v>4530</v>
      </c>
      <c r="Q34" s="13">
        <v>4289</v>
      </c>
      <c r="R34" s="13">
        <v>4225</v>
      </c>
      <c r="S34" s="13">
        <v>4140</v>
      </c>
      <c r="T34" s="13">
        <v>4137</v>
      </c>
      <c r="U34" s="13">
        <v>4078</v>
      </c>
      <c r="V34" s="13">
        <v>3970</v>
      </c>
      <c r="W34" s="13">
        <v>3915</v>
      </c>
      <c r="X34" s="13">
        <v>3818</v>
      </c>
      <c r="Y34" s="13">
        <v>3967</v>
      </c>
      <c r="Z34" s="13">
        <v>4059</v>
      </c>
      <c r="AA34" s="13">
        <v>4213</v>
      </c>
      <c r="AB34" s="13">
        <v>3781</v>
      </c>
      <c r="AC34" s="13">
        <v>3634</v>
      </c>
      <c r="AD34" s="13">
        <v>3618</v>
      </c>
      <c r="AE34" s="13">
        <v>3690</v>
      </c>
      <c r="AF34" s="13">
        <v>3577</v>
      </c>
      <c r="AG34" s="13">
        <v>3568</v>
      </c>
      <c r="AH34" s="13">
        <v>3639</v>
      </c>
      <c r="AI34" s="13">
        <v>3622</v>
      </c>
      <c r="AJ34" s="13">
        <v>3558</v>
      </c>
      <c r="AK34" s="13">
        <v>3537</v>
      </c>
      <c r="AL34" s="13">
        <v>3615</v>
      </c>
      <c r="AM34" s="13">
        <v>3657</v>
      </c>
      <c r="AN34" s="13">
        <v>3681</v>
      </c>
      <c r="AO34" s="13">
        <v>3669</v>
      </c>
      <c r="AP34" s="13">
        <v>3714</v>
      </c>
      <c r="AQ34" s="13">
        <v>3668</v>
      </c>
      <c r="AR34" s="13">
        <v>3704</v>
      </c>
      <c r="AS34" s="13">
        <v>3691</v>
      </c>
      <c r="AT34" s="13">
        <v>3701</v>
      </c>
      <c r="AU34" s="13">
        <v>3689</v>
      </c>
      <c r="AV34" s="13">
        <v>3758</v>
      </c>
      <c r="AW34" s="13">
        <v>3554</v>
      </c>
      <c r="AX34" s="13">
        <v>3535</v>
      </c>
      <c r="AY34" s="13">
        <v>3531</v>
      </c>
      <c r="AZ34" s="13">
        <v>3518</v>
      </c>
      <c r="BA34" s="13">
        <v>3582</v>
      </c>
      <c r="BB34" s="13">
        <v>3501</v>
      </c>
      <c r="BC34" s="13">
        <v>3430</v>
      </c>
      <c r="BD34" s="13">
        <v>3550</v>
      </c>
      <c r="BE34" s="13">
        <v>3552</v>
      </c>
      <c r="BF34" s="13">
        <v>3572</v>
      </c>
      <c r="BG34" s="13">
        <v>3481</v>
      </c>
      <c r="BH34" s="13">
        <v>3332</v>
      </c>
      <c r="BI34" s="13">
        <v>3439</v>
      </c>
      <c r="BJ34" s="13">
        <v>3766</v>
      </c>
      <c r="BK34" s="13">
        <v>3690</v>
      </c>
      <c r="BL34" s="13">
        <v>3669</v>
      </c>
    </row>
    <row r="35" spans="1:64" ht="15.95" customHeight="1">
      <c r="A35" s="64" t="s">
        <v>292</v>
      </c>
      <c r="B35" s="6" t="s">
        <v>111</v>
      </c>
      <c r="C35" s="15">
        <f>_xll.RssMarket("8308","現在値")</f>
        <v>2161.5</v>
      </c>
      <c r="D35" s="16">
        <f t="shared" si="0"/>
        <v>0</v>
      </c>
      <c r="E35" s="13">
        <v>2161.5</v>
      </c>
      <c r="F35" s="13">
        <v>2144.5</v>
      </c>
      <c r="G35" s="13">
        <v>2147</v>
      </c>
      <c r="H35" s="13">
        <v>2116</v>
      </c>
      <c r="I35" s="13">
        <v>2139</v>
      </c>
      <c r="J35" s="13">
        <v>2085.5</v>
      </c>
      <c r="K35" s="13">
        <v>2118</v>
      </c>
      <c r="L35" s="13">
        <v>2097</v>
      </c>
      <c r="M35" s="13">
        <v>2052.5</v>
      </c>
      <c r="N35" s="13">
        <v>2023</v>
      </c>
      <c r="O35" s="13">
        <v>2014.5</v>
      </c>
      <c r="P35" s="13">
        <v>2039.5</v>
      </c>
      <c r="Q35" s="13">
        <v>2036</v>
      </c>
      <c r="R35" s="13">
        <v>2045.5</v>
      </c>
      <c r="S35" s="13">
        <v>2124</v>
      </c>
      <c r="T35" s="13">
        <v>2139.5</v>
      </c>
      <c r="U35" s="13">
        <v>2120</v>
      </c>
      <c r="V35" s="13">
        <v>2028.5</v>
      </c>
      <c r="W35" s="13">
        <v>2078</v>
      </c>
      <c r="X35" s="13">
        <v>2020</v>
      </c>
      <c r="Y35" s="13">
        <v>2042</v>
      </c>
      <c r="Z35" s="13">
        <v>2047</v>
      </c>
      <c r="AA35" s="13">
        <v>2061.5</v>
      </c>
      <c r="AB35" s="13">
        <v>2054</v>
      </c>
      <c r="AC35" s="13">
        <v>1998</v>
      </c>
      <c r="AD35" s="13">
        <v>1940</v>
      </c>
      <c r="AE35" s="13">
        <v>2010</v>
      </c>
      <c r="AF35" s="13">
        <v>1927</v>
      </c>
      <c r="AG35" s="13">
        <v>1938.5</v>
      </c>
      <c r="AH35" s="13">
        <v>2006</v>
      </c>
      <c r="AI35" s="13">
        <v>1838</v>
      </c>
      <c r="AJ35" s="13">
        <v>1820.5</v>
      </c>
      <c r="AK35" s="13">
        <v>1810</v>
      </c>
      <c r="AL35" s="13">
        <v>1855.5</v>
      </c>
      <c r="AM35" s="13">
        <v>1913.5</v>
      </c>
      <c r="AN35" s="13">
        <v>1953.5</v>
      </c>
      <c r="AO35" s="13">
        <v>1966</v>
      </c>
      <c r="AP35" s="13">
        <v>1914</v>
      </c>
      <c r="AQ35" s="13">
        <v>1930.5</v>
      </c>
      <c r="AR35" s="13">
        <v>1866</v>
      </c>
      <c r="AS35" s="13">
        <v>1881.5</v>
      </c>
      <c r="AT35" s="13">
        <v>1888.5</v>
      </c>
      <c r="AU35" s="13">
        <v>1890</v>
      </c>
      <c r="AV35" s="13">
        <v>1922.5</v>
      </c>
      <c r="AW35" s="13">
        <v>1864</v>
      </c>
      <c r="AX35" s="13">
        <v>1849.5</v>
      </c>
      <c r="AY35" s="13">
        <v>1823</v>
      </c>
      <c r="AZ35" s="13">
        <v>1811.5</v>
      </c>
      <c r="BA35" s="13">
        <v>1869.5</v>
      </c>
      <c r="BB35" s="13">
        <v>1722.5</v>
      </c>
      <c r="BC35" s="13">
        <v>1739</v>
      </c>
      <c r="BD35" s="13">
        <v>1822</v>
      </c>
      <c r="BE35" s="13">
        <v>1818.5</v>
      </c>
      <c r="BF35" s="13">
        <v>1840.5</v>
      </c>
      <c r="BG35" s="13">
        <v>1769.5</v>
      </c>
      <c r="BH35" s="13">
        <v>1694</v>
      </c>
      <c r="BI35" s="13">
        <v>1767.5</v>
      </c>
      <c r="BJ35" s="13">
        <v>1805.5</v>
      </c>
      <c r="BK35" s="13">
        <v>1740.5</v>
      </c>
      <c r="BL35" s="13">
        <v>1735</v>
      </c>
    </row>
    <row r="36" spans="1:64" ht="15.95" customHeight="1">
      <c r="A36" s="64" t="s">
        <v>293</v>
      </c>
      <c r="B36" s="6" t="s">
        <v>112</v>
      </c>
      <c r="C36" s="15">
        <f>_xll.RssMarket("5938","現在値")</f>
        <v>1721.5</v>
      </c>
      <c r="D36" s="16">
        <f t="shared" si="0"/>
        <v>0</v>
      </c>
      <c r="E36" s="13">
        <v>1721.5</v>
      </c>
      <c r="F36" s="13">
        <v>1736</v>
      </c>
      <c r="G36" s="13">
        <v>1721</v>
      </c>
      <c r="H36" s="13">
        <v>1728</v>
      </c>
      <c r="I36" s="13">
        <v>1739</v>
      </c>
      <c r="J36" s="13">
        <v>1723</v>
      </c>
      <c r="K36" s="13">
        <v>1710</v>
      </c>
      <c r="L36" s="13">
        <v>1700</v>
      </c>
      <c r="M36" s="13">
        <v>1706.5</v>
      </c>
      <c r="N36" s="13">
        <v>1674</v>
      </c>
      <c r="O36" s="13">
        <v>1686.5</v>
      </c>
      <c r="P36" s="13">
        <v>1694.5</v>
      </c>
      <c r="Q36" s="13">
        <v>1681.5</v>
      </c>
      <c r="R36" s="13">
        <v>1658</v>
      </c>
      <c r="S36" s="13">
        <v>1645</v>
      </c>
      <c r="T36" s="13">
        <v>1639</v>
      </c>
      <c r="U36" s="13">
        <v>1622</v>
      </c>
      <c r="V36" s="13">
        <v>1657</v>
      </c>
      <c r="W36" s="13">
        <v>1634</v>
      </c>
      <c r="X36" s="13">
        <v>1672.5</v>
      </c>
      <c r="Y36" s="13">
        <v>1665.5</v>
      </c>
      <c r="Z36" s="13">
        <v>1674</v>
      </c>
      <c r="AA36" s="13">
        <v>1678.5</v>
      </c>
      <c r="AB36" s="13">
        <v>1670</v>
      </c>
      <c r="AC36" s="13">
        <v>1701.5</v>
      </c>
      <c r="AD36" s="13">
        <v>1679.5</v>
      </c>
      <c r="AE36" s="13">
        <v>1662</v>
      </c>
      <c r="AF36" s="13">
        <v>1619</v>
      </c>
      <c r="AG36" s="13">
        <v>1628</v>
      </c>
      <c r="AH36" s="13">
        <v>1603.5</v>
      </c>
      <c r="AI36" s="13">
        <v>1611</v>
      </c>
      <c r="AJ36" s="13">
        <v>1612</v>
      </c>
      <c r="AK36" s="13">
        <v>1617</v>
      </c>
      <c r="AL36" s="13">
        <v>1638</v>
      </c>
      <c r="AM36" s="13">
        <v>1643.5</v>
      </c>
      <c r="AN36" s="13">
        <v>1615.5</v>
      </c>
      <c r="AO36" s="13">
        <v>1625</v>
      </c>
      <c r="AP36" s="13">
        <v>1615.5</v>
      </c>
      <c r="AQ36" s="13">
        <v>1608</v>
      </c>
      <c r="AR36" s="13">
        <v>1606.5</v>
      </c>
      <c r="AS36" s="13">
        <v>1668</v>
      </c>
      <c r="AT36" s="13">
        <v>1663.5</v>
      </c>
      <c r="AU36" s="13">
        <v>1676.5</v>
      </c>
      <c r="AV36" s="13">
        <v>1639.5</v>
      </c>
      <c r="AW36" s="13">
        <v>1635</v>
      </c>
      <c r="AX36" s="13">
        <v>1640.5</v>
      </c>
      <c r="AY36" s="13">
        <v>1630</v>
      </c>
      <c r="AZ36" s="13">
        <v>1642.5</v>
      </c>
      <c r="BA36" s="13">
        <v>1621.5</v>
      </c>
      <c r="BB36" s="13">
        <v>1624</v>
      </c>
      <c r="BC36" s="13">
        <v>1695</v>
      </c>
      <c r="BD36" s="13">
        <v>1696.5</v>
      </c>
      <c r="BE36" s="13">
        <v>1688</v>
      </c>
      <c r="BF36" s="13">
        <v>1663.5</v>
      </c>
      <c r="BG36" s="13">
        <v>1631</v>
      </c>
      <c r="BH36" s="13">
        <v>1655.5</v>
      </c>
      <c r="BI36" s="13">
        <v>1720</v>
      </c>
      <c r="BJ36" s="13">
        <v>1692.5</v>
      </c>
      <c r="BK36" s="13">
        <v>1682</v>
      </c>
      <c r="BL36" s="13">
        <v>1710.5</v>
      </c>
    </row>
    <row r="37" spans="1:64" ht="15.95" customHeight="1">
      <c r="A37" s="64" t="s">
        <v>294</v>
      </c>
      <c r="B37" s="6" t="s">
        <v>113</v>
      </c>
      <c r="C37" s="15">
        <f>_xll.RssMarket("8570","現在値")</f>
        <v>1491.5</v>
      </c>
      <c r="D37" s="16">
        <f t="shared" si="0"/>
        <v>0</v>
      </c>
      <c r="E37" s="13">
        <v>1491.5</v>
      </c>
      <c r="F37" s="13">
        <v>1499.5</v>
      </c>
      <c r="G37" s="13">
        <v>1509.5</v>
      </c>
      <c r="H37" s="13">
        <v>1506</v>
      </c>
      <c r="I37" s="13">
        <v>1458.5</v>
      </c>
      <c r="J37" s="13">
        <v>1461.5</v>
      </c>
      <c r="K37" s="13">
        <v>1434</v>
      </c>
      <c r="L37" s="13">
        <v>1459</v>
      </c>
      <c r="M37" s="13">
        <v>1460</v>
      </c>
      <c r="N37" s="13">
        <v>1450.5</v>
      </c>
      <c r="O37" s="13">
        <v>1510</v>
      </c>
      <c r="P37" s="13">
        <v>1518</v>
      </c>
      <c r="Q37" s="13">
        <v>1540.5</v>
      </c>
      <c r="R37" s="13">
        <v>1550.5</v>
      </c>
      <c r="S37" s="13">
        <v>1560</v>
      </c>
      <c r="T37" s="13">
        <v>1592.5</v>
      </c>
      <c r="U37" s="13">
        <v>1572.5</v>
      </c>
      <c r="V37" s="13">
        <v>1584</v>
      </c>
      <c r="W37" s="13">
        <v>1583.5</v>
      </c>
      <c r="X37" s="13">
        <v>1560</v>
      </c>
      <c r="Y37" s="13">
        <v>1551</v>
      </c>
      <c r="Z37" s="13">
        <v>1532.5</v>
      </c>
      <c r="AA37" s="13">
        <v>1504.5</v>
      </c>
      <c r="AB37" s="13">
        <v>1551.5</v>
      </c>
      <c r="AC37" s="13">
        <v>1560</v>
      </c>
      <c r="AD37" s="13">
        <v>1558.5</v>
      </c>
      <c r="AE37" s="13">
        <v>1557.5</v>
      </c>
      <c r="AF37" s="13">
        <v>1529.5</v>
      </c>
      <c r="AG37" s="13">
        <v>1549.5</v>
      </c>
      <c r="AH37" s="13">
        <v>1555.5</v>
      </c>
      <c r="AI37" s="13">
        <v>1537</v>
      </c>
      <c r="AJ37" s="13">
        <v>1548.5</v>
      </c>
      <c r="AK37" s="13">
        <v>1560</v>
      </c>
      <c r="AL37" s="13">
        <v>1564.5</v>
      </c>
      <c r="AM37" s="13">
        <v>1610</v>
      </c>
      <c r="AN37" s="13">
        <v>1606</v>
      </c>
      <c r="AO37" s="13">
        <v>1597</v>
      </c>
      <c r="AP37" s="13">
        <v>1588</v>
      </c>
      <c r="AQ37" s="13">
        <v>1523.5</v>
      </c>
      <c r="AR37" s="13">
        <v>1533.5</v>
      </c>
      <c r="AS37" s="13">
        <v>1668</v>
      </c>
      <c r="AT37" s="13">
        <v>1613.5</v>
      </c>
      <c r="AU37" s="13">
        <v>1610</v>
      </c>
      <c r="AV37" s="13">
        <v>1610</v>
      </c>
      <c r="AW37" s="13">
        <v>1599.5</v>
      </c>
      <c r="AX37" s="13">
        <v>1600</v>
      </c>
      <c r="AY37" s="13">
        <v>1556.5</v>
      </c>
      <c r="AZ37" s="13">
        <v>1555.5</v>
      </c>
      <c r="BA37" s="13">
        <v>1576</v>
      </c>
      <c r="BB37" s="13">
        <v>1583</v>
      </c>
      <c r="BC37" s="13">
        <v>1593.5</v>
      </c>
      <c r="BD37" s="13">
        <v>1570</v>
      </c>
      <c r="BE37" s="13">
        <v>1542</v>
      </c>
      <c r="BF37" s="13">
        <v>1581.5</v>
      </c>
      <c r="BG37" s="13">
        <v>1611.5</v>
      </c>
      <c r="BH37" s="13">
        <v>1567</v>
      </c>
      <c r="BI37" s="13">
        <v>1564</v>
      </c>
      <c r="BJ37" s="13">
        <v>1564</v>
      </c>
      <c r="BK37" s="13">
        <v>1573.5</v>
      </c>
      <c r="BL37" s="13">
        <v>1609.5</v>
      </c>
    </row>
    <row r="38" spans="1:64" ht="15.95" customHeight="1">
      <c r="A38" s="64" t="s">
        <v>295</v>
      </c>
      <c r="B38" s="6" t="s">
        <v>114</v>
      </c>
      <c r="C38" s="15">
        <f>_xll.RssMarket("5406","現在値")</f>
        <v>1978</v>
      </c>
      <c r="D38" s="16">
        <f t="shared" si="0"/>
        <v>0</v>
      </c>
      <c r="E38" s="13">
        <v>1978</v>
      </c>
      <c r="F38" s="13">
        <v>1989.5</v>
      </c>
      <c r="G38" s="13">
        <v>1936.5</v>
      </c>
      <c r="H38" s="13">
        <v>1900</v>
      </c>
      <c r="I38" s="13">
        <v>1902</v>
      </c>
      <c r="J38" s="13">
        <v>1910</v>
      </c>
      <c r="K38" s="13">
        <v>1935.5</v>
      </c>
      <c r="L38" s="13">
        <v>1940.5</v>
      </c>
      <c r="M38" s="13">
        <v>1976.5</v>
      </c>
      <c r="N38" s="13">
        <v>1950</v>
      </c>
      <c r="O38" s="13">
        <v>1960</v>
      </c>
      <c r="P38" s="13">
        <v>1980</v>
      </c>
      <c r="Q38" s="13">
        <v>1948.5</v>
      </c>
      <c r="R38" s="13">
        <v>1965.5</v>
      </c>
      <c r="S38" s="13">
        <v>1960.5</v>
      </c>
      <c r="T38" s="13">
        <v>1946.5</v>
      </c>
      <c r="U38" s="13">
        <v>1930</v>
      </c>
      <c r="V38" s="13">
        <v>1881.5</v>
      </c>
      <c r="W38" s="13">
        <v>1920.5</v>
      </c>
      <c r="X38" s="13">
        <v>1881.5</v>
      </c>
      <c r="Y38" s="13">
        <v>1962.5</v>
      </c>
      <c r="Z38" s="13">
        <v>1979.5</v>
      </c>
      <c r="AA38" s="13">
        <v>1960.5</v>
      </c>
      <c r="AB38" s="13">
        <v>1980</v>
      </c>
      <c r="AC38" s="13">
        <v>2012</v>
      </c>
      <c r="AD38" s="13">
        <v>1937</v>
      </c>
      <c r="AE38" s="13">
        <v>1980.5</v>
      </c>
      <c r="AF38" s="13">
        <v>1941</v>
      </c>
      <c r="AG38" s="13">
        <v>1926.5</v>
      </c>
      <c r="AH38" s="13">
        <v>1895.5</v>
      </c>
      <c r="AI38" s="13">
        <v>1860.5</v>
      </c>
      <c r="AJ38" s="13">
        <v>1853.5</v>
      </c>
      <c r="AK38" s="13">
        <v>1845.5</v>
      </c>
      <c r="AL38" s="13">
        <v>1875.5</v>
      </c>
      <c r="AM38" s="13">
        <v>1905.5</v>
      </c>
      <c r="AN38" s="13">
        <v>1933.5</v>
      </c>
      <c r="AO38" s="13">
        <v>1931.5</v>
      </c>
      <c r="AP38" s="13">
        <v>1947.5</v>
      </c>
      <c r="AQ38" s="13">
        <v>1944.5</v>
      </c>
      <c r="AR38" s="13">
        <v>1950</v>
      </c>
      <c r="AS38" s="13">
        <v>1947</v>
      </c>
      <c r="AT38" s="13">
        <v>1953.5</v>
      </c>
      <c r="AU38" s="13">
        <v>1957.5</v>
      </c>
      <c r="AV38" s="13">
        <v>1980</v>
      </c>
      <c r="AW38" s="13">
        <v>1923.5</v>
      </c>
      <c r="AX38" s="13">
        <v>1928.5</v>
      </c>
      <c r="AY38" s="13">
        <v>1943.5</v>
      </c>
      <c r="AZ38" s="13">
        <v>1934.5</v>
      </c>
      <c r="BA38" s="13">
        <v>1959.5</v>
      </c>
      <c r="BB38" s="13">
        <v>1890</v>
      </c>
      <c r="BC38" s="13">
        <v>1882</v>
      </c>
      <c r="BD38" s="13">
        <v>1965</v>
      </c>
      <c r="BE38" s="13">
        <v>1936.5</v>
      </c>
      <c r="BF38" s="13">
        <v>1957</v>
      </c>
      <c r="BG38" s="13">
        <v>1979</v>
      </c>
      <c r="BH38" s="13">
        <v>1941.5</v>
      </c>
      <c r="BI38" s="13">
        <v>2006</v>
      </c>
      <c r="BJ38" s="13">
        <v>2047.5</v>
      </c>
      <c r="BK38" s="13">
        <v>2009</v>
      </c>
      <c r="BL38" s="13">
        <v>1995</v>
      </c>
    </row>
    <row r="39" spans="1:64" ht="15.95" customHeight="1">
      <c r="A39" s="64" t="s">
        <v>296</v>
      </c>
      <c r="B39" s="6" t="s">
        <v>115</v>
      </c>
      <c r="C39" s="15">
        <f>_xll.RssMarket("8593","現在値")</f>
        <v>1325</v>
      </c>
      <c r="D39" s="16">
        <f t="shared" si="0"/>
        <v>0</v>
      </c>
      <c r="E39" s="13">
        <v>1325</v>
      </c>
      <c r="F39" s="13">
        <v>1314.5</v>
      </c>
      <c r="G39" s="13">
        <v>1319</v>
      </c>
      <c r="H39" s="13">
        <v>1315.5</v>
      </c>
      <c r="I39" s="13">
        <v>1325.5</v>
      </c>
      <c r="J39" s="13">
        <v>1298.5</v>
      </c>
      <c r="K39" s="13">
        <v>1272.5</v>
      </c>
      <c r="L39" s="13">
        <v>1258.5</v>
      </c>
      <c r="M39" s="13">
        <v>1265</v>
      </c>
      <c r="N39" s="13">
        <v>1270</v>
      </c>
      <c r="O39" s="13">
        <v>1301.5</v>
      </c>
      <c r="P39" s="13">
        <v>1308.5</v>
      </c>
      <c r="Q39" s="13">
        <v>1310</v>
      </c>
      <c r="R39" s="13">
        <v>1316</v>
      </c>
      <c r="S39" s="13">
        <v>1315</v>
      </c>
      <c r="T39" s="13">
        <v>1333</v>
      </c>
      <c r="U39" s="13">
        <v>1340.5</v>
      </c>
      <c r="V39" s="13">
        <v>1344</v>
      </c>
      <c r="W39" s="13">
        <v>1336.5</v>
      </c>
      <c r="X39" s="13">
        <v>1426</v>
      </c>
      <c r="Y39" s="13">
        <v>1433.5</v>
      </c>
      <c r="Z39" s="13">
        <v>1435.5</v>
      </c>
      <c r="AA39" s="13">
        <v>1440</v>
      </c>
      <c r="AB39" s="13">
        <v>1414.5</v>
      </c>
      <c r="AC39" s="13">
        <v>1403</v>
      </c>
      <c r="AD39" s="13">
        <v>1412.5</v>
      </c>
      <c r="AE39" s="13">
        <v>1405.5</v>
      </c>
      <c r="AF39" s="13">
        <v>1423.5</v>
      </c>
      <c r="AG39" s="13">
        <v>1443</v>
      </c>
      <c r="AH39" s="13">
        <v>1415.5</v>
      </c>
      <c r="AI39" s="13">
        <v>1414</v>
      </c>
      <c r="AJ39" s="13">
        <v>1408</v>
      </c>
      <c r="AK39" s="13">
        <v>1412</v>
      </c>
      <c r="AL39" s="13">
        <v>1432</v>
      </c>
      <c r="AM39" s="13">
        <v>1450</v>
      </c>
      <c r="AN39" s="13">
        <v>1460</v>
      </c>
      <c r="AO39" s="13">
        <v>1473.5</v>
      </c>
      <c r="AP39" s="13">
        <v>1465.5</v>
      </c>
      <c r="AQ39" s="13">
        <v>1468</v>
      </c>
      <c r="AR39" s="13">
        <v>1459.5</v>
      </c>
      <c r="AS39" s="13">
        <v>1469.5</v>
      </c>
      <c r="AT39" s="13">
        <v>1480.5</v>
      </c>
      <c r="AU39" s="13">
        <v>1516.5</v>
      </c>
      <c r="AV39" s="13">
        <v>1482.5</v>
      </c>
      <c r="AW39" s="13">
        <v>1474</v>
      </c>
      <c r="AX39" s="13">
        <v>1469.5</v>
      </c>
      <c r="AY39" s="13">
        <v>1462.5</v>
      </c>
      <c r="AZ39" s="13">
        <v>1436</v>
      </c>
      <c r="BA39" s="13">
        <v>1401</v>
      </c>
      <c r="BB39" s="13">
        <v>1406.5</v>
      </c>
      <c r="BC39" s="13">
        <v>1447.5</v>
      </c>
      <c r="BD39" s="13">
        <v>1444</v>
      </c>
      <c r="BE39" s="13">
        <v>1448</v>
      </c>
      <c r="BF39" s="13">
        <v>1415</v>
      </c>
      <c r="BG39" s="13">
        <v>1394</v>
      </c>
      <c r="BH39" s="13">
        <v>1428</v>
      </c>
      <c r="BI39" s="13">
        <v>1459</v>
      </c>
      <c r="BJ39" s="13">
        <v>1427.5</v>
      </c>
      <c r="BK39" s="13">
        <v>1409.5</v>
      </c>
      <c r="BL39" s="13">
        <v>1414</v>
      </c>
    </row>
    <row r="40" spans="1:64" ht="15.95" customHeight="1">
      <c r="A40" s="64" t="s">
        <v>297</v>
      </c>
      <c r="B40" s="6" t="s">
        <v>116</v>
      </c>
      <c r="C40" s="15">
        <f>_xll.RssMarket("8604","現在値")</f>
        <v>1451</v>
      </c>
      <c r="D40" s="16">
        <f t="shared" si="0"/>
        <v>0</v>
      </c>
      <c r="E40" s="13">
        <v>1451</v>
      </c>
      <c r="F40" s="13">
        <v>1415</v>
      </c>
      <c r="G40" s="13">
        <v>1364.5</v>
      </c>
      <c r="H40" s="13">
        <v>1352.5</v>
      </c>
      <c r="I40" s="13">
        <v>1387</v>
      </c>
      <c r="J40" s="13">
        <v>1359.5</v>
      </c>
      <c r="K40" s="13">
        <v>1361</v>
      </c>
      <c r="L40" s="13">
        <v>1349.5</v>
      </c>
      <c r="M40" s="13">
        <v>1350.5</v>
      </c>
      <c r="N40" s="13">
        <v>1324</v>
      </c>
      <c r="O40" s="13">
        <v>1298.5</v>
      </c>
      <c r="P40" s="13">
        <v>1285</v>
      </c>
      <c r="Q40" s="13">
        <v>1250.5</v>
      </c>
      <c r="R40" s="13">
        <v>1260</v>
      </c>
      <c r="S40" s="13">
        <v>1273</v>
      </c>
      <c r="T40" s="13">
        <v>1287</v>
      </c>
      <c r="U40" s="13">
        <v>1290.5</v>
      </c>
      <c r="V40" s="13">
        <v>1250.5</v>
      </c>
      <c r="W40" s="13">
        <v>1276</v>
      </c>
      <c r="X40" s="13">
        <v>1248</v>
      </c>
      <c r="Y40" s="13">
        <v>1273</v>
      </c>
      <c r="Z40" s="13">
        <v>1265</v>
      </c>
      <c r="AA40" s="13">
        <v>1273.5</v>
      </c>
      <c r="AB40" s="13">
        <v>1235</v>
      </c>
      <c r="AC40" s="13">
        <v>1228.5</v>
      </c>
      <c r="AD40" s="13">
        <v>1250.5</v>
      </c>
      <c r="AE40" s="13">
        <v>1220</v>
      </c>
      <c r="AF40" s="13">
        <v>1256.5</v>
      </c>
      <c r="AG40" s="13">
        <v>1274</v>
      </c>
      <c r="AH40" s="13">
        <v>1230.5</v>
      </c>
      <c r="AI40" s="13">
        <v>1312</v>
      </c>
      <c r="AJ40" s="13">
        <v>1332.5</v>
      </c>
      <c r="AK40" s="13">
        <v>1331.5</v>
      </c>
      <c r="AL40" s="13">
        <v>1334.5</v>
      </c>
      <c r="AM40" s="13">
        <v>1341</v>
      </c>
      <c r="AN40" s="13">
        <v>1334</v>
      </c>
      <c r="AO40" s="13">
        <v>1387.5</v>
      </c>
      <c r="AP40" s="13">
        <v>1363</v>
      </c>
      <c r="AQ40" s="13">
        <v>1318</v>
      </c>
      <c r="AR40" s="13">
        <v>1300.5</v>
      </c>
      <c r="AS40" s="13">
        <v>1305</v>
      </c>
      <c r="AT40" s="13">
        <v>1314</v>
      </c>
      <c r="AU40" s="13">
        <v>1334.5</v>
      </c>
      <c r="AV40" s="13">
        <v>1275.5</v>
      </c>
      <c r="AW40" s="13">
        <v>1263.5</v>
      </c>
      <c r="AX40" s="13">
        <v>1261</v>
      </c>
      <c r="AY40" s="13">
        <v>1254</v>
      </c>
      <c r="AZ40" s="13">
        <v>1285</v>
      </c>
      <c r="BA40" s="13">
        <v>1204</v>
      </c>
      <c r="BB40" s="13">
        <v>1203</v>
      </c>
      <c r="BC40" s="13">
        <v>1255</v>
      </c>
      <c r="BD40" s="13">
        <v>1257.5</v>
      </c>
      <c r="BE40" s="13">
        <v>1274.5</v>
      </c>
      <c r="BF40" s="13">
        <v>1237</v>
      </c>
      <c r="BG40" s="13">
        <v>1213.5</v>
      </c>
      <c r="BH40" s="13">
        <v>1218.5</v>
      </c>
      <c r="BI40" s="13">
        <v>1239</v>
      </c>
      <c r="BJ40" s="13">
        <v>1186.5</v>
      </c>
      <c r="BK40" s="13">
        <v>1181</v>
      </c>
      <c r="BL40" s="13">
        <v>1181</v>
      </c>
    </row>
    <row r="41" spans="1:64" ht="15.95" customHeight="1">
      <c r="A41" s="64" t="s">
        <v>298</v>
      </c>
      <c r="B41" s="6" t="s">
        <v>117</v>
      </c>
      <c r="C41" s="15">
        <f>_xll.RssMarket("3861","現在値")</f>
        <v>799.6</v>
      </c>
      <c r="D41" s="16">
        <f t="shared" si="0"/>
        <v>0</v>
      </c>
      <c r="E41" s="13">
        <v>799.6</v>
      </c>
      <c r="F41" s="13">
        <v>793.9</v>
      </c>
      <c r="G41" s="13">
        <v>791</v>
      </c>
      <c r="H41" s="13">
        <v>783</v>
      </c>
      <c r="I41" s="13">
        <v>785.2</v>
      </c>
      <c r="J41" s="13">
        <v>780.6</v>
      </c>
      <c r="K41" s="13">
        <v>778.9</v>
      </c>
      <c r="L41" s="13">
        <v>774</v>
      </c>
      <c r="M41" s="13">
        <v>782.6</v>
      </c>
      <c r="N41" s="13">
        <v>767.9</v>
      </c>
      <c r="O41" s="13">
        <v>770.2</v>
      </c>
      <c r="P41" s="13">
        <v>782.2</v>
      </c>
      <c r="Q41" s="13">
        <v>790.5</v>
      </c>
      <c r="R41" s="13">
        <v>780.3</v>
      </c>
      <c r="S41" s="13">
        <v>775.8</v>
      </c>
      <c r="T41" s="13">
        <v>777.1</v>
      </c>
      <c r="U41" s="13">
        <v>793.2</v>
      </c>
      <c r="V41" s="13">
        <v>806.6</v>
      </c>
      <c r="W41" s="13">
        <v>815.1</v>
      </c>
      <c r="X41" s="13">
        <v>810</v>
      </c>
      <c r="Y41" s="13">
        <v>857</v>
      </c>
      <c r="Z41" s="13">
        <v>841.8</v>
      </c>
      <c r="AA41" s="13">
        <v>835.8</v>
      </c>
      <c r="AB41" s="13">
        <v>830</v>
      </c>
      <c r="AC41" s="13">
        <v>822</v>
      </c>
      <c r="AD41" s="13">
        <v>829.2</v>
      </c>
      <c r="AE41" s="13">
        <v>833.6</v>
      </c>
      <c r="AF41" s="13">
        <v>824.7</v>
      </c>
      <c r="AG41" s="13">
        <v>822.5</v>
      </c>
      <c r="AH41" s="13">
        <v>825.8</v>
      </c>
      <c r="AI41" s="13">
        <v>815.2</v>
      </c>
      <c r="AJ41" s="13">
        <v>822.2</v>
      </c>
      <c r="AK41" s="13">
        <v>820.4</v>
      </c>
      <c r="AL41" s="13">
        <v>833.6</v>
      </c>
      <c r="AM41" s="13">
        <v>837.1</v>
      </c>
      <c r="AN41" s="13">
        <v>841.4</v>
      </c>
      <c r="AO41" s="13">
        <v>842.1</v>
      </c>
      <c r="AP41" s="13">
        <v>850.6</v>
      </c>
      <c r="AQ41" s="13">
        <v>849.7</v>
      </c>
      <c r="AR41" s="13">
        <v>852.1</v>
      </c>
      <c r="AS41" s="13">
        <v>852.8</v>
      </c>
      <c r="AT41" s="13">
        <v>849</v>
      </c>
      <c r="AU41" s="13">
        <v>855</v>
      </c>
      <c r="AV41" s="13">
        <v>858.1</v>
      </c>
      <c r="AW41" s="13">
        <v>846.9</v>
      </c>
      <c r="AX41" s="13">
        <v>851.1</v>
      </c>
      <c r="AY41" s="13">
        <v>852.5</v>
      </c>
      <c r="AZ41" s="13">
        <v>847.2</v>
      </c>
      <c r="BA41" s="13">
        <v>853.8</v>
      </c>
      <c r="BB41" s="13">
        <v>847.3</v>
      </c>
      <c r="BC41" s="13">
        <v>838.3</v>
      </c>
      <c r="BD41" s="13">
        <v>871.2</v>
      </c>
      <c r="BE41" s="13">
        <v>861.1</v>
      </c>
      <c r="BF41" s="13">
        <v>872.7</v>
      </c>
      <c r="BG41" s="13">
        <v>866.8</v>
      </c>
      <c r="BH41" s="13">
        <v>854</v>
      </c>
      <c r="BI41" s="13">
        <v>875.3</v>
      </c>
      <c r="BJ41" s="13">
        <v>914.1</v>
      </c>
      <c r="BK41" s="13">
        <v>907.6</v>
      </c>
      <c r="BL41" s="13">
        <v>901.3</v>
      </c>
    </row>
    <row r="42" spans="1:64" ht="15.95" customHeight="1">
      <c r="A42" s="64" t="s">
        <v>299</v>
      </c>
      <c r="B42" s="6" t="s">
        <v>118</v>
      </c>
      <c r="C42" s="15">
        <f>_xll.RssMarket("5947","現在値")</f>
        <v>3465</v>
      </c>
      <c r="D42" s="16">
        <f t="shared" si="0"/>
        <v>0</v>
      </c>
      <c r="E42" s="13">
        <v>3465</v>
      </c>
      <c r="F42" s="13">
        <v>3421</v>
      </c>
      <c r="G42" s="13">
        <v>3483</v>
      </c>
      <c r="H42" s="13">
        <v>3536</v>
      </c>
      <c r="I42" s="13">
        <v>3504</v>
      </c>
      <c r="J42" s="13">
        <v>3500</v>
      </c>
      <c r="K42" s="13">
        <v>3420</v>
      </c>
      <c r="L42" s="13">
        <v>3392</v>
      </c>
      <c r="M42" s="13">
        <v>3342</v>
      </c>
      <c r="N42" s="13">
        <v>3350</v>
      </c>
      <c r="O42" s="13">
        <v>3393</v>
      </c>
      <c r="P42" s="13">
        <v>3426</v>
      </c>
      <c r="Q42" s="13">
        <v>3452</v>
      </c>
      <c r="R42" s="13">
        <v>3434</v>
      </c>
      <c r="S42" s="13">
        <v>3506</v>
      </c>
      <c r="T42" s="13">
        <v>3537</v>
      </c>
      <c r="U42" s="13">
        <v>3550</v>
      </c>
      <c r="V42" s="13">
        <v>3556</v>
      </c>
      <c r="W42" s="13">
        <v>3467</v>
      </c>
      <c r="X42" s="13">
        <v>3462</v>
      </c>
      <c r="Y42" s="13">
        <v>3377</v>
      </c>
      <c r="Z42" s="13">
        <v>3346</v>
      </c>
      <c r="AA42" s="13">
        <v>3431</v>
      </c>
      <c r="AB42" s="13">
        <v>3579</v>
      </c>
      <c r="AC42" s="13">
        <v>3603</v>
      </c>
      <c r="AD42" s="13">
        <v>3690</v>
      </c>
      <c r="AE42" s="13">
        <v>3588</v>
      </c>
      <c r="AF42" s="13">
        <v>3562</v>
      </c>
      <c r="AG42" s="13">
        <v>3606</v>
      </c>
      <c r="AH42" s="13">
        <v>3549</v>
      </c>
      <c r="AI42" s="13">
        <v>3513</v>
      </c>
      <c r="AJ42" s="13">
        <v>3511</v>
      </c>
      <c r="AK42" s="13">
        <v>3511</v>
      </c>
      <c r="AL42" s="13">
        <v>3492</v>
      </c>
      <c r="AM42" s="13">
        <v>3537</v>
      </c>
      <c r="AN42" s="13">
        <v>3541</v>
      </c>
      <c r="AO42" s="13">
        <v>3523</v>
      </c>
      <c r="AP42" s="13">
        <v>3594</v>
      </c>
      <c r="AQ42" s="13">
        <v>3557</v>
      </c>
      <c r="AR42" s="13">
        <v>3697</v>
      </c>
      <c r="AS42" s="13">
        <v>3754</v>
      </c>
      <c r="AT42" s="13">
        <v>3749</v>
      </c>
      <c r="AU42" s="13">
        <v>3743</v>
      </c>
      <c r="AV42" s="13">
        <v>3665</v>
      </c>
      <c r="AW42" s="13">
        <v>3671</v>
      </c>
      <c r="AX42" s="13">
        <v>3663</v>
      </c>
      <c r="AY42" s="13">
        <v>3660</v>
      </c>
      <c r="AZ42" s="13">
        <v>3735</v>
      </c>
      <c r="BA42" s="13">
        <v>3659</v>
      </c>
      <c r="BB42" s="13">
        <v>3653</v>
      </c>
      <c r="BC42" s="13">
        <v>3751</v>
      </c>
      <c r="BD42" s="13">
        <v>3725</v>
      </c>
      <c r="BE42" s="13">
        <v>3746</v>
      </c>
      <c r="BF42" s="13">
        <v>3702</v>
      </c>
      <c r="BG42" s="13">
        <v>3634</v>
      </c>
      <c r="BH42" s="13">
        <v>3671</v>
      </c>
      <c r="BI42" s="13">
        <v>3825</v>
      </c>
      <c r="BJ42" s="13">
        <v>3763</v>
      </c>
      <c r="BK42" s="13">
        <v>3756</v>
      </c>
      <c r="BL42" s="13">
        <v>3823</v>
      </c>
    </row>
    <row r="43" spans="1:64" ht="15.95" customHeight="1">
      <c r="A43" s="64" t="s">
        <v>300</v>
      </c>
      <c r="B43" s="6" t="s">
        <v>119</v>
      </c>
      <c r="C43" s="15">
        <f>_xll.RssMarket("8750","現在値")</f>
        <v>1793</v>
      </c>
      <c r="D43" s="16">
        <f t="shared" si="0"/>
        <v>0</v>
      </c>
      <c r="E43" s="13">
        <v>1793</v>
      </c>
      <c r="F43" s="13">
        <v>1789.5</v>
      </c>
      <c r="G43" s="13">
        <v>1753.5</v>
      </c>
      <c r="H43" s="13">
        <v>1730.5</v>
      </c>
      <c r="I43" s="13">
        <v>1732</v>
      </c>
      <c r="J43" s="13">
        <v>1667.5</v>
      </c>
      <c r="K43" s="13">
        <v>1662.5</v>
      </c>
      <c r="L43" s="13">
        <v>1647.5</v>
      </c>
      <c r="M43" s="13">
        <v>1650</v>
      </c>
      <c r="N43" s="13">
        <v>1622</v>
      </c>
      <c r="O43" s="13">
        <v>1634.5</v>
      </c>
      <c r="P43" s="13">
        <v>1636</v>
      </c>
      <c r="Q43" s="13">
        <v>1627.5</v>
      </c>
      <c r="R43" s="13">
        <v>1664</v>
      </c>
      <c r="S43" s="13">
        <v>1666</v>
      </c>
      <c r="T43" s="13">
        <v>1650.5</v>
      </c>
      <c r="U43" s="13">
        <v>1669</v>
      </c>
      <c r="V43" s="13">
        <v>1656</v>
      </c>
      <c r="W43" s="13">
        <v>1654</v>
      </c>
      <c r="X43" s="13">
        <v>1615</v>
      </c>
      <c r="Y43" s="13">
        <v>1618</v>
      </c>
      <c r="Z43" s="13">
        <v>1500</v>
      </c>
      <c r="AA43" s="13">
        <v>1502</v>
      </c>
      <c r="AB43" s="13">
        <v>1479</v>
      </c>
      <c r="AC43" s="13">
        <v>1466.5</v>
      </c>
      <c r="AD43" s="13">
        <v>1438.5</v>
      </c>
      <c r="AE43" s="13">
        <v>1464</v>
      </c>
      <c r="AF43" s="13">
        <v>1423</v>
      </c>
      <c r="AG43" s="13">
        <v>1440</v>
      </c>
      <c r="AH43" s="13">
        <v>1444</v>
      </c>
      <c r="AI43" s="13">
        <v>1398.5</v>
      </c>
      <c r="AJ43" s="13">
        <v>1410.5</v>
      </c>
      <c r="AK43" s="13">
        <v>1415.5</v>
      </c>
      <c r="AL43" s="13">
        <v>1437</v>
      </c>
      <c r="AM43" s="13">
        <v>1444.5</v>
      </c>
      <c r="AN43" s="13">
        <v>1459</v>
      </c>
      <c r="AO43" s="13">
        <v>1459.5</v>
      </c>
      <c r="AP43" s="13">
        <v>1503</v>
      </c>
      <c r="AQ43" s="13">
        <v>1481</v>
      </c>
      <c r="AR43" s="13">
        <v>1483.5</v>
      </c>
      <c r="AS43" s="13">
        <v>1474.5</v>
      </c>
      <c r="AT43" s="13">
        <v>1482</v>
      </c>
      <c r="AU43" s="13">
        <v>1496.5</v>
      </c>
      <c r="AV43" s="13">
        <v>1533.5</v>
      </c>
      <c r="AW43" s="13">
        <v>1474</v>
      </c>
      <c r="AX43" s="13">
        <v>1450.5</v>
      </c>
      <c r="AY43" s="13">
        <v>1472.5</v>
      </c>
      <c r="AZ43" s="13">
        <v>1469.5</v>
      </c>
      <c r="BA43" s="13">
        <v>1499</v>
      </c>
      <c r="BB43" s="13">
        <v>1421</v>
      </c>
      <c r="BC43" s="13">
        <v>1406</v>
      </c>
      <c r="BD43" s="13">
        <v>1447.5</v>
      </c>
      <c r="BE43" s="13">
        <v>1438</v>
      </c>
      <c r="BF43" s="13">
        <v>1450</v>
      </c>
      <c r="BG43" s="13">
        <v>1386</v>
      </c>
      <c r="BH43" s="13">
        <v>1357.5</v>
      </c>
      <c r="BI43" s="13">
        <v>1400</v>
      </c>
      <c r="BJ43" s="13">
        <v>1456.5</v>
      </c>
      <c r="BK43" s="13">
        <v>1429.5</v>
      </c>
      <c r="BL43" s="13">
        <v>1418.5</v>
      </c>
    </row>
    <row r="44" spans="1:64" ht="15.95" customHeight="1">
      <c r="A44" s="64" t="s">
        <v>301</v>
      </c>
      <c r="B44" s="6" t="s">
        <v>120</v>
      </c>
      <c r="C44" s="15">
        <f>_xll.RssMarket("3402","現在値")</f>
        <v>1190</v>
      </c>
      <c r="D44" s="16">
        <f t="shared" si="0"/>
        <v>0</v>
      </c>
      <c r="E44" s="13">
        <v>1190</v>
      </c>
      <c r="F44" s="13">
        <v>1177</v>
      </c>
      <c r="G44" s="13">
        <v>1145</v>
      </c>
      <c r="H44" s="13">
        <v>1118.5</v>
      </c>
      <c r="I44" s="13">
        <v>1113</v>
      </c>
      <c r="J44" s="13">
        <v>1094.5</v>
      </c>
      <c r="K44" s="13">
        <v>1121.5</v>
      </c>
      <c r="L44" s="13">
        <v>1105.5</v>
      </c>
      <c r="M44" s="13">
        <v>1152</v>
      </c>
      <c r="N44" s="13">
        <v>1121.5</v>
      </c>
      <c r="O44" s="13">
        <v>1139</v>
      </c>
      <c r="P44" s="13">
        <v>1192</v>
      </c>
      <c r="Q44" s="13">
        <v>1133</v>
      </c>
      <c r="R44" s="13">
        <v>1143.5</v>
      </c>
      <c r="S44" s="13">
        <v>1135.5</v>
      </c>
      <c r="T44" s="13">
        <v>1085.5</v>
      </c>
      <c r="U44" s="13">
        <v>1076.5</v>
      </c>
      <c r="V44" s="13">
        <v>1082</v>
      </c>
      <c r="W44" s="13">
        <v>1076.5</v>
      </c>
      <c r="X44" s="13">
        <v>1150</v>
      </c>
      <c r="Y44" s="13">
        <v>1163.5</v>
      </c>
      <c r="Z44" s="13">
        <v>1167.5</v>
      </c>
      <c r="AA44" s="13">
        <v>1145.5</v>
      </c>
      <c r="AB44" s="13">
        <v>1133</v>
      </c>
      <c r="AC44" s="13">
        <v>1129</v>
      </c>
      <c r="AD44" s="13">
        <v>1138</v>
      </c>
      <c r="AE44" s="13">
        <v>1106</v>
      </c>
      <c r="AF44" s="13">
        <v>1121</v>
      </c>
      <c r="AG44" s="13">
        <v>1140.5</v>
      </c>
      <c r="AH44" s="13">
        <v>1119.5</v>
      </c>
      <c r="AI44" s="13">
        <v>1110.5</v>
      </c>
      <c r="AJ44" s="13">
        <v>1112.5</v>
      </c>
      <c r="AK44" s="13">
        <v>1126</v>
      </c>
      <c r="AL44" s="13">
        <v>1145</v>
      </c>
      <c r="AM44" s="13">
        <v>1147</v>
      </c>
      <c r="AN44" s="13">
        <v>1156.5</v>
      </c>
      <c r="AO44" s="13">
        <v>1171.5</v>
      </c>
      <c r="AP44" s="13">
        <v>1144</v>
      </c>
      <c r="AQ44" s="13">
        <v>1151.5</v>
      </c>
      <c r="AR44" s="13">
        <v>1150.5</v>
      </c>
      <c r="AS44" s="13">
        <v>1175.5</v>
      </c>
      <c r="AT44" s="13">
        <v>1170.5</v>
      </c>
      <c r="AU44" s="13">
        <v>1174</v>
      </c>
      <c r="AV44" s="13">
        <v>1124</v>
      </c>
      <c r="AW44" s="13">
        <v>1126.5</v>
      </c>
      <c r="AX44" s="13">
        <v>1130.5</v>
      </c>
      <c r="AY44" s="13">
        <v>1128</v>
      </c>
      <c r="AZ44" s="13">
        <v>1151.5</v>
      </c>
      <c r="BA44" s="13">
        <v>1100.5</v>
      </c>
      <c r="BB44" s="13">
        <v>1094.5</v>
      </c>
      <c r="BC44" s="13">
        <v>1115</v>
      </c>
      <c r="BD44" s="13">
        <v>1119</v>
      </c>
      <c r="BE44" s="13">
        <v>1111</v>
      </c>
      <c r="BF44" s="13">
        <v>1074.5</v>
      </c>
      <c r="BG44" s="13">
        <v>1049</v>
      </c>
      <c r="BH44" s="13">
        <v>1097.5</v>
      </c>
      <c r="BI44" s="13">
        <v>1138</v>
      </c>
      <c r="BJ44" s="13">
        <v>1101</v>
      </c>
      <c r="BK44" s="13">
        <v>1110.5</v>
      </c>
      <c r="BL44" s="13">
        <v>1134</v>
      </c>
    </row>
    <row r="45" spans="1:64" ht="15.95" customHeight="1">
      <c r="A45" s="64" t="s">
        <v>302</v>
      </c>
      <c r="B45" s="6" t="s">
        <v>121</v>
      </c>
      <c r="C45" s="15">
        <f>_xll.RssMarket("8306","現在値")</f>
        <v>3272</v>
      </c>
      <c r="D45" s="16">
        <f t="shared" si="0"/>
        <v>0</v>
      </c>
      <c r="E45" s="13">
        <v>3272</v>
      </c>
      <c r="F45" s="13">
        <v>3228</v>
      </c>
      <c r="G45" s="13">
        <v>3162</v>
      </c>
      <c r="H45" s="13">
        <v>3141</v>
      </c>
      <c r="I45" s="13">
        <v>3183</v>
      </c>
      <c r="J45" s="13">
        <v>3168</v>
      </c>
      <c r="K45" s="13">
        <v>3219</v>
      </c>
      <c r="L45" s="13">
        <v>3169</v>
      </c>
      <c r="M45" s="13">
        <v>3137</v>
      </c>
      <c r="N45" s="13">
        <v>3046</v>
      </c>
      <c r="O45" s="13">
        <v>3023</v>
      </c>
      <c r="P45" s="13">
        <v>2999</v>
      </c>
      <c r="Q45" s="13">
        <v>2982</v>
      </c>
      <c r="R45" s="13">
        <v>3031</v>
      </c>
      <c r="S45" s="13">
        <v>3066</v>
      </c>
      <c r="T45" s="13">
        <v>3091</v>
      </c>
      <c r="U45" s="13">
        <v>3067</v>
      </c>
      <c r="V45" s="13">
        <v>3030</v>
      </c>
      <c r="W45" s="13">
        <v>3108</v>
      </c>
      <c r="X45" s="13">
        <v>2995</v>
      </c>
      <c r="Y45" s="13">
        <v>2929</v>
      </c>
      <c r="Z45" s="13">
        <v>2877</v>
      </c>
      <c r="AA45" s="13">
        <v>2926.5</v>
      </c>
      <c r="AB45" s="13">
        <v>2886</v>
      </c>
      <c r="AC45" s="13">
        <v>2856.5</v>
      </c>
      <c r="AD45" s="13">
        <v>2806.5</v>
      </c>
      <c r="AE45" s="13">
        <v>2863</v>
      </c>
      <c r="AF45" s="13">
        <v>2798</v>
      </c>
      <c r="AG45" s="13">
        <v>2817</v>
      </c>
      <c r="AH45" s="13">
        <v>2875</v>
      </c>
      <c r="AI45" s="13">
        <v>2788</v>
      </c>
      <c r="AJ45" s="13">
        <v>2755.5</v>
      </c>
      <c r="AK45" s="13">
        <v>2752</v>
      </c>
      <c r="AL45" s="13">
        <v>2794</v>
      </c>
      <c r="AM45" s="13">
        <v>2830.5</v>
      </c>
      <c r="AN45" s="13">
        <v>2870.5</v>
      </c>
      <c r="AO45" s="13">
        <v>2870</v>
      </c>
      <c r="AP45" s="13">
        <v>2946.5</v>
      </c>
      <c r="AQ45" s="13">
        <v>2913.5</v>
      </c>
      <c r="AR45" s="13">
        <v>2850</v>
      </c>
      <c r="AS45" s="13">
        <v>2860</v>
      </c>
      <c r="AT45" s="13">
        <v>2842</v>
      </c>
      <c r="AU45" s="13">
        <v>2842.5</v>
      </c>
      <c r="AV45" s="13">
        <v>2885</v>
      </c>
      <c r="AW45" s="13">
        <v>2811</v>
      </c>
      <c r="AX45" s="13">
        <v>2792</v>
      </c>
      <c r="AY45" s="13">
        <v>2761.5</v>
      </c>
      <c r="AZ45" s="13">
        <v>2760</v>
      </c>
      <c r="BA45" s="13">
        <v>2808</v>
      </c>
      <c r="BB45" s="13">
        <v>2600</v>
      </c>
      <c r="BC45" s="13">
        <v>2621</v>
      </c>
      <c r="BD45" s="13">
        <v>2715</v>
      </c>
      <c r="BE45" s="13">
        <v>2700.5</v>
      </c>
      <c r="BF45" s="13">
        <v>2718.5</v>
      </c>
      <c r="BG45" s="13">
        <v>2639</v>
      </c>
      <c r="BH45" s="13">
        <v>2564.5</v>
      </c>
      <c r="BI45" s="13">
        <v>2686</v>
      </c>
      <c r="BJ45" s="13">
        <v>2731</v>
      </c>
      <c r="BK45" s="13">
        <v>2659.5</v>
      </c>
      <c r="BL45" s="13">
        <v>2634</v>
      </c>
    </row>
    <row r="46" spans="1:64" ht="15.95" customHeight="1">
      <c r="A46" s="64" t="s">
        <v>303</v>
      </c>
      <c r="B46" s="6" t="s">
        <v>122</v>
      </c>
      <c r="C46" s="15">
        <f>_xll.RssMarket("5401","現在値")</f>
        <v>557.5</v>
      </c>
      <c r="D46" s="16">
        <f t="shared" si="0"/>
        <v>0</v>
      </c>
      <c r="E46" s="13">
        <v>557.5</v>
      </c>
      <c r="F46" s="13">
        <v>566</v>
      </c>
      <c r="G46" s="13">
        <v>551.6</v>
      </c>
      <c r="H46" s="13">
        <v>535</v>
      </c>
      <c r="I46" s="13">
        <v>542.29999999999995</v>
      </c>
      <c r="J46" s="13">
        <v>538.79999999999995</v>
      </c>
      <c r="K46" s="13">
        <v>547</v>
      </c>
      <c r="L46" s="13">
        <v>540.5</v>
      </c>
      <c r="M46" s="13">
        <v>546.70000000000005</v>
      </c>
      <c r="N46" s="13">
        <v>536.6</v>
      </c>
      <c r="O46" s="13">
        <v>549.6</v>
      </c>
      <c r="P46" s="13">
        <v>566.6</v>
      </c>
      <c r="Q46" s="13">
        <v>563.6</v>
      </c>
      <c r="R46" s="13">
        <v>563.20000000000005</v>
      </c>
      <c r="S46" s="13">
        <v>556.20000000000005</v>
      </c>
      <c r="T46" s="13">
        <v>553.5</v>
      </c>
      <c r="U46" s="13">
        <v>546</v>
      </c>
      <c r="V46" s="13">
        <v>540.70000000000005</v>
      </c>
      <c r="W46" s="13">
        <v>550</v>
      </c>
      <c r="X46" s="13">
        <v>549</v>
      </c>
      <c r="Y46" s="13">
        <v>559.9</v>
      </c>
      <c r="Z46" s="13">
        <v>556.20000000000005</v>
      </c>
      <c r="AA46" s="13">
        <v>559.4</v>
      </c>
      <c r="AB46" s="13">
        <v>561.1</v>
      </c>
      <c r="AC46" s="13">
        <v>570.9</v>
      </c>
      <c r="AD46" s="13">
        <v>582.70000000000005</v>
      </c>
      <c r="AE46" s="13">
        <v>571.9</v>
      </c>
      <c r="AF46" s="13">
        <v>572.29999999999995</v>
      </c>
      <c r="AG46" s="13">
        <v>577.79999999999995</v>
      </c>
      <c r="AH46" s="13">
        <v>569</v>
      </c>
      <c r="AI46" s="13">
        <v>573.1</v>
      </c>
      <c r="AJ46" s="13">
        <v>580.1</v>
      </c>
      <c r="AK46" s="13">
        <v>587.6</v>
      </c>
      <c r="AL46" s="13">
        <v>593.20000000000005</v>
      </c>
      <c r="AM46" s="13">
        <v>599.79999999999995</v>
      </c>
      <c r="AN46" s="13">
        <v>595</v>
      </c>
      <c r="AO46" s="13">
        <v>598</v>
      </c>
      <c r="AP46" s="13">
        <v>598</v>
      </c>
      <c r="AQ46" s="13">
        <v>595</v>
      </c>
      <c r="AR46" s="13">
        <v>595.79999999999995</v>
      </c>
      <c r="AS46" s="13">
        <v>600.20000000000005</v>
      </c>
      <c r="AT46" s="13">
        <v>603.4</v>
      </c>
      <c r="AU46" s="13">
        <v>600</v>
      </c>
      <c r="AV46" s="13">
        <v>586</v>
      </c>
      <c r="AW46" s="13">
        <v>586.70000000000005</v>
      </c>
      <c r="AX46" s="13">
        <v>585</v>
      </c>
      <c r="AY46" s="13">
        <v>584</v>
      </c>
      <c r="AZ46" s="13">
        <v>592</v>
      </c>
      <c r="BA46" s="13">
        <v>575.9</v>
      </c>
      <c r="BB46" s="13">
        <v>574.70000000000005</v>
      </c>
      <c r="BC46" s="13">
        <v>597.1</v>
      </c>
      <c r="BD46" s="13">
        <v>596</v>
      </c>
      <c r="BE46" s="13">
        <v>594.6</v>
      </c>
      <c r="BF46" s="13">
        <v>590</v>
      </c>
      <c r="BG46" s="13">
        <v>584.6</v>
      </c>
      <c r="BH46" s="13">
        <v>592.70000000000005</v>
      </c>
      <c r="BI46" s="13">
        <v>607</v>
      </c>
      <c r="BJ46" s="13">
        <v>592.5</v>
      </c>
      <c r="BK46" s="13">
        <v>582.70000000000005</v>
      </c>
      <c r="BL46" s="13">
        <v>593.20000000000005</v>
      </c>
    </row>
    <row r="47" spans="1:64" ht="15.95" customHeight="1">
      <c r="A47" s="64" t="s">
        <v>304</v>
      </c>
      <c r="B47" s="6" t="s">
        <v>123</v>
      </c>
      <c r="C47" s="15">
        <f>_xll.RssMarket("8572","現在値")</f>
        <v>450.6</v>
      </c>
      <c r="D47" s="16">
        <f t="shared" si="0"/>
        <v>0</v>
      </c>
      <c r="E47" s="13">
        <v>450.6</v>
      </c>
      <c r="F47" s="13">
        <v>449.3</v>
      </c>
      <c r="G47" s="13">
        <v>451.1</v>
      </c>
      <c r="H47" s="13">
        <v>449.3</v>
      </c>
      <c r="I47" s="13">
        <v>451.9</v>
      </c>
      <c r="J47" s="13">
        <v>445.2</v>
      </c>
      <c r="K47" s="13">
        <v>446.6</v>
      </c>
      <c r="L47" s="13">
        <v>442.1</v>
      </c>
      <c r="M47" s="13">
        <v>450.5</v>
      </c>
      <c r="N47" s="13">
        <v>448.5</v>
      </c>
      <c r="O47" s="13">
        <v>457.4</v>
      </c>
      <c r="P47" s="13">
        <v>467.5</v>
      </c>
      <c r="Q47" s="13">
        <v>466.2</v>
      </c>
      <c r="R47" s="13">
        <v>463.6</v>
      </c>
      <c r="S47" s="13">
        <v>462.9</v>
      </c>
      <c r="T47" s="13">
        <v>464.1</v>
      </c>
      <c r="U47" s="13">
        <v>468.8</v>
      </c>
      <c r="V47" s="13">
        <v>460</v>
      </c>
      <c r="W47" s="13">
        <v>465.3</v>
      </c>
      <c r="X47" s="13">
        <v>456.9</v>
      </c>
      <c r="Y47" s="13">
        <v>464.3</v>
      </c>
      <c r="Z47" s="13">
        <v>458.9</v>
      </c>
      <c r="AA47" s="13">
        <v>455.7</v>
      </c>
      <c r="AB47" s="13">
        <v>489.3</v>
      </c>
      <c r="AC47" s="13">
        <v>489</v>
      </c>
      <c r="AD47" s="13">
        <v>494.1</v>
      </c>
      <c r="AE47" s="13">
        <v>492.1</v>
      </c>
      <c r="AF47" s="13">
        <v>492.7</v>
      </c>
      <c r="AG47" s="13">
        <v>500.8</v>
      </c>
      <c r="AH47" s="13">
        <v>504.5</v>
      </c>
      <c r="AI47" s="13">
        <v>495.4</v>
      </c>
      <c r="AJ47" s="13">
        <v>500.2</v>
      </c>
      <c r="AK47" s="13">
        <v>500.5</v>
      </c>
      <c r="AL47" s="13">
        <v>515.29999999999995</v>
      </c>
      <c r="AM47" s="13">
        <v>517.29999999999995</v>
      </c>
      <c r="AN47" s="13">
        <v>482.9</v>
      </c>
      <c r="AO47" s="13">
        <v>484</v>
      </c>
      <c r="AP47" s="13">
        <v>480.1</v>
      </c>
      <c r="AQ47" s="13">
        <v>477.1</v>
      </c>
      <c r="AR47" s="13">
        <v>474.6</v>
      </c>
      <c r="AS47" s="13">
        <v>468.4</v>
      </c>
      <c r="AT47" s="13">
        <v>471.5</v>
      </c>
      <c r="AU47" s="13">
        <v>471.5</v>
      </c>
      <c r="AV47" s="13">
        <v>482</v>
      </c>
      <c r="AW47" s="13">
        <v>474</v>
      </c>
      <c r="AX47" s="13">
        <v>471.8</v>
      </c>
      <c r="AY47" s="13">
        <v>471.7</v>
      </c>
      <c r="AZ47" s="13">
        <v>471.3</v>
      </c>
      <c r="BA47" s="13">
        <v>473.8</v>
      </c>
      <c r="BB47" s="13">
        <v>460.1</v>
      </c>
      <c r="BC47" s="13">
        <v>457.4</v>
      </c>
      <c r="BD47" s="13">
        <v>478</v>
      </c>
      <c r="BE47" s="13">
        <v>479.1</v>
      </c>
      <c r="BF47" s="13">
        <v>483.3</v>
      </c>
      <c r="BG47" s="13">
        <v>473.6</v>
      </c>
      <c r="BH47" s="13">
        <v>466.4</v>
      </c>
      <c r="BI47" s="13">
        <v>476.5</v>
      </c>
      <c r="BJ47" s="13">
        <v>486</v>
      </c>
      <c r="BK47" s="13">
        <v>477.6</v>
      </c>
      <c r="BL47" s="13">
        <v>473.5</v>
      </c>
    </row>
    <row r="48" spans="1:64" ht="15.95" customHeight="1">
      <c r="A48" s="64" t="s">
        <v>305</v>
      </c>
      <c r="B48" s="6" t="s">
        <v>124</v>
      </c>
      <c r="C48" s="15">
        <f>_xll.RssMarket("3941","現在値")</f>
        <v>1408</v>
      </c>
      <c r="D48" s="16">
        <f t="shared" si="0"/>
        <v>0</v>
      </c>
      <c r="E48" s="13">
        <v>1408</v>
      </c>
      <c r="F48" s="13">
        <v>1413</v>
      </c>
      <c r="G48" s="13">
        <v>1383.5</v>
      </c>
      <c r="H48" s="13">
        <v>1372</v>
      </c>
      <c r="I48" s="13">
        <v>1389.5</v>
      </c>
      <c r="J48" s="13">
        <v>1377.5</v>
      </c>
      <c r="K48" s="13">
        <v>1389</v>
      </c>
      <c r="L48" s="13">
        <v>1379</v>
      </c>
      <c r="M48" s="13">
        <v>1401</v>
      </c>
      <c r="N48" s="13">
        <v>1397</v>
      </c>
      <c r="O48" s="13">
        <v>1413</v>
      </c>
      <c r="P48" s="13">
        <v>1458</v>
      </c>
      <c r="Q48" s="13">
        <v>1424.5</v>
      </c>
      <c r="R48" s="13">
        <v>1419.5</v>
      </c>
      <c r="S48" s="13">
        <v>1387</v>
      </c>
      <c r="T48" s="13">
        <v>1396</v>
      </c>
      <c r="U48" s="13">
        <v>1411</v>
      </c>
      <c r="V48" s="13">
        <v>1392</v>
      </c>
      <c r="W48" s="13">
        <v>1409</v>
      </c>
      <c r="X48" s="13">
        <v>1384.5</v>
      </c>
      <c r="Y48" s="13">
        <v>1404</v>
      </c>
      <c r="Z48" s="13">
        <v>1385</v>
      </c>
      <c r="AA48" s="13">
        <v>1244</v>
      </c>
      <c r="AB48" s="13">
        <v>1218.5</v>
      </c>
      <c r="AC48" s="13">
        <v>1228.5</v>
      </c>
      <c r="AD48" s="13">
        <v>1240</v>
      </c>
      <c r="AE48" s="13">
        <v>1236.5</v>
      </c>
      <c r="AF48" s="13">
        <v>1227</v>
      </c>
      <c r="AG48" s="13">
        <v>1228.5</v>
      </c>
      <c r="AH48" s="13">
        <v>1256</v>
      </c>
      <c r="AI48" s="13">
        <v>1269.5</v>
      </c>
      <c r="AJ48" s="13">
        <v>1274</v>
      </c>
      <c r="AK48" s="13">
        <v>1271.5</v>
      </c>
      <c r="AL48" s="13">
        <v>1292.5</v>
      </c>
      <c r="AM48" s="13">
        <v>1306</v>
      </c>
      <c r="AN48" s="13">
        <v>1265</v>
      </c>
      <c r="AO48" s="13">
        <v>1251.5</v>
      </c>
      <c r="AP48" s="13">
        <v>1282</v>
      </c>
      <c r="AQ48" s="13">
        <v>1263</v>
      </c>
      <c r="AR48" s="13">
        <v>1263.5</v>
      </c>
      <c r="AS48" s="13">
        <v>1264</v>
      </c>
      <c r="AT48" s="13">
        <v>1268</v>
      </c>
      <c r="AU48" s="13">
        <v>1288</v>
      </c>
      <c r="AV48" s="13">
        <v>1284.5</v>
      </c>
      <c r="AW48" s="13">
        <v>1256.5</v>
      </c>
      <c r="AX48" s="13">
        <v>1250</v>
      </c>
      <c r="AY48" s="13">
        <v>1253</v>
      </c>
      <c r="AZ48" s="13">
        <v>1260.5</v>
      </c>
      <c r="BA48" s="13">
        <v>1282.5</v>
      </c>
      <c r="BB48" s="13">
        <v>1257.5</v>
      </c>
      <c r="BC48" s="13">
        <v>1245.5</v>
      </c>
      <c r="BD48" s="13">
        <v>1290.5</v>
      </c>
      <c r="BE48" s="13">
        <v>1297</v>
      </c>
      <c r="BF48" s="13">
        <v>1268.5</v>
      </c>
      <c r="BG48" s="13">
        <v>1249</v>
      </c>
      <c r="BH48" s="13">
        <v>1220.5</v>
      </c>
      <c r="BI48" s="13">
        <v>1261</v>
      </c>
      <c r="BJ48" s="13">
        <v>1389.5</v>
      </c>
      <c r="BK48" s="13">
        <v>1335.5</v>
      </c>
      <c r="BL48" s="13">
        <v>1333</v>
      </c>
    </row>
    <row r="49" spans="1:64" ht="15.95" customHeight="1">
      <c r="A49" s="64" t="s">
        <v>306</v>
      </c>
      <c r="B49" s="6" t="s">
        <v>125</v>
      </c>
      <c r="C49" s="15">
        <f>_xll.RssMarket("5929","現在値")</f>
        <v>3713</v>
      </c>
      <c r="D49" s="16">
        <f t="shared" si="0"/>
        <v>0</v>
      </c>
      <c r="E49" s="13">
        <v>3713</v>
      </c>
      <c r="F49" s="13">
        <v>3702</v>
      </c>
      <c r="G49" s="13">
        <v>3618</v>
      </c>
      <c r="H49" s="13">
        <v>3598</v>
      </c>
      <c r="I49" s="13">
        <v>3646</v>
      </c>
      <c r="J49" s="13">
        <v>3504</v>
      </c>
      <c r="K49" s="13">
        <v>3538</v>
      </c>
      <c r="L49" s="13">
        <v>3463</v>
      </c>
      <c r="M49" s="13">
        <v>3425</v>
      </c>
      <c r="N49" s="13">
        <v>3337</v>
      </c>
      <c r="O49" s="13">
        <v>3599</v>
      </c>
      <c r="P49" s="13">
        <v>3645</v>
      </c>
      <c r="Q49" s="13">
        <v>3475</v>
      </c>
      <c r="R49" s="13">
        <v>3400</v>
      </c>
      <c r="S49" s="13">
        <v>3299</v>
      </c>
      <c r="T49" s="13">
        <v>3306</v>
      </c>
      <c r="U49" s="13">
        <v>3339</v>
      </c>
      <c r="V49" s="13">
        <v>3283</v>
      </c>
      <c r="W49" s="13">
        <v>3389</v>
      </c>
      <c r="X49" s="13">
        <v>3315</v>
      </c>
      <c r="Y49" s="13">
        <v>3455</v>
      </c>
      <c r="Z49" s="13">
        <v>3646</v>
      </c>
      <c r="AA49" s="13">
        <v>3536</v>
      </c>
      <c r="AB49" s="13">
        <v>3508</v>
      </c>
      <c r="AC49" s="13">
        <v>3602</v>
      </c>
      <c r="AD49" s="13">
        <v>3643</v>
      </c>
      <c r="AE49" s="13">
        <v>3614</v>
      </c>
      <c r="AF49" s="13">
        <v>3540</v>
      </c>
      <c r="AG49" s="13">
        <v>3569</v>
      </c>
      <c r="AH49" s="13">
        <v>3653</v>
      </c>
      <c r="AI49" s="13">
        <v>3596</v>
      </c>
      <c r="AJ49" s="13">
        <v>3591</v>
      </c>
      <c r="AK49" s="13">
        <v>3617</v>
      </c>
      <c r="AL49" s="13">
        <v>3652</v>
      </c>
      <c r="AM49" s="13">
        <v>3675</v>
      </c>
      <c r="AN49" s="13">
        <v>3663</v>
      </c>
      <c r="AO49" s="13">
        <v>3600</v>
      </c>
      <c r="AP49" s="13">
        <v>3632</v>
      </c>
      <c r="AQ49" s="13">
        <v>3707</v>
      </c>
      <c r="AR49" s="13">
        <v>3698</v>
      </c>
      <c r="AS49" s="13">
        <v>3681</v>
      </c>
      <c r="AT49" s="13">
        <v>3691</v>
      </c>
      <c r="AU49" s="13">
        <v>3719</v>
      </c>
      <c r="AV49" s="13">
        <v>3742</v>
      </c>
      <c r="AW49" s="13">
        <v>3618</v>
      </c>
      <c r="AX49" s="13">
        <v>3541</v>
      </c>
      <c r="AY49" s="13">
        <v>3557</v>
      </c>
      <c r="AZ49" s="13">
        <v>3568</v>
      </c>
      <c r="BA49" s="13">
        <v>3646</v>
      </c>
      <c r="BB49" s="13">
        <v>3537</v>
      </c>
      <c r="BC49" s="13">
        <v>3523</v>
      </c>
      <c r="BD49" s="13">
        <v>3696</v>
      </c>
      <c r="BE49" s="13">
        <v>3708</v>
      </c>
      <c r="BF49" s="13">
        <v>3685</v>
      </c>
      <c r="BG49" s="13">
        <v>3621</v>
      </c>
      <c r="BH49" s="13">
        <v>3509</v>
      </c>
      <c r="BI49" s="13">
        <v>3619</v>
      </c>
      <c r="BJ49" s="13">
        <v>3740</v>
      </c>
      <c r="BK49" s="13">
        <v>3765</v>
      </c>
      <c r="BL49" s="13">
        <v>3692</v>
      </c>
    </row>
    <row r="50" spans="1:64" ht="15.95" customHeight="1">
      <c r="A50" s="64" t="s">
        <v>307</v>
      </c>
      <c r="B50" s="6" t="s">
        <v>126</v>
      </c>
      <c r="C50" s="15">
        <f>_xll.RssMarket("8316","現在値")</f>
        <v>6450</v>
      </c>
      <c r="D50" s="16">
        <f t="shared" si="0"/>
        <v>0</v>
      </c>
      <c r="E50" s="13">
        <v>6450</v>
      </c>
      <c r="F50" s="13">
        <v>6409</v>
      </c>
      <c r="G50" s="13">
        <v>6519</v>
      </c>
      <c r="H50" s="13">
        <v>6406</v>
      </c>
      <c r="I50" s="13">
        <v>6203</v>
      </c>
      <c r="J50" s="13">
        <v>6227</v>
      </c>
      <c r="K50" s="13">
        <v>6105</v>
      </c>
      <c r="L50" s="13">
        <v>6230</v>
      </c>
      <c r="M50" s="13">
        <v>6129</v>
      </c>
      <c r="N50" s="13">
        <v>6148</v>
      </c>
      <c r="O50" s="13">
        <v>5951</v>
      </c>
      <c r="P50" s="13">
        <v>5861</v>
      </c>
      <c r="Q50" s="13">
        <v>5819</v>
      </c>
      <c r="R50" s="13">
        <v>5849</v>
      </c>
      <c r="S50" s="13">
        <v>5950</v>
      </c>
      <c r="T50" s="13">
        <v>6056</v>
      </c>
      <c r="U50" s="13">
        <v>6006</v>
      </c>
      <c r="V50" s="13">
        <v>6031</v>
      </c>
      <c r="W50" s="13">
        <v>5882</v>
      </c>
      <c r="X50" s="13">
        <v>5942</v>
      </c>
      <c r="Y50" s="13">
        <v>5732</v>
      </c>
      <c r="Z50" s="13">
        <v>5702</v>
      </c>
      <c r="AA50" s="13">
        <v>5675</v>
      </c>
      <c r="AB50" s="13">
        <v>5852</v>
      </c>
      <c r="AC50" s="13">
        <v>5789</v>
      </c>
      <c r="AD50" s="13">
        <v>5661</v>
      </c>
      <c r="AE50" s="13">
        <v>5546</v>
      </c>
      <c r="AF50" s="13">
        <v>5689</v>
      </c>
      <c r="AG50" s="13">
        <v>5541</v>
      </c>
      <c r="AH50" s="13">
        <v>5512</v>
      </c>
      <c r="AI50" s="13">
        <v>5648</v>
      </c>
      <c r="AJ50" s="13">
        <v>5404</v>
      </c>
      <c r="AK50" s="13">
        <v>5347</v>
      </c>
      <c r="AL50" s="13">
        <v>5350</v>
      </c>
      <c r="AM50" s="13">
        <v>5442</v>
      </c>
      <c r="AN50" s="13">
        <v>5471</v>
      </c>
      <c r="AO50" s="13">
        <v>5575</v>
      </c>
      <c r="AP50" s="13">
        <v>5598</v>
      </c>
      <c r="AQ50" s="13">
        <v>5690</v>
      </c>
      <c r="AR50" s="13">
        <v>5650</v>
      </c>
      <c r="AS50" s="13">
        <v>5539</v>
      </c>
      <c r="AT50" s="13">
        <v>5577</v>
      </c>
      <c r="AU50" s="13">
        <v>5536</v>
      </c>
      <c r="AV50" s="13">
        <v>5552</v>
      </c>
      <c r="AW50" s="13">
        <v>5621</v>
      </c>
      <c r="AX50" s="13">
        <v>5418</v>
      </c>
      <c r="AY50" s="13">
        <v>5379</v>
      </c>
      <c r="AZ50" s="13">
        <v>5373</v>
      </c>
      <c r="BA50" s="13">
        <v>5388</v>
      </c>
      <c r="BB50" s="13">
        <v>5455</v>
      </c>
      <c r="BC50" s="13">
        <v>5006</v>
      </c>
      <c r="BD50" s="13">
        <v>5053</v>
      </c>
      <c r="BE50" s="13">
        <v>5246</v>
      </c>
      <c r="BF50" s="13">
        <v>5246</v>
      </c>
      <c r="BG50" s="13">
        <v>5311</v>
      </c>
      <c r="BH50" s="13">
        <v>5148</v>
      </c>
      <c r="BI50" s="13">
        <v>5009</v>
      </c>
      <c r="BJ50" s="13">
        <v>5156</v>
      </c>
      <c r="BK50" s="13">
        <v>5256</v>
      </c>
      <c r="BL50" s="13">
        <v>5126</v>
      </c>
    </row>
    <row r="51" spans="1:64" ht="15.95" customHeight="1">
      <c r="A51" s="64" t="s">
        <v>308</v>
      </c>
      <c r="B51" s="6" t="s">
        <v>127</v>
      </c>
      <c r="C51" s="15">
        <f>_xll.RssMarket("5449","現在値")</f>
        <v>2238</v>
      </c>
      <c r="D51" s="16">
        <f t="shared" si="0"/>
        <v>0</v>
      </c>
      <c r="E51" s="13">
        <v>2238</v>
      </c>
      <c r="F51" s="13">
        <v>2406</v>
      </c>
      <c r="G51" s="13">
        <v>2336</v>
      </c>
      <c r="H51" s="13">
        <v>2306</v>
      </c>
      <c r="I51" s="13">
        <v>2321</v>
      </c>
      <c r="J51" s="13">
        <v>2296</v>
      </c>
      <c r="K51" s="13">
        <v>2358</v>
      </c>
      <c r="L51" s="13">
        <v>2359</v>
      </c>
      <c r="M51" s="13">
        <v>2405</v>
      </c>
      <c r="N51" s="13">
        <v>2321</v>
      </c>
      <c r="O51" s="13">
        <v>2314</v>
      </c>
      <c r="P51" s="13">
        <v>2593</v>
      </c>
      <c r="Q51" s="13">
        <v>2597</v>
      </c>
      <c r="R51" s="13">
        <v>2680</v>
      </c>
      <c r="S51" s="13">
        <v>2508</v>
      </c>
      <c r="T51" s="13">
        <v>2381</v>
      </c>
      <c r="U51" s="13">
        <v>2377</v>
      </c>
      <c r="V51" s="13">
        <v>2272</v>
      </c>
      <c r="W51" s="13">
        <v>2263</v>
      </c>
      <c r="X51" s="13">
        <v>2251</v>
      </c>
      <c r="Y51" s="13">
        <v>2375</v>
      </c>
      <c r="Z51" s="13">
        <v>2343</v>
      </c>
      <c r="AA51" s="13">
        <v>2315</v>
      </c>
      <c r="AB51" s="13">
        <v>2469</v>
      </c>
      <c r="AC51" s="13">
        <v>2555</v>
      </c>
      <c r="AD51" s="13">
        <v>2545</v>
      </c>
      <c r="AE51" s="13">
        <v>2607</v>
      </c>
      <c r="AF51" s="13">
        <v>2518</v>
      </c>
      <c r="AG51" s="13">
        <v>2459</v>
      </c>
      <c r="AH51" s="13">
        <v>2469</v>
      </c>
      <c r="AI51" s="13">
        <v>2318</v>
      </c>
      <c r="AJ51" s="13">
        <v>2312</v>
      </c>
      <c r="AK51" s="13">
        <v>2315</v>
      </c>
      <c r="AL51" s="13">
        <v>2349</v>
      </c>
      <c r="AM51" s="13">
        <v>2398</v>
      </c>
      <c r="AN51" s="13">
        <v>2428</v>
      </c>
      <c r="AO51" s="13">
        <v>2416</v>
      </c>
      <c r="AP51" s="13">
        <v>2409</v>
      </c>
      <c r="AQ51" s="13">
        <v>2450</v>
      </c>
      <c r="AR51" s="13">
        <v>2456</v>
      </c>
      <c r="AS51" s="13">
        <v>2393</v>
      </c>
      <c r="AT51" s="13">
        <v>2481</v>
      </c>
      <c r="AU51" s="13">
        <v>2648</v>
      </c>
      <c r="AV51" s="13">
        <v>2702</v>
      </c>
      <c r="AW51" s="13">
        <v>2679</v>
      </c>
      <c r="AX51" s="13">
        <v>2691</v>
      </c>
      <c r="AY51" s="13">
        <v>2697</v>
      </c>
      <c r="AZ51" s="13">
        <v>2715</v>
      </c>
      <c r="BA51" s="13">
        <v>2767</v>
      </c>
      <c r="BB51" s="13">
        <v>2717</v>
      </c>
      <c r="BC51" s="13">
        <v>2761</v>
      </c>
      <c r="BD51" s="13">
        <v>2716</v>
      </c>
      <c r="BE51" s="13">
        <v>2695</v>
      </c>
      <c r="BF51" s="13">
        <v>2672</v>
      </c>
      <c r="BG51" s="13">
        <v>2705</v>
      </c>
      <c r="BH51" s="13">
        <v>2596</v>
      </c>
      <c r="BI51" s="13">
        <v>2635</v>
      </c>
      <c r="BJ51" s="13">
        <v>2694</v>
      </c>
      <c r="BK51" s="13">
        <v>2623</v>
      </c>
      <c r="BL51" s="13">
        <v>2584</v>
      </c>
    </row>
    <row r="52" spans="1:64" ht="15.95" customHeight="1">
      <c r="A52" s="64" t="s">
        <v>309</v>
      </c>
      <c r="B52" s="6" t="s">
        <v>128</v>
      </c>
      <c r="C52" s="15">
        <f>_xll.RssMarket("8766","現在値")</f>
        <v>7252</v>
      </c>
      <c r="D52" s="16">
        <f t="shared" si="0"/>
        <v>0</v>
      </c>
      <c r="E52" s="13">
        <v>7252</v>
      </c>
      <c r="F52" s="13">
        <v>7288</v>
      </c>
      <c r="G52" s="13">
        <v>7325</v>
      </c>
      <c r="H52" s="13">
        <v>7404</v>
      </c>
      <c r="I52" s="13">
        <v>7406</v>
      </c>
      <c r="J52" s="13">
        <v>7232</v>
      </c>
      <c r="K52" s="13">
        <v>6996</v>
      </c>
      <c r="L52" s="13">
        <v>6940</v>
      </c>
      <c r="M52" s="13">
        <v>7098</v>
      </c>
      <c r="N52" s="13">
        <v>7046</v>
      </c>
      <c r="O52" s="13">
        <v>7108</v>
      </c>
      <c r="P52" s="13">
        <v>7111</v>
      </c>
      <c r="Q52" s="13">
        <v>7189</v>
      </c>
      <c r="R52" s="13">
        <v>7367</v>
      </c>
      <c r="S52" s="13">
        <v>7387</v>
      </c>
      <c r="T52" s="13">
        <v>7381</v>
      </c>
      <c r="U52" s="13">
        <v>7697</v>
      </c>
      <c r="V52" s="13">
        <v>7817</v>
      </c>
      <c r="W52" s="13">
        <v>7949</v>
      </c>
      <c r="X52" s="13">
        <v>7627</v>
      </c>
      <c r="Y52" s="13">
        <v>7568</v>
      </c>
      <c r="Z52" s="13">
        <v>7362</v>
      </c>
      <c r="AA52" s="13">
        <v>7369</v>
      </c>
      <c r="AB52" s="13">
        <v>7140</v>
      </c>
      <c r="AC52" s="13">
        <v>7150</v>
      </c>
      <c r="AD52" s="13">
        <v>7030</v>
      </c>
      <c r="AE52" s="13">
        <v>7210</v>
      </c>
      <c r="AF52" s="13">
        <v>7093</v>
      </c>
      <c r="AG52" s="13">
        <v>7202</v>
      </c>
      <c r="AH52" s="13">
        <v>7238</v>
      </c>
      <c r="AI52" s="13">
        <v>7164</v>
      </c>
      <c r="AJ52" s="13">
        <v>7176</v>
      </c>
      <c r="AK52" s="13">
        <v>7072</v>
      </c>
      <c r="AL52" s="13">
        <v>7218</v>
      </c>
      <c r="AM52" s="13">
        <v>7159</v>
      </c>
      <c r="AN52" s="13">
        <v>7175</v>
      </c>
      <c r="AO52" s="13">
        <v>6933</v>
      </c>
      <c r="AP52" s="13">
        <v>6972</v>
      </c>
      <c r="AQ52" s="13">
        <v>6836</v>
      </c>
      <c r="AR52" s="13">
        <v>6915</v>
      </c>
      <c r="AS52" s="13">
        <v>7000</v>
      </c>
      <c r="AT52" s="13">
        <v>7095</v>
      </c>
      <c r="AU52" s="13">
        <v>7250</v>
      </c>
      <c r="AV52" s="13">
        <v>7370</v>
      </c>
      <c r="AW52" s="13">
        <v>7277</v>
      </c>
      <c r="AX52" s="13">
        <v>7308</v>
      </c>
      <c r="AY52" s="13">
        <v>7243</v>
      </c>
      <c r="AZ52" s="13">
        <v>7262</v>
      </c>
      <c r="BA52" s="13">
        <v>7490</v>
      </c>
      <c r="BB52" s="13">
        <v>7308</v>
      </c>
      <c r="BC52" s="13">
        <v>7268</v>
      </c>
      <c r="BD52" s="13">
        <v>7511</v>
      </c>
      <c r="BE52" s="13">
        <v>7587</v>
      </c>
      <c r="BF52" s="13">
        <v>7857</v>
      </c>
      <c r="BG52" s="13">
        <v>6857</v>
      </c>
      <c r="BH52" s="13">
        <v>5857</v>
      </c>
      <c r="BI52" s="13">
        <v>6032</v>
      </c>
      <c r="BJ52" s="13">
        <v>6071</v>
      </c>
      <c r="BK52" s="13">
        <v>5944</v>
      </c>
      <c r="BL52" s="13">
        <v>5896</v>
      </c>
    </row>
    <row r="53" spans="1:64" ht="15.95" customHeight="1">
      <c r="A53" s="64" t="s">
        <v>310</v>
      </c>
      <c r="B53" s="6" t="s">
        <v>129</v>
      </c>
      <c r="C53" s="15">
        <f>_xll.RssMarket("5201","現在値")</f>
        <v>7421</v>
      </c>
      <c r="D53" s="16">
        <f t="shared" si="0"/>
        <v>0</v>
      </c>
      <c r="E53" s="13">
        <v>7421</v>
      </c>
      <c r="F53" s="13">
        <v>7270</v>
      </c>
      <c r="G53" s="13">
        <v>7023</v>
      </c>
      <c r="H53" s="13">
        <v>6964</v>
      </c>
      <c r="I53" s="13">
        <v>6941</v>
      </c>
      <c r="J53" s="13">
        <v>7214</v>
      </c>
      <c r="K53" s="13">
        <v>7735</v>
      </c>
      <c r="L53" s="13">
        <v>8117</v>
      </c>
      <c r="M53" s="13">
        <v>8221</v>
      </c>
      <c r="N53" s="13">
        <v>7643</v>
      </c>
      <c r="O53" s="13">
        <v>7006</v>
      </c>
      <c r="P53" s="13">
        <v>6938</v>
      </c>
      <c r="Q53" s="13">
        <v>6883</v>
      </c>
      <c r="R53" s="13">
        <v>7020</v>
      </c>
      <c r="S53" s="13">
        <v>6657</v>
      </c>
      <c r="T53" s="13">
        <v>6495</v>
      </c>
      <c r="U53" s="13">
        <v>6216</v>
      </c>
      <c r="V53" s="13">
        <v>6049</v>
      </c>
      <c r="W53" s="13">
        <v>6226</v>
      </c>
      <c r="X53" s="13">
        <v>5957</v>
      </c>
      <c r="Y53" s="13">
        <v>5999</v>
      </c>
      <c r="Z53" s="13">
        <v>6033</v>
      </c>
      <c r="AA53" s="13">
        <v>6065</v>
      </c>
      <c r="AB53" s="13">
        <v>6014</v>
      </c>
      <c r="AC53" s="13">
        <v>5636</v>
      </c>
      <c r="AD53" s="13">
        <v>5580</v>
      </c>
      <c r="AE53" s="13">
        <v>5683</v>
      </c>
      <c r="AF53" s="13">
        <v>5574</v>
      </c>
      <c r="AG53" s="13">
        <v>5589</v>
      </c>
      <c r="AH53" s="13">
        <v>5754</v>
      </c>
      <c r="AI53" s="13">
        <v>5689</v>
      </c>
      <c r="AJ53" s="13">
        <v>5629</v>
      </c>
      <c r="AK53" s="13">
        <v>5597</v>
      </c>
      <c r="AL53" s="13">
        <v>5664</v>
      </c>
      <c r="AM53" s="13">
        <v>5769</v>
      </c>
      <c r="AN53" s="13">
        <v>5739</v>
      </c>
      <c r="AO53" s="13">
        <v>5717</v>
      </c>
      <c r="AP53" s="13">
        <v>5750</v>
      </c>
      <c r="AQ53" s="13">
        <v>5618</v>
      </c>
      <c r="AR53" s="13">
        <v>5643</v>
      </c>
      <c r="AS53" s="13">
        <v>5682</v>
      </c>
      <c r="AT53" s="13">
        <v>5827</v>
      </c>
      <c r="AU53" s="13">
        <v>5873</v>
      </c>
      <c r="AV53" s="13">
        <v>5951</v>
      </c>
      <c r="AW53" s="13">
        <v>5570</v>
      </c>
      <c r="AX53" s="13">
        <v>5541</v>
      </c>
      <c r="AY53" s="13">
        <v>5598</v>
      </c>
      <c r="AZ53" s="13">
        <v>5627</v>
      </c>
      <c r="BA53" s="13">
        <v>5719</v>
      </c>
      <c r="BB53" s="13">
        <v>5498</v>
      </c>
      <c r="BC53" s="13">
        <v>5439</v>
      </c>
      <c r="BD53" s="13">
        <v>5574</v>
      </c>
      <c r="BE53" s="13">
        <v>5627</v>
      </c>
      <c r="BF53" s="13">
        <v>5652</v>
      </c>
      <c r="BG53" s="13">
        <v>5498</v>
      </c>
      <c r="BH53" s="13">
        <v>5310</v>
      </c>
      <c r="BI53" s="13">
        <v>5543</v>
      </c>
      <c r="BJ53" s="13">
        <v>5783</v>
      </c>
      <c r="BK53" s="13">
        <v>5630</v>
      </c>
      <c r="BL53" s="13">
        <v>5673</v>
      </c>
    </row>
    <row r="54" spans="1:64" ht="15.95" customHeight="1">
      <c r="A54" s="64" t="s">
        <v>311</v>
      </c>
      <c r="B54" s="6" t="s">
        <v>130</v>
      </c>
      <c r="C54" s="15">
        <f>_xll.RssMarket("8630","現在値")</f>
        <v>6194</v>
      </c>
      <c r="D54" s="16">
        <f t="shared" si="0"/>
        <v>0</v>
      </c>
      <c r="E54" s="13">
        <v>6194</v>
      </c>
      <c r="F54" s="13">
        <v>6248</v>
      </c>
      <c r="G54" s="13">
        <v>6149</v>
      </c>
      <c r="H54" s="13">
        <v>6174</v>
      </c>
      <c r="I54" s="13">
        <v>6146</v>
      </c>
      <c r="J54" s="13">
        <v>5992</v>
      </c>
      <c r="K54" s="13">
        <v>5898</v>
      </c>
      <c r="L54" s="13">
        <v>5774</v>
      </c>
      <c r="M54" s="13">
        <v>5900</v>
      </c>
      <c r="N54" s="13">
        <v>5906</v>
      </c>
      <c r="O54" s="13">
        <v>5958</v>
      </c>
      <c r="P54" s="13">
        <v>5902</v>
      </c>
      <c r="Q54" s="13">
        <v>5933</v>
      </c>
      <c r="R54" s="13">
        <v>5575</v>
      </c>
      <c r="S54" s="13">
        <v>5676</v>
      </c>
      <c r="T54" s="13">
        <v>5568</v>
      </c>
      <c r="U54" s="13">
        <v>6238</v>
      </c>
      <c r="V54" s="13">
        <v>6435</v>
      </c>
      <c r="W54" s="13">
        <v>6134</v>
      </c>
      <c r="X54" s="13">
        <v>6100</v>
      </c>
      <c r="Y54" s="13">
        <v>5998</v>
      </c>
      <c r="Z54" s="13">
        <v>6084</v>
      </c>
      <c r="AA54" s="13">
        <v>5893</v>
      </c>
      <c r="AB54" s="13">
        <v>5821</v>
      </c>
      <c r="AC54" s="13">
        <v>5762</v>
      </c>
      <c r="AD54" s="13">
        <v>5857</v>
      </c>
      <c r="AE54" s="13">
        <v>5705</v>
      </c>
      <c r="AF54" s="13">
        <v>5797</v>
      </c>
      <c r="AG54" s="13">
        <v>5771</v>
      </c>
      <c r="AH54" s="13">
        <v>5695</v>
      </c>
      <c r="AI54" s="13">
        <v>5837</v>
      </c>
      <c r="AJ54" s="13">
        <v>5833</v>
      </c>
      <c r="AK54" s="13">
        <v>5820</v>
      </c>
      <c r="AL54" s="13">
        <v>5888</v>
      </c>
      <c r="AM54" s="13">
        <v>5876</v>
      </c>
      <c r="AN54" s="13">
        <v>5898</v>
      </c>
      <c r="AO54" s="13">
        <v>5974</v>
      </c>
      <c r="AP54" s="13">
        <v>5900</v>
      </c>
      <c r="AQ54" s="13">
        <v>5902</v>
      </c>
      <c r="AR54" s="13">
        <v>5915</v>
      </c>
      <c r="AS54" s="13">
        <v>5976</v>
      </c>
      <c r="AT54" s="13">
        <v>5994</v>
      </c>
      <c r="AU54" s="13">
        <v>6180</v>
      </c>
      <c r="AV54" s="13">
        <v>6071</v>
      </c>
      <c r="AW54" s="13">
        <v>6018</v>
      </c>
      <c r="AX54" s="13">
        <v>6017</v>
      </c>
      <c r="AY54" s="13">
        <v>6059</v>
      </c>
      <c r="AZ54" s="13">
        <v>6262</v>
      </c>
      <c r="BA54" s="13">
        <v>6012</v>
      </c>
      <c r="BB54" s="13">
        <v>5968</v>
      </c>
      <c r="BC54" s="13">
        <v>6140</v>
      </c>
      <c r="BD54" s="13">
        <v>6075</v>
      </c>
      <c r="BE54" s="13">
        <v>6096</v>
      </c>
      <c r="BF54" s="13">
        <v>5755</v>
      </c>
      <c r="BG54" s="13">
        <v>5641</v>
      </c>
      <c r="BH54" s="13">
        <v>5851</v>
      </c>
      <c r="BI54" s="13">
        <v>5999</v>
      </c>
      <c r="BJ54" s="13">
        <v>5854</v>
      </c>
      <c r="BK54" s="13">
        <v>5785</v>
      </c>
      <c r="BL54" s="13">
        <v>5829</v>
      </c>
    </row>
    <row r="55" spans="1:64" ht="15.95" customHeight="1">
      <c r="A55" s="64" t="s">
        <v>312</v>
      </c>
      <c r="B55" s="6" t="s">
        <v>131</v>
      </c>
      <c r="C55" s="15">
        <f>_xll.RssMarket("5901","現在値")</f>
        <v>4076</v>
      </c>
      <c r="D55" s="16">
        <f t="shared" si="0"/>
        <v>0</v>
      </c>
      <c r="E55" s="13">
        <v>4076</v>
      </c>
      <c r="F55" s="13">
        <v>3991</v>
      </c>
      <c r="G55" s="13">
        <v>3933</v>
      </c>
      <c r="H55" s="13">
        <v>3837</v>
      </c>
      <c r="I55" s="13">
        <v>3846</v>
      </c>
      <c r="J55" s="13">
        <v>3842</v>
      </c>
      <c r="K55" s="13">
        <v>3772</v>
      </c>
      <c r="L55" s="13">
        <v>3795</v>
      </c>
      <c r="M55" s="13">
        <v>3872</v>
      </c>
      <c r="N55" s="13">
        <v>3778</v>
      </c>
      <c r="O55" s="13">
        <v>3937</v>
      </c>
      <c r="P55" s="13">
        <v>3890</v>
      </c>
      <c r="Q55" s="13">
        <v>3864</v>
      </c>
      <c r="R55" s="13">
        <v>3949</v>
      </c>
      <c r="S55" s="13">
        <v>3973</v>
      </c>
      <c r="T55" s="13">
        <v>3996</v>
      </c>
      <c r="U55" s="13">
        <v>4344</v>
      </c>
      <c r="V55" s="13">
        <v>4018</v>
      </c>
      <c r="W55" s="13">
        <v>4003</v>
      </c>
      <c r="X55" s="13">
        <v>3822</v>
      </c>
      <c r="Y55" s="13">
        <v>3706</v>
      </c>
      <c r="Z55" s="13">
        <v>3433</v>
      </c>
      <c r="AA55" s="13">
        <v>3445</v>
      </c>
      <c r="AB55" s="13">
        <v>3363</v>
      </c>
      <c r="AC55" s="13">
        <v>3388</v>
      </c>
      <c r="AD55" s="13">
        <v>3531</v>
      </c>
      <c r="AE55" s="13">
        <v>3438</v>
      </c>
      <c r="AF55" s="13">
        <v>3239</v>
      </c>
      <c r="AG55" s="13">
        <v>3207</v>
      </c>
      <c r="AH55" s="13">
        <v>3152</v>
      </c>
      <c r="AI55" s="13">
        <v>3220</v>
      </c>
      <c r="AJ55" s="13">
        <v>3226</v>
      </c>
      <c r="AK55" s="13">
        <v>3288</v>
      </c>
      <c r="AL55" s="13">
        <v>3397</v>
      </c>
      <c r="AM55" s="13">
        <v>3383</v>
      </c>
      <c r="AN55" s="13">
        <v>3353</v>
      </c>
      <c r="AO55" s="13">
        <v>3409</v>
      </c>
      <c r="AP55" s="13">
        <v>3399</v>
      </c>
      <c r="AQ55" s="13">
        <v>3349</v>
      </c>
      <c r="AR55" s="13">
        <v>3414</v>
      </c>
      <c r="AS55" s="13">
        <v>3474</v>
      </c>
      <c r="AT55" s="13">
        <v>3492</v>
      </c>
      <c r="AU55" s="13">
        <v>3548</v>
      </c>
      <c r="AV55" s="13">
        <v>3458</v>
      </c>
      <c r="AW55" s="13">
        <v>3438</v>
      </c>
      <c r="AX55" s="13">
        <v>3468</v>
      </c>
      <c r="AY55" s="13">
        <v>3521</v>
      </c>
      <c r="AZ55" s="13">
        <v>3633</v>
      </c>
      <c r="BA55" s="13">
        <v>3537</v>
      </c>
      <c r="BB55" s="13">
        <v>3532</v>
      </c>
      <c r="BC55" s="13">
        <v>3671</v>
      </c>
      <c r="BD55" s="13">
        <v>3687</v>
      </c>
      <c r="BE55" s="13">
        <v>3709</v>
      </c>
      <c r="BF55" s="13">
        <v>3627</v>
      </c>
      <c r="BG55" s="13">
        <v>3547</v>
      </c>
      <c r="BH55" s="13">
        <v>3689</v>
      </c>
      <c r="BI55" s="13">
        <v>3930</v>
      </c>
      <c r="BJ55" s="13">
        <v>3880</v>
      </c>
      <c r="BK55" s="13">
        <v>3840</v>
      </c>
      <c r="BL55" s="13">
        <v>3800</v>
      </c>
    </row>
    <row r="56" spans="1:64" ht="15.95" customHeight="1">
      <c r="A56" s="64" t="s">
        <v>313</v>
      </c>
      <c r="B56" s="6" t="s">
        <v>132</v>
      </c>
      <c r="C56" s="15">
        <f>_xll.RssMarket("9412","現在値")</f>
        <v>3355</v>
      </c>
      <c r="D56" s="16">
        <f t="shared" si="0"/>
        <v>0</v>
      </c>
      <c r="E56" s="13">
        <v>3355</v>
      </c>
      <c r="F56" s="13">
        <v>3270</v>
      </c>
      <c r="G56" s="13">
        <v>3485</v>
      </c>
      <c r="H56" s="13">
        <v>3240</v>
      </c>
      <c r="I56" s="13">
        <v>3165</v>
      </c>
      <c r="J56" s="13">
        <v>3495</v>
      </c>
      <c r="K56" s="13">
        <v>3645</v>
      </c>
      <c r="L56" s="13">
        <v>3415</v>
      </c>
      <c r="M56" s="13">
        <v>3720</v>
      </c>
      <c r="N56" s="13">
        <v>3755</v>
      </c>
      <c r="O56" s="13">
        <v>3950</v>
      </c>
      <c r="P56" s="13">
        <v>4470</v>
      </c>
      <c r="Q56" s="13">
        <v>4535</v>
      </c>
      <c r="R56" s="13">
        <v>4455</v>
      </c>
      <c r="S56" s="13">
        <v>4260</v>
      </c>
      <c r="T56" s="13">
        <v>4115</v>
      </c>
      <c r="U56" s="13">
        <v>4190</v>
      </c>
      <c r="V56" s="13">
        <v>4045</v>
      </c>
      <c r="W56" s="13">
        <v>4040</v>
      </c>
      <c r="X56" s="13">
        <v>4180</v>
      </c>
      <c r="Y56" s="13">
        <v>4145</v>
      </c>
      <c r="Z56" s="13">
        <v>4205</v>
      </c>
      <c r="AA56" s="13">
        <v>4030</v>
      </c>
      <c r="AB56" s="13">
        <v>3750</v>
      </c>
      <c r="AC56" s="13">
        <v>3690</v>
      </c>
      <c r="AD56" s="13">
        <v>3485</v>
      </c>
      <c r="AE56" s="13">
        <v>3515</v>
      </c>
      <c r="AF56" s="13">
        <v>3450</v>
      </c>
      <c r="AG56" s="13">
        <v>3315</v>
      </c>
      <c r="AH56" s="13">
        <v>3090</v>
      </c>
      <c r="AI56" s="13">
        <v>3285</v>
      </c>
      <c r="AJ56" s="13">
        <v>3170</v>
      </c>
      <c r="AK56" s="13">
        <v>3170</v>
      </c>
      <c r="AL56" s="13">
        <v>3405</v>
      </c>
      <c r="AM56" s="13">
        <v>3325</v>
      </c>
      <c r="AN56" s="13">
        <v>3370</v>
      </c>
      <c r="AO56" s="13">
        <v>3235</v>
      </c>
      <c r="AP56" s="13">
        <v>3145</v>
      </c>
      <c r="AQ56" s="13">
        <v>3155</v>
      </c>
      <c r="AR56" s="13">
        <v>3015</v>
      </c>
      <c r="AS56" s="13">
        <v>3060</v>
      </c>
      <c r="AT56" s="13">
        <v>3140</v>
      </c>
      <c r="AU56" s="13">
        <v>3135</v>
      </c>
      <c r="AV56" s="13">
        <v>3045</v>
      </c>
      <c r="AW56" s="13">
        <v>3060</v>
      </c>
      <c r="AX56" s="13">
        <v>3070</v>
      </c>
      <c r="AY56" s="13">
        <v>2979</v>
      </c>
      <c r="AZ56" s="13">
        <v>3015</v>
      </c>
      <c r="BA56" s="13">
        <v>2893</v>
      </c>
      <c r="BB56" s="13">
        <v>2926</v>
      </c>
      <c r="BC56" s="13">
        <v>3050</v>
      </c>
      <c r="BD56" s="13">
        <v>3070</v>
      </c>
      <c r="BE56" s="13">
        <v>3095</v>
      </c>
      <c r="BF56" s="13">
        <v>2868</v>
      </c>
      <c r="BG56" s="13">
        <v>2732</v>
      </c>
      <c r="BH56" s="13">
        <v>2800</v>
      </c>
      <c r="BI56" s="13">
        <v>2880</v>
      </c>
      <c r="BJ56" s="13">
        <v>2812</v>
      </c>
      <c r="BK56" s="13">
        <v>2955</v>
      </c>
      <c r="BL56" s="13">
        <v>3095</v>
      </c>
    </row>
    <row r="57" spans="1:64" ht="15.95" customHeight="1">
      <c r="A57" s="64" t="s">
        <v>314</v>
      </c>
      <c r="B57" s="6" t="s">
        <v>133</v>
      </c>
      <c r="C57" s="15">
        <f>_xll.RssMarket("6203","現在値")</f>
        <v>1630</v>
      </c>
      <c r="D57" s="16">
        <f t="shared" si="0"/>
        <v>0</v>
      </c>
      <c r="E57" s="13">
        <v>1630</v>
      </c>
      <c r="F57" s="13">
        <v>1556</v>
      </c>
      <c r="G57" s="13">
        <v>1541</v>
      </c>
      <c r="H57" s="13">
        <v>1605</v>
      </c>
      <c r="I57" s="13">
        <v>1676</v>
      </c>
      <c r="J57" s="13">
        <v>1795</v>
      </c>
      <c r="K57" s="13">
        <v>1817</v>
      </c>
      <c r="L57" s="13">
        <v>1750</v>
      </c>
      <c r="M57" s="13">
        <v>1830</v>
      </c>
      <c r="N57" s="13">
        <v>1927</v>
      </c>
      <c r="O57" s="13">
        <v>1716</v>
      </c>
      <c r="P57" s="13">
        <v>1783</v>
      </c>
      <c r="Q57" s="13">
        <v>1670</v>
      </c>
      <c r="R57" s="13">
        <v>1370</v>
      </c>
      <c r="S57" s="13">
        <v>1369</v>
      </c>
      <c r="T57" s="13">
        <v>1353</v>
      </c>
      <c r="U57" s="13">
        <v>1318</v>
      </c>
      <c r="V57" s="13">
        <v>1276</v>
      </c>
      <c r="W57" s="13">
        <v>1323</v>
      </c>
      <c r="X57" s="13">
        <v>1301</v>
      </c>
      <c r="Y57" s="13">
        <v>1388</v>
      </c>
      <c r="Z57" s="13">
        <v>1390</v>
      </c>
      <c r="AA57" s="13">
        <v>1457</v>
      </c>
      <c r="AB57" s="13">
        <v>1455</v>
      </c>
      <c r="AC57" s="13">
        <v>1539</v>
      </c>
      <c r="AD57" s="13">
        <v>1506</v>
      </c>
      <c r="AE57" s="13">
        <v>1537</v>
      </c>
      <c r="AF57" s="13">
        <v>1525</v>
      </c>
      <c r="AG57" s="13">
        <v>1521</v>
      </c>
      <c r="AH57" s="13">
        <v>1585</v>
      </c>
      <c r="AI57" s="13">
        <v>1505</v>
      </c>
      <c r="AJ57" s="13">
        <v>1493</v>
      </c>
      <c r="AK57" s="13">
        <v>1511</v>
      </c>
      <c r="AL57" s="13">
        <v>1543</v>
      </c>
      <c r="AM57" s="13">
        <v>1403</v>
      </c>
      <c r="AN57" s="13">
        <v>1357</v>
      </c>
      <c r="AO57" s="13">
        <v>1360</v>
      </c>
      <c r="AP57" s="13">
        <v>1360</v>
      </c>
      <c r="AQ57" s="13">
        <v>1393</v>
      </c>
      <c r="AR57" s="13">
        <v>1449</v>
      </c>
      <c r="AS57" s="13">
        <v>1467</v>
      </c>
      <c r="AT57" s="13">
        <v>1472</v>
      </c>
      <c r="AU57" s="13">
        <v>1485</v>
      </c>
      <c r="AV57" s="13">
        <v>1582</v>
      </c>
      <c r="AW57" s="13">
        <v>1503</v>
      </c>
      <c r="AX57" s="13">
        <v>1485</v>
      </c>
      <c r="AY57" s="13">
        <v>1520</v>
      </c>
      <c r="AZ57" s="13">
        <v>1516</v>
      </c>
      <c r="BA57" s="13">
        <v>1486</v>
      </c>
      <c r="BB57" s="13">
        <v>1410</v>
      </c>
      <c r="BC57" s="13">
        <v>1464</v>
      </c>
      <c r="BD57" s="13">
        <v>1535</v>
      </c>
      <c r="BE57" s="13">
        <v>1560</v>
      </c>
      <c r="BF57" s="13">
        <v>1581</v>
      </c>
      <c r="BG57" s="13">
        <v>1517</v>
      </c>
      <c r="BH57" s="13">
        <v>1461</v>
      </c>
      <c r="BI57" s="13">
        <v>1592</v>
      </c>
      <c r="BJ57" s="13">
        <v>1675</v>
      </c>
      <c r="BK57" s="13">
        <v>1639</v>
      </c>
      <c r="BL57" s="13">
        <v>1676</v>
      </c>
    </row>
    <row r="58" spans="1:64" ht="15.95" customHeight="1">
      <c r="A58" s="64" t="s">
        <v>315</v>
      </c>
      <c r="B58" s="6" t="s">
        <v>134</v>
      </c>
      <c r="C58" s="15">
        <f>_xll.RssMarket("4676","現在値")</f>
        <v>4007</v>
      </c>
      <c r="D58" s="16">
        <f t="shared" si="0"/>
        <v>0</v>
      </c>
      <c r="E58" s="13">
        <v>4007</v>
      </c>
      <c r="F58" s="13">
        <v>4021</v>
      </c>
      <c r="G58" s="13">
        <v>4045</v>
      </c>
      <c r="H58" s="13">
        <v>4094</v>
      </c>
      <c r="I58" s="13">
        <v>4122</v>
      </c>
      <c r="J58" s="13">
        <v>4129</v>
      </c>
      <c r="K58" s="13">
        <v>4176</v>
      </c>
      <c r="L58" s="13">
        <v>3838</v>
      </c>
      <c r="M58" s="13">
        <v>3843</v>
      </c>
      <c r="N58" s="13">
        <v>3866</v>
      </c>
      <c r="O58" s="13">
        <v>3774</v>
      </c>
      <c r="P58" s="13">
        <v>3737</v>
      </c>
      <c r="Q58" s="13">
        <v>3744</v>
      </c>
      <c r="R58" s="13">
        <v>3701</v>
      </c>
      <c r="S58" s="13">
        <v>3802</v>
      </c>
      <c r="T58" s="13">
        <v>3808</v>
      </c>
      <c r="U58" s="13">
        <v>3834</v>
      </c>
      <c r="V58" s="13">
        <v>3808</v>
      </c>
      <c r="W58" s="13">
        <v>3701</v>
      </c>
      <c r="X58" s="13">
        <v>3814</v>
      </c>
      <c r="Y58" s="13">
        <v>3789</v>
      </c>
      <c r="Z58" s="13">
        <v>3862</v>
      </c>
      <c r="AA58" s="13">
        <v>3861</v>
      </c>
      <c r="AB58" s="13">
        <v>3965</v>
      </c>
      <c r="AC58" s="13">
        <v>3928</v>
      </c>
      <c r="AD58" s="13">
        <v>3955</v>
      </c>
      <c r="AE58" s="13">
        <v>3910</v>
      </c>
      <c r="AF58" s="13">
        <v>3857</v>
      </c>
      <c r="AG58" s="13">
        <v>3879</v>
      </c>
      <c r="AH58" s="13">
        <v>3937</v>
      </c>
      <c r="AI58" s="13">
        <v>4059</v>
      </c>
      <c r="AJ58" s="13">
        <v>3969</v>
      </c>
      <c r="AK58" s="13">
        <v>3979</v>
      </c>
      <c r="AL58" s="13">
        <v>3932</v>
      </c>
      <c r="AM58" s="13">
        <v>4066</v>
      </c>
      <c r="AN58" s="13">
        <v>3773</v>
      </c>
      <c r="AO58" s="13">
        <v>3904</v>
      </c>
      <c r="AP58" s="13">
        <v>4164</v>
      </c>
      <c r="AQ58" s="13">
        <v>4198</v>
      </c>
      <c r="AR58" s="13">
        <v>4202</v>
      </c>
      <c r="AS58" s="13">
        <v>4260</v>
      </c>
      <c r="AT58" s="13">
        <v>4284</v>
      </c>
      <c r="AU58" s="13">
        <v>4295</v>
      </c>
      <c r="AV58" s="13">
        <v>4386</v>
      </c>
      <c r="AW58" s="13">
        <v>4294</v>
      </c>
      <c r="AX58" s="13">
        <v>4164</v>
      </c>
      <c r="AY58" s="13">
        <v>4075</v>
      </c>
      <c r="AZ58" s="13">
        <v>4140</v>
      </c>
      <c r="BA58" s="13">
        <v>3995</v>
      </c>
      <c r="BB58" s="13">
        <v>4038</v>
      </c>
      <c r="BC58" s="13">
        <v>4170</v>
      </c>
      <c r="BD58" s="13">
        <v>4091</v>
      </c>
      <c r="BE58" s="13">
        <v>4013</v>
      </c>
      <c r="BF58" s="13">
        <v>3958</v>
      </c>
      <c r="BG58" s="13">
        <v>3908</v>
      </c>
      <c r="BH58" s="13">
        <v>3859</v>
      </c>
      <c r="BI58" s="13">
        <v>3872</v>
      </c>
      <c r="BJ58" s="13">
        <v>3805</v>
      </c>
      <c r="BK58" s="13">
        <v>3730</v>
      </c>
      <c r="BL58" s="13">
        <v>3718</v>
      </c>
    </row>
    <row r="59" spans="1:64" ht="15.95" customHeight="1">
      <c r="A59" s="64" t="s">
        <v>316</v>
      </c>
      <c r="B59" s="6" t="s">
        <v>135</v>
      </c>
      <c r="C59" s="15">
        <f>_xll.RssMarket("1961","現在値")</f>
        <v>2700</v>
      </c>
      <c r="D59" s="16">
        <f t="shared" si="0"/>
        <v>0</v>
      </c>
      <c r="E59" s="13">
        <v>2700</v>
      </c>
      <c r="F59" s="13">
        <v>2590</v>
      </c>
      <c r="G59" s="13">
        <v>2470</v>
      </c>
      <c r="H59" s="13">
        <v>2453</v>
      </c>
      <c r="I59" s="13">
        <v>2463</v>
      </c>
      <c r="J59" s="13">
        <v>2312</v>
      </c>
      <c r="K59" s="13">
        <v>2318</v>
      </c>
      <c r="L59" s="13">
        <v>2253</v>
      </c>
      <c r="M59" s="13">
        <v>2160</v>
      </c>
      <c r="N59" s="13">
        <v>2211</v>
      </c>
      <c r="O59" s="13">
        <v>2316</v>
      </c>
      <c r="P59" s="13">
        <v>2257</v>
      </c>
      <c r="Q59" s="13">
        <v>2227</v>
      </c>
      <c r="R59" s="13">
        <v>2232</v>
      </c>
      <c r="S59" s="13">
        <v>2189</v>
      </c>
      <c r="T59" s="13">
        <v>2181</v>
      </c>
      <c r="U59" s="13">
        <v>2267</v>
      </c>
      <c r="V59" s="13">
        <v>2398</v>
      </c>
      <c r="W59" s="13">
        <v>2414</v>
      </c>
      <c r="X59" s="13">
        <v>2575</v>
      </c>
      <c r="Y59" s="13">
        <v>2646</v>
      </c>
      <c r="Z59" s="13">
        <v>2596</v>
      </c>
      <c r="AA59" s="13">
        <v>2646</v>
      </c>
      <c r="AB59" s="13">
        <v>2608</v>
      </c>
      <c r="AC59" s="13">
        <v>2517</v>
      </c>
      <c r="AD59" s="13">
        <v>2549</v>
      </c>
      <c r="AE59" s="13">
        <v>2424</v>
      </c>
      <c r="AF59" s="13">
        <v>2409</v>
      </c>
      <c r="AG59" s="13">
        <v>2413</v>
      </c>
      <c r="AH59" s="13">
        <v>2339</v>
      </c>
      <c r="AI59" s="13">
        <v>2326</v>
      </c>
      <c r="AJ59" s="13">
        <v>2266</v>
      </c>
      <c r="AK59" s="13">
        <v>2329</v>
      </c>
      <c r="AL59" s="13">
        <v>2379</v>
      </c>
      <c r="AM59" s="13">
        <v>2353</v>
      </c>
      <c r="AN59" s="13">
        <v>2393</v>
      </c>
      <c r="AO59" s="13">
        <v>2439</v>
      </c>
      <c r="AP59" s="13">
        <v>2436</v>
      </c>
      <c r="AQ59" s="13">
        <v>2659</v>
      </c>
      <c r="AR59" s="13">
        <v>2729</v>
      </c>
      <c r="AS59" s="13">
        <v>2739</v>
      </c>
      <c r="AT59" s="13">
        <v>2656</v>
      </c>
      <c r="AU59" s="13">
        <v>2563</v>
      </c>
      <c r="AV59" s="13">
        <v>2466</v>
      </c>
      <c r="AW59" s="13">
        <v>2439</v>
      </c>
      <c r="AX59" s="13">
        <v>2419</v>
      </c>
      <c r="AY59" s="13">
        <v>2389</v>
      </c>
      <c r="AZ59" s="13">
        <v>2376</v>
      </c>
      <c r="BA59" s="13">
        <v>2236</v>
      </c>
      <c r="BB59" s="13">
        <v>2239</v>
      </c>
      <c r="BC59" s="13">
        <v>2323</v>
      </c>
      <c r="BD59" s="13">
        <v>2323</v>
      </c>
      <c r="BE59" s="13">
        <v>2319</v>
      </c>
      <c r="BF59" s="13">
        <v>2243</v>
      </c>
      <c r="BG59" s="13">
        <v>2166</v>
      </c>
      <c r="BH59" s="13">
        <v>2276</v>
      </c>
      <c r="BI59" s="13">
        <v>2333</v>
      </c>
      <c r="BJ59" s="13">
        <v>2203</v>
      </c>
      <c r="BK59" s="13">
        <v>2203</v>
      </c>
      <c r="BL59" s="13">
        <v>2236</v>
      </c>
    </row>
    <row r="60" spans="1:64" ht="15.95" customHeight="1">
      <c r="A60" s="64" t="s">
        <v>317</v>
      </c>
      <c r="B60" s="6" t="s">
        <v>136</v>
      </c>
      <c r="C60" s="15">
        <f>_xll.RssMarket("3107","現在値")</f>
        <v>3330</v>
      </c>
      <c r="D60" s="16">
        <f t="shared" si="0"/>
        <v>0</v>
      </c>
      <c r="E60" s="13">
        <v>3330</v>
      </c>
      <c r="F60" s="13">
        <v>3409</v>
      </c>
      <c r="G60" s="13">
        <v>3411</v>
      </c>
      <c r="H60" s="13">
        <v>3451</v>
      </c>
      <c r="I60" s="13">
        <v>3452</v>
      </c>
      <c r="J60" s="13">
        <v>3501</v>
      </c>
      <c r="K60" s="13">
        <v>3513</v>
      </c>
      <c r="L60" s="13">
        <v>3497</v>
      </c>
      <c r="M60" s="13">
        <v>3589</v>
      </c>
      <c r="N60" s="13">
        <v>3533</v>
      </c>
      <c r="O60" s="13">
        <v>3471</v>
      </c>
      <c r="P60" s="13">
        <v>3422</v>
      </c>
      <c r="Q60" s="13">
        <v>3396</v>
      </c>
      <c r="R60" s="13">
        <v>3346</v>
      </c>
      <c r="S60" s="13">
        <v>3359</v>
      </c>
      <c r="T60" s="13">
        <v>3485</v>
      </c>
      <c r="U60" s="13">
        <v>3534</v>
      </c>
      <c r="V60" s="13">
        <v>3514</v>
      </c>
      <c r="W60" s="13">
        <v>3581</v>
      </c>
      <c r="X60" s="13">
        <v>3514</v>
      </c>
      <c r="Y60" s="13">
        <v>3450</v>
      </c>
      <c r="Z60" s="13">
        <v>3426</v>
      </c>
      <c r="AA60" s="13">
        <v>3415</v>
      </c>
      <c r="AB60" s="13">
        <v>3392</v>
      </c>
      <c r="AC60" s="13">
        <v>3385</v>
      </c>
      <c r="AD60" s="13">
        <v>3403</v>
      </c>
      <c r="AE60" s="13">
        <v>3297</v>
      </c>
      <c r="AF60" s="13">
        <v>3202</v>
      </c>
      <c r="AG60" s="13">
        <v>3207</v>
      </c>
      <c r="AH60" s="13">
        <v>3213</v>
      </c>
      <c r="AI60" s="13">
        <v>3159</v>
      </c>
      <c r="AJ60" s="13">
        <v>3134</v>
      </c>
      <c r="AK60" s="13">
        <v>3107</v>
      </c>
      <c r="AL60" s="13">
        <v>3109</v>
      </c>
      <c r="AM60" s="13">
        <v>3099</v>
      </c>
      <c r="AN60" s="13">
        <v>3126</v>
      </c>
      <c r="AO60" s="13">
        <v>3166</v>
      </c>
      <c r="AP60" s="13">
        <v>3165</v>
      </c>
      <c r="AQ60" s="13">
        <v>3158</v>
      </c>
      <c r="AR60" s="13">
        <v>3137</v>
      </c>
      <c r="AS60" s="13">
        <v>3125</v>
      </c>
      <c r="AT60" s="13">
        <v>3098</v>
      </c>
      <c r="AU60" s="13">
        <v>3191</v>
      </c>
      <c r="AV60" s="13">
        <v>3235</v>
      </c>
      <c r="AW60" s="13">
        <v>3206</v>
      </c>
      <c r="AX60" s="13">
        <v>3188</v>
      </c>
      <c r="AY60" s="13">
        <v>3183</v>
      </c>
      <c r="AZ60" s="13">
        <v>3124</v>
      </c>
      <c r="BA60" s="13">
        <v>3193</v>
      </c>
      <c r="BB60" s="13">
        <v>3065</v>
      </c>
      <c r="BC60" s="13">
        <v>3049</v>
      </c>
      <c r="BD60" s="13">
        <v>3066</v>
      </c>
      <c r="BE60" s="13">
        <v>3015</v>
      </c>
      <c r="BF60" s="13">
        <v>3024</v>
      </c>
      <c r="BG60" s="13">
        <v>2940</v>
      </c>
      <c r="BH60" s="13">
        <v>2888.5</v>
      </c>
      <c r="BI60" s="13">
        <v>2968.5</v>
      </c>
      <c r="BJ60" s="13">
        <v>3025</v>
      </c>
      <c r="BK60" s="13">
        <v>2944.5</v>
      </c>
      <c r="BL60" s="13">
        <v>2909.5</v>
      </c>
    </row>
    <row r="61" spans="1:64" ht="15.95" customHeight="1">
      <c r="A61" s="64" t="s">
        <v>318</v>
      </c>
      <c r="B61" s="6" t="s">
        <v>137</v>
      </c>
      <c r="C61" s="15">
        <f>_xll.RssMarket("4045","現在値")</f>
        <v>1758.5</v>
      </c>
      <c r="D61" s="16">
        <f t="shared" si="0"/>
        <v>0</v>
      </c>
      <c r="E61" s="13">
        <v>1758.5</v>
      </c>
      <c r="F61" s="13">
        <v>1759</v>
      </c>
      <c r="G61" s="13">
        <v>1728</v>
      </c>
      <c r="H61" s="13">
        <v>1706.5</v>
      </c>
      <c r="I61" s="13">
        <v>1694</v>
      </c>
      <c r="J61" s="13">
        <v>1720</v>
      </c>
      <c r="K61" s="13">
        <v>1731.5</v>
      </c>
      <c r="L61" s="13">
        <v>1744</v>
      </c>
      <c r="M61" s="13">
        <v>1758</v>
      </c>
      <c r="N61" s="13">
        <v>1738.5</v>
      </c>
      <c r="O61" s="13">
        <v>1735</v>
      </c>
      <c r="P61" s="13">
        <v>1759</v>
      </c>
      <c r="Q61" s="13">
        <v>1747</v>
      </c>
      <c r="R61" s="13">
        <v>1734.5</v>
      </c>
      <c r="S61" s="13">
        <v>1730.5</v>
      </c>
      <c r="T61" s="13">
        <v>1713.5</v>
      </c>
      <c r="U61" s="13">
        <v>1704</v>
      </c>
      <c r="V61" s="13">
        <v>1685.5</v>
      </c>
      <c r="W61" s="13">
        <v>1729</v>
      </c>
      <c r="X61" s="13">
        <v>1746.5</v>
      </c>
      <c r="Y61" s="13">
        <v>1748.5</v>
      </c>
      <c r="Z61" s="13">
        <v>1763</v>
      </c>
      <c r="AA61" s="13">
        <v>1746</v>
      </c>
      <c r="AB61" s="13">
        <v>1733.5</v>
      </c>
      <c r="AC61" s="13">
        <v>1725</v>
      </c>
      <c r="AD61" s="13">
        <v>1719</v>
      </c>
      <c r="AE61" s="13">
        <v>1734</v>
      </c>
      <c r="AF61" s="13">
        <v>1715.5</v>
      </c>
      <c r="AG61" s="13">
        <v>1702.5</v>
      </c>
      <c r="AH61" s="13">
        <v>1719</v>
      </c>
      <c r="AI61" s="13">
        <v>1708</v>
      </c>
      <c r="AJ61" s="13">
        <v>1745</v>
      </c>
      <c r="AK61" s="13">
        <v>1775.5</v>
      </c>
      <c r="AL61" s="13">
        <v>1760</v>
      </c>
      <c r="AM61" s="13">
        <v>1790</v>
      </c>
      <c r="AN61" s="13">
        <v>1785</v>
      </c>
      <c r="AO61" s="13">
        <v>1802</v>
      </c>
      <c r="AP61" s="13">
        <v>1803.5</v>
      </c>
      <c r="AQ61" s="13">
        <v>1782.5</v>
      </c>
      <c r="AR61" s="13">
        <v>1781.5</v>
      </c>
      <c r="AS61" s="13">
        <v>1772.5</v>
      </c>
      <c r="AT61" s="13">
        <v>1791</v>
      </c>
      <c r="AU61" s="13">
        <v>1786</v>
      </c>
      <c r="AV61" s="13">
        <v>1801.5</v>
      </c>
      <c r="AW61" s="13">
        <v>1754</v>
      </c>
      <c r="AX61" s="13">
        <v>1737.5</v>
      </c>
      <c r="AY61" s="13">
        <v>1745</v>
      </c>
      <c r="AZ61" s="13">
        <v>1734</v>
      </c>
      <c r="BA61" s="13">
        <v>1760</v>
      </c>
      <c r="BB61" s="13">
        <v>1707.5</v>
      </c>
      <c r="BC61" s="13">
        <v>1718</v>
      </c>
      <c r="BD61" s="13">
        <v>1731</v>
      </c>
      <c r="BE61" s="13">
        <v>1722</v>
      </c>
      <c r="BF61" s="13">
        <v>1735</v>
      </c>
      <c r="BG61" s="13">
        <v>1695.5</v>
      </c>
      <c r="BH61" s="13">
        <v>1660.5</v>
      </c>
      <c r="BI61" s="13">
        <v>1701.5</v>
      </c>
      <c r="BJ61" s="13">
        <v>1777.5</v>
      </c>
      <c r="BK61" s="13">
        <v>1732.5</v>
      </c>
      <c r="BL61" s="13">
        <v>1734.5</v>
      </c>
    </row>
    <row r="62" spans="1:64" ht="15.95" customHeight="1">
      <c r="A62" s="64" t="s">
        <v>319</v>
      </c>
      <c r="B62" s="6" t="s">
        <v>138</v>
      </c>
      <c r="C62" s="15">
        <f>_xll.RssMarket("5857","現在値")</f>
        <v>3305</v>
      </c>
      <c r="D62" s="16">
        <f t="shared" si="0"/>
        <v>0</v>
      </c>
      <c r="E62" s="13">
        <v>3305</v>
      </c>
      <c r="F62" s="13">
        <v>3180</v>
      </c>
      <c r="G62" s="13">
        <v>3065</v>
      </c>
      <c r="H62" s="13">
        <v>2929</v>
      </c>
      <c r="I62" s="13">
        <v>3030</v>
      </c>
      <c r="J62" s="13">
        <v>3095</v>
      </c>
      <c r="K62" s="13">
        <v>3180</v>
      </c>
      <c r="L62" s="13">
        <v>3160</v>
      </c>
      <c r="M62" s="13">
        <v>3300</v>
      </c>
      <c r="N62" s="13">
        <v>3265</v>
      </c>
      <c r="O62" s="13">
        <v>3245</v>
      </c>
      <c r="P62" s="13">
        <v>3375</v>
      </c>
      <c r="Q62" s="13">
        <v>3265</v>
      </c>
      <c r="R62" s="13">
        <v>3335</v>
      </c>
      <c r="S62" s="13">
        <v>3485</v>
      </c>
      <c r="T62" s="13">
        <v>3530</v>
      </c>
      <c r="U62" s="13">
        <v>3425</v>
      </c>
      <c r="V62" s="13">
        <v>3465</v>
      </c>
      <c r="W62" s="13">
        <v>3690</v>
      </c>
      <c r="X62" s="13">
        <v>3715</v>
      </c>
      <c r="Y62" s="13">
        <v>3925</v>
      </c>
      <c r="Z62" s="13">
        <v>3860</v>
      </c>
      <c r="AA62" s="13">
        <v>4060</v>
      </c>
      <c r="AB62" s="13">
        <v>3875</v>
      </c>
      <c r="AC62" s="13">
        <v>3845</v>
      </c>
      <c r="AD62" s="13">
        <v>4075</v>
      </c>
      <c r="AE62" s="13">
        <v>4010</v>
      </c>
      <c r="AF62" s="13">
        <v>3505</v>
      </c>
      <c r="AG62" s="13">
        <v>3530</v>
      </c>
      <c r="AH62" s="13">
        <v>3645</v>
      </c>
      <c r="AI62" s="13">
        <v>3635</v>
      </c>
      <c r="AJ62" s="13">
        <v>3645</v>
      </c>
      <c r="AK62" s="13">
        <v>3665</v>
      </c>
      <c r="AL62" s="13">
        <v>3795</v>
      </c>
      <c r="AM62" s="13">
        <v>3995</v>
      </c>
      <c r="AN62" s="13">
        <v>3720</v>
      </c>
      <c r="AO62" s="13">
        <v>3800</v>
      </c>
      <c r="AP62" s="13">
        <v>3860</v>
      </c>
      <c r="AQ62" s="13">
        <v>3750</v>
      </c>
      <c r="AR62" s="13">
        <v>3780</v>
      </c>
      <c r="AS62" s="13">
        <v>3720</v>
      </c>
      <c r="AT62" s="13">
        <v>3690</v>
      </c>
      <c r="AU62" s="13">
        <v>3755</v>
      </c>
      <c r="AV62" s="13">
        <v>3785</v>
      </c>
      <c r="AW62" s="13">
        <v>3595</v>
      </c>
      <c r="AX62" s="13">
        <v>3580</v>
      </c>
      <c r="AY62" s="13">
        <v>3590</v>
      </c>
      <c r="AZ62" s="13">
        <v>3480</v>
      </c>
      <c r="BA62" s="13">
        <v>3535</v>
      </c>
      <c r="BB62" s="13">
        <v>3355</v>
      </c>
      <c r="BC62" s="13">
        <v>3420</v>
      </c>
      <c r="BD62" s="13">
        <v>3570</v>
      </c>
      <c r="BE62" s="13">
        <v>3515</v>
      </c>
      <c r="BF62" s="13">
        <v>3575</v>
      </c>
      <c r="BG62" s="13">
        <v>3440</v>
      </c>
      <c r="BH62" s="13">
        <v>3350</v>
      </c>
      <c r="BI62" s="13">
        <v>3605</v>
      </c>
      <c r="BJ62" s="13">
        <v>3865</v>
      </c>
      <c r="BK62" s="13">
        <v>3685</v>
      </c>
      <c r="BL62" s="13">
        <v>3680</v>
      </c>
    </row>
    <row r="63" spans="1:64" ht="15.95" customHeight="1">
      <c r="A63" s="64" t="s">
        <v>320</v>
      </c>
      <c r="B63" s="6" t="s">
        <v>139</v>
      </c>
      <c r="C63" s="15">
        <f>_xll.RssMarket("8281","現在値")</f>
        <v>1050</v>
      </c>
      <c r="D63" s="16">
        <f t="shared" si="0"/>
        <v>0</v>
      </c>
      <c r="E63" s="13">
        <v>1050</v>
      </c>
      <c r="F63" s="13">
        <v>1053</v>
      </c>
      <c r="G63" s="13">
        <v>1072</v>
      </c>
      <c r="H63" s="13">
        <v>1070</v>
      </c>
      <c r="I63" s="13">
        <v>1055</v>
      </c>
      <c r="J63" s="13">
        <v>1065</v>
      </c>
      <c r="K63" s="13">
        <v>1031</v>
      </c>
      <c r="L63" s="13">
        <v>1027</v>
      </c>
      <c r="M63" s="13">
        <v>1015</v>
      </c>
      <c r="N63" s="13">
        <v>1031</v>
      </c>
      <c r="O63" s="13">
        <v>1034</v>
      </c>
      <c r="P63" s="13">
        <v>1058</v>
      </c>
      <c r="Q63" s="13">
        <v>1054</v>
      </c>
      <c r="R63" s="13">
        <v>1044</v>
      </c>
      <c r="S63" s="13">
        <v>1056</v>
      </c>
      <c r="T63" s="13">
        <v>1050</v>
      </c>
      <c r="U63" s="13">
        <v>1044</v>
      </c>
      <c r="V63" s="13">
        <v>1049</v>
      </c>
      <c r="W63" s="13">
        <v>1021</v>
      </c>
      <c r="X63" s="13">
        <v>1000</v>
      </c>
      <c r="Y63" s="13">
        <v>964</v>
      </c>
      <c r="Z63" s="13">
        <v>966</v>
      </c>
      <c r="AA63" s="13">
        <v>959</v>
      </c>
      <c r="AB63" s="13">
        <v>962</v>
      </c>
      <c r="AC63" s="13">
        <v>964</v>
      </c>
      <c r="AD63" s="13">
        <v>973</v>
      </c>
      <c r="AE63" s="13">
        <v>988</v>
      </c>
      <c r="AF63" s="13">
        <v>993</v>
      </c>
      <c r="AG63" s="13">
        <v>999</v>
      </c>
      <c r="AH63" s="13">
        <v>990</v>
      </c>
      <c r="AI63" s="13">
        <v>993</v>
      </c>
      <c r="AJ63" s="13">
        <v>997</v>
      </c>
      <c r="AK63" s="13">
        <v>1010</v>
      </c>
      <c r="AL63" s="13">
        <v>1020</v>
      </c>
      <c r="AM63" s="13">
        <v>1029</v>
      </c>
      <c r="AN63" s="13">
        <v>1016</v>
      </c>
      <c r="AO63" s="13">
        <v>1018</v>
      </c>
      <c r="AP63" s="13">
        <v>1021</v>
      </c>
      <c r="AQ63" s="13">
        <v>1008</v>
      </c>
      <c r="AR63" s="13">
        <v>1003</v>
      </c>
      <c r="AS63" s="13">
        <v>1010</v>
      </c>
      <c r="AT63" s="13">
        <v>1025</v>
      </c>
      <c r="AU63" s="13">
        <v>1043</v>
      </c>
      <c r="AV63" s="13">
        <v>1030</v>
      </c>
      <c r="AW63" s="13">
        <v>1021</v>
      </c>
      <c r="AX63" s="13">
        <v>1016</v>
      </c>
      <c r="AY63" s="13">
        <v>1011</v>
      </c>
      <c r="AZ63" s="13">
        <v>1011</v>
      </c>
      <c r="BA63" s="13">
        <v>992</v>
      </c>
      <c r="BB63" s="13">
        <v>989</v>
      </c>
      <c r="BC63" s="13">
        <v>1018</v>
      </c>
      <c r="BD63" s="13">
        <v>1013</v>
      </c>
      <c r="BE63" s="13">
        <v>1016</v>
      </c>
      <c r="BF63" s="13">
        <v>1006</v>
      </c>
      <c r="BG63" s="13">
        <v>991</v>
      </c>
      <c r="BH63" s="13">
        <v>1016</v>
      </c>
      <c r="BI63" s="13">
        <v>1053</v>
      </c>
      <c r="BJ63" s="13">
        <v>1044</v>
      </c>
      <c r="BK63" s="13">
        <v>1037</v>
      </c>
      <c r="BL63" s="13">
        <v>1031</v>
      </c>
    </row>
    <row r="64" spans="1:64" ht="15.95" customHeight="1">
      <c r="A64" s="64" t="s">
        <v>321</v>
      </c>
      <c r="B64" s="6" t="s">
        <v>140</v>
      </c>
      <c r="C64" s="15">
        <f>_xll.RssMarket("4540","現在値")</f>
        <v>3704</v>
      </c>
      <c r="D64" s="16">
        <f t="shared" si="0"/>
        <v>0</v>
      </c>
      <c r="E64" s="13">
        <v>3704</v>
      </c>
      <c r="F64" s="13">
        <v>3761</v>
      </c>
      <c r="G64" s="13">
        <v>3724</v>
      </c>
      <c r="H64" s="13">
        <v>3744</v>
      </c>
      <c r="I64" s="13">
        <v>3751</v>
      </c>
      <c r="J64" s="13">
        <v>3714</v>
      </c>
      <c r="K64" s="13">
        <v>3680</v>
      </c>
      <c r="L64" s="13">
        <v>3712</v>
      </c>
      <c r="M64" s="13">
        <v>3727</v>
      </c>
      <c r="N64" s="13">
        <v>3708</v>
      </c>
      <c r="O64" s="13">
        <v>3735</v>
      </c>
      <c r="P64" s="13">
        <v>3810</v>
      </c>
      <c r="Q64" s="13">
        <v>3750</v>
      </c>
      <c r="R64" s="13">
        <v>3847</v>
      </c>
      <c r="S64" s="13">
        <v>3752</v>
      </c>
      <c r="T64" s="13">
        <v>3820</v>
      </c>
      <c r="U64" s="13">
        <v>3895</v>
      </c>
      <c r="V64" s="13">
        <v>3932</v>
      </c>
      <c r="W64" s="13">
        <v>3934</v>
      </c>
      <c r="X64" s="13">
        <v>3818</v>
      </c>
      <c r="Y64" s="13">
        <v>3778</v>
      </c>
      <c r="Z64" s="13">
        <v>3731</v>
      </c>
      <c r="AA64" s="13">
        <v>3702</v>
      </c>
      <c r="AB64" s="13">
        <v>3527</v>
      </c>
      <c r="AC64" s="13">
        <v>3563</v>
      </c>
      <c r="AD64" s="13">
        <v>3582</v>
      </c>
      <c r="AE64" s="13">
        <v>3628</v>
      </c>
      <c r="AF64" s="13">
        <v>3630</v>
      </c>
      <c r="AG64" s="13">
        <v>3651</v>
      </c>
      <c r="AH64" s="13">
        <v>3700</v>
      </c>
      <c r="AI64" s="13">
        <v>3692</v>
      </c>
      <c r="AJ64" s="13">
        <v>3703</v>
      </c>
      <c r="AK64" s="13">
        <v>3688</v>
      </c>
      <c r="AL64" s="13">
        <v>3690</v>
      </c>
      <c r="AM64" s="13">
        <v>3718</v>
      </c>
      <c r="AN64" s="13">
        <v>3746</v>
      </c>
      <c r="AO64" s="13">
        <v>3753</v>
      </c>
      <c r="AP64" s="13">
        <v>3753</v>
      </c>
      <c r="AQ64" s="13">
        <v>3782</v>
      </c>
      <c r="AR64" s="13">
        <v>3750</v>
      </c>
      <c r="AS64" s="13">
        <v>3763</v>
      </c>
      <c r="AT64" s="13">
        <v>3779</v>
      </c>
      <c r="AU64" s="13">
        <v>3822</v>
      </c>
      <c r="AV64" s="13">
        <v>3838</v>
      </c>
      <c r="AW64" s="13">
        <v>3828</v>
      </c>
      <c r="AX64" s="13">
        <v>3832</v>
      </c>
      <c r="AY64" s="13">
        <v>3844</v>
      </c>
      <c r="AZ64" s="13">
        <v>3831</v>
      </c>
      <c r="BA64" s="13">
        <v>3835</v>
      </c>
      <c r="BB64" s="13">
        <v>3746</v>
      </c>
      <c r="BC64" s="13">
        <v>3739</v>
      </c>
      <c r="BD64" s="13">
        <v>3873</v>
      </c>
      <c r="BE64" s="13">
        <v>3844</v>
      </c>
      <c r="BF64" s="13">
        <v>3829</v>
      </c>
      <c r="BG64" s="13">
        <v>3796</v>
      </c>
      <c r="BH64" s="13">
        <v>3712</v>
      </c>
      <c r="BI64" s="13">
        <v>3763</v>
      </c>
      <c r="BJ64" s="13">
        <v>3855</v>
      </c>
      <c r="BK64" s="13">
        <v>3841</v>
      </c>
      <c r="BL64" s="13">
        <v>3820</v>
      </c>
    </row>
    <row r="65" spans="1:64" ht="15.95" customHeight="1">
      <c r="A65" s="64" t="s">
        <v>322</v>
      </c>
      <c r="B65" s="6" t="s">
        <v>141</v>
      </c>
      <c r="C65" s="15">
        <f>_xll.RssMarket("9984","現在値")</f>
        <v>6880</v>
      </c>
      <c r="D65" s="16">
        <f t="shared" si="0"/>
        <v>0</v>
      </c>
      <c r="E65" s="13">
        <v>6880</v>
      </c>
      <c r="F65" s="13">
        <v>7102</v>
      </c>
      <c r="G65" s="13">
        <v>6472</v>
      </c>
      <c r="H65" s="13">
        <v>6374</v>
      </c>
      <c r="I65" s="13">
        <v>6461</v>
      </c>
      <c r="J65" s="13">
        <v>6976</v>
      </c>
      <c r="K65" s="13">
        <v>7426</v>
      </c>
      <c r="L65" s="13">
        <v>7377</v>
      </c>
      <c r="M65" s="13">
        <v>8315</v>
      </c>
      <c r="N65" s="13">
        <v>8632</v>
      </c>
      <c r="O65" s="13">
        <v>8541</v>
      </c>
      <c r="P65" s="13">
        <v>7491</v>
      </c>
      <c r="Q65" s="13">
        <v>7125</v>
      </c>
      <c r="R65" s="13">
        <v>7272</v>
      </c>
      <c r="S65" s="13">
        <v>7070</v>
      </c>
      <c r="T65" s="13">
        <v>6757</v>
      </c>
      <c r="U65" s="13">
        <v>6039</v>
      </c>
      <c r="V65" s="13">
        <v>5039</v>
      </c>
      <c r="W65" s="13">
        <v>5361</v>
      </c>
      <c r="X65" s="13">
        <v>5593</v>
      </c>
      <c r="Y65" s="13">
        <v>5745</v>
      </c>
      <c r="Z65" s="13">
        <v>5770</v>
      </c>
      <c r="AA65" s="13">
        <v>6012</v>
      </c>
      <c r="AB65" s="13">
        <v>5987</v>
      </c>
      <c r="AC65" s="13">
        <v>5743</v>
      </c>
      <c r="AD65" s="13">
        <v>6131</v>
      </c>
      <c r="AE65" s="13">
        <v>6424</v>
      </c>
      <c r="AF65" s="13">
        <v>5424</v>
      </c>
      <c r="AG65" s="13">
        <v>5219</v>
      </c>
      <c r="AH65" s="13">
        <v>5268</v>
      </c>
      <c r="AI65" s="13">
        <v>5844</v>
      </c>
      <c r="AJ65" s="13">
        <v>5963</v>
      </c>
      <c r="AK65" s="13">
        <v>5837</v>
      </c>
      <c r="AL65" s="13">
        <v>5620</v>
      </c>
      <c r="AM65" s="13">
        <v>5181</v>
      </c>
      <c r="AN65" s="13">
        <v>4774</v>
      </c>
      <c r="AO65" s="13">
        <v>4527</v>
      </c>
      <c r="AP65" s="13">
        <v>4672</v>
      </c>
      <c r="AQ65" s="13">
        <v>4444</v>
      </c>
      <c r="AR65" s="13">
        <v>4242</v>
      </c>
      <c r="AS65" s="13">
        <v>3764</v>
      </c>
      <c r="AT65" s="13">
        <v>3778</v>
      </c>
      <c r="AU65" s="13">
        <v>3775</v>
      </c>
      <c r="AV65" s="13">
        <v>3822</v>
      </c>
      <c r="AW65" s="13">
        <v>3565</v>
      </c>
      <c r="AX65" s="13">
        <v>3648</v>
      </c>
      <c r="AY65" s="13">
        <v>3609</v>
      </c>
      <c r="AZ65" s="13">
        <v>3604</v>
      </c>
      <c r="BA65" s="13">
        <v>3764</v>
      </c>
      <c r="BB65" s="13">
        <v>3555</v>
      </c>
      <c r="BC65" s="13">
        <v>3692</v>
      </c>
      <c r="BD65" s="13">
        <v>3946</v>
      </c>
      <c r="BE65" s="13">
        <v>3822</v>
      </c>
      <c r="BF65" s="13">
        <v>3809</v>
      </c>
      <c r="BG65" s="13">
        <v>3530</v>
      </c>
      <c r="BH65" s="13">
        <v>3507</v>
      </c>
      <c r="BI65" s="13">
        <v>3558</v>
      </c>
      <c r="BJ65" s="13">
        <v>3750</v>
      </c>
      <c r="BK65" s="13">
        <v>3544</v>
      </c>
      <c r="BL65" s="13">
        <v>3609</v>
      </c>
    </row>
    <row r="66" spans="1:64" ht="15.95" customHeight="1">
      <c r="A66" s="64" t="s">
        <v>323</v>
      </c>
      <c r="B66" s="6" t="s">
        <v>51</v>
      </c>
      <c r="C66" s="15">
        <f>_xll.RssMarket("4063","現在値")</f>
        <v>7549</v>
      </c>
      <c r="D66" s="16">
        <f t="shared" si="0"/>
        <v>0</v>
      </c>
      <c r="E66" s="13">
        <v>7549</v>
      </c>
      <c r="F66" s="13">
        <v>7454</v>
      </c>
      <c r="G66" s="13">
        <v>7188</v>
      </c>
      <c r="H66" s="13">
        <v>6858</v>
      </c>
      <c r="I66" s="13">
        <v>6695</v>
      </c>
      <c r="J66" s="13">
        <v>6863</v>
      </c>
      <c r="K66" s="13">
        <v>7350</v>
      </c>
      <c r="L66" s="13">
        <v>7641</v>
      </c>
      <c r="M66" s="13">
        <v>7806</v>
      </c>
      <c r="N66" s="13">
        <v>7473</v>
      </c>
      <c r="O66" s="13">
        <v>7793</v>
      </c>
      <c r="P66" s="13">
        <v>7758</v>
      </c>
      <c r="Q66" s="13">
        <v>7344</v>
      </c>
      <c r="R66" s="13">
        <v>7406</v>
      </c>
      <c r="S66" s="13">
        <v>7041</v>
      </c>
      <c r="T66" s="13">
        <v>7034</v>
      </c>
      <c r="U66" s="13">
        <v>6857</v>
      </c>
      <c r="V66" s="13">
        <v>6845</v>
      </c>
      <c r="W66" s="13">
        <v>7032</v>
      </c>
      <c r="X66" s="13">
        <v>7013</v>
      </c>
      <c r="Y66" s="13">
        <v>7105</v>
      </c>
      <c r="Z66" s="13">
        <v>7476</v>
      </c>
      <c r="AA66" s="13">
        <v>7417</v>
      </c>
      <c r="AB66" s="13">
        <v>7520</v>
      </c>
      <c r="AC66" s="13">
        <v>7574</v>
      </c>
      <c r="AD66" s="13">
        <v>7480</v>
      </c>
      <c r="AE66" s="13">
        <v>7711</v>
      </c>
      <c r="AF66" s="13">
        <v>7104</v>
      </c>
      <c r="AG66" s="13">
        <v>7246</v>
      </c>
      <c r="AH66" s="13">
        <v>7081</v>
      </c>
      <c r="AI66" s="13">
        <v>6949</v>
      </c>
      <c r="AJ66" s="13">
        <v>6768</v>
      </c>
      <c r="AK66" s="13">
        <v>6664</v>
      </c>
      <c r="AL66" s="13">
        <v>6642</v>
      </c>
      <c r="AM66" s="13">
        <v>6733</v>
      </c>
      <c r="AN66" s="13">
        <v>6773</v>
      </c>
      <c r="AO66" s="13">
        <v>6907</v>
      </c>
      <c r="AP66" s="13">
        <v>6910</v>
      </c>
      <c r="AQ66" s="13">
        <v>6809</v>
      </c>
      <c r="AR66" s="13">
        <v>6695</v>
      </c>
      <c r="AS66" s="13">
        <v>6662</v>
      </c>
      <c r="AT66" s="13">
        <v>6556</v>
      </c>
      <c r="AU66" s="13">
        <v>6506</v>
      </c>
      <c r="AV66" s="13">
        <v>6470</v>
      </c>
      <c r="AW66" s="13">
        <v>6574</v>
      </c>
      <c r="AX66" s="13">
        <v>6523</v>
      </c>
      <c r="AY66" s="13">
        <v>6450</v>
      </c>
      <c r="AZ66" s="13">
        <v>6412</v>
      </c>
      <c r="BA66" s="13">
        <v>6505</v>
      </c>
      <c r="BB66" s="13">
        <v>6259</v>
      </c>
      <c r="BC66" s="13">
        <v>6217</v>
      </c>
      <c r="BD66" s="13">
        <v>6140</v>
      </c>
      <c r="BE66" s="13">
        <v>6291</v>
      </c>
      <c r="BF66" s="13">
        <v>6294</v>
      </c>
      <c r="BG66" s="13">
        <v>6060</v>
      </c>
      <c r="BH66" s="13">
        <v>6073</v>
      </c>
      <c r="BI66" s="13">
        <v>6373</v>
      </c>
      <c r="BJ66" s="13">
        <v>6720</v>
      </c>
      <c r="BK66" s="13">
        <v>6433</v>
      </c>
      <c r="BL66" s="13">
        <v>6505</v>
      </c>
    </row>
    <row r="67" spans="1:64" ht="15.95" customHeight="1">
      <c r="A67" s="64" t="s">
        <v>324</v>
      </c>
      <c r="B67" s="6" t="s">
        <v>54</v>
      </c>
      <c r="C67" s="15">
        <f>_xll.RssMarket("4536","現在値")</f>
        <v>1882</v>
      </c>
      <c r="D67" s="16">
        <f t="shared" si="0"/>
        <v>0</v>
      </c>
      <c r="E67" s="13">
        <v>1882</v>
      </c>
      <c r="F67" s="13">
        <v>1919.5</v>
      </c>
      <c r="G67" s="13">
        <v>1923.5</v>
      </c>
      <c r="H67" s="13">
        <v>1935.5</v>
      </c>
      <c r="I67" s="13">
        <v>1942</v>
      </c>
      <c r="J67" s="13">
        <v>1954</v>
      </c>
      <c r="K67" s="13">
        <v>1927</v>
      </c>
      <c r="L67" s="13">
        <v>1872</v>
      </c>
      <c r="M67" s="13">
        <v>1855</v>
      </c>
      <c r="N67" s="13">
        <v>1863.5</v>
      </c>
      <c r="O67" s="13">
        <v>1857</v>
      </c>
      <c r="P67" s="13">
        <v>1915.5</v>
      </c>
      <c r="Q67" s="13">
        <v>1888.5</v>
      </c>
      <c r="R67" s="13">
        <v>1934</v>
      </c>
      <c r="S67" s="13">
        <v>1925</v>
      </c>
      <c r="T67" s="13">
        <v>1905</v>
      </c>
      <c r="U67" s="13">
        <v>1883</v>
      </c>
      <c r="V67" s="13">
        <v>1902.5</v>
      </c>
      <c r="W67" s="13">
        <v>1893.5</v>
      </c>
      <c r="X67" s="13">
        <v>1844</v>
      </c>
      <c r="Y67" s="13">
        <v>1861</v>
      </c>
      <c r="Z67" s="13">
        <v>1882</v>
      </c>
      <c r="AA67" s="13">
        <v>1815</v>
      </c>
      <c r="AB67" s="13">
        <v>1561.5</v>
      </c>
      <c r="AC67" s="13">
        <v>1622</v>
      </c>
      <c r="AD67" s="13">
        <v>1617.5</v>
      </c>
      <c r="AE67" s="13">
        <v>1629</v>
      </c>
      <c r="AF67" s="13">
        <v>1643</v>
      </c>
      <c r="AG67" s="13">
        <v>1616</v>
      </c>
      <c r="AH67" s="13">
        <v>1650.5</v>
      </c>
      <c r="AI67" s="13">
        <v>1647.5</v>
      </c>
      <c r="AJ67" s="13">
        <v>1674</v>
      </c>
      <c r="AK67" s="13">
        <v>1663</v>
      </c>
      <c r="AL67" s="13">
        <v>1683</v>
      </c>
      <c r="AM67" s="13">
        <v>1717</v>
      </c>
      <c r="AN67" s="13">
        <v>1752</v>
      </c>
      <c r="AO67" s="13">
        <v>1772</v>
      </c>
      <c r="AP67" s="13">
        <v>1782</v>
      </c>
      <c r="AQ67" s="13">
        <v>1800.5</v>
      </c>
      <c r="AR67" s="13">
        <v>1800</v>
      </c>
      <c r="AS67" s="13">
        <v>1806</v>
      </c>
      <c r="AT67" s="13">
        <v>1826.5</v>
      </c>
      <c r="AU67" s="13">
        <v>1897</v>
      </c>
      <c r="AV67" s="13">
        <v>1931</v>
      </c>
      <c r="AW67" s="13">
        <v>1891</v>
      </c>
      <c r="AX67" s="13">
        <v>1875.5</v>
      </c>
      <c r="AY67" s="13">
        <v>1825.5</v>
      </c>
      <c r="AZ67" s="13">
        <v>1820</v>
      </c>
      <c r="BA67" s="13">
        <v>1849</v>
      </c>
      <c r="BB67" s="13">
        <v>1785.5</v>
      </c>
      <c r="BC67" s="13">
        <v>1766</v>
      </c>
      <c r="BD67" s="13">
        <v>1787</v>
      </c>
      <c r="BE67" s="13">
        <v>1757.5</v>
      </c>
      <c r="BF67" s="13">
        <v>1731</v>
      </c>
      <c r="BG67" s="13">
        <v>1716</v>
      </c>
      <c r="BH67" s="13">
        <v>1650</v>
      </c>
      <c r="BI67" s="13">
        <v>1686.5</v>
      </c>
      <c r="BJ67" s="13">
        <v>1690</v>
      </c>
      <c r="BK67" s="13">
        <v>1686.5</v>
      </c>
      <c r="BL67" s="13">
        <v>1655.5</v>
      </c>
    </row>
    <row r="68" spans="1:64" ht="15.95" customHeight="1">
      <c r="A68" s="64" t="s">
        <v>325</v>
      </c>
      <c r="B68" s="6" t="s">
        <v>52</v>
      </c>
      <c r="C68" s="15">
        <f>_xll.RssMarket("6503","現在値")</f>
        <v>5863</v>
      </c>
      <c r="D68" s="16">
        <f t="shared" si="0"/>
        <v>0</v>
      </c>
      <c r="E68" s="13">
        <v>5863</v>
      </c>
      <c r="F68" s="13">
        <v>5872</v>
      </c>
      <c r="G68" s="13">
        <v>5545</v>
      </c>
      <c r="H68" s="13">
        <v>5446</v>
      </c>
      <c r="I68" s="13">
        <v>5572</v>
      </c>
      <c r="J68" s="13">
        <v>5668</v>
      </c>
      <c r="K68" s="13">
        <v>6014</v>
      </c>
      <c r="L68" s="13">
        <v>5952</v>
      </c>
      <c r="M68" s="13">
        <v>6085</v>
      </c>
      <c r="N68" s="13">
        <v>6001</v>
      </c>
      <c r="O68" s="13">
        <v>6088</v>
      </c>
      <c r="P68" s="13">
        <v>6558</v>
      </c>
      <c r="Q68" s="13">
        <v>6557</v>
      </c>
      <c r="R68" s="13">
        <v>6500</v>
      </c>
      <c r="S68" s="13">
        <v>6560</v>
      </c>
      <c r="T68" s="13">
        <v>6301</v>
      </c>
      <c r="U68" s="13">
        <v>6069</v>
      </c>
      <c r="V68" s="13">
        <v>5747</v>
      </c>
      <c r="W68" s="13">
        <v>6020</v>
      </c>
      <c r="X68" s="13">
        <v>6350</v>
      </c>
      <c r="Y68" s="13">
        <v>6416</v>
      </c>
      <c r="Z68" s="13">
        <v>6436</v>
      </c>
      <c r="AA68" s="13">
        <v>6468</v>
      </c>
      <c r="AB68" s="13">
        <v>6373</v>
      </c>
      <c r="AC68" s="13">
        <v>6447</v>
      </c>
      <c r="AD68" s="13">
        <v>6460</v>
      </c>
      <c r="AE68" s="13">
        <v>6448</v>
      </c>
      <c r="AF68" s="13">
        <v>6071</v>
      </c>
      <c r="AG68" s="13">
        <v>6231</v>
      </c>
      <c r="AH68" s="13">
        <v>6078</v>
      </c>
      <c r="AI68" s="13">
        <v>6048</v>
      </c>
      <c r="AJ68" s="13">
        <v>5999</v>
      </c>
      <c r="AK68" s="13">
        <v>5881</v>
      </c>
      <c r="AL68" s="13">
        <v>5935</v>
      </c>
      <c r="AM68" s="13">
        <v>6028</v>
      </c>
      <c r="AN68" s="13">
        <v>6088</v>
      </c>
      <c r="AO68" s="13">
        <v>5799</v>
      </c>
      <c r="AP68" s="13">
        <v>5975</v>
      </c>
      <c r="AQ68" s="13">
        <v>5811</v>
      </c>
      <c r="AR68" s="13">
        <v>5859</v>
      </c>
      <c r="AS68" s="13">
        <v>5814</v>
      </c>
      <c r="AT68" s="13">
        <v>5813</v>
      </c>
      <c r="AU68" s="13">
        <v>5639</v>
      </c>
      <c r="AV68" s="13">
        <v>5619</v>
      </c>
      <c r="AW68" s="13">
        <v>5386</v>
      </c>
      <c r="AX68" s="13">
        <v>5300</v>
      </c>
      <c r="AY68" s="13">
        <v>5306</v>
      </c>
      <c r="AZ68" s="13">
        <v>5157</v>
      </c>
      <c r="BA68" s="13">
        <v>5337</v>
      </c>
      <c r="BB68" s="13">
        <v>4988</v>
      </c>
      <c r="BC68" s="13">
        <v>5042</v>
      </c>
      <c r="BD68" s="13">
        <v>5335</v>
      </c>
      <c r="BE68" s="13">
        <v>5456</v>
      </c>
      <c r="BF68" s="13">
        <v>5539</v>
      </c>
      <c r="BG68" s="13">
        <v>5275</v>
      </c>
      <c r="BH68" s="13">
        <v>5144</v>
      </c>
      <c r="BI68" s="13">
        <v>5483</v>
      </c>
      <c r="BJ68" s="13">
        <v>5639</v>
      </c>
      <c r="BK68" s="13">
        <v>5459</v>
      </c>
      <c r="BL68" s="13">
        <v>5353</v>
      </c>
    </row>
    <row r="69" spans="1:64" ht="15.95" customHeight="1">
      <c r="A69" s="64" t="s">
        <v>326</v>
      </c>
      <c r="B69" s="6" t="s">
        <v>55</v>
      </c>
      <c r="C69" s="15">
        <f>_xll.RssMarket("4980","現在値")</f>
        <v>4608</v>
      </c>
      <c r="D69" s="16">
        <f t="shared" si="0"/>
        <v>0</v>
      </c>
      <c r="E69" s="13">
        <v>4608</v>
      </c>
      <c r="F69" s="13">
        <v>4568</v>
      </c>
      <c r="G69" s="13">
        <v>4019</v>
      </c>
      <c r="H69" s="13">
        <v>3785</v>
      </c>
      <c r="I69" s="13">
        <v>3686</v>
      </c>
      <c r="J69" s="13">
        <v>3920</v>
      </c>
      <c r="K69" s="13">
        <v>4369</v>
      </c>
      <c r="L69" s="13">
        <v>4313</v>
      </c>
      <c r="M69" s="13">
        <v>4503</v>
      </c>
      <c r="N69" s="13">
        <v>4482</v>
      </c>
      <c r="O69" s="13">
        <v>4542</v>
      </c>
      <c r="P69" s="13">
        <v>4038</v>
      </c>
      <c r="Q69" s="13">
        <v>4029</v>
      </c>
      <c r="R69" s="13">
        <v>4052</v>
      </c>
      <c r="S69" s="13">
        <v>4365</v>
      </c>
      <c r="T69" s="13">
        <v>4093</v>
      </c>
      <c r="U69" s="13">
        <v>4085</v>
      </c>
      <c r="V69" s="13">
        <v>3751</v>
      </c>
      <c r="W69" s="13">
        <v>3872</v>
      </c>
      <c r="X69" s="13">
        <v>4187</v>
      </c>
      <c r="Y69" s="13">
        <v>3849</v>
      </c>
      <c r="Z69" s="13">
        <v>3149</v>
      </c>
      <c r="AA69" s="13">
        <v>2648.5</v>
      </c>
      <c r="AB69" s="13">
        <v>2681</v>
      </c>
      <c r="AC69" s="13">
        <v>2739.5</v>
      </c>
      <c r="AD69" s="13">
        <v>2719.5</v>
      </c>
      <c r="AE69" s="13">
        <v>2642.5</v>
      </c>
      <c r="AF69" s="13">
        <v>2481</v>
      </c>
      <c r="AG69" s="13">
        <v>2441.5</v>
      </c>
      <c r="AH69" s="13">
        <v>2461.5</v>
      </c>
      <c r="AI69" s="13">
        <v>2507.5</v>
      </c>
      <c r="AJ69" s="13">
        <v>2440.5</v>
      </c>
      <c r="AK69" s="13">
        <v>2385</v>
      </c>
      <c r="AL69" s="13">
        <v>2469</v>
      </c>
      <c r="AM69" s="13">
        <v>2451.5</v>
      </c>
      <c r="AN69" s="13">
        <v>2450.5</v>
      </c>
      <c r="AO69" s="13">
        <v>2433.5</v>
      </c>
      <c r="AP69" s="13">
        <v>2424.5</v>
      </c>
      <c r="AQ69" s="13">
        <v>2372.5</v>
      </c>
      <c r="AR69" s="13">
        <v>2373</v>
      </c>
      <c r="AS69" s="13">
        <v>2324</v>
      </c>
      <c r="AT69" s="13">
        <v>2362</v>
      </c>
      <c r="AU69" s="13">
        <v>2333.5</v>
      </c>
      <c r="AV69" s="13">
        <v>2363</v>
      </c>
      <c r="AW69" s="13">
        <v>2233.5</v>
      </c>
      <c r="AX69" s="13">
        <v>2192.5</v>
      </c>
      <c r="AY69" s="13">
        <v>2173.5</v>
      </c>
      <c r="AZ69" s="13">
        <v>2137.5</v>
      </c>
      <c r="BA69" s="13">
        <v>2220</v>
      </c>
      <c r="BB69" s="13">
        <v>2114.5</v>
      </c>
      <c r="BC69" s="13">
        <v>2132.5</v>
      </c>
      <c r="BD69" s="13">
        <v>2268.5</v>
      </c>
      <c r="BE69" s="13">
        <v>2243.5</v>
      </c>
      <c r="BF69" s="13">
        <v>2262</v>
      </c>
      <c r="BG69" s="13">
        <v>2190.5</v>
      </c>
      <c r="BH69" s="13">
        <v>2149</v>
      </c>
      <c r="BI69" s="13">
        <v>2298</v>
      </c>
      <c r="BJ69" s="13">
        <v>2387</v>
      </c>
      <c r="BK69" s="13">
        <v>2324</v>
      </c>
      <c r="BL69" s="13">
        <v>2359.5</v>
      </c>
    </row>
    <row r="70" spans="1:64" ht="15.95" customHeight="1">
      <c r="A70" s="64" t="s">
        <v>327</v>
      </c>
      <c r="B70" s="6" t="s">
        <v>56</v>
      </c>
      <c r="C70" s="15">
        <f>_xll.RssMarket("9424","現在値")</f>
        <v>115</v>
      </c>
      <c r="D70" s="16">
        <f t="shared" ref="D70:D133" si="1">C70-E70</f>
        <v>0</v>
      </c>
      <c r="E70" s="13">
        <v>115</v>
      </c>
      <c r="F70" s="13">
        <v>112</v>
      </c>
      <c r="G70" s="13">
        <v>113</v>
      </c>
      <c r="H70" s="13">
        <v>114</v>
      </c>
      <c r="I70" s="13">
        <v>113</v>
      </c>
      <c r="J70" s="13">
        <v>116</v>
      </c>
      <c r="K70" s="13">
        <v>115</v>
      </c>
      <c r="L70" s="13">
        <v>113</v>
      </c>
      <c r="M70" s="13">
        <v>115</v>
      </c>
      <c r="N70" s="13">
        <v>113</v>
      </c>
      <c r="O70" s="13">
        <v>115</v>
      </c>
      <c r="P70" s="13">
        <v>120</v>
      </c>
      <c r="Q70" s="13">
        <v>123</v>
      </c>
      <c r="R70" s="13">
        <v>120</v>
      </c>
      <c r="S70" s="13">
        <v>122</v>
      </c>
      <c r="T70" s="13">
        <v>124</v>
      </c>
      <c r="U70" s="13">
        <v>121</v>
      </c>
      <c r="V70" s="13">
        <v>124</v>
      </c>
      <c r="W70" s="13">
        <v>125</v>
      </c>
      <c r="X70" s="13">
        <v>126</v>
      </c>
      <c r="Y70" s="13">
        <v>128</v>
      </c>
      <c r="Z70" s="13">
        <v>127</v>
      </c>
      <c r="AA70" s="13">
        <v>126</v>
      </c>
      <c r="AB70" s="13">
        <v>125</v>
      </c>
      <c r="AC70" s="13">
        <v>125</v>
      </c>
      <c r="AD70" s="13">
        <v>124</v>
      </c>
      <c r="AE70" s="13">
        <v>126</v>
      </c>
      <c r="AF70" s="13">
        <v>124</v>
      </c>
      <c r="AG70" s="13">
        <v>128</v>
      </c>
      <c r="AH70" s="13">
        <v>129</v>
      </c>
      <c r="AI70" s="13">
        <v>130</v>
      </c>
      <c r="AJ70" s="13">
        <v>131</v>
      </c>
      <c r="AK70" s="13">
        <v>132</v>
      </c>
      <c r="AL70" s="13">
        <v>130</v>
      </c>
      <c r="AM70" s="13">
        <v>125</v>
      </c>
      <c r="AN70" s="13">
        <v>124</v>
      </c>
      <c r="AO70" s="13">
        <v>127</v>
      </c>
      <c r="AP70" s="13">
        <v>129</v>
      </c>
      <c r="AQ70" s="13">
        <v>131</v>
      </c>
      <c r="AR70" s="13">
        <v>127</v>
      </c>
      <c r="AS70" s="13">
        <v>128</v>
      </c>
      <c r="AT70" s="13">
        <v>129</v>
      </c>
      <c r="AU70" s="13">
        <v>129</v>
      </c>
      <c r="AV70" s="13">
        <v>131</v>
      </c>
      <c r="AW70" s="13">
        <v>128</v>
      </c>
      <c r="AX70" s="13">
        <v>130</v>
      </c>
      <c r="AY70" s="13">
        <v>131</v>
      </c>
      <c r="AZ70" s="13">
        <v>131</v>
      </c>
      <c r="BA70" s="13">
        <v>131</v>
      </c>
      <c r="BB70" s="13">
        <v>130</v>
      </c>
      <c r="BC70" s="13">
        <v>126</v>
      </c>
      <c r="BD70" s="13">
        <v>129</v>
      </c>
      <c r="BE70" s="13">
        <v>134</v>
      </c>
      <c r="BF70" s="13">
        <v>131</v>
      </c>
      <c r="BG70" s="13">
        <v>130</v>
      </c>
      <c r="BH70" s="13">
        <v>129</v>
      </c>
      <c r="BI70" s="13">
        <v>131</v>
      </c>
      <c r="BJ70" s="13">
        <v>135</v>
      </c>
      <c r="BK70" s="13">
        <v>137</v>
      </c>
      <c r="BL70" s="13">
        <v>133</v>
      </c>
    </row>
    <row r="71" spans="1:64" ht="15.95" customHeight="1">
      <c r="A71" s="64" t="s">
        <v>328</v>
      </c>
      <c r="B71" s="6" t="s">
        <v>57</v>
      </c>
      <c r="C71" s="15">
        <f>_xll.RssMarket("3854","現在値")</f>
        <v>2190</v>
      </c>
      <c r="D71" s="16">
        <f t="shared" si="1"/>
        <v>0</v>
      </c>
      <c r="E71" s="13">
        <v>2190</v>
      </c>
      <c r="F71" s="13">
        <v>2182</v>
      </c>
      <c r="G71" s="13">
        <v>2217</v>
      </c>
      <c r="H71" s="13">
        <v>2352</v>
      </c>
      <c r="I71" s="13">
        <v>2410</v>
      </c>
      <c r="J71" s="13">
        <v>2439</v>
      </c>
      <c r="K71" s="13">
        <v>2493</v>
      </c>
      <c r="L71" s="13">
        <v>2475</v>
      </c>
      <c r="M71" s="13">
        <v>2603</v>
      </c>
      <c r="N71" s="13">
        <v>2622</v>
      </c>
      <c r="O71" s="13">
        <v>2594</v>
      </c>
      <c r="P71" s="13">
        <v>2551</v>
      </c>
      <c r="Q71" s="13">
        <v>2568</v>
      </c>
      <c r="R71" s="13">
        <v>2515</v>
      </c>
      <c r="S71" s="13">
        <v>2523</v>
      </c>
      <c r="T71" s="13">
        <v>2572</v>
      </c>
      <c r="U71" s="13">
        <v>2470</v>
      </c>
      <c r="V71" s="13">
        <v>2460</v>
      </c>
      <c r="W71" s="13">
        <v>2470</v>
      </c>
      <c r="X71" s="13">
        <v>2398</v>
      </c>
      <c r="Y71" s="13">
        <v>2344</v>
      </c>
      <c r="Z71" s="13">
        <v>2312</v>
      </c>
      <c r="AA71" s="13">
        <v>2379</v>
      </c>
      <c r="AB71" s="13">
        <v>2369</v>
      </c>
      <c r="AC71" s="13">
        <v>2406</v>
      </c>
      <c r="AD71" s="13">
        <v>2415</v>
      </c>
      <c r="AE71" s="13">
        <v>2373</v>
      </c>
      <c r="AF71" s="13">
        <v>2344</v>
      </c>
      <c r="AG71" s="13">
        <v>2383</v>
      </c>
      <c r="AH71" s="13">
        <v>2396</v>
      </c>
      <c r="AI71" s="13">
        <v>2389</v>
      </c>
      <c r="AJ71" s="13">
        <v>2395</v>
      </c>
      <c r="AK71" s="13">
        <v>2428</v>
      </c>
      <c r="AL71" s="13">
        <v>2442</v>
      </c>
      <c r="AM71" s="13">
        <v>2465</v>
      </c>
      <c r="AN71" s="13">
        <v>2439</v>
      </c>
      <c r="AO71" s="13">
        <v>2423</v>
      </c>
      <c r="AP71" s="13">
        <v>2381</v>
      </c>
      <c r="AQ71" s="13">
        <v>2423</v>
      </c>
      <c r="AR71" s="13">
        <v>2384</v>
      </c>
      <c r="AS71" s="13">
        <v>2345</v>
      </c>
      <c r="AT71" s="13">
        <v>2352</v>
      </c>
      <c r="AU71" s="13">
        <v>2410</v>
      </c>
      <c r="AV71" s="13">
        <v>2442</v>
      </c>
      <c r="AW71" s="13">
        <v>2409</v>
      </c>
      <c r="AX71" s="13">
        <v>2425</v>
      </c>
      <c r="AY71" s="13">
        <v>2408</v>
      </c>
      <c r="AZ71" s="13">
        <v>2379</v>
      </c>
      <c r="BA71" s="13">
        <v>2414</v>
      </c>
      <c r="BB71" s="13">
        <v>2379</v>
      </c>
      <c r="BC71" s="13">
        <v>2363</v>
      </c>
      <c r="BD71" s="13">
        <v>2427</v>
      </c>
      <c r="BE71" s="13">
        <v>2366</v>
      </c>
      <c r="BF71" s="13">
        <v>2390</v>
      </c>
      <c r="BG71" s="13">
        <v>2386</v>
      </c>
      <c r="BH71" s="13">
        <v>2325</v>
      </c>
      <c r="BI71" s="13">
        <v>2363</v>
      </c>
      <c r="BJ71" s="13">
        <v>2410</v>
      </c>
      <c r="BK71" s="13">
        <v>2378</v>
      </c>
      <c r="BL71" s="13">
        <v>2414</v>
      </c>
    </row>
    <row r="72" spans="1:64" ht="15.95" customHeight="1">
      <c r="A72" s="64" t="s">
        <v>329</v>
      </c>
      <c r="B72" s="6" t="s">
        <v>58</v>
      </c>
      <c r="C72" s="15">
        <f>_xll.RssMarket("6027","現在値")</f>
        <v>2134</v>
      </c>
      <c r="D72" s="16">
        <f t="shared" si="1"/>
        <v>0</v>
      </c>
      <c r="E72" s="13">
        <v>2134</v>
      </c>
      <c r="F72" s="13">
        <v>2105</v>
      </c>
      <c r="G72" s="13">
        <v>2106</v>
      </c>
      <c r="H72" s="13">
        <v>2109</v>
      </c>
      <c r="I72" s="13">
        <v>2171</v>
      </c>
      <c r="J72" s="13">
        <v>2210</v>
      </c>
      <c r="K72" s="13">
        <v>2289</v>
      </c>
      <c r="L72" s="13">
        <v>2226</v>
      </c>
      <c r="M72" s="13">
        <v>2275</v>
      </c>
      <c r="N72" s="13">
        <v>2309</v>
      </c>
      <c r="O72" s="13">
        <v>2384</v>
      </c>
      <c r="P72" s="13">
        <v>2406</v>
      </c>
      <c r="Q72" s="13">
        <v>2436</v>
      </c>
      <c r="R72" s="13">
        <v>2462</v>
      </c>
      <c r="S72" s="13">
        <v>2566</v>
      </c>
      <c r="T72" s="13">
        <v>2548</v>
      </c>
      <c r="U72" s="13">
        <v>2566</v>
      </c>
      <c r="V72" s="13">
        <v>2575</v>
      </c>
      <c r="W72" s="13">
        <v>2766</v>
      </c>
      <c r="X72" s="13">
        <v>2769</v>
      </c>
      <c r="Y72" s="13">
        <v>2710</v>
      </c>
      <c r="Z72" s="13">
        <v>2751</v>
      </c>
      <c r="AA72" s="13">
        <v>2738</v>
      </c>
      <c r="AB72" s="13">
        <v>2671</v>
      </c>
      <c r="AC72" s="13">
        <v>2735</v>
      </c>
      <c r="AD72" s="13">
        <v>2720</v>
      </c>
      <c r="AE72" s="13">
        <v>2676</v>
      </c>
      <c r="AF72" s="13">
        <v>2520</v>
      </c>
      <c r="AG72" s="13">
        <v>2463</v>
      </c>
      <c r="AH72" s="13">
        <v>2487</v>
      </c>
      <c r="AI72" s="13">
        <v>2446</v>
      </c>
      <c r="AJ72" s="13">
        <v>2525</v>
      </c>
      <c r="AK72" s="13">
        <v>2579</v>
      </c>
      <c r="AL72" s="13">
        <v>2593</v>
      </c>
      <c r="AM72" s="13">
        <v>2584</v>
      </c>
      <c r="AN72" s="13">
        <v>2580</v>
      </c>
      <c r="AO72" s="13">
        <v>2583</v>
      </c>
      <c r="AP72" s="13">
        <v>2635</v>
      </c>
      <c r="AQ72" s="13">
        <v>2734</v>
      </c>
      <c r="AR72" s="13">
        <v>2578</v>
      </c>
      <c r="AS72" s="13">
        <v>2565</v>
      </c>
      <c r="AT72" s="13">
        <v>2565</v>
      </c>
      <c r="AU72" s="13">
        <v>2797</v>
      </c>
      <c r="AV72" s="13">
        <v>2939</v>
      </c>
      <c r="AW72" s="13">
        <v>2895</v>
      </c>
      <c r="AX72" s="13">
        <v>2864</v>
      </c>
      <c r="AY72" s="13">
        <v>2835</v>
      </c>
      <c r="AZ72" s="13">
        <v>2866</v>
      </c>
      <c r="BA72" s="13">
        <v>2894</v>
      </c>
      <c r="BB72" s="13">
        <v>2815</v>
      </c>
      <c r="BC72" s="13">
        <v>2807</v>
      </c>
      <c r="BD72" s="13">
        <v>2894</v>
      </c>
      <c r="BE72" s="13">
        <v>2899</v>
      </c>
      <c r="BF72" s="13">
        <v>2870</v>
      </c>
      <c r="BG72" s="13">
        <v>2815</v>
      </c>
      <c r="BH72" s="13">
        <v>2763</v>
      </c>
      <c r="BI72" s="13">
        <v>2850</v>
      </c>
      <c r="BJ72" s="13">
        <v>2850</v>
      </c>
      <c r="BK72" s="13">
        <v>2780</v>
      </c>
      <c r="BL72" s="13">
        <v>2787</v>
      </c>
    </row>
    <row r="73" spans="1:64" ht="15.95" customHeight="1">
      <c r="A73" s="64" t="s">
        <v>330</v>
      </c>
      <c r="B73" s="6" t="s">
        <v>59</v>
      </c>
      <c r="C73" s="15">
        <f>_xll.RssMarket("7806","現在値")</f>
        <v>7310</v>
      </c>
      <c r="D73" s="16">
        <f t="shared" si="1"/>
        <v>0</v>
      </c>
      <c r="E73" s="13">
        <v>7310</v>
      </c>
      <c r="F73" s="13">
        <v>7260</v>
      </c>
      <c r="G73" s="13">
        <v>7060</v>
      </c>
      <c r="H73" s="13">
        <v>7140</v>
      </c>
      <c r="I73" s="13">
        <v>7020</v>
      </c>
      <c r="J73" s="13">
        <v>6730</v>
      </c>
      <c r="K73" s="13">
        <v>6800</v>
      </c>
      <c r="L73" s="13">
        <v>6700</v>
      </c>
      <c r="M73" s="13">
        <v>7200</v>
      </c>
      <c r="N73" s="13">
        <v>6930</v>
      </c>
      <c r="O73" s="13">
        <v>7440</v>
      </c>
      <c r="P73" s="13">
        <v>7500</v>
      </c>
      <c r="Q73" s="13">
        <v>7440</v>
      </c>
      <c r="R73" s="13">
        <v>6990</v>
      </c>
      <c r="S73" s="13">
        <v>6390</v>
      </c>
      <c r="T73" s="13">
        <v>6220</v>
      </c>
      <c r="U73" s="13">
        <v>6410</v>
      </c>
      <c r="V73" s="13">
        <v>6400</v>
      </c>
      <c r="W73" s="13">
        <v>6620</v>
      </c>
      <c r="X73" s="13">
        <v>6290</v>
      </c>
      <c r="Y73" s="13">
        <v>6710</v>
      </c>
      <c r="Z73" s="13">
        <v>7180</v>
      </c>
      <c r="AA73" s="13">
        <v>6720</v>
      </c>
      <c r="AB73" s="13">
        <v>6610</v>
      </c>
      <c r="AC73" s="13">
        <v>6520</v>
      </c>
      <c r="AD73" s="13">
        <v>6290</v>
      </c>
      <c r="AE73" s="13">
        <v>6350</v>
      </c>
      <c r="AF73" s="13">
        <v>6100</v>
      </c>
      <c r="AG73" s="13">
        <v>5770</v>
      </c>
      <c r="AH73" s="13">
        <v>5950</v>
      </c>
      <c r="AI73" s="13">
        <v>5960</v>
      </c>
      <c r="AJ73" s="13">
        <v>6270</v>
      </c>
      <c r="AK73" s="13">
        <v>6390</v>
      </c>
      <c r="AL73" s="13">
        <v>6600</v>
      </c>
      <c r="AM73" s="13">
        <v>6550</v>
      </c>
      <c r="AN73" s="13">
        <v>6600</v>
      </c>
      <c r="AO73" s="13">
        <v>6600</v>
      </c>
      <c r="AP73" s="13">
        <v>6490</v>
      </c>
      <c r="AQ73" s="13">
        <v>6390</v>
      </c>
      <c r="AR73" s="13">
        <v>6300</v>
      </c>
      <c r="AS73" s="13">
        <v>6090</v>
      </c>
      <c r="AT73" s="13">
        <v>6070</v>
      </c>
      <c r="AU73" s="13">
        <v>6090</v>
      </c>
      <c r="AV73" s="13">
        <v>6290</v>
      </c>
      <c r="AW73" s="13">
        <v>6100</v>
      </c>
      <c r="AX73" s="13">
        <v>6120</v>
      </c>
      <c r="AY73" s="13">
        <v>6380</v>
      </c>
      <c r="AZ73" s="13">
        <v>6430</v>
      </c>
      <c r="BA73" s="13">
        <v>6380</v>
      </c>
      <c r="BB73" s="13">
        <v>6090</v>
      </c>
      <c r="BC73" s="13">
        <v>6260</v>
      </c>
      <c r="BD73" s="13">
        <v>6470</v>
      </c>
      <c r="BE73" s="13">
        <v>6000</v>
      </c>
      <c r="BF73" s="13">
        <v>6090</v>
      </c>
      <c r="BG73" s="13">
        <v>5840</v>
      </c>
      <c r="BH73" s="13">
        <v>5820</v>
      </c>
      <c r="BI73" s="13">
        <v>6160</v>
      </c>
      <c r="BJ73" s="13">
        <v>6410</v>
      </c>
      <c r="BK73" s="13">
        <v>6110</v>
      </c>
      <c r="BL73" s="13">
        <v>6270</v>
      </c>
    </row>
    <row r="74" spans="1:64" ht="15.95" customHeight="1">
      <c r="A74" s="64" t="s">
        <v>331</v>
      </c>
      <c r="B74" s="6" t="s">
        <v>60</v>
      </c>
      <c r="C74" s="15">
        <f>_xll.RssMarket("9202","現在値")</f>
        <v>3033</v>
      </c>
      <c r="D74" s="16">
        <f t="shared" si="1"/>
        <v>0</v>
      </c>
      <c r="E74" s="13">
        <v>3033</v>
      </c>
      <c r="F74" s="13">
        <v>3043</v>
      </c>
      <c r="G74" s="13">
        <v>2839</v>
      </c>
      <c r="H74" s="13">
        <v>2804.5</v>
      </c>
      <c r="I74" s="13">
        <v>2823</v>
      </c>
      <c r="J74" s="13">
        <v>2799</v>
      </c>
      <c r="K74" s="13">
        <v>2840</v>
      </c>
      <c r="L74" s="13">
        <v>2815.5</v>
      </c>
      <c r="M74" s="13">
        <v>2830</v>
      </c>
      <c r="N74" s="13">
        <v>2846</v>
      </c>
      <c r="O74" s="13">
        <v>2915.5</v>
      </c>
      <c r="P74" s="13">
        <v>2988.5</v>
      </c>
      <c r="Q74" s="13">
        <v>2886</v>
      </c>
      <c r="R74" s="13">
        <v>2883</v>
      </c>
      <c r="S74" s="13">
        <v>2874.5</v>
      </c>
      <c r="T74" s="13">
        <v>2784</v>
      </c>
      <c r="U74" s="13">
        <v>2785</v>
      </c>
      <c r="V74" s="13">
        <v>2717</v>
      </c>
      <c r="W74" s="13">
        <v>2746</v>
      </c>
      <c r="X74" s="13">
        <v>2717</v>
      </c>
      <c r="Y74" s="13">
        <v>2745</v>
      </c>
      <c r="Z74" s="13">
        <v>2769</v>
      </c>
      <c r="AA74" s="13">
        <v>2765.5</v>
      </c>
      <c r="AB74" s="13">
        <v>2789.5</v>
      </c>
      <c r="AC74" s="13">
        <v>2828.5</v>
      </c>
      <c r="AD74" s="13">
        <v>2838</v>
      </c>
      <c r="AE74" s="13">
        <v>2848.5</v>
      </c>
      <c r="AF74" s="13">
        <v>2709.5</v>
      </c>
      <c r="AG74" s="13">
        <v>2601.5</v>
      </c>
      <c r="AH74" s="13">
        <v>2629</v>
      </c>
      <c r="AI74" s="13">
        <v>2667</v>
      </c>
      <c r="AJ74" s="13">
        <v>2697</v>
      </c>
      <c r="AK74" s="13">
        <v>2714</v>
      </c>
      <c r="AL74" s="13">
        <v>2822</v>
      </c>
      <c r="AM74" s="13">
        <v>2852.5</v>
      </c>
      <c r="AN74" s="13">
        <v>2882</v>
      </c>
      <c r="AO74" s="13">
        <v>2821</v>
      </c>
      <c r="AP74" s="13">
        <v>2858.5</v>
      </c>
      <c r="AQ74" s="13">
        <v>2874.5</v>
      </c>
      <c r="AR74" s="13">
        <v>2856.5</v>
      </c>
      <c r="AS74" s="13">
        <v>2854</v>
      </c>
      <c r="AT74" s="13">
        <v>2896.5</v>
      </c>
      <c r="AU74" s="13">
        <v>2890</v>
      </c>
      <c r="AV74" s="13">
        <v>2984</v>
      </c>
      <c r="AW74" s="13">
        <v>2900.5</v>
      </c>
      <c r="AX74" s="13">
        <v>2927.5</v>
      </c>
      <c r="AY74" s="13">
        <v>2943</v>
      </c>
      <c r="AZ74" s="13">
        <v>2918.5</v>
      </c>
      <c r="BA74" s="13">
        <v>2910.5</v>
      </c>
      <c r="BB74" s="13">
        <v>2804</v>
      </c>
      <c r="BC74" s="13">
        <v>2864.5</v>
      </c>
      <c r="BD74" s="13">
        <v>2983</v>
      </c>
      <c r="BE74" s="13">
        <v>2988</v>
      </c>
      <c r="BF74" s="13">
        <v>2980</v>
      </c>
      <c r="BG74" s="13">
        <v>2934.5</v>
      </c>
      <c r="BH74" s="13">
        <v>2881.5</v>
      </c>
      <c r="BI74" s="13">
        <v>2891.5</v>
      </c>
      <c r="BJ74" s="13">
        <v>3030</v>
      </c>
      <c r="BK74" s="13">
        <v>2954</v>
      </c>
      <c r="BL74" s="13">
        <v>2916</v>
      </c>
    </row>
    <row r="75" spans="1:64" ht="15.95" customHeight="1">
      <c r="A75" s="64" t="s">
        <v>332</v>
      </c>
      <c r="B75" s="6" t="s">
        <v>61</v>
      </c>
      <c r="C75" s="15">
        <f>_xll.RssMarket("7846","現在値")</f>
        <v>5003</v>
      </c>
      <c r="D75" s="16">
        <f t="shared" si="1"/>
        <v>0</v>
      </c>
      <c r="E75" s="13">
        <v>5003</v>
      </c>
      <c r="F75" s="13">
        <v>4950</v>
      </c>
      <c r="G75" s="13">
        <v>4941</v>
      </c>
      <c r="H75" s="13">
        <v>4914</v>
      </c>
      <c r="I75" s="13">
        <v>4881</v>
      </c>
      <c r="J75" s="13">
        <v>4875</v>
      </c>
      <c r="K75" s="13">
        <v>4805</v>
      </c>
      <c r="L75" s="13">
        <v>4900</v>
      </c>
      <c r="M75" s="13">
        <v>4854</v>
      </c>
      <c r="N75" s="13">
        <v>4905</v>
      </c>
      <c r="O75" s="13">
        <v>4976</v>
      </c>
      <c r="P75" s="13">
        <v>4876</v>
      </c>
      <c r="Q75" s="13">
        <v>4938</v>
      </c>
      <c r="R75" s="13">
        <v>4922</v>
      </c>
      <c r="S75" s="13">
        <v>4948</v>
      </c>
      <c r="T75" s="13">
        <v>4906</v>
      </c>
      <c r="U75" s="13">
        <v>4869</v>
      </c>
      <c r="V75" s="13">
        <v>4755</v>
      </c>
      <c r="W75" s="13">
        <v>4672</v>
      </c>
      <c r="X75" s="13">
        <v>4664</v>
      </c>
      <c r="Y75" s="13">
        <v>4583</v>
      </c>
      <c r="Z75" s="13">
        <v>4553</v>
      </c>
      <c r="AA75" s="13">
        <v>4528</v>
      </c>
      <c r="AB75" s="13">
        <v>4808</v>
      </c>
      <c r="AC75" s="13">
        <v>4750</v>
      </c>
      <c r="AD75" s="13">
        <v>4861</v>
      </c>
      <c r="AE75" s="13">
        <v>4800</v>
      </c>
      <c r="AF75" s="13">
        <v>4790</v>
      </c>
      <c r="AG75" s="13">
        <v>4843</v>
      </c>
      <c r="AH75" s="13">
        <v>4753</v>
      </c>
      <c r="AI75" s="13">
        <v>4797</v>
      </c>
      <c r="AJ75" s="13">
        <v>4793</v>
      </c>
      <c r="AK75" s="13">
        <v>4817</v>
      </c>
      <c r="AL75" s="13">
        <v>4830</v>
      </c>
      <c r="AM75" s="13">
        <v>4811</v>
      </c>
      <c r="AN75" s="13">
        <v>4818</v>
      </c>
      <c r="AO75" s="13">
        <v>4846</v>
      </c>
      <c r="AP75" s="13">
        <v>4865</v>
      </c>
      <c r="AQ75" s="13">
        <v>4859</v>
      </c>
      <c r="AR75" s="13">
        <v>4861</v>
      </c>
      <c r="AS75" s="13">
        <v>4944</v>
      </c>
      <c r="AT75" s="13">
        <v>4968</v>
      </c>
      <c r="AU75" s="13">
        <v>4958</v>
      </c>
      <c r="AV75" s="13">
        <v>4923</v>
      </c>
      <c r="AW75" s="13">
        <v>4902</v>
      </c>
      <c r="AX75" s="13">
        <v>4867</v>
      </c>
      <c r="AY75" s="13">
        <v>4877</v>
      </c>
      <c r="AZ75" s="13">
        <v>4870</v>
      </c>
      <c r="BA75" s="13">
        <v>4686</v>
      </c>
      <c r="BB75" s="13">
        <v>4639</v>
      </c>
      <c r="BC75" s="13">
        <v>4772</v>
      </c>
      <c r="BD75" s="13">
        <v>4815</v>
      </c>
      <c r="BE75" s="13">
        <v>4800</v>
      </c>
      <c r="BF75" s="13">
        <v>4717</v>
      </c>
      <c r="BG75" s="13">
        <v>4600</v>
      </c>
      <c r="BH75" s="13">
        <v>4617</v>
      </c>
      <c r="BI75" s="13">
        <v>4618</v>
      </c>
      <c r="BJ75" s="13">
        <v>4548</v>
      </c>
      <c r="BK75" s="13">
        <v>4515</v>
      </c>
      <c r="BL75" s="13">
        <v>4537</v>
      </c>
    </row>
    <row r="76" spans="1:64" ht="15.95" customHeight="1">
      <c r="A76" s="64" t="s">
        <v>333</v>
      </c>
      <c r="B76" s="6" t="s">
        <v>53</v>
      </c>
      <c r="C76" s="15">
        <f>_xll.RssMarket("2802","現在値")</f>
        <v>5340</v>
      </c>
      <c r="D76" s="16">
        <f t="shared" si="1"/>
        <v>0</v>
      </c>
      <c r="E76" s="13">
        <v>5340</v>
      </c>
      <c r="F76" s="13">
        <v>5146</v>
      </c>
      <c r="G76" s="13">
        <v>5158</v>
      </c>
      <c r="H76" s="13">
        <v>5084</v>
      </c>
      <c r="I76" s="13">
        <v>4729</v>
      </c>
      <c r="J76" s="13">
        <v>4806</v>
      </c>
      <c r="K76" s="13">
        <v>4942</v>
      </c>
      <c r="L76" s="13">
        <v>5118</v>
      </c>
      <c r="M76" s="13">
        <v>5227</v>
      </c>
      <c r="N76" s="13">
        <v>5262</v>
      </c>
      <c r="O76" s="13">
        <v>5380</v>
      </c>
      <c r="P76" s="13">
        <v>5152</v>
      </c>
      <c r="Q76" s="13">
        <v>5142</v>
      </c>
      <c r="R76" s="13">
        <v>5289</v>
      </c>
      <c r="S76" s="13">
        <v>5475</v>
      </c>
      <c r="T76" s="13">
        <v>5300</v>
      </c>
      <c r="U76" s="13">
        <v>5176</v>
      </c>
      <c r="V76" s="13">
        <v>5068</v>
      </c>
      <c r="W76" s="13">
        <v>5178</v>
      </c>
      <c r="X76" s="13">
        <v>5193</v>
      </c>
      <c r="Y76" s="13">
        <v>5269</v>
      </c>
      <c r="Z76" s="13">
        <v>5542</v>
      </c>
      <c r="AA76" s="13">
        <v>5483</v>
      </c>
      <c r="AB76" s="13">
        <v>5439</v>
      </c>
      <c r="AC76" s="13">
        <v>5499</v>
      </c>
      <c r="AD76" s="13">
        <v>5030</v>
      </c>
      <c r="AE76" s="13">
        <v>4958</v>
      </c>
      <c r="AF76" s="13">
        <v>4882</v>
      </c>
      <c r="AG76" s="13">
        <v>5090</v>
      </c>
      <c r="AH76" s="13">
        <v>4767</v>
      </c>
      <c r="AI76" s="13">
        <v>4786</v>
      </c>
      <c r="AJ76" s="13">
        <v>4758</v>
      </c>
      <c r="AK76" s="13">
        <v>4590</v>
      </c>
      <c r="AL76" s="13">
        <v>4658</v>
      </c>
      <c r="AM76" s="13">
        <v>4721</v>
      </c>
      <c r="AN76" s="13">
        <v>4607</v>
      </c>
      <c r="AO76" s="13">
        <v>4574</v>
      </c>
      <c r="AP76" s="13">
        <v>4690</v>
      </c>
      <c r="AQ76" s="13">
        <v>4667</v>
      </c>
      <c r="AR76" s="13">
        <v>4617</v>
      </c>
      <c r="AS76" s="13">
        <v>4607</v>
      </c>
      <c r="AT76" s="13">
        <v>4652</v>
      </c>
      <c r="AU76" s="13">
        <v>4713</v>
      </c>
      <c r="AV76" s="13">
        <v>4776</v>
      </c>
      <c r="AW76" s="13">
        <v>4598</v>
      </c>
      <c r="AX76" s="13">
        <v>4657</v>
      </c>
      <c r="AY76" s="13">
        <v>4612</v>
      </c>
      <c r="AZ76" s="13">
        <v>4659</v>
      </c>
      <c r="BA76" s="13">
        <v>4622</v>
      </c>
      <c r="BB76" s="13">
        <v>4397</v>
      </c>
      <c r="BC76" s="13">
        <v>4447</v>
      </c>
      <c r="BD76" s="13">
        <v>4530</v>
      </c>
      <c r="BE76" s="13">
        <v>4514</v>
      </c>
      <c r="BF76" s="13">
        <v>4481</v>
      </c>
      <c r="BG76" s="13">
        <v>4293</v>
      </c>
      <c r="BH76" s="13">
        <v>4176</v>
      </c>
      <c r="BI76" s="13">
        <v>4405</v>
      </c>
      <c r="BJ76" s="13">
        <v>4577</v>
      </c>
      <c r="BK76" s="13">
        <v>4490</v>
      </c>
      <c r="BL76" s="13">
        <v>4478</v>
      </c>
    </row>
    <row r="77" spans="1:64" ht="15.95" customHeight="1">
      <c r="A77" s="64" t="s">
        <v>334</v>
      </c>
      <c r="B77" s="6" t="s">
        <v>62</v>
      </c>
      <c r="C77" s="15">
        <f>_xll.RssMarket("7203","現在値")</f>
        <v>2810</v>
      </c>
      <c r="D77" s="16">
        <f t="shared" si="1"/>
        <v>0</v>
      </c>
      <c r="E77" s="13">
        <v>2810</v>
      </c>
      <c r="F77" s="13">
        <v>2847.5</v>
      </c>
      <c r="G77" s="13">
        <v>2775.5</v>
      </c>
      <c r="H77" s="13">
        <v>2747.5</v>
      </c>
      <c r="I77" s="13">
        <v>2814</v>
      </c>
      <c r="J77" s="13">
        <v>2822.5</v>
      </c>
      <c r="K77" s="13">
        <v>2850</v>
      </c>
      <c r="L77" s="13">
        <v>2838.5</v>
      </c>
      <c r="M77" s="13">
        <v>2881</v>
      </c>
      <c r="N77" s="13">
        <v>2844</v>
      </c>
      <c r="O77" s="13">
        <v>2905.5</v>
      </c>
      <c r="P77" s="13">
        <v>3042</v>
      </c>
      <c r="Q77" s="13">
        <v>3030</v>
      </c>
      <c r="R77" s="13">
        <v>3008</v>
      </c>
      <c r="S77" s="13">
        <v>3026</v>
      </c>
      <c r="T77" s="13">
        <v>2987</v>
      </c>
      <c r="U77" s="13">
        <v>2978</v>
      </c>
      <c r="V77" s="13">
        <v>2942</v>
      </c>
      <c r="W77" s="13">
        <v>2957</v>
      </c>
      <c r="X77" s="13">
        <v>2954.5</v>
      </c>
      <c r="Y77" s="13">
        <v>3085</v>
      </c>
      <c r="Z77" s="13">
        <v>3008</v>
      </c>
      <c r="AA77" s="13">
        <v>2939.5</v>
      </c>
      <c r="AB77" s="13">
        <v>2843</v>
      </c>
      <c r="AC77" s="13">
        <v>2870</v>
      </c>
      <c r="AD77" s="13">
        <v>2913</v>
      </c>
      <c r="AE77" s="13">
        <v>2978</v>
      </c>
      <c r="AF77" s="13">
        <v>3000</v>
      </c>
      <c r="AG77" s="13">
        <v>3023</v>
      </c>
      <c r="AH77" s="13">
        <v>3112</v>
      </c>
      <c r="AI77" s="13">
        <v>3067</v>
      </c>
      <c r="AJ77" s="13">
        <v>3123</v>
      </c>
      <c r="AK77" s="13">
        <v>3191</v>
      </c>
      <c r="AL77" s="13">
        <v>3280</v>
      </c>
      <c r="AM77" s="13">
        <v>3390</v>
      </c>
      <c r="AN77" s="13">
        <v>3343</v>
      </c>
      <c r="AO77" s="13">
        <v>3392</v>
      </c>
      <c r="AP77" s="13">
        <v>3381</v>
      </c>
      <c r="AQ77" s="13">
        <v>3326</v>
      </c>
      <c r="AR77" s="13">
        <v>3319</v>
      </c>
      <c r="AS77" s="13">
        <v>3319</v>
      </c>
      <c r="AT77" s="13">
        <v>3331</v>
      </c>
      <c r="AU77" s="13">
        <v>3384</v>
      </c>
      <c r="AV77" s="13">
        <v>3252</v>
      </c>
      <c r="AW77" s="13">
        <v>3247</v>
      </c>
      <c r="AX77" s="13">
        <v>3255</v>
      </c>
      <c r="AY77" s="13">
        <v>3262</v>
      </c>
      <c r="AZ77" s="13">
        <v>3311</v>
      </c>
      <c r="BA77" s="13">
        <v>3162</v>
      </c>
      <c r="BB77" s="13">
        <v>3224</v>
      </c>
      <c r="BC77" s="13">
        <v>3408</v>
      </c>
      <c r="BD77" s="13">
        <v>3388</v>
      </c>
      <c r="BE77" s="13">
        <v>3338</v>
      </c>
      <c r="BF77" s="13">
        <v>3271</v>
      </c>
      <c r="BG77" s="13">
        <v>3251</v>
      </c>
      <c r="BH77" s="13">
        <v>3325</v>
      </c>
      <c r="BI77" s="13">
        <v>3404</v>
      </c>
      <c r="BJ77" s="13">
        <v>3379</v>
      </c>
      <c r="BK77" s="13">
        <v>3338</v>
      </c>
      <c r="BL77" s="13">
        <v>3370</v>
      </c>
    </row>
    <row r="78" spans="1:64" ht="15.95" customHeight="1">
      <c r="A78" s="64" t="s">
        <v>335</v>
      </c>
      <c r="B78" s="6" t="s">
        <v>63</v>
      </c>
      <c r="C78" s="15">
        <f>_xll.RssMarket("6954","現在値")</f>
        <v>7515</v>
      </c>
      <c r="D78" s="16">
        <f t="shared" si="1"/>
        <v>0</v>
      </c>
      <c r="E78" s="13">
        <v>7515</v>
      </c>
      <c r="F78" s="13">
        <v>7400</v>
      </c>
      <c r="G78" s="13">
        <v>6950</v>
      </c>
      <c r="H78" s="13">
        <v>6778</v>
      </c>
      <c r="I78" s="13">
        <v>6763</v>
      </c>
      <c r="J78" s="13">
        <v>7128</v>
      </c>
      <c r="K78" s="13">
        <v>7648</v>
      </c>
      <c r="L78" s="13">
        <v>7800</v>
      </c>
      <c r="M78" s="13">
        <v>7975</v>
      </c>
      <c r="N78" s="13">
        <v>7593</v>
      </c>
      <c r="O78" s="13">
        <v>8081</v>
      </c>
      <c r="P78" s="13">
        <v>7892</v>
      </c>
      <c r="Q78" s="13">
        <v>7984</v>
      </c>
      <c r="R78" s="13">
        <v>8154</v>
      </c>
      <c r="S78" s="13">
        <v>8428</v>
      </c>
      <c r="T78" s="13">
        <v>8174</v>
      </c>
      <c r="U78" s="13">
        <v>7667</v>
      </c>
      <c r="V78" s="13">
        <v>7322</v>
      </c>
      <c r="W78" s="13">
        <v>7662</v>
      </c>
      <c r="X78" s="13">
        <v>7966</v>
      </c>
      <c r="Y78" s="13">
        <v>8228</v>
      </c>
      <c r="Z78" s="13">
        <v>8036</v>
      </c>
      <c r="AA78" s="13">
        <v>7680</v>
      </c>
      <c r="AB78" s="13">
        <v>7750</v>
      </c>
      <c r="AC78" s="13">
        <v>7564</v>
      </c>
      <c r="AD78" s="13">
        <v>7515</v>
      </c>
      <c r="AE78" s="13">
        <v>7095</v>
      </c>
      <c r="AF78" s="13">
        <v>6820</v>
      </c>
      <c r="AG78" s="13">
        <v>6875</v>
      </c>
      <c r="AH78" s="13">
        <v>6961</v>
      </c>
      <c r="AI78" s="13">
        <v>7256</v>
      </c>
      <c r="AJ78" s="13">
        <v>6256</v>
      </c>
      <c r="AK78" s="13">
        <v>6340</v>
      </c>
      <c r="AL78" s="13">
        <v>6511</v>
      </c>
      <c r="AM78" s="13">
        <v>6478</v>
      </c>
      <c r="AN78" s="13">
        <v>6503</v>
      </c>
      <c r="AO78" s="13">
        <v>6228</v>
      </c>
      <c r="AP78" s="13">
        <v>6333</v>
      </c>
      <c r="AQ78" s="13">
        <v>6168</v>
      </c>
      <c r="AR78" s="13">
        <v>6231</v>
      </c>
      <c r="AS78" s="13">
        <v>6182</v>
      </c>
      <c r="AT78" s="13">
        <v>6249</v>
      </c>
      <c r="AU78" s="13">
        <v>5895</v>
      </c>
      <c r="AV78" s="13">
        <v>5924</v>
      </c>
      <c r="AW78" s="13">
        <v>5504</v>
      </c>
      <c r="AX78" s="13">
        <v>5492</v>
      </c>
      <c r="AY78" s="13">
        <v>5517</v>
      </c>
      <c r="AZ78" s="13">
        <v>5476</v>
      </c>
      <c r="BA78" s="13">
        <v>5697</v>
      </c>
      <c r="BB78" s="13">
        <v>5302</v>
      </c>
      <c r="BC78" s="13">
        <v>5486</v>
      </c>
      <c r="BD78" s="13">
        <v>5728</v>
      </c>
      <c r="BE78" s="13">
        <v>5840</v>
      </c>
      <c r="BF78" s="13">
        <v>5914</v>
      </c>
      <c r="BG78" s="13">
        <v>5789</v>
      </c>
      <c r="BH78" s="13">
        <v>5651</v>
      </c>
      <c r="BI78" s="13">
        <v>5936</v>
      </c>
      <c r="BJ78" s="13">
        <v>6139</v>
      </c>
      <c r="BK78" s="13">
        <v>6032</v>
      </c>
      <c r="BL78" s="13">
        <v>5957</v>
      </c>
    </row>
    <row r="79" spans="1:64" ht="15.95" customHeight="1">
      <c r="A79" s="64" t="s">
        <v>336</v>
      </c>
      <c r="B79" s="6" t="s">
        <v>64</v>
      </c>
      <c r="C79" s="15">
        <f>_xll.RssMarket("6479","現在値")</f>
        <v>4718</v>
      </c>
      <c r="D79" s="16">
        <f t="shared" si="1"/>
        <v>0</v>
      </c>
      <c r="E79" s="13">
        <v>4718</v>
      </c>
      <c r="F79" s="13">
        <v>4618</v>
      </c>
      <c r="G79" s="13">
        <v>4233</v>
      </c>
      <c r="H79" s="13">
        <v>4319</v>
      </c>
      <c r="I79" s="13">
        <v>4396</v>
      </c>
      <c r="J79" s="13">
        <v>4546</v>
      </c>
      <c r="K79" s="13">
        <v>4994</v>
      </c>
      <c r="L79" s="13">
        <v>4968</v>
      </c>
      <c r="M79" s="13">
        <v>4880</v>
      </c>
      <c r="N79" s="13">
        <v>4675</v>
      </c>
      <c r="O79" s="13">
        <v>4721</v>
      </c>
      <c r="P79" s="13">
        <v>4562</v>
      </c>
      <c r="Q79" s="13">
        <v>4276</v>
      </c>
      <c r="R79" s="13">
        <v>4232</v>
      </c>
      <c r="S79" s="13">
        <v>4221</v>
      </c>
      <c r="T79" s="13">
        <v>3992</v>
      </c>
      <c r="U79" s="13">
        <v>3877</v>
      </c>
      <c r="V79" s="13">
        <v>3730</v>
      </c>
      <c r="W79" s="13">
        <v>3878</v>
      </c>
      <c r="X79" s="13">
        <v>3815</v>
      </c>
      <c r="Y79" s="13">
        <v>3944</v>
      </c>
      <c r="Z79" s="13">
        <v>3978</v>
      </c>
      <c r="AA79" s="13">
        <v>3914</v>
      </c>
      <c r="AB79" s="13">
        <v>3566</v>
      </c>
      <c r="AC79" s="13">
        <v>3458</v>
      </c>
      <c r="AD79" s="13">
        <v>3380</v>
      </c>
      <c r="AE79" s="13">
        <v>3290</v>
      </c>
      <c r="AF79" s="13">
        <v>3108</v>
      </c>
      <c r="AG79" s="13">
        <v>3124</v>
      </c>
      <c r="AH79" s="13">
        <v>3059</v>
      </c>
      <c r="AI79" s="13">
        <v>3073</v>
      </c>
      <c r="AJ79" s="13">
        <v>3086</v>
      </c>
      <c r="AK79" s="13">
        <v>3027</v>
      </c>
      <c r="AL79" s="13">
        <v>3096</v>
      </c>
      <c r="AM79" s="13">
        <v>3128</v>
      </c>
      <c r="AN79" s="13">
        <v>3092</v>
      </c>
      <c r="AO79" s="13">
        <v>2949.5</v>
      </c>
      <c r="AP79" s="13">
        <v>3011</v>
      </c>
      <c r="AQ79" s="13">
        <v>2863.5</v>
      </c>
      <c r="AR79" s="13">
        <v>2872.5</v>
      </c>
      <c r="AS79" s="13">
        <v>2863</v>
      </c>
      <c r="AT79" s="13">
        <v>2845.5</v>
      </c>
      <c r="AU79" s="13">
        <v>2731.5</v>
      </c>
      <c r="AV79" s="13">
        <v>2752</v>
      </c>
      <c r="AW79" s="13">
        <v>2627</v>
      </c>
      <c r="AX79" s="13">
        <v>2605.5</v>
      </c>
      <c r="AY79" s="13">
        <v>2589.5</v>
      </c>
      <c r="AZ79" s="13">
        <v>2575</v>
      </c>
      <c r="BA79" s="13">
        <v>2667.5</v>
      </c>
      <c r="BB79" s="13">
        <v>2535</v>
      </c>
      <c r="BC79" s="13">
        <v>2615.5</v>
      </c>
      <c r="BD79" s="13">
        <v>2722</v>
      </c>
      <c r="BE79" s="13">
        <v>2746.5</v>
      </c>
      <c r="BF79" s="13">
        <v>2732</v>
      </c>
      <c r="BG79" s="13">
        <v>2639.5</v>
      </c>
      <c r="BH79" s="13">
        <v>2541</v>
      </c>
      <c r="BI79" s="13">
        <v>2675.5</v>
      </c>
      <c r="BJ79" s="13">
        <v>2802</v>
      </c>
      <c r="BK79" s="13">
        <v>2711</v>
      </c>
      <c r="BL79" s="13">
        <v>2719</v>
      </c>
    </row>
    <row r="80" spans="1:64" ht="15.95" customHeight="1">
      <c r="A80" s="64" t="s">
        <v>337</v>
      </c>
      <c r="B80" s="6" t="s">
        <v>65</v>
      </c>
      <c r="C80" s="15">
        <f>_xll.RssMarket("1833","現在値")</f>
        <v>5700</v>
      </c>
      <c r="D80" s="16">
        <f t="shared" si="1"/>
        <v>0</v>
      </c>
      <c r="E80" s="13">
        <v>5700</v>
      </c>
      <c r="F80" s="13">
        <v>5720</v>
      </c>
      <c r="G80" s="13">
        <v>5640</v>
      </c>
      <c r="H80" s="13">
        <v>5550</v>
      </c>
      <c r="I80" s="13">
        <v>5560</v>
      </c>
      <c r="J80" s="13">
        <v>5490</v>
      </c>
      <c r="K80" s="13">
        <v>5620</v>
      </c>
      <c r="L80" s="13">
        <v>5480</v>
      </c>
      <c r="M80" s="13">
        <v>5550</v>
      </c>
      <c r="N80" s="13">
        <v>5560</v>
      </c>
      <c r="O80" s="13">
        <v>5590</v>
      </c>
      <c r="P80" s="13">
        <v>5610</v>
      </c>
      <c r="Q80" s="13">
        <v>5520</v>
      </c>
      <c r="R80" s="13">
        <v>5570</v>
      </c>
      <c r="S80" s="13">
        <v>5460</v>
      </c>
      <c r="T80" s="13">
        <v>5560</v>
      </c>
      <c r="U80" s="13">
        <v>5600</v>
      </c>
      <c r="V80" s="13">
        <v>5740</v>
      </c>
      <c r="W80" s="13">
        <v>5660</v>
      </c>
      <c r="X80" s="13">
        <v>5950</v>
      </c>
      <c r="Y80" s="13">
        <v>5980</v>
      </c>
      <c r="Z80" s="13">
        <v>6160</v>
      </c>
      <c r="AA80" s="13">
        <v>6320</v>
      </c>
      <c r="AB80" s="13">
        <v>6230</v>
      </c>
      <c r="AC80" s="13">
        <v>6110</v>
      </c>
      <c r="AD80" s="13">
        <v>6160</v>
      </c>
      <c r="AE80" s="13">
        <v>6120</v>
      </c>
      <c r="AF80" s="13">
        <v>6150</v>
      </c>
      <c r="AG80" s="13">
        <v>6140</v>
      </c>
      <c r="AH80" s="13">
        <v>5980</v>
      </c>
      <c r="AI80" s="13">
        <v>6000</v>
      </c>
      <c r="AJ80" s="13">
        <v>6060</v>
      </c>
      <c r="AK80" s="13">
        <v>6030</v>
      </c>
      <c r="AL80" s="13">
        <v>6120</v>
      </c>
      <c r="AM80" s="13">
        <v>6120</v>
      </c>
      <c r="AN80" s="13">
        <v>6140</v>
      </c>
      <c r="AO80" s="13">
        <v>6230</v>
      </c>
      <c r="AP80" s="13">
        <v>6240</v>
      </c>
      <c r="AQ80" s="13">
        <v>6280</v>
      </c>
      <c r="AR80" s="13">
        <v>6240</v>
      </c>
      <c r="AS80" s="13">
        <v>6310</v>
      </c>
      <c r="AT80" s="13">
        <v>6400</v>
      </c>
      <c r="AU80" s="13">
        <v>6510</v>
      </c>
      <c r="AV80" s="13">
        <v>6370</v>
      </c>
      <c r="AW80" s="13">
        <v>6360</v>
      </c>
      <c r="AX80" s="13">
        <v>6440</v>
      </c>
      <c r="AY80" s="13">
        <v>6450</v>
      </c>
      <c r="AZ80" s="13">
        <v>6560</v>
      </c>
      <c r="BA80" s="13">
        <v>6320</v>
      </c>
      <c r="BB80" s="13">
        <v>6340</v>
      </c>
      <c r="BC80" s="13">
        <v>6550</v>
      </c>
      <c r="BD80" s="13">
        <v>6570</v>
      </c>
      <c r="BE80" s="13">
        <v>6640</v>
      </c>
      <c r="BF80" s="13">
        <v>6490</v>
      </c>
      <c r="BG80" s="13">
        <v>6280</v>
      </c>
      <c r="BH80" s="13">
        <v>6560</v>
      </c>
      <c r="BI80" s="13">
        <v>6730</v>
      </c>
      <c r="BJ80" s="13">
        <v>6570</v>
      </c>
      <c r="BK80" s="13">
        <v>6520</v>
      </c>
      <c r="BL80" s="13">
        <v>6570</v>
      </c>
    </row>
    <row r="81" spans="1:64" ht="15.95" customHeight="1">
      <c r="A81" s="64" t="s">
        <v>338</v>
      </c>
      <c r="B81" s="6" t="s">
        <v>142</v>
      </c>
      <c r="C81" s="15">
        <f>_xll.RssMarket("6841","現在値")</f>
        <v>5380</v>
      </c>
      <c r="D81" s="16">
        <f t="shared" si="1"/>
        <v>0</v>
      </c>
      <c r="E81" s="13">
        <v>5380</v>
      </c>
      <c r="F81" s="13">
        <v>5230</v>
      </c>
      <c r="G81" s="13">
        <v>4848</v>
      </c>
      <c r="H81" s="13">
        <v>4766</v>
      </c>
      <c r="I81" s="13">
        <v>4757</v>
      </c>
      <c r="J81" s="13">
        <v>4941</v>
      </c>
      <c r="K81" s="13">
        <v>5226</v>
      </c>
      <c r="L81" s="13">
        <v>5313</v>
      </c>
      <c r="M81" s="13">
        <v>5350</v>
      </c>
      <c r="N81" s="13">
        <v>5125</v>
      </c>
      <c r="O81" s="13">
        <v>5077</v>
      </c>
      <c r="P81" s="13">
        <v>5001</v>
      </c>
      <c r="Q81" s="13">
        <v>4914</v>
      </c>
      <c r="R81" s="13">
        <v>4927</v>
      </c>
      <c r="S81" s="13">
        <v>5044</v>
      </c>
      <c r="T81" s="13">
        <v>4830</v>
      </c>
      <c r="U81" s="13">
        <v>4771</v>
      </c>
      <c r="V81" s="13">
        <v>4700</v>
      </c>
      <c r="W81" s="13">
        <v>4817</v>
      </c>
      <c r="X81" s="13">
        <v>4864</v>
      </c>
      <c r="Y81" s="13">
        <v>5013</v>
      </c>
      <c r="Z81" s="13">
        <v>5093</v>
      </c>
      <c r="AA81" s="13">
        <v>5268</v>
      </c>
      <c r="AB81" s="13">
        <v>5260</v>
      </c>
      <c r="AC81" s="13">
        <v>5371</v>
      </c>
      <c r="AD81" s="13">
        <v>5171</v>
      </c>
      <c r="AE81" s="13">
        <v>5734</v>
      </c>
      <c r="AF81" s="13">
        <v>5409</v>
      </c>
      <c r="AG81" s="13">
        <v>5463</v>
      </c>
      <c r="AH81" s="13">
        <v>5450</v>
      </c>
      <c r="AI81" s="13">
        <v>5331</v>
      </c>
      <c r="AJ81" s="13">
        <v>5264</v>
      </c>
      <c r="AK81" s="13">
        <v>5279</v>
      </c>
      <c r="AL81" s="13">
        <v>5447</v>
      </c>
      <c r="AM81" s="13">
        <v>5584</v>
      </c>
      <c r="AN81" s="13">
        <v>5500</v>
      </c>
      <c r="AO81" s="13">
        <v>5414</v>
      </c>
      <c r="AP81" s="13">
        <v>5461</v>
      </c>
      <c r="AQ81" s="13">
        <v>5387</v>
      </c>
      <c r="AR81" s="13">
        <v>5611</v>
      </c>
      <c r="AS81" s="13">
        <v>5602</v>
      </c>
      <c r="AT81" s="13">
        <v>5637</v>
      </c>
      <c r="AU81" s="13">
        <v>5654</v>
      </c>
      <c r="AV81" s="13">
        <v>5433</v>
      </c>
      <c r="AW81" s="13">
        <v>4986</v>
      </c>
      <c r="AX81" s="13">
        <v>4929</v>
      </c>
      <c r="AY81" s="13">
        <v>4930</v>
      </c>
      <c r="AZ81" s="13">
        <v>4813</v>
      </c>
      <c r="BA81" s="13">
        <v>5052</v>
      </c>
      <c r="BB81" s="13">
        <v>4744</v>
      </c>
      <c r="BC81" s="13">
        <v>4864</v>
      </c>
      <c r="BD81" s="13">
        <v>5067</v>
      </c>
      <c r="BE81" s="13">
        <v>5164</v>
      </c>
      <c r="BF81" s="13">
        <v>5158</v>
      </c>
      <c r="BG81" s="13">
        <v>4981</v>
      </c>
      <c r="BH81" s="13">
        <v>4870</v>
      </c>
      <c r="BI81" s="13">
        <v>5233</v>
      </c>
      <c r="BJ81" s="13">
        <v>5566</v>
      </c>
      <c r="BK81" s="13">
        <v>5460</v>
      </c>
      <c r="BL81" s="13">
        <v>5492</v>
      </c>
    </row>
    <row r="82" spans="1:64" ht="15.95" customHeight="1">
      <c r="A82" s="64" t="s">
        <v>339</v>
      </c>
      <c r="B82" s="6" t="s">
        <v>143</v>
      </c>
      <c r="C82" s="15">
        <f>_xll.RssMarket("7167","現在値")</f>
        <v>1388.5</v>
      </c>
      <c r="D82" s="16">
        <f t="shared" si="1"/>
        <v>0</v>
      </c>
      <c r="E82" s="13">
        <v>1388.5</v>
      </c>
      <c r="F82" s="13">
        <v>1413</v>
      </c>
      <c r="G82" s="13">
        <v>1402</v>
      </c>
      <c r="H82" s="13">
        <v>1372.5</v>
      </c>
      <c r="I82" s="13">
        <v>1375.5</v>
      </c>
      <c r="J82" s="13">
        <v>1348.5</v>
      </c>
      <c r="K82" s="13">
        <v>1357.5</v>
      </c>
      <c r="L82" s="13">
        <v>1341</v>
      </c>
      <c r="M82" s="13">
        <v>1338</v>
      </c>
      <c r="N82" s="13">
        <v>1314.5</v>
      </c>
      <c r="O82" s="13">
        <v>1300.5</v>
      </c>
      <c r="P82" s="13">
        <v>1329.5</v>
      </c>
      <c r="Q82" s="13">
        <v>1353</v>
      </c>
      <c r="R82" s="13">
        <v>1371.5</v>
      </c>
      <c r="S82" s="13">
        <v>1388</v>
      </c>
      <c r="T82" s="13">
        <v>1396.5</v>
      </c>
      <c r="U82" s="13">
        <v>1409.5</v>
      </c>
      <c r="V82" s="13">
        <v>1385.5</v>
      </c>
      <c r="W82" s="13">
        <v>1365.5</v>
      </c>
      <c r="X82" s="13">
        <v>1366.5</v>
      </c>
      <c r="Y82" s="13">
        <v>1377.5</v>
      </c>
      <c r="Z82" s="13">
        <v>1370.5</v>
      </c>
      <c r="AA82" s="13">
        <v>1366.5</v>
      </c>
      <c r="AB82" s="13">
        <v>1362.5</v>
      </c>
      <c r="AC82" s="13">
        <v>1338</v>
      </c>
      <c r="AD82" s="13">
        <v>1313.5</v>
      </c>
      <c r="AE82" s="13">
        <v>1344.5</v>
      </c>
      <c r="AF82" s="13">
        <v>1296</v>
      </c>
      <c r="AG82" s="13">
        <v>1298.5</v>
      </c>
      <c r="AH82" s="13">
        <v>1319.5</v>
      </c>
      <c r="AI82" s="13">
        <v>1234</v>
      </c>
      <c r="AJ82" s="13">
        <v>1222</v>
      </c>
      <c r="AK82" s="13">
        <v>1236</v>
      </c>
      <c r="AL82" s="13">
        <v>1244.5</v>
      </c>
      <c r="AM82" s="13">
        <v>1281.5</v>
      </c>
      <c r="AN82" s="13">
        <v>1317.5</v>
      </c>
      <c r="AO82" s="13">
        <v>1343.5</v>
      </c>
      <c r="AP82" s="13">
        <v>1356</v>
      </c>
      <c r="AQ82" s="13">
        <v>1354</v>
      </c>
      <c r="AR82" s="13">
        <v>1343.5</v>
      </c>
      <c r="AS82" s="13">
        <v>1344</v>
      </c>
      <c r="AT82" s="13">
        <v>1353.5</v>
      </c>
      <c r="AU82" s="13">
        <v>1348.5</v>
      </c>
      <c r="AV82" s="13">
        <v>1353</v>
      </c>
      <c r="AW82" s="13">
        <v>1308</v>
      </c>
      <c r="AX82" s="13">
        <v>1301.5</v>
      </c>
      <c r="AY82" s="13">
        <v>1286</v>
      </c>
      <c r="AZ82" s="13">
        <v>1276</v>
      </c>
      <c r="BA82" s="13">
        <v>1303</v>
      </c>
      <c r="BB82" s="13">
        <v>1193</v>
      </c>
      <c r="BC82" s="13">
        <v>1213</v>
      </c>
      <c r="BD82" s="13">
        <v>1263.5</v>
      </c>
      <c r="BE82" s="13">
        <v>1239</v>
      </c>
      <c r="BF82" s="13">
        <v>1245.5</v>
      </c>
      <c r="BG82" s="13">
        <v>1203</v>
      </c>
      <c r="BH82" s="13">
        <v>1155</v>
      </c>
      <c r="BI82" s="13">
        <v>1198.5</v>
      </c>
      <c r="BJ82" s="13">
        <v>1227</v>
      </c>
      <c r="BK82" s="13">
        <v>1186</v>
      </c>
      <c r="BL82" s="13">
        <v>1176</v>
      </c>
    </row>
    <row r="83" spans="1:64" ht="15.95" customHeight="1">
      <c r="A83" s="64" t="s">
        <v>340</v>
      </c>
      <c r="B83" s="6" t="s">
        <v>144</v>
      </c>
      <c r="C83" s="15">
        <f>_xll.RssMarket("1925","現在値")</f>
        <v>4358</v>
      </c>
      <c r="D83" s="16">
        <f t="shared" si="1"/>
        <v>0</v>
      </c>
      <c r="E83" s="13">
        <v>4358</v>
      </c>
      <c r="F83" s="13">
        <v>4346</v>
      </c>
      <c r="G83" s="13">
        <v>4300</v>
      </c>
      <c r="H83" s="13">
        <v>4283</v>
      </c>
      <c r="I83" s="13">
        <v>4381</v>
      </c>
      <c r="J83" s="13">
        <v>4249</v>
      </c>
      <c r="K83" s="13">
        <v>4191</v>
      </c>
      <c r="L83" s="13">
        <v>4227</v>
      </c>
      <c r="M83" s="13">
        <v>4265</v>
      </c>
      <c r="N83" s="13">
        <v>4187</v>
      </c>
      <c r="O83" s="13">
        <v>4215</v>
      </c>
      <c r="P83" s="13">
        <v>4334</v>
      </c>
      <c r="Q83" s="13">
        <v>4374</v>
      </c>
      <c r="R83" s="13">
        <v>4402</v>
      </c>
      <c r="S83" s="13">
        <v>4431</v>
      </c>
      <c r="T83" s="13">
        <v>4416</v>
      </c>
      <c r="U83" s="13">
        <v>4453</v>
      </c>
      <c r="V83" s="13">
        <v>4485</v>
      </c>
      <c r="W83" s="13">
        <v>4544</v>
      </c>
      <c r="X83" s="13">
        <v>4483</v>
      </c>
      <c r="Y83" s="13">
        <v>4538</v>
      </c>
      <c r="Z83" s="13">
        <v>4777</v>
      </c>
      <c r="AA83" s="13">
        <v>4783</v>
      </c>
      <c r="AB83" s="13">
        <v>4770</v>
      </c>
      <c r="AC83" s="13">
        <v>4773</v>
      </c>
      <c r="AD83" s="13">
        <v>4811</v>
      </c>
      <c r="AE83" s="13">
        <v>4763</v>
      </c>
      <c r="AF83" s="13">
        <v>4788</v>
      </c>
      <c r="AG83" s="13">
        <v>4876</v>
      </c>
      <c r="AH83" s="13">
        <v>4768</v>
      </c>
      <c r="AI83" s="13">
        <v>4783</v>
      </c>
      <c r="AJ83" s="13">
        <v>4840</v>
      </c>
      <c r="AK83" s="13">
        <v>4838</v>
      </c>
      <c r="AL83" s="13">
        <v>4907</v>
      </c>
      <c r="AM83" s="13">
        <v>4912</v>
      </c>
      <c r="AN83" s="13">
        <v>4852</v>
      </c>
      <c r="AO83" s="13">
        <v>4919</v>
      </c>
      <c r="AP83" s="13">
        <v>4917</v>
      </c>
      <c r="AQ83" s="13">
        <v>4899</v>
      </c>
      <c r="AR83" s="13">
        <v>4923</v>
      </c>
      <c r="AS83" s="13">
        <v>4992</v>
      </c>
      <c r="AT83" s="13">
        <v>4988</v>
      </c>
      <c r="AU83" s="13">
        <v>5050</v>
      </c>
      <c r="AV83" s="13">
        <v>4971</v>
      </c>
      <c r="AW83" s="13">
        <v>4978</v>
      </c>
      <c r="AX83" s="13">
        <v>5007</v>
      </c>
      <c r="AY83" s="13">
        <v>5009</v>
      </c>
      <c r="AZ83" s="13">
        <v>5002</v>
      </c>
      <c r="BA83" s="13">
        <v>4918</v>
      </c>
      <c r="BB83" s="13">
        <v>4929</v>
      </c>
      <c r="BC83" s="13">
        <v>5040</v>
      </c>
      <c r="BD83" s="13">
        <v>5055</v>
      </c>
      <c r="BE83" s="13">
        <v>5082</v>
      </c>
      <c r="BF83" s="13">
        <v>5085</v>
      </c>
      <c r="BG83" s="13">
        <v>5048</v>
      </c>
      <c r="BH83" s="13">
        <v>5159</v>
      </c>
      <c r="BI83" s="13">
        <v>5274</v>
      </c>
      <c r="BJ83" s="13">
        <v>5243</v>
      </c>
      <c r="BK83" s="13">
        <v>5192</v>
      </c>
      <c r="BL83" s="13">
        <v>5200</v>
      </c>
    </row>
    <row r="84" spans="1:64" ht="15.95" customHeight="1">
      <c r="A84" s="64" t="s">
        <v>341</v>
      </c>
      <c r="B84" s="6" t="s">
        <v>145</v>
      </c>
      <c r="C84" s="15">
        <f>_xll.RssMarket("5411","現在値")</f>
        <v>1637</v>
      </c>
      <c r="D84" s="16">
        <f t="shared" si="1"/>
        <v>0</v>
      </c>
      <c r="E84" s="13">
        <v>1637</v>
      </c>
      <c r="F84" s="13">
        <v>1647</v>
      </c>
      <c r="G84" s="13">
        <v>1613</v>
      </c>
      <c r="H84" s="13">
        <v>1573</v>
      </c>
      <c r="I84" s="13">
        <v>1582.5</v>
      </c>
      <c r="J84" s="13">
        <v>1580</v>
      </c>
      <c r="K84" s="13">
        <v>1614</v>
      </c>
      <c r="L84" s="13">
        <v>1601</v>
      </c>
      <c r="M84" s="13">
        <v>1594.5</v>
      </c>
      <c r="N84" s="13">
        <v>1598</v>
      </c>
      <c r="O84" s="13">
        <v>1631</v>
      </c>
      <c r="P84" s="13">
        <v>1700.5</v>
      </c>
      <c r="Q84" s="13">
        <v>1677.5</v>
      </c>
      <c r="R84" s="13">
        <v>1676.5</v>
      </c>
      <c r="S84" s="13">
        <v>1630</v>
      </c>
      <c r="T84" s="13">
        <v>1635</v>
      </c>
      <c r="U84" s="13">
        <v>1655</v>
      </c>
      <c r="V84" s="13">
        <v>1636.5</v>
      </c>
      <c r="W84" s="13">
        <v>1668.5</v>
      </c>
      <c r="X84" s="13">
        <v>1652.5</v>
      </c>
      <c r="Y84" s="13">
        <v>1678</v>
      </c>
      <c r="Z84" s="13">
        <v>1690.5</v>
      </c>
      <c r="AA84" s="13">
        <v>1720.5</v>
      </c>
      <c r="AB84" s="13">
        <v>1683</v>
      </c>
      <c r="AC84" s="13">
        <v>1685.5</v>
      </c>
      <c r="AD84" s="13">
        <v>1765</v>
      </c>
      <c r="AE84" s="13">
        <v>1734.5</v>
      </c>
      <c r="AF84" s="13">
        <v>1716.5</v>
      </c>
      <c r="AG84" s="13">
        <v>1715</v>
      </c>
      <c r="AH84" s="13">
        <v>1700.5</v>
      </c>
      <c r="AI84" s="13">
        <v>1674</v>
      </c>
      <c r="AJ84" s="13">
        <v>1685.5</v>
      </c>
      <c r="AK84" s="13">
        <v>1695</v>
      </c>
      <c r="AL84" s="13">
        <v>1723</v>
      </c>
      <c r="AM84" s="13">
        <v>1748</v>
      </c>
      <c r="AN84" s="13">
        <v>1771.5</v>
      </c>
      <c r="AO84" s="13">
        <v>1801.5</v>
      </c>
      <c r="AP84" s="13">
        <v>1830</v>
      </c>
      <c r="AQ84" s="13">
        <v>1821.5</v>
      </c>
      <c r="AR84" s="13">
        <v>1820</v>
      </c>
      <c r="AS84" s="13">
        <v>1836</v>
      </c>
      <c r="AT84" s="13">
        <v>1866.5</v>
      </c>
      <c r="AU84" s="13">
        <v>1876</v>
      </c>
      <c r="AV84" s="13">
        <v>1882</v>
      </c>
      <c r="AW84" s="13">
        <v>1827</v>
      </c>
      <c r="AX84" s="13">
        <v>1830.5</v>
      </c>
      <c r="AY84" s="13">
        <v>1851</v>
      </c>
      <c r="AZ84" s="13">
        <v>1831</v>
      </c>
      <c r="BA84" s="13">
        <v>1862</v>
      </c>
      <c r="BB84" s="13">
        <v>1815.5</v>
      </c>
      <c r="BC84" s="13">
        <v>1819</v>
      </c>
      <c r="BD84" s="13">
        <v>1892</v>
      </c>
      <c r="BE84" s="13">
        <v>1883</v>
      </c>
      <c r="BF84" s="13">
        <v>1887</v>
      </c>
      <c r="BG84" s="13">
        <v>1895.5</v>
      </c>
      <c r="BH84" s="13">
        <v>1859</v>
      </c>
      <c r="BI84" s="13">
        <v>1886.5</v>
      </c>
      <c r="BJ84" s="13">
        <v>1946.5</v>
      </c>
      <c r="BK84" s="13">
        <v>1898</v>
      </c>
      <c r="BL84" s="13">
        <v>1890</v>
      </c>
    </row>
    <row r="85" spans="1:64" ht="15.95" customHeight="1">
      <c r="A85" s="64" t="s">
        <v>342</v>
      </c>
      <c r="B85" s="6" t="s">
        <v>146</v>
      </c>
      <c r="C85" s="15">
        <f>_xll.RssMarket("7182","現在値")</f>
        <v>3125</v>
      </c>
      <c r="D85" s="16">
        <f t="shared" si="1"/>
        <v>0</v>
      </c>
      <c r="E85" s="13">
        <v>3125</v>
      </c>
      <c r="F85" s="13">
        <v>3170</v>
      </c>
      <c r="G85" s="13">
        <v>3211</v>
      </c>
      <c r="H85" s="13">
        <v>3096</v>
      </c>
      <c r="I85" s="13">
        <v>3177</v>
      </c>
      <c r="J85" s="13">
        <v>3126</v>
      </c>
      <c r="K85" s="13">
        <v>3161</v>
      </c>
      <c r="L85" s="13">
        <v>3225</v>
      </c>
      <c r="M85" s="13">
        <v>3163</v>
      </c>
      <c r="N85" s="13">
        <v>3066</v>
      </c>
      <c r="O85" s="13">
        <v>3009</v>
      </c>
      <c r="P85" s="13">
        <v>3069</v>
      </c>
      <c r="Q85" s="13">
        <v>2960.5</v>
      </c>
      <c r="R85" s="13">
        <v>3001</v>
      </c>
      <c r="S85" s="13">
        <v>3093</v>
      </c>
      <c r="T85" s="13">
        <v>3104</v>
      </c>
      <c r="U85" s="13">
        <v>3193</v>
      </c>
      <c r="V85" s="13">
        <v>3075</v>
      </c>
      <c r="W85" s="13">
        <v>3021</v>
      </c>
      <c r="X85" s="13">
        <v>2977.5</v>
      </c>
      <c r="Y85" s="13">
        <v>2829</v>
      </c>
      <c r="Z85" s="13">
        <v>2835.5</v>
      </c>
      <c r="AA85" s="13">
        <v>2849</v>
      </c>
      <c r="AB85" s="13">
        <v>2841.5</v>
      </c>
      <c r="AC85" s="13">
        <v>2796.5</v>
      </c>
      <c r="AD85" s="13">
        <v>2724.5</v>
      </c>
      <c r="AE85" s="13">
        <v>2817</v>
      </c>
      <c r="AF85" s="13">
        <v>2656</v>
      </c>
      <c r="AG85" s="13">
        <v>2689</v>
      </c>
      <c r="AH85" s="13">
        <v>2696.5</v>
      </c>
      <c r="AI85" s="13">
        <v>2539.5</v>
      </c>
      <c r="AJ85" s="13">
        <v>2510</v>
      </c>
      <c r="AK85" s="13">
        <v>2537</v>
      </c>
      <c r="AL85" s="13">
        <v>2555</v>
      </c>
      <c r="AM85" s="13">
        <v>2600</v>
      </c>
      <c r="AN85" s="13">
        <v>2710</v>
      </c>
      <c r="AO85" s="13">
        <v>2731.5</v>
      </c>
      <c r="AP85" s="13">
        <v>2798.5</v>
      </c>
      <c r="AQ85" s="13">
        <v>2772.5</v>
      </c>
      <c r="AR85" s="13">
        <v>2724.5</v>
      </c>
      <c r="AS85" s="13">
        <v>2726.5</v>
      </c>
      <c r="AT85" s="13">
        <v>2710.5</v>
      </c>
      <c r="AU85" s="13">
        <v>2723.5</v>
      </c>
      <c r="AV85" s="13">
        <v>2800</v>
      </c>
      <c r="AW85" s="13">
        <v>2665.5</v>
      </c>
      <c r="AX85" s="13">
        <v>2648.5</v>
      </c>
      <c r="AY85" s="13">
        <v>2628.5</v>
      </c>
      <c r="AZ85" s="13">
        <v>2608</v>
      </c>
      <c r="BA85" s="13">
        <v>2709.5</v>
      </c>
      <c r="BB85" s="13">
        <v>2517.5</v>
      </c>
      <c r="BC85" s="13">
        <v>2501.5</v>
      </c>
      <c r="BD85" s="13">
        <v>2639</v>
      </c>
      <c r="BE85" s="13">
        <v>2633</v>
      </c>
      <c r="BF85" s="13">
        <v>2645</v>
      </c>
      <c r="BG85" s="13">
        <v>2578</v>
      </c>
      <c r="BH85" s="13">
        <v>2504</v>
      </c>
      <c r="BI85" s="13">
        <v>2600</v>
      </c>
      <c r="BJ85" s="13">
        <v>2670.5</v>
      </c>
      <c r="BK85" s="13">
        <v>2587.5</v>
      </c>
      <c r="BL85" s="13">
        <v>2573</v>
      </c>
    </row>
    <row r="86" spans="1:64" ht="15.95" customHeight="1">
      <c r="A86" s="64" t="s">
        <v>343</v>
      </c>
      <c r="B86" s="6" t="s">
        <v>147</v>
      </c>
      <c r="C86" s="15">
        <f>_xll.RssMarket("1963","現在値")</f>
        <v>2760</v>
      </c>
      <c r="D86" s="16">
        <f t="shared" si="1"/>
        <v>0</v>
      </c>
      <c r="E86" s="13">
        <v>2760</v>
      </c>
      <c r="F86" s="13">
        <v>2664</v>
      </c>
      <c r="G86" s="13">
        <v>2538.5</v>
      </c>
      <c r="H86" s="13">
        <v>2475.5</v>
      </c>
      <c r="I86" s="13">
        <v>2528.5</v>
      </c>
      <c r="J86" s="13">
        <v>2561</v>
      </c>
      <c r="K86" s="13">
        <v>2645.5</v>
      </c>
      <c r="L86" s="13">
        <v>2597</v>
      </c>
      <c r="M86" s="13">
        <v>2658.5</v>
      </c>
      <c r="N86" s="13">
        <v>2638.5</v>
      </c>
      <c r="O86" s="13">
        <v>2632.5</v>
      </c>
      <c r="P86" s="13">
        <v>2728.5</v>
      </c>
      <c r="Q86" s="13">
        <v>2661.5</v>
      </c>
      <c r="R86" s="13">
        <v>2721</v>
      </c>
      <c r="S86" s="13">
        <v>2863</v>
      </c>
      <c r="T86" s="13">
        <v>2731.5</v>
      </c>
      <c r="U86" s="13">
        <v>2679.5</v>
      </c>
      <c r="V86" s="13">
        <v>2648</v>
      </c>
      <c r="W86" s="13">
        <v>2647</v>
      </c>
      <c r="X86" s="13">
        <v>2594</v>
      </c>
      <c r="Y86" s="13">
        <v>2710.5</v>
      </c>
      <c r="Z86" s="13">
        <v>2392.5</v>
      </c>
      <c r="AA86" s="13">
        <v>2451.5</v>
      </c>
      <c r="AB86" s="13">
        <v>2424</v>
      </c>
      <c r="AC86" s="13">
        <v>2418</v>
      </c>
      <c r="AD86" s="13">
        <v>2495.5</v>
      </c>
      <c r="AE86" s="13">
        <v>2484.5</v>
      </c>
      <c r="AF86" s="13">
        <v>2385</v>
      </c>
      <c r="AG86" s="13">
        <v>2383</v>
      </c>
      <c r="AH86" s="13">
        <v>2458.5</v>
      </c>
      <c r="AI86" s="13">
        <v>2339</v>
      </c>
      <c r="AJ86" s="13">
        <v>2354</v>
      </c>
      <c r="AK86" s="13">
        <v>2358</v>
      </c>
      <c r="AL86" s="13">
        <v>2321</v>
      </c>
      <c r="AM86" s="13">
        <v>2378</v>
      </c>
      <c r="AN86" s="13">
        <v>2450</v>
      </c>
      <c r="AO86" s="13">
        <v>2532.5</v>
      </c>
      <c r="AP86" s="13">
        <v>2558</v>
      </c>
      <c r="AQ86" s="13">
        <v>2570</v>
      </c>
      <c r="AR86" s="13">
        <v>2705.5</v>
      </c>
      <c r="AS86" s="13">
        <v>2693</v>
      </c>
      <c r="AT86" s="13">
        <v>2758.5</v>
      </c>
      <c r="AU86" s="13">
        <v>2803</v>
      </c>
      <c r="AV86" s="13">
        <v>2723.5</v>
      </c>
      <c r="AW86" s="13">
        <v>2580</v>
      </c>
      <c r="AX86" s="13">
        <v>2537.5</v>
      </c>
      <c r="AY86" s="13">
        <v>2469.5</v>
      </c>
      <c r="AZ86" s="13">
        <v>2473</v>
      </c>
      <c r="BA86" s="13">
        <v>2481.5</v>
      </c>
      <c r="BB86" s="13">
        <v>2272</v>
      </c>
      <c r="BC86" s="13">
        <v>2246.5</v>
      </c>
      <c r="BD86" s="13">
        <v>2195</v>
      </c>
      <c r="BE86" s="13">
        <v>2170</v>
      </c>
      <c r="BF86" s="13">
        <v>2222</v>
      </c>
      <c r="BG86" s="13">
        <v>2135.5</v>
      </c>
      <c r="BH86" s="13">
        <v>2047</v>
      </c>
      <c r="BI86" s="13">
        <v>2133.5</v>
      </c>
      <c r="BJ86" s="13">
        <v>2264</v>
      </c>
      <c r="BK86" s="13">
        <v>2069</v>
      </c>
      <c r="BL86" s="13">
        <v>2063.5</v>
      </c>
    </row>
    <row r="87" spans="1:64" ht="15.95" customHeight="1">
      <c r="A87" s="64" t="s">
        <v>344</v>
      </c>
      <c r="B87" s="6" t="s">
        <v>148</v>
      </c>
      <c r="C87" s="15">
        <f>_xll.RssMarket("2914","現在値")</f>
        <v>6071</v>
      </c>
      <c r="D87" s="16">
        <f t="shared" si="1"/>
        <v>0</v>
      </c>
      <c r="E87" s="13">
        <v>6071</v>
      </c>
      <c r="F87" s="13">
        <v>6099</v>
      </c>
      <c r="G87" s="13">
        <v>6177</v>
      </c>
      <c r="H87" s="13">
        <v>6305</v>
      </c>
      <c r="I87" s="13">
        <v>6164</v>
      </c>
      <c r="J87" s="13">
        <v>6135</v>
      </c>
      <c r="K87" s="13">
        <v>5973</v>
      </c>
      <c r="L87" s="13">
        <v>6025</v>
      </c>
      <c r="M87" s="13">
        <v>6112</v>
      </c>
      <c r="N87" s="13">
        <v>6132</v>
      </c>
      <c r="O87" s="13">
        <v>6068</v>
      </c>
      <c r="P87" s="13">
        <v>6167</v>
      </c>
      <c r="Q87" s="13">
        <v>6098</v>
      </c>
      <c r="R87" s="13">
        <v>6115</v>
      </c>
      <c r="S87" s="13">
        <v>6097</v>
      </c>
      <c r="T87" s="13">
        <v>6134</v>
      </c>
      <c r="U87" s="13">
        <v>6233</v>
      </c>
      <c r="V87" s="13">
        <v>6346</v>
      </c>
      <c r="W87" s="13">
        <v>6453</v>
      </c>
      <c r="X87" s="13">
        <v>6343</v>
      </c>
      <c r="Y87" s="13">
        <v>6301</v>
      </c>
      <c r="Z87" s="13">
        <v>6254</v>
      </c>
      <c r="AA87" s="13">
        <v>6180</v>
      </c>
      <c r="AB87" s="13">
        <v>6058</v>
      </c>
      <c r="AC87" s="13">
        <v>6164</v>
      </c>
      <c r="AD87" s="13">
        <v>5769</v>
      </c>
      <c r="AE87" s="13">
        <v>5937</v>
      </c>
      <c r="AF87" s="13">
        <v>5886</v>
      </c>
      <c r="AG87" s="13">
        <v>5865</v>
      </c>
      <c r="AH87" s="13">
        <v>5779</v>
      </c>
      <c r="AI87" s="13">
        <v>5781</v>
      </c>
      <c r="AJ87" s="13">
        <v>5829</v>
      </c>
      <c r="AK87" s="13">
        <v>5866</v>
      </c>
      <c r="AL87" s="13">
        <v>5672</v>
      </c>
      <c r="AM87" s="13">
        <v>5757</v>
      </c>
      <c r="AN87" s="13">
        <v>5790</v>
      </c>
      <c r="AO87" s="13">
        <v>5800</v>
      </c>
      <c r="AP87" s="13">
        <v>5847</v>
      </c>
      <c r="AQ87" s="13">
        <v>5897</v>
      </c>
      <c r="AR87" s="13">
        <v>5895</v>
      </c>
      <c r="AS87" s="13">
        <v>5953</v>
      </c>
      <c r="AT87" s="13">
        <v>5973</v>
      </c>
      <c r="AU87" s="13">
        <v>6034</v>
      </c>
      <c r="AV87" s="13">
        <v>6081</v>
      </c>
      <c r="AW87" s="13">
        <v>6086</v>
      </c>
      <c r="AX87" s="13">
        <v>6098</v>
      </c>
      <c r="AY87" s="13">
        <v>6105</v>
      </c>
      <c r="AZ87" s="13">
        <v>6005</v>
      </c>
      <c r="BA87" s="13">
        <v>6076</v>
      </c>
      <c r="BB87" s="13">
        <v>6020</v>
      </c>
      <c r="BC87" s="13">
        <v>6056</v>
      </c>
      <c r="BD87" s="13">
        <v>5978</v>
      </c>
      <c r="BE87" s="13">
        <v>5983</v>
      </c>
      <c r="BF87" s="13">
        <v>5950</v>
      </c>
      <c r="BG87" s="13">
        <v>5820</v>
      </c>
      <c r="BH87" s="13">
        <v>5693</v>
      </c>
      <c r="BI87" s="13">
        <v>5847</v>
      </c>
      <c r="BJ87" s="13">
        <v>5965</v>
      </c>
      <c r="BK87" s="13">
        <v>5878</v>
      </c>
      <c r="BL87" s="13">
        <v>5806</v>
      </c>
    </row>
    <row r="88" spans="1:64" ht="15.95" customHeight="1">
      <c r="A88" s="64" t="s">
        <v>345</v>
      </c>
      <c r="B88" s="6" t="s">
        <v>149</v>
      </c>
      <c r="C88" s="15">
        <f>_xll.RssMarket("3003","現在値")</f>
        <v>1716</v>
      </c>
      <c r="D88" s="16">
        <f t="shared" si="1"/>
        <v>0</v>
      </c>
      <c r="E88" s="13">
        <v>1716</v>
      </c>
      <c r="F88" s="13">
        <v>1704.5</v>
      </c>
      <c r="G88" s="13">
        <v>1725.5</v>
      </c>
      <c r="H88" s="13">
        <v>1721.5</v>
      </c>
      <c r="I88" s="13">
        <v>1727.5</v>
      </c>
      <c r="J88" s="13">
        <v>1677</v>
      </c>
      <c r="K88" s="13">
        <v>1656</v>
      </c>
      <c r="L88" s="13">
        <v>1631.5</v>
      </c>
      <c r="M88" s="13">
        <v>1650</v>
      </c>
      <c r="N88" s="13">
        <v>1652.5</v>
      </c>
      <c r="O88" s="13">
        <v>1651</v>
      </c>
      <c r="P88" s="13">
        <v>1699</v>
      </c>
      <c r="Q88" s="13">
        <v>1670</v>
      </c>
      <c r="R88" s="13">
        <v>1663</v>
      </c>
      <c r="S88" s="13">
        <v>1671.5</v>
      </c>
      <c r="T88" s="13">
        <v>1650</v>
      </c>
      <c r="U88" s="13">
        <v>1737</v>
      </c>
      <c r="V88" s="13">
        <v>1724</v>
      </c>
      <c r="W88" s="13">
        <v>1749</v>
      </c>
      <c r="X88" s="13">
        <v>1722.5</v>
      </c>
      <c r="Y88" s="13">
        <v>1760.5</v>
      </c>
      <c r="Z88" s="13">
        <v>1760</v>
      </c>
      <c r="AA88" s="13">
        <v>1801.5</v>
      </c>
      <c r="AB88" s="13">
        <v>1799</v>
      </c>
      <c r="AC88" s="13">
        <v>1786.5</v>
      </c>
      <c r="AD88" s="13">
        <v>1802.5</v>
      </c>
      <c r="AE88" s="13">
        <v>1820</v>
      </c>
      <c r="AF88" s="13">
        <v>1799</v>
      </c>
      <c r="AG88" s="13">
        <v>1766</v>
      </c>
      <c r="AH88" s="13">
        <v>1794.5</v>
      </c>
      <c r="AI88" s="13">
        <v>1743.5</v>
      </c>
      <c r="AJ88" s="13">
        <v>1835</v>
      </c>
      <c r="AK88" s="13">
        <v>1820</v>
      </c>
      <c r="AL88" s="13">
        <v>1829.5</v>
      </c>
      <c r="AM88" s="13">
        <v>1862.5</v>
      </c>
      <c r="AN88" s="13">
        <v>1904.5</v>
      </c>
      <c r="AO88" s="13">
        <v>1883.5</v>
      </c>
      <c r="AP88" s="13">
        <v>1902.5</v>
      </c>
      <c r="AQ88" s="13">
        <v>1900</v>
      </c>
      <c r="AR88" s="13">
        <v>1894.5</v>
      </c>
      <c r="AS88" s="13">
        <v>1880.5</v>
      </c>
      <c r="AT88" s="13">
        <v>1881.5</v>
      </c>
      <c r="AU88" s="13">
        <v>1895.5</v>
      </c>
      <c r="AV88" s="13">
        <v>1930.5</v>
      </c>
      <c r="AW88" s="13">
        <v>1890.5</v>
      </c>
      <c r="AX88" s="13">
        <v>1879.5</v>
      </c>
      <c r="AY88" s="13">
        <v>1878</v>
      </c>
      <c r="AZ88" s="13">
        <v>1872</v>
      </c>
      <c r="BA88" s="13">
        <v>1875.5</v>
      </c>
      <c r="BB88" s="13">
        <v>1829.5</v>
      </c>
      <c r="BC88" s="13">
        <v>1841</v>
      </c>
      <c r="BD88" s="13">
        <v>1860</v>
      </c>
      <c r="BE88" s="13">
        <v>1861.5</v>
      </c>
      <c r="BF88" s="13">
        <v>1864</v>
      </c>
      <c r="BG88" s="13">
        <v>1841.5</v>
      </c>
      <c r="BH88" s="13">
        <v>1806.5</v>
      </c>
      <c r="BI88" s="13">
        <v>1861.5</v>
      </c>
      <c r="BJ88" s="13">
        <v>1904</v>
      </c>
      <c r="BK88" s="13">
        <v>1878.5</v>
      </c>
      <c r="BL88" s="13">
        <v>1872.5</v>
      </c>
    </row>
    <row r="89" spans="1:64" ht="15.95" customHeight="1">
      <c r="A89" s="64" t="s">
        <v>346</v>
      </c>
      <c r="B89" s="6" t="s">
        <v>150</v>
      </c>
      <c r="C89" s="15">
        <f>_xll.RssMarket("5892","現在値")</f>
        <v>2192</v>
      </c>
      <c r="D89" s="16">
        <f t="shared" si="1"/>
        <v>0</v>
      </c>
      <c r="E89" s="13">
        <v>2192</v>
      </c>
      <c r="F89" s="13">
        <v>2040</v>
      </c>
      <c r="G89" s="13">
        <v>2001</v>
      </c>
      <c r="H89" s="13">
        <v>2121</v>
      </c>
      <c r="I89" s="13">
        <v>2197</v>
      </c>
      <c r="J89" s="13">
        <v>2225</v>
      </c>
      <c r="K89" s="13">
        <v>2370</v>
      </c>
      <c r="L89" s="13">
        <v>2197</v>
      </c>
      <c r="M89" s="13">
        <v>2141</v>
      </c>
      <c r="N89" s="13">
        <v>2131</v>
      </c>
      <c r="O89" s="13">
        <v>2164</v>
      </c>
      <c r="P89" s="13">
        <v>2290</v>
      </c>
      <c r="Q89" s="13">
        <v>2316</v>
      </c>
      <c r="R89" s="13">
        <v>2378</v>
      </c>
      <c r="S89" s="13">
        <v>2385</v>
      </c>
      <c r="T89" s="13">
        <v>2376</v>
      </c>
      <c r="U89" s="13">
        <v>2490</v>
      </c>
      <c r="V89" s="13">
        <v>2561</v>
      </c>
      <c r="W89" s="13">
        <v>2649</v>
      </c>
      <c r="X89" s="13">
        <v>2583</v>
      </c>
      <c r="Y89" s="13">
        <v>2384</v>
      </c>
      <c r="Z89" s="13">
        <v>1984</v>
      </c>
      <c r="AA89" s="13">
        <v>2090</v>
      </c>
      <c r="AB89" s="13">
        <v>1935</v>
      </c>
      <c r="AC89" s="13">
        <v>1929</v>
      </c>
      <c r="AD89" s="13">
        <v>1970</v>
      </c>
      <c r="AE89" s="13">
        <v>1973</v>
      </c>
      <c r="AF89" s="13">
        <v>1987</v>
      </c>
      <c r="AG89" s="13">
        <v>1950</v>
      </c>
      <c r="AH89" s="13">
        <v>1999</v>
      </c>
      <c r="AI89" s="13">
        <v>2041</v>
      </c>
      <c r="AJ89" s="13">
        <v>2049</v>
      </c>
      <c r="AK89" s="13">
        <v>2078</v>
      </c>
      <c r="AL89" s="13">
        <v>2191</v>
      </c>
      <c r="AM89" s="13">
        <v>2207</v>
      </c>
      <c r="AN89" s="13">
        <v>2224</v>
      </c>
      <c r="AO89" s="13">
        <v>2205</v>
      </c>
      <c r="AP89" s="13">
        <v>2206</v>
      </c>
      <c r="AQ89" s="13">
        <v>2233</v>
      </c>
      <c r="AR89" s="13">
        <v>2311</v>
      </c>
      <c r="AS89" s="13">
        <v>2173</v>
      </c>
      <c r="AT89" s="13">
        <v>2176</v>
      </c>
      <c r="AU89" s="13">
        <v>2170</v>
      </c>
      <c r="AV89" s="13">
        <v>2180</v>
      </c>
      <c r="AW89" s="13">
        <v>2056</v>
      </c>
      <c r="AX89" s="13">
        <v>2047</v>
      </c>
      <c r="AY89" s="13">
        <v>2011</v>
      </c>
      <c r="AZ89" s="13">
        <v>2017</v>
      </c>
      <c r="BA89" s="13">
        <v>2075</v>
      </c>
      <c r="BB89" s="13">
        <v>2025</v>
      </c>
      <c r="BC89" s="13">
        <v>1985</v>
      </c>
      <c r="BD89" s="13">
        <v>2071</v>
      </c>
      <c r="BE89" s="13">
        <v>2048</v>
      </c>
      <c r="BF89" s="13">
        <v>2083</v>
      </c>
      <c r="BG89" s="13">
        <v>2063</v>
      </c>
      <c r="BH89" s="13">
        <v>1945</v>
      </c>
      <c r="BI89" s="13">
        <v>2085</v>
      </c>
      <c r="BJ89" s="13">
        <v>2254</v>
      </c>
      <c r="BK89" s="13">
        <v>2196</v>
      </c>
      <c r="BL89" s="13">
        <v>2258</v>
      </c>
    </row>
    <row r="90" spans="1:64" ht="15.95" customHeight="1">
      <c r="A90" s="64" t="s">
        <v>347</v>
      </c>
      <c r="B90" s="6" t="s">
        <v>151</v>
      </c>
      <c r="C90" s="15">
        <f>_xll.RssMarket("6323","現在値")</f>
        <v>4554</v>
      </c>
      <c r="D90" s="16">
        <f t="shared" si="1"/>
        <v>0</v>
      </c>
      <c r="E90" s="13">
        <v>4554</v>
      </c>
      <c r="F90" s="13">
        <v>4410</v>
      </c>
      <c r="G90" s="13">
        <v>4168</v>
      </c>
      <c r="H90" s="13">
        <v>3841</v>
      </c>
      <c r="I90" s="13">
        <v>3867</v>
      </c>
      <c r="J90" s="13">
        <v>3942</v>
      </c>
      <c r="K90" s="13">
        <v>4229</v>
      </c>
      <c r="L90" s="13">
        <v>4424</v>
      </c>
      <c r="M90" s="13">
        <v>4216</v>
      </c>
      <c r="N90" s="13">
        <v>3835</v>
      </c>
      <c r="O90" s="13">
        <v>3848</v>
      </c>
      <c r="P90" s="13">
        <v>3933</v>
      </c>
      <c r="Q90" s="13">
        <v>3894</v>
      </c>
      <c r="R90" s="13">
        <v>3867</v>
      </c>
      <c r="S90" s="13">
        <v>4000</v>
      </c>
      <c r="T90" s="13">
        <v>3887</v>
      </c>
      <c r="U90" s="13">
        <v>3752</v>
      </c>
      <c r="V90" s="13">
        <v>3487</v>
      </c>
      <c r="W90" s="13">
        <v>3597</v>
      </c>
      <c r="X90" s="13">
        <v>3672</v>
      </c>
      <c r="Y90" s="13">
        <v>3739</v>
      </c>
      <c r="Z90" s="13">
        <v>3997</v>
      </c>
      <c r="AA90" s="13">
        <v>3946</v>
      </c>
      <c r="AB90" s="13">
        <v>3995</v>
      </c>
      <c r="AC90" s="13">
        <v>4040</v>
      </c>
      <c r="AD90" s="13">
        <v>3898</v>
      </c>
      <c r="AE90" s="13">
        <v>3950</v>
      </c>
      <c r="AF90" s="13">
        <v>3704</v>
      </c>
      <c r="AG90" s="13">
        <v>3670</v>
      </c>
      <c r="AH90" s="13">
        <v>3855</v>
      </c>
      <c r="AI90" s="13">
        <v>3996</v>
      </c>
      <c r="AJ90" s="13">
        <v>3638</v>
      </c>
      <c r="AK90" s="13">
        <v>3522</v>
      </c>
      <c r="AL90" s="13">
        <v>3566</v>
      </c>
      <c r="AM90" s="13">
        <v>3700</v>
      </c>
      <c r="AN90" s="13">
        <v>3624</v>
      </c>
      <c r="AO90" s="13">
        <v>3626</v>
      </c>
      <c r="AP90" s="13">
        <v>3819</v>
      </c>
      <c r="AQ90" s="13">
        <v>3852</v>
      </c>
      <c r="AR90" s="13">
        <v>4035</v>
      </c>
      <c r="AS90" s="13">
        <v>4058</v>
      </c>
      <c r="AT90" s="13">
        <v>3969</v>
      </c>
      <c r="AU90" s="13">
        <v>3269</v>
      </c>
      <c r="AV90" s="13">
        <v>3200</v>
      </c>
      <c r="AW90" s="13">
        <v>2891</v>
      </c>
      <c r="AX90" s="13">
        <v>2802.5</v>
      </c>
      <c r="AY90" s="13">
        <v>2699</v>
      </c>
      <c r="AZ90" s="13">
        <v>2618</v>
      </c>
      <c r="BA90" s="13">
        <v>2729</v>
      </c>
      <c r="BB90" s="13">
        <v>2570</v>
      </c>
      <c r="BC90" s="13">
        <v>2569.5</v>
      </c>
      <c r="BD90" s="13">
        <v>2680.5</v>
      </c>
      <c r="BE90" s="13">
        <v>2795.5</v>
      </c>
      <c r="BF90" s="13">
        <v>2831.5</v>
      </c>
      <c r="BG90" s="13">
        <v>2732</v>
      </c>
      <c r="BH90" s="13">
        <v>2685.5</v>
      </c>
      <c r="BI90" s="13">
        <v>2776.5</v>
      </c>
      <c r="BJ90" s="13">
        <v>2887.5</v>
      </c>
      <c r="BK90" s="13">
        <v>2791</v>
      </c>
      <c r="BL90" s="13">
        <v>2865.5</v>
      </c>
    </row>
    <row r="91" spans="1:64" ht="15.95" customHeight="1">
      <c r="A91" s="64" t="s">
        <v>348</v>
      </c>
      <c r="B91" s="6" t="s">
        <v>152</v>
      </c>
      <c r="C91" s="15">
        <f>_xll.RssMarket("6501","現在値")</f>
        <v>4701</v>
      </c>
      <c r="D91" s="16">
        <f t="shared" si="1"/>
        <v>0</v>
      </c>
      <c r="E91" s="13">
        <v>4701</v>
      </c>
      <c r="F91" s="13">
        <v>4747</v>
      </c>
      <c r="G91" s="13">
        <v>4657</v>
      </c>
      <c r="H91" s="13">
        <v>4655</v>
      </c>
      <c r="I91" s="13">
        <v>4784</v>
      </c>
      <c r="J91" s="13">
        <v>5031</v>
      </c>
      <c r="K91" s="13">
        <v>5300</v>
      </c>
      <c r="L91" s="13">
        <v>5183</v>
      </c>
      <c r="M91" s="13">
        <v>5270</v>
      </c>
      <c r="N91" s="13">
        <v>5083</v>
      </c>
      <c r="O91" s="13">
        <v>5126</v>
      </c>
      <c r="P91" s="13">
        <v>5166</v>
      </c>
      <c r="Q91" s="13">
        <v>5174</v>
      </c>
      <c r="R91" s="13">
        <v>4960</v>
      </c>
      <c r="S91" s="13">
        <v>5054</v>
      </c>
      <c r="T91" s="13">
        <v>5002</v>
      </c>
      <c r="U91" s="13">
        <v>5123</v>
      </c>
      <c r="V91" s="13">
        <v>4908</v>
      </c>
      <c r="W91" s="13">
        <v>4944</v>
      </c>
      <c r="X91" s="13">
        <v>4808</v>
      </c>
      <c r="Y91" s="13">
        <v>4812</v>
      </c>
      <c r="Z91" s="13">
        <v>4671</v>
      </c>
      <c r="AA91" s="13">
        <v>4750</v>
      </c>
      <c r="AB91" s="13">
        <v>4868</v>
      </c>
      <c r="AC91" s="13">
        <v>4887</v>
      </c>
      <c r="AD91" s="13">
        <v>4938</v>
      </c>
      <c r="AE91" s="13">
        <v>4850</v>
      </c>
      <c r="AF91" s="13">
        <v>4795</v>
      </c>
      <c r="AG91" s="13">
        <v>4882</v>
      </c>
      <c r="AH91" s="13">
        <v>5047</v>
      </c>
      <c r="AI91" s="13">
        <v>5356</v>
      </c>
      <c r="AJ91" s="13">
        <v>5229</v>
      </c>
      <c r="AK91" s="13">
        <v>5203</v>
      </c>
      <c r="AL91" s="13">
        <v>5034</v>
      </c>
      <c r="AM91" s="13">
        <v>5189</v>
      </c>
      <c r="AN91" s="13">
        <v>5153</v>
      </c>
      <c r="AO91" s="13">
        <v>5157</v>
      </c>
      <c r="AP91" s="13">
        <v>5220</v>
      </c>
      <c r="AQ91" s="13">
        <v>5220</v>
      </c>
      <c r="AR91" s="13">
        <v>4957</v>
      </c>
      <c r="AS91" s="13">
        <v>4848</v>
      </c>
      <c r="AT91" s="13">
        <v>4810</v>
      </c>
      <c r="AU91" s="13">
        <v>4843</v>
      </c>
      <c r="AV91" s="13">
        <v>4915</v>
      </c>
      <c r="AW91" s="13">
        <v>4764</v>
      </c>
      <c r="AX91" s="13">
        <v>4719</v>
      </c>
      <c r="AY91" s="13">
        <v>4811</v>
      </c>
      <c r="AZ91" s="13">
        <v>4675</v>
      </c>
      <c r="BA91" s="13">
        <v>4732</v>
      </c>
      <c r="BB91" s="13">
        <v>4464</v>
      </c>
      <c r="BC91" s="13">
        <v>4533</v>
      </c>
      <c r="BD91" s="13">
        <v>4716</v>
      </c>
      <c r="BE91" s="13">
        <v>4779</v>
      </c>
      <c r="BF91" s="13">
        <v>4881</v>
      </c>
      <c r="BG91" s="13">
        <v>4810</v>
      </c>
      <c r="BH91" s="13">
        <v>4800</v>
      </c>
      <c r="BI91" s="13">
        <v>4849</v>
      </c>
      <c r="BJ91" s="13">
        <v>4869</v>
      </c>
      <c r="BK91" s="13">
        <v>4801</v>
      </c>
      <c r="BL91" s="13">
        <v>4800</v>
      </c>
    </row>
    <row r="92" spans="1:64" ht="15.95" customHeight="1">
      <c r="A92" s="64" t="s">
        <v>349</v>
      </c>
      <c r="B92" s="6" t="s">
        <v>153</v>
      </c>
      <c r="C92" s="15">
        <f>_xll.RssMarket("6134","現在値")</f>
        <v>8323</v>
      </c>
      <c r="D92" s="16">
        <f t="shared" si="1"/>
        <v>0</v>
      </c>
      <c r="E92" s="13">
        <v>8323</v>
      </c>
      <c r="F92" s="13">
        <v>8239</v>
      </c>
      <c r="G92" s="13">
        <v>7671</v>
      </c>
      <c r="H92" s="13">
        <v>7426</v>
      </c>
      <c r="I92" s="13">
        <v>7355</v>
      </c>
      <c r="J92" s="13">
        <v>7162</v>
      </c>
      <c r="K92" s="13">
        <v>7736</v>
      </c>
      <c r="L92" s="13">
        <v>7788</v>
      </c>
      <c r="M92" s="13">
        <v>7835</v>
      </c>
      <c r="N92" s="13">
        <v>7932</v>
      </c>
      <c r="O92" s="13">
        <v>8196</v>
      </c>
      <c r="P92" s="13">
        <v>7938</v>
      </c>
      <c r="Q92" s="13">
        <v>7881</v>
      </c>
      <c r="R92" s="13">
        <v>7867</v>
      </c>
      <c r="S92" s="13">
        <v>8323</v>
      </c>
      <c r="T92" s="13">
        <v>7918</v>
      </c>
      <c r="U92" s="13">
        <v>7585</v>
      </c>
      <c r="V92" s="13">
        <v>7220</v>
      </c>
      <c r="W92" s="13">
        <v>7576</v>
      </c>
      <c r="X92" s="13">
        <v>7735</v>
      </c>
      <c r="Y92" s="13">
        <v>7993</v>
      </c>
      <c r="Z92" s="13">
        <v>7201</v>
      </c>
      <c r="AA92" s="13">
        <v>6988</v>
      </c>
      <c r="AB92" s="13">
        <v>6913</v>
      </c>
      <c r="AC92" s="13">
        <v>6721</v>
      </c>
      <c r="AD92" s="13">
        <v>6615</v>
      </c>
      <c r="AE92" s="13">
        <v>6272</v>
      </c>
      <c r="AF92" s="13">
        <v>6024</v>
      </c>
      <c r="AG92" s="13">
        <v>6068</v>
      </c>
      <c r="AH92" s="13">
        <v>6063</v>
      </c>
      <c r="AI92" s="13">
        <v>5963</v>
      </c>
      <c r="AJ92" s="13">
        <v>5873</v>
      </c>
      <c r="AK92" s="13">
        <v>5714</v>
      </c>
      <c r="AL92" s="13">
        <v>5950</v>
      </c>
      <c r="AM92" s="13">
        <v>5967</v>
      </c>
      <c r="AN92" s="13">
        <v>5740</v>
      </c>
      <c r="AO92" s="13">
        <v>5657</v>
      </c>
      <c r="AP92" s="13">
        <v>5867</v>
      </c>
      <c r="AQ92" s="13">
        <v>5716</v>
      </c>
      <c r="AR92" s="13">
        <v>5810</v>
      </c>
      <c r="AS92" s="13">
        <v>5508</v>
      </c>
      <c r="AT92" s="13">
        <v>5447</v>
      </c>
      <c r="AU92" s="13">
        <v>5340</v>
      </c>
      <c r="AV92" s="13">
        <v>5303</v>
      </c>
      <c r="AW92" s="13">
        <v>4959</v>
      </c>
      <c r="AX92" s="13">
        <v>4917</v>
      </c>
      <c r="AY92" s="13">
        <v>4916</v>
      </c>
      <c r="AZ92" s="13">
        <v>4810</v>
      </c>
      <c r="BA92" s="13">
        <v>5013</v>
      </c>
      <c r="BB92" s="13">
        <v>4661</v>
      </c>
      <c r="BC92" s="13">
        <v>4750</v>
      </c>
      <c r="BD92" s="13">
        <v>5006</v>
      </c>
      <c r="BE92" s="13">
        <v>5154</v>
      </c>
      <c r="BF92" s="13">
        <v>5202</v>
      </c>
      <c r="BG92" s="13">
        <v>4982</v>
      </c>
      <c r="BH92" s="13">
        <v>4844</v>
      </c>
      <c r="BI92" s="13">
        <v>5116</v>
      </c>
      <c r="BJ92" s="13">
        <v>5367</v>
      </c>
      <c r="BK92" s="13">
        <v>5190</v>
      </c>
      <c r="BL92" s="13">
        <v>5298</v>
      </c>
    </row>
    <row r="93" spans="1:64" ht="15.95" customHeight="1">
      <c r="A93" s="64" t="s">
        <v>350</v>
      </c>
      <c r="B93" s="6" t="s">
        <v>154</v>
      </c>
      <c r="C93" s="15">
        <f>_xll.RssMarket("7746","現在値")</f>
        <v>828</v>
      </c>
      <c r="D93" s="16">
        <f t="shared" si="1"/>
        <v>0</v>
      </c>
      <c r="E93" s="13">
        <v>828</v>
      </c>
      <c r="F93" s="13">
        <v>897</v>
      </c>
      <c r="G93" s="13">
        <v>722</v>
      </c>
      <c r="H93" s="13">
        <v>700</v>
      </c>
      <c r="I93" s="13">
        <v>682</v>
      </c>
      <c r="J93" s="13">
        <v>726</v>
      </c>
      <c r="K93" s="13">
        <v>778</v>
      </c>
      <c r="L93" s="13">
        <v>755</v>
      </c>
      <c r="M93" s="13">
        <v>784</v>
      </c>
      <c r="N93" s="13">
        <v>773</v>
      </c>
      <c r="O93" s="13">
        <v>795</v>
      </c>
      <c r="P93" s="13">
        <v>845</v>
      </c>
      <c r="Q93" s="13">
        <v>843</v>
      </c>
      <c r="R93" s="13">
        <v>850</v>
      </c>
      <c r="S93" s="13">
        <v>893</v>
      </c>
      <c r="T93" s="13">
        <v>911</v>
      </c>
      <c r="U93" s="13">
        <v>929</v>
      </c>
      <c r="V93" s="13">
        <v>989</v>
      </c>
      <c r="W93" s="13">
        <v>1054</v>
      </c>
      <c r="X93" s="13">
        <v>904</v>
      </c>
      <c r="Y93" s="13">
        <v>754</v>
      </c>
      <c r="Z93" s="13">
        <v>779</v>
      </c>
      <c r="AA93" s="13">
        <v>795</v>
      </c>
      <c r="AB93" s="13">
        <v>765</v>
      </c>
      <c r="AC93" s="13">
        <v>820</v>
      </c>
      <c r="AD93" s="13">
        <v>878</v>
      </c>
      <c r="AE93" s="13">
        <v>840</v>
      </c>
      <c r="AF93" s="13">
        <v>815</v>
      </c>
      <c r="AG93" s="13">
        <v>852</v>
      </c>
      <c r="AH93" s="13">
        <v>921</v>
      </c>
      <c r="AI93" s="13">
        <v>946</v>
      </c>
      <c r="AJ93" s="13">
        <v>955</v>
      </c>
      <c r="AK93" s="13">
        <v>976</v>
      </c>
      <c r="AL93" s="13">
        <v>999</v>
      </c>
      <c r="AM93" s="13">
        <v>998</v>
      </c>
      <c r="AN93" s="13">
        <v>1056</v>
      </c>
      <c r="AO93" s="13">
        <v>949</v>
      </c>
      <c r="AP93" s="13">
        <v>962</v>
      </c>
      <c r="AQ93" s="13">
        <v>985</v>
      </c>
      <c r="AR93" s="13">
        <v>981</v>
      </c>
      <c r="AS93" s="13">
        <v>964</v>
      </c>
      <c r="AT93" s="13">
        <v>1011</v>
      </c>
      <c r="AU93" s="13">
        <v>1033</v>
      </c>
      <c r="AV93" s="13">
        <v>1066</v>
      </c>
      <c r="AW93" s="13">
        <v>1001</v>
      </c>
      <c r="AX93" s="13">
        <v>998</v>
      </c>
      <c r="AY93" s="13">
        <v>1010</v>
      </c>
      <c r="AZ93" s="13">
        <v>1043</v>
      </c>
      <c r="BA93" s="13">
        <v>1108</v>
      </c>
      <c r="BB93" s="13">
        <v>1111</v>
      </c>
      <c r="BC93" s="13">
        <v>997</v>
      </c>
      <c r="BD93" s="13">
        <v>952</v>
      </c>
      <c r="BE93" s="13">
        <v>970</v>
      </c>
      <c r="BF93" s="13">
        <v>1007</v>
      </c>
      <c r="BG93" s="13">
        <v>992</v>
      </c>
      <c r="BH93" s="13">
        <v>1008</v>
      </c>
      <c r="BI93" s="13">
        <v>1078</v>
      </c>
      <c r="BJ93" s="13">
        <v>1123</v>
      </c>
      <c r="BK93" s="13">
        <v>1085</v>
      </c>
      <c r="BL93" s="13">
        <v>1159</v>
      </c>
    </row>
    <row r="94" spans="1:64" ht="15.95" customHeight="1">
      <c r="A94" s="64" t="s">
        <v>351</v>
      </c>
      <c r="B94" s="6" t="s">
        <v>155</v>
      </c>
      <c r="C94" s="15">
        <f>_xll.RssMarket("3407","現在値")</f>
        <v>1790</v>
      </c>
      <c r="D94" s="16">
        <f t="shared" si="1"/>
        <v>0</v>
      </c>
      <c r="E94" s="13">
        <v>1790</v>
      </c>
      <c r="F94" s="13">
        <v>1761.5</v>
      </c>
      <c r="G94" s="13">
        <v>1788.5</v>
      </c>
      <c r="H94" s="13">
        <v>1760</v>
      </c>
      <c r="I94" s="13">
        <v>1756</v>
      </c>
      <c r="J94" s="13">
        <v>1746</v>
      </c>
      <c r="K94" s="13">
        <v>1786.5</v>
      </c>
      <c r="L94" s="13">
        <v>1786</v>
      </c>
      <c r="M94" s="13">
        <v>1757.5</v>
      </c>
      <c r="N94" s="13">
        <v>1742.5</v>
      </c>
      <c r="O94" s="13">
        <v>1768</v>
      </c>
      <c r="P94" s="13">
        <v>1787</v>
      </c>
      <c r="Q94" s="13">
        <v>1755.5</v>
      </c>
      <c r="R94" s="13">
        <v>1750</v>
      </c>
      <c r="S94" s="13">
        <v>1770</v>
      </c>
      <c r="T94" s="13">
        <v>1726</v>
      </c>
      <c r="U94" s="13">
        <v>1709</v>
      </c>
      <c r="V94" s="13">
        <v>1673.5</v>
      </c>
      <c r="W94" s="13">
        <v>1700</v>
      </c>
      <c r="X94" s="13">
        <v>1690</v>
      </c>
      <c r="Y94" s="13">
        <v>1728</v>
      </c>
      <c r="Z94" s="13">
        <v>1729</v>
      </c>
      <c r="AA94" s="13">
        <v>1750</v>
      </c>
      <c r="AB94" s="13">
        <v>1654.5</v>
      </c>
      <c r="AC94" s="13">
        <v>1532.5</v>
      </c>
      <c r="AD94" s="13">
        <v>1536.5</v>
      </c>
      <c r="AE94" s="13">
        <v>1545.5</v>
      </c>
      <c r="AF94" s="13">
        <v>1524.5</v>
      </c>
      <c r="AG94" s="13">
        <v>1535</v>
      </c>
      <c r="AH94" s="13">
        <v>1542</v>
      </c>
      <c r="AI94" s="13">
        <v>1519.5</v>
      </c>
      <c r="AJ94" s="13">
        <v>1527</v>
      </c>
      <c r="AK94" s="13">
        <v>1526.5</v>
      </c>
      <c r="AL94" s="13">
        <v>1533.5</v>
      </c>
      <c r="AM94" s="13">
        <v>1558.5</v>
      </c>
      <c r="AN94" s="13">
        <v>1559</v>
      </c>
      <c r="AO94" s="13">
        <v>1602</v>
      </c>
      <c r="AP94" s="13">
        <v>1612</v>
      </c>
      <c r="AQ94" s="13">
        <v>1540.5</v>
      </c>
      <c r="AR94" s="13">
        <v>1573.5</v>
      </c>
      <c r="AS94" s="13">
        <v>1611</v>
      </c>
      <c r="AT94" s="13">
        <v>1635.5</v>
      </c>
      <c r="AU94" s="13">
        <v>1637.5</v>
      </c>
      <c r="AV94" s="13">
        <v>1650</v>
      </c>
      <c r="AW94" s="13">
        <v>1545</v>
      </c>
      <c r="AX94" s="13">
        <v>1538.5</v>
      </c>
      <c r="AY94" s="13">
        <v>1560</v>
      </c>
      <c r="AZ94" s="13">
        <v>1544.5</v>
      </c>
      <c r="BA94" s="13">
        <v>1590.5</v>
      </c>
      <c r="BB94" s="13">
        <v>1509</v>
      </c>
      <c r="BC94" s="13">
        <v>1506.5</v>
      </c>
      <c r="BD94" s="13">
        <v>1569.5</v>
      </c>
      <c r="BE94" s="13">
        <v>1560</v>
      </c>
      <c r="BF94" s="13">
        <v>1557.5</v>
      </c>
      <c r="BG94" s="13">
        <v>1530</v>
      </c>
      <c r="BH94" s="13">
        <v>1474.5</v>
      </c>
      <c r="BI94" s="13">
        <v>1553.5</v>
      </c>
      <c r="BJ94" s="13">
        <v>1636</v>
      </c>
      <c r="BK94" s="13">
        <v>1596.5</v>
      </c>
      <c r="BL94" s="13">
        <v>1595</v>
      </c>
    </row>
    <row r="95" spans="1:64" ht="15.95" customHeight="1">
      <c r="A95" s="64" t="s">
        <v>352</v>
      </c>
      <c r="B95" s="6" t="s">
        <v>156</v>
      </c>
      <c r="C95" s="15">
        <f>_xll.RssMarket("4008","現在値")</f>
        <v>1318</v>
      </c>
      <c r="D95" s="16">
        <f t="shared" si="1"/>
        <v>0</v>
      </c>
      <c r="E95" s="13">
        <v>1318</v>
      </c>
      <c r="F95" s="13">
        <v>1321</v>
      </c>
      <c r="G95" s="13">
        <v>1281</v>
      </c>
      <c r="H95" s="13">
        <v>1256</v>
      </c>
      <c r="I95" s="13">
        <v>1255</v>
      </c>
      <c r="J95" s="13">
        <v>1254</v>
      </c>
      <c r="K95" s="13">
        <v>1289</v>
      </c>
      <c r="L95" s="13">
        <v>1273</v>
      </c>
      <c r="M95" s="13">
        <v>1312</v>
      </c>
      <c r="N95" s="13">
        <v>1286</v>
      </c>
      <c r="O95" s="13">
        <v>1272</v>
      </c>
      <c r="P95" s="13">
        <v>1332</v>
      </c>
      <c r="Q95" s="13">
        <v>1323</v>
      </c>
      <c r="R95" s="13">
        <v>1319</v>
      </c>
      <c r="S95" s="13">
        <v>1302</v>
      </c>
      <c r="T95" s="13">
        <v>1275</v>
      </c>
      <c r="U95" s="13">
        <v>1231</v>
      </c>
      <c r="V95" s="13">
        <v>1218</v>
      </c>
      <c r="W95" s="13">
        <v>1234</v>
      </c>
      <c r="X95" s="13">
        <v>1243</v>
      </c>
      <c r="Y95" s="13">
        <v>1260</v>
      </c>
      <c r="Z95" s="13">
        <v>1250</v>
      </c>
      <c r="AA95" s="13">
        <v>1247</v>
      </c>
      <c r="AB95" s="13">
        <v>1188</v>
      </c>
      <c r="AC95" s="13">
        <v>1212</v>
      </c>
      <c r="AD95" s="13">
        <v>1209</v>
      </c>
      <c r="AE95" s="13">
        <v>1217</v>
      </c>
      <c r="AF95" s="13">
        <v>1186</v>
      </c>
      <c r="AG95" s="13">
        <v>1197</v>
      </c>
      <c r="AH95" s="13">
        <v>1207</v>
      </c>
      <c r="AI95" s="13">
        <v>1194</v>
      </c>
      <c r="AJ95" s="13">
        <v>1197</v>
      </c>
      <c r="AK95" s="13">
        <v>1196</v>
      </c>
      <c r="AL95" s="13">
        <v>1201</v>
      </c>
      <c r="AM95" s="13">
        <v>1239</v>
      </c>
      <c r="AN95" s="13">
        <v>1267</v>
      </c>
      <c r="AO95" s="13">
        <v>1268</v>
      </c>
      <c r="AP95" s="13">
        <v>1279</v>
      </c>
      <c r="AQ95" s="13">
        <v>1280</v>
      </c>
      <c r="AR95" s="13">
        <v>1274</v>
      </c>
      <c r="AS95" s="13">
        <v>1257</v>
      </c>
      <c r="AT95" s="13">
        <v>1253</v>
      </c>
      <c r="AU95" s="13">
        <v>1252</v>
      </c>
      <c r="AV95" s="13">
        <v>1268</v>
      </c>
      <c r="AW95" s="13">
        <v>1227</v>
      </c>
      <c r="AX95" s="13">
        <v>1230</v>
      </c>
      <c r="AY95" s="13">
        <v>1223</v>
      </c>
      <c r="AZ95" s="13">
        <v>1205</v>
      </c>
      <c r="BA95" s="13">
        <v>1233</v>
      </c>
      <c r="BB95" s="13">
        <v>1182</v>
      </c>
      <c r="BC95" s="13">
        <v>1217</v>
      </c>
      <c r="BD95" s="13">
        <v>1260</v>
      </c>
      <c r="BE95" s="13">
        <v>1268</v>
      </c>
      <c r="BF95" s="13">
        <v>1270</v>
      </c>
      <c r="BG95" s="13">
        <v>1246</v>
      </c>
      <c r="BH95" s="13">
        <v>1210</v>
      </c>
      <c r="BI95" s="13">
        <v>1270</v>
      </c>
      <c r="BJ95" s="13">
        <v>1336</v>
      </c>
      <c r="BK95" s="13">
        <v>1312</v>
      </c>
      <c r="BL95" s="13">
        <v>1314</v>
      </c>
    </row>
    <row r="96" spans="1:64" ht="15.95" customHeight="1">
      <c r="A96" s="64" t="s">
        <v>353</v>
      </c>
      <c r="B96" s="6" t="s">
        <v>157</v>
      </c>
      <c r="C96" s="15">
        <f>_xll.RssMarket("4062","現在値")</f>
        <v>24000</v>
      </c>
      <c r="D96" s="16">
        <f t="shared" si="1"/>
        <v>0</v>
      </c>
      <c r="E96" s="13">
        <v>24000</v>
      </c>
      <c r="F96" s="13">
        <v>22445</v>
      </c>
      <c r="G96" s="13">
        <v>19105</v>
      </c>
      <c r="H96" s="13">
        <v>18210</v>
      </c>
      <c r="I96" s="13">
        <v>17400</v>
      </c>
      <c r="J96" s="13">
        <v>17060</v>
      </c>
      <c r="K96" s="13">
        <v>18760</v>
      </c>
      <c r="L96" s="13">
        <v>20155</v>
      </c>
      <c r="M96" s="13">
        <v>21940</v>
      </c>
      <c r="N96" s="13">
        <v>21135</v>
      </c>
      <c r="O96" s="13">
        <v>21795</v>
      </c>
      <c r="P96" s="13">
        <v>23000</v>
      </c>
      <c r="Q96" s="13">
        <v>19740</v>
      </c>
      <c r="R96" s="13">
        <v>20425</v>
      </c>
      <c r="S96" s="13">
        <v>20930</v>
      </c>
      <c r="T96" s="13">
        <v>19250</v>
      </c>
      <c r="U96" s="13">
        <v>17875</v>
      </c>
      <c r="V96" s="13">
        <v>15640</v>
      </c>
      <c r="W96" s="13">
        <v>15320</v>
      </c>
      <c r="X96" s="13">
        <v>15635</v>
      </c>
      <c r="Y96" s="13">
        <v>15660</v>
      </c>
      <c r="Z96" s="13">
        <v>16960</v>
      </c>
      <c r="AA96" s="13">
        <v>17060</v>
      </c>
      <c r="AB96" s="13">
        <v>16550</v>
      </c>
      <c r="AC96" s="13">
        <v>15655</v>
      </c>
      <c r="AD96" s="13">
        <v>15515</v>
      </c>
      <c r="AE96" s="13">
        <v>16375</v>
      </c>
      <c r="AF96" s="13">
        <v>13375</v>
      </c>
      <c r="AG96" s="13">
        <v>13480</v>
      </c>
      <c r="AH96" s="13">
        <v>12560</v>
      </c>
      <c r="AI96" s="13">
        <v>12670</v>
      </c>
      <c r="AJ96" s="13">
        <v>12540</v>
      </c>
      <c r="AK96" s="13">
        <v>11135</v>
      </c>
      <c r="AL96" s="13">
        <v>11200</v>
      </c>
      <c r="AM96" s="13">
        <v>10560</v>
      </c>
      <c r="AN96" s="13">
        <v>9575</v>
      </c>
      <c r="AO96" s="13">
        <v>9235</v>
      </c>
      <c r="AP96" s="13">
        <v>9572</v>
      </c>
      <c r="AQ96" s="13">
        <v>9380</v>
      </c>
      <c r="AR96" s="13">
        <v>9915</v>
      </c>
      <c r="AS96" s="13">
        <v>9386</v>
      </c>
      <c r="AT96" s="13">
        <v>9888</v>
      </c>
      <c r="AU96" s="13">
        <v>9810</v>
      </c>
      <c r="AV96" s="13">
        <v>9794</v>
      </c>
      <c r="AW96" s="13">
        <v>8718</v>
      </c>
      <c r="AX96" s="13">
        <v>8554</v>
      </c>
      <c r="AY96" s="13">
        <v>8210</v>
      </c>
      <c r="AZ96" s="13">
        <v>7775</v>
      </c>
      <c r="BA96" s="13">
        <v>8070</v>
      </c>
      <c r="BB96" s="13">
        <v>7372</v>
      </c>
      <c r="BC96" s="13">
        <v>7776</v>
      </c>
      <c r="BD96" s="13">
        <v>8269</v>
      </c>
      <c r="BE96" s="13">
        <v>8460</v>
      </c>
      <c r="BF96" s="13">
        <v>8478</v>
      </c>
      <c r="BG96" s="13">
        <v>7835</v>
      </c>
      <c r="BH96" s="13">
        <v>7540</v>
      </c>
      <c r="BI96" s="13">
        <v>8268</v>
      </c>
      <c r="BJ96" s="13">
        <v>8481</v>
      </c>
      <c r="BK96" s="13">
        <v>8499</v>
      </c>
      <c r="BL96" s="13">
        <v>8149</v>
      </c>
    </row>
    <row r="97" spans="1:64" ht="15.95" customHeight="1">
      <c r="A97" s="64" t="s">
        <v>354</v>
      </c>
      <c r="B97" s="6" t="s">
        <v>158</v>
      </c>
      <c r="C97" s="15">
        <f>_xll.RssMarket("4182","現在値")</f>
        <v>5116</v>
      </c>
      <c r="D97" s="16">
        <f t="shared" si="1"/>
        <v>0</v>
      </c>
      <c r="E97" s="13">
        <v>5116</v>
      </c>
      <c r="F97" s="13">
        <v>5090</v>
      </c>
      <c r="G97" s="13">
        <v>4903</v>
      </c>
      <c r="H97" s="13">
        <v>4464</v>
      </c>
      <c r="I97" s="13">
        <v>4426</v>
      </c>
      <c r="J97" s="13">
        <v>4675</v>
      </c>
      <c r="K97" s="13">
        <v>5180</v>
      </c>
      <c r="L97" s="13">
        <v>5277</v>
      </c>
      <c r="M97" s="13">
        <v>5382</v>
      </c>
      <c r="N97" s="13">
        <v>5250</v>
      </c>
      <c r="O97" s="13">
        <v>5468</v>
      </c>
      <c r="P97" s="13">
        <v>5545</v>
      </c>
      <c r="Q97" s="13">
        <v>5391</v>
      </c>
      <c r="R97" s="13">
        <v>5401</v>
      </c>
      <c r="S97" s="13">
        <v>5243</v>
      </c>
      <c r="T97" s="13">
        <v>5060</v>
      </c>
      <c r="U97" s="13">
        <v>4974</v>
      </c>
      <c r="V97" s="13">
        <v>4613</v>
      </c>
      <c r="W97" s="13">
        <v>4543</v>
      </c>
      <c r="X97" s="13">
        <v>4620</v>
      </c>
      <c r="Y97" s="13">
        <v>4641</v>
      </c>
      <c r="Z97" s="13">
        <v>5002</v>
      </c>
      <c r="AA97" s="13">
        <v>4920</v>
      </c>
      <c r="AB97" s="13">
        <v>4855</v>
      </c>
      <c r="AC97" s="13">
        <v>4737</v>
      </c>
      <c r="AD97" s="13">
        <v>4582</v>
      </c>
      <c r="AE97" s="13">
        <v>4704</v>
      </c>
      <c r="AF97" s="13">
        <v>4368</v>
      </c>
      <c r="AG97" s="13">
        <v>4400</v>
      </c>
      <c r="AH97" s="13">
        <v>4401</v>
      </c>
      <c r="AI97" s="13">
        <v>4364</v>
      </c>
      <c r="AJ97" s="13">
        <v>4417</v>
      </c>
      <c r="AK97" s="13">
        <v>4264</v>
      </c>
      <c r="AL97" s="13">
        <v>4329</v>
      </c>
      <c r="AM97" s="13">
        <v>4322</v>
      </c>
      <c r="AN97" s="13">
        <v>4233</v>
      </c>
      <c r="AO97" s="13">
        <v>4181</v>
      </c>
      <c r="AP97" s="13">
        <v>4214</v>
      </c>
      <c r="AQ97" s="13">
        <v>4184</v>
      </c>
      <c r="AR97" s="13">
        <v>4217</v>
      </c>
      <c r="AS97" s="13">
        <v>4188</v>
      </c>
      <c r="AT97" s="13">
        <v>4180</v>
      </c>
      <c r="AU97" s="13">
        <v>4137</v>
      </c>
      <c r="AV97" s="13">
        <v>4217</v>
      </c>
      <c r="AW97" s="13">
        <v>3931</v>
      </c>
      <c r="AX97" s="13">
        <v>3920</v>
      </c>
      <c r="AY97" s="13">
        <v>3807</v>
      </c>
      <c r="AZ97" s="13">
        <v>3709</v>
      </c>
      <c r="BA97" s="13">
        <v>3869</v>
      </c>
      <c r="BB97" s="13">
        <v>3595</v>
      </c>
      <c r="BC97" s="13">
        <v>3612</v>
      </c>
      <c r="BD97" s="13">
        <v>3886</v>
      </c>
      <c r="BE97" s="13">
        <v>3926</v>
      </c>
      <c r="BF97" s="13">
        <v>4045</v>
      </c>
      <c r="BG97" s="13">
        <v>3846</v>
      </c>
      <c r="BH97" s="13">
        <v>3802</v>
      </c>
      <c r="BI97" s="13">
        <v>3973</v>
      </c>
      <c r="BJ97" s="13">
        <v>4247</v>
      </c>
      <c r="BK97" s="13">
        <v>4038</v>
      </c>
      <c r="BL97" s="13">
        <v>4141</v>
      </c>
    </row>
    <row r="98" spans="1:64" ht="15.95" customHeight="1">
      <c r="A98" s="64" t="s">
        <v>355</v>
      </c>
      <c r="B98" s="6" t="s">
        <v>159</v>
      </c>
      <c r="C98" s="15">
        <f>_xll.RssMarket("4188","現在値")</f>
        <v>1140</v>
      </c>
      <c r="D98" s="16">
        <f t="shared" si="1"/>
        <v>0</v>
      </c>
      <c r="E98" s="13">
        <v>1140</v>
      </c>
      <c r="F98" s="13">
        <v>1104.5</v>
      </c>
      <c r="G98" s="13">
        <v>1080.5</v>
      </c>
      <c r="H98" s="13">
        <v>1036</v>
      </c>
      <c r="I98" s="13">
        <v>1019.5</v>
      </c>
      <c r="J98" s="13">
        <v>1033.5</v>
      </c>
      <c r="K98" s="13">
        <v>1063</v>
      </c>
      <c r="L98" s="13">
        <v>1095</v>
      </c>
      <c r="M98" s="13">
        <v>1099</v>
      </c>
      <c r="N98" s="13">
        <v>1084</v>
      </c>
      <c r="O98" s="13">
        <v>1091.5</v>
      </c>
      <c r="P98" s="13">
        <v>1147</v>
      </c>
      <c r="Q98" s="13">
        <v>1116.5</v>
      </c>
      <c r="R98" s="13">
        <v>1115.5</v>
      </c>
      <c r="S98" s="13">
        <v>1089.5</v>
      </c>
      <c r="T98" s="13">
        <v>1027.5</v>
      </c>
      <c r="U98" s="13">
        <v>1003.5</v>
      </c>
      <c r="V98" s="13">
        <v>1001</v>
      </c>
      <c r="W98" s="13">
        <v>1030.5</v>
      </c>
      <c r="X98" s="13">
        <v>1007.5</v>
      </c>
      <c r="Y98" s="13">
        <v>1016.5</v>
      </c>
      <c r="Z98" s="13">
        <v>1054</v>
      </c>
      <c r="AA98" s="13">
        <v>1007</v>
      </c>
      <c r="AB98" s="13">
        <v>928.3</v>
      </c>
      <c r="AC98" s="13">
        <v>927.3</v>
      </c>
      <c r="AD98" s="13">
        <v>922.4</v>
      </c>
      <c r="AE98" s="13">
        <v>933.6</v>
      </c>
      <c r="AF98" s="13">
        <v>898</v>
      </c>
      <c r="AG98" s="13">
        <v>911.7</v>
      </c>
      <c r="AH98" s="13">
        <v>918.3</v>
      </c>
      <c r="AI98" s="13">
        <v>909.8</v>
      </c>
      <c r="AJ98" s="13">
        <v>911.4</v>
      </c>
      <c r="AK98" s="13">
        <v>916.7</v>
      </c>
      <c r="AL98" s="13">
        <v>941.4</v>
      </c>
      <c r="AM98" s="13">
        <v>969.3</v>
      </c>
      <c r="AN98" s="13">
        <v>962.1</v>
      </c>
      <c r="AO98" s="13">
        <v>988.9</v>
      </c>
      <c r="AP98" s="13">
        <v>997.7</v>
      </c>
      <c r="AQ98" s="13">
        <v>996.2</v>
      </c>
      <c r="AR98" s="13">
        <v>968.1</v>
      </c>
      <c r="AS98" s="13">
        <v>976.8</v>
      </c>
      <c r="AT98" s="13">
        <v>984.1</v>
      </c>
      <c r="AU98" s="13">
        <v>982.5</v>
      </c>
      <c r="AV98" s="13">
        <v>1004.5</v>
      </c>
      <c r="AW98" s="13">
        <v>920</v>
      </c>
      <c r="AX98" s="13">
        <v>917.5</v>
      </c>
      <c r="AY98" s="13">
        <v>921</v>
      </c>
      <c r="AZ98" s="13">
        <v>907.8</v>
      </c>
      <c r="BA98" s="13">
        <v>946.1</v>
      </c>
      <c r="BB98" s="13">
        <v>899</v>
      </c>
      <c r="BC98" s="13">
        <v>905.5</v>
      </c>
      <c r="BD98" s="13">
        <v>942.2</v>
      </c>
      <c r="BE98" s="13">
        <v>932.5</v>
      </c>
      <c r="BF98" s="13">
        <v>935</v>
      </c>
      <c r="BG98" s="13">
        <v>904.2</v>
      </c>
      <c r="BH98" s="13">
        <v>866.1</v>
      </c>
      <c r="BI98" s="13">
        <v>907.2</v>
      </c>
      <c r="BJ98" s="13">
        <v>955.1</v>
      </c>
      <c r="BK98" s="13">
        <v>912</v>
      </c>
      <c r="BL98" s="13">
        <v>910.2</v>
      </c>
    </row>
    <row r="99" spans="1:64" ht="15.95" customHeight="1">
      <c r="A99" s="64" t="s">
        <v>356</v>
      </c>
      <c r="B99" s="6" t="s">
        <v>160</v>
      </c>
      <c r="C99" s="15">
        <f>_xll.RssMarket("4523","現在値")</f>
        <v>3829</v>
      </c>
      <c r="D99" s="16">
        <f t="shared" si="1"/>
        <v>0</v>
      </c>
      <c r="E99" s="13">
        <v>3829</v>
      </c>
      <c r="F99" s="13">
        <v>3750</v>
      </c>
      <c r="G99" s="13">
        <v>3780</v>
      </c>
      <c r="H99" s="13">
        <v>3723</v>
      </c>
      <c r="I99" s="13">
        <v>3740</v>
      </c>
      <c r="J99" s="13">
        <v>3806</v>
      </c>
      <c r="K99" s="13">
        <v>3775</v>
      </c>
      <c r="L99" s="13">
        <v>3815</v>
      </c>
      <c r="M99" s="13">
        <v>3759</v>
      </c>
      <c r="N99" s="13">
        <v>3818</v>
      </c>
      <c r="O99" s="13">
        <v>3808</v>
      </c>
      <c r="P99" s="13">
        <v>3984</v>
      </c>
      <c r="Q99" s="13">
        <v>3901</v>
      </c>
      <c r="R99" s="13">
        <v>4043</v>
      </c>
      <c r="S99" s="13">
        <v>4143</v>
      </c>
      <c r="T99" s="13">
        <v>4157</v>
      </c>
      <c r="U99" s="13">
        <v>4243</v>
      </c>
      <c r="V99" s="13">
        <v>4245</v>
      </c>
      <c r="W99" s="13">
        <v>4466</v>
      </c>
      <c r="X99" s="13">
        <v>4429</v>
      </c>
      <c r="Y99" s="13">
        <v>4723</v>
      </c>
      <c r="Z99" s="13">
        <v>4721</v>
      </c>
      <c r="AA99" s="13">
        <v>4717</v>
      </c>
      <c r="AB99" s="13">
        <v>4649</v>
      </c>
      <c r="AC99" s="13">
        <v>4646</v>
      </c>
      <c r="AD99" s="13">
        <v>4677</v>
      </c>
      <c r="AE99" s="13">
        <v>4700</v>
      </c>
      <c r="AF99" s="13">
        <v>4688</v>
      </c>
      <c r="AG99" s="13">
        <v>4687</v>
      </c>
      <c r="AH99" s="13">
        <v>4605</v>
      </c>
      <c r="AI99" s="13">
        <v>4570</v>
      </c>
      <c r="AJ99" s="13">
        <v>4735</v>
      </c>
      <c r="AK99" s="13">
        <v>4737</v>
      </c>
      <c r="AL99" s="13">
        <v>4846</v>
      </c>
      <c r="AM99" s="13">
        <v>4858</v>
      </c>
      <c r="AN99" s="13">
        <v>4910</v>
      </c>
      <c r="AO99" s="13">
        <v>4891</v>
      </c>
      <c r="AP99" s="13">
        <v>5020</v>
      </c>
      <c r="AQ99" s="13">
        <v>5030</v>
      </c>
      <c r="AR99" s="13">
        <v>4850</v>
      </c>
      <c r="AS99" s="13">
        <v>4946</v>
      </c>
      <c r="AT99" s="13">
        <v>5025</v>
      </c>
      <c r="AU99" s="13">
        <v>5163</v>
      </c>
      <c r="AV99" s="13">
        <v>5155</v>
      </c>
      <c r="AW99" s="13">
        <v>5119</v>
      </c>
      <c r="AX99" s="13">
        <v>5139</v>
      </c>
      <c r="AY99" s="13">
        <v>5027</v>
      </c>
      <c r="AZ99" s="13">
        <v>5032</v>
      </c>
      <c r="BA99" s="13">
        <v>5115</v>
      </c>
      <c r="BB99" s="13">
        <v>4871</v>
      </c>
      <c r="BC99" s="13">
        <v>4880</v>
      </c>
      <c r="BD99" s="13">
        <v>4961</v>
      </c>
      <c r="BE99" s="13">
        <v>4922</v>
      </c>
      <c r="BF99" s="13">
        <v>4872</v>
      </c>
      <c r="BG99" s="13">
        <v>4809</v>
      </c>
      <c r="BH99" s="13">
        <v>4681</v>
      </c>
      <c r="BI99" s="13">
        <v>4764</v>
      </c>
      <c r="BJ99" s="13">
        <v>4945</v>
      </c>
      <c r="BK99" s="13">
        <v>4862</v>
      </c>
      <c r="BL99" s="13">
        <v>4742</v>
      </c>
    </row>
    <row r="100" spans="1:64" ht="15.95" customHeight="1">
      <c r="A100" s="64" t="s">
        <v>357</v>
      </c>
      <c r="B100" s="6" t="s">
        <v>161</v>
      </c>
      <c r="C100" s="15">
        <f>_xll.RssMarket("4528","現在値")</f>
        <v>2249.5</v>
      </c>
      <c r="D100" s="16">
        <f t="shared" si="1"/>
        <v>0</v>
      </c>
      <c r="E100" s="13">
        <v>2249.5</v>
      </c>
      <c r="F100" s="13">
        <v>2259</v>
      </c>
      <c r="G100" s="13">
        <v>2212.5</v>
      </c>
      <c r="H100" s="13">
        <v>2237.5</v>
      </c>
      <c r="I100" s="13">
        <v>2224</v>
      </c>
      <c r="J100" s="13">
        <v>2248</v>
      </c>
      <c r="K100" s="13">
        <v>2225</v>
      </c>
      <c r="L100" s="13">
        <v>2195.5</v>
      </c>
      <c r="M100" s="13">
        <v>2158</v>
      </c>
      <c r="N100" s="13">
        <v>2216.5</v>
      </c>
      <c r="O100" s="13">
        <v>2322</v>
      </c>
      <c r="P100" s="13">
        <v>2392.5</v>
      </c>
      <c r="Q100" s="13">
        <v>2399.5</v>
      </c>
      <c r="R100" s="13">
        <v>2367</v>
      </c>
      <c r="S100" s="13">
        <v>2438</v>
      </c>
      <c r="T100" s="13">
        <v>2482.5</v>
      </c>
      <c r="U100" s="13">
        <v>2446</v>
      </c>
      <c r="V100" s="13">
        <v>2426.5</v>
      </c>
      <c r="W100" s="13">
        <v>2425</v>
      </c>
      <c r="X100" s="13">
        <v>2441.5</v>
      </c>
      <c r="Y100" s="13">
        <v>2533.5</v>
      </c>
      <c r="Z100" s="13">
        <v>2573.5</v>
      </c>
      <c r="AA100" s="13">
        <v>2553</v>
      </c>
      <c r="AB100" s="13">
        <v>2479</v>
      </c>
      <c r="AC100" s="13">
        <v>2462</v>
      </c>
      <c r="AD100" s="13">
        <v>2480.5</v>
      </c>
      <c r="AE100" s="13">
        <v>2360.5</v>
      </c>
      <c r="AF100" s="13">
        <v>2315.5</v>
      </c>
      <c r="AG100" s="13">
        <v>2306</v>
      </c>
      <c r="AH100" s="13">
        <v>2312.5</v>
      </c>
      <c r="AI100" s="13">
        <v>2304.5</v>
      </c>
      <c r="AJ100" s="13">
        <v>2350</v>
      </c>
      <c r="AK100" s="13">
        <v>2316</v>
      </c>
      <c r="AL100" s="13">
        <v>2321.5</v>
      </c>
      <c r="AM100" s="13">
        <v>2356.5</v>
      </c>
      <c r="AN100" s="13">
        <v>2429.5</v>
      </c>
      <c r="AO100" s="13">
        <v>2406.5</v>
      </c>
      <c r="AP100" s="13">
        <v>2492</v>
      </c>
      <c r="AQ100" s="13">
        <v>2452</v>
      </c>
      <c r="AR100" s="13">
        <v>2476.5</v>
      </c>
      <c r="AS100" s="13">
        <v>2492</v>
      </c>
      <c r="AT100" s="13">
        <v>2509.5</v>
      </c>
      <c r="AU100" s="13">
        <v>2545</v>
      </c>
      <c r="AV100" s="13">
        <v>2546.5</v>
      </c>
      <c r="AW100" s="13">
        <v>2542</v>
      </c>
      <c r="AX100" s="13">
        <v>2532</v>
      </c>
      <c r="AY100" s="13">
        <v>2532.5</v>
      </c>
      <c r="AZ100" s="13">
        <v>2532.5</v>
      </c>
      <c r="BA100" s="13">
        <v>2579.5</v>
      </c>
      <c r="BB100" s="13">
        <v>2510.5</v>
      </c>
      <c r="BC100" s="13">
        <v>2517</v>
      </c>
      <c r="BD100" s="13">
        <v>2549</v>
      </c>
      <c r="BE100" s="13">
        <v>2493.5</v>
      </c>
      <c r="BF100" s="13">
        <v>2461</v>
      </c>
      <c r="BG100" s="13">
        <v>2387.5</v>
      </c>
      <c r="BH100" s="13">
        <v>2332</v>
      </c>
      <c r="BI100" s="13">
        <v>2349.5</v>
      </c>
      <c r="BJ100" s="13">
        <v>2410.5</v>
      </c>
      <c r="BK100" s="13">
        <v>2367</v>
      </c>
      <c r="BL100" s="13">
        <v>2340</v>
      </c>
    </row>
    <row r="101" spans="1:64" ht="15.95" customHeight="1">
      <c r="A101" s="64" t="s">
        <v>358</v>
      </c>
      <c r="B101" s="6" t="s">
        <v>162</v>
      </c>
      <c r="C101" s="15">
        <f>_xll.RssMarket("4661","現在値")</f>
        <v>2291</v>
      </c>
      <c r="D101" s="16">
        <f t="shared" si="1"/>
        <v>0</v>
      </c>
      <c r="E101" s="13">
        <v>2291</v>
      </c>
      <c r="F101" s="13">
        <v>2276</v>
      </c>
      <c r="G101" s="13">
        <v>2264.5</v>
      </c>
      <c r="H101" s="13">
        <v>2305.5</v>
      </c>
      <c r="I101" s="13">
        <v>2292.5</v>
      </c>
      <c r="J101" s="13">
        <v>2220</v>
      </c>
      <c r="K101" s="13">
        <v>2180.5</v>
      </c>
      <c r="L101" s="13">
        <v>2184</v>
      </c>
      <c r="M101" s="13">
        <v>2215</v>
      </c>
      <c r="N101" s="13">
        <v>2189</v>
      </c>
      <c r="O101" s="13">
        <v>2248</v>
      </c>
      <c r="P101" s="13">
        <v>2295.5</v>
      </c>
      <c r="Q101" s="13">
        <v>2250</v>
      </c>
      <c r="R101" s="13">
        <v>2199</v>
      </c>
      <c r="S101" s="13">
        <v>2125.5</v>
      </c>
      <c r="T101" s="13">
        <v>2140</v>
      </c>
      <c r="U101" s="13">
        <v>2141.5</v>
      </c>
      <c r="V101" s="13">
        <v>2230.5</v>
      </c>
      <c r="W101" s="13">
        <v>2218.5</v>
      </c>
      <c r="X101" s="13">
        <v>2136.5</v>
      </c>
      <c r="Y101" s="13">
        <v>2161</v>
      </c>
      <c r="Z101" s="13">
        <v>2149</v>
      </c>
      <c r="AA101" s="13">
        <v>2170</v>
      </c>
      <c r="AB101" s="13">
        <v>2182.5</v>
      </c>
      <c r="AC101" s="13">
        <v>2202.5</v>
      </c>
      <c r="AD101" s="13">
        <v>2241.5</v>
      </c>
      <c r="AE101" s="13">
        <v>2218</v>
      </c>
      <c r="AF101" s="13">
        <v>2223</v>
      </c>
      <c r="AG101" s="13">
        <v>2188.5</v>
      </c>
      <c r="AH101" s="13">
        <v>2434.5</v>
      </c>
      <c r="AI101" s="13">
        <v>2387.5</v>
      </c>
      <c r="AJ101" s="13">
        <v>2400</v>
      </c>
      <c r="AK101" s="13">
        <v>2482</v>
      </c>
      <c r="AL101" s="13">
        <v>2587.5</v>
      </c>
      <c r="AM101" s="13">
        <v>2613</v>
      </c>
      <c r="AN101" s="13">
        <v>2643.5</v>
      </c>
      <c r="AO101" s="13">
        <v>2635</v>
      </c>
      <c r="AP101" s="13">
        <v>2640.5</v>
      </c>
      <c r="AQ101" s="13">
        <v>2636.5</v>
      </c>
      <c r="AR101" s="13">
        <v>2548</v>
      </c>
      <c r="AS101" s="13">
        <v>2601</v>
      </c>
      <c r="AT101" s="13">
        <v>2607.5</v>
      </c>
      <c r="AU101" s="13">
        <v>2612.5</v>
      </c>
      <c r="AV101" s="13">
        <v>2674</v>
      </c>
      <c r="AW101" s="13">
        <v>2645.5</v>
      </c>
      <c r="AX101" s="13">
        <v>2679.5</v>
      </c>
      <c r="AY101" s="13">
        <v>2732.5</v>
      </c>
      <c r="AZ101" s="13">
        <v>2735</v>
      </c>
      <c r="BA101" s="13">
        <v>2738</v>
      </c>
      <c r="BB101" s="13">
        <v>2700</v>
      </c>
      <c r="BC101" s="13">
        <v>2637.5</v>
      </c>
      <c r="BD101" s="13">
        <v>2713.5</v>
      </c>
      <c r="BE101" s="13">
        <v>2694.5</v>
      </c>
      <c r="BF101" s="13">
        <v>2681</v>
      </c>
      <c r="BG101" s="13">
        <v>2684</v>
      </c>
      <c r="BH101" s="13">
        <v>2667</v>
      </c>
      <c r="BI101" s="13">
        <v>2724</v>
      </c>
      <c r="BJ101" s="13">
        <v>2832</v>
      </c>
      <c r="BK101" s="13">
        <v>2806</v>
      </c>
      <c r="BL101" s="13">
        <v>2760.5</v>
      </c>
    </row>
    <row r="102" spans="1:64" ht="15.95" customHeight="1">
      <c r="A102" s="64" t="s">
        <v>359</v>
      </c>
      <c r="B102" s="6" t="s">
        <v>163</v>
      </c>
      <c r="C102" s="15">
        <f>_xll.RssMarket("5802","現在値")</f>
        <v>12300</v>
      </c>
      <c r="D102" s="16">
        <f t="shared" si="1"/>
        <v>0</v>
      </c>
      <c r="E102" s="13">
        <v>12300</v>
      </c>
      <c r="F102" s="13">
        <v>12320</v>
      </c>
      <c r="G102" s="13">
        <v>10970</v>
      </c>
      <c r="H102" s="13">
        <v>10250</v>
      </c>
      <c r="I102" s="13">
        <v>10630</v>
      </c>
      <c r="J102" s="13">
        <v>12140</v>
      </c>
      <c r="K102" s="13">
        <v>13010</v>
      </c>
      <c r="L102" s="13">
        <v>13465</v>
      </c>
      <c r="M102" s="13">
        <v>13965</v>
      </c>
      <c r="N102" s="13">
        <v>13015</v>
      </c>
      <c r="O102" s="13">
        <v>13180</v>
      </c>
      <c r="P102" s="13">
        <v>12585</v>
      </c>
      <c r="Q102" s="13">
        <v>11955</v>
      </c>
      <c r="R102" s="13">
        <v>12015</v>
      </c>
      <c r="S102" s="13">
        <v>12265</v>
      </c>
      <c r="T102" s="13">
        <v>11820</v>
      </c>
      <c r="U102" s="13">
        <v>10730</v>
      </c>
      <c r="V102" s="13">
        <v>10525</v>
      </c>
      <c r="W102" s="13">
        <v>10840</v>
      </c>
      <c r="X102" s="13">
        <v>11380</v>
      </c>
      <c r="Y102" s="13">
        <v>10980</v>
      </c>
      <c r="Z102" s="13">
        <v>12105</v>
      </c>
      <c r="AA102" s="13">
        <v>12775</v>
      </c>
      <c r="AB102" s="13">
        <v>11650</v>
      </c>
      <c r="AC102" s="13">
        <v>11210</v>
      </c>
      <c r="AD102" s="13">
        <v>11305</v>
      </c>
      <c r="AE102" s="13">
        <v>11345</v>
      </c>
      <c r="AF102" s="13">
        <v>9900</v>
      </c>
      <c r="AG102" s="13">
        <v>10190</v>
      </c>
      <c r="AH102" s="13">
        <v>10190</v>
      </c>
      <c r="AI102" s="13">
        <v>10060</v>
      </c>
      <c r="AJ102" s="13">
        <v>10015</v>
      </c>
      <c r="AK102" s="13">
        <v>10205</v>
      </c>
      <c r="AL102" s="13">
        <v>10700</v>
      </c>
      <c r="AM102" s="13">
        <v>10300</v>
      </c>
      <c r="AN102" s="13">
        <v>9976</v>
      </c>
      <c r="AO102" s="13">
        <v>9976</v>
      </c>
      <c r="AP102" s="13">
        <v>10140</v>
      </c>
      <c r="AQ102" s="13">
        <v>9551</v>
      </c>
      <c r="AR102" s="13">
        <v>10075</v>
      </c>
      <c r="AS102" s="13">
        <v>9926</v>
      </c>
      <c r="AT102" s="13">
        <v>10580</v>
      </c>
      <c r="AU102" s="13">
        <v>10410</v>
      </c>
      <c r="AV102" s="13">
        <v>10315</v>
      </c>
      <c r="AW102" s="13">
        <v>9191</v>
      </c>
      <c r="AX102" s="13">
        <v>9542</v>
      </c>
      <c r="AY102" s="13">
        <v>9400</v>
      </c>
      <c r="AZ102" s="13">
        <v>9104</v>
      </c>
      <c r="BA102" s="13">
        <v>9269</v>
      </c>
      <c r="BB102" s="13">
        <v>8380</v>
      </c>
      <c r="BC102" s="13">
        <v>9000</v>
      </c>
      <c r="BD102" s="13">
        <v>9480</v>
      </c>
      <c r="BE102" s="13">
        <v>9885</v>
      </c>
      <c r="BF102" s="13">
        <v>10210</v>
      </c>
      <c r="BG102" s="13">
        <v>9502</v>
      </c>
      <c r="BH102" s="13">
        <v>9214</v>
      </c>
      <c r="BI102" s="13">
        <v>9948</v>
      </c>
      <c r="BJ102" s="13">
        <v>10005</v>
      </c>
      <c r="BK102" s="13">
        <v>9525</v>
      </c>
      <c r="BL102" s="13">
        <v>10150</v>
      </c>
    </row>
    <row r="103" spans="1:64" ht="15.95" customHeight="1">
      <c r="A103" s="64" t="s">
        <v>360</v>
      </c>
      <c r="B103" s="6" t="s">
        <v>164</v>
      </c>
      <c r="C103" s="15">
        <f>_xll.RssMarket("5803","現在値")</f>
        <v>4729</v>
      </c>
      <c r="D103" s="16">
        <f t="shared" si="1"/>
        <v>0</v>
      </c>
      <c r="E103" s="13">
        <v>4729</v>
      </c>
      <c r="F103" s="13">
        <v>4738</v>
      </c>
      <c r="G103" s="13">
        <v>4256</v>
      </c>
      <c r="H103" s="13">
        <v>4142</v>
      </c>
      <c r="I103" s="13">
        <v>4194</v>
      </c>
      <c r="J103" s="13">
        <v>4401</v>
      </c>
      <c r="K103" s="13">
        <v>4747</v>
      </c>
      <c r="L103" s="13">
        <v>4805</v>
      </c>
      <c r="M103" s="13">
        <v>5001</v>
      </c>
      <c r="N103" s="13">
        <v>4574</v>
      </c>
      <c r="O103" s="13">
        <v>4677</v>
      </c>
      <c r="P103" s="13">
        <v>4771</v>
      </c>
      <c r="Q103" s="13">
        <v>5017</v>
      </c>
      <c r="R103" s="13">
        <v>5140</v>
      </c>
      <c r="S103" s="13">
        <v>5550</v>
      </c>
      <c r="T103" s="13">
        <v>4850</v>
      </c>
      <c r="U103" s="13">
        <v>4501</v>
      </c>
      <c r="V103" s="13">
        <v>4295</v>
      </c>
      <c r="W103" s="13">
        <v>4695</v>
      </c>
      <c r="X103" s="13">
        <v>5653</v>
      </c>
      <c r="Y103" s="13">
        <v>5819</v>
      </c>
      <c r="Z103" s="13">
        <v>6355</v>
      </c>
      <c r="AA103" s="13">
        <v>7855</v>
      </c>
      <c r="AB103" s="13">
        <v>7624</v>
      </c>
      <c r="AC103" s="13">
        <v>6832</v>
      </c>
      <c r="AD103" s="13">
        <v>6582</v>
      </c>
      <c r="AE103" s="13">
        <v>6498</v>
      </c>
      <c r="AF103" s="13">
        <v>5808</v>
      </c>
      <c r="AG103" s="13">
        <v>5971</v>
      </c>
      <c r="AH103" s="13">
        <v>6281</v>
      </c>
      <c r="AI103" s="13">
        <v>6347</v>
      </c>
      <c r="AJ103" s="13">
        <v>6037</v>
      </c>
      <c r="AK103" s="13">
        <v>5893</v>
      </c>
      <c r="AL103" s="13">
        <v>5985</v>
      </c>
      <c r="AM103" s="13">
        <v>5889</v>
      </c>
      <c r="AN103" s="13">
        <v>5529</v>
      </c>
      <c r="AO103" s="13">
        <v>5762</v>
      </c>
      <c r="AP103" s="13">
        <v>5951</v>
      </c>
      <c r="AQ103" s="13">
        <v>5683</v>
      </c>
      <c r="AR103" s="13">
        <v>5935</v>
      </c>
      <c r="AS103" s="13">
        <v>5698</v>
      </c>
      <c r="AT103" s="13">
        <v>5630</v>
      </c>
      <c r="AU103" s="13">
        <v>5028</v>
      </c>
      <c r="AV103" s="13">
        <v>4876</v>
      </c>
      <c r="AW103" s="13">
        <v>4370</v>
      </c>
      <c r="AX103" s="13">
        <v>4600</v>
      </c>
      <c r="AY103" s="13">
        <v>4616</v>
      </c>
      <c r="AZ103" s="13">
        <v>4293</v>
      </c>
      <c r="BA103" s="13">
        <v>4446</v>
      </c>
      <c r="BB103" s="13">
        <v>4090</v>
      </c>
      <c r="BC103" s="13">
        <v>4505</v>
      </c>
      <c r="BD103" s="13">
        <v>4605</v>
      </c>
      <c r="BE103" s="13">
        <v>4685.8</v>
      </c>
      <c r="BF103" s="13">
        <v>4579.1000000000004</v>
      </c>
      <c r="BG103" s="13">
        <v>4266.6000000000004</v>
      </c>
      <c r="BH103" s="13">
        <v>4055</v>
      </c>
      <c r="BI103" s="13">
        <v>4221.6000000000004</v>
      </c>
      <c r="BJ103" s="13">
        <v>4284.1000000000004</v>
      </c>
      <c r="BK103" s="13">
        <v>4100.8</v>
      </c>
      <c r="BL103" s="13">
        <v>4271.6000000000004</v>
      </c>
    </row>
    <row r="104" spans="1:64" ht="15.95" customHeight="1">
      <c r="A104" s="64" t="s">
        <v>361</v>
      </c>
      <c r="B104" s="6" t="s">
        <v>165</v>
      </c>
      <c r="C104" s="15">
        <f>_xll.RssMarket("6178","現在値")</f>
        <v>2196.5</v>
      </c>
      <c r="D104" s="16">
        <f t="shared" si="1"/>
        <v>0</v>
      </c>
      <c r="E104" s="13">
        <v>2196.5</v>
      </c>
      <c r="F104" s="13">
        <v>2264.5</v>
      </c>
      <c r="G104" s="13">
        <v>2285.5</v>
      </c>
      <c r="H104" s="13">
        <v>2318</v>
      </c>
      <c r="I104" s="13">
        <v>2209.5</v>
      </c>
      <c r="J104" s="13">
        <v>2205</v>
      </c>
      <c r="K104" s="13">
        <v>2128</v>
      </c>
      <c r="L104" s="13">
        <v>2122.5</v>
      </c>
      <c r="M104" s="13">
        <v>2145.5</v>
      </c>
      <c r="N104" s="13">
        <v>2125</v>
      </c>
      <c r="O104" s="13">
        <v>2074</v>
      </c>
      <c r="P104" s="13">
        <v>2035</v>
      </c>
      <c r="Q104" s="13">
        <v>2068</v>
      </c>
      <c r="R104" s="13">
        <v>2029.5</v>
      </c>
      <c r="S104" s="13">
        <v>2059.5</v>
      </c>
      <c r="T104" s="13">
        <v>2091.5</v>
      </c>
      <c r="U104" s="13">
        <v>2116</v>
      </c>
      <c r="V104" s="13">
        <v>2134</v>
      </c>
      <c r="W104" s="13">
        <v>2110</v>
      </c>
      <c r="X104" s="13">
        <v>2093</v>
      </c>
      <c r="Y104" s="13">
        <v>2054</v>
      </c>
      <c r="Z104" s="13">
        <v>1957</v>
      </c>
      <c r="AA104" s="13">
        <v>1951</v>
      </c>
      <c r="AB104" s="13">
        <v>1941.5</v>
      </c>
      <c r="AC104" s="13">
        <v>1911</v>
      </c>
      <c r="AD104" s="13">
        <v>1865</v>
      </c>
      <c r="AE104" s="13">
        <v>1855.5</v>
      </c>
      <c r="AF104" s="13">
        <v>1861</v>
      </c>
      <c r="AG104" s="13">
        <v>1811.5</v>
      </c>
      <c r="AH104" s="13">
        <v>1823</v>
      </c>
      <c r="AI104" s="13">
        <v>1823</v>
      </c>
      <c r="AJ104" s="13">
        <v>1757.5</v>
      </c>
      <c r="AK104" s="13">
        <v>1779.5</v>
      </c>
      <c r="AL104" s="13">
        <v>1774</v>
      </c>
      <c r="AM104" s="13">
        <v>1799.5</v>
      </c>
      <c r="AN104" s="13">
        <v>1821</v>
      </c>
      <c r="AO104" s="13">
        <v>1866.5</v>
      </c>
      <c r="AP104" s="13">
        <v>1872.5</v>
      </c>
      <c r="AQ104" s="13">
        <v>1887</v>
      </c>
      <c r="AR104" s="13">
        <v>1867.5</v>
      </c>
      <c r="AS104" s="13">
        <v>1845</v>
      </c>
      <c r="AT104" s="13">
        <v>1857</v>
      </c>
      <c r="AU104" s="13">
        <v>1856</v>
      </c>
      <c r="AV104" s="13">
        <v>1871</v>
      </c>
      <c r="AW104" s="13">
        <v>1905</v>
      </c>
      <c r="AX104" s="13">
        <v>1858</v>
      </c>
      <c r="AY104" s="13">
        <v>1849.5</v>
      </c>
      <c r="AZ104" s="13">
        <v>1827</v>
      </c>
      <c r="BA104" s="13">
        <v>1833</v>
      </c>
      <c r="BB104" s="13">
        <v>1875.5</v>
      </c>
      <c r="BC104" s="13">
        <v>1789</v>
      </c>
      <c r="BD104" s="13">
        <v>1789.5</v>
      </c>
      <c r="BE104" s="13">
        <v>1856</v>
      </c>
      <c r="BF104" s="13">
        <v>1841.5</v>
      </c>
      <c r="BG104" s="13">
        <v>1858.5</v>
      </c>
      <c r="BH104" s="13">
        <v>1804.5</v>
      </c>
      <c r="BI104" s="13">
        <v>1759</v>
      </c>
      <c r="BJ104" s="13">
        <v>1808.5</v>
      </c>
      <c r="BK104" s="13">
        <v>1844.5</v>
      </c>
      <c r="BL104" s="13">
        <v>1785.5</v>
      </c>
    </row>
    <row r="105" spans="1:64" ht="15.95" customHeight="1">
      <c r="A105" s="64" t="s">
        <v>362</v>
      </c>
      <c r="B105" s="6" t="s">
        <v>166</v>
      </c>
      <c r="C105" s="15">
        <f>_xll.RssMarket("6925","現在値")</f>
        <v>4596</v>
      </c>
      <c r="D105" s="16">
        <f t="shared" si="1"/>
        <v>0</v>
      </c>
      <c r="E105" s="13">
        <v>4596</v>
      </c>
      <c r="F105" s="13">
        <v>4302</v>
      </c>
      <c r="G105" s="13">
        <v>4088</v>
      </c>
      <c r="H105" s="13">
        <v>3918</v>
      </c>
      <c r="I105" s="13">
        <v>3978</v>
      </c>
      <c r="J105" s="13">
        <v>3976</v>
      </c>
      <c r="K105" s="13">
        <v>4260</v>
      </c>
      <c r="L105" s="13">
        <v>4310</v>
      </c>
      <c r="M105" s="13">
        <v>4116</v>
      </c>
      <c r="N105" s="13">
        <v>4063</v>
      </c>
      <c r="O105" s="13">
        <v>4060</v>
      </c>
      <c r="P105" s="13">
        <v>4156</v>
      </c>
      <c r="Q105" s="13">
        <v>4114</v>
      </c>
      <c r="R105" s="13">
        <v>4199</v>
      </c>
      <c r="S105" s="13">
        <v>4214</v>
      </c>
      <c r="T105" s="13">
        <v>4081</v>
      </c>
      <c r="U105" s="13">
        <v>4040</v>
      </c>
      <c r="V105" s="13">
        <v>3779</v>
      </c>
      <c r="W105" s="13">
        <v>3928</v>
      </c>
      <c r="X105" s="13">
        <v>4179</v>
      </c>
      <c r="Y105" s="13">
        <v>4239</v>
      </c>
      <c r="Z105" s="13">
        <v>3539</v>
      </c>
      <c r="AA105" s="13">
        <v>3439</v>
      </c>
      <c r="AB105" s="13">
        <v>3492</v>
      </c>
      <c r="AC105" s="13">
        <v>3406</v>
      </c>
      <c r="AD105" s="13">
        <v>3366</v>
      </c>
      <c r="AE105" s="13">
        <v>3385</v>
      </c>
      <c r="AF105" s="13">
        <v>3175</v>
      </c>
      <c r="AG105" s="13">
        <v>3160</v>
      </c>
      <c r="AH105" s="13">
        <v>3090</v>
      </c>
      <c r="AI105" s="13">
        <v>3148</v>
      </c>
      <c r="AJ105" s="13">
        <v>3220</v>
      </c>
      <c r="AK105" s="13">
        <v>3142</v>
      </c>
      <c r="AL105" s="13">
        <v>3166</v>
      </c>
      <c r="AM105" s="13">
        <v>3191</v>
      </c>
      <c r="AN105" s="13">
        <v>3207</v>
      </c>
      <c r="AO105" s="13">
        <v>3153</v>
      </c>
      <c r="AP105" s="13">
        <v>3323</v>
      </c>
      <c r="AQ105" s="13">
        <v>3291</v>
      </c>
      <c r="AR105" s="13">
        <v>3285</v>
      </c>
      <c r="AS105" s="13">
        <v>3247</v>
      </c>
      <c r="AT105" s="13">
        <v>3259</v>
      </c>
      <c r="AU105" s="13">
        <v>3197</v>
      </c>
      <c r="AV105" s="13">
        <v>3178</v>
      </c>
      <c r="AW105" s="13">
        <v>3068</v>
      </c>
      <c r="AX105" s="13">
        <v>3067</v>
      </c>
      <c r="AY105" s="13">
        <v>3079</v>
      </c>
      <c r="AZ105" s="13">
        <v>3033</v>
      </c>
      <c r="BA105" s="13">
        <v>3058</v>
      </c>
      <c r="BB105" s="13">
        <v>2815.5</v>
      </c>
      <c r="BC105" s="13">
        <v>2844</v>
      </c>
      <c r="BD105" s="13">
        <v>2926</v>
      </c>
      <c r="BE105" s="13">
        <v>2946.5</v>
      </c>
      <c r="BF105" s="13">
        <v>2949.5</v>
      </c>
      <c r="BG105" s="13">
        <v>2866</v>
      </c>
      <c r="BH105" s="13">
        <v>2782</v>
      </c>
      <c r="BI105" s="13">
        <v>2860</v>
      </c>
      <c r="BJ105" s="13">
        <v>2925</v>
      </c>
      <c r="BK105" s="13">
        <v>2831.5</v>
      </c>
      <c r="BL105" s="13">
        <v>2825</v>
      </c>
    </row>
    <row r="106" spans="1:64" ht="15.95" customHeight="1">
      <c r="A106" s="64" t="s">
        <v>363</v>
      </c>
      <c r="B106" s="6" t="s">
        <v>167</v>
      </c>
      <c r="C106" s="15">
        <f>_xll.RssMarket("7021","現在値")</f>
        <v>1800</v>
      </c>
      <c r="D106" s="16">
        <f t="shared" si="1"/>
        <v>0</v>
      </c>
      <c r="E106" s="13">
        <v>1800</v>
      </c>
      <c r="F106" s="13">
        <v>1809</v>
      </c>
      <c r="G106" s="13">
        <v>1805</v>
      </c>
      <c r="H106" s="13">
        <v>1769</v>
      </c>
      <c r="I106" s="13">
        <v>1806</v>
      </c>
      <c r="J106" s="13">
        <v>1765</v>
      </c>
      <c r="K106" s="13">
        <v>1810</v>
      </c>
      <c r="L106" s="13">
        <v>1770</v>
      </c>
      <c r="M106" s="13">
        <v>1754</v>
      </c>
      <c r="N106" s="13">
        <v>1800</v>
      </c>
      <c r="O106" s="13">
        <v>1803</v>
      </c>
      <c r="P106" s="13">
        <v>1854</v>
      </c>
      <c r="Q106" s="13">
        <v>1894</v>
      </c>
      <c r="R106" s="13">
        <v>1815</v>
      </c>
      <c r="S106" s="13">
        <v>1803</v>
      </c>
      <c r="T106" s="13">
        <v>1822</v>
      </c>
      <c r="U106" s="13">
        <v>1848</v>
      </c>
      <c r="V106" s="13">
        <v>1878</v>
      </c>
      <c r="W106" s="13">
        <v>1916</v>
      </c>
      <c r="X106" s="13">
        <v>1998</v>
      </c>
      <c r="Y106" s="13">
        <v>2161</v>
      </c>
      <c r="Z106" s="13">
        <v>2190</v>
      </c>
      <c r="AA106" s="13">
        <v>2156</v>
      </c>
      <c r="AB106" s="13">
        <v>2146</v>
      </c>
      <c r="AC106" s="13">
        <v>2141</v>
      </c>
      <c r="AD106" s="13">
        <v>2166</v>
      </c>
      <c r="AE106" s="13">
        <v>2138</v>
      </c>
      <c r="AF106" s="13">
        <v>2171</v>
      </c>
      <c r="AG106" s="13">
        <v>2230</v>
      </c>
      <c r="AH106" s="13">
        <v>2226</v>
      </c>
      <c r="AI106" s="13">
        <v>2258</v>
      </c>
      <c r="AJ106" s="13">
        <v>2280</v>
      </c>
      <c r="AK106" s="13">
        <v>2294</v>
      </c>
      <c r="AL106" s="13">
        <v>2312</v>
      </c>
      <c r="AM106" s="13">
        <v>2333</v>
      </c>
      <c r="AN106" s="13">
        <v>2341</v>
      </c>
      <c r="AO106" s="13">
        <v>2334</v>
      </c>
      <c r="AP106" s="13">
        <v>2350</v>
      </c>
      <c r="AQ106" s="13">
        <v>2350</v>
      </c>
      <c r="AR106" s="13">
        <v>2340</v>
      </c>
      <c r="AS106" s="13">
        <v>2322</v>
      </c>
      <c r="AT106" s="13">
        <v>2312</v>
      </c>
      <c r="AU106" s="13">
        <v>2296</v>
      </c>
      <c r="AV106" s="13">
        <v>2291</v>
      </c>
      <c r="AW106" s="13">
        <v>2290</v>
      </c>
      <c r="AX106" s="13">
        <v>2295</v>
      </c>
      <c r="AY106" s="13">
        <v>2240</v>
      </c>
      <c r="AZ106" s="13">
        <v>2257</v>
      </c>
      <c r="BA106" s="13">
        <v>2228</v>
      </c>
      <c r="BB106" s="13">
        <v>2203</v>
      </c>
      <c r="BC106" s="13">
        <v>2250</v>
      </c>
      <c r="BD106" s="13">
        <v>2266</v>
      </c>
      <c r="BE106" s="13">
        <v>2271</v>
      </c>
      <c r="BF106" s="13">
        <v>2261</v>
      </c>
      <c r="BG106" s="13">
        <v>2264</v>
      </c>
      <c r="BH106" s="13">
        <v>2255</v>
      </c>
      <c r="BI106" s="13">
        <v>2314</v>
      </c>
      <c r="BJ106" s="13">
        <v>2258</v>
      </c>
      <c r="BK106" s="13">
        <v>2241</v>
      </c>
      <c r="BL106" s="13">
        <v>2224</v>
      </c>
    </row>
    <row r="107" spans="1:64" ht="15.95" customHeight="1">
      <c r="A107" s="64" t="s">
        <v>364</v>
      </c>
      <c r="B107" s="6" t="s">
        <v>168</v>
      </c>
      <c r="C107" s="15">
        <f>_xll.RssMarket("7729","現在値")</f>
        <v>19255</v>
      </c>
      <c r="D107" s="16">
        <f t="shared" si="1"/>
        <v>0</v>
      </c>
      <c r="E107" s="13">
        <v>19255</v>
      </c>
      <c r="F107" s="13">
        <v>19190</v>
      </c>
      <c r="G107" s="13">
        <v>18655</v>
      </c>
      <c r="H107" s="13">
        <v>17480</v>
      </c>
      <c r="I107" s="13">
        <v>16925</v>
      </c>
      <c r="J107" s="13">
        <v>16640</v>
      </c>
      <c r="K107" s="13">
        <v>17910</v>
      </c>
      <c r="L107" s="13">
        <v>18325</v>
      </c>
      <c r="M107" s="13">
        <v>17715</v>
      </c>
      <c r="N107" s="13">
        <v>16910</v>
      </c>
      <c r="O107" s="13">
        <v>16820</v>
      </c>
      <c r="P107" s="13">
        <v>17385</v>
      </c>
      <c r="Q107" s="13">
        <v>17570</v>
      </c>
      <c r="R107" s="13">
        <v>17705</v>
      </c>
      <c r="S107" s="13">
        <v>18350</v>
      </c>
      <c r="T107" s="13">
        <v>16915</v>
      </c>
      <c r="U107" s="13">
        <v>16395</v>
      </c>
      <c r="V107" s="13">
        <v>15630</v>
      </c>
      <c r="W107" s="13">
        <v>15915</v>
      </c>
      <c r="X107" s="13">
        <v>16395</v>
      </c>
      <c r="Y107" s="13">
        <v>16515</v>
      </c>
      <c r="Z107" s="13">
        <v>17765</v>
      </c>
      <c r="AA107" s="13">
        <v>18690</v>
      </c>
      <c r="AB107" s="13">
        <v>18985</v>
      </c>
      <c r="AC107" s="13">
        <v>18860</v>
      </c>
      <c r="AD107" s="13">
        <v>18765</v>
      </c>
      <c r="AE107" s="13">
        <v>18305</v>
      </c>
      <c r="AF107" s="13">
        <v>17355</v>
      </c>
      <c r="AG107" s="13">
        <v>17130</v>
      </c>
      <c r="AH107" s="13">
        <v>17355</v>
      </c>
      <c r="AI107" s="13">
        <v>17350</v>
      </c>
      <c r="AJ107" s="13">
        <v>17430</v>
      </c>
      <c r="AK107" s="13">
        <v>16900</v>
      </c>
      <c r="AL107" s="13">
        <v>16650</v>
      </c>
      <c r="AM107" s="13">
        <v>16720</v>
      </c>
      <c r="AN107" s="13">
        <v>16250</v>
      </c>
      <c r="AO107" s="13">
        <v>16420</v>
      </c>
      <c r="AP107" s="13">
        <v>16945</v>
      </c>
      <c r="AQ107" s="13">
        <v>16545</v>
      </c>
      <c r="AR107" s="13">
        <v>16035</v>
      </c>
      <c r="AS107" s="13">
        <v>15700</v>
      </c>
      <c r="AT107" s="13">
        <v>15890</v>
      </c>
      <c r="AU107" s="13">
        <v>15395</v>
      </c>
      <c r="AV107" s="13">
        <v>15200</v>
      </c>
      <c r="AW107" s="13">
        <v>14035</v>
      </c>
      <c r="AX107" s="13">
        <v>14150</v>
      </c>
      <c r="AY107" s="13">
        <v>14065</v>
      </c>
      <c r="AZ107" s="13">
        <v>13795</v>
      </c>
      <c r="BA107" s="13">
        <v>14165</v>
      </c>
      <c r="BB107" s="13">
        <v>13210</v>
      </c>
      <c r="BC107" s="13">
        <v>13420</v>
      </c>
      <c r="BD107" s="13">
        <v>14190</v>
      </c>
      <c r="BE107" s="13">
        <v>14630</v>
      </c>
      <c r="BF107" s="13">
        <v>14735</v>
      </c>
      <c r="BG107" s="13">
        <v>14150</v>
      </c>
      <c r="BH107" s="13">
        <v>13755</v>
      </c>
      <c r="BI107" s="13">
        <v>14280</v>
      </c>
      <c r="BJ107" s="13">
        <v>14875</v>
      </c>
      <c r="BK107" s="13">
        <v>14305</v>
      </c>
      <c r="BL107" s="13">
        <v>14685</v>
      </c>
    </row>
    <row r="108" spans="1:64" ht="15.95" customHeight="1">
      <c r="A108" s="64" t="s">
        <v>365</v>
      </c>
      <c r="B108" s="6" t="s">
        <v>169</v>
      </c>
      <c r="C108" s="15">
        <f>_xll.RssMarket("8424","現在値")</f>
        <v>4236</v>
      </c>
      <c r="D108" s="16">
        <f t="shared" si="1"/>
        <v>0</v>
      </c>
      <c r="E108" s="13">
        <v>4236</v>
      </c>
      <c r="F108" s="13">
        <v>4281</v>
      </c>
      <c r="G108" s="13">
        <v>4284</v>
      </c>
      <c r="H108" s="13">
        <v>4272</v>
      </c>
      <c r="I108" s="13">
        <v>4314</v>
      </c>
      <c r="J108" s="13">
        <v>4192</v>
      </c>
      <c r="K108" s="13">
        <v>4137</v>
      </c>
      <c r="L108" s="13">
        <v>4070</v>
      </c>
      <c r="M108" s="13">
        <v>4089</v>
      </c>
      <c r="N108" s="13">
        <v>4081</v>
      </c>
      <c r="O108" s="13">
        <v>4094</v>
      </c>
      <c r="P108" s="13">
        <v>4194</v>
      </c>
      <c r="Q108" s="13">
        <v>4182</v>
      </c>
      <c r="R108" s="13">
        <v>4184</v>
      </c>
      <c r="S108" s="13">
        <v>4234</v>
      </c>
      <c r="T108" s="13">
        <v>4287</v>
      </c>
      <c r="U108" s="13">
        <v>4375</v>
      </c>
      <c r="V108" s="13">
        <v>4333</v>
      </c>
      <c r="W108" s="13">
        <v>4387</v>
      </c>
      <c r="X108" s="13">
        <v>4315</v>
      </c>
      <c r="Y108" s="13">
        <v>4378</v>
      </c>
      <c r="Z108" s="13">
        <v>4394</v>
      </c>
      <c r="AA108" s="13">
        <v>4348</v>
      </c>
      <c r="AB108" s="13">
        <v>4403</v>
      </c>
      <c r="AC108" s="13">
        <v>4293</v>
      </c>
      <c r="AD108" s="13">
        <v>4272</v>
      </c>
      <c r="AE108" s="13">
        <v>4328</v>
      </c>
      <c r="AF108" s="13">
        <v>4295</v>
      </c>
      <c r="AG108" s="13">
        <v>4334</v>
      </c>
      <c r="AH108" s="13">
        <v>4350</v>
      </c>
      <c r="AI108" s="13">
        <v>4263</v>
      </c>
      <c r="AJ108" s="13">
        <v>4279</v>
      </c>
      <c r="AK108" s="13">
        <v>4268</v>
      </c>
      <c r="AL108" s="13">
        <v>4265</v>
      </c>
      <c r="AM108" s="13">
        <v>4261</v>
      </c>
      <c r="AN108" s="13">
        <v>4307</v>
      </c>
      <c r="AO108" s="13">
        <v>4336</v>
      </c>
      <c r="AP108" s="13">
        <v>4330</v>
      </c>
      <c r="AQ108" s="13">
        <v>4333</v>
      </c>
      <c r="AR108" s="13">
        <v>4310</v>
      </c>
      <c r="AS108" s="13">
        <v>4326</v>
      </c>
      <c r="AT108" s="13">
        <v>4338</v>
      </c>
      <c r="AU108" s="13">
        <v>4395</v>
      </c>
      <c r="AV108" s="13">
        <v>4443</v>
      </c>
      <c r="AW108" s="13">
        <v>4379</v>
      </c>
      <c r="AX108" s="13">
        <v>4341</v>
      </c>
      <c r="AY108" s="13">
        <v>4356</v>
      </c>
      <c r="AZ108" s="13">
        <v>4336</v>
      </c>
      <c r="BA108" s="13">
        <v>4341</v>
      </c>
      <c r="BB108" s="13">
        <v>4258</v>
      </c>
      <c r="BC108" s="13">
        <v>4259</v>
      </c>
      <c r="BD108" s="13">
        <v>4403</v>
      </c>
      <c r="BE108" s="13">
        <v>4405</v>
      </c>
      <c r="BF108" s="13">
        <v>4430</v>
      </c>
      <c r="BG108" s="13">
        <v>4347</v>
      </c>
      <c r="BH108" s="13">
        <v>4299</v>
      </c>
      <c r="BI108" s="13">
        <v>4386</v>
      </c>
      <c r="BJ108" s="13">
        <v>4447</v>
      </c>
      <c r="BK108" s="13">
        <v>4404</v>
      </c>
      <c r="BL108" s="13">
        <v>4389</v>
      </c>
    </row>
    <row r="109" spans="1:64" ht="15.95" customHeight="1">
      <c r="A109" s="64" t="s">
        <v>366</v>
      </c>
      <c r="B109" s="6" t="s">
        <v>170</v>
      </c>
      <c r="C109" s="15">
        <f>_xll.RssMarket("9020","現在値")</f>
        <v>3345</v>
      </c>
      <c r="D109" s="16">
        <f t="shared" si="1"/>
        <v>0</v>
      </c>
      <c r="E109" s="13">
        <v>3345</v>
      </c>
      <c r="F109" s="13">
        <v>3398</v>
      </c>
      <c r="G109" s="13">
        <v>3404</v>
      </c>
      <c r="H109" s="13">
        <v>3460</v>
      </c>
      <c r="I109" s="13">
        <v>3380</v>
      </c>
      <c r="J109" s="13">
        <v>3366</v>
      </c>
      <c r="K109" s="13">
        <v>3280</v>
      </c>
      <c r="L109" s="13">
        <v>3313</v>
      </c>
      <c r="M109" s="13">
        <v>3345</v>
      </c>
      <c r="N109" s="13">
        <v>3354</v>
      </c>
      <c r="O109" s="13">
        <v>3412</v>
      </c>
      <c r="P109" s="13">
        <v>3444</v>
      </c>
      <c r="Q109" s="13">
        <v>3528</v>
      </c>
      <c r="R109" s="13">
        <v>3570</v>
      </c>
      <c r="S109" s="13">
        <v>3606</v>
      </c>
      <c r="T109" s="13">
        <v>3692</v>
      </c>
      <c r="U109" s="13">
        <v>3775</v>
      </c>
      <c r="V109" s="13">
        <v>3788</v>
      </c>
      <c r="W109" s="13">
        <v>3682</v>
      </c>
      <c r="X109" s="13">
        <v>3766</v>
      </c>
      <c r="Y109" s="13">
        <v>3680</v>
      </c>
      <c r="Z109" s="13">
        <v>3764</v>
      </c>
      <c r="AA109" s="13">
        <v>3693</v>
      </c>
      <c r="AB109" s="13">
        <v>3639</v>
      </c>
      <c r="AC109" s="13">
        <v>3645</v>
      </c>
      <c r="AD109" s="13">
        <v>3610</v>
      </c>
      <c r="AE109" s="13">
        <v>3700</v>
      </c>
      <c r="AF109" s="13">
        <v>3388</v>
      </c>
      <c r="AG109" s="13">
        <v>3451</v>
      </c>
      <c r="AH109" s="13">
        <v>3427</v>
      </c>
      <c r="AI109" s="13">
        <v>3461</v>
      </c>
      <c r="AJ109" s="13">
        <v>3501</v>
      </c>
      <c r="AK109" s="13">
        <v>3522</v>
      </c>
      <c r="AL109" s="13">
        <v>3544</v>
      </c>
      <c r="AM109" s="13">
        <v>3517</v>
      </c>
      <c r="AN109" s="13">
        <v>3478</v>
      </c>
      <c r="AO109" s="13">
        <v>3525</v>
      </c>
      <c r="AP109" s="13">
        <v>3582</v>
      </c>
      <c r="AQ109" s="13">
        <v>3514</v>
      </c>
      <c r="AR109" s="13">
        <v>3602</v>
      </c>
      <c r="AS109" s="13">
        <v>3559</v>
      </c>
      <c r="AT109" s="13">
        <v>3579</v>
      </c>
      <c r="AU109" s="13">
        <v>3608</v>
      </c>
      <c r="AV109" s="13">
        <v>3574</v>
      </c>
      <c r="AW109" s="13">
        <v>3576</v>
      </c>
      <c r="AX109" s="13">
        <v>3640</v>
      </c>
      <c r="AY109" s="13">
        <v>3675</v>
      </c>
      <c r="AZ109" s="13">
        <v>3684</v>
      </c>
      <c r="BA109" s="13">
        <v>3625</v>
      </c>
      <c r="BB109" s="13">
        <v>3620</v>
      </c>
      <c r="BC109" s="13">
        <v>3671</v>
      </c>
      <c r="BD109" s="13">
        <v>3647</v>
      </c>
      <c r="BE109" s="13">
        <v>3635</v>
      </c>
      <c r="BF109" s="13">
        <v>3589</v>
      </c>
      <c r="BG109" s="13">
        <v>3557</v>
      </c>
      <c r="BH109" s="13">
        <v>3611</v>
      </c>
      <c r="BI109" s="13">
        <v>3702</v>
      </c>
      <c r="BJ109" s="13">
        <v>3756</v>
      </c>
      <c r="BK109" s="13">
        <v>3721</v>
      </c>
      <c r="BL109" s="13">
        <v>3721</v>
      </c>
    </row>
    <row r="110" spans="1:64" ht="15.95" customHeight="1">
      <c r="A110" s="64" t="s">
        <v>367</v>
      </c>
      <c r="B110" s="6" t="s">
        <v>171</v>
      </c>
      <c r="C110" s="15">
        <f>_xll.RssMarket("9069","現在値")</f>
        <v>1907.5</v>
      </c>
      <c r="D110" s="16">
        <f t="shared" si="1"/>
        <v>0</v>
      </c>
      <c r="E110" s="13">
        <v>1907.5</v>
      </c>
      <c r="F110" s="13">
        <v>1932.5</v>
      </c>
      <c r="G110" s="13">
        <v>1922.5</v>
      </c>
      <c r="H110" s="13">
        <v>1945</v>
      </c>
      <c r="I110" s="13">
        <v>1954</v>
      </c>
      <c r="J110" s="13">
        <v>1952.5</v>
      </c>
      <c r="K110" s="13">
        <v>1907.5</v>
      </c>
      <c r="L110" s="13">
        <v>1902.5</v>
      </c>
      <c r="M110" s="13">
        <v>1917</v>
      </c>
      <c r="N110" s="13">
        <v>1893.5</v>
      </c>
      <c r="O110" s="13">
        <v>1892</v>
      </c>
      <c r="P110" s="13">
        <v>1906.5</v>
      </c>
      <c r="Q110" s="13">
        <v>1919.5</v>
      </c>
      <c r="R110" s="13">
        <v>1918</v>
      </c>
      <c r="S110" s="13">
        <v>1935</v>
      </c>
      <c r="T110" s="13">
        <v>1966.5</v>
      </c>
      <c r="U110" s="13">
        <v>2032</v>
      </c>
      <c r="V110" s="13">
        <v>2012</v>
      </c>
      <c r="W110" s="13">
        <v>2027</v>
      </c>
      <c r="X110" s="13">
        <v>2005</v>
      </c>
      <c r="Y110" s="13">
        <v>2031.5</v>
      </c>
      <c r="Z110" s="13">
        <v>2006</v>
      </c>
      <c r="AA110" s="13">
        <v>1849.5</v>
      </c>
      <c r="AB110" s="13">
        <v>1828.5</v>
      </c>
      <c r="AC110" s="13">
        <v>1858</v>
      </c>
      <c r="AD110" s="13">
        <v>1869</v>
      </c>
      <c r="AE110" s="13">
        <v>1864.5</v>
      </c>
      <c r="AF110" s="13">
        <v>1828</v>
      </c>
      <c r="AG110" s="13">
        <v>1845.5</v>
      </c>
      <c r="AH110" s="13">
        <v>1868</v>
      </c>
      <c r="AI110" s="13">
        <v>1827.5</v>
      </c>
      <c r="AJ110" s="13">
        <v>1854.5</v>
      </c>
      <c r="AK110" s="13">
        <v>1875</v>
      </c>
      <c r="AL110" s="13">
        <v>1899</v>
      </c>
      <c r="AM110" s="13">
        <v>1915</v>
      </c>
      <c r="AN110" s="13">
        <v>1906.5</v>
      </c>
      <c r="AO110" s="13">
        <v>1886</v>
      </c>
      <c r="AP110" s="13">
        <v>1901</v>
      </c>
      <c r="AQ110" s="13">
        <v>1887</v>
      </c>
      <c r="AR110" s="13">
        <v>1877.5</v>
      </c>
      <c r="AS110" s="13">
        <v>1867</v>
      </c>
      <c r="AT110" s="13">
        <v>1876</v>
      </c>
      <c r="AU110" s="13">
        <v>1917</v>
      </c>
      <c r="AV110" s="13">
        <v>1903.5</v>
      </c>
      <c r="AW110" s="13">
        <v>1872.5</v>
      </c>
      <c r="AX110" s="13">
        <v>1855</v>
      </c>
      <c r="AY110" s="13">
        <v>1867</v>
      </c>
      <c r="AZ110" s="13">
        <v>1875</v>
      </c>
      <c r="BA110" s="13">
        <v>1869.5</v>
      </c>
      <c r="BB110" s="13">
        <v>1795.5</v>
      </c>
      <c r="BC110" s="13">
        <v>1783</v>
      </c>
      <c r="BD110" s="13">
        <v>1808</v>
      </c>
      <c r="BE110" s="13">
        <v>1806.5</v>
      </c>
      <c r="BF110" s="13">
        <v>1809</v>
      </c>
      <c r="BG110" s="13">
        <v>1789.5</v>
      </c>
      <c r="BH110" s="13">
        <v>1738.5</v>
      </c>
      <c r="BI110" s="13">
        <v>1793</v>
      </c>
      <c r="BJ110" s="13">
        <v>1836.5</v>
      </c>
      <c r="BK110" s="13">
        <v>1800.5</v>
      </c>
      <c r="BL110" s="13">
        <v>1785</v>
      </c>
    </row>
    <row r="111" spans="1:64" ht="15.95" customHeight="1">
      <c r="A111" s="64" t="s">
        <v>368</v>
      </c>
      <c r="B111" s="6" t="s">
        <v>172</v>
      </c>
      <c r="C111" s="15">
        <f>_xll.RssMarket("9227","現在値")</f>
        <v>881</v>
      </c>
      <c r="D111" s="16">
        <f t="shared" si="1"/>
        <v>0</v>
      </c>
      <c r="E111" s="13">
        <v>881</v>
      </c>
      <c r="F111" s="13">
        <v>865</v>
      </c>
      <c r="G111" s="13">
        <v>864</v>
      </c>
      <c r="H111" s="13">
        <v>865</v>
      </c>
      <c r="I111" s="13">
        <v>915</v>
      </c>
      <c r="J111" s="13">
        <v>930</v>
      </c>
      <c r="K111" s="13">
        <v>887</v>
      </c>
      <c r="L111" s="13">
        <v>904</v>
      </c>
      <c r="M111" s="13">
        <v>912</v>
      </c>
      <c r="N111" s="13">
        <v>996</v>
      </c>
      <c r="O111" s="13">
        <v>1031</v>
      </c>
      <c r="P111" s="13">
        <v>1120</v>
      </c>
      <c r="Q111" s="13">
        <v>1209</v>
      </c>
      <c r="R111" s="13">
        <v>1093</v>
      </c>
      <c r="S111" s="13">
        <v>943</v>
      </c>
      <c r="T111" s="13">
        <v>793</v>
      </c>
      <c r="U111" s="13">
        <v>770</v>
      </c>
      <c r="V111" s="13">
        <v>799</v>
      </c>
      <c r="W111" s="13">
        <v>813</v>
      </c>
      <c r="X111" s="13">
        <v>822</v>
      </c>
      <c r="Y111" s="13">
        <v>806</v>
      </c>
      <c r="Z111" s="13">
        <v>854</v>
      </c>
      <c r="AA111" s="13">
        <v>962</v>
      </c>
      <c r="AB111" s="13">
        <v>980</v>
      </c>
      <c r="AC111" s="13">
        <v>1015</v>
      </c>
      <c r="AD111" s="13">
        <v>1006</v>
      </c>
      <c r="AE111" s="13">
        <v>1027</v>
      </c>
      <c r="AF111" s="13">
        <v>1024</v>
      </c>
      <c r="AG111" s="13">
        <v>1040</v>
      </c>
      <c r="AH111" s="13">
        <v>1034</v>
      </c>
      <c r="AI111" s="13">
        <v>1063</v>
      </c>
      <c r="AJ111" s="13">
        <v>1095</v>
      </c>
      <c r="AK111" s="13">
        <v>1133</v>
      </c>
      <c r="AL111" s="13">
        <v>1181</v>
      </c>
      <c r="AM111" s="13">
        <v>1196</v>
      </c>
      <c r="AN111" s="13">
        <v>1061</v>
      </c>
      <c r="AO111" s="13">
        <v>1043</v>
      </c>
      <c r="AP111" s="13">
        <v>1017</v>
      </c>
      <c r="AQ111" s="13">
        <v>1002</v>
      </c>
      <c r="AR111" s="13">
        <v>1000</v>
      </c>
      <c r="AS111" s="13">
        <v>948</v>
      </c>
      <c r="AT111" s="13">
        <v>972</v>
      </c>
      <c r="AU111" s="13">
        <v>998</v>
      </c>
      <c r="AV111" s="13">
        <v>928</v>
      </c>
      <c r="AW111" s="13">
        <v>948</v>
      </c>
      <c r="AX111" s="13">
        <v>956</v>
      </c>
      <c r="AY111" s="13">
        <v>975</v>
      </c>
      <c r="AZ111" s="13">
        <v>1020</v>
      </c>
      <c r="BA111" s="13">
        <v>950</v>
      </c>
      <c r="BB111" s="13">
        <v>960</v>
      </c>
      <c r="BC111" s="13">
        <v>978</v>
      </c>
      <c r="BD111" s="13">
        <v>972</v>
      </c>
      <c r="BE111" s="13">
        <v>1017</v>
      </c>
      <c r="BF111" s="13">
        <v>999</v>
      </c>
      <c r="BG111" s="13">
        <v>978</v>
      </c>
      <c r="BH111" s="13">
        <v>1074</v>
      </c>
      <c r="BI111" s="13">
        <v>1144</v>
      </c>
      <c r="BJ111" s="13">
        <v>994</v>
      </c>
      <c r="BK111" s="13">
        <v>1009</v>
      </c>
      <c r="BL111" s="13">
        <v>998</v>
      </c>
    </row>
    <row r="112" spans="1:64" ht="15.95" customHeight="1">
      <c r="A112" s="64" t="s">
        <v>369</v>
      </c>
      <c r="B112" s="6" t="s">
        <v>173</v>
      </c>
      <c r="C112" s="15">
        <f>_xll.RssMarket("9348","現在値")</f>
        <v>473</v>
      </c>
      <c r="D112" s="16">
        <f t="shared" si="1"/>
        <v>0</v>
      </c>
      <c r="E112" s="13">
        <v>473</v>
      </c>
      <c r="F112" s="13">
        <v>468</v>
      </c>
      <c r="G112" s="13">
        <v>551</v>
      </c>
      <c r="H112" s="13">
        <v>576</v>
      </c>
      <c r="I112" s="13">
        <v>577</v>
      </c>
      <c r="J112" s="13">
        <v>598</v>
      </c>
      <c r="K112" s="13">
        <v>615</v>
      </c>
      <c r="L112" s="13">
        <v>555</v>
      </c>
      <c r="M112" s="13">
        <v>587</v>
      </c>
      <c r="N112" s="13">
        <v>583</v>
      </c>
      <c r="O112" s="13">
        <v>588</v>
      </c>
      <c r="P112" s="13">
        <v>671</v>
      </c>
      <c r="Q112" s="13">
        <v>699</v>
      </c>
      <c r="R112" s="13">
        <v>600</v>
      </c>
      <c r="S112" s="13">
        <v>580</v>
      </c>
      <c r="T112" s="13">
        <v>568</v>
      </c>
      <c r="U112" s="13">
        <v>507</v>
      </c>
      <c r="V112" s="13">
        <v>494</v>
      </c>
      <c r="W112" s="13">
        <v>534</v>
      </c>
      <c r="X112" s="13">
        <v>496</v>
      </c>
      <c r="Y112" s="13">
        <v>506</v>
      </c>
      <c r="Z112" s="13">
        <v>499</v>
      </c>
      <c r="AA112" s="13">
        <v>498</v>
      </c>
      <c r="AB112" s="13">
        <v>497</v>
      </c>
      <c r="AC112" s="13">
        <v>510</v>
      </c>
      <c r="AD112" s="13">
        <v>503</v>
      </c>
      <c r="AE112" s="13">
        <v>484</v>
      </c>
      <c r="AF112" s="13">
        <v>470</v>
      </c>
      <c r="AG112" s="13">
        <v>468</v>
      </c>
      <c r="AH112" s="13">
        <v>476</v>
      </c>
      <c r="AI112" s="13">
        <v>466</v>
      </c>
      <c r="AJ112" s="13">
        <v>476</v>
      </c>
      <c r="AK112" s="13">
        <v>482</v>
      </c>
      <c r="AL112" s="13">
        <v>492</v>
      </c>
      <c r="AM112" s="13">
        <v>488</v>
      </c>
      <c r="AN112" s="13">
        <v>496</v>
      </c>
      <c r="AO112" s="13">
        <v>496</v>
      </c>
      <c r="AP112" s="13">
        <v>489</v>
      </c>
      <c r="AQ112" s="13">
        <v>512</v>
      </c>
      <c r="AR112" s="13">
        <v>510</v>
      </c>
      <c r="AS112" s="13">
        <v>500</v>
      </c>
      <c r="AT112" s="13">
        <v>515</v>
      </c>
      <c r="AU112" s="13">
        <v>457</v>
      </c>
      <c r="AV112" s="13">
        <v>456</v>
      </c>
      <c r="AW112" s="13">
        <v>434</v>
      </c>
      <c r="AX112" s="13">
        <v>432</v>
      </c>
      <c r="AY112" s="13">
        <v>424</v>
      </c>
      <c r="AZ112" s="13">
        <v>472</v>
      </c>
      <c r="BA112" s="13">
        <v>444</v>
      </c>
      <c r="BB112" s="13">
        <v>435</v>
      </c>
      <c r="BC112" s="13">
        <v>466</v>
      </c>
      <c r="BD112" s="13">
        <v>566</v>
      </c>
      <c r="BE112" s="13">
        <v>566</v>
      </c>
      <c r="BF112" s="13">
        <v>577</v>
      </c>
      <c r="BG112" s="13">
        <v>549</v>
      </c>
      <c r="BH112" s="13">
        <v>537</v>
      </c>
      <c r="BI112" s="13">
        <v>584</v>
      </c>
      <c r="BJ112" s="13">
        <v>603</v>
      </c>
      <c r="BK112" s="13">
        <v>575</v>
      </c>
      <c r="BL112" s="13">
        <v>578</v>
      </c>
    </row>
    <row r="113" spans="1:64" ht="15.95" customHeight="1">
      <c r="A113" s="64" t="s">
        <v>370</v>
      </c>
      <c r="B113" s="6" t="s">
        <v>174</v>
      </c>
      <c r="C113" s="15">
        <f>_xll.RssMarket("9449","現在値")</f>
        <v>3098</v>
      </c>
      <c r="D113" s="16">
        <f t="shared" si="1"/>
        <v>0</v>
      </c>
      <c r="E113" s="13">
        <v>3098</v>
      </c>
      <c r="F113" s="13">
        <v>3083</v>
      </c>
      <c r="G113" s="13">
        <v>3146</v>
      </c>
      <c r="H113" s="13">
        <v>3171</v>
      </c>
      <c r="I113" s="13">
        <v>3162</v>
      </c>
      <c r="J113" s="13">
        <v>3230</v>
      </c>
      <c r="K113" s="13">
        <v>3245</v>
      </c>
      <c r="L113" s="13">
        <v>3307</v>
      </c>
      <c r="M113" s="13">
        <v>3327</v>
      </c>
      <c r="N113" s="13">
        <v>3355</v>
      </c>
      <c r="O113" s="13">
        <v>3285</v>
      </c>
      <c r="P113" s="13">
        <v>3283</v>
      </c>
      <c r="Q113" s="13">
        <v>3330</v>
      </c>
      <c r="R113" s="13">
        <v>3438</v>
      </c>
      <c r="S113" s="13">
        <v>3396</v>
      </c>
      <c r="T113" s="13">
        <v>3317</v>
      </c>
      <c r="U113" s="13">
        <v>3307</v>
      </c>
      <c r="V113" s="13">
        <v>3348</v>
      </c>
      <c r="W113" s="13">
        <v>3310</v>
      </c>
      <c r="X113" s="13">
        <v>3079</v>
      </c>
      <c r="Y113" s="13">
        <v>3091</v>
      </c>
      <c r="Z113" s="13">
        <v>3172</v>
      </c>
      <c r="AA113" s="13">
        <v>3114</v>
      </c>
      <c r="AB113" s="13">
        <v>3161</v>
      </c>
      <c r="AC113" s="13">
        <v>3183</v>
      </c>
      <c r="AD113" s="13">
        <v>3054</v>
      </c>
      <c r="AE113" s="13">
        <v>3045</v>
      </c>
      <c r="AF113" s="13">
        <v>3080</v>
      </c>
      <c r="AG113" s="13">
        <v>3108</v>
      </c>
      <c r="AH113" s="13">
        <v>3092</v>
      </c>
      <c r="AI113" s="13">
        <v>3153</v>
      </c>
      <c r="AJ113" s="13">
        <v>3168</v>
      </c>
      <c r="AK113" s="13">
        <v>3261</v>
      </c>
      <c r="AL113" s="13">
        <v>3309</v>
      </c>
      <c r="AM113" s="13">
        <v>3236</v>
      </c>
      <c r="AN113" s="13">
        <v>3276</v>
      </c>
      <c r="AO113" s="13">
        <v>3258</v>
      </c>
      <c r="AP113" s="13">
        <v>3083</v>
      </c>
      <c r="AQ113" s="13">
        <v>3026</v>
      </c>
      <c r="AR113" s="13">
        <v>2975</v>
      </c>
      <c r="AS113" s="13">
        <v>2964.5</v>
      </c>
      <c r="AT113" s="13">
        <v>3053</v>
      </c>
      <c r="AU113" s="13">
        <v>3131</v>
      </c>
      <c r="AV113" s="13">
        <v>3023</v>
      </c>
      <c r="AW113" s="13">
        <v>3008</v>
      </c>
      <c r="AX113" s="13">
        <v>2997.5</v>
      </c>
      <c r="AY113" s="13">
        <v>2901</v>
      </c>
      <c r="AZ113" s="13">
        <v>2988</v>
      </c>
      <c r="BA113" s="13">
        <v>2866.5</v>
      </c>
      <c r="BB113" s="13">
        <v>2796.5</v>
      </c>
      <c r="BC113" s="13">
        <v>2863.5</v>
      </c>
      <c r="BD113" s="13">
        <v>2837.5</v>
      </c>
      <c r="BE113" s="13">
        <v>2860.5</v>
      </c>
      <c r="BF113" s="13">
        <v>2840.5</v>
      </c>
      <c r="BG113" s="13">
        <v>2758</v>
      </c>
      <c r="BH113" s="13">
        <v>2827.5</v>
      </c>
      <c r="BI113" s="13">
        <v>2927.5</v>
      </c>
      <c r="BJ113" s="13">
        <v>2835.5</v>
      </c>
      <c r="BK113" s="13">
        <v>2827.5</v>
      </c>
      <c r="BL113" s="13">
        <v>2810</v>
      </c>
    </row>
    <row r="114" spans="1:64" ht="15.95" customHeight="1">
      <c r="A114" s="64" t="s">
        <v>371</v>
      </c>
      <c r="B114" s="6" t="s">
        <v>175</v>
      </c>
      <c r="C114" s="15">
        <f>_xll.RssMarket("9501","現在値")</f>
        <v>508.1</v>
      </c>
      <c r="D114" s="16">
        <f t="shared" si="1"/>
        <v>0</v>
      </c>
      <c r="E114" s="13">
        <v>508.1</v>
      </c>
      <c r="F114" s="13">
        <v>513.5</v>
      </c>
      <c r="G114" s="13">
        <v>509.3</v>
      </c>
      <c r="H114" s="13">
        <v>494.8</v>
      </c>
      <c r="I114" s="13">
        <v>512.20000000000005</v>
      </c>
      <c r="J114" s="13">
        <v>535.4</v>
      </c>
      <c r="K114" s="13">
        <v>528.4</v>
      </c>
      <c r="L114" s="13">
        <v>541</v>
      </c>
      <c r="M114" s="13">
        <v>572.9</v>
      </c>
      <c r="N114" s="13">
        <v>560</v>
      </c>
      <c r="O114" s="13">
        <v>558.9</v>
      </c>
      <c r="P114" s="13">
        <v>564.70000000000005</v>
      </c>
      <c r="Q114" s="13">
        <v>557.29999999999995</v>
      </c>
      <c r="R114" s="13">
        <v>572.29999999999995</v>
      </c>
      <c r="S114" s="13">
        <v>567.20000000000005</v>
      </c>
      <c r="T114" s="13">
        <v>549</v>
      </c>
      <c r="U114" s="13">
        <v>557.4</v>
      </c>
      <c r="V114" s="13">
        <v>547.9</v>
      </c>
      <c r="W114" s="13">
        <v>580.70000000000005</v>
      </c>
      <c r="X114" s="13">
        <v>558.5</v>
      </c>
      <c r="Y114" s="13">
        <v>592.70000000000005</v>
      </c>
      <c r="Z114" s="13">
        <v>609</v>
      </c>
      <c r="AA114" s="13">
        <v>612.6</v>
      </c>
      <c r="AB114" s="13">
        <v>645.20000000000005</v>
      </c>
      <c r="AC114" s="13">
        <v>651.1</v>
      </c>
      <c r="AD114" s="13">
        <v>632.79999999999995</v>
      </c>
      <c r="AE114" s="13">
        <v>624</v>
      </c>
      <c r="AF114" s="13">
        <v>612.70000000000005</v>
      </c>
      <c r="AG114" s="13">
        <v>592.20000000000005</v>
      </c>
      <c r="AH114" s="13">
        <v>611.1</v>
      </c>
      <c r="AI114" s="13">
        <v>580.5</v>
      </c>
      <c r="AJ114" s="13">
        <v>584.70000000000005</v>
      </c>
      <c r="AK114" s="13">
        <v>584.79999999999995</v>
      </c>
      <c r="AL114" s="13">
        <v>625.29999999999995</v>
      </c>
      <c r="AM114" s="13">
        <v>603.20000000000005</v>
      </c>
      <c r="AN114" s="13">
        <v>611.5</v>
      </c>
      <c r="AO114" s="13">
        <v>624</v>
      </c>
      <c r="AP114" s="13">
        <v>638</v>
      </c>
      <c r="AQ114" s="13">
        <v>632.5</v>
      </c>
      <c r="AR114" s="13">
        <v>650</v>
      </c>
      <c r="AS114" s="13">
        <v>651.29999999999995</v>
      </c>
      <c r="AT114" s="13">
        <v>665.1</v>
      </c>
      <c r="AU114" s="13">
        <v>657.3</v>
      </c>
      <c r="AV114" s="13">
        <v>640.4</v>
      </c>
      <c r="AW114" s="13">
        <v>624.1</v>
      </c>
      <c r="AX114" s="13">
        <v>636.29999999999995</v>
      </c>
      <c r="AY114" s="13">
        <v>646</v>
      </c>
      <c r="AZ114" s="13">
        <v>648.29999999999995</v>
      </c>
      <c r="BA114" s="13">
        <v>661.3</v>
      </c>
      <c r="BB114" s="13">
        <v>638.9</v>
      </c>
      <c r="BC114" s="13">
        <v>634.5</v>
      </c>
      <c r="BD114" s="13">
        <v>635.20000000000005</v>
      </c>
      <c r="BE114" s="13">
        <v>623.4</v>
      </c>
      <c r="BF114" s="13">
        <v>636.6</v>
      </c>
      <c r="BG114" s="13">
        <v>626.29999999999995</v>
      </c>
      <c r="BH114" s="13">
        <v>617.29999999999995</v>
      </c>
      <c r="BI114" s="13">
        <v>653.4</v>
      </c>
      <c r="BJ114" s="13">
        <v>713.4</v>
      </c>
      <c r="BK114" s="13">
        <v>613.4</v>
      </c>
      <c r="BL114" s="13">
        <v>610</v>
      </c>
    </row>
    <row r="115" spans="1:64" ht="15.95" customHeight="1">
      <c r="A115" s="64" t="s">
        <v>372</v>
      </c>
      <c r="B115" s="6" t="s">
        <v>176</v>
      </c>
      <c r="C115" s="15">
        <f>_xll.RssMarket("9531","現在値")</f>
        <v>6151</v>
      </c>
      <c r="D115" s="16">
        <f t="shared" si="1"/>
        <v>0</v>
      </c>
      <c r="E115" s="13">
        <v>6151</v>
      </c>
      <c r="F115" s="13">
        <v>6223</v>
      </c>
      <c r="G115" s="13">
        <v>6303</v>
      </c>
      <c r="H115" s="13">
        <v>6395</v>
      </c>
      <c r="I115" s="13">
        <v>6305</v>
      </c>
      <c r="J115" s="13">
        <v>6311</v>
      </c>
      <c r="K115" s="13">
        <v>6190</v>
      </c>
      <c r="L115" s="13">
        <v>6219</v>
      </c>
      <c r="M115" s="13">
        <v>6292</v>
      </c>
      <c r="N115" s="13">
        <v>6220</v>
      </c>
      <c r="O115" s="13">
        <v>6175</v>
      </c>
      <c r="P115" s="13">
        <v>6380</v>
      </c>
      <c r="Q115" s="13">
        <v>6294</v>
      </c>
      <c r="R115" s="13">
        <v>6471</v>
      </c>
      <c r="S115" s="13">
        <v>6436</v>
      </c>
      <c r="T115" s="13">
        <v>6522</v>
      </c>
      <c r="U115" s="13">
        <v>6656</v>
      </c>
      <c r="V115" s="13">
        <v>6639</v>
      </c>
      <c r="W115" s="13">
        <v>6699</v>
      </c>
      <c r="X115" s="13">
        <v>6565</v>
      </c>
      <c r="Y115" s="13">
        <v>6722</v>
      </c>
      <c r="Z115" s="13">
        <v>6625</v>
      </c>
      <c r="AA115" s="13">
        <v>6607</v>
      </c>
      <c r="AB115" s="13">
        <v>6670</v>
      </c>
      <c r="AC115" s="13">
        <v>6745</v>
      </c>
      <c r="AD115" s="13">
        <v>6600</v>
      </c>
      <c r="AE115" s="13">
        <v>6812</v>
      </c>
      <c r="AF115" s="13">
        <v>6614</v>
      </c>
      <c r="AG115" s="13">
        <v>6670</v>
      </c>
      <c r="AH115" s="13">
        <v>6937</v>
      </c>
      <c r="AI115" s="13">
        <v>6473</v>
      </c>
      <c r="AJ115" s="13">
        <v>6454</v>
      </c>
      <c r="AK115" s="13">
        <v>6471</v>
      </c>
      <c r="AL115" s="13">
        <v>6487</v>
      </c>
      <c r="AM115" s="13">
        <v>6596</v>
      </c>
      <c r="AN115" s="13">
        <v>6644</v>
      </c>
      <c r="AO115" s="13">
        <v>6914</v>
      </c>
      <c r="AP115" s="13">
        <v>7117</v>
      </c>
      <c r="AQ115" s="13">
        <v>6955</v>
      </c>
      <c r="AR115" s="13">
        <v>7007</v>
      </c>
      <c r="AS115" s="13">
        <v>7072</v>
      </c>
      <c r="AT115" s="13">
        <v>7286</v>
      </c>
      <c r="AU115" s="13">
        <v>7297</v>
      </c>
      <c r="AV115" s="13">
        <v>7302</v>
      </c>
      <c r="AW115" s="13">
        <v>7369</v>
      </c>
      <c r="AX115" s="13">
        <v>7224</v>
      </c>
      <c r="AY115" s="13">
        <v>7356</v>
      </c>
      <c r="AZ115" s="13">
        <v>7297</v>
      </c>
      <c r="BA115" s="13">
        <v>7645</v>
      </c>
      <c r="BB115" s="13">
        <v>7417</v>
      </c>
      <c r="BC115" s="13">
        <v>7604</v>
      </c>
      <c r="BD115" s="13">
        <v>7757</v>
      </c>
      <c r="BE115" s="13">
        <v>7636</v>
      </c>
      <c r="BF115" s="13">
        <v>7544</v>
      </c>
      <c r="BG115" s="13">
        <v>7260</v>
      </c>
      <c r="BH115" s="13">
        <v>7080</v>
      </c>
      <c r="BI115" s="13">
        <v>7319</v>
      </c>
      <c r="BJ115" s="13">
        <v>7687</v>
      </c>
      <c r="BK115" s="13">
        <v>7538</v>
      </c>
      <c r="BL115" s="13">
        <v>7459</v>
      </c>
    </row>
    <row r="116" spans="1:64" ht="15.95" customHeight="1">
      <c r="A116" s="64" t="s">
        <v>373</v>
      </c>
      <c r="B116" s="6" t="s">
        <v>177</v>
      </c>
      <c r="C116" s="15">
        <f>_xll.RssMarket("9882","現在値")</f>
        <v>1736</v>
      </c>
      <c r="D116" s="16">
        <f t="shared" si="1"/>
        <v>0</v>
      </c>
      <c r="E116" s="13">
        <v>1736</v>
      </c>
      <c r="F116" s="13">
        <v>1743</v>
      </c>
      <c r="G116" s="13">
        <v>1733</v>
      </c>
      <c r="H116" s="13">
        <v>1727</v>
      </c>
      <c r="I116" s="13">
        <v>1709</v>
      </c>
      <c r="J116" s="13">
        <v>1674</v>
      </c>
      <c r="K116" s="13">
        <v>1663</v>
      </c>
      <c r="L116" s="13">
        <v>1652</v>
      </c>
      <c r="M116" s="13">
        <v>1687</v>
      </c>
      <c r="N116" s="13">
        <v>1634</v>
      </c>
      <c r="O116" s="13">
        <v>1621</v>
      </c>
      <c r="P116" s="13">
        <v>1655</v>
      </c>
      <c r="Q116" s="13">
        <v>1627</v>
      </c>
      <c r="R116" s="13">
        <v>1625</v>
      </c>
      <c r="S116" s="13">
        <v>1616</v>
      </c>
      <c r="T116" s="13">
        <v>1630</v>
      </c>
      <c r="U116" s="13">
        <v>1631</v>
      </c>
      <c r="V116" s="13">
        <v>1620</v>
      </c>
      <c r="W116" s="13">
        <v>1634</v>
      </c>
      <c r="X116" s="13">
        <v>1621</v>
      </c>
      <c r="Y116" s="13">
        <v>1637</v>
      </c>
      <c r="Z116" s="13">
        <v>1595</v>
      </c>
      <c r="AA116" s="13">
        <v>1613</v>
      </c>
      <c r="AB116" s="13">
        <v>1633</v>
      </c>
      <c r="AC116" s="13">
        <v>1650</v>
      </c>
      <c r="AD116" s="13">
        <v>1497</v>
      </c>
      <c r="AE116" s="13">
        <v>1503</v>
      </c>
      <c r="AF116" s="13">
        <v>1506</v>
      </c>
      <c r="AG116" s="13">
        <v>1517</v>
      </c>
      <c r="AH116" s="13">
        <v>1515</v>
      </c>
      <c r="AI116" s="13">
        <v>1507</v>
      </c>
      <c r="AJ116" s="13">
        <v>1520</v>
      </c>
      <c r="AK116" s="13">
        <v>1533</v>
      </c>
      <c r="AL116" s="13">
        <v>1539</v>
      </c>
      <c r="AM116" s="13">
        <v>1566</v>
      </c>
      <c r="AN116" s="13">
        <v>1562</v>
      </c>
      <c r="AO116" s="13">
        <v>1561</v>
      </c>
      <c r="AP116" s="13">
        <v>1550</v>
      </c>
      <c r="AQ116" s="13">
        <v>1553</v>
      </c>
      <c r="AR116" s="13">
        <v>1562</v>
      </c>
      <c r="AS116" s="13">
        <v>1575</v>
      </c>
      <c r="AT116" s="13">
        <v>1596</v>
      </c>
      <c r="AU116" s="13">
        <v>1597</v>
      </c>
      <c r="AV116" s="13">
        <v>1627</v>
      </c>
      <c r="AW116" s="13">
        <v>1605</v>
      </c>
      <c r="AX116" s="13">
        <v>1568</v>
      </c>
      <c r="AY116" s="13">
        <v>1546</v>
      </c>
      <c r="AZ116" s="13">
        <v>1557</v>
      </c>
      <c r="BA116" s="13">
        <v>1567</v>
      </c>
      <c r="BB116" s="13">
        <v>1545</v>
      </c>
      <c r="BC116" s="13">
        <v>1538</v>
      </c>
      <c r="BD116" s="13">
        <v>1595</v>
      </c>
      <c r="BE116" s="13">
        <v>1586</v>
      </c>
      <c r="BF116" s="13">
        <v>1580</v>
      </c>
      <c r="BG116" s="13">
        <v>1556</v>
      </c>
      <c r="BH116" s="13">
        <v>1523</v>
      </c>
      <c r="BI116" s="13">
        <v>1542</v>
      </c>
      <c r="BJ116" s="13">
        <v>1598</v>
      </c>
      <c r="BK116" s="13">
        <v>1581</v>
      </c>
      <c r="BL116" s="13">
        <v>1575</v>
      </c>
    </row>
    <row r="117" spans="1:64" ht="15.95" customHeight="1">
      <c r="A117" s="64" t="s">
        <v>374</v>
      </c>
      <c r="B117" s="6" t="s">
        <v>178</v>
      </c>
      <c r="C117" s="15">
        <f>_xll.RssMarket("5838","現在値")</f>
        <v>5161</v>
      </c>
      <c r="D117" s="16">
        <f t="shared" si="1"/>
        <v>0</v>
      </c>
      <c r="E117" s="13">
        <v>5161</v>
      </c>
      <c r="F117" s="13">
        <v>5244</v>
      </c>
      <c r="G117" s="13">
        <v>5260</v>
      </c>
      <c r="H117" s="13">
        <v>5104</v>
      </c>
      <c r="I117" s="13">
        <v>4762</v>
      </c>
      <c r="J117" s="13">
        <v>4869</v>
      </c>
      <c r="K117" s="13">
        <v>4950</v>
      </c>
      <c r="L117" s="13">
        <v>4955</v>
      </c>
      <c r="M117" s="13">
        <v>4899</v>
      </c>
      <c r="N117" s="13">
        <v>4562</v>
      </c>
      <c r="O117" s="13">
        <v>4498</v>
      </c>
      <c r="P117" s="13">
        <v>4653</v>
      </c>
      <c r="Q117" s="13">
        <v>4793</v>
      </c>
      <c r="R117" s="13">
        <v>4798</v>
      </c>
      <c r="S117" s="13">
        <v>5096</v>
      </c>
      <c r="T117" s="13">
        <v>4847</v>
      </c>
      <c r="U117" s="13">
        <v>5480</v>
      </c>
      <c r="V117" s="13">
        <v>6480</v>
      </c>
      <c r="W117" s="13">
        <v>6767</v>
      </c>
      <c r="X117" s="13">
        <v>6601</v>
      </c>
      <c r="Y117" s="13">
        <v>6000</v>
      </c>
      <c r="Z117" s="13">
        <v>6039</v>
      </c>
      <c r="AA117" s="13">
        <v>6156</v>
      </c>
      <c r="AB117" s="13">
        <v>6422</v>
      </c>
      <c r="AC117" s="13">
        <v>6267</v>
      </c>
      <c r="AD117" s="13">
        <v>6291</v>
      </c>
      <c r="AE117" s="13">
        <v>6294</v>
      </c>
      <c r="AF117" s="13">
        <v>6238</v>
      </c>
      <c r="AG117" s="13">
        <v>6305</v>
      </c>
      <c r="AH117" s="13">
        <v>6415</v>
      </c>
      <c r="AI117" s="13">
        <v>6132</v>
      </c>
      <c r="AJ117" s="13">
        <v>6156</v>
      </c>
      <c r="AK117" s="13">
        <v>6250</v>
      </c>
      <c r="AL117" s="13">
        <v>6131</v>
      </c>
      <c r="AM117" s="13">
        <v>6431</v>
      </c>
      <c r="AN117" s="13">
        <v>6549</v>
      </c>
      <c r="AO117" s="13">
        <v>6552</v>
      </c>
      <c r="AP117" s="13">
        <v>6750</v>
      </c>
      <c r="AQ117" s="13">
        <v>6795</v>
      </c>
      <c r="AR117" s="13">
        <v>6759</v>
      </c>
      <c r="AS117" s="13">
        <v>6700</v>
      </c>
      <c r="AT117" s="13">
        <v>6700</v>
      </c>
      <c r="AU117" s="13">
        <v>6700</v>
      </c>
      <c r="AV117" s="13">
        <v>6548</v>
      </c>
      <c r="AW117" s="13">
        <v>6231</v>
      </c>
      <c r="AX117" s="13">
        <v>6065</v>
      </c>
      <c r="AY117" s="13">
        <v>6009</v>
      </c>
      <c r="AZ117" s="13">
        <v>6002</v>
      </c>
      <c r="BA117" s="13">
        <v>6105</v>
      </c>
      <c r="BB117" s="13">
        <v>5640</v>
      </c>
      <c r="BC117" s="13">
        <v>5788</v>
      </c>
      <c r="BD117" s="13">
        <v>6065</v>
      </c>
      <c r="BE117" s="13">
        <v>6022</v>
      </c>
      <c r="BF117" s="13">
        <v>6236</v>
      </c>
      <c r="BG117" s="13">
        <v>6181</v>
      </c>
      <c r="BH117" s="13">
        <v>6088</v>
      </c>
      <c r="BI117" s="13">
        <v>6136</v>
      </c>
      <c r="BJ117" s="13">
        <v>6203</v>
      </c>
      <c r="BK117" s="13">
        <v>6042</v>
      </c>
      <c r="BL117" s="13">
        <v>6100</v>
      </c>
    </row>
    <row r="118" spans="1:64" ht="15.95" customHeight="1">
      <c r="A118" s="64" t="s">
        <v>375</v>
      </c>
      <c r="B118" s="6" t="s">
        <v>179</v>
      </c>
      <c r="C118" s="15">
        <f>_xll.RssMarket("5844","現在値")</f>
        <v>4535</v>
      </c>
      <c r="D118" s="16">
        <f t="shared" si="1"/>
        <v>0</v>
      </c>
      <c r="E118" s="13">
        <v>4535</v>
      </c>
      <c r="F118" s="13">
        <v>4656</v>
      </c>
      <c r="G118" s="13">
        <v>4462</v>
      </c>
      <c r="H118" s="13">
        <v>4442</v>
      </c>
      <c r="I118" s="13">
        <v>4494</v>
      </c>
      <c r="J118" s="13">
        <v>4575</v>
      </c>
      <c r="K118" s="13">
        <v>4622</v>
      </c>
      <c r="L118" s="13">
        <v>4482</v>
      </c>
      <c r="M118" s="13">
        <v>4347</v>
      </c>
      <c r="N118" s="13">
        <v>4373</v>
      </c>
      <c r="O118" s="13">
        <v>4341</v>
      </c>
      <c r="P118" s="13">
        <v>4419</v>
      </c>
      <c r="Q118" s="13">
        <v>4420</v>
      </c>
      <c r="R118" s="13">
        <v>4502</v>
      </c>
      <c r="S118" s="13">
        <v>4575</v>
      </c>
      <c r="T118" s="13">
        <v>4479</v>
      </c>
      <c r="U118" s="13">
        <v>4495</v>
      </c>
      <c r="V118" s="13">
        <v>4385</v>
      </c>
      <c r="W118" s="13">
        <v>4407</v>
      </c>
      <c r="X118" s="13">
        <v>4374</v>
      </c>
      <c r="Y118" s="13">
        <v>4413</v>
      </c>
      <c r="Z118" s="13">
        <v>4400</v>
      </c>
      <c r="AA118" s="13">
        <v>4484</v>
      </c>
      <c r="AB118" s="13">
        <v>4419</v>
      </c>
      <c r="AC118" s="13">
        <v>4401</v>
      </c>
      <c r="AD118" s="13">
        <v>4395</v>
      </c>
      <c r="AE118" s="13">
        <v>4499</v>
      </c>
      <c r="AF118" s="13">
        <v>4373</v>
      </c>
      <c r="AG118" s="13">
        <v>4336</v>
      </c>
      <c r="AH118" s="13">
        <v>4352</v>
      </c>
      <c r="AI118" s="13">
        <v>4200</v>
      </c>
      <c r="AJ118" s="13">
        <v>4295</v>
      </c>
      <c r="AK118" s="13">
        <v>4264</v>
      </c>
      <c r="AL118" s="13">
        <v>4258</v>
      </c>
      <c r="AM118" s="13">
        <v>4333</v>
      </c>
      <c r="AN118" s="13">
        <v>4307</v>
      </c>
      <c r="AO118" s="13">
        <v>4393</v>
      </c>
      <c r="AP118" s="13">
        <v>4421</v>
      </c>
      <c r="AQ118" s="13">
        <v>4393</v>
      </c>
      <c r="AR118" s="13">
        <v>4336</v>
      </c>
      <c r="AS118" s="13">
        <v>4373</v>
      </c>
      <c r="AT118" s="13">
        <v>4330</v>
      </c>
      <c r="AU118" s="13">
        <v>4412</v>
      </c>
      <c r="AV118" s="13">
        <v>4490</v>
      </c>
      <c r="AW118" s="13">
        <v>4410</v>
      </c>
      <c r="AX118" s="13">
        <v>4388</v>
      </c>
      <c r="AY118" s="13">
        <v>4337</v>
      </c>
      <c r="AZ118" s="13">
        <v>4283</v>
      </c>
      <c r="BA118" s="13">
        <v>4376</v>
      </c>
      <c r="BB118" s="13">
        <v>4061</v>
      </c>
      <c r="BC118" s="13">
        <v>4210</v>
      </c>
      <c r="BD118" s="13">
        <v>4477</v>
      </c>
      <c r="BE118" s="13">
        <v>4385</v>
      </c>
      <c r="BF118" s="13">
        <v>4403</v>
      </c>
      <c r="BG118" s="13">
        <v>4289</v>
      </c>
      <c r="BH118" s="13">
        <v>4294</v>
      </c>
      <c r="BI118" s="13">
        <v>4396</v>
      </c>
      <c r="BJ118" s="13">
        <v>4400</v>
      </c>
      <c r="BK118" s="13">
        <v>4309</v>
      </c>
      <c r="BL118" s="13">
        <v>4374</v>
      </c>
    </row>
    <row r="119" spans="1:64" ht="15.95" customHeight="1">
      <c r="A119" s="64" t="s">
        <v>376</v>
      </c>
      <c r="B119" s="6" t="s">
        <v>180</v>
      </c>
      <c r="C119" s="15">
        <f>_xll.RssMarket("9404","現在値")</f>
        <v>2834</v>
      </c>
      <c r="D119" s="16">
        <f t="shared" si="1"/>
        <v>0</v>
      </c>
      <c r="E119" s="13">
        <v>2834</v>
      </c>
      <c r="F119" s="13">
        <v>2884</v>
      </c>
      <c r="G119" s="13">
        <v>2831.5</v>
      </c>
      <c r="H119" s="13">
        <v>2871</v>
      </c>
      <c r="I119" s="13">
        <v>2885.5</v>
      </c>
      <c r="J119" s="13">
        <v>2867</v>
      </c>
      <c r="K119" s="13">
        <v>2878.5</v>
      </c>
      <c r="L119" s="13">
        <v>2792</v>
      </c>
      <c r="M119" s="13">
        <v>2793</v>
      </c>
      <c r="N119" s="13">
        <v>2798</v>
      </c>
      <c r="O119" s="13">
        <v>2824</v>
      </c>
      <c r="P119" s="13">
        <v>2839.5</v>
      </c>
      <c r="Q119" s="13">
        <v>2852.5</v>
      </c>
      <c r="R119" s="13">
        <v>2871</v>
      </c>
      <c r="S119" s="13">
        <v>2843.5</v>
      </c>
      <c r="T119" s="13">
        <v>2921</v>
      </c>
      <c r="U119" s="13">
        <v>2954.5</v>
      </c>
      <c r="V119" s="13">
        <v>2935.5</v>
      </c>
      <c r="W119" s="13">
        <v>2942</v>
      </c>
      <c r="X119" s="13">
        <v>2871</v>
      </c>
      <c r="Y119" s="13">
        <v>2919.5</v>
      </c>
      <c r="Z119" s="13">
        <v>2921</v>
      </c>
      <c r="AA119" s="13">
        <v>2960.5</v>
      </c>
      <c r="AB119" s="13">
        <v>2936.5</v>
      </c>
      <c r="AC119" s="13">
        <v>2935</v>
      </c>
      <c r="AD119" s="13">
        <v>2987.5</v>
      </c>
      <c r="AE119" s="13">
        <v>2982</v>
      </c>
      <c r="AF119" s="13">
        <v>2986</v>
      </c>
      <c r="AG119" s="13">
        <v>2976.5</v>
      </c>
      <c r="AH119" s="13">
        <v>3019</v>
      </c>
      <c r="AI119" s="13">
        <v>3031</v>
      </c>
      <c r="AJ119" s="13">
        <v>2988.5</v>
      </c>
      <c r="AK119" s="13">
        <v>3004</v>
      </c>
      <c r="AL119" s="13">
        <v>3057</v>
      </c>
      <c r="AM119" s="13">
        <v>3141</v>
      </c>
      <c r="AN119" s="13">
        <v>3161</v>
      </c>
      <c r="AO119" s="13">
        <v>3189</v>
      </c>
      <c r="AP119" s="13">
        <v>3152</v>
      </c>
      <c r="AQ119" s="13">
        <v>3152</v>
      </c>
      <c r="AR119" s="13">
        <v>3142</v>
      </c>
      <c r="AS119" s="13">
        <v>3136</v>
      </c>
      <c r="AT119" s="13">
        <v>3128</v>
      </c>
      <c r="AU119" s="13">
        <v>3178</v>
      </c>
      <c r="AV119" s="13">
        <v>3184</v>
      </c>
      <c r="AW119" s="13">
        <v>3132</v>
      </c>
      <c r="AX119" s="13">
        <v>3106</v>
      </c>
      <c r="AY119" s="13">
        <v>3100</v>
      </c>
      <c r="AZ119" s="13">
        <v>3100</v>
      </c>
      <c r="BA119" s="13">
        <v>3194</v>
      </c>
      <c r="BB119" s="13">
        <v>3157</v>
      </c>
      <c r="BC119" s="13">
        <v>3168</v>
      </c>
      <c r="BD119" s="13">
        <v>3256</v>
      </c>
      <c r="BE119" s="13">
        <v>3209</v>
      </c>
      <c r="BF119" s="13">
        <v>3216</v>
      </c>
      <c r="BG119" s="13">
        <v>3176</v>
      </c>
      <c r="BH119" s="13">
        <v>3108</v>
      </c>
      <c r="BI119" s="13">
        <v>3114</v>
      </c>
      <c r="BJ119" s="13">
        <v>3196</v>
      </c>
      <c r="BK119" s="13">
        <v>3195</v>
      </c>
      <c r="BL119" s="13">
        <v>3171</v>
      </c>
    </row>
    <row r="120" spans="1:64" ht="15.95" customHeight="1">
      <c r="A120" s="64" t="s">
        <v>377</v>
      </c>
      <c r="B120" s="6" t="s">
        <v>181</v>
      </c>
      <c r="C120" s="15">
        <f>_xll.RssMarket("6744","現在値")</f>
        <v>4175</v>
      </c>
      <c r="D120" s="16">
        <f t="shared" si="1"/>
        <v>0</v>
      </c>
      <c r="E120" s="13">
        <v>4175</v>
      </c>
      <c r="F120" s="13">
        <v>4185</v>
      </c>
      <c r="G120" s="13">
        <v>4250</v>
      </c>
      <c r="H120" s="13">
        <v>4210</v>
      </c>
      <c r="I120" s="13">
        <v>4290</v>
      </c>
      <c r="J120" s="13">
        <v>4365</v>
      </c>
      <c r="K120" s="13">
        <v>4500</v>
      </c>
      <c r="L120" s="13">
        <v>4520</v>
      </c>
      <c r="M120" s="13">
        <v>4540</v>
      </c>
      <c r="N120" s="13">
        <v>4645</v>
      </c>
      <c r="O120" s="13">
        <v>4690</v>
      </c>
      <c r="P120" s="13">
        <v>4930</v>
      </c>
      <c r="Q120" s="13">
        <v>4805</v>
      </c>
      <c r="R120" s="13">
        <v>4780</v>
      </c>
      <c r="S120" s="13">
        <v>4735</v>
      </c>
      <c r="T120" s="13">
        <v>4645</v>
      </c>
      <c r="U120" s="13">
        <v>4670</v>
      </c>
      <c r="V120" s="13">
        <v>4590</v>
      </c>
      <c r="W120" s="13">
        <v>4660</v>
      </c>
      <c r="X120" s="13">
        <v>4710</v>
      </c>
      <c r="Y120" s="13">
        <v>4665</v>
      </c>
      <c r="Z120" s="13">
        <v>4520</v>
      </c>
      <c r="AA120" s="13">
        <v>4300</v>
      </c>
      <c r="AB120" s="13">
        <v>4430</v>
      </c>
      <c r="AC120" s="13">
        <v>4350</v>
      </c>
      <c r="AD120" s="13">
        <v>4355</v>
      </c>
      <c r="AE120" s="13">
        <v>4310</v>
      </c>
      <c r="AF120" s="13">
        <v>4220</v>
      </c>
      <c r="AG120" s="13">
        <v>4110</v>
      </c>
      <c r="AH120" s="13">
        <v>4025</v>
      </c>
      <c r="AI120" s="13">
        <v>3975</v>
      </c>
      <c r="AJ120" s="13">
        <v>3905</v>
      </c>
      <c r="AK120" s="13">
        <v>3965</v>
      </c>
      <c r="AL120" s="13">
        <v>4025</v>
      </c>
      <c r="AM120" s="13">
        <v>4040</v>
      </c>
      <c r="AN120" s="13">
        <v>4065</v>
      </c>
      <c r="AO120" s="13">
        <v>4110</v>
      </c>
      <c r="AP120" s="13">
        <v>4215</v>
      </c>
      <c r="AQ120" s="13">
        <v>4285</v>
      </c>
      <c r="AR120" s="13">
        <v>4365</v>
      </c>
      <c r="AS120" s="13">
        <v>4385</v>
      </c>
      <c r="AT120" s="13">
        <v>4410</v>
      </c>
      <c r="AU120" s="13">
        <v>4395</v>
      </c>
      <c r="AV120" s="13">
        <v>4410</v>
      </c>
      <c r="AW120" s="13">
        <v>4295</v>
      </c>
      <c r="AX120" s="13">
        <v>4250</v>
      </c>
      <c r="AY120" s="13">
        <v>4205</v>
      </c>
      <c r="AZ120" s="13">
        <v>4215</v>
      </c>
      <c r="BA120" s="13">
        <v>4285</v>
      </c>
      <c r="BB120" s="13">
        <v>4100</v>
      </c>
      <c r="BC120" s="13">
        <v>4170</v>
      </c>
      <c r="BD120" s="13">
        <v>4310</v>
      </c>
      <c r="BE120" s="13">
        <v>4310</v>
      </c>
      <c r="BF120" s="13">
        <v>4410</v>
      </c>
      <c r="BG120" s="13">
        <v>4265</v>
      </c>
      <c r="BH120" s="13">
        <v>4195</v>
      </c>
      <c r="BI120" s="13">
        <v>4385</v>
      </c>
      <c r="BJ120" s="13">
        <v>4510</v>
      </c>
      <c r="BK120" s="13">
        <v>4520</v>
      </c>
      <c r="BL120" s="13">
        <v>4485</v>
      </c>
    </row>
    <row r="121" spans="1:64" ht="15.95" customHeight="1">
      <c r="A121" s="64" t="s">
        <v>378</v>
      </c>
      <c r="B121" s="6" t="s">
        <v>182</v>
      </c>
      <c r="C121" s="15">
        <f>_xll.RssMarket("7685","現在値")</f>
        <v>3595</v>
      </c>
      <c r="D121" s="16">
        <f t="shared" si="1"/>
        <v>0</v>
      </c>
      <c r="E121" s="13">
        <v>3595</v>
      </c>
      <c r="F121" s="13">
        <v>3630</v>
      </c>
      <c r="G121" s="13">
        <v>3755</v>
      </c>
      <c r="H121" s="13">
        <v>3835</v>
      </c>
      <c r="I121" s="13">
        <v>3820</v>
      </c>
      <c r="J121" s="13">
        <v>3585</v>
      </c>
      <c r="K121" s="13">
        <v>3740</v>
      </c>
      <c r="L121" s="13">
        <v>3690</v>
      </c>
      <c r="M121" s="13">
        <v>3855</v>
      </c>
      <c r="N121" s="13">
        <v>3920</v>
      </c>
      <c r="O121" s="13">
        <v>4065</v>
      </c>
      <c r="P121" s="13">
        <v>4085</v>
      </c>
      <c r="Q121" s="13">
        <v>4015</v>
      </c>
      <c r="R121" s="13">
        <v>3930</v>
      </c>
      <c r="S121" s="13">
        <v>3825</v>
      </c>
      <c r="T121" s="13">
        <v>3790</v>
      </c>
      <c r="U121" s="13">
        <v>3665</v>
      </c>
      <c r="V121" s="13">
        <v>3815</v>
      </c>
      <c r="W121" s="13">
        <v>3765</v>
      </c>
      <c r="X121" s="13">
        <v>3345</v>
      </c>
      <c r="Y121" s="13">
        <v>3450</v>
      </c>
      <c r="Z121" s="13">
        <v>3445</v>
      </c>
      <c r="AA121" s="13">
        <v>3325</v>
      </c>
      <c r="AB121" s="13">
        <v>3175</v>
      </c>
      <c r="AC121" s="13">
        <v>3340</v>
      </c>
      <c r="AD121" s="13">
        <v>3280</v>
      </c>
      <c r="AE121" s="13">
        <v>3205</v>
      </c>
      <c r="AF121" s="13">
        <v>3160</v>
      </c>
      <c r="AG121" s="13">
        <v>3350</v>
      </c>
      <c r="AH121" s="13">
        <v>3185</v>
      </c>
      <c r="AI121" s="13">
        <v>3170</v>
      </c>
      <c r="AJ121" s="13">
        <v>3110</v>
      </c>
      <c r="AK121" s="13">
        <v>3310</v>
      </c>
      <c r="AL121" s="13">
        <v>3300</v>
      </c>
      <c r="AM121" s="13">
        <v>3490</v>
      </c>
      <c r="AN121" s="13">
        <v>3460</v>
      </c>
      <c r="AO121" s="13">
        <v>3540</v>
      </c>
      <c r="AP121" s="13">
        <v>3645</v>
      </c>
      <c r="AQ121" s="13">
        <v>3645</v>
      </c>
      <c r="AR121" s="13">
        <v>3530</v>
      </c>
      <c r="AS121" s="13">
        <v>3525</v>
      </c>
      <c r="AT121" s="13">
        <v>3375</v>
      </c>
      <c r="AU121" s="13">
        <v>3475</v>
      </c>
      <c r="AV121" s="13">
        <v>3495</v>
      </c>
      <c r="AW121" s="13">
        <v>3355</v>
      </c>
      <c r="AX121" s="13">
        <v>3300</v>
      </c>
      <c r="AY121" s="13">
        <v>3135</v>
      </c>
      <c r="AZ121" s="13">
        <v>3165</v>
      </c>
      <c r="BA121" s="13">
        <v>3245</v>
      </c>
      <c r="BB121" s="13">
        <v>3045</v>
      </c>
      <c r="BC121" s="13">
        <v>3085</v>
      </c>
      <c r="BD121" s="13">
        <v>3155</v>
      </c>
      <c r="BE121" s="13">
        <v>3095</v>
      </c>
      <c r="BF121" s="13">
        <v>3095</v>
      </c>
      <c r="BG121" s="13">
        <v>2985</v>
      </c>
      <c r="BH121" s="13">
        <v>3025</v>
      </c>
      <c r="BI121" s="13">
        <v>3305</v>
      </c>
      <c r="BJ121" s="13">
        <v>3465</v>
      </c>
      <c r="BK121" s="13">
        <v>3365</v>
      </c>
      <c r="BL121" s="13">
        <v>3225</v>
      </c>
    </row>
    <row r="122" spans="1:64" ht="15.95" customHeight="1">
      <c r="A122" s="64" t="s">
        <v>379</v>
      </c>
      <c r="B122" s="6" t="s">
        <v>183</v>
      </c>
      <c r="C122" s="15">
        <f>_xll.RssMarket("8334","現在値")</f>
        <v>2307</v>
      </c>
      <c r="D122" s="16">
        <f t="shared" si="1"/>
        <v>0</v>
      </c>
      <c r="E122" s="13">
        <v>2307</v>
      </c>
      <c r="F122" s="13">
        <v>2333</v>
      </c>
      <c r="G122" s="13">
        <v>2358</v>
      </c>
      <c r="H122" s="13">
        <v>2343.5</v>
      </c>
      <c r="I122" s="13">
        <v>2299.5</v>
      </c>
      <c r="J122" s="13">
        <v>2313</v>
      </c>
      <c r="K122" s="13">
        <v>2257</v>
      </c>
      <c r="L122" s="13">
        <v>2262.5</v>
      </c>
      <c r="M122" s="13">
        <v>2225.5</v>
      </c>
      <c r="N122" s="13">
        <v>2199</v>
      </c>
      <c r="O122" s="13">
        <v>2166.5</v>
      </c>
      <c r="P122" s="13">
        <v>2169</v>
      </c>
      <c r="Q122" s="13">
        <v>2260</v>
      </c>
      <c r="R122" s="13">
        <v>2234</v>
      </c>
      <c r="S122" s="13">
        <v>2268</v>
      </c>
      <c r="T122" s="13">
        <v>2305</v>
      </c>
      <c r="U122" s="13">
        <v>2316</v>
      </c>
      <c r="V122" s="13">
        <v>2346</v>
      </c>
      <c r="W122" s="13">
        <v>2309</v>
      </c>
      <c r="X122" s="13">
        <v>2280</v>
      </c>
      <c r="Y122" s="13">
        <v>2238</v>
      </c>
      <c r="Z122" s="13">
        <v>2232</v>
      </c>
      <c r="AA122" s="13">
        <v>2179</v>
      </c>
      <c r="AB122" s="13">
        <v>2191</v>
      </c>
      <c r="AC122" s="13">
        <v>2171.5</v>
      </c>
      <c r="AD122" s="13">
        <v>2218.5</v>
      </c>
      <c r="AE122" s="13">
        <v>2164</v>
      </c>
      <c r="AF122" s="13">
        <v>2223</v>
      </c>
      <c r="AG122" s="13">
        <v>2157</v>
      </c>
      <c r="AH122" s="13">
        <v>2159.5</v>
      </c>
      <c r="AI122" s="13">
        <v>2206</v>
      </c>
      <c r="AJ122" s="13">
        <v>2026.5</v>
      </c>
      <c r="AK122" s="13">
        <v>2030</v>
      </c>
      <c r="AL122" s="13">
        <v>2042</v>
      </c>
      <c r="AM122" s="13">
        <v>2058.5</v>
      </c>
      <c r="AN122" s="13">
        <v>2118</v>
      </c>
      <c r="AO122" s="13">
        <v>2180</v>
      </c>
      <c r="AP122" s="13">
        <v>2214</v>
      </c>
      <c r="AQ122" s="13">
        <v>2264.5</v>
      </c>
      <c r="AR122" s="13">
        <v>2257</v>
      </c>
      <c r="AS122" s="13">
        <v>2239.5</v>
      </c>
      <c r="AT122" s="13">
        <v>2273.5</v>
      </c>
      <c r="AU122" s="13">
        <v>2269</v>
      </c>
      <c r="AV122" s="13">
        <v>2278</v>
      </c>
      <c r="AW122" s="13">
        <v>2285.5</v>
      </c>
      <c r="AX122" s="13">
        <v>2239.5</v>
      </c>
      <c r="AY122" s="13">
        <v>2208.5</v>
      </c>
      <c r="AZ122" s="13">
        <v>2231.5</v>
      </c>
      <c r="BA122" s="13">
        <v>2205.5</v>
      </c>
      <c r="BB122" s="13">
        <v>2226.5</v>
      </c>
      <c r="BC122" s="13">
        <v>2062.5</v>
      </c>
      <c r="BD122" s="13">
        <v>2170</v>
      </c>
      <c r="BE122" s="13">
        <v>2282</v>
      </c>
      <c r="BF122" s="13">
        <v>2130.5</v>
      </c>
      <c r="BG122" s="13">
        <v>2158</v>
      </c>
      <c r="BH122" s="13">
        <v>2098</v>
      </c>
      <c r="BI122" s="13">
        <v>2036</v>
      </c>
      <c r="BJ122" s="13">
        <v>2125</v>
      </c>
      <c r="BK122" s="13">
        <v>2156.5</v>
      </c>
      <c r="BL122" s="13">
        <v>2082</v>
      </c>
    </row>
    <row r="123" spans="1:64" ht="15.95" customHeight="1">
      <c r="A123" s="64" t="s">
        <v>380</v>
      </c>
      <c r="B123" s="6" t="s">
        <v>184</v>
      </c>
      <c r="C123" s="15">
        <f>_xll.RssMarket("8359","現在値")</f>
        <v>2287</v>
      </c>
      <c r="D123" s="16">
        <f t="shared" si="1"/>
        <v>0</v>
      </c>
      <c r="E123" s="13">
        <v>2287</v>
      </c>
      <c r="F123" s="13">
        <v>2346</v>
      </c>
      <c r="G123" s="13">
        <v>2342.5</v>
      </c>
      <c r="H123" s="13">
        <v>2304.5</v>
      </c>
      <c r="I123" s="13">
        <v>2331</v>
      </c>
      <c r="J123" s="13">
        <v>2353.5</v>
      </c>
      <c r="K123" s="13">
        <v>2380.5</v>
      </c>
      <c r="L123" s="13">
        <v>2343.5</v>
      </c>
      <c r="M123" s="13">
        <v>2311.5</v>
      </c>
      <c r="N123" s="13">
        <v>2314.5</v>
      </c>
      <c r="O123" s="13">
        <v>2334</v>
      </c>
      <c r="P123" s="13">
        <v>2323.5</v>
      </c>
      <c r="Q123" s="13">
        <v>2292</v>
      </c>
      <c r="R123" s="13">
        <v>2295.5</v>
      </c>
      <c r="S123" s="13">
        <v>2346</v>
      </c>
      <c r="T123" s="13">
        <v>2335</v>
      </c>
      <c r="U123" s="13">
        <v>2350</v>
      </c>
      <c r="V123" s="13">
        <v>2300.5</v>
      </c>
      <c r="W123" s="13">
        <v>2270</v>
      </c>
      <c r="X123" s="13">
        <v>2215.5</v>
      </c>
      <c r="Y123" s="13">
        <v>2388</v>
      </c>
      <c r="Z123" s="13">
        <v>2325</v>
      </c>
      <c r="AA123" s="13">
        <v>2357</v>
      </c>
      <c r="AB123" s="13">
        <v>2338.5</v>
      </c>
      <c r="AC123" s="13">
        <v>2295.5</v>
      </c>
      <c r="AD123" s="13">
        <v>2201.5</v>
      </c>
      <c r="AE123" s="13">
        <v>2307.5</v>
      </c>
      <c r="AF123" s="13">
        <v>2094.5</v>
      </c>
      <c r="AG123" s="13">
        <v>2121.5</v>
      </c>
      <c r="AH123" s="13">
        <v>2168</v>
      </c>
      <c r="AI123" s="13">
        <v>2025.5</v>
      </c>
      <c r="AJ123" s="13">
        <v>2027.5</v>
      </c>
      <c r="AK123" s="13">
        <v>2026.5</v>
      </c>
      <c r="AL123" s="13">
        <v>2012</v>
      </c>
      <c r="AM123" s="13">
        <v>2035.5</v>
      </c>
      <c r="AN123" s="13">
        <v>2080</v>
      </c>
      <c r="AO123" s="13">
        <v>2104</v>
      </c>
      <c r="AP123" s="13">
        <v>2124.5</v>
      </c>
      <c r="AQ123" s="13">
        <v>2103</v>
      </c>
      <c r="AR123" s="13">
        <v>2067.5</v>
      </c>
      <c r="AS123" s="13">
        <v>2089</v>
      </c>
      <c r="AT123" s="13">
        <v>2105.5</v>
      </c>
      <c r="AU123" s="13">
        <v>2112.5</v>
      </c>
      <c r="AV123" s="13">
        <v>2131</v>
      </c>
      <c r="AW123" s="13">
        <v>2079</v>
      </c>
      <c r="AX123" s="13">
        <v>2058.5</v>
      </c>
      <c r="AY123" s="13">
        <v>2027.5</v>
      </c>
      <c r="AZ123" s="13">
        <v>2022</v>
      </c>
      <c r="BA123" s="13">
        <v>2069</v>
      </c>
      <c r="BB123" s="13">
        <v>1927</v>
      </c>
      <c r="BC123" s="13">
        <v>1951</v>
      </c>
      <c r="BD123" s="13">
        <v>2059</v>
      </c>
      <c r="BE123" s="13">
        <v>2052</v>
      </c>
      <c r="BF123" s="13">
        <v>2086</v>
      </c>
      <c r="BG123" s="13">
        <v>2030.5</v>
      </c>
      <c r="BH123" s="13">
        <v>1953.5</v>
      </c>
      <c r="BI123" s="13">
        <v>1960</v>
      </c>
      <c r="BJ123" s="13">
        <v>2024.5</v>
      </c>
      <c r="BK123" s="13">
        <v>1954.5</v>
      </c>
      <c r="BL123" s="13">
        <v>1925.5</v>
      </c>
    </row>
    <row r="124" spans="1:64" ht="15.95" customHeight="1">
      <c r="A124" s="64" t="s">
        <v>381</v>
      </c>
      <c r="B124" s="6" t="s">
        <v>185</v>
      </c>
      <c r="C124" s="15">
        <f>_xll.RssMarket("8801","現在値")</f>
        <v>1516.5</v>
      </c>
      <c r="D124" s="16">
        <f t="shared" si="1"/>
        <v>0</v>
      </c>
      <c r="E124" s="13">
        <v>1516.5</v>
      </c>
      <c r="F124" s="13">
        <v>1530</v>
      </c>
      <c r="G124" s="13">
        <v>1558</v>
      </c>
      <c r="H124" s="13">
        <v>1538</v>
      </c>
      <c r="I124" s="13">
        <v>1546.5</v>
      </c>
      <c r="J124" s="13">
        <v>1462.5</v>
      </c>
      <c r="K124" s="13">
        <v>1495</v>
      </c>
      <c r="L124" s="13">
        <v>1467.5</v>
      </c>
      <c r="M124" s="13">
        <v>1478.5</v>
      </c>
      <c r="N124" s="13">
        <v>1510.5</v>
      </c>
      <c r="O124" s="13">
        <v>1478.5</v>
      </c>
      <c r="P124" s="13">
        <v>1530.5</v>
      </c>
      <c r="Q124" s="13">
        <v>1505</v>
      </c>
      <c r="R124" s="13">
        <v>1532</v>
      </c>
      <c r="S124" s="13">
        <v>1523</v>
      </c>
      <c r="T124" s="13">
        <v>1480</v>
      </c>
      <c r="U124" s="13">
        <v>1520</v>
      </c>
      <c r="V124" s="13">
        <v>1508</v>
      </c>
      <c r="W124" s="13">
        <v>1534</v>
      </c>
      <c r="X124" s="13">
        <v>1498</v>
      </c>
      <c r="Y124" s="13">
        <v>1539.5</v>
      </c>
      <c r="Z124" s="13">
        <v>1528</v>
      </c>
      <c r="AA124" s="13">
        <v>1697.5</v>
      </c>
      <c r="AB124" s="13">
        <v>1674.5</v>
      </c>
      <c r="AC124" s="13">
        <v>1670.5</v>
      </c>
      <c r="AD124" s="13">
        <v>1656.5</v>
      </c>
      <c r="AE124" s="13">
        <v>1699</v>
      </c>
      <c r="AF124" s="13">
        <v>1693</v>
      </c>
      <c r="AG124" s="13">
        <v>1704.5</v>
      </c>
      <c r="AH124" s="13">
        <v>1711</v>
      </c>
      <c r="AI124" s="13">
        <v>1701</v>
      </c>
      <c r="AJ124" s="13">
        <v>1704</v>
      </c>
      <c r="AK124" s="13">
        <v>1734</v>
      </c>
      <c r="AL124" s="13">
        <v>1719</v>
      </c>
      <c r="AM124" s="13">
        <v>1749</v>
      </c>
      <c r="AN124" s="13">
        <v>1753</v>
      </c>
      <c r="AO124" s="13">
        <v>1731</v>
      </c>
      <c r="AP124" s="13">
        <v>1759</v>
      </c>
      <c r="AQ124" s="13">
        <v>1778.5</v>
      </c>
      <c r="AR124" s="13">
        <v>1787</v>
      </c>
      <c r="AS124" s="13">
        <v>1727.5</v>
      </c>
      <c r="AT124" s="13">
        <v>1730</v>
      </c>
      <c r="AU124" s="13">
        <v>1720</v>
      </c>
      <c r="AV124" s="13">
        <v>1770</v>
      </c>
      <c r="AW124" s="13">
        <v>1672</v>
      </c>
      <c r="AX124" s="13">
        <v>1650</v>
      </c>
      <c r="AY124" s="13">
        <v>1692.5</v>
      </c>
      <c r="AZ124" s="13">
        <v>1688</v>
      </c>
      <c r="BA124" s="13">
        <v>1713</v>
      </c>
      <c r="BB124" s="13">
        <v>1655.5</v>
      </c>
      <c r="BC124" s="13">
        <v>1651</v>
      </c>
      <c r="BD124" s="13">
        <v>1701</v>
      </c>
      <c r="BE124" s="13">
        <v>1733</v>
      </c>
      <c r="BF124" s="13">
        <v>1753</v>
      </c>
      <c r="BG124" s="13">
        <v>1738.5</v>
      </c>
      <c r="BH124" s="13">
        <v>1685</v>
      </c>
      <c r="BI124" s="13">
        <v>1814</v>
      </c>
      <c r="BJ124" s="13">
        <v>1880.5</v>
      </c>
      <c r="BK124" s="13">
        <v>1848.5</v>
      </c>
      <c r="BL124" s="13">
        <v>1827.5</v>
      </c>
    </row>
    <row r="125" spans="1:64" ht="15.95" customHeight="1">
      <c r="A125" s="64" t="s">
        <v>382</v>
      </c>
      <c r="B125" s="6" t="s">
        <v>186</v>
      </c>
      <c r="C125" s="15">
        <f>_xll.RssMarket("8934","現在値")</f>
        <v>2359</v>
      </c>
      <c r="D125" s="16">
        <f t="shared" si="1"/>
        <v>0</v>
      </c>
      <c r="E125" s="13">
        <v>2359</v>
      </c>
      <c r="F125" s="13">
        <v>2361</v>
      </c>
      <c r="G125" s="13">
        <v>2380</v>
      </c>
      <c r="H125" s="13">
        <v>2360</v>
      </c>
      <c r="I125" s="13">
        <v>2401</v>
      </c>
      <c r="J125" s="13">
        <v>2321</v>
      </c>
      <c r="K125" s="13">
        <v>2324</v>
      </c>
      <c r="L125" s="13">
        <v>2276</v>
      </c>
      <c r="M125" s="13">
        <v>2274</v>
      </c>
      <c r="N125" s="13">
        <v>2266</v>
      </c>
      <c r="O125" s="13">
        <v>2373</v>
      </c>
      <c r="P125" s="13">
        <v>2360</v>
      </c>
      <c r="Q125" s="13">
        <v>2342</v>
      </c>
      <c r="R125" s="13">
        <v>2359</v>
      </c>
      <c r="S125" s="13">
        <v>2339</v>
      </c>
      <c r="T125" s="13">
        <v>2404</v>
      </c>
      <c r="U125" s="13">
        <v>2343</v>
      </c>
      <c r="V125" s="13">
        <v>2435</v>
      </c>
      <c r="W125" s="13">
        <v>2402</v>
      </c>
      <c r="X125" s="13">
        <v>2467</v>
      </c>
      <c r="Y125" s="13">
        <v>2445</v>
      </c>
      <c r="Z125" s="13">
        <v>2443</v>
      </c>
      <c r="AA125" s="13">
        <v>2539</v>
      </c>
      <c r="AB125" s="13">
        <v>2605</v>
      </c>
      <c r="AC125" s="13">
        <v>2626</v>
      </c>
      <c r="AD125" s="13">
        <v>2648</v>
      </c>
      <c r="AE125" s="13">
        <v>2685</v>
      </c>
      <c r="AF125" s="13">
        <v>2693</v>
      </c>
      <c r="AG125" s="13">
        <v>2649</v>
      </c>
      <c r="AH125" s="13">
        <v>2643</v>
      </c>
      <c r="AI125" s="13">
        <v>2687</v>
      </c>
      <c r="AJ125" s="13">
        <v>2711</v>
      </c>
      <c r="AK125" s="13">
        <v>2739</v>
      </c>
      <c r="AL125" s="13">
        <v>2769</v>
      </c>
      <c r="AM125" s="13">
        <v>2785</v>
      </c>
      <c r="AN125" s="13">
        <v>2801</v>
      </c>
      <c r="AO125" s="13">
        <v>2825</v>
      </c>
      <c r="AP125" s="13">
        <v>2818</v>
      </c>
      <c r="AQ125" s="13">
        <v>2855</v>
      </c>
      <c r="AR125" s="13">
        <v>2812</v>
      </c>
      <c r="AS125" s="13">
        <v>2777</v>
      </c>
      <c r="AT125" s="13">
        <v>2743</v>
      </c>
      <c r="AU125" s="13">
        <v>2701</v>
      </c>
      <c r="AV125" s="13">
        <v>2691</v>
      </c>
      <c r="AW125" s="13">
        <v>2685</v>
      </c>
      <c r="AX125" s="13">
        <v>2686</v>
      </c>
      <c r="AY125" s="13">
        <v>2695</v>
      </c>
      <c r="AZ125" s="13">
        <v>2633</v>
      </c>
      <c r="BA125" s="13">
        <v>2647</v>
      </c>
      <c r="BB125" s="13">
        <v>2701</v>
      </c>
      <c r="BC125" s="13">
        <v>2671</v>
      </c>
      <c r="BD125" s="13">
        <v>2682</v>
      </c>
      <c r="BE125" s="13">
        <v>2661</v>
      </c>
      <c r="BF125" s="13">
        <v>2650</v>
      </c>
      <c r="BG125" s="13">
        <v>2705</v>
      </c>
      <c r="BH125" s="13">
        <v>2720</v>
      </c>
      <c r="BI125" s="13">
        <v>2700</v>
      </c>
      <c r="BJ125" s="13">
        <v>2693</v>
      </c>
      <c r="BK125" s="13">
        <v>2696</v>
      </c>
      <c r="BL125" s="13">
        <v>2669</v>
      </c>
    </row>
    <row r="126" spans="1:64" ht="15.95" customHeight="1">
      <c r="A126" s="64" t="s">
        <v>383</v>
      </c>
      <c r="B126" s="6" t="s">
        <v>187</v>
      </c>
      <c r="C126" s="15">
        <f>_xll.RssMarket("9416","現在値")</f>
        <v>1015</v>
      </c>
      <c r="D126" s="16">
        <f t="shared" si="1"/>
        <v>0</v>
      </c>
      <c r="E126" s="13">
        <v>1015</v>
      </c>
      <c r="F126" s="13">
        <v>1018</v>
      </c>
      <c r="G126" s="13">
        <v>1020</v>
      </c>
      <c r="H126" s="13">
        <v>1006</v>
      </c>
      <c r="I126" s="13">
        <v>1009</v>
      </c>
      <c r="J126" s="13">
        <v>1031</v>
      </c>
      <c r="K126" s="13">
        <v>1024</v>
      </c>
      <c r="L126" s="13">
        <v>1005</v>
      </c>
      <c r="M126" s="13">
        <v>1016</v>
      </c>
      <c r="N126" s="13">
        <v>1023</v>
      </c>
      <c r="O126" s="13">
        <v>1027</v>
      </c>
      <c r="P126" s="13">
        <v>1067</v>
      </c>
      <c r="Q126" s="13">
        <v>1057</v>
      </c>
      <c r="R126" s="13">
        <v>1058</v>
      </c>
      <c r="S126" s="13">
        <v>1099</v>
      </c>
      <c r="T126" s="13">
        <v>1018</v>
      </c>
      <c r="U126" s="13">
        <v>1022</v>
      </c>
      <c r="V126" s="13">
        <v>1026</v>
      </c>
      <c r="W126" s="13">
        <v>1004</v>
      </c>
      <c r="X126" s="13">
        <v>1039</v>
      </c>
      <c r="Y126" s="13">
        <v>1105</v>
      </c>
      <c r="Z126" s="13">
        <v>1089</v>
      </c>
      <c r="AA126" s="13">
        <v>1098</v>
      </c>
      <c r="AB126" s="13">
        <v>1109</v>
      </c>
      <c r="AC126" s="13">
        <v>1115</v>
      </c>
      <c r="AD126" s="13">
        <v>1108</v>
      </c>
      <c r="AE126" s="13">
        <v>1095</v>
      </c>
      <c r="AF126" s="13">
        <v>1093</v>
      </c>
      <c r="AG126" s="13">
        <v>1106</v>
      </c>
      <c r="AH126" s="13">
        <v>1091</v>
      </c>
      <c r="AI126" s="13">
        <v>1084</v>
      </c>
      <c r="AJ126" s="13">
        <v>1105</v>
      </c>
      <c r="AK126" s="13">
        <v>1114</v>
      </c>
      <c r="AL126" s="13">
        <v>1142</v>
      </c>
      <c r="AM126" s="13">
        <v>1161</v>
      </c>
      <c r="AN126" s="13">
        <v>1184</v>
      </c>
      <c r="AO126" s="13">
        <v>1190</v>
      </c>
      <c r="AP126" s="13">
        <v>1206</v>
      </c>
      <c r="AQ126" s="13">
        <v>1187</v>
      </c>
      <c r="AR126" s="13">
        <v>1196</v>
      </c>
      <c r="AS126" s="13">
        <v>1205</v>
      </c>
      <c r="AT126" s="13">
        <v>1196</v>
      </c>
      <c r="AU126" s="13">
        <v>1209</v>
      </c>
      <c r="AV126" s="13">
        <v>1182</v>
      </c>
      <c r="AW126" s="13">
        <v>1169</v>
      </c>
      <c r="AX126" s="13">
        <v>1161</v>
      </c>
      <c r="AY126" s="13">
        <v>1151</v>
      </c>
      <c r="AZ126" s="13">
        <v>1165</v>
      </c>
      <c r="BA126" s="13">
        <v>1134</v>
      </c>
      <c r="BB126" s="13">
        <v>1140</v>
      </c>
      <c r="BC126" s="13">
        <v>1168</v>
      </c>
      <c r="BD126" s="13">
        <v>1154</v>
      </c>
      <c r="BE126" s="13">
        <v>1159</v>
      </c>
      <c r="BF126" s="13">
        <v>1142</v>
      </c>
      <c r="BG126" s="13">
        <v>1127</v>
      </c>
      <c r="BH126" s="13">
        <v>1152</v>
      </c>
      <c r="BI126" s="13">
        <v>1178</v>
      </c>
      <c r="BJ126" s="13">
        <v>1172</v>
      </c>
      <c r="BK126" s="13">
        <v>1184</v>
      </c>
      <c r="BL126" s="13">
        <v>1191</v>
      </c>
    </row>
    <row r="127" spans="1:64" ht="15.95" customHeight="1">
      <c r="A127" s="64" t="s">
        <v>384</v>
      </c>
      <c r="B127" s="6" t="s">
        <v>188</v>
      </c>
      <c r="C127" s="15">
        <f>_xll.RssMarket("9532","現在値")</f>
        <v>5446</v>
      </c>
      <c r="D127" s="16">
        <f t="shared" si="1"/>
        <v>0</v>
      </c>
      <c r="E127" s="13">
        <v>5446</v>
      </c>
      <c r="F127" s="13">
        <v>5481</v>
      </c>
      <c r="G127" s="13">
        <v>5615</v>
      </c>
      <c r="H127" s="13">
        <v>5672</v>
      </c>
      <c r="I127" s="13">
        <v>5517</v>
      </c>
      <c r="J127" s="13">
        <v>5516</v>
      </c>
      <c r="K127" s="13">
        <v>5489</v>
      </c>
      <c r="L127" s="13">
        <v>5439</v>
      </c>
      <c r="M127" s="13">
        <v>5569</v>
      </c>
      <c r="N127" s="13">
        <v>5399</v>
      </c>
      <c r="O127" s="13">
        <v>5340</v>
      </c>
      <c r="P127" s="13">
        <v>5361</v>
      </c>
      <c r="Q127" s="13">
        <v>5385</v>
      </c>
      <c r="R127" s="13">
        <v>5500</v>
      </c>
      <c r="S127" s="13">
        <v>5567</v>
      </c>
      <c r="T127" s="13">
        <v>5650</v>
      </c>
      <c r="U127" s="13">
        <v>5668</v>
      </c>
      <c r="V127" s="13">
        <v>5760</v>
      </c>
      <c r="W127" s="13">
        <v>5806</v>
      </c>
      <c r="X127" s="13">
        <v>5650</v>
      </c>
      <c r="Y127" s="13">
        <v>5732</v>
      </c>
      <c r="Z127" s="13">
        <v>5742</v>
      </c>
      <c r="AA127" s="13">
        <v>5769</v>
      </c>
      <c r="AB127" s="13">
        <v>5699</v>
      </c>
      <c r="AC127" s="13">
        <v>5590</v>
      </c>
      <c r="AD127" s="13">
        <v>5767</v>
      </c>
      <c r="AE127" s="13">
        <v>5762</v>
      </c>
      <c r="AF127" s="13">
        <v>5704</v>
      </c>
      <c r="AG127" s="13">
        <v>5682</v>
      </c>
      <c r="AH127" s="13">
        <v>5949</v>
      </c>
      <c r="AI127" s="13">
        <v>5804</v>
      </c>
      <c r="AJ127" s="13">
        <v>5839</v>
      </c>
      <c r="AK127" s="13">
        <v>5856</v>
      </c>
      <c r="AL127" s="13">
        <v>5831</v>
      </c>
      <c r="AM127" s="13">
        <v>5927</v>
      </c>
      <c r="AN127" s="13">
        <v>5978</v>
      </c>
      <c r="AO127" s="13">
        <v>6128</v>
      </c>
      <c r="AP127" s="13">
        <v>6236</v>
      </c>
      <c r="AQ127" s="13">
        <v>6205</v>
      </c>
      <c r="AR127" s="13">
        <v>6220</v>
      </c>
      <c r="AS127" s="13">
        <v>6276</v>
      </c>
      <c r="AT127" s="13">
        <v>6448</v>
      </c>
      <c r="AU127" s="13">
        <v>6467</v>
      </c>
      <c r="AV127" s="13">
        <v>6501</v>
      </c>
      <c r="AW127" s="13">
        <v>6462</v>
      </c>
      <c r="AX127" s="13">
        <v>6439</v>
      </c>
      <c r="AY127" s="13">
        <v>6498</v>
      </c>
      <c r="AZ127" s="13">
        <v>6384</v>
      </c>
      <c r="BA127" s="13">
        <v>6550</v>
      </c>
      <c r="BB127" s="13">
        <v>6381</v>
      </c>
      <c r="BC127" s="13">
        <v>6469</v>
      </c>
      <c r="BD127" s="13">
        <v>6463</v>
      </c>
      <c r="BE127" s="13">
        <v>6383</v>
      </c>
      <c r="BF127" s="13">
        <v>6404</v>
      </c>
      <c r="BG127" s="13">
        <v>6305</v>
      </c>
      <c r="BH127" s="13">
        <v>6135</v>
      </c>
      <c r="BI127" s="13">
        <v>6387</v>
      </c>
      <c r="BJ127" s="13">
        <v>6505</v>
      </c>
      <c r="BK127" s="13">
        <v>6279</v>
      </c>
      <c r="BL127" s="13">
        <v>6190</v>
      </c>
    </row>
    <row r="128" spans="1:64" ht="15.95" customHeight="1">
      <c r="A128" s="64" t="s">
        <v>385</v>
      </c>
      <c r="B128" s="6" t="s">
        <v>189</v>
      </c>
      <c r="C128" s="15">
        <f>_xll.RssMarket("6330","現在値")</f>
        <v>2198</v>
      </c>
      <c r="D128" s="16">
        <f t="shared" si="1"/>
        <v>0</v>
      </c>
      <c r="E128" s="13">
        <v>2198</v>
      </c>
      <c r="F128" s="13">
        <v>2088</v>
      </c>
      <c r="G128" s="13">
        <v>1918</v>
      </c>
      <c r="H128" s="13">
        <v>1830</v>
      </c>
      <c r="I128" s="13">
        <v>1892</v>
      </c>
      <c r="J128" s="13">
        <v>1982</v>
      </c>
      <c r="K128" s="13">
        <v>2052</v>
      </c>
      <c r="L128" s="13">
        <v>1975</v>
      </c>
      <c r="M128" s="13">
        <v>2020</v>
      </c>
      <c r="N128" s="13">
        <v>1919</v>
      </c>
      <c r="O128" s="13">
        <v>1918</v>
      </c>
      <c r="P128" s="13">
        <v>2021</v>
      </c>
      <c r="Q128" s="13">
        <v>2109</v>
      </c>
      <c r="R128" s="13">
        <v>2098</v>
      </c>
      <c r="S128" s="13">
        <v>2167</v>
      </c>
      <c r="T128" s="13">
        <v>2175</v>
      </c>
      <c r="U128" s="13">
        <v>2016</v>
      </c>
      <c r="V128" s="13">
        <v>2025</v>
      </c>
      <c r="W128" s="13">
        <v>2113</v>
      </c>
      <c r="X128" s="13">
        <v>2077</v>
      </c>
      <c r="Y128" s="13">
        <v>2099</v>
      </c>
      <c r="Z128" s="13">
        <v>2151</v>
      </c>
      <c r="AA128" s="13">
        <v>2133</v>
      </c>
      <c r="AB128" s="13">
        <v>2159</v>
      </c>
      <c r="AC128" s="13">
        <v>2234</v>
      </c>
      <c r="AD128" s="13">
        <v>2342</v>
      </c>
      <c r="AE128" s="13">
        <v>2294</v>
      </c>
      <c r="AF128" s="13">
        <v>2268</v>
      </c>
      <c r="AG128" s="13">
        <v>2266</v>
      </c>
      <c r="AH128" s="13">
        <v>2388</v>
      </c>
      <c r="AI128" s="13">
        <v>2315</v>
      </c>
      <c r="AJ128" s="13">
        <v>2329</v>
      </c>
      <c r="AK128" s="13">
        <v>2430</v>
      </c>
      <c r="AL128" s="13">
        <v>2430</v>
      </c>
      <c r="AM128" s="13">
        <v>2551</v>
      </c>
      <c r="AN128" s="13">
        <v>2612</v>
      </c>
      <c r="AO128" s="13">
        <v>2600</v>
      </c>
      <c r="AP128" s="13">
        <v>2493</v>
      </c>
      <c r="AQ128" s="13">
        <v>2356</v>
      </c>
      <c r="AR128" s="13">
        <v>2319</v>
      </c>
      <c r="AS128" s="13">
        <v>2336</v>
      </c>
      <c r="AT128" s="13">
        <v>2341</v>
      </c>
      <c r="AU128" s="13">
        <v>2311</v>
      </c>
      <c r="AV128" s="13">
        <v>2421</v>
      </c>
      <c r="AW128" s="13">
        <v>2207</v>
      </c>
      <c r="AX128" s="13">
        <v>2198</v>
      </c>
      <c r="AY128" s="13">
        <v>2319</v>
      </c>
      <c r="AZ128" s="13">
        <v>2570</v>
      </c>
      <c r="BA128" s="13">
        <v>2702</v>
      </c>
      <c r="BB128" s="13">
        <v>2598</v>
      </c>
      <c r="BC128" s="13">
        <v>2759</v>
      </c>
      <c r="BD128" s="13">
        <v>2664</v>
      </c>
      <c r="BE128" s="13">
        <v>2650</v>
      </c>
      <c r="BF128" s="13">
        <v>2704</v>
      </c>
      <c r="BG128" s="13">
        <v>2523</v>
      </c>
      <c r="BH128" s="13">
        <v>2910</v>
      </c>
      <c r="BI128" s="13">
        <v>3610</v>
      </c>
      <c r="BJ128" s="13">
        <v>3500</v>
      </c>
      <c r="BK128" s="13">
        <v>3095</v>
      </c>
      <c r="BL128" s="13">
        <v>3235</v>
      </c>
    </row>
    <row r="129" spans="1:64" ht="15.95" customHeight="1">
      <c r="A129" s="64" t="s">
        <v>386</v>
      </c>
      <c r="B129" s="6" t="s">
        <v>190</v>
      </c>
      <c r="C129" s="15">
        <f>_xll.RssMarket("4082","現在値")</f>
        <v>2065</v>
      </c>
      <c r="D129" s="16">
        <f t="shared" si="1"/>
        <v>0</v>
      </c>
      <c r="E129" s="13">
        <v>2065</v>
      </c>
      <c r="F129" s="13">
        <v>2015</v>
      </c>
      <c r="G129" s="13">
        <v>1874</v>
      </c>
      <c r="H129" s="13">
        <v>1865</v>
      </c>
      <c r="I129" s="13">
        <v>1839</v>
      </c>
      <c r="J129" s="13">
        <v>1976</v>
      </c>
      <c r="K129" s="13">
        <v>2098</v>
      </c>
      <c r="L129" s="13">
        <v>2105</v>
      </c>
      <c r="M129" s="13">
        <v>2201</v>
      </c>
      <c r="N129" s="13">
        <v>2160</v>
      </c>
      <c r="O129" s="13">
        <v>2275</v>
      </c>
      <c r="P129" s="13">
        <v>2293</v>
      </c>
      <c r="Q129" s="13">
        <v>2245</v>
      </c>
      <c r="R129" s="13">
        <v>2179</v>
      </c>
      <c r="S129" s="13">
        <v>2025</v>
      </c>
      <c r="T129" s="13">
        <v>2021</v>
      </c>
      <c r="U129" s="13">
        <v>1959</v>
      </c>
      <c r="V129" s="13">
        <v>1953</v>
      </c>
      <c r="W129" s="13">
        <v>2133</v>
      </c>
      <c r="X129" s="13">
        <v>2166</v>
      </c>
      <c r="Y129" s="13">
        <v>2188</v>
      </c>
      <c r="Z129" s="13">
        <v>2530</v>
      </c>
      <c r="AA129" s="13">
        <v>2622</v>
      </c>
      <c r="AB129" s="13">
        <v>2590</v>
      </c>
      <c r="AC129" s="13">
        <v>2708</v>
      </c>
      <c r="AD129" s="13">
        <v>2493</v>
      </c>
      <c r="AE129" s="13">
        <v>2369</v>
      </c>
      <c r="AF129" s="13">
        <v>2322</v>
      </c>
      <c r="AG129" s="13">
        <v>2290</v>
      </c>
      <c r="AH129" s="13">
        <v>2357</v>
      </c>
      <c r="AI129" s="13">
        <v>2254</v>
      </c>
      <c r="AJ129" s="13">
        <v>2310</v>
      </c>
      <c r="AK129" s="13">
        <v>2302</v>
      </c>
      <c r="AL129" s="13">
        <v>2305</v>
      </c>
      <c r="AM129" s="13">
        <v>2360</v>
      </c>
      <c r="AN129" s="13">
        <v>2545</v>
      </c>
      <c r="AO129" s="13">
        <v>2333</v>
      </c>
      <c r="AP129" s="13">
        <v>2252</v>
      </c>
      <c r="AQ129" s="13">
        <v>2102</v>
      </c>
      <c r="AR129" s="13">
        <v>2086</v>
      </c>
      <c r="AS129" s="13">
        <v>2043</v>
      </c>
      <c r="AT129" s="13">
        <v>2065</v>
      </c>
      <c r="AU129" s="13">
        <v>2122</v>
      </c>
      <c r="AV129" s="13">
        <v>2208</v>
      </c>
      <c r="AW129" s="13">
        <v>2088</v>
      </c>
      <c r="AX129" s="13">
        <v>2087</v>
      </c>
      <c r="AY129" s="13">
        <v>2082</v>
      </c>
      <c r="AZ129" s="13">
        <v>2241</v>
      </c>
      <c r="BA129" s="13">
        <v>2340</v>
      </c>
      <c r="BB129" s="13">
        <v>2300</v>
      </c>
      <c r="BC129" s="13">
        <v>2425</v>
      </c>
      <c r="BD129" s="13">
        <v>2455</v>
      </c>
      <c r="BE129" s="13">
        <v>2370</v>
      </c>
      <c r="BF129" s="13">
        <v>2410</v>
      </c>
      <c r="BG129" s="13">
        <v>2315</v>
      </c>
      <c r="BH129" s="13">
        <v>2300</v>
      </c>
      <c r="BI129" s="13">
        <v>2515</v>
      </c>
      <c r="BJ129" s="13">
        <v>2620</v>
      </c>
      <c r="BK129" s="13">
        <v>2544</v>
      </c>
      <c r="BL129" s="13">
        <v>2708</v>
      </c>
    </row>
    <row r="130" spans="1:64" ht="15.95" customHeight="1">
      <c r="A130" s="64" t="s">
        <v>387</v>
      </c>
      <c r="B130" s="6" t="s">
        <v>191</v>
      </c>
      <c r="C130" s="15">
        <f>_xll.RssMarket("4519","現在値")</f>
        <v>7650</v>
      </c>
      <c r="D130" s="16">
        <f t="shared" si="1"/>
        <v>0</v>
      </c>
      <c r="E130" s="13">
        <v>7650</v>
      </c>
      <c r="F130" s="13">
        <v>7523</v>
      </c>
      <c r="G130" s="13">
        <v>7450</v>
      </c>
      <c r="H130" s="13">
        <v>7428</v>
      </c>
      <c r="I130" s="13">
        <v>7560</v>
      </c>
      <c r="J130" s="13">
        <v>7465</v>
      </c>
      <c r="K130" s="13">
        <v>7554</v>
      </c>
      <c r="L130" s="13">
        <v>7567</v>
      </c>
      <c r="M130" s="13">
        <v>7423</v>
      </c>
      <c r="N130" s="13">
        <v>7618</v>
      </c>
      <c r="O130" s="13">
        <v>7664</v>
      </c>
      <c r="P130" s="13">
        <v>7892</v>
      </c>
      <c r="Q130" s="13">
        <v>7743</v>
      </c>
      <c r="R130" s="13">
        <v>7878</v>
      </c>
      <c r="S130" s="13">
        <v>8117</v>
      </c>
      <c r="T130" s="13">
        <v>8090</v>
      </c>
      <c r="U130" s="13">
        <v>7836</v>
      </c>
      <c r="V130" s="13">
        <v>7899</v>
      </c>
      <c r="W130" s="13">
        <v>7936</v>
      </c>
      <c r="X130" s="13">
        <v>7885</v>
      </c>
      <c r="Y130" s="13">
        <v>7938</v>
      </c>
      <c r="Z130" s="13">
        <v>8096</v>
      </c>
      <c r="AA130" s="13">
        <v>7805</v>
      </c>
      <c r="AB130" s="13">
        <v>7794</v>
      </c>
      <c r="AC130" s="13">
        <v>7953</v>
      </c>
      <c r="AD130" s="13">
        <v>7900</v>
      </c>
      <c r="AE130" s="13">
        <v>8095</v>
      </c>
      <c r="AF130" s="13">
        <v>8245</v>
      </c>
      <c r="AG130" s="13">
        <v>8116</v>
      </c>
      <c r="AH130" s="13">
        <v>7940</v>
      </c>
      <c r="AI130" s="13">
        <v>7445</v>
      </c>
      <c r="AJ130" s="13">
        <v>8845</v>
      </c>
      <c r="AK130" s="13">
        <v>8926</v>
      </c>
      <c r="AL130" s="13">
        <v>8760</v>
      </c>
      <c r="AM130" s="13">
        <v>8694</v>
      </c>
      <c r="AN130" s="13">
        <v>8844</v>
      </c>
      <c r="AO130" s="13">
        <v>8349</v>
      </c>
      <c r="AP130" s="13">
        <v>8591</v>
      </c>
      <c r="AQ130" s="13">
        <v>8657</v>
      </c>
      <c r="AR130" s="13">
        <v>8520</v>
      </c>
      <c r="AS130" s="13">
        <v>8585</v>
      </c>
      <c r="AT130" s="13">
        <v>8675</v>
      </c>
      <c r="AU130" s="13">
        <v>8775</v>
      </c>
      <c r="AV130" s="13">
        <v>8883</v>
      </c>
      <c r="AW130" s="13">
        <v>8739</v>
      </c>
      <c r="AX130" s="13">
        <v>8865</v>
      </c>
      <c r="AY130" s="13">
        <v>8779</v>
      </c>
      <c r="AZ130" s="13">
        <v>9198</v>
      </c>
      <c r="BA130" s="13">
        <v>9000</v>
      </c>
      <c r="BB130" s="13">
        <v>8611</v>
      </c>
      <c r="BC130" s="13">
        <v>8660</v>
      </c>
      <c r="BD130" s="13">
        <v>8540</v>
      </c>
      <c r="BE130" s="13">
        <v>8451</v>
      </c>
      <c r="BF130" s="13">
        <v>8462</v>
      </c>
      <c r="BG130" s="13">
        <v>8224</v>
      </c>
      <c r="BH130" s="13">
        <v>7947</v>
      </c>
      <c r="BI130" s="13">
        <v>8650</v>
      </c>
      <c r="BJ130" s="13">
        <v>8986</v>
      </c>
      <c r="BK130" s="13">
        <v>9318</v>
      </c>
      <c r="BL130" s="13">
        <v>9117</v>
      </c>
    </row>
    <row r="131" spans="1:64" ht="15.95" customHeight="1">
      <c r="A131" s="64" t="s">
        <v>388</v>
      </c>
      <c r="B131" s="6" t="s">
        <v>192</v>
      </c>
      <c r="C131" s="15">
        <f>_xll.RssMarket("2160","現在値")</f>
        <v>2542</v>
      </c>
      <c r="D131" s="16">
        <f t="shared" si="1"/>
        <v>0</v>
      </c>
      <c r="E131" s="13">
        <v>2542</v>
      </c>
      <c r="F131" s="13">
        <v>2493</v>
      </c>
      <c r="G131" s="13">
        <v>2520</v>
      </c>
      <c r="H131" s="13">
        <v>2685</v>
      </c>
      <c r="I131" s="13">
        <v>2735</v>
      </c>
      <c r="J131" s="13">
        <v>2810</v>
      </c>
      <c r="K131" s="13">
        <v>2833</v>
      </c>
      <c r="L131" s="13">
        <v>2684</v>
      </c>
      <c r="M131" s="13">
        <v>2625</v>
      </c>
      <c r="N131" s="13">
        <v>2580</v>
      </c>
      <c r="O131" s="13">
        <v>2574</v>
      </c>
      <c r="P131" s="13">
        <v>2546</v>
      </c>
      <c r="Q131" s="13">
        <v>2615</v>
      </c>
      <c r="R131" s="13">
        <v>2646</v>
      </c>
      <c r="S131" s="13">
        <v>2833</v>
      </c>
      <c r="T131" s="13">
        <v>2834</v>
      </c>
      <c r="U131" s="13">
        <v>2821</v>
      </c>
      <c r="V131" s="13">
        <v>2736</v>
      </c>
      <c r="W131" s="13">
        <v>2830</v>
      </c>
      <c r="X131" s="13">
        <v>2688</v>
      </c>
      <c r="Y131" s="13">
        <v>2955</v>
      </c>
      <c r="Z131" s="13">
        <v>3015</v>
      </c>
      <c r="AA131" s="13">
        <v>3240</v>
      </c>
      <c r="AB131" s="13">
        <v>2984</v>
      </c>
      <c r="AC131" s="13">
        <v>3000</v>
      </c>
      <c r="AD131" s="13">
        <v>2979</v>
      </c>
      <c r="AE131" s="13">
        <v>3055</v>
      </c>
      <c r="AF131" s="13">
        <v>3020</v>
      </c>
      <c r="AG131" s="13">
        <v>2920</v>
      </c>
      <c r="AH131" s="13">
        <v>3165</v>
      </c>
      <c r="AI131" s="13">
        <v>3110</v>
      </c>
      <c r="AJ131" s="13">
        <v>3130</v>
      </c>
      <c r="AK131" s="13">
        <v>3130</v>
      </c>
      <c r="AL131" s="13">
        <v>3300</v>
      </c>
      <c r="AM131" s="13">
        <v>3390</v>
      </c>
      <c r="AN131" s="13">
        <v>3440</v>
      </c>
      <c r="AO131" s="13">
        <v>3370</v>
      </c>
      <c r="AP131" s="13">
        <v>3380</v>
      </c>
      <c r="AQ131" s="13">
        <v>3340</v>
      </c>
      <c r="AR131" s="13">
        <v>3185</v>
      </c>
      <c r="AS131" s="13">
        <v>3135</v>
      </c>
      <c r="AT131" s="13">
        <v>3180</v>
      </c>
      <c r="AU131" s="13">
        <v>3130</v>
      </c>
      <c r="AV131" s="13">
        <v>3235</v>
      </c>
      <c r="AW131" s="13">
        <v>3110</v>
      </c>
      <c r="AX131" s="13">
        <v>3130</v>
      </c>
      <c r="AY131" s="13">
        <v>3145</v>
      </c>
      <c r="AZ131" s="13">
        <v>3075</v>
      </c>
      <c r="BA131" s="13">
        <v>3200</v>
      </c>
      <c r="BB131" s="13">
        <v>2940</v>
      </c>
      <c r="BC131" s="13">
        <v>3060</v>
      </c>
      <c r="BD131" s="13">
        <v>3250</v>
      </c>
      <c r="BE131" s="13">
        <v>3040</v>
      </c>
      <c r="BF131" s="13">
        <v>3070</v>
      </c>
      <c r="BG131" s="13">
        <v>2968</v>
      </c>
      <c r="BH131" s="13">
        <v>2741</v>
      </c>
      <c r="BI131" s="13">
        <v>2842</v>
      </c>
      <c r="BJ131" s="13">
        <v>3125</v>
      </c>
      <c r="BK131" s="13">
        <v>3115</v>
      </c>
      <c r="BL131" s="13">
        <v>3245</v>
      </c>
    </row>
    <row r="132" spans="1:64" ht="15.95" customHeight="1">
      <c r="A132" s="64" t="s">
        <v>389</v>
      </c>
      <c r="B132" s="6" t="s">
        <v>193</v>
      </c>
      <c r="C132" s="15">
        <f>_xll.RssMarket("6227","現在値")</f>
        <v>8160</v>
      </c>
      <c r="D132" s="16">
        <f t="shared" si="1"/>
        <v>0</v>
      </c>
      <c r="E132" s="13">
        <v>8160</v>
      </c>
      <c r="F132" s="13">
        <v>8080</v>
      </c>
      <c r="G132" s="13">
        <v>7850</v>
      </c>
      <c r="H132" s="13">
        <v>6850</v>
      </c>
      <c r="I132" s="13">
        <v>7000</v>
      </c>
      <c r="J132" s="13">
        <v>7060</v>
      </c>
      <c r="K132" s="13">
        <v>7440</v>
      </c>
      <c r="L132" s="13">
        <v>6490</v>
      </c>
      <c r="M132" s="13">
        <v>6070</v>
      </c>
      <c r="N132" s="13">
        <v>6140</v>
      </c>
      <c r="O132" s="13">
        <v>5950</v>
      </c>
      <c r="P132" s="13">
        <v>5670</v>
      </c>
      <c r="Q132" s="13">
        <v>5640</v>
      </c>
      <c r="R132" s="13">
        <v>5490</v>
      </c>
      <c r="S132" s="13">
        <v>6220</v>
      </c>
      <c r="T132" s="13">
        <v>6050</v>
      </c>
      <c r="U132" s="13">
        <v>6060</v>
      </c>
      <c r="V132" s="13">
        <v>6600</v>
      </c>
      <c r="W132" s="13">
        <v>6870</v>
      </c>
      <c r="X132" s="13">
        <v>7250</v>
      </c>
      <c r="Y132" s="13">
        <v>6250</v>
      </c>
      <c r="Z132" s="13">
        <v>6690</v>
      </c>
      <c r="AA132" s="13">
        <v>6540</v>
      </c>
      <c r="AB132" s="13">
        <v>6870</v>
      </c>
      <c r="AC132" s="13">
        <v>6490</v>
      </c>
      <c r="AD132" s="13">
        <v>6690</v>
      </c>
      <c r="AE132" s="13">
        <v>6790</v>
      </c>
      <c r="AF132" s="13">
        <v>6110</v>
      </c>
      <c r="AG132" s="13">
        <v>6330</v>
      </c>
      <c r="AH132" s="13">
        <v>6150</v>
      </c>
      <c r="AI132" s="13">
        <v>6630</v>
      </c>
      <c r="AJ132" s="13">
        <v>6590</v>
      </c>
      <c r="AK132" s="13">
        <v>6380</v>
      </c>
      <c r="AL132" s="13">
        <v>6860</v>
      </c>
      <c r="AM132" s="13">
        <v>6910</v>
      </c>
      <c r="AN132" s="13">
        <v>7500</v>
      </c>
      <c r="AO132" s="13">
        <v>8120</v>
      </c>
      <c r="AP132" s="13">
        <v>8150</v>
      </c>
      <c r="AQ132" s="13">
        <v>8420</v>
      </c>
      <c r="AR132" s="13">
        <v>7700</v>
      </c>
      <c r="AS132" s="13">
        <v>6700</v>
      </c>
      <c r="AT132" s="13">
        <v>6080</v>
      </c>
      <c r="AU132" s="13">
        <v>5910</v>
      </c>
      <c r="AV132" s="13">
        <v>6010</v>
      </c>
      <c r="AW132" s="13">
        <v>5690</v>
      </c>
      <c r="AX132" s="13">
        <v>5930</v>
      </c>
      <c r="AY132" s="13">
        <v>5380</v>
      </c>
      <c r="AZ132" s="13">
        <v>5390</v>
      </c>
      <c r="BA132" s="13">
        <v>5740</v>
      </c>
      <c r="BB132" s="13">
        <v>5270</v>
      </c>
      <c r="BC132" s="13">
        <v>5560</v>
      </c>
      <c r="BD132" s="13">
        <v>5980</v>
      </c>
      <c r="BE132" s="13">
        <v>6300</v>
      </c>
      <c r="BF132" s="13">
        <v>6963.3</v>
      </c>
      <c r="BG132" s="13">
        <v>6323.3</v>
      </c>
      <c r="BH132" s="13">
        <v>6133.3</v>
      </c>
      <c r="BI132" s="13">
        <v>6706.6</v>
      </c>
      <c r="BJ132" s="13">
        <v>6486.6</v>
      </c>
      <c r="BK132" s="13">
        <v>6513.3</v>
      </c>
      <c r="BL132" s="13">
        <v>7346.6</v>
      </c>
    </row>
    <row r="133" spans="1:64" ht="15.95" customHeight="1">
      <c r="A133" s="64" t="s">
        <v>390</v>
      </c>
      <c r="B133" s="6" t="s">
        <v>194</v>
      </c>
      <c r="C133" s="15">
        <f>_xll.RssMarket("6327","現在値")</f>
        <v>5150</v>
      </c>
      <c r="D133" s="16">
        <f t="shared" si="1"/>
        <v>0</v>
      </c>
      <c r="E133" s="13">
        <v>5150</v>
      </c>
      <c r="F133" s="13">
        <v>4445</v>
      </c>
      <c r="G133" s="13">
        <v>3045</v>
      </c>
      <c r="H133" s="13">
        <v>3050</v>
      </c>
      <c r="I133" s="13">
        <v>3100</v>
      </c>
      <c r="J133" s="13">
        <v>3585</v>
      </c>
      <c r="K133" s="13">
        <v>3980</v>
      </c>
      <c r="L133" s="13">
        <v>3840</v>
      </c>
      <c r="M133" s="13">
        <v>4520</v>
      </c>
      <c r="N133" s="13">
        <v>4900</v>
      </c>
      <c r="O133" s="13">
        <v>4980</v>
      </c>
      <c r="P133" s="13">
        <v>5910</v>
      </c>
      <c r="Q133" s="13">
        <v>5000</v>
      </c>
      <c r="R133" s="13">
        <v>4300</v>
      </c>
      <c r="S133" s="13">
        <v>3415</v>
      </c>
      <c r="T133" s="13">
        <v>2914</v>
      </c>
      <c r="U133" s="13">
        <v>2414</v>
      </c>
      <c r="V133" s="13">
        <v>2337</v>
      </c>
      <c r="W133" s="13">
        <v>2370</v>
      </c>
      <c r="X133" s="13">
        <v>2573</v>
      </c>
      <c r="Y133" s="13">
        <v>2555</v>
      </c>
      <c r="Z133" s="13">
        <v>2672</v>
      </c>
      <c r="AA133" s="13">
        <v>2760</v>
      </c>
      <c r="AB133" s="13">
        <v>2990</v>
      </c>
      <c r="AC133" s="13">
        <v>3480</v>
      </c>
      <c r="AD133" s="13">
        <v>3610</v>
      </c>
      <c r="AE133" s="13">
        <v>3380</v>
      </c>
      <c r="AF133" s="13">
        <v>2897</v>
      </c>
      <c r="AG133" s="13">
        <v>2867</v>
      </c>
      <c r="AH133" s="13">
        <v>2685</v>
      </c>
      <c r="AI133" s="13">
        <v>2185</v>
      </c>
      <c r="AJ133" s="13">
        <v>2100</v>
      </c>
      <c r="AK133" s="13">
        <v>2097</v>
      </c>
      <c r="AL133" s="13">
        <v>2158</v>
      </c>
      <c r="AM133" s="13">
        <v>2194</v>
      </c>
      <c r="AN133" s="13">
        <v>1996</v>
      </c>
      <c r="AO133" s="13">
        <v>2053</v>
      </c>
      <c r="AP133" s="13">
        <v>2082</v>
      </c>
      <c r="AQ133" s="13">
        <v>2057</v>
      </c>
      <c r="AR133" s="13">
        <v>2100</v>
      </c>
      <c r="AS133" s="13">
        <v>1921</v>
      </c>
      <c r="AT133" s="13">
        <v>1954</v>
      </c>
      <c r="AU133" s="13">
        <v>1819</v>
      </c>
      <c r="AV133" s="13">
        <v>1836</v>
      </c>
      <c r="AW133" s="13">
        <v>1651</v>
      </c>
      <c r="AX133" s="13">
        <v>1633</v>
      </c>
      <c r="AY133" s="13">
        <v>1555</v>
      </c>
      <c r="AZ133" s="13">
        <v>1503</v>
      </c>
      <c r="BA133" s="13">
        <v>1525</v>
      </c>
      <c r="BB133" s="13">
        <v>1439</v>
      </c>
      <c r="BC133" s="13">
        <v>1481</v>
      </c>
      <c r="BD133" s="13">
        <v>1604</v>
      </c>
      <c r="BE133" s="13">
        <v>1624</v>
      </c>
      <c r="BF133" s="13">
        <v>1670</v>
      </c>
      <c r="BG133" s="13">
        <v>1560</v>
      </c>
      <c r="BH133" s="13">
        <v>1488</v>
      </c>
      <c r="BI133" s="13">
        <v>1657</v>
      </c>
      <c r="BJ133" s="13">
        <v>1770</v>
      </c>
      <c r="BK133" s="13">
        <v>1593</v>
      </c>
      <c r="BL133" s="13">
        <v>1699</v>
      </c>
    </row>
    <row r="134" spans="1:64" ht="15.95" customHeight="1">
      <c r="A134" s="64" t="s">
        <v>391</v>
      </c>
      <c r="B134" s="6" t="s">
        <v>195</v>
      </c>
      <c r="C134" s="15">
        <f>_xll.RssMarket("3110","現在値")</f>
        <v>21170</v>
      </c>
      <c r="D134" s="16">
        <f t="shared" ref="D134:D197" si="2">C134-E134</f>
        <v>0</v>
      </c>
      <c r="E134" s="13">
        <v>21170</v>
      </c>
      <c r="F134" s="13">
        <v>21690</v>
      </c>
      <c r="G134" s="13">
        <v>18380</v>
      </c>
      <c r="H134" s="13">
        <v>17330</v>
      </c>
      <c r="I134" s="13">
        <v>17840</v>
      </c>
      <c r="J134" s="13">
        <v>18680</v>
      </c>
      <c r="K134" s="13">
        <v>20250</v>
      </c>
      <c r="L134" s="13">
        <v>20770</v>
      </c>
      <c r="M134" s="13">
        <v>21770</v>
      </c>
      <c r="N134" s="13">
        <v>21900</v>
      </c>
      <c r="O134" s="13">
        <v>24240</v>
      </c>
      <c r="P134" s="13">
        <v>22670</v>
      </c>
      <c r="Q134" s="13">
        <v>22710</v>
      </c>
      <c r="R134" s="13">
        <v>23300</v>
      </c>
      <c r="S134" s="13">
        <v>27560</v>
      </c>
      <c r="T134" s="13">
        <v>25310</v>
      </c>
      <c r="U134" s="13">
        <v>22020</v>
      </c>
      <c r="V134" s="13">
        <v>21090</v>
      </c>
      <c r="W134" s="13">
        <v>21580</v>
      </c>
      <c r="X134" s="13">
        <v>22730</v>
      </c>
      <c r="Y134" s="13">
        <v>23900</v>
      </c>
      <c r="Z134" s="13">
        <v>26190</v>
      </c>
      <c r="AA134" s="13">
        <v>25790</v>
      </c>
      <c r="AB134" s="13">
        <v>29000</v>
      </c>
      <c r="AC134" s="13">
        <v>29090</v>
      </c>
      <c r="AD134" s="13">
        <v>30400</v>
      </c>
      <c r="AE134" s="13">
        <v>31950</v>
      </c>
      <c r="AF134" s="13">
        <v>28160</v>
      </c>
      <c r="AG134" s="13">
        <v>28540</v>
      </c>
      <c r="AH134" s="13">
        <v>28210</v>
      </c>
      <c r="AI134" s="13">
        <v>27350</v>
      </c>
      <c r="AJ134" s="13">
        <v>27380</v>
      </c>
      <c r="AK134" s="13">
        <v>25550</v>
      </c>
      <c r="AL134" s="13">
        <v>27460</v>
      </c>
      <c r="AM134" s="13">
        <v>26460</v>
      </c>
      <c r="AN134" s="13">
        <v>26720</v>
      </c>
      <c r="AO134" s="13">
        <v>27510</v>
      </c>
      <c r="AP134" s="13">
        <v>27040</v>
      </c>
      <c r="AQ134" s="13">
        <v>26500</v>
      </c>
      <c r="AR134" s="13">
        <v>29440</v>
      </c>
      <c r="AS134" s="13">
        <v>28960</v>
      </c>
      <c r="AT134" s="13">
        <v>27430</v>
      </c>
      <c r="AU134" s="13">
        <v>25290</v>
      </c>
      <c r="AV134" s="13">
        <v>24850</v>
      </c>
      <c r="AW134" s="13">
        <v>21660</v>
      </c>
      <c r="AX134" s="13">
        <v>20760</v>
      </c>
      <c r="AY134" s="13">
        <v>20480</v>
      </c>
      <c r="AZ134" s="13">
        <v>19610</v>
      </c>
      <c r="BA134" s="13">
        <v>20870</v>
      </c>
      <c r="BB134" s="13">
        <v>18740</v>
      </c>
      <c r="BC134" s="13">
        <v>19760</v>
      </c>
      <c r="BD134" s="13">
        <v>21500</v>
      </c>
      <c r="BE134" s="13">
        <v>21810</v>
      </c>
      <c r="BF134" s="13">
        <v>22360</v>
      </c>
      <c r="BG134" s="13">
        <v>20100</v>
      </c>
      <c r="BH134" s="13">
        <v>20120</v>
      </c>
      <c r="BI134" s="13">
        <v>21580</v>
      </c>
      <c r="BJ134" s="13">
        <v>22300</v>
      </c>
      <c r="BK134" s="13">
        <v>20800</v>
      </c>
      <c r="BL134" s="13">
        <v>21880</v>
      </c>
    </row>
    <row r="135" spans="1:64" ht="15.95" customHeight="1">
      <c r="A135" s="64" t="s">
        <v>392</v>
      </c>
      <c r="B135" s="6" t="s">
        <v>196</v>
      </c>
      <c r="C135" s="15">
        <f>_xll.RssMarket("6232","現在値")</f>
        <v>1764</v>
      </c>
      <c r="D135" s="16">
        <f t="shared" si="2"/>
        <v>0</v>
      </c>
      <c r="E135" s="13">
        <v>1764</v>
      </c>
      <c r="F135" s="13">
        <v>1834</v>
      </c>
      <c r="G135" s="13">
        <v>1768</v>
      </c>
      <c r="H135" s="13">
        <v>1828</v>
      </c>
      <c r="I135" s="13">
        <v>1902</v>
      </c>
      <c r="J135" s="13">
        <v>2025</v>
      </c>
      <c r="K135" s="13">
        <v>2096</v>
      </c>
      <c r="L135" s="13">
        <v>1970</v>
      </c>
      <c r="M135" s="13">
        <v>2018</v>
      </c>
      <c r="N135" s="13">
        <v>1988</v>
      </c>
      <c r="O135" s="13">
        <v>2154</v>
      </c>
      <c r="P135" s="13">
        <v>2332</v>
      </c>
      <c r="Q135" s="13">
        <v>2487</v>
      </c>
      <c r="R135" s="13">
        <v>2334</v>
      </c>
      <c r="S135" s="13">
        <v>2728</v>
      </c>
      <c r="T135" s="13">
        <v>2841</v>
      </c>
      <c r="U135" s="13">
        <v>2753</v>
      </c>
      <c r="V135" s="13">
        <v>2786</v>
      </c>
      <c r="W135" s="13">
        <v>3360</v>
      </c>
      <c r="X135" s="13">
        <v>3040</v>
      </c>
      <c r="Y135" s="13">
        <v>3115</v>
      </c>
      <c r="Z135" s="13">
        <v>2931</v>
      </c>
      <c r="AA135" s="13">
        <v>3010</v>
      </c>
      <c r="AB135" s="13">
        <v>3165</v>
      </c>
      <c r="AC135" s="13">
        <v>3430</v>
      </c>
      <c r="AD135" s="13">
        <v>2927</v>
      </c>
      <c r="AE135" s="13">
        <v>2427</v>
      </c>
      <c r="AF135" s="13">
        <v>2502</v>
      </c>
      <c r="AG135" s="13">
        <v>2359</v>
      </c>
      <c r="AH135" s="13">
        <v>2316</v>
      </c>
      <c r="AI135" s="13">
        <v>2350</v>
      </c>
      <c r="AJ135" s="13">
        <v>2538</v>
      </c>
      <c r="AK135" s="13">
        <v>2261</v>
      </c>
      <c r="AL135" s="13">
        <v>2122</v>
      </c>
      <c r="AM135" s="13">
        <v>1722</v>
      </c>
      <c r="AN135" s="13">
        <v>1745</v>
      </c>
      <c r="AO135" s="13">
        <v>1704</v>
      </c>
      <c r="AP135" s="13">
        <v>1809</v>
      </c>
      <c r="AQ135" s="13">
        <v>1800</v>
      </c>
      <c r="AR135" s="13">
        <v>1868</v>
      </c>
      <c r="AS135" s="13">
        <v>1807</v>
      </c>
      <c r="AT135" s="13">
        <v>1610</v>
      </c>
      <c r="AU135" s="13">
        <v>1574</v>
      </c>
      <c r="AV135" s="13">
        <v>1636</v>
      </c>
      <c r="AW135" s="13">
        <v>1474</v>
      </c>
      <c r="AX135" s="13">
        <v>1462</v>
      </c>
      <c r="AY135" s="13">
        <v>1471</v>
      </c>
      <c r="AZ135" s="13">
        <v>1486</v>
      </c>
      <c r="BA135" s="13">
        <v>1525</v>
      </c>
      <c r="BB135" s="13">
        <v>1373</v>
      </c>
      <c r="BC135" s="13">
        <v>1464</v>
      </c>
      <c r="BD135" s="13">
        <v>1538</v>
      </c>
      <c r="BE135" s="13">
        <v>1495</v>
      </c>
      <c r="BF135" s="13">
        <v>1542</v>
      </c>
      <c r="BG135" s="13">
        <v>1447</v>
      </c>
      <c r="BH135" s="13">
        <v>1396</v>
      </c>
      <c r="BI135" s="13">
        <v>1542</v>
      </c>
      <c r="BJ135" s="13">
        <v>1645</v>
      </c>
      <c r="BK135" s="13">
        <v>1645</v>
      </c>
      <c r="BL135" s="13">
        <v>1703</v>
      </c>
    </row>
    <row r="136" spans="1:64" ht="15.95" customHeight="1">
      <c r="A136" s="64" t="s">
        <v>393</v>
      </c>
      <c r="B136" s="6" t="s">
        <v>197</v>
      </c>
      <c r="C136" s="15">
        <f>_xll.RssMarket("7794","現在値")</f>
        <v>1097</v>
      </c>
      <c r="D136" s="16">
        <f t="shared" si="2"/>
        <v>0</v>
      </c>
      <c r="E136" s="13">
        <v>1097</v>
      </c>
      <c r="F136" s="13">
        <v>1068</v>
      </c>
      <c r="G136" s="13">
        <v>1078</v>
      </c>
      <c r="H136" s="13">
        <v>1064</v>
      </c>
      <c r="I136" s="13">
        <v>1090</v>
      </c>
      <c r="J136" s="13">
        <v>1110</v>
      </c>
      <c r="K136" s="13">
        <v>1085</v>
      </c>
      <c r="L136" s="13">
        <v>1005</v>
      </c>
      <c r="M136" s="13">
        <v>1070</v>
      </c>
      <c r="N136" s="13">
        <v>1082</v>
      </c>
      <c r="O136" s="13">
        <v>1168</v>
      </c>
      <c r="P136" s="13">
        <v>1149</v>
      </c>
      <c r="Q136" s="13">
        <v>1284</v>
      </c>
      <c r="R136" s="13">
        <v>1094</v>
      </c>
      <c r="S136" s="13">
        <v>1168</v>
      </c>
      <c r="T136" s="13">
        <v>1118</v>
      </c>
      <c r="U136" s="13">
        <v>1086</v>
      </c>
      <c r="V136" s="13">
        <v>1090</v>
      </c>
      <c r="W136" s="13">
        <v>1137</v>
      </c>
      <c r="X136" s="13">
        <v>1102</v>
      </c>
      <c r="Y136" s="13">
        <v>1150</v>
      </c>
      <c r="Z136" s="13">
        <v>1129</v>
      </c>
      <c r="AA136" s="13">
        <v>1330</v>
      </c>
      <c r="AB136" s="13">
        <v>1340</v>
      </c>
      <c r="AC136" s="13">
        <v>1408</v>
      </c>
      <c r="AD136" s="13">
        <v>1361</v>
      </c>
      <c r="AE136" s="13">
        <v>1287</v>
      </c>
      <c r="AF136" s="13">
        <v>1297</v>
      </c>
      <c r="AG136" s="13">
        <v>1332</v>
      </c>
      <c r="AH136" s="13">
        <v>1316</v>
      </c>
      <c r="AI136" s="13">
        <v>1344</v>
      </c>
      <c r="AJ136" s="13">
        <v>1413</v>
      </c>
      <c r="AK136" s="13">
        <v>1429</v>
      </c>
      <c r="AL136" s="13">
        <v>1470</v>
      </c>
      <c r="AM136" s="13">
        <v>1536</v>
      </c>
      <c r="AN136" s="13">
        <v>1584</v>
      </c>
      <c r="AO136" s="13">
        <v>1284</v>
      </c>
      <c r="AP136" s="13">
        <v>1218</v>
      </c>
      <c r="AQ136" s="13">
        <v>1176</v>
      </c>
      <c r="AR136" s="13">
        <v>1205</v>
      </c>
      <c r="AS136" s="13">
        <v>1216</v>
      </c>
      <c r="AT136" s="13">
        <v>1185</v>
      </c>
      <c r="AU136" s="13">
        <v>1212</v>
      </c>
      <c r="AV136" s="13">
        <v>1212</v>
      </c>
      <c r="AW136" s="13">
        <v>1140</v>
      </c>
      <c r="AX136" s="13">
        <v>1170</v>
      </c>
      <c r="AY136" s="13">
        <v>1206</v>
      </c>
      <c r="AZ136" s="13">
        <v>1253</v>
      </c>
      <c r="BA136" s="13">
        <v>1285</v>
      </c>
      <c r="BB136" s="13">
        <v>1278</v>
      </c>
      <c r="BC136" s="13">
        <v>1326</v>
      </c>
      <c r="BD136" s="13">
        <v>1314</v>
      </c>
      <c r="BE136" s="13">
        <v>1014</v>
      </c>
      <c r="BF136" s="13">
        <v>1100</v>
      </c>
      <c r="BG136" s="13">
        <v>1085</v>
      </c>
      <c r="BH136" s="13">
        <v>1119</v>
      </c>
      <c r="BI136" s="13">
        <v>1229</v>
      </c>
      <c r="BJ136" s="13">
        <v>1349</v>
      </c>
      <c r="BK136" s="13">
        <v>1311</v>
      </c>
      <c r="BL136" s="13">
        <v>1292</v>
      </c>
    </row>
    <row r="137" spans="1:64" ht="15.95" customHeight="1">
      <c r="A137" s="64" t="s">
        <v>394</v>
      </c>
      <c r="B137" s="6" t="s">
        <v>198</v>
      </c>
      <c r="C137" s="15">
        <f>_xll.RssMarket("6085","現在値")</f>
        <v>320</v>
      </c>
      <c r="D137" s="16">
        <f t="shared" si="2"/>
        <v>0</v>
      </c>
      <c r="E137" s="13">
        <v>320</v>
      </c>
      <c r="F137" s="13">
        <v>313</v>
      </c>
      <c r="G137" s="13">
        <v>343</v>
      </c>
      <c r="H137" s="13">
        <v>396</v>
      </c>
      <c r="I137" s="13">
        <v>417</v>
      </c>
      <c r="J137" s="13">
        <v>311</v>
      </c>
      <c r="K137" s="13">
        <v>320</v>
      </c>
      <c r="L137" s="13">
        <v>264</v>
      </c>
      <c r="M137" s="13">
        <v>248</v>
      </c>
      <c r="N137" s="13">
        <v>282</v>
      </c>
      <c r="O137" s="13">
        <v>361</v>
      </c>
      <c r="P137" s="13">
        <v>325</v>
      </c>
      <c r="Q137" s="13">
        <v>343</v>
      </c>
      <c r="R137" s="13">
        <v>423</v>
      </c>
      <c r="S137" s="13">
        <v>523</v>
      </c>
      <c r="T137" s="13">
        <v>485</v>
      </c>
      <c r="U137" s="13">
        <v>465</v>
      </c>
      <c r="V137" s="13">
        <v>432</v>
      </c>
      <c r="W137" s="13">
        <v>463</v>
      </c>
      <c r="X137" s="13">
        <v>563</v>
      </c>
      <c r="Y137" s="13">
        <v>504</v>
      </c>
      <c r="Z137" s="13">
        <v>530</v>
      </c>
      <c r="AA137" s="13">
        <v>483</v>
      </c>
      <c r="AB137" s="13">
        <v>547</v>
      </c>
      <c r="AC137" s="13">
        <v>580</v>
      </c>
      <c r="AD137" s="13">
        <v>570</v>
      </c>
      <c r="AE137" s="13">
        <v>615</v>
      </c>
      <c r="AF137" s="13">
        <v>515</v>
      </c>
      <c r="AG137" s="13">
        <v>615</v>
      </c>
      <c r="AH137" s="13">
        <v>640</v>
      </c>
      <c r="AI137" s="13">
        <v>540</v>
      </c>
      <c r="AJ137" s="13">
        <v>516</v>
      </c>
      <c r="AK137" s="13">
        <v>441</v>
      </c>
      <c r="AL137" s="13">
        <v>430</v>
      </c>
      <c r="AM137" s="13">
        <v>380</v>
      </c>
      <c r="AN137" s="13">
        <v>396</v>
      </c>
      <c r="AO137" s="13">
        <v>362</v>
      </c>
      <c r="AP137" s="13">
        <v>335.5</v>
      </c>
      <c r="AQ137" s="13">
        <v>286.5</v>
      </c>
      <c r="AR137" s="13">
        <v>294</v>
      </c>
      <c r="AS137" s="13">
        <v>313.5</v>
      </c>
      <c r="AT137" s="13">
        <v>266</v>
      </c>
      <c r="AU137" s="13">
        <v>259.89999999999998</v>
      </c>
      <c r="AV137" s="13">
        <v>254</v>
      </c>
      <c r="AW137" s="13">
        <v>242.9</v>
      </c>
      <c r="AX137" s="13">
        <v>262.3</v>
      </c>
      <c r="AY137" s="13">
        <v>280.39999999999998</v>
      </c>
      <c r="AZ137" s="13">
        <v>285.2</v>
      </c>
      <c r="BA137" s="13">
        <v>296.89999999999998</v>
      </c>
      <c r="BB137" s="13">
        <v>293</v>
      </c>
      <c r="BC137" s="13">
        <v>317</v>
      </c>
      <c r="BD137" s="13">
        <v>296.5</v>
      </c>
      <c r="BE137" s="13">
        <v>334</v>
      </c>
      <c r="BF137" s="13">
        <v>285.39999999999998</v>
      </c>
      <c r="BG137" s="13">
        <v>237.9</v>
      </c>
      <c r="BH137" s="13">
        <v>276.5</v>
      </c>
      <c r="BI137" s="13">
        <v>260</v>
      </c>
      <c r="BJ137" s="13">
        <v>330</v>
      </c>
      <c r="BK137" s="13">
        <v>400</v>
      </c>
      <c r="BL137" s="13">
        <v>470</v>
      </c>
    </row>
    <row r="138" spans="1:64" ht="15.95" customHeight="1">
      <c r="A138" s="64" t="s">
        <v>395</v>
      </c>
      <c r="B138" s="6" t="s">
        <v>199</v>
      </c>
      <c r="C138" s="15">
        <f>_xll.RssMarket("3103","現在値")</f>
        <v>1236</v>
      </c>
      <c r="D138" s="16">
        <f t="shared" si="2"/>
        <v>0</v>
      </c>
      <c r="E138" s="13">
        <v>1236</v>
      </c>
      <c r="F138" s="13">
        <v>1129</v>
      </c>
      <c r="G138" s="13">
        <v>1150</v>
      </c>
      <c r="H138" s="13">
        <v>1133</v>
      </c>
      <c r="I138" s="13">
        <v>1216</v>
      </c>
      <c r="J138" s="13">
        <v>1196</v>
      </c>
      <c r="K138" s="13">
        <v>1227</v>
      </c>
      <c r="L138" s="13">
        <v>1187</v>
      </c>
      <c r="M138" s="13">
        <v>1265</v>
      </c>
      <c r="N138" s="13">
        <v>1223</v>
      </c>
      <c r="O138" s="13">
        <v>1312</v>
      </c>
      <c r="P138" s="13">
        <v>1411</v>
      </c>
      <c r="Q138" s="13">
        <v>1385</v>
      </c>
      <c r="R138" s="13">
        <v>1440</v>
      </c>
      <c r="S138" s="13">
        <v>1575</v>
      </c>
      <c r="T138" s="13">
        <v>1574</v>
      </c>
      <c r="U138" s="13">
        <v>1274</v>
      </c>
      <c r="V138" s="13">
        <v>1284</v>
      </c>
      <c r="W138" s="13">
        <v>1412</v>
      </c>
      <c r="X138" s="13">
        <v>1315</v>
      </c>
      <c r="Y138" s="13">
        <v>1415</v>
      </c>
      <c r="Z138" s="13">
        <v>1815</v>
      </c>
      <c r="AA138" s="13">
        <v>2315</v>
      </c>
      <c r="AB138" s="13">
        <v>2261</v>
      </c>
      <c r="AC138" s="13">
        <v>2308</v>
      </c>
      <c r="AD138" s="13">
        <v>2569</v>
      </c>
      <c r="AE138" s="13">
        <v>2535</v>
      </c>
      <c r="AF138" s="13">
        <v>2382</v>
      </c>
      <c r="AG138" s="13">
        <v>2438</v>
      </c>
      <c r="AH138" s="13">
        <v>2234</v>
      </c>
      <c r="AI138" s="13">
        <v>2482</v>
      </c>
      <c r="AJ138" s="13">
        <v>2565</v>
      </c>
      <c r="AK138" s="13">
        <v>2851</v>
      </c>
      <c r="AL138" s="13">
        <v>2835</v>
      </c>
      <c r="AM138" s="13">
        <v>3045</v>
      </c>
      <c r="AN138" s="13">
        <v>3745</v>
      </c>
      <c r="AO138" s="13">
        <v>3085</v>
      </c>
      <c r="AP138" s="13">
        <v>2581</v>
      </c>
      <c r="AQ138" s="13">
        <v>2081</v>
      </c>
      <c r="AR138" s="13">
        <v>2163</v>
      </c>
      <c r="AS138" s="13">
        <v>1763</v>
      </c>
      <c r="AT138" s="13">
        <v>1463</v>
      </c>
      <c r="AU138" s="13">
        <v>1163</v>
      </c>
      <c r="AV138" s="13">
        <v>1152</v>
      </c>
      <c r="AW138" s="13">
        <v>1046</v>
      </c>
      <c r="AX138" s="13">
        <v>1081</v>
      </c>
      <c r="AY138" s="13">
        <v>1113</v>
      </c>
      <c r="AZ138" s="13">
        <v>1194</v>
      </c>
      <c r="BA138" s="13">
        <v>1228</v>
      </c>
      <c r="BB138" s="13">
        <v>1147</v>
      </c>
      <c r="BC138" s="13">
        <v>1215</v>
      </c>
      <c r="BD138" s="13">
        <v>1189</v>
      </c>
      <c r="BE138" s="13">
        <v>1145</v>
      </c>
      <c r="BF138" s="13">
        <v>1397</v>
      </c>
      <c r="BG138" s="13">
        <v>1317</v>
      </c>
      <c r="BH138" s="13">
        <v>1327</v>
      </c>
      <c r="BI138" s="13">
        <v>1490</v>
      </c>
      <c r="BJ138" s="13">
        <v>1549</v>
      </c>
      <c r="BK138" s="13">
        <v>1249</v>
      </c>
      <c r="BL138" s="13">
        <v>1295</v>
      </c>
    </row>
    <row r="139" spans="1:64" ht="15.95" customHeight="1">
      <c r="A139" s="64" t="s">
        <v>396</v>
      </c>
      <c r="B139" s="6" t="s">
        <v>200</v>
      </c>
      <c r="C139" s="15">
        <f>_xll.RssMarket("4422","現在値")</f>
        <v>632</v>
      </c>
      <c r="D139" s="16">
        <f t="shared" si="2"/>
        <v>0</v>
      </c>
      <c r="E139" s="13">
        <v>632</v>
      </c>
      <c r="F139" s="13">
        <v>625</v>
      </c>
      <c r="G139" s="13">
        <v>644</v>
      </c>
      <c r="H139" s="13">
        <v>778</v>
      </c>
      <c r="I139" s="13">
        <v>747</v>
      </c>
      <c r="J139" s="13">
        <v>915</v>
      </c>
      <c r="K139" s="13">
        <v>765</v>
      </c>
      <c r="L139" s="13">
        <v>665</v>
      </c>
      <c r="M139" s="13">
        <v>674</v>
      </c>
      <c r="N139" s="13">
        <v>683</v>
      </c>
      <c r="O139" s="13">
        <v>707</v>
      </c>
      <c r="P139" s="13">
        <v>692</v>
      </c>
      <c r="Q139" s="13">
        <v>717</v>
      </c>
      <c r="R139" s="13">
        <v>760</v>
      </c>
      <c r="S139" s="13">
        <v>834</v>
      </c>
      <c r="T139" s="13">
        <v>801</v>
      </c>
      <c r="U139" s="13">
        <v>774</v>
      </c>
      <c r="V139" s="13">
        <v>765</v>
      </c>
      <c r="W139" s="13">
        <v>811</v>
      </c>
      <c r="X139" s="13">
        <v>847</v>
      </c>
      <c r="Y139" s="13">
        <v>846</v>
      </c>
      <c r="Z139" s="13">
        <v>864</v>
      </c>
      <c r="AA139" s="13">
        <v>937</v>
      </c>
      <c r="AB139" s="13">
        <v>1082</v>
      </c>
      <c r="AC139" s="13">
        <v>932</v>
      </c>
      <c r="AD139" s="13">
        <v>1020</v>
      </c>
      <c r="AE139" s="13">
        <v>1025</v>
      </c>
      <c r="AF139" s="13">
        <v>1014</v>
      </c>
      <c r="AG139" s="13">
        <v>1056</v>
      </c>
      <c r="AH139" s="13">
        <v>1155</v>
      </c>
      <c r="AI139" s="13">
        <v>1236</v>
      </c>
      <c r="AJ139" s="13">
        <v>1248</v>
      </c>
      <c r="AK139" s="13">
        <v>1434</v>
      </c>
      <c r="AL139" s="13">
        <v>1134</v>
      </c>
      <c r="AM139" s="13">
        <v>1298</v>
      </c>
      <c r="AN139" s="13">
        <v>1325</v>
      </c>
      <c r="AO139" s="13">
        <v>1397</v>
      </c>
      <c r="AP139" s="13">
        <v>1097</v>
      </c>
      <c r="AQ139" s="13">
        <v>947</v>
      </c>
      <c r="AR139" s="13">
        <v>1000</v>
      </c>
      <c r="AS139" s="13">
        <v>1050</v>
      </c>
      <c r="AT139" s="13">
        <v>900</v>
      </c>
      <c r="AU139" s="13">
        <v>886</v>
      </c>
      <c r="AV139" s="13">
        <v>891</v>
      </c>
      <c r="AW139" s="13">
        <v>741</v>
      </c>
      <c r="AX139" s="13">
        <v>641</v>
      </c>
      <c r="AY139" s="13">
        <v>541</v>
      </c>
      <c r="AZ139" s="13">
        <v>461</v>
      </c>
      <c r="BA139" s="13">
        <v>470</v>
      </c>
      <c r="BB139" s="13">
        <v>471</v>
      </c>
      <c r="BC139" s="13">
        <v>480</v>
      </c>
      <c r="BD139" s="13">
        <v>486</v>
      </c>
      <c r="BE139" s="13">
        <v>499</v>
      </c>
      <c r="BF139" s="13">
        <v>571</v>
      </c>
      <c r="BG139" s="13">
        <v>522</v>
      </c>
      <c r="BH139" s="13">
        <v>442</v>
      </c>
      <c r="BI139" s="13">
        <v>475</v>
      </c>
      <c r="BJ139" s="13">
        <v>515</v>
      </c>
      <c r="BK139" s="13">
        <v>435</v>
      </c>
      <c r="BL139" s="13">
        <v>488</v>
      </c>
    </row>
    <row r="140" spans="1:64" ht="15.95" customHeight="1">
      <c r="A140" s="64" t="s">
        <v>397</v>
      </c>
      <c r="B140" s="6" t="s">
        <v>201</v>
      </c>
      <c r="C140" s="15">
        <f>_xll.RssMarket("6740","現在値")</f>
        <v>51</v>
      </c>
      <c r="D140" s="16">
        <f t="shared" si="2"/>
        <v>0</v>
      </c>
      <c r="E140" s="13">
        <v>51</v>
      </c>
      <c r="F140" s="13">
        <v>45</v>
      </c>
      <c r="G140" s="13">
        <v>52</v>
      </c>
      <c r="H140" s="13">
        <v>54</v>
      </c>
      <c r="I140" s="13">
        <v>56</v>
      </c>
      <c r="J140" s="13">
        <v>54</v>
      </c>
      <c r="K140" s="13">
        <v>55</v>
      </c>
      <c r="L140" s="13">
        <v>56</v>
      </c>
      <c r="M140" s="13">
        <v>54</v>
      </c>
      <c r="N140" s="13">
        <v>57</v>
      </c>
      <c r="O140" s="13">
        <v>56</v>
      </c>
      <c r="P140" s="13">
        <v>55</v>
      </c>
      <c r="Q140" s="13">
        <v>65</v>
      </c>
      <c r="R140" s="13">
        <v>67</v>
      </c>
      <c r="S140" s="13">
        <v>63</v>
      </c>
      <c r="T140" s="13">
        <v>62</v>
      </c>
      <c r="U140" s="13">
        <v>66</v>
      </c>
      <c r="V140" s="13">
        <v>70</v>
      </c>
      <c r="W140" s="13">
        <v>68</v>
      </c>
      <c r="X140" s="13">
        <v>70</v>
      </c>
      <c r="Y140" s="13">
        <v>71</v>
      </c>
      <c r="Z140" s="13">
        <v>75</v>
      </c>
      <c r="AA140" s="13">
        <v>81</v>
      </c>
      <c r="AB140" s="13">
        <v>82</v>
      </c>
      <c r="AC140" s="13">
        <v>89</v>
      </c>
      <c r="AD140" s="13">
        <v>100</v>
      </c>
      <c r="AE140" s="13">
        <v>94</v>
      </c>
      <c r="AF140" s="13">
        <v>91</v>
      </c>
      <c r="AG140" s="13">
        <v>101</v>
      </c>
      <c r="AH140" s="13">
        <v>95</v>
      </c>
      <c r="AI140" s="13">
        <v>103</v>
      </c>
      <c r="AJ140" s="13">
        <v>104</v>
      </c>
      <c r="AK140" s="13">
        <v>120</v>
      </c>
      <c r="AL140" s="13">
        <v>110</v>
      </c>
      <c r="AM140" s="13">
        <v>109</v>
      </c>
      <c r="AN140" s="13">
        <v>92</v>
      </c>
      <c r="AO140" s="13">
        <v>90</v>
      </c>
      <c r="AP140" s="13">
        <v>82</v>
      </c>
      <c r="AQ140" s="13">
        <v>83</v>
      </c>
      <c r="AR140" s="13">
        <v>87</v>
      </c>
      <c r="AS140" s="13">
        <v>87</v>
      </c>
      <c r="AT140" s="13">
        <v>82</v>
      </c>
      <c r="AU140" s="13">
        <v>84</v>
      </c>
      <c r="AV140" s="13">
        <v>92</v>
      </c>
      <c r="AW140" s="13">
        <v>93</v>
      </c>
      <c r="AX140" s="13">
        <v>95</v>
      </c>
      <c r="AY140" s="13">
        <v>72</v>
      </c>
      <c r="AZ140" s="13">
        <v>81</v>
      </c>
      <c r="BA140" s="13">
        <v>77</v>
      </c>
      <c r="BB140" s="13">
        <v>81</v>
      </c>
      <c r="BC140" s="13">
        <v>71</v>
      </c>
      <c r="BD140" s="13">
        <v>62</v>
      </c>
      <c r="BE140" s="13">
        <v>65</v>
      </c>
      <c r="BF140" s="13">
        <v>95</v>
      </c>
      <c r="BG140" s="13">
        <v>116</v>
      </c>
      <c r="BH140" s="13">
        <v>133</v>
      </c>
      <c r="BI140" s="13">
        <v>121</v>
      </c>
      <c r="BJ140" s="13">
        <v>91</v>
      </c>
      <c r="BK140" s="13">
        <v>79</v>
      </c>
      <c r="BL140" s="13">
        <v>106</v>
      </c>
    </row>
    <row r="141" spans="1:64" ht="15.95" customHeight="1">
      <c r="A141" s="64" t="s">
        <v>398</v>
      </c>
      <c r="B141" s="6" t="s">
        <v>202</v>
      </c>
      <c r="C141" s="15">
        <f>_xll.RssMarket("6613","現在値")</f>
        <v>2377</v>
      </c>
      <c r="D141" s="16">
        <f t="shared" si="2"/>
        <v>0</v>
      </c>
      <c r="E141" s="13">
        <v>2377</v>
      </c>
      <c r="F141" s="13">
        <v>2620</v>
      </c>
      <c r="G141" s="13">
        <v>2409</v>
      </c>
      <c r="H141" s="13">
        <v>2372</v>
      </c>
      <c r="I141" s="13">
        <v>2550</v>
      </c>
      <c r="J141" s="13">
        <v>2570</v>
      </c>
      <c r="K141" s="13">
        <v>2450</v>
      </c>
      <c r="L141" s="13">
        <v>2600</v>
      </c>
      <c r="M141" s="13">
        <v>2740</v>
      </c>
      <c r="N141" s="13">
        <v>2423</v>
      </c>
      <c r="O141" s="13">
        <v>2424</v>
      </c>
      <c r="P141" s="13">
        <v>2732</v>
      </c>
      <c r="Q141" s="13">
        <v>2620</v>
      </c>
      <c r="R141" s="13">
        <v>3190</v>
      </c>
      <c r="S141" s="13">
        <v>3100</v>
      </c>
      <c r="T141" s="13">
        <v>2600</v>
      </c>
      <c r="U141" s="13">
        <v>2645</v>
      </c>
      <c r="V141" s="13">
        <v>2626</v>
      </c>
      <c r="W141" s="13">
        <v>2127</v>
      </c>
      <c r="X141" s="13">
        <v>1727</v>
      </c>
      <c r="Y141" s="13">
        <v>1579</v>
      </c>
      <c r="Z141" s="13">
        <v>1641</v>
      </c>
      <c r="AA141" s="13">
        <v>1680</v>
      </c>
      <c r="AB141" s="13">
        <v>1688</v>
      </c>
      <c r="AC141" s="13">
        <v>1853</v>
      </c>
      <c r="AD141" s="13">
        <v>1506</v>
      </c>
      <c r="AE141" s="13">
        <v>1419</v>
      </c>
      <c r="AF141" s="13">
        <v>1419</v>
      </c>
      <c r="AG141" s="13">
        <v>1459</v>
      </c>
      <c r="AH141" s="13">
        <v>1533</v>
      </c>
      <c r="AI141" s="13">
        <v>1465</v>
      </c>
      <c r="AJ141" s="13">
        <v>1544</v>
      </c>
      <c r="AK141" s="13">
        <v>1526</v>
      </c>
      <c r="AL141" s="13">
        <v>1609</v>
      </c>
      <c r="AM141" s="13">
        <v>1585</v>
      </c>
      <c r="AN141" s="13">
        <v>1285</v>
      </c>
      <c r="AO141" s="13">
        <v>1381</v>
      </c>
      <c r="AP141" s="13">
        <v>1338</v>
      </c>
      <c r="AQ141" s="13">
        <v>1462</v>
      </c>
      <c r="AR141" s="13">
        <v>1221</v>
      </c>
      <c r="AS141" s="13">
        <v>1086</v>
      </c>
      <c r="AT141" s="13">
        <v>1033</v>
      </c>
      <c r="AU141" s="13">
        <v>1115</v>
      </c>
      <c r="AV141" s="13">
        <v>1035</v>
      </c>
      <c r="AW141" s="13">
        <v>1048</v>
      </c>
      <c r="AX141" s="13">
        <v>1038</v>
      </c>
      <c r="AY141" s="13">
        <v>1081</v>
      </c>
      <c r="AZ141" s="13">
        <v>1215</v>
      </c>
      <c r="BA141" s="13">
        <v>1216</v>
      </c>
      <c r="BB141" s="13">
        <v>1295</v>
      </c>
      <c r="BC141" s="13">
        <v>1171</v>
      </c>
      <c r="BD141" s="13">
        <v>1156</v>
      </c>
      <c r="BE141" s="13">
        <v>1382</v>
      </c>
      <c r="BF141" s="13">
        <v>1393</v>
      </c>
      <c r="BG141" s="13">
        <v>1300</v>
      </c>
      <c r="BH141" s="13">
        <v>1546</v>
      </c>
      <c r="BI141" s="13">
        <v>1721</v>
      </c>
      <c r="BJ141" s="13">
        <v>1450</v>
      </c>
      <c r="BK141" s="13">
        <v>1440</v>
      </c>
      <c r="BL141" s="13">
        <v>1140</v>
      </c>
    </row>
    <row r="142" spans="1:64" ht="15.95" customHeight="1">
      <c r="A142" s="64" t="s">
        <v>487</v>
      </c>
      <c r="B142" s="6" t="str">
        <f>銘柄管理!C142</f>
        <v>第一三共</v>
      </c>
      <c r="C142" s="15">
        <f>_xll.RssMarket("4568","現在値")</f>
        <v>2595.5</v>
      </c>
      <c r="D142" s="16"/>
      <c r="E142" s="13">
        <v>2595.5</v>
      </c>
      <c r="F142" s="13">
        <v>2519.5</v>
      </c>
      <c r="G142" s="13">
        <v>2500.5</v>
      </c>
      <c r="H142" s="13">
        <v>2495</v>
      </c>
      <c r="I142" s="13">
        <v>2487.5</v>
      </c>
      <c r="J142" s="13">
        <v>2528.5</v>
      </c>
      <c r="K142" s="13">
        <v>2490</v>
      </c>
      <c r="L142" s="13">
        <v>2392</v>
      </c>
      <c r="M142" s="13">
        <v>2517</v>
      </c>
      <c r="N142" s="13">
        <v>2582.5</v>
      </c>
      <c r="O142" s="13">
        <v>2619</v>
      </c>
      <c r="P142" s="13">
        <v>2700.5</v>
      </c>
      <c r="Q142" s="13">
        <v>2662.5</v>
      </c>
      <c r="R142" s="13">
        <v>2682</v>
      </c>
      <c r="S142" s="13">
        <v>2700.5</v>
      </c>
      <c r="T142" s="13">
        <v>2649.5</v>
      </c>
      <c r="U142" s="13">
        <v>2664.5</v>
      </c>
      <c r="V142" s="13">
        <v>2605.5</v>
      </c>
      <c r="W142" s="13">
        <v>2636</v>
      </c>
      <c r="X142" s="13">
        <v>2620.5</v>
      </c>
      <c r="Y142" s="13">
        <v>2574</v>
      </c>
      <c r="Z142" s="13">
        <v>2582</v>
      </c>
      <c r="AA142" s="13">
        <v>2725.5</v>
      </c>
      <c r="AB142" s="13">
        <v>2738</v>
      </c>
      <c r="AC142" s="13">
        <v>2649</v>
      </c>
      <c r="AD142" s="13">
        <v>2596</v>
      </c>
      <c r="AE142" s="13">
        <v>2600</v>
      </c>
      <c r="AF142" s="13">
        <v>2616.5</v>
      </c>
      <c r="AG142" s="13">
        <v>2588.5</v>
      </c>
      <c r="AH142" s="13">
        <v>2650.5</v>
      </c>
      <c r="AI142" s="13">
        <v>2602.5</v>
      </c>
      <c r="AJ142" s="13">
        <v>2499</v>
      </c>
      <c r="AK142" s="13">
        <v>2790</v>
      </c>
      <c r="AL142" s="13">
        <v>2843.5</v>
      </c>
      <c r="AM142" s="13">
        <v>2915</v>
      </c>
      <c r="AN142" s="13">
        <v>3000</v>
      </c>
      <c r="AO142" s="13">
        <v>2939</v>
      </c>
      <c r="AP142" s="13">
        <v>2889</v>
      </c>
      <c r="AQ142" s="13">
        <v>2832</v>
      </c>
      <c r="AR142" s="13">
        <v>2734</v>
      </c>
      <c r="AS142" s="13">
        <v>2731.5</v>
      </c>
      <c r="AT142" s="13">
        <v>2772.5</v>
      </c>
      <c r="AU142" s="13">
        <v>2806.5</v>
      </c>
      <c r="AV142" s="13">
        <v>2832.5</v>
      </c>
      <c r="AW142" s="13">
        <v>2873</v>
      </c>
      <c r="AX142" s="13">
        <v>2858</v>
      </c>
      <c r="AY142" s="13">
        <v>2863.5</v>
      </c>
      <c r="AZ142" s="13">
        <v>2888.5</v>
      </c>
      <c r="BA142" s="13">
        <v>2887</v>
      </c>
      <c r="BB142" s="13">
        <v>2766</v>
      </c>
      <c r="BC142" s="13">
        <v>2816.5</v>
      </c>
      <c r="BD142" s="13">
        <v>2930</v>
      </c>
      <c r="BE142" s="13">
        <v>2874.5</v>
      </c>
      <c r="BF142" s="13">
        <v>2974</v>
      </c>
      <c r="BG142" s="13">
        <v>3010</v>
      </c>
      <c r="BH142" s="13">
        <v>2961</v>
      </c>
      <c r="BI142" s="13">
        <v>2903</v>
      </c>
      <c r="BJ142" s="13">
        <v>2977</v>
      </c>
      <c r="BK142" s="13">
        <v>2938</v>
      </c>
      <c r="BL142" s="13">
        <v>2773.5</v>
      </c>
    </row>
    <row r="143" spans="1:64" ht="15.95" customHeight="1">
      <c r="A143" s="64" t="s">
        <v>399</v>
      </c>
      <c r="B143" s="6" t="s">
        <v>203</v>
      </c>
      <c r="C143" s="15">
        <f>_xll.RssMarket("6522","現在値")</f>
        <v>731</v>
      </c>
      <c r="D143" s="16">
        <f t="shared" si="2"/>
        <v>0</v>
      </c>
      <c r="E143" s="13">
        <v>731</v>
      </c>
      <c r="F143" s="13">
        <v>720</v>
      </c>
      <c r="G143" s="13">
        <v>710</v>
      </c>
      <c r="H143" s="13">
        <v>743</v>
      </c>
      <c r="I143" s="13">
        <v>748</v>
      </c>
      <c r="J143" s="13">
        <v>747</v>
      </c>
      <c r="K143" s="13">
        <v>753</v>
      </c>
      <c r="L143" s="13">
        <v>786</v>
      </c>
      <c r="M143" s="13">
        <v>812</v>
      </c>
      <c r="N143" s="13">
        <v>796</v>
      </c>
      <c r="O143" s="13">
        <v>945</v>
      </c>
      <c r="P143" s="13">
        <v>795</v>
      </c>
      <c r="Q143" s="13">
        <v>788</v>
      </c>
      <c r="R143" s="13">
        <v>810</v>
      </c>
      <c r="S143" s="13">
        <v>943</v>
      </c>
      <c r="T143" s="13">
        <v>982</v>
      </c>
      <c r="U143" s="13">
        <v>920</v>
      </c>
      <c r="V143" s="13">
        <v>958</v>
      </c>
      <c r="W143" s="13">
        <v>1002</v>
      </c>
      <c r="X143" s="13">
        <v>1012</v>
      </c>
      <c r="Y143" s="13">
        <v>1038</v>
      </c>
      <c r="Z143" s="13">
        <v>1019</v>
      </c>
      <c r="AA143" s="13">
        <v>1067</v>
      </c>
      <c r="AB143" s="13">
        <v>1180</v>
      </c>
      <c r="AC143" s="13">
        <v>1263</v>
      </c>
      <c r="AD143" s="13">
        <v>1216</v>
      </c>
      <c r="AE143" s="13">
        <v>1182</v>
      </c>
      <c r="AF143" s="13">
        <v>1141</v>
      </c>
      <c r="AG143" s="13">
        <v>1173</v>
      </c>
      <c r="AH143" s="13">
        <v>1251</v>
      </c>
      <c r="AI143" s="13">
        <v>1199</v>
      </c>
      <c r="AJ143" s="13">
        <v>1235</v>
      </c>
      <c r="AK143" s="13">
        <v>1351</v>
      </c>
      <c r="AL143" s="13">
        <v>1336</v>
      </c>
      <c r="AM143" s="13">
        <v>1036</v>
      </c>
      <c r="AN143" s="13">
        <v>1068</v>
      </c>
      <c r="AO143" s="13">
        <v>1086</v>
      </c>
      <c r="AP143" s="13">
        <v>936</v>
      </c>
      <c r="AQ143" s="13">
        <v>1013</v>
      </c>
      <c r="AR143" s="13">
        <v>1024</v>
      </c>
      <c r="AS143" s="13">
        <v>1020</v>
      </c>
      <c r="AT143" s="13">
        <v>975</v>
      </c>
      <c r="AU143" s="13">
        <v>1075</v>
      </c>
      <c r="AV143" s="13">
        <v>1058</v>
      </c>
      <c r="AW143" s="13">
        <v>1052</v>
      </c>
      <c r="AX143" s="13">
        <v>1150</v>
      </c>
      <c r="AY143" s="13">
        <v>1094</v>
      </c>
      <c r="AZ143" s="13">
        <v>1084</v>
      </c>
      <c r="BA143" s="13">
        <v>1163</v>
      </c>
      <c r="BB143" s="13">
        <v>1463</v>
      </c>
      <c r="BC143" s="13">
        <v>1500</v>
      </c>
      <c r="BD143" s="13">
        <v>1441</v>
      </c>
      <c r="BE143" s="13">
        <v>1300</v>
      </c>
      <c r="BF143" s="13">
        <v>1000</v>
      </c>
      <c r="BG143" s="13">
        <v>1004</v>
      </c>
      <c r="BH143" s="13">
        <v>854</v>
      </c>
      <c r="BI143" s="13">
        <v>557</v>
      </c>
      <c r="BJ143" s="13">
        <v>477</v>
      </c>
      <c r="BK143" s="13">
        <v>397</v>
      </c>
      <c r="BL143" s="13">
        <v>393</v>
      </c>
    </row>
    <row r="144" spans="1:64" ht="15.95" customHeight="1">
      <c r="A144" s="64" t="s">
        <v>400</v>
      </c>
      <c r="B144" s="6" t="s">
        <v>204</v>
      </c>
      <c r="C144" s="15">
        <f>_xll.RssMarket("6777","現在値")</f>
        <v>27070</v>
      </c>
      <c r="D144" s="16">
        <f t="shared" si="2"/>
        <v>0</v>
      </c>
      <c r="E144" s="13">
        <v>27070</v>
      </c>
      <c r="F144" s="13">
        <v>23220</v>
      </c>
      <c r="G144" s="13">
        <v>22800</v>
      </c>
      <c r="H144" s="13">
        <v>23640</v>
      </c>
      <c r="I144" s="13">
        <v>23200</v>
      </c>
      <c r="J144" s="13">
        <v>25170</v>
      </c>
      <c r="K144" s="13">
        <v>25730</v>
      </c>
      <c r="L144" s="13">
        <v>26130</v>
      </c>
      <c r="M144" s="13">
        <v>25450</v>
      </c>
      <c r="N144" s="13">
        <v>25380</v>
      </c>
      <c r="O144" s="13">
        <v>24980</v>
      </c>
      <c r="P144" s="13">
        <v>24670</v>
      </c>
      <c r="Q144" s="13">
        <v>25060</v>
      </c>
      <c r="R144" s="13">
        <v>28440</v>
      </c>
      <c r="S144" s="13">
        <v>27250</v>
      </c>
      <c r="T144" s="13">
        <v>26020</v>
      </c>
      <c r="U144" s="13">
        <v>26860</v>
      </c>
      <c r="V144" s="13">
        <v>27650</v>
      </c>
      <c r="W144" s="13">
        <v>32300</v>
      </c>
      <c r="X144" s="13">
        <v>29750</v>
      </c>
      <c r="Y144" s="13">
        <v>31950</v>
      </c>
      <c r="Z144" s="13">
        <v>33000</v>
      </c>
      <c r="AA144" s="13">
        <v>31000</v>
      </c>
      <c r="AB144" s="13">
        <v>27230</v>
      </c>
      <c r="AC144" s="13">
        <v>27720</v>
      </c>
      <c r="AD144" s="13">
        <v>28230</v>
      </c>
      <c r="AE144" s="13">
        <v>27830</v>
      </c>
      <c r="AF144" s="13">
        <v>27940</v>
      </c>
      <c r="AG144" s="13">
        <v>28580</v>
      </c>
      <c r="AH144" s="13">
        <v>28680</v>
      </c>
      <c r="AI144" s="13">
        <v>28700</v>
      </c>
      <c r="AJ144" s="13">
        <v>30950</v>
      </c>
      <c r="AK144" s="13">
        <v>29450</v>
      </c>
      <c r="AL144" s="13">
        <v>29770</v>
      </c>
      <c r="AM144" s="13">
        <v>29280</v>
      </c>
      <c r="AN144" s="13">
        <v>26530</v>
      </c>
      <c r="AO144" s="13">
        <v>24420</v>
      </c>
      <c r="AP144" s="13">
        <v>24630</v>
      </c>
      <c r="AQ144" s="13">
        <v>24760</v>
      </c>
      <c r="AR144" s="13">
        <v>23730</v>
      </c>
      <c r="AS144" s="13">
        <v>21980</v>
      </c>
      <c r="AT144" s="13">
        <v>20830</v>
      </c>
      <c r="AU144" s="13">
        <v>21330</v>
      </c>
      <c r="AV144" s="13">
        <v>19350</v>
      </c>
      <c r="AW144" s="13">
        <v>19640</v>
      </c>
      <c r="AX144" s="13">
        <v>19010</v>
      </c>
      <c r="AY144" s="13">
        <v>17790</v>
      </c>
      <c r="AZ144" s="13">
        <v>18050</v>
      </c>
      <c r="BA144" s="13">
        <v>16440</v>
      </c>
      <c r="BB144" s="13">
        <v>17480</v>
      </c>
      <c r="BC144" s="13">
        <v>18500</v>
      </c>
      <c r="BD144" s="13">
        <v>19110</v>
      </c>
      <c r="BE144" s="13">
        <v>19690</v>
      </c>
      <c r="BF144" s="13">
        <v>18370</v>
      </c>
      <c r="BG144" s="13">
        <v>18420</v>
      </c>
      <c r="BH144" s="13">
        <v>20060</v>
      </c>
      <c r="BI144" s="13">
        <v>20130</v>
      </c>
      <c r="BJ144" s="13">
        <v>20470</v>
      </c>
      <c r="BK144" s="13">
        <v>23720</v>
      </c>
      <c r="BL144" s="13">
        <v>22820</v>
      </c>
    </row>
    <row r="145" spans="1:64" ht="15.95" customHeight="1">
      <c r="A145" s="64" t="s">
        <v>401</v>
      </c>
      <c r="B145" s="6" t="s">
        <v>205</v>
      </c>
      <c r="C145" s="15">
        <f>_xll.RssMarket("6787","現在値")</f>
        <v>35750</v>
      </c>
      <c r="D145" s="16">
        <f t="shared" si="2"/>
        <v>0</v>
      </c>
      <c r="E145" s="13">
        <v>35750</v>
      </c>
      <c r="F145" s="13">
        <v>34850</v>
      </c>
      <c r="G145" s="13">
        <v>30850</v>
      </c>
      <c r="H145" s="13">
        <v>29180</v>
      </c>
      <c r="I145" s="13">
        <v>30900</v>
      </c>
      <c r="J145" s="13">
        <v>33900</v>
      </c>
      <c r="K145" s="13">
        <v>35600</v>
      </c>
      <c r="L145" s="13">
        <v>37300</v>
      </c>
      <c r="M145" s="13">
        <v>37100</v>
      </c>
      <c r="N145" s="13">
        <v>39200</v>
      </c>
      <c r="O145" s="13">
        <v>38550</v>
      </c>
      <c r="P145" s="13">
        <v>38600</v>
      </c>
      <c r="Q145" s="13">
        <v>37600</v>
      </c>
      <c r="R145" s="13">
        <v>37900</v>
      </c>
      <c r="S145" s="13">
        <v>42750</v>
      </c>
      <c r="T145" s="13">
        <v>43450</v>
      </c>
      <c r="U145" s="13">
        <v>40050</v>
      </c>
      <c r="V145" s="13">
        <v>35400</v>
      </c>
      <c r="W145" s="13">
        <v>36850</v>
      </c>
      <c r="X145" s="13">
        <v>39800</v>
      </c>
      <c r="Y145" s="13">
        <v>36200</v>
      </c>
      <c r="Z145" s="13">
        <v>38650</v>
      </c>
      <c r="AA145" s="13">
        <v>31650</v>
      </c>
      <c r="AB145" s="13">
        <v>30750</v>
      </c>
      <c r="AC145" s="13">
        <v>31500</v>
      </c>
      <c r="AD145" s="13">
        <v>33500</v>
      </c>
      <c r="AE145" s="13">
        <v>31200</v>
      </c>
      <c r="AF145" s="13">
        <v>29740</v>
      </c>
      <c r="AG145" s="13">
        <v>31650</v>
      </c>
      <c r="AH145" s="13">
        <v>32000</v>
      </c>
      <c r="AI145" s="13">
        <v>30800</v>
      </c>
      <c r="AJ145" s="13">
        <v>29440</v>
      </c>
      <c r="AK145" s="13">
        <v>28170</v>
      </c>
      <c r="AL145" s="13">
        <v>29330</v>
      </c>
      <c r="AM145" s="13">
        <v>27830</v>
      </c>
      <c r="AN145" s="13">
        <v>27340</v>
      </c>
      <c r="AO145" s="13">
        <v>28650</v>
      </c>
      <c r="AP145" s="13">
        <v>29730</v>
      </c>
      <c r="AQ145" s="13">
        <v>28240</v>
      </c>
      <c r="AR145" s="13">
        <v>29370</v>
      </c>
      <c r="AS145" s="13">
        <v>26150</v>
      </c>
      <c r="AT145" s="13">
        <v>26460</v>
      </c>
      <c r="AU145" s="13">
        <v>27020</v>
      </c>
      <c r="AV145" s="13">
        <v>26160</v>
      </c>
      <c r="AW145" s="13">
        <v>24730</v>
      </c>
      <c r="AX145" s="13">
        <v>25680</v>
      </c>
      <c r="AY145" s="13">
        <v>26670</v>
      </c>
      <c r="AZ145" s="13">
        <v>26690</v>
      </c>
      <c r="BA145" s="13">
        <v>28890</v>
      </c>
      <c r="BB145" s="13">
        <v>24140</v>
      </c>
      <c r="BC145" s="13">
        <v>27420</v>
      </c>
      <c r="BD145" s="13">
        <v>28590</v>
      </c>
      <c r="BE145" s="13">
        <v>28800</v>
      </c>
      <c r="BF145" s="13">
        <v>28470</v>
      </c>
      <c r="BG145" s="13">
        <v>25720</v>
      </c>
      <c r="BH145" s="13">
        <v>25860</v>
      </c>
      <c r="BI145" s="13">
        <v>25210</v>
      </c>
      <c r="BJ145" s="13">
        <v>26470</v>
      </c>
      <c r="BK145" s="13">
        <v>24750</v>
      </c>
      <c r="BL145" s="13">
        <v>25800</v>
      </c>
    </row>
    <row r="146" spans="1:64" ht="15.95" customHeight="1">
      <c r="A146" s="64" t="s">
        <v>402</v>
      </c>
      <c r="B146" s="6" t="s">
        <v>206</v>
      </c>
      <c r="C146" s="15">
        <f>_xll.RssMarket("4888","現在値")</f>
        <v>350</v>
      </c>
      <c r="D146" s="16">
        <f t="shared" si="2"/>
        <v>0</v>
      </c>
      <c r="E146" s="13">
        <v>350</v>
      </c>
      <c r="F146" s="13">
        <v>332</v>
      </c>
      <c r="G146" s="13">
        <v>333</v>
      </c>
      <c r="H146" s="13">
        <v>318</v>
      </c>
      <c r="I146" s="13">
        <v>305</v>
      </c>
      <c r="J146" s="13">
        <v>300</v>
      </c>
      <c r="K146" s="13">
        <v>344</v>
      </c>
      <c r="L146" s="13">
        <v>343</v>
      </c>
      <c r="M146" s="13">
        <v>349</v>
      </c>
      <c r="N146" s="13">
        <v>332</v>
      </c>
      <c r="O146" s="13">
        <v>339</v>
      </c>
      <c r="P146" s="13">
        <v>357</v>
      </c>
      <c r="Q146" s="13">
        <v>388</v>
      </c>
      <c r="R146" s="13">
        <v>392</v>
      </c>
      <c r="S146" s="13">
        <v>444</v>
      </c>
      <c r="T146" s="13">
        <v>445</v>
      </c>
      <c r="U146" s="13">
        <v>441</v>
      </c>
      <c r="V146" s="13">
        <v>412</v>
      </c>
      <c r="W146" s="13">
        <v>432</v>
      </c>
      <c r="X146" s="13">
        <v>433</v>
      </c>
      <c r="Y146" s="13">
        <v>413</v>
      </c>
      <c r="Z146" s="13">
        <v>411</v>
      </c>
      <c r="AA146" s="13">
        <v>479</v>
      </c>
      <c r="AB146" s="13">
        <v>469</v>
      </c>
      <c r="AC146" s="13">
        <v>487</v>
      </c>
      <c r="AD146" s="13">
        <v>530</v>
      </c>
      <c r="AE146" s="13">
        <v>532</v>
      </c>
      <c r="AF146" s="13">
        <v>525</v>
      </c>
      <c r="AG146" s="13">
        <v>514</v>
      </c>
      <c r="AH146" s="13">
        <v>519</v>
      </c>
      <c r="AI146" s="13">
        <v>540</v>
      </c>
      <c r="AJ146" s="13">
        <v>543</v>
      </c>
      <c r="AK146" s="13">
        <v>543</v>
      </c>
      <c r="AL146" s="13">
        <v>565</v>
      </c>
      <c r="AM146" s="13">
        <v>626</v>
      </c>
      <c r="AN146" s="13">
        <v>716</v>
      </c>
      <c r="AO146" s="13">
        <v>713</v>
      </c>
      <c r="AP146" s="13">
        <v>750</v>
      </c>
      <c r="AQ146" s="13">
        <v>650</v>
      </c>
      <c r="AR146" s="13">
        <v>711</v>
      </c>
      <c r="AS146" s="13">
        <v>717</v>
      </c>
      <c r="AT146" s="13">
        <v>720</v>
      </c>
      <c r="AU146" s="13">
        <v>709</v>
      </c>
      <c r="AV146" s="13">
        <v>690</v>
      </c>
      <c r="AW146" s="13">
        <v>643</v>
      </c>
      <c r="AX146" s="13">
        <v>580</v>
      </c>
      <c r="AY146" s="13">
        <v>587</v>
      </c>
      <c r="AZ146" s="13">
        <v>672</v>
      </c>
      <c r="BA146" s="13">
        <v>705</v>
      </c>
      <c r="BB146" s="13">
        <v>759</v>
      </c>
      <c r="BC146" s="13">
        <v>756</v>
      </c>
      <c r="BD146" s="13">
        <v>881</v>
      </c>
      <c r="BE146" s="13">
        <v>778</v>
      </c>
      <c r="BF146" s="13">
        <v>840</v>
      </c>
      <c r="BG146" s="13">
        <v>855</v>
      </c>
      <c r="BH146" s="13">
        <v>705</v>
      </c>
      <c r="BI146" s="13">
        <v>605</v>
      </c>
      <c r="BJ146" s="13">
        <v>560</v>
      </c>
      <c r="BK146" s="13">
        <v>480</v>
      </c>
      <c r="BL146" s="13">
        <v>414</v>
      </c>
    </row>
    <row r="147" spans="1:64" ht="15.95" customHeight="1">
      <c r="A147" s="64" t="s">
        <v>403</v>
      </c>
      <c r="B147" s="6" t="s">
        <v>207</v>
      </c>
      <c r="C147" s="15">
        <f>_xll.RssMarket("6387","現在値")</f>
        <v>16190</v>
      </c>
      <c r="D147" s="16">
        <f t="shared" si="2"/>
        <v>0</v>
      </c>
      <c r="E147" s="13">
        <v>16190</v>
      </c>
      <c r="F147" s="13">
        <v>16220</v>
      </c>
      <c r="G147" s="13">
        <v>12300</v>
      </c>
      <c r="H147" s="13">
        <v>11190</v>
      </c>
      <c r="I147" s="13">
        <v>11760</v>
      </c>
      <c r="J147" s="13">
        <v>12680</v>
      </c>
      <c r="K147" s="13">
        <v>12880</v>
      </c>
      <c r="L147" s="13">
        <v>12380</v>
      </c>
      <c r="M147" s="13">
        <v>12050</v>
      </c>
      <c r="N147" s="13">
        <v>11050</v>
      </c>
      <c r="O147" s="13">
        <v>10080</v>
      </c>
      <c r="P147" s="13">
        <v>10290</v>
      </c>
      <c r="Q147" s="13">
        <v>10490</v>
      </c>
      <c r="R147" s="13">
        <v>11640</v>
      </c>
      <c r="S147" s="13">
        <v>11890</v>
      </c>
      <c r="T147" s="13">
        <v>10820</v>
      </c>
      <c r="U147" s="13">
        <v>10900</v>
      </c>
      <c r="V147" s="13">
        <v>11040</v>
      </c>
      <c r="W147" s="13">
        <v>12120</v>
      </c>
      <c r="X147" s="13">
        <v>12030</v>
      </c>
      <c r="Y147" s="13">
        <v>13200</v>
      </c>
      <c r="Z147" s="13">
        <v>13170</v>
      </c>
      <c r="AA147" s="13">
        <v>12690</v>
      </c>
      <c r="AB147" s="13">
        <v>12870</v>
      </c>
      <c r="AC147" s="13">
        <v>13410</v>
      </c>
      <c r="AD147" s="13">
        <v>14370</v>
      </c>
      <c r="AE147" s="13">
        <v>11470</v>
      </c>
      <c r="AF147" s="13">
        <v>11560</v>
      </c>
      <c r="AG147" s="13">
        <v>11250</v>
      </c>
      <c r="AH147" s="13">
        <v>11100</v>
      </c>
      <c r="AI147" s="13">
        <v>10860</v>
      </c>
      <c r="AJ147" s="13">
        <v>11040</v>
      </c>
      <c r="AK147" s="13">
        <v>10350</v>
      </c>
      <c r="AL147" s="13">
        <v>9520</v>
      </c>
      <c r="AM147" s="13">
        <v>9550</v>
      </c>
      <c r="AN147" s="13">
        <v>9640</v>
      </c>
      <c r="AO147" s="13">
        <v>10110</v>
      </c>
      <c r="AP147" s="13">
        <v>9730</v>
      </c>
      <c r="AQ147" s="13">
        <v>10190</v>
      </c>
      <c r="AR147" s="13">
        <v>9780</v>
      </c>
      <c r="AS147" s="13">
        <v>9220</v>
      </c>
      <c r="AT147" s="13">
        <v>9290</v>
      </c>
      <c r="AU147" s="13">
        <v>9200</v>
      </c>
      <c r="AV147" s="13">
        <v>8400</v>
      </c>
      <c r="AW147" s="13">
        <v>8430</v>
      </c>
      <c r="AX147" s="13">
        <v>8270</v>
      </c>
      <c r="AY147" s="13">
        <v>8170</v>
      </c>
      <c r="AZ147" s="13">
        <v>8950</v>
      </c>
      <c r="BA147" s="13">
        <v>8150</v>
      </c>
      <c r="BB147" s="13">
        <v>8090</v>
      </c>
      <c r="BC147" s="13">
        <v>8500</v>
      </c>
      <c r="BD147" s="13">
        <v>8620</v>
      </c>
      <c r="BE147" s="13">
        <v>8250</v>
      </c>
      <c r="BF147" s="13">
        <v>8050</v>
      </c>
      <c r="BG147" s="13">
        <v>7200</v>
      </c>
      <c r="BH147" s="13">
        <v>7690</v>
      </c>
      <c r="BI147" s="13">
        <v>7540</v>
      </c>
      <c r="BJ147" s="13">
        <v>7210</v>
      </c>
      <c r="BK147" s="13">
        <v>7880</v>
      </c>
      <c r="BL147" s="13">
        <v>6880</v>
      </c>
    </row>
    <row r="148" spans="1:64" ht="15.95" customHeight="1">
      <c r="A148" s="64" t="s">
        <v>404</v>
      </c>
      <c r="B148" s="6" t="s">
        <v>208</v>
      </c>
      <c r="C148" s="15">
        <f>_xll.RssMarket("6838","現在値")</f>
        <v>2153</v>
      </c>
      <c r="D148" s="16">
        <f t="shared" si="2"/>
        <v>0</v>
      </c>
      <c r="E148" s="13">
        <v>2153</v>
      </c>
      <c r="F148" s="13">
        <v>2280</v>
      </c>
      <c r="G148" s="13">
        <v>1795</v>
      </c>
      <c r="H148" s="13">
        <v>1750</v>
      </c>
      <c r="I148" s="13">
        <v>1836</v>
      </c>
      <c r="J148" s="13">
        <v>2135</v>
      </c>
      <c r="K148" s="13">
        <v>2389</v>
      </c>
      <c r="L148" s="13">
        <v>2446</v>
      </c>
      <c r="M148" s="13">
        <v>2407</v>
      </c>
      <c r="N148" s="13">
        <v>2283</v>
      </c>
      <c r="O148" s="13">
        <v>2286</v>
      </c>
      <c r="P148" s="13">
        <v>2087</v>
      </c>
      <c r="Q148" s="13">
        <v>2210</v>
      </c>
      <c r="R148" s="13">
        <v>2224</v>
      </c>
      <c r="S148" s="13">
        <v>2194</v>
      </c>
      <c r="T148" s="13">
        <v>2083</v>
      </c>
      <c r="U148" s="13">
        <v>1957</v>
      </c>
      <c r="V148" s="13">
        <v>1918</v>
      </c>
      <c r="W148" s="13">
        <v>2024</v>
      </c>
      <c r="X148" s="13">
        <v>2182</v>
      </c>
      <c r="Y148" s="13">
        <v>2000</v>
      </c>
      <c r="Z148" s="13">
        <v>1910</v>
      </c>
      <c r="AA148" s="13">
        <v>1935</v>
      </c>
      <c r="AB148" s="13">
        <v>1973</v>
      </c>
      <c r="AC148" s="13">
        <v>2172</v>
      </c>
      <c r="AD148" s="13">
        <v>1930</v>
      </c>
      <c r="AE148" s="13">
        <v>1751</v>
      </c>
      <c r="AF148" s="13">
        <v>1649</v>
      </c>
      <c r="AG148" s="13">
        <v>1684</v>
      </c>
      <c r="AH148" s="13">
        <v>1622</v>
      </c>
      <c r="AI148" s="13">
        <v>1634</v>
      </c>
      <c r="AJ148" s="13">
        <v>1709</v>
      </c>
      <c r="AK148" s="13">
        <v>1791</v>
      </c>
      <c r="AL148" s="13">
        <v>1826</v>
      </c>
      <c r="AM148" s="13">
        <v>1808</v>
      </c>
      <c r="AN148" s="13">
        <v>1750</v>
      </c>
      <c r="AO148" s="13">
        <v>1487</v>
      </c>
      <c r="AP148" s="13">
        <v>1378</v>
      </c>
      <c r="AQ148" s="13">
        <v>1259</v>
      </c>
      <c r="AR148" s="13">
        <v>1282</v>
      </c>
      <c r="AS148" s="13">
        <v>1287</v>
      </c>
      <c r="AT148" s="13">
        <v>1265</v>
      </c>
      <c r="AU148" s="13">
        <v>1342</v>
      </c>
      <c r="AV148" s="13">
        <v>1398</v>
      </c>
      <c r="AW148" s="13">
        <v>1345</v>
      </c>
      <c r="AX148" s="13">
        <v>1359</v>
      </c>
      <c r="AY148" s="13">
        <v>1361</v>
      </c>
      <c r="AZ148" s="13">
        <v>1210</v>
      </c>
      <c r="BA148" s="13">
        <v>1268</v>
      </c>
      <c r="BB148" s="13">
        <v>1205</v>
      </c>
      <c r="BC148" s="13">
        <v>1276</v>
      </c>
      <c r="BD148" s="13">
        <v>1326</v>
      </c>
      <c r="BE148" s="13">
        <v>1314</v>
      </c>
      <c r="BF148" s="13">
        <v>1380</v>
      </c>
      <c r="BG148" s="13">
        <v>1282</v>
      </c>
      <c r="BH148" s="13">
        <v>1343</v>
      </c>
      <c r="BI148" s="13">
        <v>1501</v>
      </c>
      <c r="BJ148" s="13">
        <v>1669</v>
      </c>
      <c r="BK148" s="13">
        <v>1369</v>
      </c>
      <c r="BL148" s="13">
        <v>1069</v>
      </c>
    </row>
    <row r="149" spans="1:64" ht="15.95" customHeight="1">
      <c r="A149" s="64" t="s">
        <v>405</v>
      </c>
      <c r="B149" s="6" t="s">
        <v>209</v>
      </c>
      <c r="C149" s="15">
        <f>_xll.RssMarket("7375","現在値")</f>
        <v>1329</v>
      </c>
      <c r="D149" s="16">
        <f t="shared" si="2"/>
        <v>0</v>
      </c>
      <c r="E149" s="13">
        <v>1329</v>
      </c>
      <c r="F149" s="13">
        <v>1325</v>
      </c>
      <c r="G149" s="13">
        <v>1294</v>
      </c>
      <c r="H149" s="13">
        <v>1312</v>
      </c>
      <c r="I149" s="13">
        <v>1345</v>
      </c>
      <c r="J149" s="13">
        <v>1412</v>
      </c>
      <c r="K149" s="13">
        <v>1436</v>
      </c>
      <c r="L149" s="13">
        <v>1406</v>
      </c>
      <c r="M149" s="13">
        <v>1446</v>
      </c>
      <c r="N149" s="13">
        <v>1421</v>
      </c>
      <c r="O149" s="13">
        <v>1447</v>
      </c>
      <c r="P149" s="13">
        <v>1480</v>
      </c>
      <c r="Q149" s="13">
        <v>1588</v>
      </c>
      <c r="R149" s="13">
        <v>1606</v>
      </c>
      <c r="S149" s="13">
        <v>1890</v>
      </c>
      <c r="T149" s="13">
        <v>2030</v>
      </c>
      <c r="U149" s="13">
        <v>1773</v>
      </c>
      <c r="V149" s="13">
        <v>1877</v>
      </c>
      <c r="W149" s="13">
        <v>1958</v>
      </c>
      <c r="X149" s="13">
        <v>1940</v>
      </c>
      <c r="Y149" s="13">
        <v>1540</v>
      </c>
      <c r="Z149" s="13">
        <v>1530</v>
      </c>
      <c r="AA149" s="13">
        <v>1624</v>
      </c>
      <c r="AB149" s="13">
        <v>1660</v>
      </c>
      <c r="AC149" s="13">
        <v>1664</v>
      </c>
      <c r="AD149" s="13">
        <v>1717</v>
      </c>
      <c r="AE149" s="13">
        <v>1748</v>
      </c>
      <c r="AF149" s="13">
        <v>1853</v>
      </c>
      <c r="AG149" s="13">
        <v>2121</v>
      </c>
      <c r="AH149" s="13">
        <v>2127</v>
      </c>
      <c r="AI149" s="13">
        <v>1931</v>
      </c>
      <c r="AJ149" s="13">
        <v>2030</v>
      </c>
      <c r="AK149" s="13">
        <v>2130</v>
      </c>
      <c r="AL149" s="13">
        <v>2265</v>
      </c>
      <c r="AM149" s="13">
        <v>2262</v>
      </c>
      <c r="AN149" s="13">
        <v>1862</v>
      </c>
      <c r="AO149" s="13">
        <v>2045</v>
      </c>
      <c r="AP149" s="13">
        <v>1988</v>
      </c>
      <c r="AQ149" s="13">
        <v>2127</v>
      </c>
      <c r="AR149" s="13">
        <v>1727</v>
      </c>
      <c r="AS149" s="13">
        <v>1644</v>
      </c>
      <c r="AT149" s="13">
        <v>1344</v>
      </c>
      <c r="AU149" s="13">
        <v>1415</v>
      </c>
      <c r="AV149" s="13">
        <v>1533</v>
      </c>
      <c r="AW149" s="13">
        <v>1933</v>
      </c>
      <c r="AX149" s="13">
        <v>1829</v>
      </c>
      <c r="AY149" s="13">
        <v>1530</v>
      </c>
      <c r="AZ149" s="13">
        <v>1618</v>
      </c>
      <c r="BA149" s="13">
        <v>1318</v>
      </c>
      <c r="BB149" s="13">
        <v>1200</v>
      </c>
      <c r="BC149" s="13">
        <v>1379</v>
      </c>
      <c r="BD149" s="13">
        <v>1219</v>
      </c>
      <c r="BE149" s="13">
        <v>1387</v>
      </c>
      <c r="BF149" s="13">
        <v>1087</v>
      </c>
      <c r="BG149" s="13">
        <v>1096</v>
      </c>
      <c r="BH149" s="13">
        <v>1176</v>
      </c>
      <c r="BI149" s="13">
        <v>1093</v>
      </c>
      <c r="BJ149" s="13">
        <v>1023</v>
      </c>
      <c r="BK149" s="13">
        <v>1057</v>
      </c>
      <c r="BL149" s="13">
        <v>1005</v>
      </c>
    </row>
    <row r="150" spans="1:64" ht="15.95" customHeight="1">
      <c r="A150" s="64" t="s">
        <v>406</v>
      </c>
      <c r="B150" s="6" t="s">
        <v>210</v>
      </c>
      <c r="C150" s="15">
        <f>_xll.RssMarket("4307","現在値")</f>
        <v>4596</v>
      </c>
      <c r="D150" s="16">
        <f t="shared" si="2"/>
        <v>0</v>
      </c>
      <c r="E150" s="13">
        <v>4596</v>
      </c>
      <c r="F150" s="13">
        <v>4505</v>
      </c>
      <c r="G150" s="13">
        <v>4496</v>
      </c>
      <c r="H150" s="13">
        <v>4600</v>
      </c>
      <c r="I150" s="13">
        <v>4650</v>
      </c>
      <c r="J150" s="13">
        <v>4699</v>
      </c>
      <c r="K150" s="13">
        <v>4882</v>
      </c>
      <c r="L150" s="13">
        <v>4743</v>
      </c>
      <c r="M150" s="13">
        <v>4894</v>
      </c>
      <c r="N150" s="13">
        <v>5047</v>
      </c>
      <c r="O150" s="13">
        <v>5224</v>
      </c>
      <c r="P150" s="13">
        <v>5022</v>
      </c>
      <c r="Q150" s="13">
        <v>4832</v>
      </c>
      <c r="R150" s="13">
        <v>4747</v>
      </c>
      <c r="S150" s="13">
        <v>4612</v>
      </c>
      <c r="T150" s="13">
        <v>4697</v>
      </c>
      <c r="U150" s="13">
        <v>4681</v>
      </c>
      <c r="V150" s="13">
        <v>4735</v>
      </c>
      <c r="W150" s="13">
        <v>4800</v>
      </c>
      <c r="X150" s="13">
        <v>4561</v>
      </c>
      <c r="Y150" s="13">
        <v>4332</v>
      </c>
      <c r="Z150" s="13">
        <v>4174</v>
      </c>
      <c r="AA150" s="13">
        <v>4340</v>
      </c>
      <c r="AB150" s="13">
        <v>4228</v>
      </c>
      <c r="AC150" s="13">
        <v>4301</v>
      </c>
      <c r="AD150" s="13">
        <v>4351</v>
      </c>
      <c r="AE150" s="13">
        <v>4249</v>
      </c>
      <c r="AF150" s="13">
        <v>4183</v>
      </c>
      <c r="AG150" s="13">
        <v>4142</v>
      </c>
      <c r="AH150" s="13">
        <v>4313</v>
      </c>
      <c r="AI150" s="13">
        <v>4409</v>
      </c>
      <c r="AJ150" s="13">
        <v>5092</v>
      </c>
      <c r="AK150" s="13">
        <v>5075</v>
      </c>
      <c r="AL150" s="13">
        <v>5155</v>
      </c>
      <c r="AM150" s="13">
        <v>4988</v>
      </c>
      <c r="AN150" s="13">
        <v>4965</v>
      </c>
      <c r="AO150" s="13">
        <v>4886</v>
      </c>
      <c r="AP150" s="13">
        <v>4874</v>
      </c>
      <c r="AQ150" s="13">
        <v>4878</v>
      </c>
      <c r="AR150" s="13">
        <v>4650</v>
      </c>
      <c r="AS150" s="13">
        <v>4492</v>
      </c>
      <c r="AT150" s="13">
        <v>4418</v>
      </c>
      <c r="AU150" s="13">
        <v>4511</v>
      </c>
      <c r="AV150" s="13">
        <v>4525</v>
      </c>
      <c r="AW150" s="13">
        <v>4475</v>
      </c>
      <c r="AX150" s="13">
        <v>4470</v>
      </c>
      <c r="AY150" s="13">
        <v>4451</v>
      </c>
      <c r="AZ150" s="13">
        <v>4416</v>
      </c>
      <c r="BA150" s="13">
        <v>4635</v>
      </c>
      <c r="BB150" s="13">
        <v>4332</v>
      </c>
      <c r="BC150" s="13">
        <v>4250</v>
      </c>
      <c r="BD150" s="13">
        <v>4257</v>
      </c>
      <c r="BE150" s="13">
        <v>4221</v>
      </c>
      <c r="BF150" s="13">
        <v>4246</v>
      </c>
      <c r="BG150" s="13">
        <v>4293</v>
      </c>
      <c r="BH150" s="13">
        <v>4229</v>
      </c>
      <c r="BI150" s="13">
        <v>4290</v>
      </c>
      <c r="BJ150" s="13">
        <v>4301</v>
      </c>
      <c r="BK150" s="13">
        <v>4314</v>
      </c>
      <c r="BL150" s="13">
        <v>4321</v>
      </c>
    </row>
    <row r="151" spans="1:64" ht="15.95" customHeight="1">
      <c r="A151" s="64" t="s">
        <v>407</v>
      </c>
      <c r="B151" s="6" t="s">
        <v>211</v>
      </c>
      <c r="C151" s="15">
        <f>_xll.RssMarket("6516","現在値")</f>
        <v>6780</v>
      </c>
      <c r="D151" s="16">
        <f t="shared" si="2"/>
        <v>0</v>
      </c>
      <c r="E151" s="13">
        <v>6780</v>
      </c>
      <c r="F151" s="13">
        <v>6580</v>
      </c>
      <c r="G151" s="13">
        <v>6280</v>
      </c>
      <c r="H151" s="13">
        <v>6250</v>
      </c>
      <c r="I151" s="13">
        <v>6260</v>
      </c>
      <c r="J151" s="13">
        <v>6420</v>
      </c>
      <c r="K151" s="13">
        <v>6740</v>
      </c>
      <c r="L151" s="13">
        <v>6820</v>
      </c>
      <c r="M151" s="13">
        <v>6700</v>
      </c>
      <c r="N151" s="13">
        <v>6600</v>
      </c>
      <c r="O151" s="13">
        <v>6990</v>
      </c>
      <c r="P151" s="13">
        <v>6790</v>
      </c>
      <c r="Q151" s="13">
        <v>6760</v>
      </c>
      <c r="R151" s="13">
        <v>6800</v>
      </c>
      <c r="S151" s="13">
        <v>7070</v>
      </c>
      <c r="T151" s="13">
        <v>7090</v>
      </c>
      <c r="U151" s="13">
        <v>7160</v>
      </c>
      <c r="V151" s="13">
        <v>6860</v>
      </c>
      <c r="W151" s="13">
        <v>7050</v>
      </c>
      <c r="X151" s="13">
        <v>7240</v>
      </c>
      <c r="Y151" s="13">
        <v>7410</v>
      </c>
      <c r="Z151" s="13">
        <v>7490</v>
      </c>
      <c r="AA151" s="13">
        <v>7640</v>
      </c>
      <c r="AB151" s="13">
        <v>7560</v>
      </c>
      <c r="AC151" s="13">
        <v>7680</v>
      </c>
      <c r="AD151" s="13">
        <v>7440</v>
      </c>
      <c r="AE151" s="13">
        <v>7230</v>
      </c>
      <c r="AF151" s="13">
        <v>6770</v>
      </c>
      <c r="AG151" s="13">
        <v>6920</v>
      </c>
      <c r="AH151" s="13">
        <v>7020</v>
      </c>
      <c r="AI151" s="13">
        <v>6640</v>
      </c>
      <c r="AJ151" s="13">
        <v>5640</v>
      </c>
      <c r="AK151" s="13">
        <v>5190</v>
      </c>
      <c r="AL151" s="13">
        <v>5370</v>
      </c>
      <c r="AM151" s="13">
        <v>5220</v>
      </c>
      <c r="AN151" s="13">
        <v>5150</v>
      </c>
      <c r="AO151" s="13">
        <v>5100</v>
      </c>
      <c r="AP151" s="13">
        <v>5170</v>
      </c>
      <c r="AQ151" s="13">
        <v>5200</v>
      </c>
      <c r="AR151" s="13">
        <v>5280</v>
      </c>
      <c r="AS151" s="13">
        <v>5010</v>
      </c>
      <c r="AT151" s="13">
        <v>5080</v>
      </c>
      <c r="AU151" s="13">
        <v>4870</v>
      </c>
      <c r="AV151" s="13">
        <v>4835</v>
      </c>
      <c r="AW151" s="13">
        <v>4620</v>
      </c>
      <c r="AX151" s="13">
        <v>4560</v>
      </c>
      <c r="AY151" s="13">
        <v>4545</v>
      </c>
      <c r="AZ151" s="13">
        <v>4485</v>
      </c>
      <c r="BA151" s="13">
        <v>4595</v>
      </c>
      <c r="BB151" s="13">
        <v>4360</v>
      </c>
      <c r="BC151" s="13">
        <v>4380</v>
      </c>
      <c r="BD151" s="13">
        <v>4500</v>
      </c>
      <c r="BE151" s="13">
        <v>4540</v>
      </c>
      <c r="BF151" s="13">
        <v>4535</v>
      </c>
      <c r="BG151" s="13">
        <v>4390</v>
      </c>
      <c r="BH151" s="13">
        <v>4270</v>
      </c>
      <c r="BI151" s="13">
        <v>4625</v>
      </c>
      <c r="BJ151" s="13">
        <v>4805</v>
      </c>
      <c r="BK151" s="13">
        <v>4685</v>
      </c>
      <c r="BL151" s="13">
        <v>4640</v>
      </c>
    </row>
    <row r="152" spans="1:64" ht="15.95" customHeight="1">
      <c r="A152" s="64" t="s">
        <v>408</v>
      </c>
      <c r="B152" s="6" t="s">
        <v>212</v>
      </c>
      <c r="C152" s="15">
        <f>_xll.RssMarket("7381","現在値")</f>
        <v>975</v>
      </c>
      <c r="D152" s="16">
        <f t="shared" si="2"/>
        <v>0</v>
      </c>
      <c r="E152" s="13">
        <v>975</v>
      </c>
      <c r="F152" s="13">
        <v>1001</v>
      </c>
      <c r="G152" s="13">
        <v>989</v>
      </c>
      <c r="H152" s="13">
        <v>972</v>
      </c>
      <c r="I152" s="13">
        <v>991</v>
      </c>
      <c r="J152" s="13">
        <v>977</v>
      </c>
      <c r="K152" s="13">
        <v>1034</v>
      </c>
      <c r="L152" s="13">
        <v>1024</v>
      </c>
      <c r="M152" s="13">
        <v>1012</v>
      </c>
      <c r="N152" s="13">
        <v>1013</v>
      </c>
      <c r="O152" s="13">
        <v>1014</v>
      </c>
      <c r="P152" s="13">
        <v>1037</v>
      </c>
      <c r="Q152" s="13">
        <v>1032</v>
      </c>
      <c r="R152" s="13">
        <v>1049</v>
      </c>
      <c r="S152" s="13">
        <v>1057</v>
      </c>
      <c r="T152" s="13">
        <v>1056</v>
      </c>
      <c r="U152" s="13">
        <v>1063</v>
      </c>
      <c r="V152" s="13">
        <v>1021</v>
      </c>
      <c r="W152" s="13">
        <v>1026</v>
      </c>
      <c r="X152" s="13">
        <v>1030</v>
      </c>
      <c r="Y152" s="13">
        <v>1044</v>
      </c>
      <c r="Z152" s="13">
        <v>1045</v>
      </c>
      <c r="AA152" s="13">
        <v>1027</v>
      </c>
      <c r="AB152" s="13">
        <v>1013</v>
      </c>
      <c r="AC152" s="13">
        <v>1008</v>
      </c>
      <c r="AD152" s="13">
        <v>1014</v>
      </c>
      <c r="AE152" s="13">
        <v>1015</v>
      </c>
      <c r="AF152" s="13">
        <v>963</v>
      </c>
      <c r="AG152" s="13">
        <v>941</v>
      </c>
      <c r="AH152" s="13">
        <v>952</v>
      </c>
      <c r="AI152" s="13">
        <v>912</v>
      </c>
      <c r="AJ152" s="13">
        <v>924</v>
      </c>
      <c r="AK152" s="13">
        <v>923</v>
      </c>
      <c r="AL152" s="13">
        <v>931</v>
      </c>
      <c r="AM152" s="13">
        <v>970</v>
      </c>
      <c r="AN152" s="13">
        <v>997</v>
      </c>
      <c r="AO152" s="13">
        <v>1015</v>
      </c>
      <c r="AP152" s="13">
        <v>1037</v>
      </c>
      <c r="AQ152" s="13">
        <v>1034</v>
      </c>
      <c r="AR152" s="13">
        <v>1022</v>
      </c>
      <c r="AS152" s="13">
        <v>1016</v>
      </c>
      <c r="AT152" s="13">
        <v>1024</v>
      </c>
      <c r="AU152" s="13">
        <v>1028</v>
      </c>
      <c r="AV152" s="13">
        <v>1041</v>
      </c>
      <c r="AW152" s="13">
        <v>1013</v>
      </c>
      <c r="AX152" s="13">
        <v>1005</v>
      </c>
      <c r="AY152" s="13">
        <v>985</v>
      </c>
      <c r="AZ152" s="13">
        <v>977</v>
      </c>
      <c r="BA152" s="13">
        <v>990</v>
      </c>
      <c r="BB152" s="13">
        <v>930</v>
      </c>
      <c r="BC152" s="13">
        <v>949</v>
      </c>
      <c r="BD152" s="13">
        <v>985</v>
      </c>
      <c r="BE152" s="13">
        <v>971</v>
      </c>
      <c r="BF152" s="13">
        <v>982</v>
      </c>
      <c r="BG152" s="13">
        <v>947</v>
      </c>
      <c r="BH152" s="13">
        <v>916</v>
      </c>
      <c r="BI152" s="13">
        <v>964</v>
      </c>
      <c r="BJ152" s="13">
        <v>997</v>
      </c>
      <c r="BK152" s="13">
        <v>966</v>
      </c>
      <c r="BL152" s="13">
        <v>963</v>
      </c>
    </row>
    <row r="153" spans="1:64" ht="15.95" customHeight="1">
      <c r="A153" s="64" t="s">
        <v>409</v>
      </c>
      <c r="B153" s="6" t="s">
        <v>213</v>
      </c>
      <c r="C153" s="15">
        <f>_xll.RssMarket("4417","現在値")</f>
        <v>3240</v>
      </c>
      <c r="D153" s="16">
        <f t="shared" si="2"/>
        <v>0</v>
      </c>
      <c r="E153" s="13">
        <v>3240</v>
      </c>
      <c r="F153" s="13">
        <v>3070</v>
      </c>
      <c r="G153" s="13">
        <v>2968</v>
      </c>
      <c r="H153" s="13">
        <v>3030</v>
      </c>
      <c r="I153" s="13">
        <v>3100</v>
      </c>
      <c r="J153" s="13">
        <v>3145</v>
      </c>
      <c r="K153" s="13">
        <v>3060</v>
      </c>
      <c r="L153" s="13">
        <v>3080</v>
      </c>
      <c r="M153" s="13">
        <v>3175</v>
      </c>
      <c r="N153" s="13">
        <v>3360</v>
      </c>
      <c r="O153" s="13">
        <v>3415</v>
      </c>
      <c r="P153" s="13">
        <v>3435</v>
      </c>
      <c r="Q153" s="13">
        <v>3250</v>
      </c>
      <c r="R153" s="13">
        <v>3385</v>
      </c>
      <c r="S153" s="13">
        <v>3305</v>
      </c>
      <c r="T153" s="13">
        <v>3260</v>
      </c>
      <c r="U153" s="13">
        <v>3110</v>
      </c>
      <c r="V153" s="13">
        <v>2863</v>
      </c>
      <c r="W153" s="13">
        <v>2909</v>
      </c>
      <c r="X153" s="13">
        <v>2761</v>
      </c>
      <c r="Y153" s="13">
        <v>2809</v>
      </c>
      <c r="Z153" s="13">
        <v>2758</v>
      </c>
      <c r="AA153" s="13">
        <v>2970</v>
      </c>
      <c r="AB153" s="13">
        <v>2990</v>
      </c>
      <c r="AC153" s="13">
        <v>2909</v>
      </c>
      <c r="AD153" s="13">
        <v>2778</v>
      </c>
      <c r="AE153" s="13">
        <v>2682</v>
      </c>
      <c r="AF153" s="13">
        <v>2497</v>
      </c>
      <c r="AG153" s="13">
        <v>2500</v>
      </c>
      <c r="AH153" s="13">
        <v>2468</v>
      </c>
      <c r="AI153" s="13">
        <v>2479</v>
      </c>
      <c r="AJ153" s="13">
        <v>2475</v>
      </c>
      <c r="AK153" s="13">
        <v>2513</v>
      </c>
      <c r="AL153" s="13">
        <v>2429</v>
      </c>
      <c r="AM153" s="13">
        <v>2494</v>
      </c>
      <c r="AN153" s="13">
        <v>2514</v>
      </c>
      <c r="AO153" s="13">
        <v>2489</v>
      </c>
      <c r="AP153" s="13">
        <v>2356</v>
      </c>
      <c r="AQ153" s="13">
        <v>2230</v>
      </c>
      <c r="AR153" s="13">
        <v>2255</v>
      </c>
      <c r="AS153" s="13">
        <v>2482</v>
      </c>
      <c r="AT153" s="13">
        <v>2520</v>
      </c>
      <c r="AU153" s="13">
        <v>2576</v>
      </c>
      <c r="AV153" s="13">
        <v>2550</v>
      </c>
      <c r="AW153" s="13">
        <v>2540</v>
      </c>
      <c r="AX153" s="13">
        <v>2510</v>
      </c>
      <c r="AY153" s="13">
        <v>2485</v>
      </c>
      <c r="AZ153" s="13">
        <v>2554</v>
      </c>
      <c r="BA153" s="13">
        <v>2338</v>
      </c>
      <c r="BB153" s="13">
        <v>2264</v>
      </c>
      <c r="BC153" s="13">
        <v>2376</v>
      </c>
      <c r="BD153" s="13">
        <v>2350</v>
      </c>
      <c r="BE153" s="13">
        <v>2403</v>
      </c>
      <c r="BF153" s="13">
        <v>2372</v>
      </c>
      <c r="BG153" s="13">
        <v>2328</v>
      </c>
      <c r="BH153" s="13">
        <v>2459</v>
      </c>
      <c r="BI153" s="13">
        <v>2505</v>
      </c>
      <c r="BJ153" s="13">
        <v>2354</v>
      </c>
      <c r="BK153" s="13">
        <v>2460</v>
      </c>
      <c r="BL153" s="13">
        <v>2409</v>
      </c>
    </row>
    <row r="154" spans="1:64" ht="15.95" customHeight="1">
      <c r="A154" s="64" t="s">
        <v>410</v>
      </c>
      <c r="B154" s="6" t="s">
        <v>214</v>
      </c>
      <c r="C154" s="15">
        <f>_xll.RssMarket("6981","現在値")</f>
        <v>10865</v>
      </c>
      <c r="D154" s="16">
        <f t="shared" si="2"/>
        <v>0</v>
      </c>
      <c r="E154" s="13">
        <v>10865</v>
      </c>
      <c r="F154" s="13">
        <v>10530</v>
      </c>
      <c r="G154" s="13">
        <v>8556</v>
      </c>
      <c r="H154" s="13">
        <v>8967</v>
      </c>
      <c r="I154" s="13">
        <v>8650</v>
      </c>
      <c r="J154" s="13">
        <v>8711</v>
      </c>
      <c r="K154" s="13">
        <v>9695</v>
      </c>
      <c r="L154" s="13">
        <v>9904</v>
      </c>
      <c r="M154" s="13">
        <v>10420</v>
      </c>
      <c r="N154" s="13">
        <v>10230</v>
      </c>
      <c r="O154" s="13">
        <v>10490</v>
      </c>
      <c r="P154" s="13">
        <v>9625</v>
      </c>
      <c r="Q154" s="13">
        <v>8538</v>
      </c>
      <c r="R154" s="13">
        <v>7820</v>
      </c>
      <c r="S154" s="13">
        <v>7928</v>
      </c>
      <c r="T154" s="13">
        <v>7130</v>
      </c>
      <c r="U154" s="13">
        <v>6727</v>
      </c>
      <c r="V154" s="13">
        <v>6164</v>
      </c>
      <c r="W154" s="13">
        <v>6180</v>
      </c>
      <c r="X154" s="13">
        <v>6171</v>
      </c>
      <c r="Y154" s="13">
        <v>6151</v>
      </c>
      <c r="Z154" s="13">
        <v>6339</v>
      </c>
      <c r="AA154" s="13">
        <v>6089</v>
      </c>
      <c r="AB154" s="13">
        <v>6078</v>
      </c>
      <c r="AC154" s="13">
        <v>5960</v>
      </c>
      <c r="AD154" s="13">
        <v>5850</v>
      </c>
      <c r="AE154" s="13">
        <v>5648</v>
      </c>
      <c r="AF154" s="13">
        <v>5138</v>
      </c>
      <c r="AG154" s="13">
        <v>5156</v>
      </c>
      <c r="AH154" s="13">
        <v>4840</v>
      </c>
      <c r="AI154" s="13">
        <v>4916</v>
      </c>
      <c r="AJ154" s="13">
        <v>4936</v>
      </c>
      <c r="AK154" s="13">
        <v>4813</v>
      </c>
      <c r="AL154" s="13">
        <v>4911</v>
      </c>
      <c r="AM154" s="13">
        <v>4810</v>
      </c>
      <c r="AN154" s="13">
        <v>4738</v>
      </c>
      <c r="AO154" s="13">
        <v>4600</v>
      </c>
      <c r="AP154" s="13">
        <v>4792</v>
      </c>
      <c r="AQ154" s="13">
        <v>4520</v>
      </c>
      <c r="AR154" s="13">
        <v>4329</v>
      </c>
      <c r="AS154" s="13">
        <v>4170</v>
      </c>
      <c r="AT154" s="13">
        <v>4146</v>
      </c>
      <c r="AU154" s="13">
        <v>3990</v>
      </c>
      <c r="AV154" s="13">
        <v>4000</v>
      </c>
      <c r="AW154" s="13">
        <v>3786</v>
      </c>
      <c r="AX154" s="13">
        <v>3807</v>
      </c>
      <c r="AY154" s="13">
        <v>3789</v>
      </c>
      <c r="AZ154" s="13">
        <v>3478</v>
      </c>
      <c r="BA154" s="13">
        <v>3671</v>
      </c>
      <c r="BB154" s="13">
        <v>3409</v>
      </c>
      <c r="BC154" s="13">
        <v>3534</v>
      </c>
      <c r="BD154" s="13">
        <v>3745</v>
      </c>
      <c r="BE154" s="13">
        <v>3723</v>
      </c>
      <c r="BF154" s="13">
        <v>3660</v>
      </c>
      <c r="BG154" s="13">
        <v>3543</v>
      </c>
      <c r="BH154" s="13">
        <v>3508</v>
      </c>
      <c r="BI154" s="13">
        <v>3748</v>
      </c>
      <c r="BJ154" s="13">
        <v>3844</v>
      </c>
      <c r="BK154" s="13">
        <v>3802</v>
      </c>
      <c r="BL154" s="13">
        <v>3607</v>
      </c>
    </row>
    <row r="155" spans="1:64" ht="15.95" customHeight="1">
      <c r="A155" s="64" t="s">
        <v>411</v>
      </c>
      <c r="B155" s="6" t="s">
        <v>215</v>
      </c>
      <c r="C155" s="15">
        <f>_xll.RssMarket("6754","現在値")</f>
        <v>4122</v>
      </c>
      <c r="D155" s="16">
        <f t="shared" si="2"/>
        <v>0</v>
      </c>
      <c r="E155" s="13">
        <v>4122</v>
      </c>
      <c r="F155" s="13">
        <v>4096</v>
      </c>
      <c r="G155" s="13">
        <v>3882</v>
      </c>
      <c r="H155" s="13">
        <v>3879</v>
      </c>
      <c r="I155" s="13">
        <v>3834</v>
      </c>
      <c r="J155" s="13">
        <v>4269</v>
      </c>
      <c r="K155" s="13">
        <v>4689</v>
      </c>
      <c r="L155" s="13">
        <v>4632</v>
      </c>
      <c r="M155" s="13">
        <v>4776</v>
      </c>
      <c r="N155" s="13">
        <v>4584</v>
      </c>
      <c r="O155" s="13">
        <v>4768</v>
      </c>
      <c r="P155" s="13">
        <v>4547</v>
      </c>
      <c r="Q155" s="13">
        <v>4580</v>
      </c>
      <c r="R155" s="13">
        <v>4614</v>
      </c>
      <c r="S155" s="13">
        <v>4732</v>
      </c>
      <c r="T155" s="13">
        <v>4601</v>
      </c>
      <c r="U155" s="13">
        <v>4468</v>
      </c>
      <c r="V155" s="13">
        <v>4381</v>
      </c>
      <c r="W155" s="13">
        <v>4144</v>
      </c>
      <c r="X155" s="13">
        <v>4205</v>
      </c>
      <c r="Y155" s="13">
        <v>4239</v>
      </c>
      <c r="Z155" s="13">
        <v>4144</v>
      </c>
      <c r="AA155" s="13">
        <v>4189</v>
      </c>
      <c r="AB155" s="13">
        <v>4016</v>
      </c>
      <c r="AC155" s="13">
        <v>4142</v>
      </c>
      <c r="AD155" s="13">
        <v>4233</v>
      </c>
      <c r="AE155" s="13">
        <v>4090</v>
      </c>
      <c r="AF155" s="13">
        <v>3858</v>
      </c>
      <c r="AG155" s="13">
        <v>4039</v>
      </c>
      <c r="AH155" s="13">
        <v>3974</v>
      </c>
      <c r="AI155" s="13">
        <v>3755</v>
      </c>
      <c r="AJ155" s="13">
        <v>3594</v>
      </c>
      <c r="AK155" s="13">
        <v>3572</v>
      </c>
      <c r="AL155" s="13">
        <v>3635</v>
      </c>
      <c r="AM155" s="13">
        <v>3662</v>
      </c>
      <c r="AN155" s="13">
        <v>3466</v>
      </c>
      <c r="AO155" s="13">
        <v>3418</v>
      </c>
      <c r="AP155" s="13">
        <v>3374</v>
      </c>
      <c r="AQ155" s="13">
        <v>3403</v>
      </c>
      <c r="AR155" s="13">
        <v>3396</v>
      </c>
      <c r="AS155" s="13">
        <v>3392</v>
      </c>
      <c r="AT155" s="13">
        <v>3398</v>
      </c>
      <c r="AU155" s="13">
        <v>3277</v>
      </c>
      <c r="AV155" s="13">
        <v>3299</v>
      </c>
      <c r="AW155" s="13">
        <v>3014</v>
      </c>
      <c r="AX155" s="13">
        <v>3004</v>
      </c>
      <c r="AY155" s="13">
        <v>3002</v>
      </c>
      <c r="AZ155" s="13">
        <v>2911.5</v>
      </c>
      <c r="BA155" s="13">
        <v>2986.5</v>
      </c>
      <c r="BB155" s="13">
        <v>2738</v>
      </c>
      <c r="BC155" s="13">
        <v>2826</v>
      </c>
      <c r="BD155" s="13">
        <v>2812</v>
      </c>
      <c r="BE155" s="13">
        <v>2907.5</v>
      </c>
      <c r="BF155" s="13">
        <v>2983</v>
      </c>
      <c r="BG155" s="13">
        <v>2833.5</v>
      </c>
      <c r="BH155" s="13">
        <v>2657.5</v>
      </c>
      <c r="BI155" s="13">
        <v>2807.5</v>
      </c>
      <c r="BJ155" s="13">
        <v>2894.5</v>
      </c>
      <c r="BK155" s="13">
        <v>2812.5</v>
      </c>
      <c r="BL155" s="13">
        <v>2888.5</v>
      </c>
    </row>
    <row r="156" spans="1:64" ht="15.95" customHeight="1">
      <c r="A156" s="64" t="s">
        <v>412</v>
      </c>
      <c r="B156" s="6" t="s">
        <v>216</v>
      </c>
      <c r="C156" s="15">
        <f>_xll.RssMarket("4088","現在値")</f>
        <v>2490</v>
      </c>
      <c r="D156" s="16">
        <f t="shared" si="2"/>
        <v>0</v>
      </c>
      <c r="E156" s="13">
        <v>2490</v>
      </c>
      <c r="F156" s="13">
        <v>2520</v>
      </c>
      <c r="G156" s="13">
        <v>2441</v>
      </c>
      <c r="H156" s="13">
        <v>2419</v>
      </c>
      <c r="I156" s="13">
        <v>2440</v>
      </c>
      <c r="J156" s="13">
        <v>2470</v>
      </c>
      <c r="K156" s="13">
        <v>2464</v>
      </c>
      <c r="L156" s="13">
        <v>2488</v>
      </c>
      <c r="M156" s="13">
        <v>2490</v>
      </c>
      <c r="N156" s="13">
        <v>2462</v>
      </c>
      <c r="O156" s="13">
        <v>2464</v>
      </c>
      <c r="P156" s="13">
        <v>2599</v>
      </c>
      <c r="Q156" s="13">
        <v>2594</v>
      </c>
      <c r="R156" s="13">
        <v>2625</v>
      </c>
      <c r="S156" s="13">
        <v>2516</v>
      </c>
      <c r="T156" s="13">
        <v>2579</v>
      </c>
      <c r="U156" s="13">
        <v>2546</v>
      </c>
      <c r="V156" s="13">
        <v>2481</v>
      </c>
      <c r="W156" s="13">
        <v>2489</v>
      </c>
      <c r="X156" s="13">
        <v>2302</v>
      </c>
      <c r="Y156" s="13">
        <v>2283</v>
      </c>
      <c r="Z156" s="13">
        <v>2179</v>
      </c>
      <c r="AA156" s="13">
        <v>2101</v>
      </c>
      <c r="AB156" s="13">
        <v>2066</v>
      </c>
      <c r="AC156" s="13">
        <v>1965</v>
      </c>
      <c r="AD156" s="13">
        <v>1938.5</v>
      </c>
      <c r="AE156" s="13">
        <v>1913.5</v>
      </c>
      <c r="AF156" s="13">
        <v>1895.5</v>
      </c>
      <c r="AG156" s="13">
        <v>2218.5</v>
      </c>
      <c r="AH156" s="13">
        <v>2260</v>
      </c>
      <c r="AI156" s="13">
        <v>2231</v>
      </c>
      <c r="AJ156" s="13">
        <v>2236</v>
      </c>
      <c r="AK156" s="13">
        <v>2207</v>
      </c>
      <c r="AL156" s="13">
        <v>2223.5</v>
      </c>
      <c r="AM156" s="13">
        <v>2254</v>
      </c>
      <c r="AN156" s="13">
        <v>2257</v>
      </c>
      <c r="AO156" s="13">
        <v>2263.5</v>
      </c>
      <c r="AP156" s="13">
        <v>2309.5</v>
      </c>
      <c r="AQ156" s="13">
        <v>2293.5</v>
      </c>
      <c r="AR156" s="13">
        <v>2258.5</v>
      </c>
      <c r="AS156" s="13">
        <v>2233.5</v>
      </c>
      <c r="AT156" s="13">
        <v>2235.5</v>
      </c>
      <c r="AU156" s="13">
        <v>2259.5</v>
      </c>
      <c r="AV156" s="13">
        <v>2297.5</v>
      </c>
      <c r="AW156" s="13">
        <v>2275</v>
      </c>
      <c r="AX156" s="13">
        <v>2221.5</v>
      </c>
      <c r="AY156" s="13">
        <v>2199</v>
      </c>
      <c r="AZ156" s="13">
        <v>2161.5</v>
      </c>
      <c r="BA156" s="13">
        <v>2200</v>
      </c>
      <c r="BB156" s="13">
        <v>2124.5</v>
      </c>
      <c r="BC156" s="13">
        <v>2139</v>
      </c>
      <c r="BD156" s="13">
        <v>2173</v>
      </c>
      <c r="BE156" s="13">
        <v>2149.5</v>
      </c>
      <c r="BF156" s="13">
        <v>2145</v>
      </c>
      <c r="BG156" s="13">
        <v>2098</v>
      </c>
      <c r="BH156" s="13">
        <v>2056.5</v>
      </c>
      <c r="BI156" s="13">
        <v>2085.5</v>
      </c>
      <c r="BJ156" s="13">
        <v>2182</v>
      </c>
      <c r="BK156" s="13">
        <v>2152</v>
      </c>
      <c r="BL156" s="13">
        <v>2134.5</v>
      </c>
    </row>
    <row r="157" spans="1:64" ht="15.95" customHeight="1">
      <c r="A157" s="64" t="s">
        <v>413</v>
      </c>
      <c r="B157" s="6" t="s">
        <v>217</v>
      </c>
      <c r="C157" s="15">
        <f>_xll.RssMarket("4091","現在値")</f>
        <v>5590</v>
      </c>
      <c r="D157" s="16">
        <f t="shared" si="2"/>
        <v>0</v>
      </c>
      <c r="E157" s="13">
        <v>5590</v>
      </c>
      <c r="F157" s="13">
        <v>5534</v>
      </c>
      <c r="G157" s="13">
        <v>5403</v>
      </c>
      <c r="H157" s="13">
        <v>5293</v>
      </c>
      <c r="I157" s="13">
        <v>5275</v>
      </c>
      <c r="J157" s="13">
        <v>5434</v>
      </c>
      <c r="K157" s="13">
        <v>5586</v>
      </c>
      <c r="L157" s="13">
        <v>5620</v>
      </c>
      <c r="M157" s="13">
        <v>5679</v>
      </c>
      <c r="N157" s="13">
        <v>5711</v>
      </c>
      <c r="O157" s="13">
        <v>5972</v>
      </c>
      <c r="P157" s="13">
        <v>6184</v>
      </c>
      <c r="Q157" s="13">
        <v>6256</v>
      </c>
      <c r="R157" s="13">
        <v>6373</v>
      </c>
      <c r="S157" s="13">
        <v>6289</v>
      </c>
      <c r="T157" s="13">
        <v>6192</v>
      </c>
      <c r="U157" s="13">
        <v>5852</v>
      </c>
      <c r="V157" s="13">
        <v>5817</v>
      </c>
      <c r="W157" s="13">
        <v>5973</v>
      </c>
      <c r="X157" s="13">
        <v>5994</v>
      </c>
      <c r="Y157" s="13">
        <v>6116</v>
      </c>
      <c r="Z157" s="13">
        <v>6093</v>
      </c>
      <c r="AA157" s="13">
        <v>5907</v>
      </c>
      <c r="AB157" s="13">
        <v>5787</v>
      </c>
      <c r="AC157" s="13">
        <v>6199</v>
      </c>
      <c r="AD157" s="13">
        <v>5636</v>
      </c>
      <c r="AE157" s="13">
        <v>5698</v>
      </c>
      <c r="AF157" s="13">
        <v>5524</v>
      </c>
      <c r="AG157" s="13">
        <v>5540</v>
      </c>
      <c r="AH157" s="13">
        <v>5677</v>
      </c>
      <c r="AI157" s="13">
        <v>5626</v>
      </c>
      <c r="AJ157" s="13">
        <v>5690</v>
      </c>
      <c r="AK157" s="13">
        <v>5600</v>
      </c>
      <c r="AL157" s="13">
        <v>5686</v>
      </c>
      <c r="AM157" s="13">
        <v>5772</v>
      </c>
      <c r="AN157" s="13">
        <v>5772</v>
      </c>
      <c r="AO157" s="13">
        <v>5915</v>
      </c>
      <c r="AP157" s="13">
        <v>6044</v>
      </c>
      <c r="AQ157" s="13">
        <v>5864</v>
      </c>
      <c r="AR157" s="13">
        <v>5957</v>
      </c>
      <c r="AS157" s="13">
        <v>5871</v>
      </c>
      <c r="AT157" s="13">
        <v>5907</v>
      </c>
      <c r="AU157" s="13">
        <v>5871</v>
      </c>
      <c r="AV157" s="13">
        <v>5858</v>
      </c>
      <c r="AW157" s="13">
        <v>5813</v>
      </c>
      <c r="AX157" s="13">
        <v>5788</v>
      </c>
      <c r="AY157" s="13">
        <v>5869</v>
      </c>
      <c r="AZ157" s="13">
        <v>5760</v>
      </c>
      <c r="BA157" s="13">
        <v>5742</v>
      </c>
      <c r="BB157" s="13">
        <v>5533</v>
      </c>
      <c r="BC157" s="13">
        <v>5814</v>
      </c>
      <c r="BD157" s="13">
        <v>5875</v>
      </c>
      <c r="BE157" s="13">
        <v>5969</v>
      </c>
      <c r="BF157" s="13">
        <v>5955</v>
      </c>
      <c r="BG157" s="13">
        <v>5840</v>
      </c>
      <c r="BH157" s="13">
        <v>5821</v>
      </c>
      <c r="BI157" s="13">
        <v>5989</v>
      </c>
      <c r="BJ157" s="13">
        <v>6294</v>
      </c>
      <c r="BK157" s="13">
        <v>6205</v>
      </c>
      <c r="BL157" s="13">
        <v>6233</v>
      </c>
    </row>
    <row r="158" spans="1:64" ht="15.95" customHeight="1">
      <c r="A158" s="64" t="s">
        <v>414</v>
      </c>
      <c r="B158" s="6" t="s">
        <v>218</v>
      </c>
      <c r="C158" s="15">
        <f>_xll.RssMarket("6857","現在値")</f>
        <v>30060</v>
      </c>
      <c r="D158" s="16">
        <f t="shared" si="2"/>
        <v>0</v>
      </c>
      <c r="E158" s="13">
        <v>30060</v>
      </c>
      <c r="F158" s="13">
        <v>30340</v>
      </c>
      <c r="G158" s="13">
        <v>27325</v>
      </c>
      <c r="H158" s="13">
        <v>25175</v>
      </c>
      <c r="I158" s="13">
        <v>25235</v>
      </c>
      <c r="J158" s="13">
        <v>26765</v>
      </c>
      <c r="K158" s="13">
        <v>28170</v>
      </c>
      <c r="L158" s="13">
        <v>27660</v>
      </c>
      <c r="M158" s="13">
        <v>26320</v>
      </c>
      <c r="N158" s="13">
        <v>25675</v>
      </c>
      <c r="O158" s="13">
        <v>26170</v>
      </c>
      <c r="P158" s="13">
        <v>26340</v>
      </c>
      <c r="Q158" s="13">
        <v>27130</v>
      </c>
      <c r="R158" s="13">
        <v>27755</v>
      </c>
      <c r="S158" s="13">
        <v>26845</v>
      </c>
      <c r="T158" s="13">
        <v>26745</v>
      </c>
      <c r="U158" s="13">
        <v>25625</v>
      </c>
      <c r="V158" s="13">
        <v>25290</v>
      </c>
      <c r="W158" s="13">
        <v>26150</v>
      </c>
      <c r="X158" s="13">
        <v>26360</v>
      </c>
      <c r="Y158" s="13">
        <v>28615</v>
      </c>
      <c r="Z158" s="13">
        <v>28290</v>
      </c>
      <c r="AA158" s="13">
        <v>28705</v>
      </c>
      <c r="AB158" s="13">
        <v>28780</v>
      </c>
      <c r="AC158" s="13">
        <v>29885</v>
      </c>
      <c r="AD158" s="13">
        <v>29715</v>
      </c>
      <c r="AE158" s="13">
        <v>27815</v>
      </c>
      <c r="AF158" s="13">
        <v>28260</v>
      </c>
      <c r="AG158" s="13">
        <v>29750</v>
      </c>
      <c r="AH158" s="13">
        <v>31500</v>
      </c>
      <c r="AI158" s="13">
        <v>29440</v>
      </c>
      <c r="AJ158" s="13">
        <v>27900</v>
      </c>
      <c r="AK158" s="13">
        <v>27900</v>
      </c>
      <c r="AL158" s="13">
        <v>27200</v>
      </c>
      <c r="AM158" s="13">
        <v>27100</v>
      </c>
      <c r="AN158" s="13">
        <v>27870</v>
      </c>
      <c r="AO158" s="13">
        <v>28625</v>
      </c>
      <c r="AP158" s="13">
        <v>27585</v>
      </c>
      <c r="AQ158" s="13">
        <v>27000</v>
      </c>
      <c r="AR158" s="13">
        <v>24880</v>
      </c>
      <c r="AS158" s="13">
        <v>24990</v>
      </c>
      <c r="AT158" s="13">
        <v>24800</v>
      </c>
      <c r="AU158" s="13">
        <v>25220</v>
      </c>
      <c r="AV158" s="13">
        <v>22200</v>
      </c>
      <c r="AW158" s="13">
        <v>21930</v>
      </c>
      <c r="AX158" s="13">
        <v>21555</v>
      </c>
      <c r="AY158" s="13">
        <v>21125</v>
      </c>
      <c r="AZ158" s="13">
        <v>22500</v>
      </c>
      <c r="BA158" s="13">
        <v>20330</v>
      </c>
      <c r="BB158" s="13">
        <v>20925</v>
      </c>
      <c r="BC158" s="13">
        <v>22070</v>
      </c>
      <c r="BD158" s="13">
        <v>22965</v>
      </c>
      <c r="BE158" s="13">
        <v>23425</v>
      </c>
      <c r="BF158" s="13">
        <v>22345</v>
      </c>
      <c r="BG158" s="13">
        <v>22730</v>
      </c>
      <c r="BH158" s="13">
        <v>23980</v>
      </c>
      <c r="BI158" s="13">
        <v>25130</v>
      </c>
      <c r="BJ158" s="13">
        <v>23545</v>
      </c>
      <c r="BK158" s="13">
        <v>24140</v>
      </c>
      <c r="BL158" s="13">
        <v>23650</v>
      </c>
    </row>
    <row r="159" spans="1:64" ht="15.95" customHeight="1">
      <c r="A159" s="64" t="s">
        <v>415</v>
      </c>
      <c r="B159" s="6" t="s">
        <v>219</v>
      </c>
      <c r="C159" s="15">
        <f>_xll.RssMarket("3891","現在値")</f>
        <v>9980</v>
      </c>
      <c r="D159" s="16">
        <f t="shared" si="2"/>
        <v>0</v>
      </c>
      <c r="E159" s="13">
        <v>9980</v>
      </c>
      <c r="F159" s="13">
        <v>8920</v>
      </c>
      <c r="G159" s="13">
        <v>8460</v>
      </c>
      <c r="H159" s="13">
        <v>8900</v>
      </c>
      <c r="I159" s="13">
        <v>9240</v>
      </c>
      <c r="J159" s="13">
        <v>9040</v>
      </c>
      <c r="K159" s="13">
        <v>9170</v>
      </c>
      <c r="L159" s="13">
        <v>8370</v>
      </c>
      <c r="M159" s="13">
        <v>8460</v>
      </c>
      <c r="N159" s="13">
        <v>8110</v>
      </c>
      <c r="O159" s="13">
        <v>8030</v>
      </c>
      <c r="P159" s="13">
        <v>7230</v>
      </c>
      <c r="Q159" s="13">
        <v>7100</v>
      </c>
      <c r="R159" s="13">
        <v>6870</v>
      </c>
      <c r="S159" s="13">
        <v>7790</v>
      </c>
      <c r="T159" s="13">
        <v>7490</v>
      </c>
      <c r="U159" s="13">
        <v>6780</v>
      </c>
      <c r="V159" s="13">
        <v>6830</v>
      </c>
      <c r="W159" s="13">
        <v>6550</v>
      </c>
      <c r="X159" s="13">
        <v>6430</v>
      </c>
      <c r="Y159" s="13">
        <v>6100</v>
      </c>
      <c r="Z159" s="13">
        <v>6210</v>
      </c>
      <c r="AA159" s="13">
        <v>6530</v>
      </c>
      <c r="AB159" s="13">
        <v>6330</v>
      </c>
      <c r="AC159" s="13">
        <v>6490</v>
      </c>
      <c r="AD159" s="13">
        <v>6550</v>
      </c>
      <c r="AE159" s="13">
        <v>6600</v>
      </c>
      <c r="AF159" s="13">
        <v>6110</v>
      </c>
      <c r="AG159" s="13">
        <v>6360</v>
      </c>
      <c r="AH159" s="13">
        <v>6420</v>
      </c>
      <c r="AI159" s="13">
        <v>6150</v>
      </c>
      <c r="AJ159" s="13">
        <v>5150</v>
      </c>
      <c r="AK159" s="13">
        <v>4445</v>
      </c>
      <c r="AL159" s="13">
        <v>4480</v>
      </c>
      <c r="AM159" s="13">
        <v>4630</v>
      </c>
      <c r="AN159" s="13">
        <v>4395</v>
      </c>
      <c r="AO159" s="13">
        <v>4275</v>
      </c>
      <c r="AP159" s="13">
        <v>4495</v>
      </c>
      <c r="AQ159" s="13">
        <v>4500</v>
      </c>
      <c r="AR159" s="13">
        <v>4295</v>
      </c>
      <c r="AS159" s="13">
        <v>4140</v>
      </c>
      <c r="AT159" s="13">
        <v>4115</v>
      </c>
      <c r="AU159" s="13">
        <v>4060</v>
      </c>
      <c r="AV159" s="13">
        <v>4100</v>
      </c>
      <c r="AW159" s="13">
        <v>3785</v>
      </c>
      <c r="AX159" s="13">
        <v>3775</v>
      </c>
      <c r="AY159" s="13">
        <v>3715</v>
      </c>
      <c r="AZ159" s="13">
        <v>3655</v>
      </c>
      <c r="BA159" s="13">
        <v>3715</v>
      </c>
      <c r="BB159" s="13">
        <v>3440</v>
      </c>
      <c r="BC159" s="13">
        <v>3515</v>
      </c>
      <c r="BD159" s="13">
        <v>3720</v>
      </c>
      <c r="BE159" s="13">
        <v>3770</v>
      </c>
      <c r="BF159" s="13">
        <v>3855</v>
      </c>
      <c r="BG159" s="13">
        <v>3685</v>
      </c>
      <c r="BH159" s="13">
        <v>3495</v>
      </c>
      <c r="BI159" s="13">
        <v>3735</v>
      </c>
      <c r="BJ159" s="13">
        <v>4105</v>
      </c>
      <c r="BK159" s="13">
        <v>3945</v>
      </c>
      <c r="BL159" s="13">
        <v>3950</v>
      </c>
    </row>
    <row r="160" spans="1:64" ht="15.95" customHeight="1">
      <c r="A160" s="64" t="s">
        <v>416</v>
      </c>
      <c r="B160" s="6" t="s">
        <v>220</v>
      </c>
      <c r="C160" s="15">
        <f>_xll.RssMarket("4373","現在値")</f>
        <v>958</v>
      </c>
      <c r="D160" s="16">
        <f t="shared" si="2"/>
        <v>0</v>
      </c>
      <c r="E160" s="13">
        <v>958</v>
      </c>
      <c r="F160" s="13">
        <v>957</v>
      </c>
      <c r="G160" s="13">
        <v>990</v>
      </c>
      <c r="H160" s="13">
        <v>1021</v>
      </c>
      <c r="I160" s="13">
        <v>1038</v>
      </c>
      <c r="J160" s="13">
        <v>1070</v>
      </c>
      <c r="K160" s="13">
        <v>1092</v>
      </c>
      <c r="L160" s="13">
        <v>1083</v>
      </c>
      <c r="M160" s="13">
        <v>1106</v>
      </c>
      <c r="N160" s="13">
        <v>1119</v>
      </c>
      <c r="O160" s="13">
        <v>1122</v>
      </c>
      <c r="P160" s="13">
        <v>1064</v>
      </c>
      <c r="Q160" s="13">
        <v>1029</v>
      </c>
      <c r="R160" s="13">
        <v>1034</v>
      </c>
      <c r="S160" s="13">
        <v>1016</v>
      </c>
      <c r="T160" s="13">
        <v>1037</v>
      </c>
      <c r="U160" s="13">
        <v>1005</v>
      </c>
      <c r="V160" s="13">
        <v>990</v>
      </c>
      <c r="W160" s="13">
        <v>1036</v>
      </c>
      <c r="X160" s="13">
        <v>948</v>
      </c>
      <c r="Y160" s="13">
        <v>951</v>
      </c>
      <c r="Z160" s="13">
        <v>931</v>
      </c>
      <c r="AA160" s="13">
        <v>953</v>
      </c>
      <c r="AB160" s="13">
        <v>957</v>
      </c>
      <c r="AC160" s="13">
        <v>945</v>
      </c>
      <c r="AD160" s="13">
        <v>937</v>
      </c>
      <c r="AE160" s="13">
        <v>895</v>
      </c>
      <c r="AF160" s="13">
        <v>921</v>
      </c>
      <c r="AG160" s="13">
        <v>879</v>
      </c>
      <c r="AH160" s="13">
        <v>881</v>
      </c>
      <c r="AI160" s="13">
        <v>876</v>
      </c>
      <c r="AJ160" s="13">
        <v>917</v>
      </c>
      <c r="AK160" s="13">
        <v>932</v>
      </c>
      <c r="AL160" s="13">
        <v>960</v>
      </c>
      <c r="AM160" s="13">
        <v>930</v>
      </c>
      <c r="AN160" s="13">
        <v>948</v>
      </c>
      <c r="AO160" s="13">
        <v>944</v>
      </c>
      <c r="AP160" s="13">
        <v>899</v>
      </c>
      <c r="AQ160" s="13">
        <v>908</v>
      </c>
      <c r="AR160" s="13">
        <v>852</v>
      </c>
      <c r="AS160" s="13">
        <v>814</v>
      </c>
      <c r="AT160" s="13">
        <v>816</v>
      </c>
      <c r="AU160" s="13">
        <v>838</v>
      </c>
      <c r="AV160" s="13">
        <v>855</v>
      </c>
      <c r="AW160" s="13">
        <v>840</v>
      </c>
      <c r="AX160" s="13">
        <v>835</v>
      </c>
      <c r="AY160" s="13">
        <v>832</v>
      </c>
      <c r="AZ160" s="13">
        <v>814</v>
      </c>
      <c r="BA160" s="13">
        <v>824</v>
      </c>
      <c r="BB160" s="13">
        <v>801</v>
      </c>
      <c r="BC160" s="13">
        <v>777</v>
      </c>
      <c r="BD160" s="13">
        <v>814</v>
      </c>
      <c r="BE160" s="13">
        <v>808</v>
      </c>
      <c r="BF160" s="13">
        <v>817</v>
      </c>
      <c r="BG160" s="13">
        <v>818</v>
      </c>
      <c r="BH160" s="13">
        <v>803</v>
      </c>
      <c r="BI160" s="13">
        <v>823</v>
      </c>
      <c r="BJ160" s="13">
        <v>846</v>
      </c>
      <c r="BK160" s="13">
        <v>829</v>
      </c>
      <c r="BL160" s="13">
        <v>834</v>
      </c>
    </row>
    <row r="161" spans="1:64" ht="15.95" customHeight="1">
      <c r="A161" s="64" t="s">
        <v>417</v>
      </c>
      <c r="B161" s="6" t="s">
        <v>221</v>
      </c>
      <c r="C161" s="15">
        <f>_xll.RssMarket("8892","現在値")</f>
        <v>1077</v>
      </c>
      <c r="D161" s="16">
        <f t="shared" si="2"/>
        <v>0</v>
      </c>
      <c r="E161" s="13">
        <v>1077</v>
      </c>
      <c r="F161" s="13">
        <v>1099</v>
      </c>
      <c r="G161" s="13">
        <v>1110</v>
      </c>
      <c r="H161" s="13">
        <v>1089</v>
      </c>
      <c r="I161" s="13">
        <v>1103</v>
      </c>
      <c r="J161" s="13">
        <v>1082</v>
      </c>
      <c r="K161" s="13">
        <v>1088</v>
      </c>
      <c r="L161" s="13">
        <v>1066</v>
      </c>
      <c r="M161" s="13">
        <v>1081</v>
      </c>
      <c r="N161" s="13">
        <v>1069</v>
      </c>
      <c r="O161" s="13">
        <v>1077</v>
      </c>
      <c r="P161" s="13">
        <v>1099</v>
      </c>
      <c r="Q161" s="13">
        <v>1107</v>
      </c>
      <c r="R161" s="13">
        <v>1104</v>
      </c>
      <c r="S161" s="13">
        <v>1106</v>
      </c>
      <c r="T161" s="13">
        <v>1111</v>
      </c>
      <c r="U161" s="13">
        <v>1139</v>
      </c>
      <c r="V161" s="13">
        <v>1122</v>
      </c>
      <c r="W161" s="13">
        <v>1150</v>
      </c>
      <c r="X161" s="13">
        <v>1121</v>
      </c>
      <c r="Y161" s="13">
        <v>1125</v>
      </c>
      <c r="Z161" s="13">
        <v>1155</v>
      </c>
      <c r="AA161" s="13">
        <v>1171</v>
      </c>
      <c r="AB161" s="13">
        <v>1164</v>
      </c>
      <c r="AC161" s="13">
        <v>1166</v>
      </c>
      <c r="AD161" s="13">
        <v>1171</v>
      </c>
      <c r="AE161" s="13">
        <v>1160</v>
      </c>
      <c r="AF161" s="13">
        <v>1175</v>
      </c>
      <c r="AG161" s="13">
        <v>1195</v>
      </c>
      <c r="AH161" s="13">
        <v>1200</v>
      </c>
      <c r="AI161" s="13">
        <v>1136</v>
      </c>
      <c r="AJ161" s="13">
        <v>1129</v>
      </c>
      <c r="AK161" s="13">
        <v>1126</v>
      </c>
      <c r="AL161" s="13">
        <v>1140</v>
      </c>
      <c r="AM161" s="13">
        <v>1143</v>
      </c>
      <c r="AN161" s="13">
        <v>1132</v>
      </c>
      <c r="AO161" s="13">
        <v>1136</v>
      </c>
      <c r="AP161" s="13">
        <v>1141</v>
      </c>
      <c r="AQ161" s="13">
        <v>1129</v>
      </c>
      <c r="AR161" s="13">
        <v>1131</v>
      </c>
      <c r="AS161" s="13">
        <v>1127</v>
      </c>
      <c r="AT161" s="13">
        <v>1118</v>
      </c>
      <c r="AU161" s="13">
        <v>1132</v>
      </c>
      <c r="AV161" s="13">
        <v>1122</v>
      </c>
      <c r="AW161" s="13">
        <v>1117</v>
      </c>
      <c r="AX161" s="13">
        <v>1102</v>
      </c>
      <c r="AY161" s="13">
        <v>1097</v>
      </c>
      <c r="AZ161" s="13">
        <v>1118</v>
      </c>
      <c r="BA161" s="13">
        <v>1082</v>
      </c>
      <c r="BB161" s="13">
        <v>1083</v>
      </c>
      <c r="BC161" s="13">
        <v>1138</v>
      </c>
      <c r="BD161" s="13">
        <v>1137</v>
      </c>
      <c r="BE161" s="13">
        <v>1137</v>
      </c>
      <c r="BF161" s="13">
        <v>1120</v>
      </c>
      <c r="BG161" s="13">
        <v>1104</v>
      </c>
      <c r="BH161" s="13">
        <v>1127</v>
      </c>
      <c r="BI161" s="13">
        <v>1135</v>
      </c>
      <c r="BJ161" s="13">
        <v>1116</v>
      </c>
      <c r="BK161" s="13">
        <v>1103</v>
      </c>
      <c r="BL161" s="13">
        <v>1103</v>
      </c>
    </row>
    <row r="162" spans="1:64" ht="15.95" customHeight="1">
      <c r="A162" s="64" t="s">
        <v>418</v>
      </c>
      <c r="B162" s="6" t="s">
        <v>222</v>
      </c>
      <c r="C162" s="15">
        <f>_xll.RssMarket("9687","現在値")</f>
        <v>4345</v>
      </c>
      <c r="D162" s="16">
        <f t="shared" si="2"/>
        <v>0</v>
      </c>
      <c r="E162" s="13">
        <v>4345</v>
      </c>
      <c r="F162" s="13">
        <v>4300</v>
      </c>
      <c r="G162" s="13">
        <v>4345</v>
      </c>
      <c r="H162" s="13">
        <v>4325</v>
      </c>
      <c r="I162" s="13">
        <v>4330</v>
      </c>
      <c r="J162" s="13">
        <v>4300</v>
      </c>
      <c r="K162" s="13">
        <v>4335</v>
      </c>
      <c r="L162" s="13">
        <v>4350</v>
      </c>
      <c r="M162" s="13">
        <v>4325</v>
      </c>
      <c r="N162" s="13">
        <v>4350</v>
      </c>
      <c r="O162" s="13">
        <v>4360</v>
      </c>
      <c r="P162" s="13">
        <v>4350</v>
      </c>
      <c r="Q162" s="13">
        <v>4360</v>
      </c>
      <c r="R162" s="13">
        <v>4365</v>
      </c>
      <c r="S162" s="13">
        <v>4305</v>
      </c>
      <c r="T162" s="13">
        <v>4345</v>
      </c>
      <c r="U162" s="13">
        <v>4335</v>
      </c>
      <c r="V162" s="13">
        <v>4355</v>
      </c>
      <c r="W162" s="13">
        <v>4350</v>
      </c>
      <c r="X162" s="13">
        <v>4365</v>
      </c>
      <c r="Y162" s="13">
        <v>4400</v>
      </c>
      <c r="Z162" s="13">
        <v>4375</v>
      </c>
      <c r="AA162" s="13">
        <v>4360</v>
      </c>
      <c r="AB162" s="13">
        <v>4440</v>
      </c>
      <c r="AC162" s="13">
        <v>4415</v>
      </c>
      <c r="AD162" s="13">
        <v>4365</v>
      </c>
      <c r="AE162" s="13">
        <v>4315</v>
      </c>
      <c r="AF162" s="13">
        <v>4350</v>
      </c>
      <c r="AG162" s="13">
        <v>4375</v>
      </c>
      <c r="AH162" s="13">
        <v>4370</v>
      </c>
      <c r="AI162" s="13">
        <v>4350</v>
      </c>
      <c r="AJ162" s="13">
        <v>4360</v>
      </c>
      <c r="AK162" s="13">
        <v>4385</v>
      </c>
      <c r="AL162" s="13">
        <v>4355</v>
      </c>
      <c r="AM162" s="13">
        <v>4345</v>
      </c>
      <c r="AN162" s="13">
        <v>4355</v>
      </c>
      <c r="AO162" s="13">
        <v>4380</v>
      </c>
      <c r="AP162" s="13">
        <v>4430</v>
      </c>
      <c r="AQ162" s="13">
        <v>4455</v>
      </c>
      <c r="AR162" s="13">
        <v>4375</v>
      </c>
      <c r="AS162" s="13">
        <v>4355</v>
      </c>
      <c r="AT162" s="13">
        <v>4380</v>
      </c>
      <c r="AU162" s="13">
        <v>4385</v>
      </c>
      <c r="AV162" s="13">
        <v>4330</v>
      </c>
      <c r="AW162" s="13">
        <v>4295</v>
      </c>
      <c r="AX162" s="13">
        <v>4340</v>
      </c>
      <c r="AY162" s="13">
        <v>4480</v>
      </c>
      <c r="AZ162" s="13">
        <v>4430</v>
      </c>
      <c r="BA162" s="13">
        <v>4500</v>
      </c>
      <c r="BB162" s="13">
        <v>4470</v>
      </c>
      <c r="BC162" s="13">
        <v>4415</v>
      </c>
      <c r="BD162" s="13">
        <v>4400</v>
      </c>
      <c r="BE162" s="13">
        <v>4495</v>
      </c>
      <c r="BF162" s="13">
        <v>4490</v>
      </c>
      <c r="BG162" s="13">
        <v>4355</v>
      </c>
      <c r="BH162" s="13">
        <v>4400</v>
      </c>
      <c r="BI162" s="13">
        <v>4385</v>
      </c>
      <c r="BJ162" s="13">
        <v>4420</v>
      </c>
      <c r="BK162" s="13">
        <v>4460</v>
      </c>
      <c r="BL162" s="13">
        <v>4350</v>
      </c>
    </row>
    <row r="163" spans="1:64" ht="15.95" customHeight="1">
      <c r="A163" s="64" t="s">
        <v>419</v>
      </c>
      <c r="B163" s="6" t="s">
        <v>223</v>
      </c>
      <c r="C163" s="15">
        <f>_xll.RssMarket("1930","現在値")</f>
        <v>1699</v>
      </c>
      <c r="D163" s="16">
        <f t="shared" si="2"/>
        <v>0</v>
      </c>
      <c r="E163" s="13">
        <v>1699</v>
      </c>
      <c r="F163" s="13">
        <v>1651</v>
      </c>
      <c r="G163" s="13">
        <v>1621</v>
      </c>
      <c r="H163" s="13">
        <v>1581</v>
      </c>
      <c r="I163" s="13">
        <v>1594</v>
      </c>
      <c r="J163" s="13">
        <v>1582</v>
      </c>
      <c r="K163" s="13">
        <v>1619</v>
      </c>
      <c r="L163" s="13">
        <v>1552</v>
      </c>
      <c r="M163" s="13">
        <v>1582</v>
      </c>
      <c r="N163" s="13">
        <v>1570</v>
      </c>
      <c r="O163" s="13">
        <v>1623</v>
      </c>
      <c r="P163" s="13">
        <v>1704</v>
      </c>
      <c r="Q163" s="13">
        <v>1681</v>
      </c>
      <c r="R163" s="13">
        <v>1671</v>
      </c>
      <c r="S163" s="13">
        <v>1605</v>
      </c>
      <c r="T163" s="13">
        <v>1590</v>
      </c>
      <c r="U163" s="13">
        <v>1634</v>
      </c>
      <c r="V163" s="13">
        <v>1608</v>
      </c>
      <c r="W163" s="13">
        <v>1667</v>
      </c>
      <c r="X163" s="13">
        <v>1683</v>
      </c>
      <c r="Y163" s="13">
        <v>1739</v>
      </c>
      <c r="Z163" s="13">
        <v>1766</v>
      </c>
      <c r="AA163" s="13">
        <v>1721</v>
      </c>
      <c r="AB163" s="13">
        <v>1684</v>
      </c>
      <c r="AC163" s="13">
        <v>1668</v>
      </c>
      <c r="AD163" s="13">
        <v>1693</v>
      </c>
      <c r="AE163" s="13">
        <v>1682</v>
      </c>
      <c r="AF163" s="13">
        <v>1502</v>
      </c>
      <c r="AG163" s="13">
        <v>1443</v>
      </c>
      <c r="AH163" s="13">
        <v>1458</v>
      </c>
      <c r="AI163" s="13">
        <v>1441</v>
      </c>
      <c r="AJ163" s="13">
        <v>1446</v>
      </c>
      <c r="AK163" s="13">
        <v>1472</v>
      </c>
      <c r="AL163" s="13">
        <v>1453</v>
      </c>
      <c r="AM163" s="13">
        <v>1456</v>
      </c>
      <c r="AN163" s="13">
        <v>1473</v>
      </c>
      <c r="AO163" s="13">
        <v>1448</v>
      </c>
      <c r="AP163" s="13">
        <v>1441</v>
      </c>
      <c r="AQ163" s="13">
        <v>1439</v>
      </c>
      <c r="AR163" s="13">
        <v>1474</v>
      </c>
      <c r="AS163" s="13">
        <v>1485</v>
      </c>
      <c r="AT163" s="13">
        <v>1513</v>
      </c>
      <c r="AU163" s="13">
        <v>1466</v>
      </c>
      <c r="AV163" s="13">
        <v>1458</v>
      </c>
      <c r="AW163" s="13">
        <v>1455</v>
      </c>
      <c r="AX163" s="13">
        <v>1454</v>
      </c>
      <c r="AY163" s="13">
        <v>1474</v>
      </c>
      <c r="AZ163" s="13">
        <v>1431</v>
      </c>
      <c r="BA163" s="13">
        <v>1443</v>
      </c>
      <c r="BB163" s="13">
        <v>1505</v>
      </c>
      <c r="BC163" s="13">
        <v>1501</v>
      </c>
      <c r="BD163" s="13">
        <v>1514</v>
      </c>
      <c r="BE163" s="13">
        <v>1475</v>
      </c>
      <c r="BF163" s="13">
        <v>1455</v>
      </c>
      <c r="BG163" s="13">
        <v>1541</v>
      </c>
      <c r="BH163" s="13">
        <v>1621</v>
      </c>
      <c r="BI163" s="13">
        <v>1577</v>
      </c>
      <c r="BJ163" s="13">
        <v>1578</v>
      </c>
      <c r="BK163" s="13">
        <v>1580</v>
      </c>
      <c r="BL163" s="13">
        <v>1599</v>
      </c>
    </row>
    <row r="164" spans="1:64" ht="15.95" customHeight="1">
      <c r="A164" s="64" t="s">
        <v>420</v>
      </c>
      <c r="B164" s="6" t="s">
        <v>224</v>
      </c>
      <c r="C164" s="15">
        <f>_xll.RssMarket("8704","現在値")</f>
        <v>1157</v>
      </c>
      <c r="D164" s="16">
        <f t="shared" si="2"/>
        <v>0</v>
      </c>
      <c r="E164" s="13">
        <v>1157</v>
      </c>
      <c r="F164" s="13">
        <v>1153</v>
      </c>
      <c r="G164" s="13">
        <v>1154</v>
      </c>
      <c r="H164" s="13">
        <v>1106</v>
      </c>
      <c r="I164" s="13">
        <v>1099</v>
      </c>
      <c r="J164" s="13">
        <v>1126</v>
      </c>
      <c r="K164" s="13">
        <v>1138</v>
      </c>
      <c r="L164" s="13">
        <v>1108</v>
      </c>
      <c r="M164" s="13">
        <v>1178</v>
      </c>
      <c r="N164" s="13">
        <v>1189</v>
      </c>
      <c r="O164" s="13">
        <v>1210</v>
      </c>
      <c r="P164" s="13">
        <v>1193</v>
      </c>
      <c r="Q164" s="13">
        <v>1148</v>
      </c>
      <c r="R164" s="13">
        <v>1139</v>
      </c>
      <c r="S164" s="13">
        <v>1134</v>
      </c>
      <c r="T164" s="13">
        <v>1139</v>
      </c>
      <c r="U164" s="13">
        <v>1119</v>
      </c>
      <c r="V164" s="13">
        <v>1134</v>
      </c>
      <c r="W164" s="13">
        <v>1146</v>
      </c>
      <c r="X164" s="13">
        <v>1169</v>
      </c>
      <c r="Y164" s="13">
        <v>1171</v>
      </c>
      <c r="Z164" s="13">
        <v>1217</v>
      </c>
      <c r="AA164" s="13">
        <v>1210</v>
      </c>
      <c r="AB164" s="13">
        <v>1236</v>
      </c>
      <c r="AC164" s="13">
        <v>1235</v>
      </c>
      <c r="AD164" s="13">
        <v>1178</v>
      </c>
      <c r="AE164" s="13">
        <v>1128</v>
      </c>
      <c r="AF164" s="13">
        <v>1043</v>
      </c>
      <c r="AG164" s="13">
        <v>1081</v>
      </c>
      <c r="AH164" s="13">
        <v>1030</v>
      </c>
      <c r="AI164" s="13">
        <v>1029</v>
      </c>
      <c r="AJ164" s="13">
        <v>1036</v>
      </c>
      <c r="AK164" s="13">
        <v>1042</v>
      </c>
      <c r="AL164" s="13">
        <v>1068</v>
      </c>
      <c r="AM164" s="13">
        <v>1053</v>
      </c>
      <c r="AN164" s="13">
        <v>1044</v>
      </c>
      <c r="AO164" s="13">
        <v>1061</v>
      </c>
      <c r="AP164" s="13">
        <v>1043</v>
      </c>
      <c r="AQ164" s="13">
        <v>1034</v>
      </c>
      <c r="AR164" s="13">
        <v>1038</v>
      </c>
      <c r="AS164" s="13">
        <v>1047</v>
      </c>
      <c r="AT164" s="13">
        <v>1057</v>
      </c>
      <c r="AU164" s="13">
        <v>1078</v>
      </c>
      <c r="AV164" s="13">
        <v>1048</v>
      </c>
      <c r="AW164" s="13">
        <v>1041</v>
      </c>
      <c r="AX164" s="13">
        <v>1040</v>
      </c>
      <c r="AY164" s="13">
        <v>1028</v>
      </c>
      <c r="AZ164" s="13">
        <v>1045</v>
      </c>
      <c r="BA164" s="13">
        <v>1013</v>
      </c>
      <c r="BB164" s="13">
        <v>1017</v>
      </c>
      <c r="BC164" s="13">
        <v>1047</v>
      </c>
      <c r="BD164" s="13">
        <v>1049</v>
      </c>
      <c r="BE164" s="13">
        <v>1072</v>
      </c>
      <c r="BF164" s="13">
        <v>1033</v>
      </c>
      <c r="BG164" s="13">
        <v>1001</v>
      </c>
      <c r="BH164" s="13">
        <v>1030</v>
      </c>
      <c r="BI164" s="13">
        <v>1068</v>
      </c>
      <c r="BJ164" s="13">
        <v>1026</v>
      </c>
      <c r="BK164" s="13">
        <v>1029</v>
      </c>
      <c r="BL164" s="13">
        <v>1037</v>
      </c>
    </row>
    <row r="165" spans="1:64" ht="15.95" customHeight="1">
      <c r="A165" s="64" t="s">
        <v>421</v>
      </c>
      <c r="B165" s="6" t="s">
        <v>225</v>
      </c>
      <c r="C165" s="15">
        <f>_xll.RssMarket("4733","現在値")</f>
        <v>5893</v>
      </c>
      <c r="D165" s="16">
        <f t="shared" si="2"/>
        <v>0</v>
      </c>
      <c r="E165" s="13">
        <v>5893</v>
      </c>
      <c r="F165" s="13">
        <v>5841</v>
      </c>
      <c r="G165" s="13">
        <v>5850</v>
      </c>
      <c r="H165" s="13">
        <v>5927</v>
      </c>
      <c r="I165" s="13">
        <v>5976</v>
      </c>
      <c r="J165" s="13">
        <v>6029</v>
      </c>
      <c r="K165" s="13">
        <v>6020</v>
      </c>
      <c r="L165" s="13">
        <v>5991</v>
      </c>
      <c r="M165" s="13">
        <v>6216</v>
      </c>
      <c r="N165" s="13">
        <v>6424</v>
      </c>
      <c r="O165" s="13">
        <v>6379</v>
      </c>
      <c r="P165" s="13">
        <v>6117</v>
      </c>
      <c r="Q165" s="13">
        <v>6088</v>
      </c>
      <c r="R165" s="13">
        <v>6169</v>
      </c>
      <c r="S165" s="13">
        <v>5979</v>
      </c>
      <c r="T165" s="13">
        <v>6121</v>
      </c>
      <c r="U165" s="13">
        <v>6101</v>
      </c>
      <c r="V165" s="13">
        <v>6121</v>
      </c>
      <c r="W165" s="13">
        <v>6249</v>
      </c>
      <c r="X165" s="13">
        <v>6117</v>
      </c>
      <c r="Y165" s="13">
        <v>6047</v>
      </c>
      <c r="Z165" s="13">
        <v>5999</v>
      </c>
      <c r="AA165" s="13">
        <v>6042</v>
      </c>
      <c r="AB165" s="13">
        <v>6075</v>
      </c>
      <c r="AC165" s="13">
        <v>6170</v>
      </c>
      <c r="AD165" s="13">
        <v>6213</v>
      </c>
      <c r="AE165" s="13">
        <v>6099</v>
      </c>
      <c r="AF165" s="13">
        <v>6082</v>
      </c>
      <c r="AG165" s="13">
        <v>6125</v>
      </c>
      <c r="AH165" s="13">
        <v>6244</v>
      </c>
      <c r="AI165" s="13">
        <v>6176</v>
      </c>
      <c r="AJ165" s="13">
        <v>6270</v>
      </c>
      <c r="AK165" s="13">
        <v>6270</v>
      </c>
      <c r="AL165" s="13">
        <v>6750</v>
      </c>
      <c r="AM165" s="13">
        <v>6481</v>
      </c>
      <c r="AN165" s="13">
        <v>6771</v>
      </c>
      <c r="AO165" s="13">
        <v>6682</v>
      </c>
      <c r="AP165" s="13">
        <v>6605</v>
      </c>
      <c r="AQ165" s="13">
        <v>6727</v>
      </c>
      <c r="AR165" s="13">
        <v>6551</v>
      </c>
      <c r="AS165" s="13">
        <v>6279</v>
      </c>
      <c r="AT165" s="13">
        <v>6187</v>
      </c>
      <c r="AU165" s="13">
        <v>6361</v>
      </c>
      <c r="AV165" s="13">
        <v>6485</v>
      </c>
      <c r="AW165" s="13">
        <v>6418</v>
      </c>
      <c r="AX165" s="13">
        <v>6365</v>
      </c>
      <c r="AY165" s="13">
        <v>6327</v>
      </c>
      <c r="AZ165" s="13">
        <v>6346</v>
      </c>
      <c r="BA165" s="13">
        <v>6371</v>
      </c>
      <c r="BB165" s="13">
        <v>6241</v>
      </c>
      <c r="BC165" s="13">
        <v>6164</v>
      </c>
      <c r="BD165" s="13">
        <v>6261</v>
      </c>
      <c r="BE165" s="13">
        <v>6202</v>
      </c>
      <c r="BF165" s="13">
        <v>6204</v>
      </c>
      <c r="BG165" s="13">
        <v>6240</v>
      </c>
      <c r="BH165" s="13">
        <v>6100</v>
      </c>
      <c r="BI165" s="13">
        <v>6121</v>
      </c>
      <c r="BJ165" s="13">
        <v>6287</v>
      </c>
      <c r="BK165" s="13">
        <v>6336</v>
      </c>
      <c r="BL165" s="13">
        <v>6300</v>
      </c>
    </row>
    <row r="166" spans="1:64" ht="15.95" customHeight="1">
      <c r="A166" s="64" t="s">
        <v>422</v>
      </c>
      <c r="B166" s="6" t="s">
        <v>226</v>
      </c>
      <c r="C166" s="15">
        <f>_xll.RssMarket("9733","現在値")</f>
        <v>2201</v>
      </c>
      <c r="D166" s="16">
        <f t="shared" si="2"/>
        <v>0</v>
      </c>
      <c r="E166" s="13">
        <v>2201</v>
      </c>
      <c r="F166" s="13">
        <v>2203</v>
      </c>
      <c r="G166" s="13">
        <v>2235</v>
      </c>
      <c r="H166" s="13">
        <v>2225</v>
      </c>
      <c r="I166" s="13">
        <v>2246</v>
      </c>
      <c r="J166" s="13">
        <v>2200</v>
      </c>
      <c r="K166" s="13">
        <v>2204</v>
      </c>
      <c r="L166" s="13">
        <v>2187</v>
      </c>
      <c r="M166" s="13">
        <v>2207</v>
      </c>
      <c r="N166" s="13">
        <v>2200</v>
      </c>
      <c r="O166" s="13">
        <v>2244</v>
      </c>
      <c r="P166" s="13">
        <v>2282</v>
      </c>
      <c r="Q166" s="13">
        <v>2265</v>
      </c>
      <c r="R166" s="13">
        <v>2266</v>
      </c>
      <c r="S166" s="13">
        <v>2273</v>
      </c>
      <c r="T166" s="13">
        <v>2310</v>
      </c>
      <c r="U166" s="13">
        <v>2296</v>
      </c>
      <c r="V166" s="13">
        <v>2320</v>
      </c>
      <c r="W166" s="13">
        <v>2316</v>
      </c>
      <c r="X166" s="13">
        <v>2287</v>
      </c>
      <c r="Y166" s="13">
        <v>2267</v>
      </c>
      <c r="Z166" s="13">
        <v>2278</v>
      </c>
      <c r="AA166" s="13">
        <v>2283</v>
      </c>
      <c r="AB166" s="13">
        <v>2269</v>
      </c>
      <c r="AC166" s="13">
        <v>2287</v>
      </c>
      <c r="AD166" s="13">
        <v>2280</v>
      </c>
      <c r="AE166" s="13">
        <v>2290</v>
      </c>
      <c r="AF166" s="13">
        <v>2300</v>
      </c>
      <c r="AG166" s="13">
        <v>2311</v>
      </c>
      <c r="AH166" s="13">
        <v>2335</v>
      </c>
      <c r="AI166" s="13">
        <v>2290</v>
      </c>
      <c r="AJ166" s="13">
        <v>2311</v>
      </c>
      <c r="AK166" s="13">
        <v>2345</v>
      </c>
      <c r="AL166" s="13">
        <v>2370</v>
      </c>
      <c r="AM166" s="13">
        <v>2362</v>
      </c>
      <c r="AN166" s="13">
        <v>2412</v>
      </c>
      <c r="AO166" s="13">
        <v>2460</v>
      </c>
      <c r="AP166" s="13">
        <v>2452</v>
      </c>
      <c r="AQ166" s="13">
        <v>2421</v>
      </c>
      <c r="AR166" s="13">
        <v>2481</v>
      </c>
      <c r="AS166" s="13">
        <v>2498</v>
      </c>
      <c r="AT166" s="13">
        <v>2528</v>
      </c>
      <c r="AU166" s="13">
        <v>2523</v>
      </c>
      <c r="AV166" s="13">
        <v>2544</v>
      </c>
      <c r="AW166" s="13">
        <v>2515</v>
      </c>
      <c r="AX166" s="13">
        <v>2522</v>
      </c>
      <c r="AY166" s="13">
        <v>2459</v>
      </c>
      <c r="AZ166" s="13">
        <v>2432</v>
      </c>
      <c r="BA166" s="13">
        <v>2435</v>
      </c>
      <c r="BB166" s="13">
        <v>2351</v>
      </c>
      <c r="BC166" s="13">
        <v>2595</v>
      </c>
      <c r="BD166" s="13">
        <v>2843</v>
      </c>
      <c r="BE166" s="13">
        <v>2845</v>
      </c>
      <c r="BF166" s="13">
        <v>2825</v>
      </c>
      <c r="BG166" s="13">
        <v>2737</v>
      </c>
      <c r="BH166" s="13">
        <v>2734</v>
      </c>
      <c r="BI166" s="13">
        <v>2770</v>
      </c>
      <c r="BJ166" s="13">
        <v>2797</v>
      </c>
      <c r="BK166" s="13">
        <v>2760</v>
      </c>
      <c r="BL166" s="13">
        <v>2750</v>
      </c>
    </row>
    <row r="167" spans="1:64" ht="15.95" customHeight="1">
      <c r="A167" s="64" t="s">
        <v>423</v>
      </c>
      <c r="B167" s="6" t="s">
        <v>227</v>
      </c>
      <c r="C167" s="15">
        <f>_xll.RssMarket("9551","現在値")</f>
        <v>3410</v>
      </c>
      <c r="D167" s="16">
        <f t="shared" si="2"/>
        <v>0</v>
      </c>
      <c r="E167" s="13">
        <v>3410</v>
      </c>
      <c r="F167" s="13">
        <v>3340</v>
      </c>
      <c r="G167" s="13">
        <v>3145</v>
      </c>
      <c r="H167" s="13">
        <v>3105</v>
      </c>
      <c r="I167" s="13">
        <v>3150</v>
      </c>
      <c r="J167" s="13">
        <v>3240</v>
      </c>
      <c r="K167" s="13">
        <v>3285</v>
      </c>
      <c r="L167" s="13">
        <v>3250</v>
      </c>
      <c r="M167" s="13">
        <v>3280</v>
      </c>
      <c r="N167" s="13">
        <v>3270</v>
      </c>
      <c r="O167" s="13">
        <v>3345</v>
      </c>
      <c r="P167" s="13">
        <v>3555</v>
      </c>
      <c r="Q167" s="13">
        <v>3250</v>
      </c>
      <c r="R167" s="13">
        <v>3265</v>
      </c>
      <c r="S167" s="13">
        <v>3275</v>
      </c>
      <c r="T167" s="13">
        <v>3265</v>
      </c>
      <c r="U167" s="13">
        <v>3270</v>
      </c>
      <c r="V167" s="13">
        <v>3235</v>
      </c>
      <c r="W167" s="13">
        <v>3285</v>
      </c>
      <c r="X167" s="13">
        <v>3360</v>
      </c>
      <c r="Y167" s="13">
        <v>3515</v>
      </c>
      <c r="Z167" s="13">
        <v>3430</v>
      </c>
      <c r="AA167" s="13">
        <v>3440</v>
      </c>
      <c r="AB167" s="13">
        <v>3385</v>
      </c>
      <c r="AC167" s="13">
        <v>3440</v>
      </c>
      <c r="AD167" s="13">
        <v>3435</v>
      </c>
      <c r="AE167" s="13">
        <v>3365</v>
      </c>
      <c r="AF167" s="13">
        <v>3390</v>
      </c>
      <c r="AG167" s="13">
        <v>3415</v>
      </c>
      <c r="AH167" s="13">
        <v>3270</v>
      </c>
      <c r="AI167" s="13">
        <v>3620</v>
      </c>
      <c r="AJ167" s="13">
        <v>3590</v>
      </c>
      <c r="AK167" s="13">
        <v>3620</v>
      </c>
      <c r="AL167" s="13">
        <v>3690</v>
      </c>
      <c r="AM167" s="13">
        <v>3705</v>
      </c>
      <c r="AN167" s="13">
        <v>3705</v>
      </c>
      <c r="AO167" s="13">
        <v>3685</v>
      </c>
      <c r="AP167" s="13">
        <v>3675</v>
      </c>
      <c r="AQ167" s="13">
        <v>3710</v>
      </c>
      <c r="AR167" s="13">
        <v>3630</v>
      </c>
      <c r="AS167" s="13">
        <v>3675</v>
      </c>
      <c r="AT167" s="13">
        <v>3705</v>
      </c>
      <c r="AU167" s="13">
        <v>3705</v>
      </c>
      <c r="AV167" s="13">
        <v>3565</v>
      </c>
      <c r="AW167" s="13">
        <v>3590</v>
      </c>
      <c r="AX167" s="13">
        <v>3555</v>
      </c>
      <c r="AY167" s="13">
        <v>3515</v>
      </c>
      <c r="AZ167" s="13">
        <v>3640</v>
      </c>
      <c r="BA167" s="13">
        <v>3400</v>
      </c>
      <c r="BB167" s="13">
        <v>3410</v>
      </c>
      <c r="BC167" s="13">
        <v>3535</v>
      </c>
      <c r="BD167" s="13">
        <v>3520</v>
      </c>
      <c r="BE167" s="13">
        <v>3545</v>
      </c>
      <c r="BF167" s="13">
        <v>3450</v>
      </c>
      <c r="BG167" s="13">
        <v>3330</v>
      </c>
      <c r="BH167" s="13">
        <v>3570</v>
      </c>
      <c r="BI167" s="13">
        <v>3785</v>
      </c>
      <c r="BJ167" s="13">
        <v>3645</v>
      </c>
      <c r="BK167" s="13">
        <v>3675</v>
      </c>
      <c r="BL167" s="13">
        <v>3685</v>
      </c>
    </row>
    <row r="168" spans="1:64" ht="15.95" customHeight="1">
      <c r="A168" s="64" t="s">
        <v>424</v>
      </c>
      <c r="B168" s="6" t="s">
        <v>228</v>
      </c>
      <c r="C168" s="15">
        <f>_xll.RssMarket("2359","現在値")</f>
        <v>2020</v>
      </c>
      <c r="D168" s="16">
        <f t="shared" si="2"/>
        <v>0</v>
      </c>
      <c r="E168" s="13">
        <v>2020</v>
      </c>
      <c r="F168" s="13">
        <v>2005</v>
      </c>
      <c r="G168" s="13">
        <v>1993</v>
      </c>
      <c r="H168" s="13">
        <v>2019</v>
      </c>
      <c r="I168" s="13">
        <v>2027</v>
      </c>
      <c r="J168" s="13">
        <v>2034</v>
      </c>
      <c r="K168" s="13">
        <v>2083</v>
      </c>
      <c r="L168" s="13">
        <v>2040</v>
      </c>
      <c r="M168" s="13">
        <v>2041</v>
      </c>
      <c r="N168" s="13">
        <v>2043</v>
      </c>
      <c r="O168" s="13">
        <v>2048</v>
      </c>
      <c r="P168" s="13">
        <v>2020</v>
      </c>
      <c r="Q168" s="13">
        <v>2060</v>
      </c>
      <c r="R168" s="13">
        <v>2030</v>
      </c>
      <c r="S168" s="13">
        <v>2096</v>
      </c>
      <c r="T168" s="13">
        <v>2099</v>
      </c>
      <c r="U168" s="13">
        <v>2102</v>
      </c>
      <c r="V168" s="13">
        <v>2100</v>
      </c>
      <c r="W168" s="13">
        <v>2086</v>
      </c>
      <c r="X168" s="13">
        <v>2044</v>
      </c>
      <c r="Y168" s="13">
        <v>2053</v>
      </c>
      <c r="Z168" s="13">
        <v>2064</v>
      </c>
      <c r="AA168" s="13">
        <v>2051</v>
      </c>
      <c r="AB168" s="13">
        <v>2015</v>
      </c>
      <c r="AC168" s="13">
        <v>2008</v>
      </c>
      <c r="AD168" s="13">
        <v>2006</v>
      </c>
      <c r="AE168" s="13">
        <v>1988</v>
      </c>
      <c r="AF168" s="13">
        <v>2016</v>
      </c>
      <c r="AG168" s="13">
        <v>2048</v>
      </c>
      <c r="AH168" s="13">
        <v>2205</v>
      </c>
      <c r="AI168" s="13">
        <v>2228</v>
      </c>
      <c r="AJ168" s="13">
        <v>2137</v>
      </c>
      <c r="AK168" s="13">
        <v>2137</v>
      </c>
      <c r="AL168" s="13">
        <v>2206</v>
      </c>
      <c r="AM168" s="13">
        <v>2245</v>
      </c>
      <c r="AN168" s="13">
        <v>2243</v>
      </c>
      <c r="AO168" s="13">
        <v>2251</v>
      </c>
      <c r="AP168" s="13">
        <v>2232</v>
      </c>
      <c r="AQ168" s="13">
        <v>2243</v>
      </c>
      <c r="AR168" s="13">
        <v>2215</v>
      </c>
      <c r="AS168" s="13">
        <v>2218</v>
      </c>
      <c r="AT168" s="13">
        <v>2239</v>
      </c>
      <c r="AU168" s="13">
        <v>2276</v>
      </c>
      <c r="AV168" s="13">
        <v>2313</v>
      </c>
      <c r="AW168" s="13">
        <v>2287</v>
      </c>
      <c r="AX168" s="13">
        <v>2269</v>
      </c>
      <c r="AY168" s="13">
        <v>2273</v>
      </c>
      <c r="AZ168" s="13">
        <v>2242</v>
      </c>
      <c r="BA168" s="13">
        <v>2271</v>
      </c>
      <c r="BB168" s="13">
        <v>2243</v>
      </c>
      <c r="BC168" s="13">
        <v>2216</v>
      </c>
      <c r="BD168" s="13">
        <v>2305</v>
      </c>
      <c r="BE168" s="13">
        <v>2287</v>
      </c>
      <c r="BF168" s="13">
        <v>2281</v>
      </c>
      <c r="BG168" s="13">
        <v>2179</v>
      </c>
      <c r="BH168" s="13">
        <v>2146</v>
      </c>
      <c r="BI168" s="13">
        <v>2185</v>
      </c>
      <c r="BJ168" s="13">
        <v>2233</v>
      </c>
      <c r="BK168" s="13">
        <v>2185</v>
      </c>
      <c r="BL168" s="13">
        <v>2184</v>
      </c>
    </row>
    <row r="169" spans="1:64" ht="15.95" customHeight="1">
      <c r="A169" s="64" t="s">
        <v>425</v>
      </c>
      <c r="B169" s="6" t="s">
        <v>229</v>
      </c>
      <c r="C169" s="15">
        <f>_xll.RssMarket("8103","現在値")</f>
        <v>873</v>
      </c>
      <c r="D169" s="16">
        <f t="shared" si="2"/>
        <v>0</v>
      </c>
      <c r="E169" s="13">
        <v>873</v>
      </c>
      <c r="F169" s="13">
        <v>872</v>
      </c>
      <c r="G169" s="13">
        <v>871</v>
      </c>
      <c r="H169" s="13">
        <v>858</v>
      </c>
      <c r="I169" s="13">
        <v>868</v>
      </c>
      <c r="J169" s="13">
        <v>880</v>
      </c>
      <c r="K169" s="13">
        <v>879</v>
      </c>
      <c r="L169" s="13">
        <v>882</v>
      </c>
      <c r="M169" s="13">
        <v>885</v>
      </c>
      <c r="N169" s="13">
        <v>878</v>
      </c>
      <c r="O169" s="13">
        <v>882</v>
      </c>
      <c r="P169" s="13">
        <v>880</v>
      </c>
      <c r="Q169" s="13">
        <v>887</v>
      </c>
      <c r="R169" s="13">
        <v>886</v>
      </c>
      <c r="S169" s="13">
        <v>907</v>
      </c>
      <c r="T169" s="13">
        <v>902</v>
      </c>
      <c r="U169" s="13">
        <v>890</v>
      </c>
      <c r="V169" s="13">
        <v>893</v>
      </c>
      <c r="W169" s="13">
        <v>909</v>
      </c>
      <c r="X169" s="13">
        <v>889</v>
      </c>
      <c r="Y169" s="13">
        <v>897</v>
      </c>
      <c r="Z169" s="13">
        <v>902</v>
      </c>
      <c r="AA169" s="13">
        <v>897</v>
      </c>
      <c r="AB169" s="13">
        <v>879</v>
      </c>
      <c r="AC169" s="13">
        <v>885</v>
      </c>
      <c r="AD169" s="13">
        <v>895</v>
      </c>
      <c r="AE169" s="13">
        <v>903</v>
      </c>
      <c r="AF169" s="13">
        <v>854</v>
      </c>
      <c r="AG169" s="13">
        <v>830</v>
      </c>
      <c r="AH169" s="13">
        <v>773</v>
      </c>
      <c r="AI169" s="13">
        <v>765</v>
      </c>
      <c r="AJ169" s="13">
        <v>773</v>
      </c>
      <c r="AK169" s="13">
        <v>767</v>
      </c>
      <c r="AL169" s="13">
        <v>773</v>
      </c>
      <c r="AM169" s="13">
        <v>773</v>
      </c>
      <c r="AN169" s="13">
        <v>778</v>
      </c>
      <c r="AO169" s="13">
        <v>782</v>
      </c>
      <c r="AP169" s="13">
        <v>783</v>
      </c>
      <c r="AQ169" s="13">
        <v>774</v>
      </c>
      <c r="AR169" s="13">
        <v>780</v>
      </c>
      <c r="AS169" s="13">
        <v>785</v>
      </c>
      <c r="AT169" s="13">
        <v>795</v>
      </c>
      <c r="AU169" s="13">
        <v>800</v>
      </c>
      <c r="AV169" s="13">
        <v>805</v>
      </c>
      <c r="AW169" s="13">
        <v>796</v>
      </c>
      <c r="AX169" s="13">
        <v>787</v>
      </c>
      <c r="AY169" s="13">
        <v>792</v>
      </c>
      <c r="AZ169" s="13">
        <v>794</v>
      </c>
      <c r="BA169" s="13">
        <v>804</v>
      </c>
      <c r="BB169" s="13">
        <v>789</v>
      </c>
      <c r="BC169" s="13">
        <v>786</v>
      </c>
      <c r="BD169" s="13">
        <v>826</v>
      </c>
      <c r="BE169" s="13">
        <v>824</v>
      </c>
      <c r="BF169" s="13">
        <v>829</v>
      </c>
      <c r="BG169" s="13">
        <v>819</v>
      </c>
      <c r="BH169" s="13">
        <v>801</v>
      </c>
      <c r="BI169" s="13">
        <v>815</v>
      </c>
      <c r="BJ169" s="13">
        <v>839</v>
      </c>
      <c r="BK169" s="13">
        <v>818</v>
      </c>
      <c r="BL169" s="13">
        <v>815</v>
      </c>
    </row>
    <row r="170" spans="1:64" ht="15.95" customHeight="1">
      <c r="A170" s="64" t="s">
        <v>426</v>
      </c>
      <c r="B170" s="6" t="s">
        <v>230</v>
      </c>
      <c r="C170" s="15">
        <f>_xll.RssMarket("4709","現在値")</f>
        <v>1092</v>
      </c>
      <c r="D170" s="16">
        <f t="shared" si="2"/>
        <v>0</v>
      </c>
      <c r="E170" s="13">
        <v>1092</v>
      </c>
      <c r="F170" s="13">
        <v>1110</v>
      </c>
      <c r="G170" s="13">
        <v>1060</v>
      </c>
      <c r="H170" s="13">
        <v>1059</v>
      </c>
      <c r="I170" s="13">
        <v>1084</v>
      </c>
      <c r="J170" s="13">
        <v>1022</v>
      </c>
      <c r="K170" s="13">
        <v>1003</v>
      </c>
      <c r="L170" s="13">
        <v>989</v>
      </c>
      <c r="M170" s="13">
        <v>1004</v>
      </c>
      <c r="N170" s="13">
        <v>1024</v>
      </c>
      <c r="O170" s="13">
        <v>1034</v>
      </c>
      <c r="P170" s="13">
        <v>1037</v>
      </c>
      <c r="Q170" s="13">
        <v>1020</v>
      </c>
      <c r="R170" s="13">
        <v>1001</v>
      </c>
      <c r="S170" s="13">
        <v>1033</v>
      </c>
      <c r="T170" s="13">
        <v>1045</v>
      </c>
      <c r="U170" s="13">
        <v>1049</v>
      </c>
      <c r="V170" s="13">
        <v>1037</v>
      </c>
      <c r="W170" s="13">
        <v>1052</v>
      </c>
      <c r="X170" s="13">
        <v>1016</v>
      </c>
      <c r="Y170" s="13">
        <v>1031</v>
      </c>
      <c r="Z170" s="13">
        <v>1015</v>
      </c>
      <c r="AA170" s="13">
        <v>1066</v>
      </c>
      <c r="AB170" s="13">
        <v>1072</v>
      </c>
      <c r="AC170" s="13">
        <v>1071</v>
      </c>
      <c r="AD170" s="13">
        <v>1017</v>
      </c>
      <c r="AE170" s="13">
        <v>1035</v>
      </c>
      <c r="AF170" s="13">
        <v>1031</v>
      </c>
      <c r="AG170" s="13">
        <v>1005</v>
      </c>
      <c r="AH170" s="13">
        <v>902</v>
      </c>
      <c r="AI170" s="13">
        <v>896</v>
      </c>
      <c r="AJ170" s="13">
        <v>886</v>
      </c>
      <c r="AK170" s="13">
        <v>892</v>
      </c>
      <c r="AL170" s="13">
        <v>912</v>
      </c>
      <c r="AM170" s="13">
        <v>921</v>
      </c>
      <c r="AN170" s="13">
        <v>920</v>
      </c>
      <c r="AO170" s="13">
        <v>936</v>
      </c>
      <c r="AP170" s="13">
        <v>938</v>
      </c>
      <c r="AQ170" s="13">
        <v>933</v>
      </c>
      <c r="AR170" s="13">
        <v>914</v>
      </c>
      <c r="AS170" s="13">
        <v>915</v>
      </c>
      <c r="AT170" s="13">
        <v>927</v>
      </c>
      <c r="AU170" s="13">
        <v>938</v>
      </c>
      <c r="AV170" s="13">
        <v>955</v>
      </c>
      <c r="AW170" s="13">
        <v>945</v>
      </c>
      <c r="AX170" s="13">
        <v>944</v>
      </c>
      <c r="AY170" s="13">
        <v>944</v>
      </c>
      <c r="AZ170" s="13">
        <v>952</v>
      </c>
      <c r="BA170" s="13">
        <v>957</v>
      </c>
      <c r="BB170" s="13">
        <v>935</v>
      </c>
      <c r="BC170" s="13">
        <v>930</v>
      </c>
      <c r="BD170" s="13">
        <v>957</v>
      </c>
      <c r="BE170" s="13">
        <v>947</v>
      </c>
      <c r="BF170" s="13">
        <v>949.5</v>
      </c>
      <c r="BG170" s="13">
        <v>937</v>
      </c>
      <c r="BH170" s="13">
        <v>916</v>
      </c>
      <c r="BI170" s="13">
        <v>940</v>
      </c>
      <c r="BJ170" s="13">
        <v>965.5</v>
      </c>
      <c r="BK170" s="13">
        <v>951.5</v>
      </c>
      <c r="BL170" s="13">
        <v>958</v>
      </c>
    </row>
    <row r="171" spans="1:64" ht="15.95" customHeight="1">
      <c r="A171" s="64" t="s">
        <v>427</v>
      </c>
      <c r="B171" s="6" t="s">
        <v>231</v>
      </c>
      <c r="C171" s="15">
        <f>_xll.RssMarket("7981","現在値")</f>
        <v>3000</v>
      </c>
      <c r="D171" s="16">
        <f t="shared" si="2"/>
        <v>0</v>
      </c>
      <c r="E171" s="13">
        <v>3000</v>
      </c>
      <c r="F171" s="13">
        <v>2967</v>
      </c>
      <c r="G171" s="13">
        <v>2961</v>
      </c>
      <c r="H171" s="13">
        <v>2944</v>
      </c>
      <c r="I171" s="13">
        <v>2941</v>
      </c>
      <c r="J171" s="13">
        <v>2967</v>
      </c>
      <c r="K171" s="13">
        <v>2944</v>
      </c>
      <c r="L171" s="13">
        <v>2942</v>
      </c>
      <c r="M171" s="13">
        <v>2923</v>
      </c>
      <c r="N171" s="13">
        <v>2968</v>
      </c>
      <c r="O171" s="13">
        <v>2969</v>
      </c>
      <c r="P171" s="13">
        <v>2960</v>
      </c>
      <c r="Q171" s="13">
        <v>2952</v>
      </c>
      <c r="R171" s="13">
        <v>2990</v>
      </c>
      <c r="S171" s="13">
        <v>2912</v>
      </c>
      <c r="T171" s="13">
        <v>2896</v>
      </c>
      <c r="U171" s="13">
        <v>2901</v>
      </c>
      <c r="V171" s="13">
        <v>2947</v>
      </c>
      <c r="W171" s="13">
        <v>2908</v>
      </c>
      <c r="X171" s="13">
        <v>2990</v>
      </c>
      <c r="Y171" s="13">
        <v>3005</v>
      </c>
      <c r="Z171" s="13">
        <v>2995</v>
      </c>
      <c r="AA171" s="13">
        <v>3025</v>
      </c>
      <c r="AB171" s="13">
        <v>3095</v>
      </c>
      <c r="AC171" s="13">
        <v>3050</v>
      </c>
      <c r="AD171" s="13">
        <v>3210</v>
      </c>
      <c r="AE171" s="13">
        <v>3070</v>
      </c>
      <c r="AF171" s="13">
        <v>2964</v>
      </c>
      <c r="AG171" s="13">
        <v>2820</v>
      </c>
      <c r="AH171" s="13">
        <v>2747</v>
      </c>
      <c r="AI171" s="13">
        <v>2648</v>
      </c>
      <c r="AJ171" s="13">
        <v>2660</v>
      </c>
      <c r="AK171" s="13">
        <v>2657</v>
      </c>
      <c r="AL171" s="13">
        <v>2675</v>
      </c>
      <c r="AM171" s="13">
        <v>2714</v>
      </c>
      <c r="AN171" s="13">
        <v>2720</v>
      </c>
      <c r="AO171" s="13">
        <v>2765</v>
      </c>
      <c r="AP171" s="13">
        <v>2719</v>
      </c>
      <c r="AQ171" s="13">
        <v>2665</v>
      </c>
      <c r="AR171" s="13">
        <v>2740</v>
      </c>
      <c r="AS171" s="13">
        <v>2932</v>
      </c>
      <c r="AT171" s="13">
        <v>2963</v>
      </c>
      <c r="AU171" s="13">
        <v>2928</v>
      </c>
      <c r="AV171" s="13">
        <v>2847</v>
      </c>
      <c r="AW171" s="13">
        <v>2811</v>
      </c>
      <c r="AX171" s="13">
        <v>2797</v>
      </c>
      <c r="AY171" s="13">
        <v>2778</v>
      </c>
      <c r="AZ171" s="13">
        <v>2826</v>
      </c>
      <c r="BA171" s="13">
        <v>2740</v>
      </c>
      <c r="BB171" s="13">
        <v>2760</v>
      </c>
      <c r="BC171" s="13">
        <v>2855</v>
      </c>
      <c r="BD171" s="13">
        <v>2858</v>
      </c>
      <c r="BE171" s="13">
        <v>2867</v>
      </c>
      <c r="BF171" s="13">
        <v>2805</v>
      </c>
      <c r="BG171" s="13">
        <v>2740</v>
      </c>
      <c r="BH171" s="13">
        <v>2817</v>
      </c>
      <c r="BI171" s="13">
        <v>2930</v>
      </c>
      <c r="BJ171" s="13">
        <v>2836</v>
      </c>
      <c r="BK171" s="13">
        <v>2804</v>
      </c>
      <c r="BL171" s="13">
        <v>2801</v>
      </c>
    </row>
    <row r="172" spans="1:64" ht="15.95" customHeight="1">
      <c r="A172" s="64" t="s">
        <v>428</v>
      </c>
      <c r="B172" s="6" t="s">
        <v>232</v>
      </c>
      <c r="C172" s="15">
        <f>_xll.RssMarket("8303","現在値")</f>
        <v>1445</v>
      </c>
      <c r="D172" s="16">
        <f t="shared" si="2"/>
        <v>0</v>
      </c>
      <c r="E172" s="13">
        <v>1445</v>
      </c>
      <c r="F172" s="13">
        <v>1449</v>
      </c>
      <c r="G172" s="13">
        <v>1460</v>
      </c>
      <c r="H172" s="13">
        <v>1436</v>
      </c>
      <c r="I172" s="13">
        <v>1445</v>
      </c>
      <c r="J172" s="13">
        <v>1392.5</v>
      </c>
      <c r="K172" s="13">
        <v>1396</v>
      </c>
      <c r="L172" s="13">
        <v>1418</v>
      </c>
      <c r="M172" s="13">
        <v>1392</v>
      </c>
      <c r="N172" s="13">
        <v>1359</v>
      </c>
      <c r="O172" s="13">
        <v>1398</v>
      </c>
      <c r="P172" s="13">
        <v>1359.5</v>
      </c>
      <c r="Q172" s="13">
        <v>1380</v>
      </c>
      <c r="R172" s="13">
        <v>1458.5</v>
      </c>
      <c r="S172" s="13">
        <v>1481</v>
      </c>
      <c r="T172" s="13">
        <v>1500</v>
      </c>
      <c r="U172" s="13">
        <v>1560</v>
      </c>
      <c r="V172" s="13">
        <v>1588</v>
      </c>
      <c r="W172" s="13">
        <v>1629</v>
      </c>
      <c r="X172" s="13">
        <v>1648.5</v>
      </c>
      <c r="Y172" s="13">
        <v>1616.5</v>
      </c>
      <c r="Z172" s="13">
        <v>1656.5</v>
      </c>
      <c r="AA172" s="13">
        <v>1658.5</v>
      </c>
      <c r="AB172" s="13">
        <v>1640</v>
      </c>
      <c r="AC172" s="13">
        <v>1676.5</v>
      </c>
      <c r="AD172" s="13">
        <v>1693</v>
      </c>
      <c r="AE172" s="13">
        <v>1717</v>
      </c>
      <c r="AF172" s="13">
        <v>1835</v>
      </c>
      <c r="AG172" s="13">
        <v>1821.5</v>
      </c>
      <c r="AH172" s="13">
        <v>1722.5</v>
      </c>
      <c r="AI172" s="13">
        <v>1686</v>
      </c>
      <c r="AJ172" s="13">
        <v>1747</v>
      </c>
      <c r="AK172" s="13">
        <v>1635</v>
      </c>
      <c r="AL172" s="13">
        <v>1658</v>
      </c>
      <c r="AM172" s="13">
        <v>1674.5</v>
      </c>
      <c r="AN172" s="13">
        <v>1687</v>
      </c>
      <c r="AO172" s="13">
        <v>1709</v>
      </c>
      <c r="AP172" s="13">
        <v>1693.5</v>
      </c>
      <c r="AQ172" s="13">
        <v>1670</v>
      </c>
      <c r="AR172" s="13">
        <v>1666.5</v>
      </c>
      <c r="AS172" s="13">
        <v>1693.5</v>
      </c>
      <c r="AT172" s="13">
        <v>1720.5</v>
      </c>
      <c r="AU172" s="13">
        <v>1766</v>
      </c>
      <c r="AV172" s="13">
        <v>1774</v>
      </c>
      <c r="AW172" s="13">
        <v>1756</v>
      </c>
      <c r="AX172" s="13">
        <v>1725.5</v>
      </c>
      <c r="AY172" s="13">
        <v>1722</v>
      </c>
      <c r="AZ172" s="13">
        <v>1759.5</v>
      </c>
      <c r="BA172" s="13">
        <v>1682.5</v>
      </c>
      <c r="BB172" s="13">
        <v>1686.5</v>
      </c>
      <c r="BC172" s="13">
        <v>1720.5</v>
      </c>
      <c r="BD172" s="13">
        <v>1692</v>
      </c>
      <c r="BE172" s="13">
        <v>1720</v>
      </c>
      <c r="BF172" s="13">
        <v>1695.5</v>
      </c>
      <c r="BG172" s="13">
        <v>1652</v>
      </c>
      <c r="BH172" s="13">
        <v>1685</v>
      </c>
      <c r="BI172" s="13">
        <v>1705</v>
      </c>
      <c r="BJ172" s="13">
        <v>1675.5</v>
      </c>
      <c r="BK172" s="13">
        <v>1688</v>
      </c>
      <c r="BL172" s="13">
        <v>1698</v>
      </c>
    </row>
    <row r="173" spans="1:64" ht="15.95" customHeight="1">
      <c r="A173" s="64" t="s">
        <v>429</v>
      </c>
      <c r="B173" s="6" t="s">
        <v>233</v>
      </c>
      <c r="C173" s="15">
        <f>_xll.RssMarket("4382","現在値")</f>
        <v>787</v>
      </c>
      <c r="D173" s="16">
        <f t="shared" si="2"/>
        <v>0</v>
      </c>
      <c r="E173" s="13">
        <v>787</v>
      </c>
      <c r="F173" s="13">
        <v>792</v>
      </c>
      <c r="G173" s="13">
        <v>803</v>
      </c>
      <c r="H173" s="13">
        <v>761</v>
      </c>
      <c r="I173" s="13">
        <v>763</v>
      </c>
      <c r="J173" s="13">
        <v>707</v>
      </c>
      <c r="K173" s="13">
        <v>720</v>
      </c>
      <c r="L173" s="13">
        <v>698</v>
      </c>
      <c r="M173" s="13">
        <v>700</v>
      </c>
      <c r="N173" s="13">
        <v>701</v>
      </c>
      <c r="O173" s="13">
        <v>706</v>
      </c>
      <c r="P173" s="13">
        <v>715</v>
      </c>
      <c r="Q173" s="13">
        <v>718</v>
      </c>
      <c r="R173" s="13">
        <v>749</v>
      </c>
      <c r="S173" s="13">
        <v>756</v>
      </c>
      <c r="T173" s="13">
        <v>771</v>
      </c>
      <c r="U173" s="13">
        <v>762</v>
      </c>
      <c r="V173" s="13">
        <v>764</v>
      </c>
      <c r="W173" s="13">
        <v>774</v>
      </c>
      <c r="X173" s="13">
        <v>761</v>
      </c>
      <c r="Y173" s="13">
        <v>764</v>
      </c>
      <c r="Z173" s="13">
        <v>770</v>
      </c>
      <c r="AA173" s="13">
        <v>782</v>
      </c>
      <c r="AB173" s="13">
        <v>783</v>
      </c>
      <c r="AC173" s="13">
        <v>804</v>
      </c>
      <c r="AD173" s="13">
        <v>809</v>
      </c>
      <c r="AE173" s="13">
        <v>810</v>
      </c>
      <c r="AF173" s="13">
        <v>808</v>
      </c>
      <c r="AG173" s="13">
        <v>816</v>
      </c>
      <c r="AH173" s="13">
        <v>872</v>
      </c>
      <c r="AI173" s="13">
        <v>846</v>
      </c>
      <c r="AJ173" s="13">
        <v>850</v>
      </c>
      <c r="AK173" s="13">
        <v>852</v>
      </c>
      <c r="AL173" s="13">
        <v>858</v>
      </c>
      <c r="AM173" s="13">
        <v>859</v>
      </c>
      <c r="AN173" s="13">
        <v>879</v>
      </c>
      <c r="AO173" s="13">
        <v>890</v>
      </c>
      <c r="AP173" s="13">
        <v>873</v>
      </c>
      <c r="AQ173" s="13">
        <v>869</v>
      </c>
      <c r="AR173" s="13">
        <v>857</v>
      </c>
      <c r="AS173" s="13">
        <v>850</v>
      </c>
      <c r="AT173" s="13">
        <v>857</v>
      </c>
      <c r="AU173" s="13">
        <v>886</v>
      </c>
      <c r="AV173" s="13">
        <v>872</v>
      </c>
      <c r="AW173" s="13">
        <v>874</v>
      </c>
      <c r="AX173" s="13">
        <v>855</v>
      </c>
      <c r="AY173" s="13">
        <v>851</v>
      </c>
      <c r="AZ173" s="13">
        <v>858</v>
      </c>
      <c r="BA173" s="13">
        <v>834</v>
      </c>
      <c r="BB173" s="13">
        <v>824</v>
      </c>
      <c r="BC173" s="13">
        <v>840</v>
      </c>
      <c r="BD173" s="13">
        <v>808</v>
      </c>
      <c r="BE173" s="13">
        <v>824</v>
      </c>
      <c r="BF173" s="13">
        <v>808</v>
      </c>
      <c r="BG173" s="13">
        <v>778</v>
      </c>
      <c r="BH173" s="13">
        <v>822</v>
      </c>
      <c r="BI173" s="13">
        <v>861</v>
      </c>
      <c r="BJ173" s="13">
        <v>863</v>
      </c>
      <c r="BK173" s="13">
        <v>865</v>
      </c>
      <c r="BL173" s="13">
        <v>888</v>
      </c>
    </row>
    <row r="174" spans="1:64" ht="15.95" customHeight="1">
      <c r="A174" s="64" t="s">
        <v>430</v>
      </c>
      <c r="B174" s="6" t="s">
        <v>234</v>
      </c>
      <c r="C174" s="15">
        <f>_xll.RssMarket("2327","現在値")</f>
        <v>3135</v>
      </c>
      <c r="D174" s="16">
        <f t="shared" si="2"/>
        <v>0</v>
      </c>
      <c r="E174" s="13">
        <v>3135</v>
      </c>
      <c r="F174" s="13">
        <v>3120</v>
      </c>
      <c r="G174" s="13">
        <v>3214</v>
      </c>
      <c r="H174" s="13">
        <v>3232</v>
      </c>
      <c r="I174" s="13">
        <v>3256</v>
      </c>
      <c r="J174" s="13">
        <v>3339</v>
      </c>
      <c r="K174" s="13">
        <v>3415</v>
      </c>
      <c r="L174" s="13">
        <v>3433</v>
      </c>
      <c r="M174" s="13">
        <v>3423</v>
      </c>
      <c r="N174" s="13">
        <v>3545</v>
      </c>
      <c r="O174" s="13">
        <v>3566</v>
      </c>
      <c r="P174" s="13">
        <v>3485</v>
      </c>
      <c r="Q174" s="13">
        <v>3511</v>
      </c>
      <c r="R174" s="13">
        <v>3566</v>
      </c>
      <c r="S174" s="13">
        <v>3649</v>
      </c>
      <c r="T174" s="13">
        <v>3576</v>
      </c>
      <c r="U174" s="13">
        <v>3548</v>
      </c>
      <c r="V174" s="13">
        <v>3590</v>
      </c>
      <c r="W174" s="13">
        <v>3522</v>
      </c>
      <c r="X174" s="13">
        <v>3476</v>
      </c>
      <c r="Y174" s="13">
        <v>3529</v>
      </c>
      <c r="Z174" s="13">
        <v>3563</v>
      </c>
      <c r="AA174" s="13">
        <v>3709</v>
      </c>
      <c r="AB174" s="13">
        <v>3610</v>
      </c>
      <c r="AC174" s="13">
        <v>3648</v>
      </c>
      <c r="AD174" s="13">
        <v>3590</v>
      </c>
      <c r="AE174" s="13">
        <v>3566</v>
      </c>
      <c r="AF174" s="13">
        <v>3605</v>
      </c>
      <c r="AG174" s="13">
        <v>3711</v>
      </c>
      <c r="AH174" s="13">
        <v>3584</v>
      </c>
      <c r="AI174" s="13">
        <v>3680</v>
      </c>
      <c r="AJ174" s="13">
        <v>3708</v>
      </c>
      <c r="AK174" s="13">
        <v>3903</v>
      </c>
      <c r="AL174" s="13">
        <v>3878</v>
      </c>
      <c r="AM174" s="13">
        <v>3832</v>
      </c>
      <c r="AN174" s="13">
        <v>3909</v>
      </c>
      <c r="AO174" s="13">
        <v>3862</v>
      </c>
      <c r="AP174" s="13">
        <v>3865</v>
      </c>
      <c r="AQ174" s="13">
        <v>3750</v>
      </c>
      <c r="AR174" s="13">
        <v>3714</v>
      </c>
      <c r="AS174" s="13">
        <v>3771</v>
      </c>
      <c r="AT174" s="13">
        <v>3841</v>
      </c>
      <c r="AU174" s="13">
        <v>3864</v>
      </c>
      <c r="AV174" s="13">
        <v>3872</v>
      </c>
      <c r="AW174" s="13">
        <v>3854</v>
      </c>
      <c r="AX174" s="13">
        <v>3820</v>
      </c>
      <c r="AY174" s="13">
        <v>3670</v>
      </c>
      <c r="AZ174" s="13">
        <v>3741</v>
      </c>
      <c r="BA174" s="13">
        <v>3662</v>
      </c>
      <c r="BB174" s="13">
        <v>3639</v>
      </c>
      <c r="BC174" s="13">
        <v>3692</v>
      </c>
      <c r="BD174" s="13">
        <v>3669</v>
      </c>
      <c r="BE174" s="13">
        <v>3670</v>
      </c>
      <c r="BF174" s="13">
        <v>3648</v>
      </c>
      <c r="BG174" s="13">
        <v>3624</v>
      </c>
      <c r="BH174" s="13">
        <v>3683</v>
      </c>
      <c r="BI174" s="13">
        <v>3762</v>
      </c>
      <c r="BJ174" s="13">
        <v>3743</v>
      </c>
      <c r="BK174" s="13">
        <v>3729</v>
      </c>
      <c r="BL174" s="13">
        <v>3675</v>
      </c>
    </row>
    <row r="175" spans="1:64" ht="15.95" customHeight="1">
      <c r="A175" s="64" t="s">
        <v>431</v>
      </c>
      <c r="B175" s="6" t="s">
        <v>235</v>
      </c>
      <c r="C175" s="15">
        <f>_xll.RssMarket("1942","現在値")</f>
        <v>6467</v>
      </c>
      <c r="D175" s="16">
        <f t="shared" si="2"/>
        <v>0</v>
      </c>
      <c r="E175" s="13">
        <v>6467</v>
      </c>
      <c r="F175" s="13">
        <v>6237</v>
      </c>
      <c r="G175" s="13">
        <v>5773</v>
      </c>
      <c r="H175" s="13">
        <v>5801</v>
      </c>
      <c r="I175" s="13">
        <v>5935</v>
      </c>
      <c r="J175" s="13">
        <v>5745</v>
      </c>
      <c r="K175" s="13">
        <v>5854</v>
      </c>
      <c r="L175" s="13">
        <v>5786</v>
      </c>
      <c r="M175" s="13">
        <v>5802</v>
      </c>
      <c r="N175" s="13">
        <v>6067</v>
      </c>
      <c r="O175" s="13">
        <v>6087</v>
      </c>
      <c r="P175" s="13">
        <v>6538</v>
      </c>
      <c r="Q175" s="13">
        <v>6568</v>
      </c>
      <c r="R175" s="13">
        <v>6475</v>
      </c>
      <c r="S175" s="13">
        <v>6442</v>
      </c>
      <c r="T175" s="13">
        <v>5966</v>
      </c>
      <c r="U175" s="13">
        <v>6089</v>
      </c>
      <c r="V175" s="13">
        <v>6088</v>
      </c>
      <c r="W175" s="13">
        <v>6422</v>
      </c>
      <c r="X175" s="13">
        <v>6470</v>
      </c>
      <c r="Y175" s="13">
        <v>6845</v>
      </c>
      <c r="Z175" s="13">
        <v>6929</v>
      </c>
      <c r="AA175" s="13">
        <v>7267</v>
      </c>
      <c r="AB175" s="13">
        <v>7346</v>
      </c>
      <c r="AC175" s="13">
        <v>7165</v>
      </c>
      <c r="AD175" s="13">
        <v>7046</v>
      </c>
      <c r="AE175" s="13">
        <v>7025</v>
      </c>
      <c r="AF175" s="13">
        <v>6734</v>
      </c>
      <c r="AG175" s="13">
        <v>6838</v>
      </c>
      <c r="AH175" s="13">
        <v>6797</v>
      </c>
      <c r="AI175" s="13">
        <v>5982</v>
      </c>
      <c r="AJ175" s="13">
        <v>6073</v>
      </c>
      <c r="AK175" s="13">
        <v>6077</v>
      </c>
      <c r="AL175" s="13">
        <v>6052</v>
      </c>
      <c r="AM175" s="13">
        <v>6145</v>
      </c>
      <c r="AN175" s="13">
        <v>6139</v>
      </c>
      <c r="AO175" s="13">
        <v>6141</v>
      </c>
      <c r="AP175" s="13">
        <v>6188</v>
      </c>
      <c r="AQ175" s="13">
        <v>6110</v>
      </c>
      <c r="AR175" s="13">
        <v>6326</v>
      </c>
      <c r="AS175" s="13">
        <v>6243</v>
      </c>
      <c r="AT175" s="13">
        <v>6333</v>
      </c>
      <c r="AU175" s="13">
        <v>6385</v>
      </c>
      <c r="AV175" s="13">
        <v>6300</v>
      </c>
      <c r="AW175" s="13">
        <v>6075</v>
      </c>
      <c r="AX175" s="13">
        <v>6063</v>
      </c>
      <c r="AY175" s="13">
        <v>6113</v>
      </c>
      <c r="AZ175" s="13">
        <v>6022</v>
      </c>
      <c r="BA175" s="13">
        <v>6200</v>
      </c>
      <c r="BB175" s="13">
        <v>5862</v>
      </c>
      <c r="BC175" s="13">
        <v>5995</v>
      </c>
      <c r="BD175" s="13">
        <v>6216</v>
      </c>
      <c r="BE175" s="13">
        <v>6306</v>
      </c>
      <c r="BF175" s="13">
        <v>6332</v>
      </c>
      <c r="BG175" s="13">
        <v>6048</v>
      </c>
      <c r="BH175" s="13">
        <v>5918</v>
      </c>
      <c r="BI175" s="13">
        <v>6195</v>
      </c>
      <c r="BJ175" s="13">
        <v>6352</v>
      </c>
      <c r="BK175" s="13">
        <v>6227</v>
      </c>
      <c r="BL175" s="13">
        <v>6044</v>
      </c>
    </row>
    <row r="176" spans="1:64" ht="15.95" customHeight="1">
      <c r="A176" s="64" t="s">
        <v>432</v>
      </c>
      <c r="B176" s="6" t="s">
        <v>236</v>
      </c>
      <c r="C176" s="15">
        <f>_xll.RssMarket("1938","現在値")</f>
        <v>2767</v>
      </c>
      <c r="D176" s="16">
        <f t="shared" si="2"/>
        <v>0</v>
      </c>
      <c r="E176" s="13">
        <v>2767</v>
      </c>
      <c r="F176" s="13">
        <v>2758</v>
      </c>
      <c r="G176" s="13">
        <v>2688</v>
      </c>
      <c r="H176" s="13">
        <v>2664</v>
      </c>
      <c r="I176" s="13">
        <v>2744</v>
      </c>
      <c r="J176" s="13">
        <v>2695</v>
      </c>
      <c r="K176" s="13">
        <v>2772</v>
      </c>
      <c r="L176" s="13">
        <v>2763</v>
      </c>
      <c r="M176" s="13">
        <v>2705</v>
      </c>
      <c r="N176" s="13">
        <v>2704</v>
      </c>
      <c r="O176" s="13">
        <v>2732</v>
      </c>
      <c r="P176" s="13">
        <v>2829</v>
      </c>
      <c r="Q176" s="13">
        <v>2779</v>
      </c>
      <c r="R176" s="13">
        <v>2761</v>
      </c>
      <c r="S176" s="13">
        <v>2830</v>
      </c>
      <c r="T176" s="13">
        <v>2637</v>
      </c>
      <c r="U176" s="13">
        <v>2655</v>
      </c>
      <c r="V176" s="13">
        <v>2704</v>
      </c>
      <c r="W176" s="13">
        <v>2802</v>
      </c>
      <c r="X176" s="13">
        <v>2849</v>
      </c>
      <c r="Y176" s="13">
        <v>2921</v>
      </c>
      <c r="Z176" s="13">
        <v>2919</v>
      </c>
      <c r="AA176" s="13">
        <v>3055</v>
      </c>
      <c r="AB176" s="13">
        <v>3045</v>
      </c>
      <c r="AC176" s="13">
        <v>3010</v>
      </c>
      <c r="AD176" s="13">
        <v>2918</v>
      </c>
      <c r="AE176" s="13">
        <v>2924</v>
      </c>
      <c r="AF176" s="13">
        <v>2789</v>
      </c>
      <c r="AG176" s="13">
        <v>2710</v>
      </c>
      <c r="AH176" s="13">
        <v>2733</v>
      </c>
      <c r="AI176" s="13">
        <v>2543</v>
      </c>
      <c r="AJ176" s="13">
        <v>2582</v>
      </c>
      <c r="AK176" s="13">
        <v>2572</v>
      </c>
      <c r="AL176" s="13">
        <v>2510</v>
      </c>
      <c r="AM176" s="13">
        <v>2588</v>
      </c>
      <c r="AN176" s="13">
        <v>2543</v>
      </c>
      <c r="AO176" s="13">
        <v>2537</v>
      </c>
      <c r="AP176" s="13">
        <v>2610</v>
      </c>
      <c r="AQ176" s="13">
        <v>2585</v>
      </c>
      <c r="AR176" s="13">
        <v>2654</v>
      </c>
      <c r="AS176" s="13">
        <v>2657</v>
      </c>
      <c r="AT176" s="13">
        <v>2654</v>
      </c>
      <c r="AU176" s="13">
        <v>2641</v>
      </c>
      <c r="AV176" s="13">
        <v>2679</v>
      </c>
      <c r="AW176" s="13">
        <v>2576</v>
      </c>
      <c r="AX176" s="13">
        <v>2551</v>
      </c>
      <c r="AY176" s="13">
        <v>2535</v>
      </c>
      <c r="AZ176" s="13">
        <v>2522</v>
      </c>
      <c r="BA176" s="13">
        <v>2576</v>
      </c>
      <c r="BB176" s="13">
        <v>2521</v>
      </c>
      <c r="BC176" s="13">
        <v>2534</v>
      </c>
      <c r="BD176" s="13">
        <v>2653</v>
      </c>
      <c r="BE176" s="13">
        <v>2633</v>
      </c>
      <c r="BF176" s="13">
        <v>2700</v>
      </c>
      <c r="BG176" s="13">
        <v>2592</v>
      </c>
      <c r="BH176" s="13">
        <v>2525</v>
      </c>
      <c r="BI176" s="13">
        <v>2694</v>
      </c>
      <c r="BJ176" s="13">
        <v>2763</v>
      </c>
      <c r="BK176" s="13">
        <v>2676</v>
      </c>
      <c r="BL176" s="13">
        <v>2640</v>
      </c>
    </row>
    <row r="177" spans="1:64" ht="15.95" customHeight="1">
      <c r="A177" s="64" t="s">
        <v>433</v>
      </c>
      <c r="B177" s="6" t="s">
        <v>237</v>
      </c>
      <c r="C177" s="15">
        <f>_xll.RssMarket("7236","現在値")</f>
        <v>14250</v>
      </c>
      <c r="D177" s="16">
        <f t="shared" si="2"/>
        <v>0</v>
      </c>
      <c r="E177" s="13">
        <v>14250</v>
      </c>
      <c r="F177" s="13">
        <v>14230</v>
      </c>
      <c r="G177" s="13">
        <v>13950</v>
      </c>
      <c r="H177" s="13">
        <v>14130</v>
      </c>
      <c r="I177" s="13">
        <v>14350</v>
      </c>
      <c r="J177" s="13">
        <v>14050</v>
      </c>
      <c r="K177" s="13">
        <v>14360</v>
      </c>
      <c r="L177" s="13">
        <v>14060</v>
      </c>
      <c r="M177" s="13">
        <v>14420</v>
      </c>
      <c r="N177" s="13">
        <v>14980</v>
      </c>
      <c r="O177" s="13">
        <v>15320</v>
      </c>
      <c r="P177" s="13">
        <v>14860</v>
      </c>
      <c r="Q177" s="13">
        <v>14850</v>
      </c>
      <c r="R177" s="13">
        <v>14960</v>
      </c>
      <c r="S177" s="13">
        <v>15440</v>
      </c>
      <c r="T177" s="13">
        <v>14740</v>
      </c>
      <c r="U177" s="13">
        <v>14340</v>
      </c>
      <c r="V177" s="13">
        <v>13650</v>
      </c>
      <c r="W177" s="13">
        <v>13850</v>
      </c>
      <c r="X177" s="13">
        <v>13830</v>
      </c>
      <c r="Y177" s="13">
        <v>14370</v>
      </c>
      <c r="Z177" s="13">
        <v>14450</v>
      </c>
      <c r="AA177" s="13">
        <v>14800</v>
      </c>
      <c r="AB177" s="13">
        <v>14480</v>
      </c>
      <c r="AC177" s="13">
        <v>14730</v>
      </c>
      <c r="AD177" s="13">
        <v>14500</v>
      </c>
      <c r="AE177" s="13">
        <v>14680</v>
      </c>
      <c r="AF177" s="13">
        <v>14600</v>
      </c>
      <c r="AG177" s="13">
        <v>11110</v>
      </c>
      <c r="AH177" s="13">
        <v>9610</v>
      </c>
      <c r="AI177" s="13">
        <v>8110</v>
      </c>
      <c r="AJ177" s="13">
        <v>8150</v>
      </c>
      <c r="AK177" s="13">
        <v>8510</v>
      </c>
      <c r="AL177" s="13">
        <v>8820</v>
      </c>
      <c r="AM177" s="13">
        <v>9140</v>
      </c>
      <c r="AN177" s="13">
        <v>9210</v>
      </c>
      <c r="AO177" s="13">
        <v>9040</v>
      </c>
      <c r="AP177" s="13">
        <v>9010</v>
      </c>
      <c r="AQ177" s="13">
        <v>8550</v>
      </c>
      <c r="AR177" s="13">
        <v>8360</v>
      </c>
      <c r="AS177" s="13">
        <v>8250</v>
      </c>
      <c r="AT177" s="13">
        <v>8200</v>
      </c>
      <c r="AU177" s="13">
        <v>8200</v>
      </c>
      <c r="AV177" s="13">
        <v>8380</v>
      </c>
      <c r="AW177" s="13">
        <v>8090</v>
      </c>
      <c r="AX177" s="13">
        <v>8110</v>
      </c>
      <c r="AY177" s="13">
        <v>8050</v>
      </c>
      <c r="AZ177" s="13">
        <v>8060</v>
      </c>
      <c r="BA177" s="13">
        <v>8230</v>
      </c>
      <c r="BB177" s="13">
        <v>7750</v>
      </c>
      <c r="BC177" s="13">
        <v>7890</v>
      </c>
      <c r="BD177" s="13">
        <v>8330</v>
      </c>
      <c r="BE177" s="13">
        <v>8420</v>
      </c>
      <c r="BF177" s="13">
        <v>8700</v>
      </c>
      <c r="BG177" s="13">
        <v>8480</v>
      </c>
      <c r="BH177" s="13">
        <v>8300</v>
      </c>
      <c r="BI177" s="13">
        <v>8830</v>
      </c>
      <c r="BJ177" s="13">
        <v>9320</v>
      </c>
      <c r="BK177" s="13">
        <v>9030</v>
      </c>
      <c r="BL177" s="13">
        <v>9120</v>
      </c>
    </row>
    <row r="178" spans="1:64" ht="15.95" customHeight="1">
      <c r="A178" s="64" t="s">
        <v>434</v>
      </c>
      <c r="B178" s="6" t="s">
        <v>238</v>
      </c>
      <c r="C178" s="15">
        <f>_xll.RssMarket("6436","現在値")</f>
        <v>3565</v>
      </c>
      <c r="D178" s="16">
        <f t="shared" si="2"/>
        <v>0</v>
      </c>
      <c r="E178" s="13">
        <v>3565</v>
      </c>
      <c r="F178" s="13">
        <v>3563</v>
      </c>
      <c r="G178" s="13">
        <v>3588</v>
      </c>
      <c r="H178" s="13">
        <v>3597</v>
      </c>
      <c r="I178" s="13">
        <v>3632</v>
      </c>
      <c r="J178" s="13">
        <v>3562</v>
      </c>
      <c r="K178" s="13">
        <v>3530</v>
      </c>
      <c r="L178" s="13">
        <v>3512</v>
      </c>
      <c r="M178" s="13">
        <v>3533</v>
      </c>
      <c r="N178" s="13">
        <v>3532</v>
      </c>
      <c r="O178" s="13">
        <v>3534</v>
      </c>
      <c r="P178" s="13">
        <v>3574</v>
      </c>
      <c r="Q178" s="13">
        <v>3568</v>
      </c>
      <c r="R178" s="13">
        <v>3553</v>
      </c>
      <c r="S178" s="13">
        <v>3594</v>
      </c>
      <c r="T178" s="13">
        <v>3622</v>
      </c>
      <c r="U178" s="13">
        <v>3634</v>
      </c>
      <c r="V178" s="13">
        <v>3639</v>
      </c>
      <c r="W178" s="13">
        <v>3695</v>
      </c>
      <c r="X178" s="13">
        <v>3631</v>
      </c>
      <c r="Y178" s="13">
        <v>3671</v>
      </c>
      <c r="Z178" s="13">
        <v>3672</v>
      </c>
      <c r="AA178" s="13">
        <v>3647</v>
      </c>
      <c r="AB178" s="13">
        <v>3678</v>
      </c>
      <c r="AC178" s="13">
        <v>3688</v>
      </c>
      <c r="AD178" s="13">
        <v>3676</v>
      </c>
      <c r="AE178" s="13">
        <v>3621</v>
      </c>
      <c r="AF178" s="13">
        <v>3573</v>
      </c>
      <c r="AG178" s="13">
        <v>3583</v>
      </c>
      <c r="AH178" s="13">
        <v>3706</v>
      </c>
      <c r="AI178" s="13">
        <v>3637</v>
      </c>
      <c r="AJ178" s="13">
        <v>3795</v>
      </c>
      <c r="AK178" s="13">
        <v>3840</v>
      </c>
      <c r="AL178" s="13">
        <v>3846</v>
      </c>
      <c r="AM178" s="13">
        <v>3841</v>
      </c>
      <c r="AN178" s="13">
        <v>3876</v>
      </c>
      <c r="AO178" s="13">
        <v>3914</v>
      </c>
      <c r="AP178" s="13">
        <v>3883</v>
      </c>
      <c r="AQ178" s="13">
        <v>3850</v>
      </c>
      <c r="AR178" s="13">
        <v>3863</v>
      </c>
      <c r="AS178" s="13">
        <v>3887</v>
      </c>
      <c r="AT178" s="13">
        <v>3885</v>
      </c>
      <c r="AU178" s="13">
        <v>3951</v>
      </c>
      <c r="AV178" s="13">
        <v>3924</v>
      </c>
      <c r="AW178" s="13">
        <v>3902</v>
      </c>
      <c r="AX178" s="13">
        <v>3871</v>
      </c>
      <c r="AY178" s="13">
        <v>3848</v>
      </c>
      <c r="AZ178" s="13">
        <v>3844</v>
      </c>
      <c r="BA178" s="13">
        <v>3856</v>
      </c>
      <c r="BB178" s="13">
        <v>3778</v>
      </c>
      <c r="BC178" s="13">
        <v>3753</v>
      </c>
      <c r="BD178" s="13">
        <v>3891</v>
      </c>
      <c r="BE178" s="13">
        <v>3896</v>
      </c>
      <c r="BF178" s="13">
        <v>3895</v>
      </c>
      <c r="BG178" s="13">
        <v>3867</v>
      </c>
      <c r="BH178" s="13">
        <v>3818</v>
      </c>
      <c r="BI178" s="13">
        <v>3860</v>
      </c>
      <c r="BJ178" s="13">
        <v>3916</v>
      </c>
      <c r="BK178" s="13">
        <v>3859</v>
      </c>
      <c r="BL178" s="13">
        <v>3840</v>
      </c>
    </row>
    <row r="179" spans="1:64" ht="15.95" customHeight="1">
      <c r="A179" s="64" t="s">
        <v>435</v>
      </c>
      <c r="B179" s="6" t="s">
        <v>239</v>
      </c>
      <c r="C179" s="15">
        <f>_xll.RssMarket("5410","現在値")</f>
        <v>2617</v>
      </c>
      <c r="D179" s="16">
        <f t="shared" si="2"/>
        <v>0</v>
      </c>
      <c r="E179" s="13">
        <v>2617</v>
      </c>
      <c r="F179" s="13">
        <v>2594</v>
      </c>
      <c r="G179" s="13">
        <v>2602</v>
      </c>
      <c r="H179" s="13">
        <v>2533</v>
      </c>
      <c r="I179" s="13">
        <v>2553</v>
      </c>
      <c r="J179" s="13">
        <v>2530</v>
      </c>
      <c r="K179" s="13">
        <v>2566</v>
      </c>
      <c r="L179" s="13">
        <v>2551</v>
      </c>
      <c r="M179" s="13">
        <v>2581</v>
      </c>
      <c r="N179" s="13">
        <v>2567</v>
      </c>
      <c r="O179" s="13">
        <v>2600</v>
      </c>
      <c r="P179" s="13">
        <v>2747</v>
      </c>
      <c r="Q179" s="13">
        <v>2704</v>
      </c>
      <c r="R179" s="13">
        <v>2705</v>
      </c>
      <c r="S179" s="13">
        <v>2658</v>
      </c>
      <c r="T179" s="13">
        <v>2682</v>
      </c>
      <c r="U179" s="13">
        <v>2713</v>
      </c>
      <c r="V179" s="13">
        <v>2675</v>
      </c>
      <c r="W179" s="13">
        <v>2780</v>
      </c>
      <c r="X179" s="13">
        <v>2762</v>
      </c>
      <c r="Y179" s="13">
        <v>2839</v>
      </c>
      <c r="Z179" s="13">
        <v>2852</v>
      </c>
      <c r="AA179" s="13">
        <v>2824</v>
      </c>
      <c r="AB179" s="13">
        <v>2852</v>
      </c>
      <c r="AC179" s="13">
        <v>2849</v>
      </c>
      <c r="AD179" s="13">
        <v>2886</v>
      </c>
      <c r="AE179" s="13">
        <v>2881</v>
      </c>
      <c r="AF179" s="13">
        <v>2883</v>
      </c>
      <c r="AG179" s="13">
        <v>2845</v>
      </c>
      <c r="AH179" s="13">
        <v>2929</v>
      </c>
      <c r="AI179" s="13">
        <v>3040</v>
      </c>
      <c r="AJ179" s="13">
        <v>3410</v>
      </c>
      <c r="AK179" s="13">
        <v>3460</v>
      </c>
      <c r="AL179" s="13">
        <v>3475</v>
      </c>
      <c r="AM179" s="13">
        <v>3535</v>
      </c>
      <c r="AN179" s="13">
        <v>3540</v>
      </c>
      <c r="AO179" s="13">
        <v>3555</v>
      </c>
      <c r="AP179" s="13">
        <v>3570</v>
      </c>
      <c r="AQ179" s="13">
        <v>3560</v>
      </c>
      <c r="AR179" s="13">
        <v>3565</v>
      </c>
      <c r="AS179" s="13">
        <v>3545</v>
      </c>
      <c r="AT179" s="13">
        <v>3580</v>
      </c>
      <c r="AU179" s="13">
        <v>3640</v>
      </c>
      <c r="AV179" s="13">
        <v>3700</v>
      </c>
      <c r="AW179" s="13">
        <v>3675</v>
      </c>
      <c r="AX179" s="13">
        <v>3695</v>
      </c>
      <c r="AY179" s="13">
        <v>3690</v>
      </c>
      <c r="AZ179" s="13">
        <v>3670</v>
      </c>
      <c r="BA179" s="13">
        <v>3725</v>
      </c>
      <c r="BB179" s="13">
        <v>3635</v>
      </c>
      <c r="BC179" s="13">
        <v>3640</v>
      </c>
      <c r="BD179" s="13">
        <v>3735</v>
      </c>
      <c r="BE179" s="13">
        <v>3720</v>
      </c>
      <c r="BF179" s="13">
        <v>3730</v>
      </c>
      <c r="BG179" s="13">
        <v>3690</v>
      </c>
      <c r="BH179" s="13">
        <v>3600</v>
      </c>
      <c r="BI179" s="13">
        <v>3685</v>
      </c>
      <c r="BJ179" s="13">
        <v>3790</v>
      </c>
      <c r="BK179" s="13">
        <v>3740</v>
      </c>
      <c r="BL179" s="13">
        <v>3690</v>
      </c>
    </row>
    <row r="180" spans="1:64" ht="15.95" customHeight="1">
      <c r="A180" s="64" t="s">
        <v>436</v>
      </c>
      <c r="B180" s="6" t="s">
        <v>240</v>
      </c>
      <c r="C180" s="15">
        <f>_xll.RssMarket("5440","現在値")</f>
        <v>1755</v>
      </c>
      <c r="D180" s="16">
        <f t="shared" si="2"/>
        <v>0</v>
      </c>
      <c r="E180" s="13">
        <v>1755</v>
      </c>
      <c r="F180" s="13">
        <v>1753</v>
      </c>
      <c r="G180" s="13">
        <v>1760</v>
      </c>
      <c r="H180" s="13">
        <v>1716</v>
      </c>
      <c r="I180" s="13">
        <v>1717</v>
      </c>
      <c r="J180" s="13">
        <v>1731</v>
      </c>
      <c r="K180" s="13">
        <v>1748</v>
      </c>
      <c r="L180" s="13">
        <v>1738</v>
      </c>
      <c r="M180" s="13">
        <v>1753</v>
      </c>
      <c r="N180" s="13">
        <v>1734</v>
      </c>
      <c r="O180" s="13">
        <v>1754</v>
      </c>
      <c r="P180" s="13">
        <v>1815</v>
      </c>
      <c r="Q180" s="13">
        <v>1820</v>
      </c>
      <c r="R180" s="13">
        <v>1829</v>
      </c>
      <c r="S180" s="13">
        <v>1848</v>
      </c>
      <c r="T180" s="13">
        <v>1853</v>
      </c>
      <c r="U180" s="13">
        <v>1841</v>
      </c>
      <c r="V180" s="13">
        <v>1814</v>
      </c>
      <c r="W180" s="13">
        <v>1833</v>
      </c>
      <c r="X180" s="13">
        <v>1819</v>
      </c>
      <c r="Y180" s="13">
        <v>1865</v>
      </c>
      <c r="Z180" s="13">
        <v>1878</v>
      </c>
      <c r="AA180" s="13">
        <v>1824</v>
      </c>
      <c r="AB180" s="13">
        <v>1823</v>
      </c>
      <c r="AC180" s="13">
        <v>1831</v>
      </c>
      <c r="AD180" s="13">
        <v>1825</v>
      </c>
      <c r="AE180" s="13">
        <v>1826</v>
      </c>
      <c r="AF180" s="13">
        <v>1827</v>
      </c>
      <c r="AG180" s="13">
        <v>1899</v>
      </c>
      <c r="AH180" s="13">
        <v>2185</v>
      </c>
      <c r="AI180" s="13">
        <v>2189</v>
      </c>
      <c r="AJ180" s="13">
        <v>2229</v>
      </c>
      <c r="AK180" s="13">
        <v>2238</v>
      </c>
      <c r="AL180" s="13">
        <v>2258</v>
      </c>
      <c r="AM180" s="13">
        <v>2274</v>
      </c>
      <c r="AN180" s="13">
        <v>2307</v>
      </c>
      <c r="AO180" s="13">
        <v>2288</v>
      </c>
      <c r="AP180" s="13">
        <v>2320</v>
      </c>
      <c r="AQ180" s="13">
        <v>2332</v>
      </c>
      <c r="AR180" s="13">
        <v>2345</v>
      </c>
      <c r="AS180" s="13">
        <v>2339</v>
      </c>
      <c r="AT180" s="13">
        <v>2363</v>
      </c>
      <c r="AU180" s="13">
        <v>2401</v>
      </c>
      <c r="AV180" s="13">
        <v>2426</v>
      </c>
      <c r="AW180" s="13">
        <v>2376</v>
      </c>
      <c r="AX180" s="13">
        <v>2380</v>
      </c>
      <c r="AY180" s="13">
        <v>2391</v>
      </c>
      <c r="AZ180" s="13">
        <v>2370</v>
      </c>
      <c r="BA180" s="13">
        <v>2398</v>
      </c>
      <c r="BB180" s="13">
        <v>2321</v>
      </c>
      <c r="BC180" s="13">
        <v>2332</v>
      </c>
      <c r="BD180" s="13">
        <v>2414</v>
      </c>
      <c r="BE180" s="13">
        <v>2389</v>
      </c>
      <c r="BF180" s="13">
        <v>2387</v>
      </c>
      <c r="BG180" s="13">
        <v>2368</v>
      </c>
      <c r="BH180" s="13">
        <v>2304</v>
      </c>
      <c r="BI180" s="13">
        <v>2358</v>
      </c>
      <c r="BJ180" s="13">
        <v>2446</v>
      </c>
      <c r="BK180" s="13">
        <v>2370</v>
      </c>
      <c r="BL180" s="13">
        <v>2348</v>
      </c>
    </row>
    <row r="181" spans="1:64" ht="15.95" customHeight="1">
      <c r="A181" s="64" t="s">
        <v>437</v>
      </c>
      <c r="B181" s="6" t="s">
        <v>241</v>
      </c>
      <c r="C181" s="15">
        <f>_xll.RssMarket("9505","現在値")</f>
        <v>850</v>
      </c>
      <c r="D181" s="16">
        <f t="shared" si="2"/>
        <v>0</v>
      </c>
      <c r="E181" s="13">
        <v>850</v>
      </c>
      <c r="F181" s="13">
        <v>851.7</v>
      </c>
      <c r="G181" s="13">
        <v>864.2</v>
      </c>
      <c r="H181" s="13">
        <v>853.5</v>
      </c>
      <c r="I181" s="13">
        <v>857.8</v>
      </c>
      <c r="J181" s="13">
        <v>833.3</v>
      </c>
      <c r="K181" s="13">
        <v>820.6</v>
      </c>
      <c r="L181" s="13">
        <v>799.7</v>
      </c>
      <c r="M181" s="13">
        <v>813.3</v>
      </c>
      <c r="N181" s="13">
        <v>807.6</v>
      </c>
      <c r="O181" s="13">
        <v>804.5</v>
      </c>
      <c r="P181" s="13">
        <v>834.5</v>
      </c>
      <c r="Q181" s="13">
        <v>840.3</v>
      </c>
      <c r="R181" s="13">
        <v>857.3</v>
      </c>
      <c r="S181" s="13">
        <v>849</v>
      </c>
      <c r="T181" s="13">
        <v>860.6</v>
      </c>
      <c r="U181" s="13">
        <v>872</v>
      </c>
      <c r="V181" s="13">
        <v>863.6</v>
      </c>
      <c r="W181" s="13">
        <v>878.9</v>
      </c>
      <c r="X181" s="13">
        <v>866.4</v>
      </c>
      <c r="Y181" s="13">
        <v>907.2</v>
      </c>
      <c r="Z181" s="13">
        <v>915.1</v>
      </c>
      <c r="AA181" s="13">
        <v>908.1</v>
      </c>
      <c r="AB181" s="13">
        <v>918.3</v>
      </c>
      <c r="AC181" s="13">
        <v>904</v>
      </c>
      <c r="AD181" s="13">
        <v>887.4</v>
      </c>
      <c r="AE181" s="13">
        <v>894.3</v>
      </c>
      <c r="AF181" s="13">
        <v>864.9</v>
      </c>
      <c r="AG181" s="13">
        <v>872.8</v>
      </c>
      <c r="AH181" s="13">
        <v>1005</v>
      </c>
      <c r="AI181" s="13">
        <v>988.6</v>
      </c>
      <c r="AJ181" s="13">
        <v>993.7</v>
      </c>
      <c r="AK181" s="13">
        <v>989.3</v>
      </c>
      <c r="AL181" s="13">
        <v>1001</v>
      </c>
      <c r="AM181" s="13">
        <v>1010.5</v>
      </c>
      <c r="AN181" s="13">
        <v>1031</v>
      </c>
      <c r="AO181" s="13">
        <v>1058.5</v>
      </c>
      <c r="AP181" s="13">
        <v>1083</v>
      </c>
      <c r="AQ181" s="13">
        <v>1080</v>
      </c>
      <c r="AR181" s="13">
        <v>1076</v>
      </c>
      <c r="AS181" s="13">
        <v>1094</v>
      </c>
      <c r="AT181" s="13">
        <v>1105</v>
      </c>
      <c r="AU181" s="13">
        <v>1105</v>
      </c>
      <c r="AV181" s="13">
        <v>1112</v>
      </c>
      <c r="AW181" s="13">
        <v>1107</v>
      </c>
      <c r="AX181" s="13">
        <v>1094</v>
      </c>
      <c r="AY181" s="13">
        <v>1115</v>
      </c>
      <c r="AZ181" s="13">
        <v>1110.5</v>
      </c>
      <c r="BA181" s="13">
        <v>1106.5</v>
      </c>
      <c r="BB181" s="13">
        <v>1067.5</v>
      </c>
      <c r="BC181" s="13">
        <v>1088</v>
      </c>
      <c r="BD181" s="13">
        <v>1107</v>
      </c>
      <c r="BE181" s="13">
        <v>1082.5</v>
      </c>
      <c r="BF181" s="13">
        <v>1066</v>
      </c>
      <c r="BG181" s="13">
        <v>1054</v>
      </c>
      <c r="BH181" s="13">
        <v>1037</v>
      </c>
      <c r="BI181" s="13">
        <v>1088</v>
      </c>
      <c r="BJ181" s="13">
        <v>1134.5</v>
      </c>
      <c r="BK181" s="13">
        <v>1068.5</v>
      </c>
      <c r="BL181" s="13">
        <v>1060.5</v>
      </c>
    </row>
    <row r="182" spans="1:64" ht="15.95" customHeight="1">
      <c r="A182" s="64" t="s">
        <v>438</v>
      </c>
      <c r="B182" s="6" t="s">
        <v>242</v>
      </c>
      <c r="C182" s="15">
        <f>_xll.RssMarket("8091","現在値")</f>
        <v>2211</v>
      </c>
      <c r="D182" s="16">
        <f t="shared" si="2"/>
        <v>0</v>
      </c>
      <c r="E182" s="13">
        <v>2211</v>
      </c>
      <c r="F182" s="13">
        <v>2214</v>
      </c>
      <c r="G182" s="13">
        <v>2178</v>
      </c>
      <c r="H182" s="13">
        <v>2175</v>
      </c>
      <c r="I182" s="13">
        <v>2206</v>
      </c>
      <c r="J182" s="13">
        <v>2175</v>
      </c>
      <c r="K182" s="13">
        <v>2211</v>
      </c>
      <c r="L182" s="13">
        <v>2158</v>
      </c>
      <c r="M182" s="13">
        <v>2135</v>
      </c>
      <c r="N182" s="13">
        <v>2124</v>
      </c>
      <c r="O182" s="13">
        <v>2147</v>
      </c>
      <c r="P182" s="13">
        <v>2176</v>
      </c>
      <c r="Q182" s="13">
        <v>2168</v>
      </c>
      <c r="R182" s="13">
        <v>2140</v>
      </c>
      <c r="S182" s="13">
        <v>2134</v>
      </c>
      <c r="T182" s="13">
        <v>2147</v>
      </c>
      <c r="U182" s="13">
        <v>2163</v>
      </c>
      <c r="V182" s="13">
        <v>2152</v>
      </c>
      <c r="W182" s="13">
        <v>2190</v>
      </c>
      <c r="X182" s="13">
        <v>2158</v>
      </c>
      <c r="Y182" s="13">
        <v>2309</v>
      </c>
      <c r="Z182" s="13">
        <v>2279</v>
      </c>
      <c r="AA182" s="13">
        <v>2275</v>
      </c>
      <c r="AB182" s="13">
        <v>2255</v>
      </c>
      <c r="AC182" s="13">
        <v>2267</v>
      </c>
      <c r="AD182" s="13">
        <v>2238</v>
      </c>
      <c r="AE182" s="13">
        <v>2259</v>
      </c>
      <c r="AF182" s="13">
        <v>2223</v>
      </c>
      <c r="AG182" s="13">
        <v>2246</v>
      </c>
      <c r="AH182" s="13">
        <v>2302</v>
      </c>
      <c r="AI182" s="13">
        <v>2265</v>
      </c>
      <c r="AJ182" s="13">
        <v>2452</v>
      </c>
      <c r="AK182" s="13">
        <v>2444</v>
      </c>
      <c r="AL182" s="13">
        <v>2466</v>
      </c>
      <c r="AM182" s="13">
        <v>2495</v>
      </c>
      <c r="AN182" s="13">
        <v>2501</v>
      </c>
      <c r="AO182" s="13">
        <v>2522</v>
      </c>
      <c r="AP182" s="13">
        <v>2520</v>
      </c>
      <c r="AQ182" s="13">
        <v>2527</v>
      </c>
      <c r="AR182" s="13">
        <v>2525</v>
      </c>
      <c r="AS182" s="13">
        <v>2523</v>
      </c>
      <c r="AT182" s="13">
        <v>2533</v>
      </c>
      <c r="AU182" s="13">
        <v>2569</v>
      </c>
      <c r="AV182" s="13">
        <v>2583</v>
      </c>
      <c r="AW182" s="13">
        <v>2554</v>
      </c>
      <c r="AX182" s="13">
        <v>2550</v>
      </c>
      <c r="AY182" s="13">
        <v>2549</v>
      </c>
      <c r="AZ182" s="13">
        <v>2554</v>
      </c>
      <c r="BA182" s="13">
        <v>2550</v>
      </c>
      <c r="BB182" s="13">
        <v>2499</v>
      </c>
      <c r="BC182" s="13">
        <v>2516</v>
      </c>
      <c r="BD182" s="13">
        <v>2570</v>
      </c>
      <c r="BE182" s="13">
        <v>2545</v>
      </c>
      <c r="BF182" s="13">
        <v>2570</v>
      </c>
      <c r="BG182" s="13">
        <v>2536</v>
      </c>
      <c r="BH182" s="13">
        <v>2500</v>
      </c>
      <c r="BI182" s="13">
        <v>2566</v>
      </c>
      <c r="BJ182" s="13">
        <v>2620</v>
      </c>
      <c r="BK182" s="13">
        <v>2565</v>
      </c>
      <c r="BL182" s="13">
        <v>2560</v>
      </c>
    </row>
    <row r="183" spans="1:64" ht="15.95" customHeight="1">
      <c r="A183" s="64" t="s">
        <v>439</v>
      </c>
      <c r="B183" s="6" t="s">
        <v>243</v>
      </c>
      <c r="C183" s="15">
        <f>_xll.RssMarket("6507","現在値")</f>
        <v>15680</v>
      </c>
      <c r="D183" s="16">
        <f t="shared" si="2"/>
        <v>0</v>
      </c>
      <c r="E183" s="13">
        <v>15680</v>
      </c>
      <c r="F183" s="13">
        <v>14720</v>
      </c>
      <c r="G183" s="13">
        <v>13410</v>
      </c>
      <c r="H183" s="13">
        <v>13210</v>
      </c>
      <c r="I183" s="13">
        <v>13280</v>
      </c>
      <c r="J183" s="13">
        <v>14230</v>
      </c>
      <c r="K183" s="13">
        <v>15330</v>
      </c>
      <c r="L183" s="13">
        <v>15010</v>
      </c>
      <c r="M183" s="13">
        <v>14010</v>
      </c>
      <c r="N183" s="13">
        <v>14110</v>
      </c>
      <c r="O183" s="13">
        <v>13380</v>
      </c>
      <c r="P183" s="13">
        <v>13750</v>
      </c>
      <c r="Q183" s="13">
        <v>14140</v>
      </c>
      <c r="R183" s="13">
        <v>14660</v>
      </c>
      <c r="S183" s="13">
        <v>14450</v>
      </c>
      <c r="T183" s="13">
        <v>13790</v>
      </c>
      <c r="U183" s="13">
        <v>13600</v>
      </c>
      <c r="V183" s="13">
        <v>13180</v>
      </c>
      <c r="W183" s="13">
        <v>13600</v>
      </c>
      <c r="X183" s="13">
        <v>15030</v>
      </c>
      <c r="Y183" s="13">
        <v>15210</v>
      </c>
      <c r="Z183" s="13">
        <v>15680</v>
      </c>
      <c r="AA183" s="13">
        <v>14720</v>
      </c>
      <c r="AB183" s="13">
        <v>14780</v>
      </c>
      <c r="AC183" s="13">
        <v>14800</v>
      </c>
      <c r="AD183" s="13">
        <v>14870</v>
      </c>
      <c r="AE183" s="13">
        <v>15040</v>
      </c>
      <c r="AF183" s="13">
        <v>14370</v>
      </c>
      <c r="AG183" s="13">
        <v>14250</v>
      </c>
      <c r="AH183" s="13">
        <v>13960</v>
      </c>
      <c r="AI183" s="13">
        <v>13670</v>
      </c>
      <c r="AJ183" s="13">
        <v>13380</v>
      </c>
      <c r="AK183" s="13">
        <v>13180</v>
      </c>
      <c r="AL183" s="13">
        <v>13270</v>
      </c>
      <c r="AM183" s="13">
        <v>13440</v>
      </c>
      <c r="AN183" s="13">
        <v>13600</v>
      </c>
      <c r="AO183" s="13">
        <v>13440</v>
      </c>
      <c r="AP183" s="13">
        <v>14000</v>
      </c>
      <c r="AQ183" s="13">
        <v>13180</v>
      </c>
      <c r="AR183" s="13">
        <v>13300</v>
      </c>
      <c r="AS183" s="13">
        <v>13380</v>
      </c>
      <c r="AT183" s="13">
        <v>13480</v>
      </c>
      <c r="AU183" s="13">
        <v>12940</v>
      </c>
      <c r="AV183" s="13">
        <v>12960</v>
      </c>
      <c r="AW183" s="13">
        <v>12200</v>
      </c>
      <c r="AX183" s="13">
        <v>12000</v>
      </c>
      <c r="AY183" s="13">
        <v>12130</v>
      </c>
      <c r="AZ183" s="13">
        <v>11770</v>
      </c>
      <c r="BA183" s="13">
        <v>11360</v>
      </c>
      <c r="BB183" s="13">
        <v>10370</v>
      </c>
      <c r="BC183" s="13">
        <v>10760</v>
      </c>
      <c r="BD183" s="13">
        <v>11480</v>
      </c>
      <c r="BE183" s="13">
        <v>11960</v>
      </c>
      <c r="BF183" s="13">
        <v>12210</v>
      </c>
      <c r="BG183" s="13">
        <v>11710</v>
      </c>
      <c r="BH183" s="13">
        <v>11600</v>
      </c>
      <c r="BI183" s="13">
        <v>12490</v>
      </c>
      <c r="BJ183" s="13">
        <v>12970</v>
      </c>
      <c r="BK183" s="13">
        <v>12490</v>
      </c>
      <c r="BL183" s="13">
        <v>13000</v>
      </c>
    </row>
    <row r="184" spans="1:64" ht="15.95" customHeight="1">
      <c r="A184" s="64" t="s">
        <v>440</v>
      </c>
      <c r="B184" s="6" t="s">
        <v>244</v>
      </c>
      <c r="C184" s="15">
        <f>_xll.RssMarket("9022","現在値")</f>
        <v>3297</v>
      </c>
      <c r="D184" s="16">
        <f t="shared" si="2"/>
        <v>0</v>
      </c>
      <c r="E184" s="13">
        <v>3297</v>
      </c>
      <c r="F184" s="13">
        <v>3351</v>
      </c>
      <c r="G184" s="13">
        <v>3365</v>
      </c>
      <c r="H184" s="13">
        <v>3405</v>
      </c>
      <c r="I184" s="13">
        <v>3507</v>
      </c>
      <c r="J184" s="13">
        <v>3394</v>
      </c>
      <c r="K184" s="13">
        <v>3345</v>
      </c>
      <c r="L184" s="13">
        <v>3297</v>
      </c>
      <c r="M184" s="13">
        <v>3325</v>
      </c>
      <c r="N184" s="13">
        <v>3364</v>
      </c>
      <c r="O184" s="13">
        <v>3386</v>
      </c>
      <c r="P184" s="13">
        <v>3479</v>
      </c>
      <c r="Q184" s="13">
        <v>3471</v>
      </c>
      <c r="R184" s="13">
        <v>3500</v>
      </c>
      <c r="S184" s="13">
        <v>3552</v>
      </c>
      <c r="T184" s="13">
        <v>3553</v>
      </c>
      <c r="U184" s="13">
        <v>3535</v>
      </c>
      <c r="V184" s="13">
        <v>3550</v>
      </c>
      <c r="W184" s="13">
        <v>3609</v>
      </c>
      <c r="X184" s="13">
        <v>3557</v>
      </c>
      <c r="Y184" s="13">
        <v>3634</v>
      </c>
      <c r="Z184" s="13">
        <v>3618</v>
      </c>
      <c r="AA184" s="13">
        <v>3626</v>
      </c>
      <c r="AB184" s="13">
        <v>3582</v>
      </c>
      <c r="AC184" s="13">
        <v>3580</v>
      </c>
      <c r="AD184" s="13">
        <v>3579</v>
      </c>
      <c r="AE184" s="13">
        <v>3681</v>
      </c>
      <c r="AF184" s="13">
        <v>3611</v>
      </c>
      <c r="AG184" s="13">
        <v>3744</v>
      </c>
      <c r="AH184" s="13">
        <v>4069</v>
      </c>
      <c r="AI184" s="13">
        <v>4052</v>
      </c>
      <c r="AJ184" s="13">
        <v>4110</v>
      </c>
      <c r="AK184" s="13">
        <v>4039</v>
      </c>
      <c r="AL184" s="13">
        <v>4149</v>
      </c>
      <c r="AM184" s="13">
        <v>4213</v>
      </c>
      <c r="AN184" s="13">
        <v>4253</v>
      </c>
      <c r="AO184" s="13">
        <v>4195</v>
      </c>
      <c r="AP184" s="13">
        <v>4251</v>
      </c>
      <c r="AQ184" s="13">
        <v>4325</v>
      </c>
      <c r="AR184" s="13">
        <v>4193</v>
      </c>
      <c r="AS184" s="13">
        <v>4220</v>
      </c>
      <c r="AT184" s="13">
        <v>4196</v>
      </c>
      <c r="AU184" s="13">
        <v>4220</v>
      </c>
      <c r="AV184" s="13">
        <v>4179</v>
      </c>
      <c r="AW184" s="13">
        <v>4049</v>
      </c>
      <c r="AX184" s="13">
        <v>4080</v>
      </c>
      <c r="AY184" s="13">
        <v>4142</v>
      </c>
      <c r="AZ184" s="13">
        <v>4190</v>
      </c>
      <c r="BA184" s="13">
        <v>4192</v>
      </c>
      <c r="BB184" s="13">
        <v>4084</v>
      </c>
      <c r="BC184" s="13">
        <v>4082</v>
      </c>
      <c r="BD184" s="13">
        <v>4221</v>
      </c>
      <c r="BE184" s="13">
        <v>4233</v>
      </c>
      <c r="BF184" s="13">
        <v>4274</v>
      </c>
      <c r="BG184" s="13">
        <v>4156</v>
      </c>
      <c r="BH184" s="13">
        <v>4117</v>
      </c>
      <c r="BI184" s="13">
        <v>4233</v>
      </c>
      <c r="BJ184" s="13">
        <v>4386</v>
      </c>
      <c r="BK184" s="13">
        <v>4310</v>
      </c>
      <c r="BL184" s="13">
        <v>4242</v>
      </c>
    </row>
    <row r="185" spans="1:64" ht="15.95" customHeight="1">
      <c r="A185" s="64" t="s">
        <v>441</v>
      </c>
      <c r="B185" s="6" t="s">
        <v>245</v>
      </c>
      <c r="C185" s="15">
        <f>_xll.RssMarket("9536","現在値")</f>
        <v>2240</v>
      </c>
      <c r="D185" s="16">
        <f t="shared" si="2"/>
        <v>0</v>
      </c>
      <c r="E185" s="13">
        <v>2240</v>
      </c>
      <c r="F185" s="13">
        <v>2238</v>
      </c>
      <c r="G185" s="13">
        <v>2243</v>
      </c>
      <c r="H185" s="13">
        <v>2232</v>
      </c>
      <c r="I185" s="13">
        <v>2229</v>
      </c>
      <c r="J185" s="13">
        <v>2210</v>
      </c>
      <c r="K185" s="13">
        <v>2201</v>
      </c>
      <c r="L185" s="13">
        <v>2182</v>
      </c>
      <c r="M185" s="13">
        <v>2189</v>
      </c>
      <c r="N185" s="13">
        <v>2154</v>
      </c>
      <c r="O185" s="13">
        <v>2197</v>
      </c>
      <c r="P185" s="13">
        <v>2195</v>
      </c>
      <c r="Q185" s="13">
        <v>2182</v>
      </c>
      <c r="R185" s="13">
        <v>2222</v>
      </c>
      <c r="S185" s="13">
        <v>2198</v>
      </c>
      <c r="T185" s="13">
        <v>2221</v>
      </c>
      <c r="U185" s="13">
        <v>2201</v>
      </c>
      <c r="V185" s="13">
        <v>2208</v>
      </c>
      <c r="W185" s="13">
        <v>2238</v>
      </c>
      <c r="X185" s="13">
        <v>2201</v>
      </c>
      <c r="Y185" s="13">
        <v>2261</v>
      </c>
      <c r="Z185" s="13">
        <v>2244</v>
      </c>
      <c r="AA185" s="13">
        <v>2225</v>
      </c>
      <c r="AB185" s="13">
        <v>2233</v>
      </c>
      <c r="AC185" s="13">
        <v>2241</v>
      </c>
      <c r="AD185" s="13">
        <v>2222</v>
      </c>
      <c r="AE185" s="13">
        <v>2275</v>
      </c>
      <c r="AF185" s="13">
        <v>2208</v>
      </c>
      <c r="AG185" s="13">
        <v>2236</v>
      </c>
      <c r="AH185" s="13">
        <v>2457</v>
      </c>
      <c r="AI185" s="13">
        <v>2423</v>
      </c>
      <c r="AJ185" s="13">
        <v>2470</v>
      </c>
      <c r="AK185" s="13">
        <v>2441</v>
      </c>
      <c r="AL185" s="13">
        <v>2460</v>
      </c>
      <c r="AM185" s="13">
        <v>2529</v>
      </c>
      <c r="AN185" s="13">
        <v>2535</v>
      </c>
      <c r="AO185" s="13">
        <v>2595</v>
      </c>
      <c r="AP185" s="13">
        <v>2615</v>
      </c>
      <c r="AQ185" s="13">
        <v>2586</v>
      </c>
      <c r="AR185" s="13">
        <v>2574</v>
      </c>
      <c r="AS185" s="13">
        <v>2573</v>
      </c>
      <c r="AT185" s="13">
        <v>2552</v>
      </c>
      <c r="AU185" s="13">
        <v>2575</v>
      </c>
      <c r="AV185" s="13">
        <v>2621</v>
      </c>
      <c r="AW185" s="13">
        <v>2579</v>
      </c>
      <c r="AX185" s="13">
        <v>2562</v>
      </c>
      <c r="AY185" s="13">
        <v>2567</v>
      </c>
      <c r="AZ185" s="13">
        <v>2566</v>
      </c>
      <c r="BA185" s="13">
        <v>2578</v>
      </c>
      <c r="BB185" s="13">
        <v>2545</v>
      </c>
      <c r="BC185" s="13">
        <v>2577</v>
      </c>
      <c r="BD185" s="13">
        <v>2587</v>
      </c>
      <c r="BE185" s="13">
        <v>2570</v>
      </c>
      <c r="BF185" s="13">
        <v>2587</v>
      </c>
      <c r="BG185" s="13">
        <v>2531</v>
      </c>
      <c r="BH185" s="13">
        <v>2431</v>
      </c>
      <c r="BI185" s="13">
        <v>2496</v>
      </c>
      <c r="BJ185" s="13">
        <v>2570</v>
      </c>
      <c r="BK185" s="13">
        <v>2511</v>
      </c>
      <c r="BL185" s="13">
        <v>2496</v>
      </c>
    </row>
    <row r="186" spans="1:64" ht="15.95" customHeight="1">
      <c r="A186" s="64" t="s">
        <v>442</v>
      </c>
      <c r="B186" s="6" t="s">
        <v>246</v>
      </c>
      <c r="C186" s="15">
        <f>_xll.RssMarket("9506","現在値")</f>
        <v>1046</v>
      </c>
      <c r="D186" s="16">
        <f t="shared" si="2"/>
        <v>0</v>
      </c>
      <c r="E186" s="13">
        <v>1046</v>
      </c>
      <c r="F186" s="13">
        <v>1043.5</v>
      </c>
      <c r="G186" s="13">
        <v>1019.5</v>
      </c>
      <c r="H186" s="13">
        <v>1018.5</v>
      </c>
      <c r="I186" s="13">
        <v>1015.5</v>
      </c>
      <c r="J186" s="13">
        <v>1006.5</v>
      </c>
      <c r="K186" s="13">
        <v>993.3</v>
      </c>
      <c r="L186" s="13">
        <v>991.4</v>
      </c>
      <c r="M186" s="13">
        <v>1013.5</v>
      </c>
      <c r="N186" s="13">
        <v>983.6</v>
      </c>
      <c r="O186" s="13">
        <v>989.5</v>
      </c>
      <c r="P186" s="13">
        <v>1006.5</v>
      </c>
      <c r="Q186" s="13">
        <v>996.7</v>
      </c>
      <c r="R186" s="13">
        <v>998</v>
      </c>
      <c r="S186" s="13">
        <v>1009</v>
      </c>
      <c r="T186" s="13">
        <v>1011</v>
      </c>
      <c r="U186" s="13">
        <v>1024.5</v>
      </c>
      <c r="V186" s="13">
        <v>1006</v>
      </c>
      <c r="W186" s="13">
        <v>1019</v>
      </c>
      <c r="X186" s="13">
        <v>1006.5</v>
      </c>
      <c r="Y186" s="13">
        <v>1051.5</v>
      </c>
      <c r="Z186" s="13">
        <v>1052.5</v>
      </c>
      <c r="AA186" s="13">
        <v>1064</v>
      </c>
      <c r="AB186" s="13">
        <v>1060</v>
      </c>
      <c r="AC186" s="13">
        <v>1055.5</v>
      </c>
      <c r="AD186" s="13">
        <v>1092.5</v>
      </c>
      <c r="AE186" s="13">
        <v>1064</v>
      </c>
      <c r="AF186" s="13">
        <v>1088.5</v>
      </c>
      <c r="AG186" s="13">
        <v>1157</v>
      </c>
      <c r="AH186" s="13">
        <v>1122</v>
      </c>
      <c r="AI186" s="13">
        <v>1128.5</v>
      </c>
      <c r="AJ186" s="13">
        <v>1117.5</v>
      </c>
      <c r="AK186" s="13">
        <v>1130</v>
      </c>
      <c r="AL186" s="13">
        <v>1144.5</v>
      </c>
      <c r="AM186" s="13">
        <v>1170.5</v>
      </c>
      <c r="AN186" s="13">
        <v>1178</v>
      </c>
      <c r="AO186" s="13">
        <v>1182.5</v>
      </c>
      <c r="AP186" s="13">
        <v>1172</v>
      </c>
      <c r="AQ186" s="13">
        <v>1170.5</v>
      </c>
      <c r="AR186" s="13">
        <v>1158.5</v>
      </c>
      <c r="AS186" s="13">
        <v>1164</v>
      </c>
      <c r="AT186" s="13">
        <v>1175.5</v>
      </c>
      <c r="AU186" s="13">
        <v>1172.5</v>
      </c>
      <c r="AV186" s="13">
        <v>1168</v>
      </c>
      <c r="AW186" s="13">
        <v>1170</v>
      </c>
      <c r="AX186" s="13">
        <v>1190.5</v>
      </c>
      <c r="AY186" s="13">
        <v>1190.5</v>
      </c>
      <c r="AZ186" s="13">
        <v>1200</v>
      </c>
      <c r="BA186" s="13">
        <v>1170</v>
      </c>
      <c r="BB186" s="13">
        <v>1188.5</v>
      </c>
      <c r="BC186" s="13">
        <v>1212.5</v>
      </c>
      <c r="BD186" s="13">
        <v>1184</v>
      </c>
      <c r="BE186" s="13">
        <v>1169</v>
      </c>
      <c r="BF186" s="13">
        <v>1142</v>
      </c>
      <c r="BG186" s="13">
        <v>1123</v>
      </c>
      <c r="BH186" s="13">
        <v>1143.5</v>
      </c>
      <c r="BI186" s="13">
        <v>1197.5</v>
      </c>
      <c r="BJ186" s="13">
        <v>1141</v>
      </c>
      <c r="BK186" s="13">
        <v>1137.5</v>
      </c>
      <c r="BL186" s="13">
        <v>1152</v>
      </c>
    </row>
    <row r="187" spans="1:64" ht="15.95" customHeight="1">
      <c r="A187" s="64" t="s">
        <v>443</v>
      </c>
      <c r="B187" s="6" t="s">
        <v>247</v>
      </c>
      <c r="C187" s="15">
        <f>_xll.RssMarket("2127","現在値")</f>
        <v>650.9</v>
      </c>
      <c r="D187" s="16">
        <f t="shared" si="2"/>
        <v>0</v>
      </c>
      <c r="E187" s="13">
        <v>650.9</v>
      </c>
      <c r="F187" s="13">
        <v>638.29999999999995</v>
      </c>
      <c r="G187" s="13">
        <v>636</v>
      </c>
      <c r="H187" s="13">
        <v>643.5</v>
      </c>
      <c r="I187" s="13">
        <v>637.5</v>
      </c>
      <c r="J187" s="13">
        <v>632.9</v>
      </c>
      <c r="K187" s="13">
        <v>637.1</v>
      </c>
      <c r="L187" s="13">
        <v>624</v>
      </c>
      <c r="M187" s="13">
        <v>645</v>
      </c>
      <c r="N187" s="13">
        <v>655.8</v>
      </c>
      <c r="O187" s="13">
        <v>654.4</v>
      </c>
      <c r="P187" s="13">
        <v>652</v>
      </c>
      <c r="Q187" s="13">
        <v>652.79999999999995</v>
      </c>
      <c r="R187" s="13">
        <v>665.5</v>
      </c>
      <c r="S187" s="13">
        <v>655.1</v>
      </c>
      <c r="T187" s="13">
        <v>661.9</v>
      </c>
      <c r="U187" s="13">
        <v>657.2</v>
      </c>
      <c r="V187" s="13">
        <v>645</v>
      </c>
      <c r="W187" s="13">
        <v>660.2</v>
      </c>
      <c r="X187" s="13">
        <v>633.4</v>
      </c>
      <c r="Y187" s="13">
        <v>638.29999999999995</v>
      </c>
      <c r="Z187" s="13">
        <v>638.79999999999995</v>
      </c>
      <c r="AA187" s="13">
        <v>644.70000000000005</v>
      </c>
      <c r="AB187" s="13">
        <v>639.5</v>
      </c>
      <c r="AC187" s="13">
        <v>658.8</v>
      </c>
      <c r="AD187" s="13">
        <v>656.1</v>
      </c>
      <c r="AE187" s="13">
        <v>652.29999999999995</v>
      </c>
      <c r="AF187" s="13">
        <v>626.9</v>
      </c>
      <c r="AG187" s="13">
        <v>654.5</v>
      </c>
      <c r="AH187" s="13">
        <v>690</v>
      </c>
      <c r="AI187" s="13">
        <v>677.5</v>
      </c>
      <c r="AJ187" s="13">
        <v>668.7</v>
      </c>
      <c r="AK187" s="13">
        <v>683</v>
      </c>
      <c r="AL187" s="13">
        <v>688.8</v>
      </c>
      <c r="AM187" s="13">
        <v>690.3</v>
      </c>
      <c r="AN187" s="13">
        <v>682.3</v>
      </c>
      <c r="AO187" s="13">
        <v>689.8</v>
      </c>
      <c r="AP187" s="13">
        <v>689.8</v>
      </c>
      <c r="AQ187" s="13">
        <v>676.5</v>
      </c>
      <c r="AR187" s="13">
        <v>667.9</v>
      </c>
      <c r="AS187" s="13">
        <v>655.7</v>
      </c>
      <c r="AT187" s="13">
        <v>658.3</v>
      </c>
      <c r="AU187" s="13">
        <v>662</v>
      </c>
      <c r="AV187" s="13">
        <v>672.6</v>
      </c>
      <c r="AW187" s="13">
        <v>654</v>
      </c>
      <c r="AX187" s="13">
        <v>650.5</v>
      </c>
      <c r="AY187" s="13">
        <v>649.9</v>
      </c>
      <c r="AZ187" s="13">
        <v>642.29999999999995</v>
      </c>
      <c r="BA187" s="13">
        <v>648.6</v>
      </c>
      <c r="BB187" s="13">
        <v>630.1</v>
      </c>
      <c r="BC187" s="13">
        <v>623.70000000000005</v>
      </c>
      <c r="BD187" s="13">
        <v>650.9</v>
      </c>
      <c r="BE187" s="13">
        <v>647.79999999999995</v>
      </c>
      <c r="BF187" s="13">
        <v>648.79999999999995</v>
      </c>
      <c r="BG187" s="13">
        <v>640</v>
      </c>
      <c r="BH187" s="13">
        <v>627.4</v>
      </c>
      <c r="BI187" s="13">
        <v>633.6</v>
      </c>
      <c r="BJ187" s="13">
        <v>649.5</v>
      </c>
      <c r="BK187" s="13">
        <v>635.6</v>
      </c>
      <c r="BL187" s="13">
        <v>632.20000000000005</v>
      </c>
    </row>
    <row r="188" spans="1:64" ht="15.95" customHeight="1">
      <c r="A188" s="64" t="s">
        <v>444</v>
      </c>
      <c r="B188" s="6" t="s">
        <v>248</v>
      </c>
      <c r="C188" s="15">
        <f>_xll.RssMarket("6753","現在値")</f>
        <v>594.4</v>
      </c>
      <c r="D188" s="16">
        <f t="shared" si="2"/>
        <v>0</v>
      </c>
      <c r="E188" s="13">
        <v>594.4</v>
      </c>
      <c r="F188" s="13">
        <v>593.79999999999995</v>
      </c>
      <c r="G188" s="13">
        <v>609.20000000000005</v>
      </c>
      <c r="H188" s="13">
        <v>620.5</v>
      </c>
      <c r="I188" s="13">
        <v>636.20000000000005</v>
      </c>
      <c r="J188" s="13">
        <v>657.2</v>
      </c>
      <c r="K188" s="13">
        <v>658.1</v>
      </c>
      <c r="L188" s="13">
        <v>671.6</v>
      </c>
      <c r="M188" s="13">
        <v>668.5</v>
      </c>
      <c r="N188" s="13">
        <v>651.9</v>
      </c>
      <c r="O188" s="13">
        <v>629.79999999999995</v>
      </c>
      <c r="P188" s="13">
        <v>621.5</v>
      </c>
      <c r="Q188" s="13">
        <v>621.6</v>
      </c>
      <c r="R188" s="13">
        <v>610.1</v>
      </c>
      <c r="S188" s="13">
        <v>638.6</v>
      </c>
      <c r="T188" s="13">
        <v>631.5</v>
      </c>
      <c r="U188" s="13">
        <v>606.29999999999995</v>
      </c>
      <c r="V188" s="13">
        <v>601</v>
      </c>
      <c r="W188" s="13">
        <v>640.20000000000005</v>
      </c>
      <c r="X188" s="13">
        <v>606.5</v>
      </c>
      <c r="Y188" s="13">
        <v>603.9</v>
      </c>
      <c r="Z188" s="13">
        <v>571.70000000000005</v>
      </c>
      <c r="AA188" s="13">
        <v>591.1</v>
      </c>
      <c r="AB188" s="13">
        <v>592.79999999999995</v>
      </c>
      <c r="AC188" s="13">
        <v>561</v>
      </c>
      <c r="AD188" s="13">
        <v>564.29999999999995</v>
      </c>
      <c r="AE188" s="13">
        <v>559.4</v>
      </c>
      <c r="AF188" s="13">
        <v>582.4</v>
      </c>
      <c r="AG188" s="13">
        <v>559.5</v>
      </c>
      <c r="AH188" s="13">
        <v>566.1</v>
      </c>
      <c r="AI188" s="13">
        <v>545.29999999999995</v>
      </c>
      <c r="AJ188" s="13">
        <v>555</v>
      </c>
      <c r="AK188" s="13">
        <v>592.6</v>
      </c>
      <c r="AL188" s="13">
        <v>611.29999999999995</v>
      </c>
      <c r="AM188" s="13">
        <v>612</v>
      </c>
      <c r="AN188" s="13">
        <v>613.79999999999995</v>
      </c>
      <c r="AO188" s="13">
        <v>616.1</v>
      </c>
      <c r="AP188" s="13">
        <v>603.6</v>
      </c>
      <c r="AQ188" s="13">
        <v>594.70000000000005</v>
      </c>
      <c r="AR188" s="13">
        <v>589.4</v>
      </c>
      <c r="AS188" s="13">
        <v>587.79999999999995</v>
      </c>
      <c r="AT188" s="13">
        <v>604.4</v>
      </c>
      <c r="AU188" s="13">
        <v>612.4</v>
      </c>
      <c r="AV188" s="13">
        <v>629.6</v>
      </c>
      <c r="AW188" s="13">
        <v>626.4</v>
      </c>
      <c r="AX188" s="13">
        <v>637</v>
      </c>
      <c r="AY188" s="13">
        <v>637.4</v>
      </c>
      <c r="AZ188" s="13">
        <v>598.20000000000005</v>
      </c>
      <c r="BA188" s="13">
        <v>605.5</v>
      </c>
      <c r="BB188" s="13">
        <v>576</v>
      </c>
      <c r="BC188" s="13">
        <v>570.79999999999995</v>
      </c>
      <c r="BD188" s="13">
        <v>587.4</v>
      </c>
      <c r="BE188" s="13">
        <v>587.6</v>
      </c>
      <c r="BF188" s="13">
        <v>580.5</v>
      </c>
      <c r="BG188" s="13">
        <v>581</v>
      </c>
      <c r="BH188" s="13">
        <v>565.4</v>
      </c>
      <c r="BI188" s="13">
        <v>579</v>
      </c>
      <c r="BJ188" s="13">
        <v>599.79999999999995</v>
      </c>
      <c r="BK188" s="13">
        <v>584.79999999999995</v>
      </c>
      <c r="BL188" s="13">
        <v>589.9</v>
      </c>
    </row>
    <row r="189" spans="1:64" ht="15.95" customHeight="1">
      <c r="A189" s="64" t="s">
        <v>478</v>
      </c>
      <c r="B189" s="6" t="str">
        <f>銘柄管理!C189</f>
        <v>ヤマトホールディングス</v>
      </c>
      <c r="C189" s="15">
        <f>_xll.RssMarket("9064","現在値")</f>
        <v>1769.5</v>
      </c>
      <c r="D189" s="16"/>
      <c r="E189" s="13">
        <v>1769.5</v>
      </c>
      <c r="F189" s="13">
        <v>1774.5</v>
      </c>
      <c r="G189" s="13">
        <v>1785</v>
      </c>
      <c r="H189" s="13">
        <v>1815.5</v>
      </c>
      <c r="I189" s="13">
        <v>1805</v>
      </c>
      <c r="J189" s="13">
        <v>1792.5</v>
      </c>
      <c r="K189" s="13">
        <v>1799</v>
      </c>
      <c r="L189" s="13">
        <v>1800.5</v>
      </c>
      <c r="M189" s="13">
        <v>1825.5</v>
      </c>
      <c r="N189" s="13">
        <v>1800</v>
      </c>
      <c r="O189" s="13">
        <v>1799.5</v>
      </c>
      <c r="P189" s="13">
        <v>1818</v>
      </c>
      <c r="Q189" s="13">
        <v>1778.5</v>
      </c>
      <c r="R189" s="13">
        <v>1763</v>
      </c>
      <c r="S189" s="13">
        <v>1773.5</v>
      </c>
      <c r="T189" s="13">
        <v>1771</v>
      </c>
      <c r="U189" s="13">
        <v>1787</v>
      </c>
      <c r="V189" s="13">
        <v>1750</v>
      </c>
      <c r="W189" s="13">
        <v>1780</v>
      </c>
      <c r="X189" s="13">
        <v>1727</v>
      </c>
      <c r="Y189" s="13">
        <v>1732.5</v>
      </c>
      <c r="Z189" s="13">
        <v>1780</v>
      </c>
      <c r="AA189" s="13">
        <v>1752.5</v>
      </c>
      <c r="AB189" s="13">
        <v>1745.5</v>
      </c>
      <c r="AC189" s="13">
        <v>1730.5</v>
      </c>
      <c r="AD189" s="13">
        <v>1800</v>
      </c>
      <c r="AE189" s="13">
        <v>1822.5</v>
      </c>
      <c r="AF189" s="13">
        <v>1748.5</v>
      </c>
      <c r="AG189" s="13">
        <v>1764.5</v>
      </c>
      <c r="AH189" s="13">
        <v>1802.5</v>
      </c>
      <c r="AI189" s="13">
        <v>1774</v>
      </c>
      <c r="AJ189" s="13">
        <v>1768</v>
      </c>
      <c r="AK189" s="13">
        <v>1773</v>
      </c>
      <c r="AL189" s="13">
        <v>1809</v>
      </c>
      <c r="AM189" s="13">
        <v>1832.5</v>
      </c>
      <c r="AN189" s="13">
        <v>1821.5</v>
      </c>
      <c r="AO189" s="13">
        <v>1845</v>
      </c>
      <c r="AP189" s="13">
        <v>1862.5</v>
      </c>
      <c r="AQ189" s="13">
        <v>1866.5</v>
      </c>
      <c r="AR189" s="13">
        <v>1861</v>
      </c>
      <c r="AS189" s="13">
        <v>1846.5</v>
      </c>
      <c r="AT189" s="13">
        <v>1836</v>
      </c>
      <c r="AU189" s="13">
        <v>1848.5</v>
      </c>
      <c r="AV189" s="13">
        <v>1870.5</v>
      </c>
      <c r="AW189" s="13">
        <v>1814.5</v>
      </c>
      <c r="AX189" s="13">
        <v>1796.5</v>
      </c>
      <c r="AY189" s="13">
        <v>1776.5</v>
      </c>
      <c r="AZ189" s="13">
        <v>1768</v>
      </c>
      <c r="BA189" s="13">
        <v>1758.5</v>
      </c>
      <c r="BB189" s="13">
        <v>1744.5</v>
      </c>
      <c r="BC189" s="13">
        <v>1745</v>
      </c>
      <c r="BD189" s="13">
        <v>1772.5</v>
      </c>
      <c r="BE189" s="13">
        <v>1767.5</v>
      </c>
      <c r="BF189" s="13">
        <v>1764</v>
      </c>
      <c r="BG189" s="13">
        <v>1748</v>
      </c>
      <c r="BH189" s="13">
        <v>1701</v>
      </c>
      <c r="BI189" s="13">
        <v>1725.5</v>
      </c>
      <c r="BJ189" s="13">
        <v>1780</v>
      </c>
      <c r="BK189" s="13">
        <v>1762</v>
      </c>
      <c r="BL189" s="13">
        <v>1747</v>
      </c>
    </row>
    <row r="190" spans="1:64" ht="15.95" customHeight="1">
      <c r="A190" s="64" t="s">
        <v>445</v>
      </c>
      <c r="B190" s="6" t="s">
        <v>480</v>
      </c>
      <c r="C190" s="15">
        <f>_xll.RssMarket("7181","現在値")</f>
        <v>1516</v>
      </c>
      <c r="D190" s="16">
        <f>C190-E190</f>
        <v>0</v>
      </c>
      <c r="E190" s="13">
        <v>1516</v>
      </c>
      <c r="F190" s="13">
        <v>1560</v>
      </c>
      <c r="G190" s="13">
        <v>1541</v>
      </c>
      <c r="H190" s="13">
        <v>1535</v>
      </c>
      <c r="I190" s="13">
        <v>1568</v>
      </c>
      <c r="J190" s="13">
        <v>1455</v>
      </c>
      <c r="K190" s="13">
        <v>1422.5</v>
      </c>
      <c r="L190" s="13">
        <v>1404.5</v>
      </c>
      <c r="M190" s="13">
        <v>1429.5</v>
      </c>
      <c r="N190" s="13">
        <v>1407.5</v>
      </c>
      <c r="O190" s="13">
        <v>1406</v>
      </c>
      <c r="P190" s="13">
        <v>1429.5</v>
      </c>
      <c r="Q190" s="13">
        <v>1413.5</v>
      </c>
      <c r="R190" s="13">
        <v>1479</v>
      </c>
      <c r="S190" s="13">
        <v>1473.5</v>
      </c>
      <c r="T190" s="13">
        <v>1526.5</v>
      </c>
      <c r="U190" s="13">
        <v>1543.5</v>
      </c>
      <c r="V190" s="13">
        <v>1529</v>
      </c>
      <c r="W190" s="13">
        <v>1525</v>
      </c>
      <c r="X190" s="13">
        <v>1463.5</v>
      </c>
      <c r="Y190" s="13">
        <v>1648</v>
      </c>
      <c r="Z190" s="13">
        <v>1594.5</v>
      </c>
      <c r="AA190" s="13">
        <v>1618</v>
      </c>
      <c r="AB190" s="13">
        <v>1554</v>
      </c>
      <c r="AC190" s="13">
        <v>1547.5</v>
      </c>
      <c r="AD190" s="13">
        <v>1558.5</v>
      </c>
      <c r="AE190" s="13">
        <v>1573</v>
      </c>
      <c r="AF190" s="13">
        <v>1531</v>
      </c>
      <c r="AG190" s="13">
        <v>1525.5</v>
      </c>
      <c r="AH190" s="13">
        <v>1525.5</v>
      </c>
      <c r="AI190" s="13">
        <v>1491</v>
      </c>
      <c r="AJ190" s="13">
        <v>1495.5</v>
      </c>
      <c r="AK190" s="13">
        <v>1506</v>
      </c>
      <c r="AL190" s="13">
        <v>1498</v>
      </c>
      <c r="AM190" s="13">
        <v>1542.5</v>
      </c>
      <c r="AN190" s="13">
        <v>1576.5</v>
      </c>
      <c r="AO190" s="13">
        <v>1600.5</v>
      </c>
      <c r="AP190" s="13">
        <v>1670</v>
      </c>
      <c r="AQ190" s="13">
        <v>1644.5</v>
      </c>
      <c r="AR190" s="13">
        <v>1625</v>
      </c>
      <c r="AS190" s="13">
        <v>1584.5</v>
      </c>
      <c r="AT190" s="13">
        <v>1595.5</v>
      </c>
      <c r="AU190" s="13">
        <v>1598</v>
      </c>
      <c r="AV190" s="13">
        <v>1635.5</v>
      </c>
      <c r="AW190" s="13">
        <v>1601.5</v>
      </c>
      <c r="AX190" s="13">
        <v>1595</v>
      </c>
      <c r="AY190" s="13">
        <v>1619.5</v>
      </c>
      <c r="AZ190" s="13">
        <v>1623</v>
      </c>
      <c r="BA190" s="13">
        <v>1642.5</v>
      </c>
      <c r="BB190" s="13">
        <v>1575</v>
      </c>
      <c r="BC190" s="13">
        <v>1571</v>
      </c>
      <c r="BD190" s="13">
        <v>1638.6</v>
      </c>
      <c r="BE190" s="13">
        <v>1602.3</v>
      </c>
      <c r="BF190" s="13">
        <v>1626.3</v>
      </c>
      <c r="BG190" s="13">
        <v>1554.6</v>
      </c>
      <c r="BH190" s="13">
        <v>1534.6</v>
      </c>
      <c r="BI190" s="13">
        <v>1569.6</v>
      </c>
      <c r="BJ190" s="13">
        <v>1605.6</v>
      </c>
      <c r="BK190" s="13">
        <v>1566.3</v>
      </c>
      <c r="BL190" s="13">
        <v>1543.3</v>
      </c>
    </row>
    <row r="191" spans="1:64" ht="15.95" customHeight="1">
      <c r="A191" s="64" t="s">
        <v>481</v>
      </c>
      <c r="B191" s="6" t="str">
        <f>銘柄管理!C191</f>
        <v>前澤給装工業</v>
      </c>
      <c r="C191" s="15">
        <f>_xll.RssMarket("6485","現在値")</f>
        <v>1454</v>
      </c>
      <c r="D191" s="16"/>
      <c r="E191" s="13">
        <v>1454</v>
      </c>
      <c r="F191" s="13">
        <v>1449</v>
      </c>
      <c r="G191" s="13">
        <v>1424</v>
      </c>
      <c r="H191" s="13">
        <v>1411</v>
      </c>
      <c r="I191" s="13">
        <v>1429</v>
      </c>
      <c r="J191" s="13">
        <v>1419</v>
      </c>
      <c r="K191" s="13">
        <v>1435</v>
      </c>
      <c r="L191" s="13">
        <v>1414</v>
      </c>
      <c r="M191" s="13">
        <v>1402</v>
      </c>
      <c r="N191" s="13">
        <v>1376</v>
      </c>
      <c r="O191" s="13">
        <v>1388</v>
      </c>
      <c r="P191" s="13">
        <v>1417</v>
      </c>
      <c r="Q191" s="13">
        <v>1425</v>
      </c>
      <c r="R191" s="13">
        <v>1420</v>
      </c>
      <c r="S191" s="13">
        <v>1411</v>
      </c>
      <c r="T191" s="13">
        <v>1428</v>
      </c>
      <c r="U191" s="13">
        <v>1455</v>
      </c>
      <c r="V191" s="13">
        <v>1442</v>
      </c>
      <c r="W191" s="13">
        <v>1497</v>
      </c>
      <c r="X191" s="13">
        <v>1485</v>
      </c>
      <c r="Y191" s="13">
        <v>1500</v>
      </c>
      <c r="Z191" s="13">
        <v>1524</v>
      </c>
      <c r="AA191" s="13">
        <v>1508</v>
      </c>
      <c r="AB191" s="13">
        <v>1507</v>
      </c>
      <c r="AC191" s="13">
        <v>1512</v>
      </c>
      <c r="AD191" s="13">
        <v>1503</v>
      </c>
      <c r="AE191" s="13">
        <v>1493</v>
      </c>
      <c r="AF191" s="13">
        <v>1555</v>
      </c>
      <c r="AG191" s="13">
        <v>1491</v>
      </c>
      <c r="AH191" s="13">
        <v>1498</v>
      </c>
      <c r="AI191" s="13">
        <v>1504</v>
      </c>
      <c r="AJ191" s="13">
        <v>1525</v>
      </c>
      <c r="AK191" s="13">
        <v>1554</v>
      </c>
      <c r="AL191" s="13">
        <v>1554</v>
      </c>
      <c r="AM191" s="13">
        <v>1555</v>
      </c>
      <c r="AN191" s="13">
        <v>1567</v>
      </c>
      <c r="AO191" s="13">
        <v>1576</v>
      </c>
      <c r="AP191" s="13">
        <v>1574</v>
      </c>
      <c r="AQ191" s="13">
        <v>1594</v>
      </c>
      <c r="AR191" s="13">
        <v>1611</v>
      </c>
      <c r="AS191" s="13">
        <v>1619</v>
      </c>
      <c r="AT191" s="13">
        <v>1630</v>
      </c>
      <c r="AU191" s="13">
        <v>1605</v>
      </c>
      <c r="AV191" s="13">
        <v>1588</v>
      </c>
      <c r="AW191" s="13">
        <v>1586</v>
      </c>
      <c r="AX191" s="13">
        <v>1580</v>
      </c>
      <c r="AY191" s="13">
        <v>1586</v>
      </c>
      <c r="AZ191" s="13">
        <v>1556</v>
      </c>
      <c r="BA191" s="13">
        <v>1573</v>
      </c>
      <c r="BB191" s="13">
        <v>1612</v>
      </c>
      <c r="BC191" s="13">
        <v>1600</v>
      </c>
      <c r="BD191" s="13">
        <v>1605</v>
      </c>
      <c r="BE191" s="13">
        <v>1580</v>
      </c>
      <c r="BF191" s="13">
        <v>1561</v>
      </c>
      <c r="BG191" s="13">
        <v>1637</v>
      </c>
      <c r="BH191" s="13">
        <v>1678</v>
      </c>
      <c r="BI191" s="13">
        <v>1627</v>
      </c>
      <c r="BJ191" s="13">
        <v>1628</v>
      </c>
      <c r="BK191" s="13">
        <v>1626</v>
      </c>
      <c r="BL191" s="13">
        <v>1631</v>
      </c>
    </row>
    <row r="192" spans="1:64" ht="15.95" customHeight="1">
      <c r="A192" s="64" t="s">
        <v>446</v>
      </c>
      <c r="B192" s="6" t="s">
        <v>249</v>
      </c>
      <c r="C192" s="15">
        <f>_xll.RssMarket("4887","現在値")</f>
        <v>1676.5</v>
      </c>
      <c r="D192" s="16">
        <f t="shared" si="2"/>
        <v>0</v>
      </c>
      <c r="E192" s="13">
        <v>1676.5</v>
      </c>
      <c r="F192" s="13">
        <v>1650.5</v>
      </c>
      <c r="G192" s="13">
        <v>1711</v>
      </c>
      <c r="H192" s="13">
        <v>1720</v>
      </c>
      <c r="I192" s="13">
        <v>1688</v>
      </c>
      <c r="J192" s="13">
        <v>1712.5</v>
      </c>
      <c r="K192" s="13">
        <v>1717</v>
      </c>
      <c r="L192" s="13">
        <v>1719.5</v>
      </c>
      <c r="M192" s="13">
        <v>1707.5</v>
      </c>
      <c r="N192" s="13">
        <v>1732</v>
      </c>
      <c r="O192" s="13">
        <v>1749</v>
      </c>
      <c r="P192" s="13">
        <v>1734.5</v>
      </c>
      <c r="Q192" s="13">
        <v>1773.5</v>
      </c>
      <c r="R192" s="13">
        <v>1788.5</v>
      </c>
      <c r="S192" s="13">
        <v>1768</v>
      </c>
      <c r="T192" s="13">
        <v>1757.5</v>
      </c>
      <c r="U192" s="13">
        <v>1789</v>
      </c>
      <c r="V192" s="13">
        <v>1805</v>
      </c>
      <c r="W192" s="13">
        <v>1740</v>
      </c>
      <c r="X192" s="13">
        <v>2032.5</v>
      </c>
      <c r="Y192" s="13">
        <v>2082.5</v>
      </c>
      <c r="Z192" s="13">
        <v>2080.5</v>
      </c>
      <c r="AA192" s="13">
        <v>2081</v>
      </c>
      <c r="AB192" s="13">
        <v>2097.5</v>
      </c>
      <c r="AC192" s="13">
        <v>2102</v>
      </c>
      <c r="AD192" s="13">
        <v>2135</v>
      </c>
      <c r="AE192" s="13">
        <v>2066</v>
      </c>
      <c r="AF192" s="13">
        <v>2104.5</v>
      </c>
      <c r="AG192" s="13">
        <v>2098.5</v>
      </c>
      <c r="AH192" s="13">
        <v>2080.5</v>
      </c>
      <c r="AI192" s="13">
        <v>2121</v>
      </c>
      <c r="AJ192" s="13">
        <v>2099</v>
      </c>
      <c r="AK192" s="13">
        <v>2110.5</v>
      </c>
      <c r="AL192" s="13">
        <v>2174</v>
      </c>
      <c r="AM192" s="13">
        <v>2189.5</v>
      </c>
      <c r="AN192" s="13">
        <v>2208</v>
      </c>
      <c r="AO192" s="13">
        <v>2248</v>
      </c>
      <c r="AP192" s="13">
        <v>2222</v>
      </c>
      <c r="AQ192" s="13">
        <v>2177</v>
      </c>
      <c r="AR192" s="13">
        <v>2224.5</v>
      </c>
      <c r="AS192" s="13">
        <v>2255.5</v>
      </c>
      <c r="AT192" s="13">
        <v>2252.5</v>
      </c>
      <c r="AU192" s="13">
        <v>2267.5</v>
      </c>
      <c r="AV192" s="13">
        <v>2278.5</v>
      </c>
      <c r="AW192" s="13">
        <v>2287.5</v>
      </c>
      <c r="AX192" s="13">
        <v>2301</v>
      </c>
      <c r="AY192" s="13">
        <v>2237</v>
      </c>
      <c r="AZ192" s="13">
        <v>2275</v>
      </c>
      <c r="BA192" s="13">
        <v>2210</v>
      </c>
      <c r="BB192" s="13">
        <v>2243</v>
      </c>
      <c r="BC192" s="13">
        <v>2325</v>
      </c>
      <c r="BD192" s="13">
        <v>2278.5</v>
      </c>
      <c r="BE192" s="13">
        <v>2260</v>
      </c>
      <c r="BF192" s="13">
        <v>2192</v>
      </c>
      <c r="BG192" s="13">
        <v>2110</v>
      </c>
      <c r="BH192" s="13">
        <v>2149</v>
      </c>
      <c r="BI192" s="13">
        <v>2190</v>
      </c>
      <c r="BJ192" s="13">
        <v>2153</v>
      </c>
      <c r="BK192" s="13">
        <v>2140.5</v>
      </c>
      <c r="BL192" s="13">
        <v>2127</v>
      </c>
    </row>
    <row r="193" spans="1:64" ht="15.95" customHeight="1">
      <c r="A193" s="64" t="s">
        <v>447</v>
      </c>
      <c r="B193" s="6" t="s">
        <v>250</v>
      </c>
      <c r="C193" s="15">
        <f>_xll.RssMarket("5243","現在値")</f>
        <v>1821</v>
      </c>
      <c r="D193" s="16">
        <f t="shared" si="2"/>
        <v>0</v>
      </c>
      <c r="E193" s="13">
        <v>1821</v>
      </c>
      <c r="F193" s="13">
        <v>1728</v>
      </c>
      <c r="G193" s="13">
        <v>1655</v>
      </c>
      <c r="H193" s="13">
        <v>1683</v>
      </c>
      <c r="I193" s="13">
        <v>1676</v>
      </c>
      <c r="J193" s="13">
        <v>1754</v>
      </c>
      <c r="K193" s="13">
        <v>1848</v>
      </c>
      <c r="L193" s="13">
        <v>1816</v>
      </c>
      <c r="M193" s="13">
        <v>1935</v>
      </c>
      <c r="N193" s="13">
        <v>1901</v>
      </c>
      <c r="O193" s="13">
        <v>2008</v>
      </c>
      <c r="P193" s="13">
        <v>2070</v>
      </c>
      <c r="Q193" s="13">
        <v>2063</v>
      </c>
      <c r="R193" s="13">
        <v>2060</v>
      </c>
      <c r="S193" s="13">
        <v>2191</v>
      </c>
      <c r="T193" s="13">
        <v>2248</v>
      </c>
      <c r="U193" s="13">
        <v>2216</v>
      </c>
      <c r="V193" s="13">
        <v>2147</v>
      </c>
      <c r="W193" s="13">
        <v>2205</v>
      </c>
      <c r="X193" s="13">
        <v>2264</v>
      </c>
      <c r="Y193" s="13">
        <v>2255</v>
      </c>
      <c r="Z193" s="13">
        <v>2297</v>
      </c>
      <c r="AA193" s="13">
        <v>2407</v>
      </c>
      <c r="AB193" s="13">
        <v>2245</v>
      </c>
      <c r="AC193" s="13">
        <v>2135</v>
      </c>
      <c r="AD193" s="13">
        <v>2150</v>
      </c>
      <c r="AE193" s="13">
        <v>2251</v>
      </c>
      <c r="AF193" s="13">
        <v>2363</v>
      </c>
      <c r="AG193" s="13">
        <v>2424</v>
      </c>
      <c r="AH193" s="13">
        <v>2503</v>
      </c>
      <c r="AI193" s="13">
        <v>2330</v>
      </c>
      <c r="AJ193" s="13">
        <v>2449</v>
      </c>
      <c r="AK193" s="13">
        <v>2490</v>
      </c>
      <c r="AL193" s="13">
        <v>2691</v>
      </c>
      <c r="AM193" s="13">
        <v>2571</v>
      </c>
      <c r="AN193" s="13">
        <v>2609</v>
      </c>
      <c r="AO193" s="13">
        <v>2608</v>
      </c>
      <c r="AP193" s="13">
        <v>2769</v>
      </c>
      <c r="AQ193" s="13">
        <v>2521</v>
      </c>
      <c r="AR193" s="13">
        <v>3010</v>
      </c>
      <c r="AS193" s="13">
        <v>2909</v>
      </c>
      <c r="AT193" s="13">
        <v>2703</v>
      </c>
      <c r="AU193" s="13">
        <v>2695</v>
      </c>
      <c r="AV193" s="13">
        <v>2734</v>
      </c>
      <c r="AW193" s="13">
        <v>2517</v>
      </c>
      <c r="AX193" s="13">
        <v>2552</v>
      </c>
      <c r="AY193" s="13">
        <v>2541</v>
      </c>
      <c r="AZ193" s="13">
        <v>2459</v>
      </c>
      <c r="BA193" s="13">
        <v>2562</v>
      </c>
      <c r="BB193" s="13">
        <v>2445</v>
      </c>
      <c r="BC193" s="13">
        <v>2424</v>
      </c>
      <c r="BD193" s="13">
        <v>2519</v>
      </c>
      <c r="BE193" s="13">
        <v>2443</v>
      </c>
      <c r="BF193" s="13">
        <v>2485</v>
      </c>
      <c r="BG193" s="13">
        <v>2227</v>
      </c>
      <c r="BH193" s="13">
        <v>2103</v>
      </c>
      <c r="BI193" s="13">
        <v>2188</v>
      </c>
      <c r="BJ193" s="13">
        <v>2351</v>
      </c>
      <c r="BK193" s="13">
        <v>2313</v>
      </c>
      <c r="BL193" s="13">
        <v>2425</v>
      </c>
    </row>
    <row r="194" spans="1:64" ht="15.95" customHeight="1">
      <c r="A194" s="64" t="s">
        <v>448</v>
      </c>
      <c r="B194" s="6" t="s">
        <v>251</v>
      </c>
      <c r="C194" s="15">
        <f>_xll.RssMarket("2702","現在値")</f>
        <v>7410</v>
      </c>
      <c r="D194" s="16">
        <f t="shared" si="2"/>
        <v>0</v>
      </c>
      <c r="E194" s="13">
        <v>7410</v>
      </c>
      <c r="F194" s="13">
        <v>7380</v>
      </c>
      <c r="G194" s="13">
        <v>7500</v>
      </c>
      <c r="H194" s="13">
        <v>7470</v>
      </c>
      <c r="I194" s="13">
        <v>7280</v>
      </c>
      <c r="J194" s="13">
        <v>7430</v>
      </c>
      <c r="K194" s="13">
        <v>7360</v>
      </c>
      <c r="L194" s="13">
        <v>7310</v>
      </c>
      <c r="M194" s="13">
        <v>7490</v>
      </c>
      <c r="N194" s="13">
        <v>7570</v>
      </c>
      <c r="O194" s="13">
        <v>7750</v>
      </c>
      <c r="P194" s="13">
        <v>7790</v>
      </c>
      <c r="Q194" s="13">
        <v>7780</v>
      </c>
      <c r="R194" s="13">
        <v>7870</v>
      </c>
      <c r="S194" s="13">
        <v>8080</v>
      </c>
      <c r="T194" s="13">
        <v>8130</v>
      </c>
      <c r="U194" s="13">
        <v>7980</v>
      </c>
      <c r="V194" s="13">
        <v>8070</v>
      </c>
      <c r="W194" s="13">
        <v>8000</v>
      </c>
      <c r="X194" s="13">
        <v>7800</v>
      </c>
      <c r="Y194" s="13">
        <v>8130</v>
      </c>
      <c r="Z194" s="13">
        <v>8330</v>
      </c>
      <c r="AA194" s="13">
        <v>8590</v>
      </c>
      <c r="AB194" s="13">
        <v>7690</v>
      </c>
      <c r="AC194" s="13">
        <v>7740</v>
      </c>
      <c r="AD194" s="13">
        <v>7870</v>
      </c>
      <c r="AE194" s="13">
        <v>8000</v>
      </c>
      <c r="AF194" s="13">
        <v>8130</v>
      </c>
      <c r="AG194" s="13">
        <v>8120</v>
      </c>
      <c r="AH194" s="13">
        <v>8190</v>
      </c>
      <c r="AI194" s="13">
        <v>8210</v>
      </c>
      <c r="AJ194" s="13">
        <v>8100</v>
      </c>
      <c r="AK194" s="13">
        <v>8120</v>
      </c>
      <c r="AL194" s="13">
        <v>8210</v>
      </c>
      <c r="AM194" s="13">
        <v>8250</v>
      </c>
      <c r="AN194" s="13">
        <v>8260</v>
      </c>
      <c r="AO194" s="13">
        <v>8190</v>
      </c>
      <c r="AP194" s="13">
        <v>8200</v>
      </c>
      <c r="AQ194" s="13">
        <v>8240</v>
      </c>
      <c r="AR194" s="13">
        <v>8030</v>
      </c>
      <c r="AS194" s="13">
        <v>8090</v>
      </c>
      <c r="AT194" s="13">
        <v>8240</v>
      </c>
      <c r="AU194" s="13">
        <v>8470</v>
      </c>
      <c r="AV194" s="13">
        <v>8580</v>
      </c>
      <c r="AW194" s="13">
        <v>8580</v>
      </c>
      <c r="AX194" s="13">
        <v>8410</v>
      </c>
      <c r="AY194" s="13">
        <v>8420</v>
      </c>
      <c r="AZ194" s="13">
        <v>8200</v>
      </c>
      <c r="BA194" s="13">
        <v>8260</v>
      </c>
      <c r="BB194" s="13">
        <v>8260</v>
      </c>
      <c r="BC194" s="13">
        <v>8430</v>
      </c>
      <c r="BD194" s="13">
        <v>8360</v>
      </c>
      <c r="BE194" s="13">
        <v>8060</v>
      </c>
      <c r="BF194" s="13">
        <v>8100</v>
      </c>
      <c r="BG194" s="13">
        <v>7960</v>
      </c>
      <c r="BH194" s="13">
        <v>7820</v>
      </c>
      <c r="BI194" s="13">
        <v>7980</v>
      </c>
      <c r="BJ194" s="13">
        <v>8030</v>
      </c>
      <c r="BK194" s="13">
        <v>7950</v>
      </c>
      <c r="BL194" s="13">
        <v>7770</v>
      </c>
    </row>
    <row r="195" spans="1:64" ht="15.95" customHeight="1">
      <c r="A195" s="64" t="s">
        <v>449</v>
      </c>
      <c r="B195" s="6" t="s">
        <v>252</v>
      </c>
      <c r="C195" s="15">
        <f>_xll.RssMarket("6890","現在値")</f>
        <v>9440</v>
      </c>
      <c r="D195" s="16">
        <f t="shared" si="2"/>
        <v>0</v>
      </c>
      <c r="E195" s="13">
        <v>9440</v>
      </c>
      <c r="F195" s="13">
        <v>9300</v>
      </c>
      <c r="G195" s="13">
        <v>9100</v>
      </c>
      <c r="H195" s="13">
        <v>7940</v>
      </c>
      <c r="I195" s="13">
        <v>7880</v>
      </c>
      <c r="J195" s="13">
        <v>8230</v>
      </c>
      <c r="K195" s="13">
        <v>9100</v>
      </c>
      <c r="L195" s="13">
        <v>9020</v>
      </c>
      <c r="M195" s="13">
        <v>7950</v>
      </c>
      <c r="N195" s="13">
        <v>8010</v>
      </c>
      <c r="O195" s="13">
        <v>8120</v>
      </c>
      <c r="P195" s="13">
        <v>8690</v>
      </c>
      <c r="Q195" s="13">
        <v>8540</v>
      </c>
      <c r="R195" s="13">
        <v>8530</v>
      </c>
      <c r="S195" s="13">
        <v>9220</v>
      </c>
      <c r="T195" s="13">
        <v>8930</v>
      </c>
      <c r="U195" s="13">
        <v>8720</v>
      </c>
      <c r="V195" s="13">
        <v>8760</v>
      </c>
      <c r="W195" s="13">
        <v>8550</v>
      </c>
      <c r="X195" s="13">
        <v>9200</v>
      </c>
      <c r="Y195" s="13">
        <v>9460</v>
      </c>
      <c r="Z195" s="13">
        <v>9800</v>
      </c>
      <c r="AA195" s="13">
        <v>9430</v>
      </c>
      <c r="AB195" s="13">
        <v>9620</v>
      </c>
      <c r="AC195" s="13">
        <v>9610</v>
      </c>
      <c r="AD195" s="13">
        <v>9580</v>
      </c>
      <c r="AE195" s="13">
        <v>9150</v>
      </c>
      <c r="AF195" s="13">
        <v>8090</v>
      </c>
      <c r="AG195" s="13">
        <v>7530</v>
      </c>
      <c r="AH195" s="13">
        <v>7750</v>
      </c>
      <c r="AI195" s="13">
        <v>7230</v>
      </c>
      <c r="AJ195" s="13">
        <v>7480</v>
      </c>
      <c r="AK195" s="13">
        <v>7200</v>
      </c>
      <c r="AL195" s="13">
        <v>7000</v>
      </c>
      <c r="AM195" s="13">
        <v>6810</v>
      </c>
      <c r="AN195" s="13">
        <v>6700</v>
      </c>
      <c r="AO195" s="13">
        <v>6700</v>
      </c>
      <c r="AP195" s="13">
        <v>6760</v>
      </c>
      <c r="AQ195" s="13">
        <v>6760</v>
      </c>
      <c r="AR195" s="13">
        <v>6930</v>
      </c>
      <c r="AS195" s="13">
        <v>6940</v>
      </c>
      <c r="AT195" s="13">
        <v>6980</v>
      </c>
      <c r="AU195" s="13">
        <v>6850</v>
      </c>
      <c r="AV195" s="13">
        <v>6810</v>
      </c>
      <c r="AW195" s="13">
        <v>6510</v>
      </c>
      <c r="AX195" s="13">
        <v>6490</v>
      </c>
      <c r="AY195" s="13">
        <v>6580</v>
      </c>
      <c r="AZ195" s="13">
        <v>6320</v>
      </c>
      <c r="BA195" s="13">
        <v>6750</v>
      </c>
      <c r="BB195" s="13">
        <v>6280</v>
      </c>
      <c r="BC195" s="13">
        <v>6600</v>
      </c>
      <c r="BD195" s="13">
        <v>6500</v>
      </c>
      <c r="BE195" s="13">
        <v>6460</v>
      </c>
      <c r="BF195" s="13">
        <v>6430</v>
      </c>
      <c r="BG195" s="13">
        <v>5920</v>
      </c>
      <c r="BH195" s="13">
        <v>5740</v>
      </c>
      <c r="BI195" s="13">
        <v>6010</v>
      </c>
      <c r="BJ195" s="13">
        <v>6310</v>
      </c>
      <c r="BK195" s="13">
        <v>6020</v>
      </c>
      <c r="BL195" s="13">
        <v>6140</v>
      </c>
    </row>
    <row r="196" spans="1:64" ht="15.95" customHeight="1">
      <c r="A196" s="64" t="s">
        <v>450</v>
      </c>
      <c r="B196" s="6" t="s">
        <v>253</v>
      </c>
      <c r="C196" s="15">
        <f>_xll.RssMarket("4966","現在値")</f>
        <v>26340</v>
      </c>
      <c r="D196" s="16">
        <f t="shared" si="2"/>
        <v>0</v>
      </c>
      <c r="E196" s="13">
        <v>26340</v>
      </c>
      <c r="F196" s="13">
        <v>26410</v>
      </c>
      <c r="G196" s="13">
        <v>24160</v>
      </c>
      <c r="H196" s="13">
        <v>23150</v>
      </c>
      <c r="I196" s="13">
        <v>22470</v>
      </c>
      <c r="J196" s="13">
        <v>21800</v>
      </c>
      <c r="K196" s="13">
        <v>22740</v>
      </c>
      <c r="L196" s="13">
        <v>23020</v>
      </c>
      <c r="M196" s="13">
        <v>23580</v>
      </c>
      <c r="N196" s="13">
        <v>23160</v>
      </c>
      <c r="O196" s="13">
        <v>23300</v>
      </c>
      <c r="P196" s="13">
        <v>23320</v>
      </c>
      <c r="Q196" s="13">
        <v>23470</v>
      </c>
      <c r="R196" s="13">
        <v>23780</v>
      </c>
      <c r="S196" s="13">
        <v>23890</v>
      </c>
      <c r="T196" s="13">
        <v>24250</v>
      </c>
      <c r="U196" s="13">
        <v>23440</v>
      </c>
      <c r="V196" s="13">
        <v>22750</v>
      </c>
      <c r="W196" s="13">
        <v>22810</v>
      </c>
      <c r="X196" s="13">
        <v>23800</v>
      </c>
      <c r="Y196" s="13">
        <v>23990</v>
      </c>
      <c r="Z196" s="13">
        <v>25680</v>
      </c>
      <c r="AA196" s="13">
        <v>24970</v>
      </c>
      <c r="AB196" s="13">
        <v>24600</v>
      </c>
      <c r="AC196" s="13">
        <v>23830</v>
      </c>
      <c r="AD196" s="13">
        <v>23710</v>
      </c>
      <c r="AE196" s="13">
        <v>23800</v>
      </c>
      <c r="AF196" s="13">
        <v>22600</v>
      </c>
      <c r="AG196" s="13">
        <v>23440</v>
      </c>
      <c r="AH196" s="13">
        <v>23320</v>
      </c>
      <c r="AI196" s="13">
        <v>23270</v>
      </c>
      <c r="AJ196" s="13">
        <v>23320</v>
      </c>
      <c r="AK196" s="13">
        <v>23060</v>
      </c>
      <c r="AL196" s="13">
        <v>23410</v>
      </c>
      <c r="AM196" s="13">
        <v>23020</v>
      </c>
      <c r="AN196" s="13">
        <v>22810</v>
      </c>
      <c r="AO196" s="13">
        <v>23140</v>
      </c>
      <c r="AP196" s="13">
        <v>23680</v>
      </c>
      <c r="AQ196" s="13">
        <v>23980</v>
      </c>
      <c r="AR196" s="13">
        <v>24000</v>
      </c>
      <c r="AS196" s="13">
        <v>23230</v>
      </c>
      <c r="AT196" s="13">
        <v>22960</v>
      </c>
      <c r="AU196" s="13">
        <v>22670</v>
      </c>
      <c r="AV196" s="13">
        <v>22650</v>
      </c>
      <c r="AW196" s="13">
        <v>21010</v>
      </c>
      <c r="AX196" s="13">
        <v>21410</v>
      </c>
      <c r="AY196" s="13">
        <v>20880</v>
      </c>
      <c r="AZ196" s="13">
        <v>20420</v>
      </c>
      <c r="BA196" s="13">
        <v>20900</v>
      </c>
      <c r="BB196" s="13">
        <v>19720</v>
      </c>
      <c r="BC196" s="13">
        <v>20700</v>
      </c>
      <c r="BD196" s="13">
        <v>21890</v>
      </c>
      <c r="BE196" s="13">
        <v>22690</v>
      </c>
      <c r="BF196" s="13">
        <v>22960</v>
      </c>
      <c r="BG196" s="13">
        <v>22060</v>
      </c>
      <c r="BH196" s="13">
        <v>21780</v>
      </c>
      <c r="BI196" s="13">
        <v>22570</v>
      </c>
      <c r="BJ196" s="13">
        <v>23400</v>
      </c>
      <c r="BK196" s="13">
        <v>22900</v>
      </c>
      <c r="BL196" s="13">
        <v>22610</v>
      </c>
    </row>
    <row r="197" spans="1:64" ht="15.95" customHeight="1">
      <c r="A197" s="64" t="s">
        <v>451</v>
      </c>
      <c r="B197" s="6" t="s">
        <v>254</v>
      </c>
      <c r="C197" s="15">
        <f>_xll.RssMarket("6146","現在値")</f>
        <v>83700</v>
      </c>
      <c r="D197" s="16">
        <f t="shared" si="2"/>
        <v>0</v>
      </c>
      <c r="E197" s="13">
        <v>83700</v>
      </c>
      <c r="F197" s="13">
        <v>81550</v>
      </c>
      <c r="G197" s="13">
        <v>85250</v>
      </c>
      <c r="H197" s="13">
        <v>79900</v>
      </c>
      <c r="I197" s="13">
        <v>70030</v>
      </c>
      <c r="J197" s="13">
        <v>70060</v>
      </c>
      <c r="K197" s="13">
        <v>67480</v>
      </c>
      <c r="L197" s="13">
        <v>72580</v>
      </c>
      <c r="M197" s="13">
        <v>72210</v>
      </c>
      <c r="N197" s="13">
        <v>68710</v>
      </c>
      <c r="O197" s="13">
        <v>64200</v>
      </c>
      <c r="P197" s="13">
        <v>63760</v>
      </c>
      <c r="Q197" s="13">
        <v>65090</v>
      </c>
      <c r="R197" s="13">
        <v>66350</v>
      </c>
      <c r="S197" s="13">
        <v>67630</v>
      </c>
      <c r="T197" s="13">
        <v>69780</v>
      </c>
      <c r="U197" s="13">
        <v>65860</v>
      </c>
      <c r="V197" s="13">
        <v>65650</v>
      </c>
      <c r="W197" s="13">
        <v>61340</v>
      </c>
      <c r="X197" s="13">
        <v>61600</v>
      </c>
      <c r="Y197" s="13">
        <v>63500</v>
      </c>
      <c r="Z197" s="13">
        <v>64900</v>
      </c>
      <c r="AA197" s="13">
        <v>70000</v>
      </c>
      <c r="AB197" s="13">
        <v>72840</v>
      </c>
      <c r="AC197" s="13">
        <v>72800</v>
      </c>
      <c r="AD197" s="13">
        <v>73380</v>
      </c>
      <c r="AE197" s="13">
        <v>75000</v>
      </c>
      <c r="AF197" s="13">
        <v>76590</v>
      </c>
      <c r="AG197" s="13">
        <v>72250</v>
      </c>
      <c r="AH197" s="13">
        <v>74010</v>
      </c>
      <c r="AI197" s="13">
        <v>76440</v>
      </c>
      <c r="AJ197" s="13">
        <v>76030</v>
      </c>
      <c r="AK197" s="13">
        <v>71700</v>
      </c>
      <c r="AL197" s="13">
        <v>72000</v>
      </c>
      <c r="AM197" s="13">
        <v>74830</v>
      </c>
      <c r="AN197" s="13">
        <v>74240</v>
      </c>
      <c r="AO197" s="13">
        <v>72950</v>
      </c>
      <c r="AP197" s="13">
        <v>72900</v>
      </c>
      <c r="AQ197" s="13">
        <v>73030</v>
      </c>
      <c r="AR197" s="13">
        <v>70580</v>
      </c>
      <c r="AS197" s="13">
        <v>71630</v>
      </c>
      <c r="AT197" s="13">
        <v>67370</v>
      </c>
      <c r="AU197" s="13">
        <v>66890</v>
      </c>
      <c r="AV197" s="13">
        <v>64600</v>
      </c>
      <c r="AW197" s="13">
        <v>67450</v>
      </c>
      <c r="AX197" s="13">
        <v>62860</v>
      </c>
      <c r="AY197" s="13">
        <v>66980</v>
      </c>
      <c r="AZ197" s="13">
        <v>65650</v>
      </c>
      <c r="BA197" s="13">
        <v>63570</v>
      </c>
      <c r="BB197" s="13">
        <v>63680</v>
      </c>
      <c r="BC197" s="13">
        <v>61240</v>
      </c>
      <c r="BD197" s="13">
        <v>64250</v>
      </c>
      <c r="BE197" s="13">
        <v>66530</v>
      </c>
      <c r="BF197" s="13">
        <v>67490</v>
      </c>
      <c r="BG197" s="13">
        <v>67980</v>
      </c>
      <c r="BH197" s="13">
        <v>65390</v>
      </c>
      <c r="BI197" s="13">
        <v>65300</v>
      </c>
      <c r="BJ197" s="13">
        <v>69580</v>
      </c>
      <c r="BK197" s="13">
        <v>70680</v>
      </c>
      <c r="BL197" s="13">
        <v>67350</v>
      </c>
    </row>
    <row r="198" spans="1:64" ht="15.95" customHeight="1">
      <c r="A198" s="64" t="s">
        <v>452</v>
      </c>
      <c r="B198" s="6" t="s">
        <v>255</v>
      </c>
      <c r="C198" s="15">
        <f>_xll.RssMarket("8035","現在値")</f>
        <v>72640</v>
      </c>
      <c r="D198" s="16">
        <f t="shared" ref="D198:D217" si="3">C198-E198</f>
        <v>0</v>
      </c>
      <c r="E198" s="13">
        <v>72640</v>
      </c>
      <c r="F198" s="13">
        <v>70860</v>
      </c>
      <c r="G198" s="13">
        <v>68000</v>
      </c>
      <c r="H198" s="13">
        <v>63400</v>
      </c>
      <c r="I198" s="13">
        <v>61830</v>
      </c>
      <c r="J198" s="13">
        <v>55020</v>
      </c>
      <c r="K198" s="13">
        <v>59450</v>
      </c>
      <c r="L198" s="13">
        <v>63660</v>
      </c>
      <c r="M198" s="13">
        <v>60900</v>
      </c>
      <c r="N198" s="13">
        <v>53710</v>
      </c>
      <c r="O198" s="13">
        <v>53060</v>
      </c>
      <c r="P198" s="13">
        <v>52420</v>
      </c>
      <c r="Q198" s="13">
        <v>52320</v>
      </c>
      <c r="R198" s="13">
        <v>52500</v>
      </c>
      <c r="S198" s="13">
        <v>52180</v>
      </c>
      <c r="T198" s="13">
        <v>49830</v>
      </c>
      <c r="U198" s="13">
        <v>48800</v>
      </c>
      <c r="V198" s="13">
        <v>46100</v>
      </c>
      <c r="W198" s="13">
        <v>47160</v>
      </c>
      <c r="X198" s="13">
        <v>49260</v>
      </c>
      <c r="Y198" s="13">
        <v>50290</v>
      </c>
      <c r="Z198" s="13">
        <v>51200</v>
      </c>
      <c r="AA198" s="13">
        <v>51340</v>
      </c>
      <c r="AB198" s="13">
        <v>52160</v>
      </c>
      <c r="AC198" s="13">
        <v>52080</v>
      </c>
      <c r="AD198" s="13">
        <v>52450</v>
      </c>
      <c r="AE198" s="13">
        <v>51720</v>
      </c>
      <c r="AF198" s="13">
        <v>47450</v>
      </c>
      <c r="AG198" s="13">
        <v>44390</v>
      </c>
      <c r="AH198" s="13">
        <v>45150</v>
      </c>
      <c r="AI198" s="13">
        <v>47100</v>
      </c>
      <c r="AJ198" s="13">
        <v>45850</v>
      </c>
      <c r="AK198" s="13">
        <v>45480</v>
      </c>
      <c r="AL198" s="13">
        <v>45500</v>
      </c>
      <c r="AM198" s="13">
        <v>45780</v>
      </c>
      <c r="AN198" s="13">
        <v>44250</v>
      </c>
      <c r="AO198" s="13">
        <v>44010</v>
      </c>
      <c r="AP198" s="13">
        <v>45820</v>
      </c>
      <c r="AQ198" s="13">
        <v>43500</v>
      </c>
      <c r="AR198" s="13">
        <v>43700</v>
      </c>
      <c r="AS198" s="13">
        <v>42460</v>
      </c>
      <c r="AT198" s="13">
        <v>44040</v>
      </c>
      <c r="AU198" s="13">
        <v>42190</v>
      </c>
      <c r="AV198" s="13">
        <v>42410</v>
      </c>
      <c r="AW198" s="13">
        <v>38440</v>
      </c>
      <c r="AX198" s="13">
        <v>38370</v>
      </c>
      <c r="AY198" s="13">
        <v>38420</v>
      </c>
      <c r="AZ198" s="13">
        <v>38020</v>
      </c>
      <c r="BA198" s="13">
        <v>39280</v>
      </c>
      <c r="BB198" s="13">
        <v>37230</v>
      </c>
      <c r="BC198" s="13">
        <v>38840</v>
      </c>
      <c r="BD198" s="13">
        <v>39290</v>
      </c>
      <c r="BE198" s="13">
        <v>40530</v>
      </c>
      <c r="BF198" s="13">
        <v>40360</v>
      </c>
      <c r="BG198" s="13">
        <v>39130</v>
      </c>
      <c r="BH198" s="13">
        <v>38300</v>
      </c>
      <c r="BI198" s="13">
        <v>39330</v>
      </c>
      <c r="BJ198" s="13">
        <v>40290</v>
      </c>
      <c r="BK198" s="13">
        <v>38780</v>
      </c>
      <c r="BL198" s="13">
        <v>39150</v>
      </c>
    </row>
    <row r="199" spans="1:64" ht="15.95" customHeight="1">
      <c r="A199" s="64" t="s">
        <v>453</v>
      </c>
      <c r="B199" s="6" t="s">
        <v>256</v>
      </c>
      <c r="C199" s="15">
        <f>_xll.RssMarket("6920","現在値")</f>
        <v>52700</v>
      </c>
      <c r="D199" s="16">
        <f t="shared" si="3"/>
        <v>0</v>
      </c>
      <c r="E199" s="13">
        <v>52700</v>
      </c>
      <c r="F199" s="13">
        <v>46570</v>
      </c>
      <c r="G199" s="13">
        <v>48300</v>
      </c>
      <c r="H199" s="13">
        <v>44000</v>
      </c>
      <c r="I199" s="13">
        <v>40200</v>
      </c>
      <c r="J199" s="13">
        <v>40650</v>
      </c>
      <c r="K199" s="13">
        <v>39100</v>
      </c>
      <c r="L199" s="13">
        <v>42180</v>
      </c>
      <c r="M199" s="13">
        <v>42750</v>
      </c>
      <c r="N199" s="13">
        <v>41770</v>
      </c>
      <c r="O199" s="13">
        <v>39250</v>
      </c>
      <c r="P199" s="13">
        <v>38380</v>
      </c>
      <c r="Q199" s="13">
        <v>40130</v>
      </c>
      <c r="R199" s="13">
        <v>40110</v>
      </c>
      <c r="S199" s="13">
        <v>41530</v>
      </c>
      <c r="T199" s="13">
        <v>43020</v>
      </c>
      <c r="U199" s="13">
        <v>38130</v>
      </c>
      <c r="V199" s="13">
        <v>38060</v>
      </c>
      <c r="W199" s="13">
        <v>35650</v>
      </c>
      <c r="X199" s="13">
        <v>36060</v>
      </c>
      <c r="Y199" s="13">
        <v>38190</v>
      </c>
      <c r="Z199" s="13">
        <v>38410</v>
      </c>
      <c r="AA199" s="13">
        <v>40560</v>
      </c>
      <c r="AB199" s="13">
        <v>42490</v>
      </c>
      <c r="AC199" s="13">
        <v>43490</v>
      </c>
      <c r="AD199" s="13">
        <v>44110</v>
      </c>
      <c r="AE199" s="13">
        <v>43770</v>
      </c>
      <c r="AF199" s="13">
        <v>44920</v>
      </c>
      <c r="AG199" s="13">
        <v>42930</v>
      </c>
      <c r="AH199" s="13">
        <v>42690</v>
      </c>
      <c r="AI199" s="13">
        <v>44330</v>
      </c>
      <c r="AJ199" s="13">
        <v>45770</v>
      </c>
      <c r="AK199" s="13">
        <v>45060</v>
      </c>
      <c r="AL199" s="13">
        <v>43400</v>
      </c>
      <c r="AM199" s="13">
        <v>44800</v>
      </c>
      <c r="AN199" s="13">
        <v>44520</v>
      </c>
      <c r="AO199" s="13">
        <v>42120</v>
      </c>
      <c r="AP199" s="13">
        <v>39950</v>
      </c>
      <c r="AQ199" s="13">
        <v>42020</v>
      </c>
      <c r="AR199" s="13">
        <v>41370</v>
      </c>
      <c r="AS199" s="13">
        <v>42800</v>
      </c>
      <c r="AT199" s="13">
        <v>41230</v>
      </c>
      <c r="AU199" s="13">
        <v>41580</v>
      </c>
      <c r="AV199" s="13">
        <v>38700</v>
      </c>
      <c r="AW199" s="13">
        <v>39940</v>
      </c>
      <c r="AX199" s="13">
        <v>36570</v>
      </c>
      <c r="AY199" s="13">
        <v>37460</v>
      </c>
      <c r="AZ199" s="13">
        <v>35860</v>
      </c>
      <c r="BA199" s="13">
        <v>35020</v>
      </c>
      <c r="BB199" s="13">
        <v>35350</v>
      </c>
      <c r="BC199" s="13">
        <v>33350</v>
      </c>
      <c r="BD199" s="13">
        <v>35300</v>
      </c>
      <c r="BE199" s="13">
        <v>34970</v>
      </c>
      <c r="BF199" s="13">
        <v>34570</v>
      </c>
      <c r="BG199" s="13">
        <v>33410</v>
      </c>
      <c r="BH199" s="13">
        <v>31870</v>
      </c>
      <c r="BI199" s="13">
        <v>32030</v>
      </c>
      <c r="BJ199" s="13">
        <v>35090</v>
      </c>
      <c r="BK199" s="13">
        <v>36020</v>
      </c>
      <c r="BL199" s="13">
        <v>35850</v>
      </c>
    </row>
    <row r="200" spans="1:64" ht="15.95" customHeight="1">
      <c r="A200" s="64" t="s">
        <v>454</v>
      </c>
      <c r="B200" s="6" t="s">
        <v>66</v>
      </c>
      <c r="C200" s="15">
        <f>_xll.RssMarket("5801","現在値")</f>
        <v>47440</v>
      </c>
      <c r="D200" s="16">
        <f t="shared" si="3"/>
        <v>0</v>
      </c>
      <c r="E200" s="13">
        <v>47440</v>
      </c>
      <c r="F200" s="13">
        <v>46130</v>
      </c>
      <c r="G200" s="13">
        <v>42090</v>
      </c>
      <c r="H200" s="13">
        <v>40780</v>
      </c>
      <c r="I200" s="13">
        <v>41040</v>
      </c>
      <c r="J200" s="13">
        <v>45260</v>
      </c>
      <c r="K200" s="13">
        <v>49050</v>
      </c>
      <c r="L200" s="13">
        <v>51100</v>
      </c>
      <c r="M200" s="13">
        <v>53100</v>
      </c>
      <c r="N200" s="13">
        <v>50910</v>
      </c>
      <c r="O200" s="13">
        <v>52130</v>
      </c>
      <c r="P200" s="13">
        <v>52060</v>
      </c>
      <c r="Q200" s="13">
        <v>52000</v>
      </c>
      <c r="R200" s="13">
        <v>56110</v>
      </c>
      <c r="S200" s="13">
        <v>58080</v>
      </c>
      <c r="T200" s="13">
        <v>53650</v>
      </c>
      <c r="U200" s="13">
        <v>49280</v>
      </c>
      <c r="V200" s="13">
        <v>50860</v>
      </c>
      <c r="W200" s="13">
        <v>50250</v>
      </c>
      <c r="X200" s="13">
        <v>54840</v>
      </c>
      <c r="Y200" s="13">
        <v>54480</v>
      </c>
      <c r="Z200" s="13">
        <v>57220</v>
      </c>
      <c r="AA200" s="13">
        <v>58130</v>
      </c>
      <c r="AB200" s="13">
        <v>50430</v>
      </c>
      <c r="AC200" s="13">
        <v>43430</v>
      </c>
      <c r="AD200" s="13">
        <v>44870</v>
      </c>
      <c r="AE200" s="13">
        <v>46300</v>
      </c>
      <c r="AF200" s="13">
        <v>41190</v>
      </c>
      <c r="AG200" s="13">
        <v>42370</v>
      </c>
      <c r="AH200" s="13">
        <v>42900</v>
      </c>
      <c r="AI200" s="13">
        <v>42620</v>
      </c>
      <c r="AJ200" s="13">
        <v>42950</v>
      </c>
      <c r="AK200" s="13">
        <v>42530</v>
      </c>
      <c r="AL200" s="13">
        <v>44050</v>
      </c>
      <c r="AM200" s="13">
        <v>44260</v>
      </c>
      <c r="AN200" s="13">
        <v>43070</v>
      </c>
      <c r="AO200" s="13">
        <v>44960</v>
      </c>
      <c r="AP200" s="13">
        <v>45720</v>
      </c>
      <c r="AQ200" s="13">
        <v>44240</v>
      </c>
      <c r="AR200" s="13">
        <v>46880</v>
      </c>
      <c r="AS200" s="13">
        <v>45310</v>
      </c>
      <c r="AT200" s="13">
        <v>45800</v>
      </c>
      <c r="AU200" s="13">
        <v>44640</v>
      </c>
      <c r="AV200" s="13">
        <v>42940</v>
      </c>
      <c r="AW200" s="13">
        <v>36510</v>
      </c>
      <c r="AX200" s="13">
        <v>37300</v>
      </c>
      <c r="AY200" s="13">
        <v>35800</v>
      </c>
      <c r="AZ200" s="13">
        <v>32420</v>
      </c>
      <c r="BA200" s="13">
        <v>32490</v>
      </c>
      <c r="BB200" s="13">
        <v>28785</v>
      </c>
      <c r="BC200" s="13">
        <v>30950</v>
      </c>
      <c r="BD200" s="13">
        <v>30890</v>
      </c>
      <c r="BE200" s="13">
        <v>32210</v>
      </c>
      <c r="BF200" s="13">
        <v>31240</v>
      </c>
      <c r="BG200" s="13">
        <v>28085</v>
      </c>
      <c r="BH200" s="13">
        <v>27680</v>
      </c>
      <c r="BI200" s="13">
        <v>29400</v>
      </c>
      <c r="BJ200" s="13">
        <v>28720</v>
      </c>
      <c r="BK200" s="13">
        <v>27440</v>
      </c>
      <c r="BL200" s="13">
        <v>29405</v>
      </c>
    </row>
    <row r="201" spans="1:64" ht="15.95" customHeight="1">
      <c r="A201" s="64" t="s">
        <v>455</v>
      </c>
      <c r="B201" s="6" t="s">
        <v>67</v>
      </c>
      <c r="C201" s="15">
        <f>_xll.RssMarket("6506","現在値")</f>
        <v>7046</v>
      </c>
      <c r="D201" s="16">
        <f t="shared" si="3"/>
        <v>0</v>
      </c>
      <c r="E201" s="13">
        <v>7046</v>
      </c>
      <c r="F201" s="13">
        <v>6845</v>
      </c>
      <c r="G201" s="13">
        <v>6335</v>
      </c>
      <c r="H201" s="13">
        <v>6016</v>
      </c>
      <c r="I201" s="13">
        <v>5988</v>
      </c>
      <c r="J201" s="13">
        <v>6425</v>
      </c>
      <c r="K201" s="13">
        <v>6862</v>
      </c>
      <c r="L201" s="13">
        <v>6942</v>
      </c>
      <c r="M201" s="13">
        <v>7152</v>
      </c>
      <c r="N201" s="13">
        <v>6622</v>
      </c>
      <c r="O201" s="13">
        <v>7140</v>
      </c>
      <c r="P201" s="13">
        <v>7208</v>
      </c>
      <c r="Q201" s="13">
        <v>7136</v>
      </c>
      <c r="R201" s="13">
        <v>7107</v>
      </c>
      <c r="S201" s="13">
        <v>7481</v>
      </c>
      <c r="T201" s="13">
        <v>7052</v>
      </c>
      <c r="U201" s="13">
        <v>6698</v>
      </c>
      <c r="V201" s="13">
        <v>6076</v>
      </c>
      <c r="W201" s="13">
        <v>6338</v>
      </c>
      <c r="X201" s="13">
        <v>6682</v>
      </c>
      <c r="Y201" s="13">
        <v>6987</v>
      </c>
      <c r="Z201" s="13">
        <v>7006</v>
      </c>
      <c r="AA201" s="13">
        <v>6980</v>
      </c>
      <c r="AB201" s="13">
        <v>6970</v>
      </c>
      <c r="AC201" s="13">
        <v>6574</v>
      </c>
      <c r="AD201" s="13">
        <v>6367</v>
      </c>
      <c r="AE201" s="13">
        <v>5973</v>
      </c>
      <c r="AF201" s="13">
        <v>5521</v>
      </c>
      <c r="AG201" s="13">
        <v>5520</v>
      </c>
      <c r="AH201" s="13">
        <v>5381</v>
      </c>
      <c r="AI201" s="13">
        <v>5462</v>
      </c>
      <c r="AJ201" s="13">
        <v>5150</v>
      </c>
      <c r="AK201" s="13">
        <v>5151</v>
      </c>
      <c r="AL201" s="13">
        <v>5356</v>
      </c>
      <c r="AM201" s="13">
        <v>5495</v>
      </c>
      <c r="AN201" s="13">
        <v>5420</v>
      </c>
      <c r="AO201" s="13">
        <v>5187</v>
      </c>
      <c r="AP201" s="13">
        <v>5288</v>
      </c>
      <c r="AQ201" s="13">
        <v>5277</v>
      </c>
      <c r="AR201" s="13">
        <v>5151</v>
      </c>
      <c r="AS201" s="13">
        <v>5239</v>
      </c>
      <c r="AT201" s="13">
        <v>4894</v>
      </c>
      <c r="AU201" s="13">
        <v>4674</v>
      </c>
      <c r="AV201" s="13">
        <v>4659</v>
      </c>
      <c r="AW201" s="13">
        <v>4338</v>
      </c>
      <c r="AX201" s="13">
        <v>4307</v>
      </c>
      <c r="AY201" s="13">
        <v>4280</v>
      </c>
      <c r="AZ201" s="13">
        <v>4211</v>
      </c>
      <c r="BA201" s="13">
        <v>4322</v>
      </c>
      <c r="BB201" s="13">
        <v>4020</v>
      </c>
      <c r="BC201" s="13">
        <v>4128</v>
      </c>
      <c r="BD201" s="13">
        <v>4323</v>
      </c>
      <c r="BE201" s="13">
        <v>4416</v>
      </c>
      <c r="BF201" s="13">
        <v>4510</v>
      </c>
      <c r="BG201" s="13">
        <v>4387</v>
      </c>
      <c r="BH201" s="13">
        <v>4242</v>
      </c>
      <c r="BI201" s="13">
        <v>4437</v>
      </c>
      <c r="BJ201" s="13">
        <v>4654</v>
      </c>
      <c r="BK201" s="13">
        <v>4556</v>
      </c>
      <c r="BL201" s="13">
        <v>4513</v>
      </c>
    </row>
    <row r="202" spans="1:64" ht="15.95" customHeight="1">
      <c r="A202" s="64" t="s">
        <v>456</v>
      </c>
      <c r="B202" s="6" t="s">
        <v>68</v>
      </c>
      <c r="C202" s="15">
        <f>_xll.RssMarket("2768","現在値")</f>
        <v>5296</v>
      </c>
      <c r="D202" s="16">
        <f t="shared" si="3"/>
        <v>0</v>
      </c>
      <c r="E202" s="13">
        <v>5296</v>
      </c>
      <c r="F202" s="13">
        <v>5291</v>
      </c>
      <c r="G202" s="13">
        <v>5081</v>
      </c>
      <c r="H202" s="13">
        <v>5028</v>
      </c>
      <c r="I202" s="13">
        <v>5089</v>
      </c>
      <c r="J202" s="13">
        <v>5092</v>
      </c>
      <c r="K202" s="13">
        <v>5191</v>
      </c>
      <c r="L202" s="13">
        <v>5155</v>
      </c>
      <c r="M202" s="13">
        <v>5157</v>
      </c>
      <c r="N202" s="13">
        <v>5121</v>
      </c>
      <c r="O202" s="13">
        <v>5143</v>
      </c>
      <c r="P202" s="13">
        <v>5391</v>
      </c>
      <c r="Q202" s="13">
        <v>5427</v>
      </c>
      <c r="R202" s="13">
        <v>5510</v>
      </c>
      <c r="S202" s="13">
        <v>5594</v>
      </c>
      <c r="T202" s="13">
        <v>5550</v>
      </c>
      <c r="U202" s="13">
        <v>5564</v>
      </c>
      <c r="V202" s="13">
        <v>5533</v>
      </c>
      <c r="W202" s="13">
        <v>5709</v>
      </c>
      <c r="X202" s="13">
        <v>5696</v>
      </c>
      <c r="Y202" s="13">
        <v>5914</v>
      </c>
      <c r="Z202" s="13">
        <v>5863</v>
      </c>
      <c r="AA202" s="13">
        <v>5926</v>
      </c>
      <c r="AB202" s="13">
        <v>5855</v>
      </c>
      <c r="AC202" s="13">
        <v>5726</v>
      </c>
      <c r="AD202" s="13">
        <v>5690</v>
      </c>
      <c r="AE202" s="13">
        <v>5909</v>
      </c>
      <c r="AF202" s="13">
        <v>6218</v>
      </c>
      <c r="AG202" s="13">
        <v>5860</v>
      </c>
      <c r="AH202" s="13">
        <v>5971</v>
      </c>
      <c r="AI202" s="13">
        <v>5825</v>
      </c>
      <c r="AJ202" s="13">
        <v>5914</v>
      </c>
      <c r="AK202" s="13">
        <v>5885</v>
      </c>
      <c r="AL202" s="13">
        <v>5902</v>
      </c>
      <c r="AM202" s="13">
        <v>6070</v>
      </c>
      <c r="AN202" s="13">
        <v>6043</v>
      </c>
      <c r="AO202" s="13">
        <v>6091</v>
      </c>
      <c r="AP202" s="13">
        <v>6254</v>
      </c>
      <c r="AQ202" s="13">
        <v>6146</v>
      </c>
      <c r="AR202" s="13">
        <v>6235</v>
      </c>
      <c r="AS202" s="13">
        <v>6358</v>
      </c>
      <c r="AT202" s="13">
        <v>6383</v>
      </c>
      <c r="AU202" s="13">
        <v>6454</v>
      </c>
      <c r="AV202" s="13">
        <v>6603</v>
      </c>
      <c r="AW202" s="13">
        <v>6402</v>
      </c>
      <c r="AX202" s="13">
        <v>6373</v>
      </c>
      <c r="AY202" s="13">
        <v>6359</v>
      </c>
      <c r="AZ202" s="13">
        <v>6280</v>
      </c>
      <c r="BA202" s="13">
        <v>6421</v>
      </c>
      <c r="BB202" s="13">
        <v>6125</v>
      </c>
      <c r="BC202" s="13">
        <v>6251</v>
      </c>
      <c r="BD202" s="13">
        <v>6452</v>
      </c>
      <c r="BE202" s="13">
        <v>6366</v>
      </c>
      <c r="BF202" s="13">
        <v>6352</v>
      </c>
      <c r="BG202" s="13">
        <v>6186</v>
      </c>
      <c r="BH202" s="13">
        <v>5989</v>
      </c>
      <c r="BI202" s="13">
        <v>6232</v>
      </c>
      <c r="BJ202" s="13">
        <v>6550</v>
      </c>
      <c r="BK202" s="13">
        <v>6229</v>
      </c>
      <c r="BL202" s="13">
        <v>6358</v>
      </c>
    </row>
    <row r="203" spans="1:64" ht="15.95" customHeight="1">
      <c r="A203" s="64" t="s">
        <v>457</v>
      </c>
      <c r="B203" s="6" t="s">
        <v>69</v>
      </c>
      <c r="C203" s="15">
        <f>_xll.RssMarket("6305","現在値")</f>
        <v>5417</v>
      </c>
      <c r="D203" s="16">
        <f t="shared" si="3"/>
        <v>0</v>
      </c>
      <c r="E203" s="13">
        <v>5417</v>
      </c>
      <c r="F203" s="13">
        <v>5419</v>
      </c>
      <c r="G203" s="13">
        <v>5303</v>
      </c>
      <c r="H203" s="13">
        <v>5150</v>
      </c>
      <c r="I203" s="13">
        <v>5267</v>
      </c>
      <c r="J203" s="13">
        <v>5247</v>
      </c>
      <c r="K203" s="13">
        <v>5415</v>
      </c>
      <c r="L203" s="13">
        <v>5339</v>
      </c>
      <c r="M203" s="13">
        <v>5385</v>
      </c>
      <c r="N203" s="13">
        <v>5094</v>
      </c>
      <c r="O203" s="13">
        <v>5100</v>
      </c>
      <c r="P203" s="13">
        <v>5199</v>
      </c>
      <c r="Q203" s="13">
        <v>5228</v>
      </c>
      <c r="R203" s="13">
        <v>5222</v>
      </c>
      <c r="S203" s="13">
        <v>5049</v>
      </c>
      <c r="T203" s="13">
        <v>4982</v>
      </c>
      <c r="U203" s="13">
        <v>4987</v>
      </c>
      <c r="V203" s="13">
        <v>4912</v>
      </c>
      <c r="W203" s="13">
        <v>5056</v>
      </c>
      <c r="X203" s="13">
        <v>5052</v>
      </c>
      <c r="Y203" s="13">
        <v>5226</v>
      </c>
      <c r="Z203" s="13">
        <v>5301</v>
      </c>
      <c r="AA203" s="13">
        <v>5290</v>
      </c>
      <c r="AB203" s="13">
        <v>5443</v>
      </c>
      <c r="AC203" s="13">
        <v>5674</v>
      </c>
      <c r="AD203" s="13">
        <v>5679</v>
      </c>
      <c r="AE203" s="13">
        <v>5521</v>
      </c>
      <c r="AF203" s="13">
        <v>5541</v>
      </c>
      <c r="AG203" s="13">
        <v>5472</v>
      </c>
      <c r="AH203" s="13">
        <v>5644</v>
      </c>
      <c r="AI203" s="13">
        <v>5432</v>
      </c>
      <c r="AJ203" s="13">
        <v>5443</v>
      </c>
      <c r="AK203" s="13">
        <v>5490</v>
      </c>
      <c r="AL203" s="13">
        <v>5388</v>
      </c>
      <c r="AM203" s="13">
        <v>5497</v>
      </c>
      <c r="AN203" s="13">
        <v>5430</v>
      </c>
      <c r="AO203" s="13">
        <v>5365</v>
      </c>
      <c r="AP203" s="13">
        <v>5550</v>
      </c>
      <c r="AQ203" s="13">
        <v>5683</v>
      </c>
      <c r="AR203" s="13">
        <v>5640</v>
      </c>
      <c r="AS203" s="13">
        <v>5658</v>
      </c>
      <c r="AT203" s="13">
        <v>5707</v>
      </c>
      <c r="AU203" s="13">
        <v>5693</v>
      </c>
      <c r="AV203" s="13">
        <v>5707</v>
      </c>
      <c r="AW203" s="13">
        <v>5317</v>
      </c>
      <c r="AX203" s="13">
        <v>5379</v>
      </c>
      <c r="AY203" s="13">
        <v>5443</v>
      </c>
      <c r="AZ203" s="13">
        <v>5395</v>
      </c>
      <c r="BA203" s="13">
        <v>5519</v>
      </c>
      <c r="BB203" s="13">
        <v>5271</v>
      </c>
      <c r="BC203" s="13">
        <v>5248</v>
      </c>
      <c r="BD203" s="13">
        <v>5541</v>
      </c>
      <c r="BE203" s="13">
        <v>5519</v>
      </c>
      <c r="BF203" s="13">
        <v>5531</v>
      </c>
      <c r="BG203" s="13">
        <v>5397</v>
      </c>
      <c r="BH203" s="13">
        <v>5181</v>
      </c>
      <c r="BI203" s="13">
        <v>5432</v>
      </c>
      <c r="BJ203" s="13">
        <v>5747</v>
      </c>
      <c r="BK203" s="13">
        <v>5637</v>
      </c>
      <c r="BL203" s="13">
        <v>5759</v>
      </c>
    </row>
    <row r="204" spans="1:64" ht="15.95" customHeight="1">
      <c r="A204" s="64" t="s">
        <v>458</v>
      </c>
      <c r="B204" s="6" t="s">
        <v>70</v>
      </c>
      <c r="C204" s="15">
        <f>_xll.RssMarket("8015","現在値")</f>
        <v>6344</v>
      </c>
      <c r="D204" s="16">
        <f t="shared" si="3"/>
        <v>0</v>
      </c>
      <c r="E204" s="13">
        <v>6344</v>
      </c>
      <c r="F204" s="13">
        <v>6416</v>
      </c>
      <c r="G204" s="13">
        <v>6174</v>
      </c>
      <c r="H204" s="13">
        <v>5969</v>
      </c>
      <c r="I204" s="13">
        <v>6092</v>
      </c>
      <c r="J204" s="13">
        <v>6165</v>
      </c>
      <c r="K204" s="13">
        <v>6456</v>
      </c>
      <c r="L204" s="13">
        <v>6436</v>
      </c>
      <c r="M204" s="13">
        <v>6500</v>
      </c>
      <c r="N204" s="13">
        <v>6467</v>
      </c>
      <c r="O204" s="13">
        <v>6618</v>
      </c>
      <c r="P204" s="13">
        <v>6930</v>
      </c>
      <c r="Q204" s="13">
        <v>6729</v>
      </c>
      <c r="R204" s="13">
        <v>6841</v>
      </c>
      <c r="S204" s="13">
        <v>7096</v>
      </c>
      <c r="T204" s="13">
        <v>6974</v>
      </c>
      <c r="U204" s="13">
        <v>6811</v>
      </c>
      <c r="V204" s="13">
        <v>6763</v>
      </c>
      <c r="W204" s="13">
        <v>7056</v>
      </c>
      <c r="X204" s="13">
        <v>7064</v>
      </c>
      <c r="Y204" s="13">
        <v>7387</v>
      </c>
      <c r="Z204" s="13">
        <v>7370</v>
      </c>
      <c r="AA204" s="13">
        <v>7397</v>
      </c>
      <c r="AB204" s="13">
        <v>7130</v>
      </c>
      <c r="AC204" s="13">
        <v>6991</v>
      </c>
      <c r="AD204" s="13">
        <v>6743</v>
      </c>
      <c r="AE204" s="13">
        <v>6840</v>
      </c>
      <c r="AF204" s="13">
        <v>6868</v>
      </c>
      <c r="AG204" s="13">
        <v>6101</v>
      </c>
      <c r="AH204" s="13">
        <v>6379</v>
      </c>
      <c r="AI204" s="13">
        <v>6205</v>
      </c>
      <c r="AJ204" s="13">
        <v>6124</v>
      </c>
      <c r="AK204" s="13">
        <v>6154</v>
      </c>
      <c r="AL204" s="13">
        <v>6177</v>
      </c>
      <c r="AM204" s="13">
        <v>6315</v>
      </c>
      <c r="AN204" s="13">
        <v>6284</v>
      </c>
      <c r="AO204" s="13">
        <v>6241</v>
      </c>
      <c r="AP204" s="13">
        <v>6332</v>
      </c>
      <c r="AQ204" s="13">
        <v>6255</v>
      </c>
      <c r="AR204" s="13">
        <v>6386</v>
      </c>
      <c r="AS204" s="13">
        <v>6386</v>
      </c>
      <c r="AT204" s="13">
        <v>6610</v>
      </c>
      <c r="AU204" s="13">
        <v>6605</v>
      </c>
      <c r="AV204" s="13">
        <v>6474</v>
      </c>
      <c r="AW204" s="13">
        <v>6027</v>
      </c>
      <c r="AX204" s="13">
        <v>6005</v>
      </c>
      <c r="AY204" s="13">
        <v>6081</v>
      </c>
      <c r="AZ204" s="13">
        <v>6061</v>
      </c>
      <c r="BA204" s="13">
        <v>6346</v>
      </c>
      <c r="BB204" s="13">
        <v>5950</v>
      </c>
      <c r="BC204" s="13">
        <v>5973</v>
      </c>
      <c r="BD204" s="13">
        <v>6191</v>
      </c>
      <c r="BE204" s="13">
        <v>6215</v>
      </c>
      <c r="BF204" s="13">
        <v>6229</v>
      </c>
      <c r="BG204" s="13">
        <v>6102</v>
      </c>
      <c r="BH204" s="13">
        <v>5940</v>
      </c>
      <c r="BI204" s="13">
        <v>6275</v>
      </c>
      <c r="BJ204" s="13">
        <v>6690</v>
      </c>
      <c r="BK204" s="13">
        <v>6433</v>
      </c>
      <c r="BL204" s="13">
        <v>6365</v>
      </c>
    </row>
    <row r="205" spans="1:64">
      <c r="A205" s="65" t="s">
        <v>459</v>
      </c>
      <c r="B205" s="4" t="s">
        <v>71</v>
      </c>
      <c r="C205" s="58">
        <f>_xll.RssMarket("6758","現在値")</f>
        <v>3286</v>
      </c>
      <c r="D205" s="59">
        <f t="shared" si="3"/>
        <v>0</v>
      </c>
      <c r="E205" s="70">
        <v>3286</v>
      </c>
      <c r="F205" s="70">
        <v>3275</v>
      </c>
      <c r="G205" s="70">
        <v>3292</v>
      </c>
      <c r="H205" s="70">
        <v>3369</v>
      </c>
      <c r="I205" s="70">
        <v>3385</v>
      </c>
      <c r="J205" s="70">
        <v>3508</v>
      </c>
      <c r="K205" s="70">
        <v>3559</v>
      </c>
      <c r="L205" s="70">
        <v>3540</v>
      </c>
      <c r="M205" s="70">
        <v>3619</v>
      </c>
      <c r="N205" s="70">
        <v>3669</v>
      </c>
      <c r="O205" s="70">
        <v>3542</v>
      </c>
      <c r="P205" s="70">
        <v>3444</v>
      </c>
      <c r="Q205" s="70">
        <v>3451</v>
      </c>
      <c r="R205" s="70">
        <v>3525</v>
      </c>
      <c r="S205" s="70">
        <v>3598</v>
      </c>
      <c r="T205" s="70">
        <v>3525</v>
      </c>
      <c r="U205" s="70">
        <v>3554</v>
      </c>
      <c r="V205" s="70">
        <v>3606</v>
      </c>
      <c r="W205" s="70">
        <v>3720</v>
      </c>
      <c r="X205" s="70">
        <v>3596</v>
      </c>
      <c r="Y205" s="70">
        <v>3576</v>
      </c>
      <c r="Z205" s="70">
        <v>3444</v>
      </c>
      <c r="AA205" s="70">
        <v>3660</v>
      </c>
      <c r="AB205" s="70">
        <v>3484</v>
      </c>
      <c r="AC205" s="70">
        <v>3372</v>
      </c>
      <c r="AD205" s="70">
        <v>6743</v>
      </c>
      <c r="AE205" s="70">
        <v>6840</v>
      </c>
      <c r="AF205" s="70">
        <v>6868</v>
      </c>
      <c r="AG205" s="70">
        <v>6101</v>
      </c>
      <c r="AH205" s="70">
        <v>6379</v>
      </c>
      <c r="AI205" s="70">
        <v>6205</v>
      </c>
      <c r="AJ205" s="70">
        <v>6124</v>
      </c>
      <c r="AK205" s="70">
        <v>6154</v>
      </c>
      <c r="AL205" s="70">
        <v>6177</v>
      </c>
      <c r="AM205" s="70">
        <v>6315</v>
      </c>
      <c r="AN205" s="70">
        <v>6284</v>
      </c>
      <c r="AO205" s="70">
        <v>6241</v>
      </c>
      <c r="AP205" s="70">
        <v>6332</v>
      </c>
      <c r="AQ205" s="70">
        <v>6255</v>
      </c>
      <c r="AR205" s="70">
        <v>6386</v>
      </c>
      <c r="AS205" s="70">
        <v>6386</v>
      </c>
      <c r="AT205" s="70">
        <v>6610</v>
      </c>
      <c r="AU205" s="70">
        <v>6605</v>
      </c>
      <c r="AV205" s="70">
        <v>6474</v>
      </c>
      <c r="AW205" s="70">
        <v>6027</v>
      </c>
      <c r="AX205" s="70">
        <v>6005</v>
      </c>
      <c r="AY205" s="70">
        <v>6081</v>
      </c>
      <c r="AZ205" s="70">
        <v>6061</v>
      </c>
      <c r="BA205" s="70">
        <v>6346</v>
      </c>
      <c r="BB205" s="70">
        <v>5950</v>
      </c>
      <c r="BC205" s="70">
        <v>5973</v>
      </c>
      <c r="BD205" s="70">
        <v>6191</v>
      </c>
      <c r="BE205" s="70">
        <v>6215</v>
      </c>
      <c r="BF205" s="70">
        <v>6229</v>
      </c>
      <c r="BG205" s="70">
        <v>6102</v>
      </c>
      <c r="BH205" s="70">
        <v>5940</v>
      </c>
      <c r="BI205" s="70">
        <v>6275</v>
      </c>
      <c r="BJ205" s="70">
        <v>6690</v>
      </c>
      <c r="BK205" s="70">
        <v>6433</v>
      </c>
      <c r="BL205" s="70">
        <v>6365</v>
      </c>
    </row>
    <row r="206" spans="1:64">
      <c r="A206" s="65" t="s">
        <v>460</v>
      </c>
      <c r="B206" s="4" t="s">
        <v>72</v>
      </c>
      <c r="C206" s="58">
        <f>_xll.RssMarket("9101","現在値")</f>
        <v>5348</v>
      </c>
      <c r="D206" s="59">
        <f t="shared" si="3"/>
        <v>0</v>
      </c>
      <c r="E206" s="70">
        <v>5348</v>
      </c>
      <c r="F206" s="70">
        <v>5466</v>
      </c>
      <c r="G206" s="70">
        <v>5630</v>
      </c>
      <c r="H206" s="70">
        <v>5660</v>
      </c>
      <c r="I206" s="70">
        <v>5566</v>
      </c>
      <c r="J206" s="70">
        <v>5646</v>
      </c>
      <c r="K206" s="70">
        <v>5609</v>
      </c>
      <c r="L206" s="70">
        <v>5438</v>
      </c>
      <c r="M206" s="70">
        <v>5362</v>
      </c>
      <c r="N206" s="70">
        <v>5319</v>
      </c>
      <c r="O206" s="70">
        <v>5275</v>
      </c>
      <c r="P206" s="70">
        <v>5313</v>
      </c>
      <c r="Q206" s="70">
        <v>5322</v>
      </c>
      <c r="R206" s="70">
        <v>5230</v>
      </c>
      <c r="S206" s="70">
        <v>5321</v>
      </c>
      <c r="T206" s="70">
        <v>5391</v>
      </c>
      <c r="U206" s="70">
        <v>5498</v>
      </c>
      <c r="V206" s="70">
        <v>5610</v>
      </c>
      <c r="W206" s="70">
        <v>5619</v>
      </c>
      <c r="X206" s="70">
        <v>5558</v>
      </c>
      <c r="Y206" s="70">
        <v>5498</v>
      </c>
      <c r="Z206" s="70">
        <v>5446</v>
      </c>
      <c r="AA206" s="70">
        <v>5358</v>
      </c>
      <c r="AB206" s="70">
        <v>5301</v>
      </c>
      <c r="AC206" s="70">
        <v>5471</v>
      </c>
      <c r="AD206" s="70">
        <v>5571</v>
      </c>
      <c r="AE206" s="70">
        <v>5660</v>
      </c>
      <c r="AF206" s="70">
        <v>5629</v>
      </c>
      <c r="AG206" s="70">
        <v>5669</v>
      </c>
      <c r="AH206" s="70">
        <v>5662</v>
      </c>
      <c r="AI206" s="70">
        <v>5580</v>
      </c>
      <c r="AJ206" s="70">
        <v>5874</v>
      </c>
      <c r="AK206" s="70">
        <v>5807</v>
      </c>
      <c r="AL206" s="70">
        <v>5828</v>
      </c>
      <c r="AM206" s="70">
        <v>5872</v>
      </c>
      <c r="AN206" s="70">
        <v>5908</v>
      </c>
      <c r="AO206" s="70">
        <v>6096</v>
      </c>
      <c r="AP206" s="70">
        <v>6053</v>
      </c>
      <c r="AQ206" s="70">
        <v>6044</v>
      </c>
      <c r="AR206" s="70">
        <v>6117</v>
      </c>
      <c r="AS206" s="70">
        <v>6104</v>
      </c>
      <c r="AT206" s="70">
        <v>6163</v>
      </c>
      <c r="AU206" s="70">
        <v>6163</v>
      </c>
      <c r="AV206" s="70">
        <v>6055</v>
      </c>
      <c r="AW206" s="70">
        <v>6309</v>
      </c>
      <c r="AX206" s="70">
        <v>6288</v>
      </c>
      <c r="AY206" s="70">
        <v>6164</v>
      </c>
      <c r="AZ206" s="70">
        <v>6162</v>
      </c>
      <c r="BA206" s="70">
        <v>5984</v>
      </c>
      <c r="BB206" s="70">
        <v>5768</v>
      </c>
      <c r="BC206" s="70">
        <v>5721</v>
      </c>
      <c r="BD206" s="70">
        <v>5896</v>
      </c>
      <c r="BE206" s="70">
        <v>5785</v>
      </c>
      <c r="BF206" s="70">
        <v>5729</v>
      </c>
      <c r="BG206" s="70">
        <v>5680</v>
      </c>
      <c r="BH206" s="70">
        <v>5714</v>
      </c>
      <c r="BI206" s="70">
        <v>6140</v>
      </c>
      <c r="BJ206" s="70">
        <v>6182</v>
      </c>
      <c r="BK206" s="70">
        <v>5943</v>
      </c>
      <c r="BL206" s="70">
        <v>5624</v>
      </c>
    </row>
    <row r="207" spans="1:64">
      <c r="A207" s="65" t="s">
        <v>461</v>
      </c>
      <c r="B207" s="4" t="s">
        <v>73</v>
      </c>
      <c r="C207" s="58">
        <f>_xll.RssMarket("7011","現在値")</f>
        <v>3860</v>
      </c>
      <c r="D207" s="59">
        <f t="shared" si="3"/>
        <v>0</v>
      </c>
      <c r="E207" s="70">
        <v>3860</v>
      </c>
      <c r="F207" s="70">
        <v>3810</v>
      </c>
      <c r="G207" s="70">
        <v>3540</v>
      </c>
      <c r="H207" s="70">
        <v>3494</v>
      </c>
      <c r="I207" s="70">
        <v>3578</v>
      </c>
      <c r="J207" s="70">
        <v>3699</v>
      </c>
      <c r="K207" s="70">
        <v>3790</v>
      </c>
      <c r="L207" s="70">
        <v>3701</v>
      </c>
      <c r="M207" s="70">
        <v>3573</v>
      </c>
      <c r="N207" s="70">
        <v>3516</v>
      </c>
      <c r="O207" s="70">
        <v>3636</v>
      </c>
      <c r="P207" s="70">
        <v>3806</v>
      </c>
      <c r="Q207" s="70">
        <v>3804</v>
      </c>
      <c r="R207" s="70">
        <v>3898</v>
      </c>
      <c r="S207" s="70">
        <v>3908</v>
      </c>
      <c r="T207" s="70">
        <v>3969</v>
      </c>
      <c r="U207" s="70">
        <v>3958</v>
      </c>
      <c r="V207" s="70">
        <v>4024</v>
      </c>
      <c r="W207" s="70">
        <v>4126</v>
      </c>
      <c r="X207" s="70">
        <v>4102</v>
      </c>
      <c r="Y207" s="70">
        <v>4080</v>
      </c>
      <c r="Z207" s="70">
        <v>4162</v>
      </c>
      <c r="AA207" s="70">
        <v>4406</v>
      </c>
      <c r="AB207" s="70">
        <v>4300</v>
      </c>
      <c r="AC207" s="70">
        <v>4384</v>
      </c>
      <c r="AD207" s="70">
        <v>4510</v>
      </c>
      <c r="AE207" s="70">
        <v>4527</v>
      </c>
      <c r="AF207" s="70">
        <v>4586</v>
      </c>
      <c r="AG207" s="70">
        <v>4615</v>
      </c>
      <c r="AH207" s="70">
        <v>4797</v>
      </c>
      <c r="AI207" s="70">
        <v>4689</v>
      </c>
      <c r="AJ207" s="70">
        <v>4738</v>
      </c>
      <c r="AK207" s="70">
        <v>4754</v>
      </c>
      <c r="AL207" s="70">
        <v>4508</v>
      </c>
      <c r="AM207" s="70">
        <v>4522</v>
      </c>
      <c r="AN207" s="70">
        <v>4506</v>
      </c>
      <c r="AO207" s="70">
        <v>4371</v>
      </c>
      <c r="AP207" s="70">
        <v>4571</v>
      </c>
      <c r="AQ207" s="70">
        <v>4561</v>
      </c>
      <c r="AR207" s="70">
        <v>4749</v>
      </c>
      <c r="AS207" s="70">
        <v>4761</v>
      </c>
      <c r="AT207" s="70">
        <v>4745</v>
      </c>
      <c r="AU207" s="70">
        <v>4781</v>
      </c>
      <c r="AV207" s="70">
        <v>4850</v>
      </c>
      <c r="AW207" s="70">
        <v>4784</v>
      </c>
      <c r="AX207" s="70">
        <v>4735</v>
      </c>
      <c r="AY207" s="70">
        <v>4803</v>
      </c>
      <c r="AZ207" s="70">
        <v>4711</v>
      </c>
      <c r="BA207" s="70">
        <v>4590</v>
      </c>
      <c r="BB207" s="70">
        <v>4223</v>
      </c>
      <c r="BC207" s="70">
        <v>4418</v>
      </c>
      <c r="BD207" s="70">
        <v>4577</v>
      </c>
      <c r="BE207" s="70">
        <v>4511</v>
      </c>
      <c r="BF207" s="70">
        <v>4547</v>
      </c>
      <c r="BG207" s="70">
        <v>4430</v>
      </c>
      <c r="BH207" s="70">
        <v>4517</v>
      </c>
      <c r="BI207" s="70">
        <v>4848</v>
      </c>
      <c r="BJ207" s="70">
        <v>5000</v>
      </c>
      <c r="BK207" s="70">
        <v>4881</v>
      </c>
      <c r="BL207" s="70">
        <v>4792</v>
      </c>
    </row>
    <row r="208" spans="1:64">
      <c r="A208" s="65" t="s">
        <v>462</v>
      </c>
      <c r="B208" s="4" t="s">
        <v>74</v>
      </c>
      <c r="C208" s="58">
        <f>_xll.RssMarket("1812","現在値")</f>
        <v>5920</v>
      </c>
      <c r="D208" s="59">
        <f t="shared" si="3"/>
        <v>0</v>
      </c>
      <c r="E208" s="70">
        <v>5920</v>
      </c>
      <c r="F208" s="70">
        <v>5899</v>
      </c>
      <c r="G208" s="70">
        <v>5521</v>
      </c>
      <c r="H208" s="70">
        <v>5450</v>
      </c>
      <c r="I208" s="70">
        <v>5567</v>
      </c>
      <c r="J208" s="70">
        <v>5391</v>
      </c>
      <c r="K208" s="70">
        <v>5559</v>
      </c>
      <c r="L208" s="70">
        <v>5455</v>
      </c>
      <c r="M208" s="70">
        <v>5535</v>
      </c>
      <c r="N208" s="70">
        <v>5521</v>
      </c>
      <c r="O208" s="70">
        <v>5628</v>
      </c>
      <c r="P208" s="70">
        <v>5907</v>
      </c>
      <c r="Q208" s="70">
        <v>5760</v>
      </c>
      <c r="R208" s="70">
        <v>5754</v>
      </c>
      <c r="S208" s="70">
        <v>5656</v>
      </c>
      <c r="T208" s="70">
        <v>5469</v>
      </c>
      <c r="U208" s="70">
        <v>5591</v>
      </c>
      <c r="V208" s="70">
        <v>5567</v>
      </c>
      <c r="W208" s="70">
        <v>5836</v>
      </c>
      <c r="X208" s="70">
        <v>5650</v>
      </c>
      <c r="Y208" s="70">
        <v>5843</v>
      </c>
      <c r="Z208" s="70">
        <v>6187</v>
      </c>
      <c r="AA208" s="70">
        <v>6477</v>
      </c>
      <c r="AB208" s="70">
        <v>6570</v>
      </c>
      <c r="AC208" s="70">
        <v>6257</v>
      </c>
      <c r="AD208" s="70">
        <v>6141</v>
      </c>
      <c r="AE208" s="70">
        <v>6262</v>
      </c>
      <c r="AF208" s="70">
        <v>6077</v>
      </c>
      <c r="AG208" s="70">
        <v>6117</v>
      </c>
      <c r="AH208" s="70">
        <v>6499</v>
      </c>
      <c r="AI208" s="70">
        <v>5954</v>
      </c>
      <c r="AJ208" s="70">
        <v>5907</v>
      </c>
      <c r="AK208" s="70">
        <v>5959</v>
      </c>
      <c r="AL208" s="70">
        <v>5969</v>
      </c>
      <c r="AM208" s="70">
        <v>6045</v>
      </c>
      <c r="AN208" s="70">
        <v>6092</v>
      </c>
      <c r="AO208" s="70">
        <v>5932</v>
      </c>
      <c r="AP208" s="70">
        <v>6175</v>
      </c>
      <c r="AQ208" s="70">
        <v>6135</v>
      </c>
      <c r="AR208" s="70">
        <v>6149</v>
      </c>
      <c r="AS208" s="70">
        <v>6177</v>
      </c>
      <c r="AT208" s="70">
        <v>6202</v>
      </c>
      <c r="AU208" s="70">
        <v>6324</v>
      </c>
      <c r="AV208" s="70">
        <v>6336</v>
      </c>
      <c r="AW208" s="70">
        <v>6029</v>
      </c>
      <c r="AX208" s="70">
        <v>5993</v>
      </c>
      <c r="AY208" s="70">
        <v>6065</v>
      </c>
      <c r="AZ208" s="70">
        <v>6039</v>
      </c>
      <c r="BA208" s="70">
        <v>6288</v>
      </c>
      <c r="BB208" s="70">
        <v>5907</v>
      </c>
      <c r="BC208" s="70">
        <v>5936</v>
      </c>
      <c r="BD208" s="70">
        <v>6078</v>
      </c>
      <c r="BE208" s="70">
        <v>6076</v>
      </c>
      <c r="BF208" s="70">
        <v>6132</v>
      </c>
      <c r="BG208" s="70">
        <v>5875</v>
      </c>
      <c r="BH208" s="70">
        <v>5733</v>
      </c>
      <c r="BI208" s="70">
        <v>6099</v>
      </c>
      <c r="BJ208" s="70">
        <v>6305</v>
      </c>
      <c r="BK208" s="70">
        <v>6100</v>
      </c>
      <c r="BL208" s="70">
        <v>6047</v>
      </c>
    </row>
    <row r="209" spans="1:64">
      <c r="A209" s="65" t="s">
        <v>488</v>
      </c>
      <c r="B209" s="4" t="str">
        <f>銘柄管理!C209</f>
        <v>キーエンス</v>
      </c>
      <c r="C209" s="58">
        <f>_xll.RssMarket("6861","現在値")</f>
        <v>75600</v>
      </c>
      <c r="D209" s="59"/>
      <c r="E209" s="70">
        <v>75600</v>
      </c>
      <c r="F209" s="70">
        <v>75500</v>
      </c>
      <c r="G209" s="70">
        <v>72620</v>
      </c>
      <c r="H209" s="70">
        <v>71270</v>
      </c>
      <c r="I209" s="70">
        <v>72890</v>
      </c>
      <c r="J209" s="70">
        <v>74980</v>
      </c>
      <c r="K209" s="70">
        <v>78070</v>
      </c>
      <c r="L209" s="70">
        <v>80040</v>
      </c>
      <c r="M209" s="70">
        <v>80630</v>
      </c>
      <c r="N209" s="70">
        <v>78340</v>
      </c>
      <c r="O209" s="70">
        <v>80220</v>
      </c>
      <c r="P209" s="70">
        <v>80110</v>
      </c>
      <c r="Q209" s="70">
        <v>75180</v>
      </c>
      <c r="R209" s="70">
        <v>75780</v>
      </c>
      <c r="S209" s="70">
        <v>78860</v>
      </c>
      <c r="T209" s="70">
        <v>79370</v>
      </c>
      <c r="U209" s="70">
        <v>76960</v>
      </c>
      <c r="V209" s="70">
        <v>72910</v>
      </c>
      <c r="W209" s="70">
        <v>75000</v>
      </c>
      <c r="X209" s="70">
        <v>76830</v>
      </c>
      <c r="Y209" s="70">
        <v>77180</v>
      </c>
      <c r="Z209" s="70">
        <v>77310</v>
      </c>
      <c r="AA209" s="70">
        <v>79440</v>
      </c>
      <c r="AB209" s="70">
        <v>79260</v>
      </c>
      <c r="AC209" s="70">
        <v>82300</v>
      </c>
      <c r="AD209" s="70">
        <v>84170</v>
      </c>
      <c r="AE209" s="70">
        <v>79350</v>
      </c>
      <c r="AF209" s="70">
        <v>76460</v>
      </c>
      <c r="AG209" s="70">
        <v>71300</v>
      </c>
      <c r="AH209" s="70">
        <v>73800</v>
      </c>
      <c r="AI209" s="70">
        <v>73180</v>
      </c>
      <c r="AJ209" s="70">
        <v>63180</v>
      </c>
      <c r="AK209" s="70">
        <v>63470</v>
      </c>
      <c r="AL209" s="70">
        <v>63800</v>
      </c>
      <c r="AM209" s="70">
        <v>63170</v>
      </c>
      <c r="AN209" s="70">
        <v>64030</v>
      </c>
      <c r="AO209" s="70">
        <v>62810</v>
      </c>
      <c r="AP209" s="70">
        <v>63030</v>
      </c>
      <c r="AQ209" s="70">
        <v>62750</v>
      </c>
      <c r="AR209" s="70">
        <v>62850</v>
      </c>
      <c r="AS209" s="70">
        <v>63520</v>
      </c>
      <c r="AT209" s="70">
        <v>62440</v>
      </c>
      <c r="AU209" s="70">
        <v>61590</v>
      </c>
      <c r="AV209" s="70">
        <v>60520</v>
      </c>
      <c r="AW209" s="70">
        <v>58290</v>
      </c>
      <c r="AX209" s="70">
        <v>58330</v>
      </c>
      <c r="AY209" s="70">
        <v>57730</v>
      </c>
      <c r="AZ209" s="70">
        <v>56880</v>
      </c>
      <c r="BA209" s="70">
        <v>57990</v>
      </c>
      <c r="BB209" s="70">
        <v>54860</v>
      </c>
      <c r="BC209" s="70">
        <v>55370</v>
      </c>
      <c r="BD209" s="70">
        <v>57330</v>
      </c>
      <c r="BE209" s="70">
        <v>57730</v>
      </c>
      <c r="BF209" s="70">
        <v>58010</v>
      </c>
      <c r="BG209" s="70">
        <v>56540</v>
      </c>
      <c r="BH209" s="70">
        <v>56280</v>
      </c>
      <c r="BI209" s="70">
        <v>59080</v>
      </c>
      <c r="BJ209" s="70">
        <v>60650</v>
      </c>
      <c r="BK209" s="70">
        <v>59510</v>
      </c>
      <c r="BL209" s="70">
        <v>59610</v>
      </c>
    </row>
    <row r="210" spans="1:64">
      <c r="A210" s="65" t="s">
        <v>463</v>
      </c>
      <c r="B210" s="4" t="s">
        <v>75</v>
      </c>
      <c r="C210" s="58">
        <f>_xll.RssMarket("6324","現在値")</f>
        <v>7850</v>
      </c>
      <c r="D210" s="59">
        <f t="shared" si="3"/>
        <v>0</v>
      </c>
      <c r="E210" s="70">
        <v>7850</v>
      </c>
      <c r="F210" s="70">
        <v>7000</v>
      </c>
      <c r="G210" s="70">
        <v>6550</v>
      </c>
      <c r="H210" s="70">
        <v>6280</v>
      </c>
      <c r="I210" s="70">
        <v>6240</v>
      </c>
      <c r="J210" s="70">
        <v>7160</v>
      </c>
      <c r="K210" s="70">
        <v>7090</v>
      </c>
      <c r="L210" s="70">
        <v>6910</v>
      </c>
      <c r="M210" s="70">
        <v>7410</v>
      </c>
      <c r="N210" s="70">
        <v>7110</v>
      </c>
      <c r="O210" s="70">
        <v>7780</v>
      </c>
      <c r="P210" s="70">
        <v>7800</v>
      </c>
      <c r="Q210" s="70">
        <v>7690</v>
      </c>
      <c r="R210" s="70">
        <v>7850</v>
      </c>
      <c r="S210" s="70">
        <v>7660</v>
      </c>
      <c r="T210" s="70">
        <v>7010</v>
      </c>
      <c r="U210" s="70">
        <v>6550</v>
      </c>
      <c r="V210" s="70">
        <v>5920</v>
      </c>
      <c r="W210" s="70">
        <v>6030</v>
      </c>
      <c r="X210" s="70">
        <v>6800</v>
      </c>
      <c r="Y210" s="70">
        <v>7100</v>
      </c>
      <c r="Z210" s="70">
        <v>6430</v>
      </c>
      <c r="AA210" s="70">
        <v>6970</v>
      </c>
      <c r="AB210" s="70">
        <v>6600</v>
      </c>
      <c r="AC210" s="70">
        <v>6400</v>
      </c>
      <c r="AD210" s="70">
        <v>6230</v>
      </c>
      <c r="AE210" s="70">
        <v>5710</v>
      </c>
      <c r="AF210" s="70">
        <v>5150</v>
      </c>
      <c r="AG210" s="70">
        <v>5220</v>
      </c>
      <c r="AH210" s="70">
        <v>4745</v>
      </c>
      <c r="AI210" s="70">
        <v>4885</v>
      </c>
      <c r="AJ210" s="70">
        <v>4195</v>
      </c>
      <c r="AK210" s="70">
        <v>4270</v>
      </c>
      <c r="AL210" s="70">
        <v>4385</v>
      </c>
      <c r="AM210" s="70">
        <v>4490</v>
      </c>
      <c r="AN210" s="70">
        <v>4515</v>
      </c>
      <c r="AO210" s="70">
        <v>4430</v>
      </c>
      <c r="AP210" s="70">
        <v>4695</v>
      </c>
      <c r="AQ210" s="70">
        <v>4350</v>
      </c>
      <c r="AR210" s="70">
        <v>4080</v>
      </c>
      <c r="AS210" s="70">
        <v>4155</v>
      </c>
      <c r="AT210" s="70">
        <v>3990</v>
      </c>
      <c r="AU210" s="70">
        <v>3940</v>
      </c>
      <c r="AV210" s="70">
        <v>4155</v>
      </c>
      <c r="AW210" s="70">
        <v>3810</v>
      </c>
      <c r="AX210" s="70">
        <v>3830</v>
      </c>
      <c r="AY210" s="70">
        <v>3715</v>
      </c>
      <c r="AZ210" s="70">
        <v>3565</v>
      </c>
      <c r="BA210" s="70">
        <v>3655</v>
      </c>
      <c r="BB210" s="70">
        <v>3465</v>
      </c>
      <c r="BC210" s="70">
        <v>3790</v>
      </c>
      <c r="BD210" s="70">
        <v>4065</v>
      </c>
      <c r="BE210" s="70">
        <v>4055</v>
      </c>
      <c r="BF210" s="70">
        <v>4070</v>
      </c>
      <c r="BG210" s="70">
        <v>3885</v>
      </c>
      <c r="BH210" s="70">
        <v>3825</v>
      </c>
      <c r="BI210" s="70">
        <v>4135</v>
      </c>
      <c r="BJ210" s="70">
        <v>4360</v>
      </c>
      <c r="BK210" s="70">
        <v>4180</v>
      </c>
      <c r="BL210" s="70">
        <v>4280</v>
      </c>
    </row>
    <row r="211" spans="1:64">
      <c r="A211" s="65" t="s">
        <v>464</v>
      </c>
      <c r="B211" s="4" t="s">
        <v>76</v>
      </c>
      <c r="C211" s="58">
        <f>_xll.RssMarket("6273","現在値")</f>
        <v>72600</v>
      </c>
      <c r="D211" s="59">
        <f t="shared" si="3"/>
        <v>0</v>
      </c>
      <c r="E211" s="70">
        <v>72600</v>
      </c>
      <c r="F211" s="70">
        <v>69030</v>
      </c>
      <c r="G211" s="70">
        <v>65510</v>
      </c>
      <c r="H211" s="70">
        <v>61920</v>
      </c>
      <c r="I211" s="70">
        <v>61840</v>
      </c>
      <c r="J211" s="70">
        <v>62210</v>
      </c>
      <c r="K211" s="70">
        <v>65260</v>
      </c>
      <c r="L211" s="70">
        <v>65070</v>
      </c>
      <c r="M211" s="70">
        <v>64000</v>
      </c>
      <c r="N211" s="70">
        <v>63680</v>
      </c>
      <c r="O211" s="70">
        <v>66520</v>
      </c>
      <c r="P211" s="70">
        <v>69110</v>
      </c>
      <c r="Q211" s="70">
        <v>67880</v>
      </c>
      <c r="R211" s="70">
        <v>66470</v>
      </c>
      <c r="S211" s="70">
        <v>66930</v>
      </c>
      <c r="T211" s="70">
        <v>66270</v>
      </c>
      <c r="U211" s="70">
        <v>64770</v>
      </c>
      <c r="V211" s="70">
        <v>64820</v>
      </c>
      <c r="W211" s="70">
        <v>67120</v>
      </c>
      <c r="X211" s="70">
        <v>66780</v>
      </c>
      <c r="Y211" s="70">
        <v>67880</v>
      </c>
      <c r="Z211" s="70">
        <v>79470</v>
      </c>
      <c r="AA211" s="70">
        <v>84250</v>
      </c>
      <c r="AB211" s="70">
        <v>84560</v>
      </c>
      <c r="AC211" s="70">
        <v>82320</v>
      </c>
      <c r="AD211" s="70">
        <v>82860</v>
      </c>
      <c r="AE211" s="70">
        <v>78840</v>
      </c>
      <c r="AF211" s="70">
        <v>75230</v>
      </c>
      <c r="AG211" s="70">
        <v>76080</v>
      </c>
      <c r="AH211" s="70">
        <v>77000</v>
      </c>
      <c r="AI211" s="70">
        <v>75480</v>
      </c>
      <c r="AJ211" s="70">
        <v>70470</v>
      </c>
      <c r="AK211" s="70">
        <v>69530</v>
      </c>
      <c r="AL211" s="70">
        <v>70740</v>
      </c>
      <c r="AM211" s="70">
        <v>71630</v>
      </c>
      <c r="AN211" s="70">
        <v>71470</v>
      </c>
      <c r="AO211" s="70">
        <v>70100</v>
      </c>
      <c r="AP211" s="70">
        <v>71940</v>
      </c>
      <c r="AQ211" s="70">
        <v>71960</v>
      </c>
      <c r="AR211" s="70">
        <v>71290</v>
      </c>
      <c r="AS211" s="70">
        <v>71780</v>
      </c>
      <c r="AT211" s="70">
        <v>70500</v>
      </c>
      <c r="AU211" s="70">
        <v>68370</v>
      </c>
      <c r="AV211" s="70">
        <v>66810</v>
      </c>
      <c r="AW211" s="70">
        <v>62130</v>
      </c>
      <c r="AX211" s="70">
        <v>62120</v>
      </c>
      <c r="AY211" s="70">
        <v>61990</v>
      </c>
      <c r="AZ211" s="70">
        <v>61030</v>
      </c>
      <c r="BA211" s="70">
        <v>63720</v>
      </c>
      <c r="BB211" s="70">
        <v>59870</v>
      </c>
      <c r="BC211" s="70">
        <v>61050</v>
      </c>
      <c r="BD211" s="70">
        <v>62720</v>
      </c>
      <c r="BE211" s="70">
        <v>64730</v>
      </c>
      <c r="BF211" s="70">
        <v>65230</v>
      </c>
      <c r="BG211" s="70">
        <v>62890</v>
      </c>
      <c r="BH211" s="70">
        <v>60330</v>
      </c>
      <c r="BI211" s="70">
        <v>64870</v>
      </c>
      <c r="BJ211" s="70">
        <v>68040</v>
      </c>
      <c r="BK211" s="70">
        <v>66030</v>
      </c>
      <c r="BL211" s="70">
        <v>65760</v>
      </c>
    </row>
    <row r="212" spans="1:64">
      <c r="A212" s="65" t="s">
        <v>465</v>
      </c>
      <c r="B212" s="4" t="s">
        <v>77</v>
      </c>
      <c r="C212" s="58">
        <f>_xll.RssMarket("4502","現在値")</f>
        <v>4938</v>
      </c>
      <c r="D212" s="59">
        <f t="shared" si="3"/>
        <v>0</v>
      </c>
      <c r="E212" s="70">
        <v>4938</v>
      </c>
      <c r="F212" s="70">
        <v>5020</v>
      </c>
      <c r="G212" s="70">
        <v>5082</v>
      </c>
      <c r="H212" s="70">
        <v>5033</v>
      </c>
      <c r="I212" s="70">
        <v>5070</v>
      </c>
      <c r="J212" s="70">
        <v>5050</v>
      </c>
      <c r="K212" s="70">
        <v>4926</v>
      </c>
      <c r="L212" s="70">
        <v>4850</v>
      </c>
      <c r="M212" s="70">
        <v>4748</v>
      </c>
      <c r="N212" s="70">
        <v>4850</v>
      </c>
      <c r="O212" s="70">
        <v>4881</v>
      </c>
      <c r="P212" s="70">
        <v>5118</v>
      </c>
      <c r="Q212" s="70">
        <v>5120</v>
      </c>
      <c r="R212" s="70">
        <v>5128</v>
      </c>
      <c r="S212" s="70">
        <v>5104</v>
      </c>
      <c r="T212" s="70">
        <v>5109</v>
      </c>
      <c r="U212" s="70">
        <v>5180</v>
      </c>
      <c r="V212" s="70">
        <v>5255</v>
      </c>
      <c r="W212" s="70">
        <v>5249</v>
      </c>
      <c r="X212" s="70">
        <v>5277</v>
      </c>
      <c r="Y212" s="70">
        <v>5256</v>
      </c>
      <c r="Z212" s="70">
        <v>5192</v>
      </c>
      <c r="AA212" s="70">
        <v>5168</v>
      </c>
      <c r="AB212" s="70">
        <v>5162</v>
      </c>
      <c r="AC212" s="70">
        <v>5213</v>
      </c>
      <c r="AD212" s="70">
        <v>5310</v>
      </c>
      <c r="AE212" s="70">
        <v>5239</v>
      </c>
      <c r="AF212" s="70">
        <v>5270</v>
      </c>
      <c r="AG212" s="70">
        <v>5289</v>
      </c>
      <c r="AH212" s="70">
        <v>5218</v>
      </c>
      <c r="AI212" s="70">
        <v>5335</v>
      </c>
      <c r="AJ212" s="70">
        <v>5331</v>
      </c>
      <c r="AK212" s="70">
        <v>5318</v>
      </c>
      <c r="AL212" s="70">
        <v>5488</v>
      </c>
      <c r="AM212" s="70">
        <v>5575</v>
      </c>
      <c r="AN212" s="70">
        <v>5586</v>
      </c>
      <c r="AO212" s="70">
        <v>5646</v>
      </c>
      <c r="AP212" s="70">
        <v>5654</v>
      </c>
      <c r="AQ212" s="70">
        <v>5604</v>
      </c>
      <c r="AR212" s="70">
        <v>5636</v>
      </c>
      <c r="AS212" s="70">
        <v>5732</v>
      </c>
      <c r="AT212" s="70">
        <v>5821</v>
      </c>
      <c r="AU212" s="70">
        <v>5789</v>
      </c>
      <c r="AV212" s="70">
        <v>5798</v>
      </c>
      <c r="AW212" s="70">
        <v>5754</v>
      </c>
      <c r="AX212" s="70">
        <v>5802</v>
      </c>
      <c r="AY212" s="70">
        <v>5890</v>
      </c>
      <c r="AZ212" s="70">
        <v>5888</v>
      </c>
      <c r="BA212" s="70">
        <v>5664</v>
      </c>
      <c r="BB212" s="70">
        <v>5713</v>
      </c>
      <c r="BC212" s="70">
        <v>5840</v>
      </c>
      <c r="BD212" s="70">
        <v>5789</v>
      </c>
      <c r="BE212" s="70">
        <v>5820</v>
      </c>
      <c r="BF212" s="70">
        <v>5663</v>
      </c>
      <c r="BG212" s="70">
        <v>5577</v>
      </c>
      <c r="BH212" s="70">
        <v>5768</v>
      </c>
      <c r="BI212" s="70">
        <v>5870</v>
      </c>
      <c r="BJ212" s="70">
        <v>5820</v>
      </c>
      <c r="BK212" s="70">
        <v>5737</v>
      </c>
      <c r="BL212" s="70">
        <v>5673</v>
      </c>
    </row>
    <row r="213" spans="1:64">
      <c r="A213" s="65" t="s">
        <v>466</v>
      </c>
      <c r="B213" s="4" t="s">
        <v>78</v>
      </c>
      <c r="C213" s="58">
        <f>_xll.RssMarket("4004","現在値")</f>
        <v>18520</v>
      </c>
      <c r="D213" s="59">
        <f t="shared" si="3"/>
        <v>0</v>
      </c>
      <c r="E213" s="70">
        <v>18520</v>
      </c>
      <c r="F213" s="70">
        <v>18290</v>
      </c>
      <c r="G213" s="70">
        <v>16950</v>
      </c>
      <c r="H213" s="70">
        <v>16375</v>
      </c>
      <c r="I213" s="70">
        <v>15335</v>
      </c>
      <c r="J213" s="70">
        <v>15970</v>
      </c>
      <c r="K213" s="70">
        <v>17315</v>
      </c>
      <c r="L213" s="70">
        <v>17860</v>
      </c>
      <c r="M213" s="70">
        <v>18700</v>
      </c>
      <c r="N213" s="70">
        <v>17825</v>
      </c>
      <c r="O213" s="70">
        <v>18430</v>
      </c>
      <c r="P213" s="70">
        <v>18720</v>
      </c>
      <c r="Q213" s="70">
        <v>18500</v>
      </c>
      <c r="R213" s="70">
        <v>19100</v>
      </c>
      <c r="S213" s="70">
        <v>19450</v>
      </c>
      <c r="T213" s="70">
        <v>18010</v>
      </c>
      <c r="U213" s="70">
        <v>17310</v>
      </c>
      <c r="V213" s="70">
        <v>15910</v>
      </c>
      <c r="W213" s="70">
        <v>16300</v>
      </c>
      <c r="X213" s="70">
        <v>16690</v>
      </c>
      <c r="Y213" s="70">
        <v>17200</v>
      </c>
      <c r="Z213" s="70">
        <v>18690</v>
      </c>
      <c r="AA213" s="70">
        <v>17815</v>
      </c>
      <c r="AB213" s="70">
        <v>16850</v>
      </c>
      <c r="AC213" s="70">
        <v>16000</v>
      </c>
      <c r="AD213" s="70">
        <v>15590</v>
      </c>
      <c r="AE213" s="70">
        <v>14045</v>
      </c>
      <c r="AF213" s="70">
        <v>14215</v>
      </c>
      <c r="AG213" s="70">
        <v>14155</v>
      </c>
      <c r="AH213" s="70">
        <v>13990</v>
      </c>
      <c r="AI213" s="70">
        <v>13770</v>
      </c>
      <c r="AJ213" s="70">
        <v>13750</v>
      </c>
      <c r="AK213" s="70">
        <v>14455</v>
      </c>
      <c r="AL213" s="70">
        <v>13330</v>
      </c>
      <c r="AM213" s="70">
        <v>12500</v>
      </c>
      <c r="AN213" s="70">
        <v>12460</v>
      </c>
      <c r="AO213" s="70">
        <v>13200</v>
      </c>
      <c r="AP213" s="70">
        <v>12875</v>
      </c>
      <c r="AQ213" s="70">
        <v>13490</v>
      </c>
      <c r="AR213" s="70">
        <v>13300</v>
      </c>
      <c r="AS213" s="70">
        <v>13405</v>
      </c>
      <c r="AT213" s="70">
        <v>13030</v>
      </c>
      <c r="AU213" s="70">
        <v>12770</v>
      </c>
      <c r="AV213" s="70">
        <v>11785</v>
      </c>
      <c r="AW213" s="70">
        <v>11845</v>
      </c>
      <c r="AX213" s="70">
        <v>11300</v>
      </c>
      <c r="AY213" s="70">
        <v>10555</v>
      </c>
      <c r="AZ213" s="70">
        <v>10740</v>
      </c>
      <c r="BA213" s="70">
        <v>9802</v>
      </c>
      <c r="BB213" s="70">
        <v>10435</v>
      </c>
      <c r="BC213" s="70">
        <v>10755</v>
      </c>
      <c r="BD213" s="70">
        <v>11010</v>
      </c>
      <c r="BE213" s="70">
        <v>10775</v>
      </c>
      <c r="BF213" s="70">
        <v>10565</v>
      </c>
      <c r="BG213" s="70">
        <v>10420</v>
      </c>
      <c r="BH213" s="70">
        <v>11205</v>
      </c>
      <c r="BI213" s="70">
        <v>11500</v>
      </c>
      <c r="BJ213" s="70">
        <v>10620</v>
      </c>
      <c r="BK213" s="70">
        <v>11060</v>
      </c>
      <c r="BL213" s="70">
        <v>11100</v>
      </c>
    </row>
    <row r="214" spans="1:64">
      <c r="A214" s="65" t="s">
        <v>467</v>
      </c>
      <c r="B214" s="4" t="s">
        <v>79</v>
      </c>
      <c r="C214" s="58">
        <f>_xll.RssMarket("9519","現在値")</f>
        <v>883</v>
      </c>
      <c r="D214" s="59">
        <f t="shared" si="3"/>
        <v>0</v>
      </c>
      <c r="E214" s="70">
        <v>883</v>
      </c>
      <c r="F214" s="70">
        <v>893</v>
      </c>
      <c r="G214" s="70">
        <v>901</v>
      </c>
      <c r="H214" s="70">
        <v>920</v>
      </c>
      <c r="I214" s="70">
        <v>1003</v>
      </c>
      <c r="J214" s="70">
        <v>1026</v>
      </c>
      <c r="K214" s="70">
        <v>984</v>
      </c>
      <c r="L214" s="70">
        <v>1023</v>
      </c>
      <c r="M214" s="70">
        <v>1110</v>
      </c>
      <c r="N214" s="70">
        <v>1198</v>
      </c>
      <c r="O214" s="70">
        <v>1203</v>
      </c>
      <c r="P214" s="70">
        <v>1223</v>
      </c>
      <c r="Q214" s="70">
        <v>1288</v>
      </c>
      <c r="R214" s="70">
        <v>1335</v>
      </c>
      <c r="S214" s="70">
        <v>1350</v>
      </c>
      <c r="T214" s="70">
        <v>1305</v>
      </c>
      <c r="U214" s="70">
        <v>1262</v>
      </c>
      <c r="V214" s="70">
        <v>1375</v>
      </c>
      <c r="W214" s="70">
        <v>1273</v>
      </c>
      <c r="X214" s="70">
        <v>1346</v>
      </c>
      <c r="Y214" s="70">
        <v>1302</v>
      </c>
      <c r="Z214" s="70">
        <v>1220</v>
      </c>
      <c r="AA214" s="70">
        <v>1245</v>
      </c>
      <c r="AB214" s="70">
        <v>1225</v>
      </c>
      <c r="AC214" s="70">
        <v>1160</v>
      </c>
      <c r="AD214" s="70">
        <v>1138</v>
      </c>
      <c r="AE214" s="70">
        <v>1111</v>
      </c>
      <c r="AF214" s="70">
        <v>1111</v>
      </c>
      <c r="AG214" s="70">
        <v>1128</v>
      </c>
      <c r="AH214" s="70">
        <v>1070</v>
      </c>
      <c r="AI214" s="70">
        <v>1059</v>
      </c>
      <c r="AJ214" s="70">
        <v>988</v>
      </c>
      <c r="AK214" s="70">
        <v>949</v>
      </c>
      <c r="AL214" s="70">
        <v>980</v>
      </c>
      <c r="AM214" s="70">
        <v>1033</v>
      </c>
      <c r="AN214" s="70">
        <v>1041</v>
      </c>
      <c r="AO214" s="70">
        <v>1079</v>
      </c>
      <c r="AP214" s="70">
        <v>1060</v>
      </c>
      <c r="AQ214" s="70">
        <v>1009</v>
      </c>
      <c r="AR214" s="70">
        <v>997</v>
      </c>
      <c r="AS214" s="70">
        <v>945</v>
      </c>
      <c r="AT214" s="70">
        <v>979</v>
      </c>
      <c r="AU214" s="70">
        <v>926</v>
      </c>
      <c r="AV214" s="70">
        <v>899</v>
      </c>
      <c r="AW214" s="70">
        <v>908</v>
      </c>
      <c r="AX214" s="70">
        <v>925</v>
      </c>
      <c r="AY214" s="70">
        <v>891</v>
      </c>
      <c r="AZ214" s="70">
        <v>879</v>
      </c>
      <c r="BA214" s="70">
        <v>838</v>
      </c>
      <c r="BB214" s="70">
        <v>876</v>
      </c>
      <c r="BC214" s="70">
        <v>801</v>
      </c>
      <c r="BD214" s="70">
        <v>777</v>
      </c>
      <c r="BE214" s="70">
        <v>796</v>
      </c>
      <c r="BF214" s="70">
        <v>748</v>
      </c>
      <c r="BG214" s="70">
        <v>760</v>
      </c>
      <c r="BH214" s="70">
        <v>758</v>
      </c>
      <c r="BI214" s="70">
        <v>829</v>
      </c>
      <c r="BJ214" s="70">
        <v>812</v>
      </c>
      <c r="BK214" s="70">
        <v>820</v>
      </c>
      <c r="BL214" s="70">
        <v>782</v>
      </c>
    </row>
    <row r="215" spans="1:64">
      <c r="A215" s="65" t="s">
        <v>468</v>
      </c>
      <c r="B215" s="4" t="s">
        <v>80</v>
      </c>
      <c r="C215" s="58">
        <f>_xll.RssMarket("6752","現在値")</f>
        <v>4200</v>
      </c>
      <c r="D215" s="59">
        <f t="shared" si="3"/>
        <v>0</v>
      </c>
      <c r="E215" s="70">
        <v>4200</v>
      </c>
      <c r="F215" s="70">
        <v>4079</v>
      </c>
      <c r="G215" s="70">
        <v>3800</v>
      </c>
      <c r="H215" s="70">
        <v>3767</v>
      </c>
      <c r="I215" s="70">
        <v>3756</v>
      </c>
      <c r="J215" s="70">
        <v>3574</v>
      </c>
      <c r="K215" s="70">
        <v>3754</v>
      </c>
      <c r="L215" s="70">
        <v>3800</v>
      </c>
      <c r="M215" s="70">
        <v>3916</v>
      </c>
      <c r="N215" s="70">
        <v>3595</v>
      </c>
      <c r="O215" s="70">
        <v>3700</v>
      </c>
      <c r="P215" s="70">
        <v>3544</v>
      </c>
      <c r="Q215" s="70">
        <v>3569</v>
      </c>
      <c r="R215" s="70">
        <v>3566</v>
      </c>
      <c r="S215" s="70">
        <v>3507</v>
      </c>
      <c r="T215" s="70">
        <v>3421</v>
      </c>
      <c r="U215" s="70">
        <v>3207</v>
      </c>
      <c r="V215" s="70">
        <v>3353</v>
      </c>
      <c r="W215" s="70">
        <v>3348</v>
      </c>
      <c r="X215" s="70">
        <v>3293</v>
      </c>
      <c r="Y215" s="70">
        <v>3377</v>
      </c>
      <c r="Z215" s="70">
        <v>3275</v>
      </c>
      <c r="AA215" s="70">
        <v>3405</v>
      </c>
      <c r="AB215" s="70">
        <v>3334</v>
      </c>
      <c r="AC215" s="70">
        <v>3318</v>
      </c>
      <c r="AD215" s="70">
        <v>3349</v>
      </c>
      <c r="AE215" s="70">
        <v>3324</v>
      </c>
      <c r="AF215" s="70">
        <v>3203</v>
      </c>
      <c r="AG215" s="70">
        <v>3061</v>
      </c>
      <c r="AH215" s="70">
        <v>3103</v>
      </c>
      <c r="AI215" s="70">
        <v>2879</v>
      </c>
      <c r="AJ215" s="70">
        <v>2904.5</v>
      </c>
      <c r="AK215" s="70">
        <v>2985</v>
      </c>
      <c r="AL215" s="70">
        <v>3019</v>
      </c>
      <c r="AM215" s="70">
        <v>2982.5</v>
      </c>
      <c r="AN215" s="70">
        <v>2897</v>
      </c>
      <c r="AO215" s="70">
        <v>2996</v>
      </c>
      <c r="AP215" s="70">
        <v>2925</v>
      </c>
      <c r="AQ215" s="70">
        <v>2917.5</v>
      </c>
      <c r="AR215" s="70">
        <v>2879.5</v>
      </c>
      <c r="AS215" s="70">
        <v>2861</v>
      </c>
      <c r="AT215" s="70">
        <v>2925</v>
      </c>
      <c r="AU215" s="70">
        <v>2955.5</v>
      </c>
      <c r="AV215" s="70">
        <v>2835.5</v>
      </c>
      <c r="AW215" s="70">
        <v>2780.5</v>
      </c>
      <c r="AX215" s="70">
        <v>2715</v>
      </c>
      <c r="AY215" s="70">
        <v>2743</v>
      </c>
      <c r="AZ215" s="70">
        <v>2774</v>
      </c>
      <c r="BA215" s="70">
        <v>2585.5</v>
      </c>
      <c r="BB215" s="70">
        <v>2600</v>
      </c>
      <c r="BC215" s="70">
        <v>2667.5</v>
      </c>
      <c r="BD215" s="70">
        <v>2694</v>
      </c>
      <c r="BE215" s="70">
        <v>2630</v>
      </c>
      <c r="BF215" s="70">
        <v>2555.5</v>
      </c>
      <c r="BG215" s="70">
        <v>2505.5</v>
      </c>
      <c r="BH215" s="70">
        <v>2600.5</v>
      </c>
      <c r="BI215" s="70">
        <v>2652</v>
      </c>
      <c r="BJ215" s="70">
        <v>2602.5</v>
      </c>
      <c r="BK215" s="70">
        <v>2570.5</v>
      </c>
      <c r="BL215" s="70">
        <v>2610.5</v>
      </c>
    </row>
    <row r="216" spans="1:64">
      <c r="A216" s="65" t="s">
        <v>469</v>
      </c>
      <c r="B216" s="4" t="s">
        <v>81</v>
      </c>
      <c r="C216" s="58">
        <f>_xll.RssMarket("6622","現在値")</f>
        <v>16830</v>
      </c>
      <c r="D216" s="59">
        <f t="shared" si="3"/>
        <v>0</v>
      </c>
      <c r="E216" s="70">
        <v>16830</v>
      </c>
      <c r="F216" s="70">
        <v>16230</v>
      </c>
      <c r="G216" s="70">
        <v>14970</v>
      </c>
      <c r="H216" s="70">
        <v>14440</v>
      </c>
      <c r="I216" s="70">
        <v>14730</v>
      </c>
      <c r="J216" s="70">
        <v>15360</v>
      </c>
      <c r="K216" s="70">
        <v>16200</v>
      </c>
      <c r="L216" s="70">
        <v>15760</v>
      </c>
      <c r="M216" s="70">
        <v>15700</v>
      </c>
      <c r="N216" s="70">
        <v>15280</v>
      </c>
      <c r="O216" s="70">
        <v>15790</v>
      </c>
      <c r="P216" s="70">
        <v>15850</v>
      </c>
      <c r="Q216" s="70">
        <v>16380</v>
      </c>
      <c r="R216" s="70">
        <v>16620</v>
      </c>
      <c r="S216" s="70">
        <v>16830</v>
      </c>
      <c r="T216" s="70">
        <v>16340</v>
      </c>
      <c r="U216" s="70">
        <v>15820</v>
      </c>
      <c r="V216" s="70">
        <v>15280</v>
      </c>
      <c r="W216" s="70">
        <v>15840</v>
      </c>
      <c r="X216" s="70">
        <v>16540</v>
      </c>
      <c r="Y216" s="70">
        <v>16900</v>
      </c>
      <c r="Z216" s="70">
        <v>17330</v>
      </c>
      <c r="AA216" s="70">
        <v>18070</v>
      </c>
      <c r="AB216" s="70">
        <v>17720</v>
      </c>
      <c r="AC216" s="70">
        <v>17620</v>
      </c>
      <c r="AD216" s="70">
        <v>17280</v>
      </c>
      <c r="AE216" s="70">
        <v>16900</v>
      </c>
      <c r="AF216" s="70">
        <v>15760</v>
      </c>
      <c r="AG216" s="70">
        <v>15380</v>
      </c>
      <c r="AH216" s="70">
        <v>14980</v>
      </c>
      <c r="AI216" s="70">
        <v>14770</v>
      </c>
      <c r="AJ216" s="70">
        <v>13900</v>
      </c>
      <c r="AK216" s="70">
        <v>13720</v>
      </c>
      <c r="AL216" s="70">
        <v>13930</v>
      </c>
      <c r="AM216" s="70">
        <v>14100</v>
      </c>
      <c r="AN216" s="70">
        <v>13950</v>
      </c>
      <c r="AO216" s="70">
        <v>13880</v>
      </c>
      <c r="AP216" s="70">
        <v>14310</v>
      </c>
      <c r="AQ216" s="70">
        <v>13970</v>
      </c>
      <c r="AR216" s="70">
        <v>14380</v>
      </c>
      <c r="AS216" s="70">
        <v>14020</v>
      </c>
      <c r="AT216" s="70">
        <v>13950</v>
      </c>
      <c r="AU216" s="70">
        <v>13390</v>
      </c>
      <c r="AV216" s="70">
        <v>13730</v>
      </c>
      <c r="AW216" s="70">
        <v>12480</v>
      </c>
      <c r="AX216" s="70">
        <v>12410</v>
      </c>
      <c r="AY216" s="70">
        <v>12000</v>
      </c>
      <c r="AZ216" s="70">
        <v>11880</v>
      </c>
      <c r="BA216" s="70">
        <v>12340</v>
      </c>
      <c r="BB216" s="70">
        <v>11170</v>
      </c>
      <c r="BC216" s="70">
        <v>11530</v>
      </c>
      <c r="BD216" s="70">
        <v>12120</v>
      </c>
      <c r="BE216" s="70">
        <v>12440</v>
      </c>
      <c r="BF216" s="70">
        <v>12610</v>
      </c>
      <c r="BG216" s="70">
        <v>11970</v>
      </c>
      <c r="BH216" s="70">
        <v>11610</v>
      </c>
      <c r="BI216" s="70">
        <v>12370</v>
      </c>
      <c r="BJ216" s="70">
        <v>13130</v>
      </c>
      <c r="BK216" s="70">
        <v>12270</v>
      </c>
      <c r="BL216" s="70">
        <v>12350</v>
      </c>
    </row>
    <row r="217" spans="1:64">
      <c r="A217" s="65" t="s">
        <v>470</v>
      </c>
      <c r="B217" s="4" t="s">
        <v>82</v>
      </c>
      <c r="C217" s="58">
        <f>_xll.RssMarket("1407","現在値")</f>
        <v>2310</v>
      </c>
      <c r="D217" s="59">
        <f t="shared" si="3"/>
        <v>0</v>
      </c>
      <c r="E217" s="70">
        <v>2310</v>
      </c>
      <c r="F217" s="70">
        <v>2256</v>
      </c>
      <c r="G217" s="70">
        <v>2313</v>
      </c>
      <c r="H217" s="70">
        <v>2305</v>
      </c>
      <c r="I217" s="70">
        <v>2297</v>
      </c>
      <c r="J217" s="70">
        <v>2450</v>
      </c>
      <c r="K217" s="70">
        <v>2478</v>
      </c>
      <c r="L217" s="70">
        <v>2436</v>
      </c>
      <c r="M217" s="70">
        <v>2578</v>
      </c>
      <c r="N217" s="70">
        <v>2489</v>
      </c>
      <c r="O217" s="70">
        <v>2600</v>
      </c>
      <c r="P217" s="70">
        <v>2695</v>
      </c>
      <c r="Q217" s="70">
        <v>2936</v>
      </c>
      <c r="R217" s="70">
        <v>3115</v>
      </c>
      <c r="S217" s="70">
        <v>2991</v>
      </c>
      <c r="T217" s="70">
        <v>2891</v>
      </c>
      <c r="U217" s="70">
        <v>2923</v>
      </c>
      <c r="V217" s="70">
        <v>3085</v>
      </c>
      <c r="W217" s="70">
        <v>3040</v>
      </c>
      <c r="X217" s="70">
        <v>2980</v>
      </c>
      <c r="Y217" s="70">
        <v>3005</v>
      </c>
      <c r="Z217" s="70">
        <v>3070</v>
      </c>
      <c r="AA217" s="70">
        <v>3015</v>
      </c>
      <c r="AB217" s="70">
        <v>2950</v>
      </c>
      <c r="AC217" s="70">
        <v>3115</v>
      </c>
      <c r="AD217" s="70">
        <v>2980</v>
      </c>
      <c r="AE217" s="70">
        <v>2860</v>
      </c>
      <c r="AF217" s="70">
        <v>2884</v>
      </c>
      <c r="AG217" s="70">
        <v>2877</v>
      </c>
      <c r="AH217" s="70">
        <v>2756</v>
      </c>
      <c r="AI217" s="70">
        <v>2637</v>
      </c>
      <c r="AJ217" s="70">
        <v>2548</v>
      </c>
      <c r="AK217" s="70">
        <v>2356</v>
      </c>
      <c r="AL217" s="70">
        <v>2270</v>
      </c>
      <c r="AM217" s="70">
        <v>2288</v>
      </c>
      <c r="AN217" s="70">
        <v>2279</v>
      </c>
      <c r="AO217" s="70">
        <v>2239</v>
      </c>
      <c r="AP217" s="70">
        <v>2320</v>
      </c>
      <c r="AQ217" s="70">
        <v>2122</v>
      </c>
      <c r="AR217" s="70">
        <v>1947</v>
      </c>
      <c r="AS217" s="70">
        <v>1855</v>
      </c>
      <c r="AT217" s="70">
        <v>1848</v>
      </c>
      <c r="AU217" s="70">
        <v>1824</v>
      </c>
      <c r="AV217" s="70">
        <v>1838</v>
      </c>
      <c r="AW217" s="70">
        <v>1831</v>
      </c>
      <c r="AX217" s="70">
        <v>1900</v>
      </c>
      <c r="AY217" s="70">
        <v>1896</v>
      </c>
      <c r="AZ217" s="70">
        <v>1834</v>
      </c>
      <c r="BA217" s="70">
        <v>1830</v>
      </c>
      <c r="BB217" s="70">
        <v>1755</v>
      </c>
      <c r="BC217" s="70">
        <v>1792</v>
      </c>
      <c r="BD217" s="70">
        <v>1716</v>
      </c>
      <c r="BE217" s="70">
        <v>1716</v>
      </c>
      <c r="BF217" s="70">
        <v>1800</v>
      </c>
      <c r="BG217" s="70">
        <v>1723</v>
      </c>
      <c r="BH217" s="70">
        <v>1670</v>
      </c>
      <c r="BI217" s="70">
        <v>1750</v>
      </c>
      <c r="BJ217" s="70">
        <v>1851</v>
      </c>
      <c r="BK217" s="70">
        <v>1845</v>
      </c>
      <c r="BL217" s="70">
        <v>1927</v>
      </c>
    </row>
    <row r="218" spans="1:64">
      <c r="A218" s="65" t="s">
        <v>260</v>
      </c>
      <c r="B218" s="4" t="s">
        <v>259</v>
      </c>
      <c r="C218" s="58">
        <f>_xll.RssMarket("285A","現在値")</f>
        <v>96000</v>
      </c>
      <c r="D218" s="59">
        <f>C218-E218</f>
        <v>0</v>
      </c>
      <c r="E218" s="70">
        <v>96000</v>
      </c>
      <c r="F218" s="70">
        <v>94720</v>
      </c>
      <c r="G218" s="70">
        <v>81200</v>
      </c>
      <c r="H218" s="70">
        <v>75440</v>
      </c>
      <c r="I218" s="70">
        <v>70500</v>
      </c>
      <c r="J218" s="70">
        <v>71880</v>
      </c>
      <c r="K218" s="70">
        <v>78140</v>
      </c>
      <c r="L218" s="70">
        <v>76920</v>
      </c>
      <c r="M218" s="70">
        <v>78080</v>
      </c>
      <c r="N218" s="70">
        <v>77540</v>
      </c>
      <c r="O218" s="70">
        <v>72500</v>
      </c>
      <c r="P218" s="70">
        <v>65850</v>
      </c>
      <c r="Q218" s="70">
        <v>61280</v>
      </c>
      <c r="R218" s="70">
        <v>60550</v>
      </c>
      <c r="S218" s="70">
        <v>65450</v>
      </c>
      <c r="T218" s="70">
        <v>57400</v>
      </c>
      <c r="U218" s="70">
        <v>55340</v>
      </c>
      <c r="V218" s="70">
        <v>51290</v>
      </c>
      <c r="W218" s="70">
        <v>49770</v>
      </c>
      <c r="X218" s="70">
        <v>51450</v>
      </c>
      <c r="Y218" s="70">
        <v>44450</v>
      </c>
      <c r="Z218" s="70">
        <v>48460</v>
      </c>
      <c r="AA218" s="70">
        <v>50500</v>
      </c>
      <c r="AB218" s="70">
        <v>46100</v>
      </c>
      <c r="AC218" s="70">
        <v>45940</v>
      </c>
      <c r="AD218" s="70">
        <v>44490</v>
      </c>
      <c r="AE218" s="70">
        <v>43410</v>
      </c>
      <c r="AF218" s="70">
        <v>36410</v>
      </c>
      <c r="AG218" s="70">
        <v>37560</v>
      </c>
      <c r="AH218" s="70">
        <v>36320</v>
      </c>
      <c r="AI218" s="70">
        <v>35470</v>
      </c>
      <c r="AJ218" s="70">
        <v>34580</v>
      </c>
      <c r="AK218" s="70">
        <v>35380</v>
      </c>
      <c r="AL218" s="70">
        <v>34800</v>
      </c>
      <c r="AM218" s="70">
        <v>32740</v>
      </c>
      <c r="AN218" s="70">
        <v>30510</v>
      </c>
      <c r="AO218" s="70">
        <v>30530</v>
      </c>
      <c r="AP218" s="70">
        <v>33870</v>
      </c>
      <c r="AQ218" s="70">
        <v>32410</v>
      </c>
      <c r="AR218" s="70">
        <v>35000</v>
      </c>
      <c r="AS218" s="70">
        <v>31270</v>
      </c>
      <c r="AT218" s="70">
        <v>30140</v>
      </c>
      <c r="AU218" s="70">
        <v>27700</v>
      </c>
      <c r="AV218" s="70">
        <v>27600</v>
      </c>
      <c r="AW218" s="70">
        <v>23270</v>
      </c>
      <c r="AX218" s="70">
        <v>22800</v>
      </c>
      <c r="AY218" s="70">
        <v>21850</v>
      </c>
      <c r="AZ218" s="70">
        <v>21095</v>
      </c>
      <c r="BA218" s="70">
        <v>21800</v>
      </c>
      <c r="BB218" s="70">
        <v>19080</v>
      </c>
      <c r="BC218" s="70">
        <v>20020</v>
      </c>
      <c r="BD218" s="70">
        <v>20270</v>
      </c>
      <c r="BE218" s="70">
        <v>21165</v>
      </c>
      <c r="BF218" s="70">
        <v>22445</v>
      </c>
      <c r="BG218" s="70">
        <v>21100</v>
      </c>
      <c r="BH218" s="70">
        <v>21465</v>
      </c>
      <c r="BI218" s="70">
        <v>22360</v>
      </c>
      <c r="BJ218" s="70">
        <v>23390</v>
      </c>
      <c r="BK218" s="70">
        <v>21610</v>
      </c>
      <c r="BL218" s="70">
        <v>22615</v>
      </c>
    </row>
    <row r="219" spans="1:64">
      <c r="A219" s="65" t="s">
        <v>261</v>
      </c>
      <c r="B219" s="4" t="s">
        <v>471</v>
      </c>
      <c r="C219" s="58">
        <f>_xll.RssMarket("141A","現在値")</f>
        <v>2803</v>
      </c>
      <c r="D219" s="59">
        <f>C219-E219</f>
        <v>0</v>
      </c>
      <c r="E219" s="70">
        <v>2803</v>
      </c>
      <c r="F219" s="70">
        <v>2744</v>
      </c>
      <c r="G219" s="70">
        <v>2789</v>
      </c>
      <c r="H219" s="70">
        <v>2850</v>
      </c>
      <c r="I219" s="70">
        <v>2793</v>
      </c>
      <c r="J219" s="70">
        <v>2782</v>
      </c>
      <c r="K219" s="70">
        <v>2774</v>
      </c>
      <c r="L219" s="70">
        <v>2668</v>
      </c>
      <c r="M219" s="70">
        <v>2734</v>
      </c>
      <c r="N219" s="70">
        <v>2570</v>
      </c>
      <c r="O219" s="70">
        <v>2686</v>
      </c>
      <c r="P219" s="70">
        <v>2865</v>
      </c>
      <c r="Q219" s="70">
        <v>2900</v>
      </c>
      <c r="R219" s="70">
        <v>2805</v>
      </c>
      <c r="S219" s="70">
        <v>2878</v>
      </c>
      <c r="T219" s="70">
        <v>2971</v>
      </c>
      <c r="U219" s="70">
        <v>3055</v>
      </c>
      <c r="V219" s="70">
        <v>3105</v>
      </c>
      <c r="W219" s="70">
        <v>3180</v>
      </c>
      <c r="X219" s="70">
        <v>2911</v>
      </c>
      <c r="Y219" s="70">
        <v>3570</v>
      </c>
      <c r="Z219" s="70">
        <v>4270</v>
      </c>
      <c r="AA219" s="70">
        <v>4440</v>
      </c>
      <c r="AB219" s="70">
        <v>4330</v>
      </c>
      <c r="AC219" s="70">
        <v>4225</v>
      </c>
      <c r="AD219" s="70">
        <v>4140</v>
      </c>
      <c r="AE219" s="70">
        <v>4155</v>
      </c>
      <c r="AF219" s="70">
        <v>3885</v>
      </c>
      <c r="AG219" s="70">
        <v>3920</v>
      </c>
      <c r="AH219" s="70">
        <v>4045</v>
      </c>
      <c r="AI219" s="70">
        <v>3905</v>
      </c>
      <c r="AJ219" s="70">
        <v>3985</v>
      </c>
      <c r="AK219" s="70">
        <v>4255</v>
      </c>
      <c r="AL219" s="70">
        <v>4525</v>
      </c>
      <c r="AM219" s="70">
        <v>4745</v>
      </c>
      <c r="AN219" s="70">
        <v>4585</v>
      </c>
      <c r="AO219" s="70">
        <v>4445</v>
      </c>
      <c r="AP219" s="70">
        <v>4495</v>
      </c>
      <c r="AQ219" s="70">
        <v>4380</v>
      </c>
      <c r="AR219" s="70">
        <v>4255</v>
      </c>
      <c r="AS219" s="70">
        <v>4170</v>
      </c>
      <c r="AT219" s="70">
        <v>4445</v>
      </c>
      <c r="AU219" s="70">
        <v>4425</v>
      </c>
      <c r="AV219" s="70">
        <v>4655</v>
      </c>
      <c r="AW219" s="70">
        <v>4780</v>
      </c>
      <c r="AX219" s="70">
        <v>4655</v>
      </c>
      <c r="AY219" s="70">
        <v>4625</v>
      </c>
      <c r="AZ219" s="70">
        <v>4530</v>
      </c>
      <c r="BA219" s="70">
        <v>4445</v>
      </c>
      <c r="BB219" s="70">
        <v>4200</v>
      </c>
      <c r="BC219" s="70">
        <v>4205</v>
      </c>
      <c r="BD219" s="70">
        <v>4280</v>
      </c>
      <c r="BE219" s="70">
        <v>4110</v>
      </c>
      <c r="BF219" s="70">
        <v>4250</v>
      </c>
      <c r="BG219" s="70">
        <v>4145</v>
      </c>
      <c r="BH219" s="70">
        <v>4005</v>
      </c>
      <c r="BI219" s="70">
        <v>4240</v>
      </c>
      <c r="BJ219" s="70">
        <v>4510</v>
      </c>
      <c r="BK219" s="70">
        <v>4225</v>
      </c>
      <c r="BL219" s="70">
        <v>4070</v>
      </c>
    </row>
    <row r="220" spans="1:64">
      <c r="A220" s="65" t="s">
        <v>262</v>
      </c>
      <c r="B220" s="4" t="s">
        <v>475</v>
      </c>
      <c r="C220" s="58">
        <f>_xll.RssMarket("464A","現在値")</f>
        <v>2202</v>
      </c>
      <c r="D220" s="59">
        <f>C220-E220</f>
        <v>0</v>
      </c>
      <c r="E220" s="70">
        <v>2202</v>
      </c>
      <c r="F220" s="70">
        <v>2280</v>
      </c>
      <c r="G220" s="70">
        <v>2792</v>
      </c>
      <c r="H220" s="70">
        <v>2607</v>
      </c>
      <c r="I220" s="70">
        <v>2533</v>
      </c>
      <c r="J220" s="70">
        <v>2870</v>
      </c>
      <c r="K220" s="70">
        <v>2919</v>
      </c>
      <c r="L220" s="70">
        <v>2720</v>
      </c>
      <c r="M220" s="70">
        <v>2998</v>
      </c>
      <c r="N220" s="70">
        <v>3080</v>
      </c>
      <c r="O220" s="70">
        <v>3495</v>
      </c>
      <c r="P220" s="70">
        <v>4060</v>
      </c>
      <c r="Q220" s="70">
        <v>4365</v>
      </c>
      <c r="R220" s="70">
        <v>4200</v>
      </c>
      <c r="S220" s="70">
        <v>3930</v>
      </c>
      <c r="T220" s="70">
        <v>3725</v>
      </c>
      <c r="U220" s="70">
        <v>3435</v>
      </c>
      <c r="V220" s="70">
        <v>3240</v>
      </c>
      <c r="W220" s="70">
        <v>3565</v>
      </c>
      <c r="X220" s="70">
        <v>3230</v>
      </c>
      <c r="Y220" s="70">
        <v>3300</v>
      </c>
      <c r="Z220" s="70">
        <v>3280</v>
      </c>
      <c r="AA220" s="70">
        <v>3120</v>
      </c>
      <c r="AB220" s="70">
        <v>2954</v>
      </c>
      <c r="AC220" s="70">
        <v>2990</v>
      </c>
      <c r="AD220" s="70">
        <v>2825</v>
      </c>
      <c r="AE220" s="70">
        <v>2676</v>
      </c>
      <c r="AF220" s="70">
        <v>2530</v>
      </c>
      <c r="AG220" s="70">
        <v>2520</v>
      </c>
      <c r="AH220" s="70">
        <v>2534</v>
      </c>
      <c r="AI220" s="70">
        <v>2423</v>
      </c>
      <c r="AJ220" s="70">
        <v>2580</v>
      </c>
      <c r="AK220" s="70">
        <v>2582</v>
      </c>
      <c r="AL220" s="70">
        <v>2669</v>
      </c>
      <c r="AM220" s="70">
        <v>2750</v>
      </c>
      <c r="AN220" s="70">
        <v>2659</v>
      </c>
      <c r="AO220" s="70">
        <v>2647</v>
      </c>
      <c r="AP220" s="70">
        <v>2630</v>
      </c>
      <c r="AQ220" s="70">
        <v>2514</v>
      </c>
      <c r="AR220" s="70">
        <v>2610</v>
      </c>
      <c r="AS220" s="70">
        <v>2787</v>
      </c>
      <c r="AT220" s="70">
        <v>2832</v>
      </c>
      <c r="AU220" s="70">
        <v>2593</v>
      </c>
      <c r="AV220" s="70">
        <v>2702</v>
      </c>
      <c r="AW220" s="70">
        <v>2454</v>
      </c>
      <c r="AX220" s="70">
        <v>2413</v>
      </c>
      <c r="AY220" s="70">
        <v>2297</v>
      </c>
      <c r="AZ220" s="70">
        <v>2281</v>
      </c>
      <c r="BA220" s="70">
        <v>2232</v>
      </c>
      <c r="BB220" s="70">
        <v>2063</v>
      </c>
      <c r="BC220" s="70">
        <v>2133</v>
      </c>
      <c r="BD220" s="70">
        <v>2298</v>
      </c>
      <c r="BE220" s="70">
        <v>2363</v>
      </c>
      <c r="BF220" s="70">
        <v>2480</v>
      </c>
      <c r="BG220" s="70">
        <v>2275</v>
      </c>
      <c r="BH220" s="70">
        <v>2278</v>
      </c>
      <c r="BI220" s="70">
        <v>2503</v>
      </c>
      <c r="BJ220" s="70">
        <v>2632</v>
      </c>
      <c r="BK220" s="70">
        <v>2260</v>
      </c>
      <c r="BL220" s="70">
        <v>2295</v>
      </c>
    </row>
    <row r="221" spans="1:64">
      <c r="A221" s="65" t="s">
        <v>473</v>
      </c>
      <c r="B221" s="4" t="s">
        <v>474</v>
      </c>
      <c r="C221" s="58">
        <f>_xll.RssMarket("485A","現在値")</f>
        <v>2291</v>
      </c>
      <c r="D221" s="59">
        <f>C221-E221</f>
        <v>0</v>
      </c>
      <c r="E221" s="70">
        <v>2291</v>
      </c>
      <c r="F221" s="70">
        <v>2791</v>
      </c>
      <c r="G221" s="70">
        <v>2562</v>
      </c>
      <c r="H221" s="70">
        <v>2497</v>
      </c>
      <c r="I221" s="70">
        <v>2312</v>
      </c>
      <c r="J221" s="70">
        <v>2726</v>
      </c>
      <c r="K221" s="70">
        <v>2889</v>
      </c>
      <c r="L221" s="70">
        <v>2893</v>
      </c>
      <c r="M221" s="70">
        <v>3210</v>
      </c>
      <c r="N221" s="70">
        <v>3300</v>
      </c>
      <c r="O221" s="70">
        <v>3465</v>
      </c>
      <c r="P221" s="70">
        <v>3855</v>
      </c>
      <c r="Q221" s="70">
        <v>4340</v>
      </c>
      <c r="R221" s="70">
        <v>13590</v>
      </c>
      <c r="S221" s="70">
        <v>14720</v>
      </c>
      <c r="T221" s="70">
        <v>12850</v>
      </c>
      <c r="U221" s="70">
        <v>13350</v>
      </c>
      <c r="V221" s="70">
        <v>13650</v>
      </c>
      <c r="W221" s="70">
        <v>14860</v>
      </c>
      <c r="X221" s="70">
        <v>14990</v>
      </c>
      <c r="Y221" s="70">
        <v>12320</v>
      </c>
      <c r="Z221" s="70">
        <v>12150</v>
      </c>
      <c r="AA221" s="70">
        <v>13200</v>
      </c>
      <c r="AB221" s="70">
        <v>13080</v>
      </c>
      <c r="AC221" s="70">
        <v>14960</v>
      </c>
      <c r="AD221" s="70">
        <v>14090</v>
      </c>
      <c r="AE221" s="70">
        <v>11090</v>
      </c>
      <c r="AF221" s="70">
        <v>10480</v>
      </c>
      <c r="AG221" s="70">
        <v>10690</v>
      </c>
      <c r="AH221" s="70">
        <v>9850</v>
      </c>
      <c r="AI221" s="70">
        <v>8970</v>
      </c>
      <c r="AJ221" s="70">
        <v>7740</v>
      </c>
      <c r="AK221" s="70">
        <v>7130</v>
      </c>
      <c r="AL221" s="70">
        <v>7670</v>
      </c>
      <c r="AM221" s="70">
        <v>7120</v>
      </c>
      <c r="AN221" s="70">
        <v>6710</v>
      </c>
      <c r="AO221" s="70">
        <v>6700</v>
      </c>
      <c r="AP221" s="70">
        <v>7320</v>
      </c>
      <c r="AQ221" s="70">
        <v>6750</v>
      </c>
      <c r="AR221" s="70">
        <v>7110</v>
      </c>
      <c r="AS221" s="70">
        <v>7120</v>
      </c>
      <c r="AT221" s="70">
        <v>7600</v>
      </c>
      <c r="AU221" s="70">
        <v>6700</v>
      </c>
      <c r="AV221" s="70">
        <v>6420</v>
      </c>
      <c r="AW221" s="70">
        <v>5750</v>
      </c>
      <c r="AX221" s="70">
        <v>5990</v>
      </c>
      <c r="AY221" s="70">
        <v>5800</v>
      </c>
      <c r="AZ221" s="70">
        <v>5030</v>
      </c>
      <c r="BA221" s="70">
        <v>5330</v>
      </c>
      <c r="BB221" s="70">
        <v>4625</v>
      </c>
      <c r="BC221" s="70">
        <v>4725</v>
      </c>
      <c r="BD221" s="70">
        <v>4250</v>
      </c>
      <c r="BE221" s="70">
        <v>3945</v>
      </c>
      <c r="BF221" s="70">
        <v>4180</v>
      </c>
      <c r="BG221" s="70">
        <v>4880</v>
      </c>
      <c r="BH221" s="70">
        <v>5330</v>
      </c>
      <c r="BI221" s="70">
        <v>5870</v>
      </c>
      <c r="BJ221" s="70">
        <v>5800</v>
      </c>
      <c r="BK221" s="70">
        <v>5310</v>
      </c>
      <c r="BL221" s="70">
        <v>5670</v>
      </c>
    </row>
    <row r="222" spans="1:64">
      <c r="A222" s="65" t="s">
        <v>490</v>
      </c>
      <c r="B222" s="4" t="str">
        <f>銘柄管理!C222</f>
        <v>ＮＦ日経レバ</v>
      </c>
      <c r="C222" s="58">
        <f>_xll.RssMarket("1570","現在値")</f>
        <v>79550</v>
      </c>
      <c r="D222" s="59"/>
      <c r="E222" s="70">
        <v>79550</v>
      </c>
      <c r="F222" s="70">
        <v>78180</v>
      </c>
      <c r="G222" s="70">
        <v>71130</v>
      </c>
      <c r="H222" s="70">
        <v>67250</v>
      </c>
      <c r="I222" s="70">
        <v>67450</v>
      </c>
      <c r="J222" s="70">
        <v>67010</v>
      </c>
      <c r="K222" s="70">
        <v>72640</v>
      </c>
      <c r="L222" s="70">
        <v>74620</v>
      </c>
      <c r="M222" s="70">
        <v>76720</v>
      </c>
      <c r="N222" s="70">
        <v>72930</v>
      </c>
      <c r="O222" s="70">
        <v>73490</v>
      </c>
      <c r="P222" s="70">
        <v>72090</v>
      </c>
      <c r="Q222" s="70">
        <v>68680</v>
      </c>
      <c r="R222" s="70">
        <v>69560</v>
      </c>
      <c r="S222" s="70">
        <v>70010</v>
      </c>
      <c r="T222" s="70">
        <v>65880</v>
      </c>
      <c r="U222" s="70">
        <v>62540</v>
      </c>
      <c r="V222" s="70">
        <v>59060</v>
      </c>
      <c r="W222" s="70">
        <v>60530</v>
      </c>
      <c r="X222" s="70">
        <v>60970</v>
      </c>
      <c r="Y222" s="70">
        <v>62240</v>
      </c>
      <c r="Z222" s="70">
        <v>64770</v>
      </c>
      <c r="AA222" s="70">
        <v>66000</v>
      </c>
      <c r="AB222" s="70">
        <v>64830</v>
      </c>
      <c r="AC222" s="70">
        <v>64310</v>
      </c>
      <c r="AD222" s="70">
        <v>64800</v>
      </c>
      <c r="AE222" s="70">
        <v>65520</v>
      </c>
      <c r="AF222" s="70">
        <v>58570</v>
      </c>
      <c r="AG222" s="70">
        <v>58070</v>
      </c>
      <c r="AH222" s="70">
        <v>59440</v>
      </c>
      <c r="AI222" s="70">
        <v>60810</v>
      </c>
      <c r="AJ222" s="70">
        <v>59020</v>
      </c>
      <c r="AK222" s="70">
        <v>57970</v>
      </c>
      <c r="AL222" s="70">
        <v>58850</v>
      </c>
      <c r="AM222" s="70">
        <v>58390</v>
      </c>
      <c r="AN222" s="70">
        <v>57370</v>
      </c>
      <c r="AO222" s="70">
        <v>57070</v>
      </c>
      <c r="AP222" s="70">
        <v>59020</v>
      </c>
      <c r="AQ222" s="70">
        <v>56180</v>
      </c>
      <c r="AR222" s="70">
        <v>55560</v>
      </c>
      <c r="AS222" s="70">
        <v>53100</v>
      </c>
      <c r="AT222" s="70">
        <v>53800</v>
      </c>
      <c r="AU222" s="70">
        <v>52140</v>
      </c>
      <c r="AV222" s="70">
        <v>52900</v>
      </c>
      <c r="AW222" s="70">
        <v>47750</v>
      </c>
      <c r="AX222" s="70">
        <v>47670</v>
      </c>
      <c r="AY222" s="70">
        <v>47100</v>
      </c>
      <c r="AZ222" s="70">
        <v>46000</v>
      </c>
      <c r="BA222" s="70">
        <v>48330</v>
      </c>
      <c r="BB222" s="70">
        <v>43890</v>
      </c>
      <c r="BC222" s="70">
        <v>45000</v>
      </c>
      <c r="BD222" s="70">
        <v>47200</v>
      </c>
      <c r="BE222" s="70">
        <v>47400</v>
      </c>
      <c r="BF222" s="70">
        <v>47830</v>
      </c>
      <c r="BG222" s="70">
        <v>45270</v>
      </c>
      <c r="BH222" s="70">
        <v>43980</v>
      </c>
      <c r="BI222" s="70">
        <v>47260</v>
      </c>
      <c r="BJ222" s="70">
        <v>50850</v>
      </c>
      <c r="BK222" s="70">
        <v>48030</v>
      </c>
      <c r="BL222" s="70">
        <v>48040</v>
      </c>
    </row>
    <row r="223" spans="1:64">
      <c r="A223" s="65" t="s">
        <v>489</v>
      </c>
      <c r="B223" s="4" t="str">
        <f>銘柄管理!C223</f>
        <v>牧野フライス</v>
      </c>
      <c r="C223" s="58">
        <f>_xll.RssMarket("6135","現在値")</f>
        <v>14250</v>
      </c>
      <c r="D223" s="59"/>
      <c r="E223" s="70">
        <v>14250</v>
      </c>
      <c r="F223" s="4">
        <v>14390</v>
      </c>
      <c r="G223" s="4">
        <v>13980</v>
      </c>
      <c r="H223" s="4">
        <v>14150</v>
      </c>
      <c r="I223" s="4">
        <v>14490</v>
      </c>
      <c r="J223" s="4">
        <v>14190</v>
      </c>
      <c r="K223" s="4">
        <v>14510</v>
      </c>
      <c r="L223" s="4">
        <v>14050</v>
      </c>
      <c r="M223" s="4">
        <v>13990</v>
      </c>
      <c r="N223" s="4">
        <v>13750</v>
      </c>
      <c r="O223" s="4">
        <v>14110</v>
      </c>
      <c r="P223" s="4">
        <v>13240</v>
      </c>
      <c r="Q223" s="4">
        <v>13210</v>
      </c>
      <c r="R223" s="4">
        <v>13220</v>
      </c>
      <c r="S223" s="4">
        <v>13400</v>
      </c>
      <c r="T223" s="4">
        <v>13110</v>
      </c>
      <c r="U223" s="4">
        <v>13290</v>
      </c>
      <c r="V223" s="4">
        <v>13190</v>
      </c>
      <c r="W223" s="4">
        <v>13810</v>
      </c>
      <c r="X223" s="4">
        <v>13680</v>
      </c>
      <c r="Y223" s="4">
        <v>13620</v>
      </c>
      <c r="Z223" s="4">
        <v>13960</v>
      </c>
      <c r="AA223" s="4">
        <v>13610</v>
      </c>
      <c r="AB223" s="4">
        <v>13750</v>
      </c>
      <c r="AC223" s="4">
        <v>13680</v>
      </c>
      <c r="AD223" s="4">
        <v>13200</v>
      </c>
      <c r="AE223" s="4">
        <v>13650</v>
      </c>
      <c r="AF223" s="4">
        <v>12660</v>
      </c>
      <c r="AG223" s="4">
        <v>11900</v>
      </c>
      <c r="AH223" s="4">
        <v>11800</v>
      </c>
      <c r="AI223" s="4">
        <v>11800</v>
      </c>
      <c r="AJ223" s="4">
        <v>11790</v>
      </c>
      <c r="AK223" s="4">
        <v>10570</v>
      </c>
      <c r="AL223" s="4">
        <v>11590</v>
      </c>
      <c r="AM223" s="4">
        <v>11620</v>
      </c>
      <c r="AN223" s="4">
        <v>11630</v>
      </c>
      <c r="AO223" s="4">
        <v>11630</v>
      </c>
      <c r="AP223" s="4">
        <v>11600</v>
      </c>
      <c r="AQ223" s="4">
        <v>11610</v>
      </c>
      <c r="AR223" s="4">
        <v>11610</v>
      </c>
      <c r="AS223" s="4">
        <v>11590</v>
      </c>
      <c r="AT223" s="4">
        <v>11600</v>
      </c>
      <c r="AU223" s="4">
        <v>11610</v>
      </c>
      <c r="AV223" s="4">
        <v>11540</v>
      </c>
      <c r="AW223" s="4">
        <v>11540</v>
      </c>
      <c r="AX223" s="4">
        <v>11530</v>
      </c>
      <c r="AY223" s="4">
        <v>11540</v>
      </c>
      <c r="AZ223" s="4">
        <v>11500</v>
      </c>
      <c r="BA223" s="4">
        <v>11560</v>
      </c>
      <c r="BB223" s="4">
        <v>11460</v>
      </c>
      <c r="BC223" s="4">
        <v>11500</v>
      </c>
      <c r="BD223" s="4">
        <v>11550</v>
      </c>
      <c r="BE223" s="4">
        <v>11570</v>
      </c>
      <c r="BF223" s="4">
        <v>11480</v>
      </c>
      <c r="BG223" s="4">
        <v>11500</v>
      </c>
      <c r="BH223" s="4">
        <v>11450</v>
      </c>
      <c r="BI223" s="4">
        <v>11600</v>
      </c>
      <c r="BJ223" s="4">
        <v>11600</v>
      </c>
      <c r="BK223" s="4">
        <v>11550</v>
      </c>
      <c r="BL223" s="4">
        <v>11520</v>
      </c>
    </row>
    <row r="224" spans="1:64">
      <c r="A224" s="65" t="s">
        <v>546</v>
      </c>
      <c r="B224" s="4" t="str">
        <f>銘柄管理!C224</f>
        <v>ジャパンマテリアル</v>
      </c>
      <c r="C224" s="58">
        <f>_xll.RssMarket("6055","現在値")</f>
        <v>2361</v>
      </c>
      <c r="D224" s="59"/>
      <c r="E224" s="70">
        <v>2361</v>
      </c>
      <c r="F224" s="4">
        <v>2396</v>
      </c>
      <c r="G224" s="4">
        <v>2267</v>
      </c>
      <c r="H224" s="4">
        <v>2167</v>
      </c>
      <c r="I224" s="4">
        <v>2118</v>
      </c>
      <c r="J224" s="4">
        <v>2084</v>
      </c>
      <c r="K224" s="4">
        <v>2266</v>
      </c>
      <c r="L224" s="4">
        <v>2422</v>
      </c>
      <c r="M224" s="4">
        <v>2117</v>
      </c>
      <c r="N224" s="4">
        <v>2007</v>
      </c>
      <c r="O224" s="4">
        <v>2107</v>
      </c>
      <c r="P224" s="4">
        <v>2053</v>
      </c>
      <c r="Q224" s="4">
        <v>2051</v>
      </c>
      <c r="R224" s="4">
        <v>2124</v>
      </c>
      <c r="S224" s="4">
        <v>1993</v>
      </c>
      <c r="T224" s="4">
        <v>2011</v>
      </c>
      <c r="U224" s="4">
        <v>1933</v>
      </c>
      <c r="V224" s="4">
        <v>1972</v>
      </c>
      <c r="W224" s="4">
        <v>2078</v>
      </c>
      <c r="X224" s="4">
        <v>1992</v>
      </c>
      <c r="Y224" s="4">
        <v>2012</v>
      </c>
      <c r="Z224" s="4">
        <v>2146</v>
      </c>
      <c r="AA224" s="4">
        <v>2173</v>
      </c>
      <c r="AB224" s="4">
        <v>2077</v>
      </c>
      <c r="AC224" s="4">
        <v>1953</v>
      </c>
      <c r="AD224" s="4">
        <v>1933</v>
      </c>
      <c r="AE224" s="4">
        <v>1800</v>
      </c>
      <c r="AF224" s="4">
        <v>1778</v>
      </c>
      <c r="AG224" s="4">
        <v>1802</v>
      </c>
      <c r="AH224" s="4">
        <v>1872</v>
      </c>
      <c r="AI224" s="4">
        <v>1814</v>
      </c>
      <c r="AJ224" s="4">
        <v>1786</v>
      </c>
      <c r="AK224" s="4">
        <v>1824</v>
      </c>
      <c r="AL224" s="4">
        <v>1844</v>
      </c>
      <c r="AM224" s="4">
        <v>1847</v>
      </c>
      <c r="AN224" s="4">
        <v>1862</v>
      </c>
      <c r="AO224" s="4">
        <v>1900</v>
      </c>
      <c r="AP224" s="4">
        <v>1900</v>
      </c>
      <c r="AQ224" s="4">
        <v>1905</v>
      </c>
      <c r="AR224" s="4">
        <v>1793</v>
      </c>
      <c r="AS224" s="4">
        <v>1801</v>
      </c>
      <c r="AT224" s="4">
        <v>1774</v>
      </c>
      <c r="AU224" s="4">
        <v>1811</v>
      </c>
      <c r="AV224" s="4">
        <v>1665</v>
      </c>
      <c r="AW224" s="4">
        <v>1642</v>
      </c>
      <c r="AX224" s="4">
        <v>1626</v>
      </c>
      <c r="AY224" s="4">
        <v>1604</v>
      </c>
      <c r="AZ224" s="4">
        <v>1659</v>
      </c>
      <c r="BA224" s="4">
        <v>1573</v>
      </c>
      <c r="BB224" s="4">
        <v>1599</v>
      </c>
      <c r="BC224" s="4">
        <v>1739</v>
      </c>
      <c r="BD224" s="4">
        <v>1708</v>
      </c>
      <c r="BE224" s="4">
        <v>1769</v>
      </c>
      <c r="BF224" s="4">
        <v>1671</v>
      </c>
      <c r="BG224" s="4">
        <v>1617</v>
      </c>
      <c r="BH224" s="4">
        <v>1723</v>
      </c>
      <c r="BI224" s="4">
        <v>1830</v>
      </c>
      <c r="BJ224" s="4">
        <v>1795</v>
      </c>
      <c r="BK224" s="4">
        <v>1844</v>
      </c>
      <c r="BL224" s="4">
        <v>1802</v>
      </c>
    </row>
    <row r="225" spans="1:64">
      <c r="A225" s="65" t="s">
        <v>476</v>
      </c>
      <c r="B225" s="4" t="str">
        <f>銘柄管理!C225</f>
        <v>ミナトホールディングス</v>
      </c>
      <c r="C225" s="4">
        <f>_xll.RssMarket("6862","現在値")</f>
        <v>2191</v>
      </c>
      <c r="E225" s="70">
        <v>2191</v>
      </c>
      <c r="F225" s="4">
        <v>2138</v>
      </c>
      <c r="G225" s="4">
        <v>1920</v>
      </c>
      <c r="H225" s="4">
        <v>1907</v>
      </c>
      <c r="I225" s="4">
        <v>1962</v>
      </c>
      <c r="J225" s="4">
        <v>2099</v>
      </c>
      <c r="K225" s="4">
        <v>2269</v>
      </c>
      <c r="L225" s="4">
        <v>2135</v>
      </c>
      <c r="M225" s="4">
        <v>2260</v>
      </c>
      <c r="N225" s="4">
        <v>2196</v>
      </c>
      <c r="O225" s="4">
        <v>2175</v>
      </c>
      <c r="P225" s="4">
        <v>2204</v>
      </c>
      <c r="Q225" s="4">
        <v>2192</v>
      </c>
      <c r="R225" s="4">
        <v>2260</v>
      </c>
      <c r="S225" s="4">
        <v>2541</v>
      </c>
      <c r="T225" s="4">
        <v>2548</v>
      </c>
      <c r="U225" s="4">
        <v>2417</v>
      </c>
      <c r="V225" s="4">
        <v>2355</v>
      </c>
      <c r="W225" s="4">
        <v>2533</v>
      </c>
      <c r="X225" s="4">
        <v>2743</v>
      </c>
      <c r="Y225" s="4">
        <v>2729</v>
      </c>
      <c r="Z225" s="4">
        <v>2975</v>
      </c>
      <c r="AA225" s="4">
        <v>2930</v>
      </c>
      <c r="AB225" s="4">
        <v>3630</v>
      </c>
      <c r="AC225" s="4">
        <v>3485</v>
      </c>
      <c r="AD225" s="4">
        <v>3885</v>
      </c>
      <c r="AE225" s="4">
        <v>3760</v>
      </c>
      <c r="AF225" s="4">
        <v>3060</v>
      </c>
      <c r="AG225" s="4">
        <v>2841</v>
      </c>
      <c r="AH225" s="4">
        <v>2622</v>
      </c>
      <c r="AI225" s="4">
        <v>2696</v>
      </c>
      <c r="AJ225" s="4">
        <v>2482</v>
      </c>
      <c r="AK225" s="4">
        <v>2453</v>
      </c>
      <c r="AL225" s="4">
        <v>2480</v>
      </c>
      <c r="AM225" s="4">
        <v>2518</v>
      </c>
      <c r="AN225" s="4">
        <v>2509</v>
      </c>
      <c r="AO225" s="4">
        <v>2372</v>
      </c>
      <c r="AP225" s="4">
        <v>2467</v>
      </c>
      <c r="AQ225" s="4">
        <v>2388</v>
      </c>
      <c r="AR225" s="4">
        <v>2591</v>
      </c>
      <c r="AS225" s="4">
        <v>2312</v>
      </c>
      <c r="AT225" s="4">
        <v>2198</v>
      </c>
      <c r="AU225" s="4">
        <v>2195</v>
      </c>
      <c r="AV225" s="4">
        <v>2359</v>
      </c>
      <c r="AW225" s="4">
        <v>2048</v>
      </c>
      <c r="AX225" s="4">
        <v>2088</v>
      </c>
      <c r="AY225" s="4">
        <v>2039</v>
      </c>
      <c r="AZ225" s="4">
        <v>2017</v>
      </c>
      <c r="BA225" s="4">
        <v>2129</v>
      </c>
      <c r="BB225" s="4">
        <v>1992</v>
      </c>
      <c r="BC225" s="4">
        <v>2189</v>
      </c>
      <c r="BD225" s="4">
        <v>2348</v>
      </c>
      <c r="BE225" s="4">
        <v>2488</v>
      </c>
      <c r="BF225" s="4">
        <v>2197</v>
      </c>
      <c r="BG225" s="4">
        <v>2103</v>
      </c>
      <c r="BH225" s="4">
        <v>2067</v>
      </c>
      <c r="BI225" s="4">
        <v>2256</v>
      </c>
      <c r="BJ225" s="4">
        <v>2411</v>
      </c>
      <c r="BK225" s="4">
        <v>2287</v>
      </c>
      <c r="BL225" s="4">
        <v>2428</v>
      </c>
    </row>
    <row r="226" spans="1:64">
      <c r="A226" s="65" t="s">
        <v>491</v>
      </c>
      <c r="B226" s="4" t="str">
        <f>銘柄管理!C226</f>
        <v>ヤクルト</v>
      </c>
      <c r="C226" s="4">
        <f>_xll.RssMarket("2267","現在値")</f>
        <v>2619.5</v>
      </c>
      <c r="E226" s="70">
        <v>2619.5</v>
      </c>
      <c r="F226" s="4">
        <v>2634.5</v>
      </c>
      <c r="G226" s="4">
        <v>2667</v>
      </c>
      <c r="H226" s="4">
        <v>2658</v>
      </c>
      <c r="I226" s="4">
        <v>2682</v>
      </c>
      <c r="J226" s="4">
        <v>2675</v>
      </c>
      <c r="K226" s="4">
        <v>2630</v>
      </c>
      <c r="L226" s="4">
        <v>2684.5</v>
      </c>
      <c r="M226" s="4">
        <v>2714</v>
      </c>
      <c r="N226" s="4">
        <v>2683.5</v>
      </c>
      <c r="O226" s="4">
        <v>2757.5</v>
      </c>
      <c r="P226" s="4">
        <v>2681.5</v>
      </c>
      <c r="Q226" s="4">
        <v>2720.5</v>
      </c>
      <c r="R226" s="4">
        <v>2733.5</v>
      </c>
      <c r="S226" s="4">
        <v>2773.5</v>
      </c>
      <c r="T226" s="4">
        <v>2806.5</v>
      </c>
      <c r="U226" s="4">
        <v>2765</v>
      </c>
      <c r="V226" s="4">
        <v>2772.5</v>
      </c>
      <c r="W226" s="4">
        <v>2811</v>
      </c>
      <c r="X226" s="4">
        <v>2713</v>
      </c>
      <c r="Y226" s="4">
        <v>2761.5</v>
      </c>
      <c r="Z226" s="4">
        <v>2784.5</v>
      </c>
      <c r="AA226" s="4">
        <v>2800.5</v>
      </c>
      <c r="AB226" s="4">
        <v>2620</v>
      </c>
      <c r="AC226" s="4">
        <v>2906</v>
      </c>
      <c r="AD226" s="4">
        <v>2924.5</v>
      </c>
      <c r="AE226" s="4">
        <v>2961.5</v>
      </c>
      <c r="AF226" s="4">
        <v>3087</v>
      </c>
      <c r="AG226" s="4">
        <v>2732.5</v>
      </c>
      <c r="AH226" s="4">
        <v>2722.5</v>
      </c>
      <c r="AI226" s="4">
        <v>2732.5</v>
      </c>
      <c r="AJ226" s="4">
        <v>2768.5</v>
      </c>
      <c r="AK226" s="4">
        <v>2622.5</v>
      </c>
      <c r="AL226" s="4">
        <v>2600</v>
      </c>
      <c r="AM226" s="4">
        <v>2608.5</v>
      </c>
      <c r="AN226" s="4">
        <v>2620.5</v>
      </c>
      <c r="AO226" s="4">
        <v>2644.5</v>
      </c>
      <c r="AP226" s="4">
        <v>2654</v>
      </c>
      <c r="AQ226" s="4">
        <v>2720</v>
      </c>
      <c r="AR226" s="4">
        <v>2628.5</v>
      </c>
      <c r="AS226" s="4">
        <v>2638</v>
      </c>
      <c r="AT226" s="4">
        <v>2647</v>
      </c>
      <c r="AU226" s="4">
        <v>2701</v>
      </c>
      <c r="AV226" s="4">
        <v>2775</v>
      </c>
      <c r="AW226" s="4">
        <v>2755.5</v>
      </c>
      <c r="AX226" s="4">
        <v>2726</v>
      </c>
      <c r="AY226" s="4">
        <v>2701</v>
      </c>
      <c r="AZ226" s="4">
        <v>2680</v>
      </c>
      <c r="BA226" s="4">
        <v>2671.5</v>
      </c>
      <c r="BB226" s="4">
        <v>2660</v>
      </c>
      <c r="BC226" s="4">
        <v>2659</v>
      </c>
      <c r="BD226" s="4">
        <v>2670.5</v>
      </c>
      <c r="BE226" s="4">
        <v>2641</v>
      </c>
      <c r="BF226" s="4">
        <v>2600</v>
      </c>
      <c r="BG226" s="4">
        <v>2595.5</v>
      </c>
      <c r="BH226" s="4">
        <v>2585</v>
      </c>
      <c r="BI226" s="4">
        <v>2581.5</v>
      </c>
      <c r="BJ226" s="4">
        <v>2628.5</v>
      </c>
      <c r="BK226" s="4">
        <v>2600</v>
      </c>
      <c r="BL226" s="4">
        <v>2576.5</v>
      </c>
    </row>
    <row r="227" spans="1:64">
      <c r="A227" s="65" t="s">
        <v>492</v>
      </c>
      <c r="B227" s="4" t="str">
        <f>銘柄管理!C227</f>
        <v>ＮＦエネ資源Ｔ１７</v>
      </c>
      <c r="C227" s="4">
        <f>_xll.RssMarket("1618","現在値")</f>
        <v>32410</v>
      </c>
      <c r="E227" s="70">
        <v>32410</v>
      </c>
      <c r="F227" s="4">
        <v>32260</v>
      </c>
      <c r="G227" s="4">
        <v>32420</v>
      </c>
      <c r="H227" s="4">
        <v>32910</v>
      </c>
      <c r="I227" s="4">
        <v>32130</v>
      </c>
      <c r="J227" s="4">
        <v>33540</v>
      </c>
      <c r="K227" s="4">
        <v>34010</v>
      </c>
      <c r="L227" s="4">
        <v>33900</v>
      </c>
      <c r="M227" s="4">
        <v>34900</v>
      </c>
      <c r="N227" s="4">
        <v>33640</v>
      </c>
      <c r="O227" s="4">
        <v>32850</v>
      </c>
      <c r="P227" s="4">
        <v>34020</v>
      </c>
      <c r="Q227" s="4">
        <v>34140</v>
      </c>
      <c r="R227" s="4">
        <v>34190</v>
      </c>
      <c r="S227" s="4">
        <v>34050</v>
      </c>
      <c r="T227" s="4">
        <v>34840</v>
      </c>
      <c r="U227" s="4">
        <v>35000</v>
      </c>
      <c r="V227" s="4">
        <v>35570</v>
      </c>
      <c r="W227" s="4">
        <v>36050</v>
      </c>
      <c r="X227" s="4">
        <v>35830</v>
      </c>
      <c r="Y227" s="4">
        <v>36390</v>
      </c>
      <c r="Z227" s="4">
        <v>35670</v>
      </c>
      <c r="AA227" s="4">
        <v>36000</v>
      </c>
      <c r="AB227" s="4">
        <v>36560</v>
      </c>
      <c r="AC227" s="4">
        <v>35330</v>
      </c>
      <c r="AD227" s="4">
        <v>34850</v>
      </c>
      <c r="AE227" s="4">
        <v>35260</v>
      </c>
      <c r="AF227" s="4">
        <v>36430</v>
      </c>
      <c r="AG227" s="4">
        <v>36110</v>
      </c>
      <c r="AH227" s="4">
        <v>36200</v>
      </c>
      <c r="AI227" s="4">
        <v>35000</v>
      </c>
      <c r="AJ227" s="4">
        <v>36020</v>
      </c>
      <c r="AK227" s="4">
        <v>35630</v>
      </c>
      <c r="AL227" s="4">
        <v>35340</v>
      </c>
      <c r="AM227" s="4">
        <v>35700</v>
      </c>
      <c r="AN227" s="4">
        <v>36070</v>
      </c>
      <c r="AO227" s="4">
        <v>37180</v>
      </c>
      <c r="AP227" s="4">
        <v>37580</v>
      </c>
      <c r="AQ227" s="4">
        <v>38060</v>
      </c>
      <c r="AR227" s="4">
        <v>38660</v>
      </c>
      <c r="AS227" s="4">
        <v>39070</v>
      </c>
      <c r="AT227" s="4">
        <v>38600</v>
      </c>
      <c r="AU227" s="4">
        <v>39100</v>
      </c>
      <c r="AV227" s="4">
        <v>39320</v>
      </c>
      <c r="AW227" s="4">
        <v>40620</v>
      </c>
      <c r="AX227" s="4">
        <v>40740</v>
      </c>
      <c r="AY227" s="4">
        <v>41000</v>
      </c>
      <c r="AZ227" s="4">
        <v>40380</v>
      </c>
      <c r="BA227" s="4">
        <v>41460</v>
      </c>
      <c r="BB227" s="4">
        <v>40440</v>
      </c>
      <c r="BC227" s="4">
        <v>41540</v>
      </c>
      <c r="BD227" s="4">
        <v>41240</v>
      </c>
      <c r="BE227" s="4">
        <v>40000</v>
      </c>
      <c r="BF227" s="4">
        <v>38510</v>
      </c>
      <c r="BG227" s="4">
        <v>38700</v>
      </c>
      <c r="BH227" s="4">
        <v>37440</v>
      </c>
      <c r="BI227" s="4">
        <v>39830</v>
      </c>
      <c r="BJ227" s="4">
        <v>40650</v>
      </c>
      <c r="BK227" s="4">
        <v>38700</v>
      </c>
      <c r="BL227" s="4">
        <v>38300</v>
      </c>
    </row>
    <row r="228" spans="1:64">
      <c r="A228" s="65" t="s">
        <v>493</v>
      </c>
      <c r="C228" s="4">
        <f>_xll.RssMarket("3696","現在値")</f>
        <v>1806</v>
      </c>
      <c r="E228" s="70">
        <v>1806</v>
      </c>
      <c r="F228" s="4">
        <v>1782</v>
      </c>
      <c r="G228" s="4">
        <v>1781</v>
      </c>
      <c r="H228" s="4">
        <v>1775</v>
      </c>
      <c r="I228" s="4">
        <v>1769</v>
      </c>
      <c r="J228" s="4">
        <v>1726</v>
      </c>
      <c r="K228" s="4">
        <v>1789</v>
      </c>
      <c r="L228" s="4">
        <v>1731</v>
      </c>
      <c r="M228" s="4">
        <v>1783</v>
      </c>
      <c r="N228" s="4">
        <v>1885</v>
      </c>
      <c r="O228" s="4">
        <v>1832</v>
      </c>
      <c r="P228" s="4">
        <v>1798</v>
      </c>
      <c r="Q228" s="4">
        <v>1736</v>
      </c>
      <c r="R228" s="4">
        <v>1709</v>
      </c>
      <c r="S228" s="4">
        <v>1775</v>
      </c>
      <c r="T228" s="4">
        <v>1801</v>
      </c>
      <c r="U228" s="4">
        <v>1838</v>
      </c>
      <c r="V228" s="4">
        <v>1790</v>
      </c>
      <c r="W228" s="4">
        <v>1889</v>
      </c>
      <c r="X228" s="4">
        <v>1888</v>
      </c>
      <c r="Y228" s="4">
        <v>1914</v>
      </c>
      <c r="Z228" s="4">
        <v>1847</v>
      </c>
      <c r="AA228" s="4">
        <v>1907</v>
      </c>
      <c r="AB228" s="4">
        <v>4330</v>
      </c>
      <c r="AC228" s="4">
        <v>4225</v>
      </c>
      <c r="AD228" s="4">
        <v>4140</v>
      </c>
      <c r="AE228" s="4">
        <v>4155</v>
      </c>
      <c r="AF228" s="4">
        <v>3885</v>
      </c>
      <c r="AG228" s="4">
        <v>3920</v>
      </c>
      <c r="AH228" s="4">
        <v>4045</v>
      </c>
      <c r="AI228" s="4">
        <v>3905</v>
      </c>
      <c r="AJ228" s="4">
        <v>3985</v>
      </c>
      <c r="AK228" s="4">
        <v>4255</v>
      </c>
      <c r="AL228" s="4">
        <v>4525</v>
      </c>
      <c r="AM228" s="4">
        <v>4745</v>
      </c>
      <c r="AN228" s="4">
        <v>4585</v>
      </c>
      <c r="AO228" s="4">
        <v>4445</v>
      </c>
      <c r="AP228" s="4">
        <v>4495</v>
      </c>
      <c r="AQ228" s="4">
        <v>4380</v>
      </c>
      <c r="AR228" s="4">
        <v>4255</v>
      </c>
      <c r="AS228" s="4">
        <v>4170</v>
      </c>
      <c r="AT228" s="4">
        <v>4445</v>
      </c>
      <c r="AU228" s="4">
        <v>4425</v>
      </c>
      <c r="AV228" s="4">
        <v>4655</v>
      </c>
      <c r="AW228" s="4">
        <v>4780</v>
      </c>
      <c r="AX228" s="4">
        <v>4655</v>
      </c>
      <c r="AY228" s="4">
        <v>4625</v>
      </c>
      <c r="AZ228" s="4">
        <v>4530</v>
      </c>
      <c r="BA228" s="4">
        <v>4445</v>
      </c>
      <c r="BB228" s="4">
        <v>4200</v>
      </c>
      <c r="BC228" s="4">
        <v>4205</v>
      </c>
      <c r="BD228" s="4">
        <v>4280</v>
      </c>
      <c r="BE228" s="4">
        <v>4110</v>
      </c>
      <c r="BF228" s="4">
        <v>4250</v>
      </c>
      <c r="BG228" s="4">
        <v>4145</v>
      </c>
      <c r="BH228" s="4">
        <v>4005</v>
      </c>
      <c r="BI228" s="4">
        <v>4240</v>
      </c>
      <c r="BJ228" s="4">
        <v>4510</v>
      </c>
      <c r="BK228" s="4">
        <v>4225</v>
      </c>
      <c r="BL228" s="4">
        <v>4070</v>
      </c>
    </row>
    <row r="229" spans="1:64">
      <c r="A229" s="65" t="s">
        <v>494</v>
      </c>
      <c r="B229" s="4" t="str">
        <f>銘柄管理!C229</f>
        <v>児玉化学</v>
      </c>
      <c r="C229" s="4">
        <f>_xll.RssMarket("4222","現在値")</f>
        <v>723</v>
      </c>
      <c r="E229" s="70">
        <v>723</v>
      </c>
      <c r="F229" s="4">
        <v>691</v>
      </c>
      <c r="G229" s="4">
        <v>654</v>
      </c>
      <c r="H229" s="4">
        <v>660</v>
      </c>
      <c r="I229" s="4">
        <v>665</v>
      </c>
      <c r="J229" s="4">
        <v>693</v>
      </c>
      <c r="K229" s="4">
        <v>714</v>
      </c>
      <c r="L229" s="4">
        <v>697</v>
      </c>
      <c r="M229" s="4">
        <v>715</v>
      </c>
      <c r="N229" s="4">
        <v>688</v>
      </c>
      <c r="O229" s="4">
        <v>713</v>
      </c>
      <c r="P229" s="4">
        <v>731</v>
      </c>
      <c r="Q229" s="4">
        <v>744</v>
      </c>
      <c r="R229" s="4">
        <v>755</v>
      </c>
      <c r="S229" s="4">
        <v>791</v>
      </c>
      <c r="T229" s="4">
        <v>788</v>
      </c>
      <c r="U229" s="4">
        <v>800</v>
      </c>
      <c r="V229" s="4">
        <v>809</v>
      </c>
      <c r="W229" s="4">
        <v>855</v>
      </c>
      <c r="X229" s="4">
        <v>859</v>
      </c>
      <c r="Y229" s="4">
        <v>894</v>
      </c>
      <c r="Z229" s="4">
        <v>1194</v>
      </c>
      <c r="AA229" s="4">
        <v>1235</v>
      </c>
      <c r="AB229" s="4">
        <v>1266</v>
      </c>
      <c r="AC229" s="4">
        <v>1262</v>
      </c>
      <c r="AD229" s="4">
        <v>1165</v>
      </c>
      <c r="AE229" s="4">
        <v>1146</v>
      </c>
      <c r="AF229" s="4">
        <v>1109</v>
      </c>
      <c r="AG229" s="4">
        <v>1118</v>
      </c>
      <c r="AH229" s="4">
        <v>1124</v>
      </c>
      <c r="AI229" s="4">
        <v>1140</v>
      </c>
      <c r="AJ229" s="4">
        <v>1149</v>
      </c>
      <c r="AK229" s="4">
        <v>1134</v>
      </c>
      <c r="AL229" s="4">
        <v>1159</v>
      </c>
      <c r="AM229" s="4">
        <v>1186</v>
      </c>
      <c r="AN229" s="4">
        <v>1199</v>
      </c>
      <c r="AO229" s="4">
        <v>1151</v>
      </c>
      <c r="AP229" s="4">
        <v>1160</v>
      </c>
      <c r="AQ229" s="4">
        <v>1140</v>
      </c>
      <c r="AR229" s="4">
        <v>1138</v>
      </c>
      <c r="AS229" s="4">
        <v>1121</v>
      </c>
      <c r="AT229" s="4">
        <v>1108</v>
      </c>
      <c r="AU229" s="4">
        <v>1119</v>
      </c>
      <c r="AV229" s="4">
        <v>1140</v>
      </c>
      <c r="AW229" s="4">
        <v>1017</v>
      </c>
      <c r="AX229" s="4">
        <v>1045</v>
      </c>
      <c r="AY229" s="4">
        <v>1015</v>
      </c>
      <c r="AZ229" s="4">
        <v>988</v>
      </c>
      <c r="BA229" s="4">
        <v>1020</v>
      </c>
      <c r="BB229" s="4">
        <v>991</v>
      </c>
      <c r="BC229" s="4">
        <v>1020</v>
      </c>
      <c r="BD229" s="4">
        <v>1091</v>
      </c>
      <c r="BE229" s="4">
        <v>1062</v>
      </c>
      <c r="BF229" s="4">
        <v>1069</v>
      </c>
      <c r="BG229" s="4">
        <v>1017</v>
      </c>
      <c r="BH229" s="4">
        <v>955</v>
      </c>
      <c r="BI229" s="4">
        <v>1036</v>
      </c>
      <c r="BJ229" s="4">
        <v>1096</v>
      </c>
      <c r="BK229" s="4">
        <v>1052</v>
      </c>
      <c r="BL229" s="4">
        <v>1060</v>
      </c>
    </row>
    <row r="230" spans="1:64">
      <c r="A230" s="65" t="s">
        <v>514</v>
      </c>
      <c r="B230" s="4" t="str">
        <f>銘柄管理!C230</f>
        <v>ＦＯＯＤ＆ＬＩＦＥＣＯＭＰＡＮ</v>
      </c>
      <c r="C230" s="4">
        <f>_xll.RssMarket("3563","現在値")</f>
        <v>9696</v>
      </c>
      <c r="E230" s="4">
        <v>9696</v>
      </c>
      <c r="F230" s="4">
        <v>10150</v>
      </c>
      <c r="G230" s="4">
        <v>9987</v>
      </c>
      <c r="H230" s="4">
        <v>9781</v>
      </c>
      <c r="I230" s="4">
        <v>9863</v>
      </c>
      <c r="J230" s="4">
        <v>9735</v>
      </c>
      <c r="K230" s="4">
        <v>9887</v>
      </c>
      <c r="L230" s="4">
        <v>9841</v>
      </c>
      <c r="M230" s="4">
        <v>10445</v>
      </c>
      <c r="N230" s="4">
        <v>10475</v>
      </c>
      <c r="O230" s="4">
        <v>10595</v>
      </c>
      <c r="P230" s="4">
        <v>10875</v>
      </c>
      <c r="Q230" s="4">
        <v>10390</v>
      </c>
      <c r="R230" s="4">
        <v>10085</v>
      </c>
      <c r="S230" s="4">
        <v>10195</v>
      </c>
      <c r="T230" s="4">
        <v>10825</v>
      </c>
      <c r="U230" s="4">
        <v>10600</v>
      </c>
      <c r="V230" s="4">
        <v>10765</v>
      </c>
      <c r="W230" s="4">
        <v>10725</v>
      </c>
      <c r="X230" s="4">
        <v>10465</v>
      </c>
      <c r="Y230" s="4">
        <v>10340</v>
      </c>
      <c r="Z230" s="4">
        <v>10695</v>
      </c>
      <c r="AA230" s="4">
        <v>10800</v>
      </c>
      <c r="AB230" s="4">
        <v>10375</v>
      </c>
      <c r="AC230" s="4">
        <v>10310</v>
      </c>
      <c r="AD230" s="4">
        <v>10300</v>
      </c>
      <c r="AE230" s="4">
        <v>9582</v>
      </c>
      <c r="AF230" s="4">
        <v>9162</v>
      </c>
      <c r="AG230" s="4">
        <v>9074</v>
      </c>
      <c r="AH230" s="4">
        <v>9014</v>
      </c>
      <c r="AI230" s="4">
        <v>9138</v>
      </c>
      <c r="AJ230" s="4">
        <v>9119</v>
      </c>
      <c r="AK230" s="4">
        <v>9148</v>
      </c>
      <c r="AL230" s="4">
        <v>9139</v>
      </c>
      <c r="AM230" s="4">
        <v>9397</v>
      </c>
      <c r="AN230" s="4">
        <v>9497</v>
      </c>
      <c r="AO230" s="4">
        <v>9256</v>
      </c>
      <c r="AP230" s="4">
        <v>9493</v>
      </c>
      <c r="AQ230" s="4">
        <v>9518</v>
      </c>
      <c r="AR230" s="4">
        <v>9598</v>
      </c>
      <c r="AS230" s="4">
        <v>9582</v>
      </c>
      <c r="AT230" s="4">
        <v>9588</v>
      </c>
      <c r="AU230" s="4">
        <v>9394</v>
      </c>
      <c r="AV230" s="4">
        <v>9634</v>
      </c>
      <c r="AW230" s="4">
        <v>9537</v>
      </c>
      <c r="AX230" s="4">
        <v>9611</v>
      </c>
      <c r="AY230" s="4">
        <v>9751</v>
      </c>
      <c r="AZ230" s="4">
        <v>9611</v>
      </c>
      <c r="BA230" s="4">
        <v>9725</v>
      </c>
      <c r="BB230" s="4">
        <v>9270</v>
      </c>
      <c r="BC230" s="4">
        <v>9463</v>
      </c>
      <c r="BD230" s="4">
        <v>9753</v>
      </c>
      <c r="BE230" s="4">
        <v>9899</v>
      </c>
      <c r="BF230" s="4">
        <v>10050</v>
      </c>
      <c r="BG230" s="4">
        <v>9851</v>
      </c>
      <c r="BH230" s="4">
        <v>9429</v>
      </c>
      <c r="BI230" s="4">
        <v>9510</v>
      </c>
      <c r="BJ230" s="4">
        <v>9717</v>
      </c>
      <c r="BK230" s="4">
        <v>9471</v>
      </c>
      <c r="BL230" s="4">
        <v>9525</v>
      </c>
    </row>
    <row r="231" spans="1:64">
      <c r="A231" s="65" t="s">
        <v>515</v>
      </c>
      <c r="B231" s="4" t="str">
        <f>銘柄管理!C231</f>
        <v>ＩＨＩ</v>
      </c>
      <c r="C231" s="4">
        <f>_xll.RssMarket("7013","現在値")</f>
        <v>2916.5</v>
      </c>
      <c r="E231" s="4">
        <v>2916.5</v>
      </c>
      <c r="F231" s="4">
        <v>2774.5</v>
      </c>
      <c r="G231" s="4">
        <v>2430</v>
      </c>
      <c r="H231" s="4">
        <v>2358</v>
      </c>
      <c r="I231" s="4">
        <v>2439.5</v>
      </c>
      <c r="J231" s="4">
        <v>2505</v>
      </c>
      <c r="K231" s="4">
        <v>2574</v>
      </c>
      <c r="L231" s="4">
        <v>2538.5</v>
      </c>
      <c r="M231" s="4">
        <v>2486.5</v>
      </c>
      <c r="N231" s="4">
        <v>2588.5</v>
      </c>
      <c r="O231" s="4">
        <v>2694</v>
      </c>
      <c r="P231" s="4">
        <v>2766.5</v>
      </c>
      <c r="Q231" s="4">
        <v>2730</v>
      </c>
      <c r="R231" s="4">
        <v>2818</v>
      </c>
      <c r="S231" s="4">
        <v>2839.5</v>
      </c>
      <c r="T231" s="4">
        <v>2761</v>
      </c>
      <c r="U231" s="4">
        <v>2675</v>
      </c>
      <c r="V231" s="4">
        <v>2554.5</v>
      </c>
      <c r="W231" s="4">
        <v>2561</v>
      </c>
      <c r="X231" s="4">
        <v>2670.5</v>
      </c>
      <c r="Y231" s="4">
        <v>2685</v>
      </c>
      <c r="Z231" s="4">
        <v>2679.5</v>
      </c>
      <c r="AA231" s="4">
        <v>2832.5</v>
      </c>
      <c r="AB231" s="4">
        <v>2806</v>
      </c>
      <c r="AC231" s="4">
        <v>2870</v>
      </c>
      <c r="AD231" s="4">
        <v>3059</v>
      </c>
      <c r="AE231" s="4">
        <v>3045</v>
      </c>
      <c r="AF231" s="4">
        <v>2880</v>
      </c>
      <c r="AG231" s="4">
        <v>2853</v>
      </c>
      <c r="AH231" s="4">
        <v>2959.5</v>
      </c>
      <c r="AI231" s="4">
        <v>2901</v>
      </c>
      <c r="AJ231" s="4">
        <v>2995</v>
      </c>
      <c r="AK231" s="4">
        <v>3027</v>
      </c>
      <c r="AL231" s="4">
        <v>3054</v>
      </c>
      <c r="AM231" s="4">
        <v>3087</v>
      </c>
      <c r="AN231" s="4">
        <v>3153</v>
      </c>
      <c r="AO231" s="4">
        <v>3120</v>
      </c>
      <c r="AP231" s="4">
        <v>3210</v>
      </c>
      <c r="AQ231" s="4">
        <v>3153</v>
      </c>
      <c r="AR231" s="4">
        <v>3293</v>
      </c>
      <c r="AS231" s="4">
        <v>3281</v>
      </c>
      <c r="AT231" s="4">
        <v>3303</v>
      </c>
      <c r="AU231" s="4">
        <v>3391</v>
      </c>
      <c r="AV231" s="4">
        <v>3442</v>
      </c>
      <c r="AW231" s="4">
        <v>3341</v>
      </c>
      <c r="AX231" s="4">
        <v>3301</v>
      </c>
      <c r="AY231" s="4">
        <v>3400</v>
      </c>
      <c r="AZ231" s="4">
        <v>3380</v>
      </c>
      <c r="BA231" s="4">
        <v>3330</v>
      </c>
      <c r="BB231" s="4">
        <v>3138</v>
      </c>
      <c r="BC231" s="4">
        <v>3308</v>
      </c>
      <c r="BD231" s="4">
        <v>3500</v>
      </c>
      <c r="BE231" s="4">
        <v>3487</v>
      </c>
      <c r="BF231" s="4">
        <v>3510</v>
      </c>
      <c r="BG231" s="4">
        <v>3419</v>
      </c>
      <c r="BH231" s="4">
        <v>3470</v>
      </c>
      <c r="BI231" s="4">
        <v>3769</v>
      </c>
      <c r="BJ231" s="4">
        <v>3930</v>
      </c>
      <c r="BK231" s="4">
        <v>3781</v>
      </c>
      <c r="BL231" s="4">
        <v>3731</v>
      </c>
    </row>
    <row r="232" spans="1:64">
      <c r="A232" s="65" t="s">
        <v>516</v>
      </c>
      <c r="B232" s="4" t="str">
        <f>銘柄管理!C232</f>
        <v>ＮＥＣキャピタルソリューション</v>
      </c>
      <c r="C232" s="4">
        <f>_xll.RssMarket("8793","現在値")</f>
        <v>4100</v>
      </c>
      <c r="E232" s="4">
        <v>4100</v>
      </c>
      <c r="F232" s="4">
        <v>4135</v>
      </c>
      <c r="G232" s="4">
        <v>4175</v>
      </c>
      <c r="H232" s="4">
        <v>4105</v>
      </c>
      <c r="I232" s="4">
        <v>4130</v>
      </c>
      <c r="J232" s="4">
        <v>4025</v>
      </c>
      <c r="K232" s="4">
        <v>4045</v>
      </c>
      <c r="L232" s="4">
        <v>3945</v>
      </c>
      <c r="M232" s="4">
        <v>3930</v>
      </c>
      <c r="N232" s="4">
        <v>3870</v>
      </c>
      <c r="O232" s="4">
        <v>3910</v>
      </c>
      <c r="P232" s="4">
        <v>3970</v>
      </c>
      <c r="Q232" s="4">
        <v>3960</v>
      </c>
      <c r="R232" s="4">
        <v>3940</v>
      </c>
      <c r="S232" s="4">
        <v>3950</v>
      </c>
      <c r="T232" s="4">
        <v>3985</v>
      </c>
      <c r="U232" s="4">
        <v>4010</v>
      </c>
      <c r="V232" s="4">
        <v>3965</v>
      </c>
      <c r="W232" s="4">
        <v>3970</v>
      </c>
      <c r="X232" s="4">
        <v>3910</v>
      </c>
      <c r="Y232" s="4">
        <v>3975</v>
      </c>
      <c r="Z232" s="4">
        <v>3990</v>
      </c>
      <c r="AA232" s="4">
        <v>4015</v>
      </c>
      <c r="AB232" s="4">
        <v>4020</v>
      </c>
      <c r="AC232" s="4">
        <v>4035</v>
      </c>
      <c r="AD232" s="4">
        <v>4055</v>
      </c>
      <c r="AE232" s="4">
        <v>4040</v>
      </c>
      <c r="AF232" s="4">
        <v>4000</v>
      </c>
      <c r="AG232" s="4">
        <v>4055</v>
      </c>
      <c r="AH232" s="4">
        <v>4265</v>
      </c>
      <c r="AI232" s="4">
        <v>4165</v>
      </c>
      <c r="AJ232" s="4">
        <v>4265</v>
      </c>
      <c r="AK232" s="4">
        <v>4195</v>
      </c>
      <c r="AL232" s="4">
        <v>4215</v>
      </c>
      <c r="AM232" s="4">
        <v>4255</v>
      </c>
      <c r="AN232" s="4">
        <v>4285</v>
      </c>
      <c r="AO232" s="4">
        <v>4265</v>
      </c>
      <c r="AP232" s="4">
        <v>4280</v>
      </c>
      <c r="AQ232" s="4">
        <v>4275</v>
      </c>
      <c r="AR232" s="4">
        <v>4215</v>
      </c>
      <c r="AS232" s="4">
        <v>4170</v>
      </c>
      <c r="AT232" s="4">
        <v>4170</v>
      </c>
      <c r="AU232" s="4">
        <v>4205</v>
      </c>
      <c r="AV232" s="4">
        <v>4265</v>
      </c>
      <c r="AW232" s="4">
        <v>4225</v>
      </c>
      <c r="AX232" s="4">
        <v>4160</v>
      </c>
      <c r="AY232" s="4">
        <v>4165</v>
      </c>
      <c r="AZ232" s="4">
        <v>4150</v>
      </c>
      <c r="BA232" s="4">
        <v>4115</v>
      </c>
      <c r="BB232" s="4">
        <v>4045</v>
      </c>
      <c r="BC232" s="4">
        <v>4030</v>
      </c>
      <c r="BD232" s="4">
        <v>4165</v>
      </c>
      <c r="BE232" s="4">
        <v>4165</v>
      </c>
      <c r="BF232" s="4">
        <v>4190</v>
      </c>
      <c r="BG232" s="4">
        <v>4100</v>
      </c>
      <c r="BH232" s="4">
        <v>4035</v>
      </c>
      <c r="BI232" s="4">
        <v>4100</v>
      </c>
      <c r="BJ232" s="4">
        <v>4160</v>
      </c>
      <c r="BK232" s="4">
        <v>4075</v>
      </c>
      <c r="BL232" s="4">
        <v>4070</v>
      </c>
    </row>
    <row r="233" spans="1:64">
      <c r="A233" s="65" t="s">
        <v>517</v>
      </c>
      <c r="B233" s="4" t="str">
        <f>銘柄管理!C233</f>
        <v>ミスミグループ本社</v>
      </c>
      <c r="C233" s="4">
        <f>_xll.RssMarket("9962","現在値")</f>
        <v>3859</v>
      </c>
      <c r="E233" s="4">
        <v>3859</v>
      </c>
      <c r="F233" s="4">
        <v>3875</v>
      </c>
      <c r="G233" s="4">
        <v>3705</v>
      </c>
      <c r="H233" s="4">
        <v>3645</v>
      </c>
      <c r="I233" s="4">
        <v>3638</v>
      </c>
      <c r="J233" s="4">
        <v>3611</v>
      </c>
      <c r="K233" s="4">
        <v>3742</v>
      </c>
      <c r="L233" s="4">
        <v>3768</v>
      </c>
      <c r="M233" s="4">
        <v>3828</v>
      </c>
      <c r="N233" s="4">
        <v>3627</v>
      </c>
      <c r="O233" s="4">
        <v>3675</v>
      </c>
      <c r="P233" s="4">
        <v>3773</v>
      </c>
      <c r="Q233" s="4">
        <v>3635</v>
      </c>
      <c r="R233" s="4">
        <v>3555</v>
      </c>
      <c r="S233" s="4">
        <v>3509</v>
      </c>
      <c r="T233" s="4">
        <v>3376</v>
      </c>
      <c r="U233" s="4">
        <v>3227</v>
      </c>
      <c r="V233" s="4">
        <v>3129</v>
      </c>
      <c r="W233" s="4">
        <v>3151</v>
      </c>
      <c r="X233" s="4">
        <v>3229</v>
      </c>
      <c r="Y233" s="4">
        <v>3374</v>
      </c>
      <c r="Z233" s="4">
        <v>3289</v>
      </c>
      <c r="AA233" s="4">
        <v>3382</v>
      </c>
      <c r="AB233" s="4">
        <v>3426</v>
      </c>
      <c r="AC233" s="4">
        <v>3490</v>
      </c>
      <c r="AD233" s="4">
        <v>3452</v>
      </c>
      <c r="AE233" s="4">
        <v>3428</v>
      </c>
      <c r="AF233" s="4">
        <v>3589</v>
      </c>
      <c r="AG233" s="4">
        <v>3335</v>
      </c>
      <c r="AH233" s="4">
        <v>3393</v>
      </c>
      <c r="AI233" s="4">
        <v>3042</v>
      </c>
      <c r="AJ233" s="4">
        <v>3001</v>
      </c>
      <c r="AK233" s="4">
        <v>3090</v>
      </c>
      <c r="AL233" s="4">
        <v>3111</v>
      </c>
      <c r="AM233" s="4">
        <v>3132</v>
      </c>
      <c r="AN233" s="4">
        <v>3051</v>
      </c>
      <c r="AO233" s="4">
        <v>3049</v>
      </c>
      <c r="AP233" s="4">
        <v>3025</v>
      </c>
      <c r="AQ233" s="4">
        <v>2959</v>
      </c>
      <c r="AR233" s="4">
        <v>2984.5</v>
      </c>
      <c r="AS233" s="4">
        <v>3017</v>
      </c>
      <c r="AT233" s="4">
        <v>2979</v>
      </c>
      <c r="AU233" s="4">
        <v>2952.5</v>
      </c>
      <c r="AV233" s="4">
        <v>2807.5</v>
      </c>
      <c r="AW233" s="4">
        <v>2803.5</v>
      </c>
      <c r="AX233" s="4">
        <v>2759.5</v>
      </c>
      <c r="AY233" s="4">
        <v>2712</v>
      </c>
      <c r="AZ233" s="4">
        <v>2765</v>
      </c>
      <c r="BA233" s="4">
        <v>2625.5</v>
      </c>
      <c r="BB233" s="4">
        <v>2605.5</v>
      </c>
      <c r="BC233" s="4">
        <v>2781</v>
      </c>
      <c r="BD233" s="4">
        <v>2820</v>
      </c>
      <c r="BE233" s="4">
        <v>2823</v>
      </c>
      <c r="BF233" s="4">
        <v>2738.5</v>
      </c>
      <c r="BG233" s="4">
        <v>2648.5</v>
      </c>
      <c r="BH233" s="4">
        <v>2786.5</v>
      </c>
      <c r="BI233" s="4">
        <v>2958</v>
      </c>
      <c r="BJ233" s="4">
        <v>2884</v>
      </c>
      <c r="BK233" s="4">
        <v>2830</v>
      </c>
      <c r="BL233" s="4">
        <v>2892</v>
      </c>
    </row>
    <row r="234" spans="1:64">
      <c r="A234" s="65" t="s">
        <v>518</v>
      </c>
      <c r="B234" s="4" t="str">
        <f>銘柄管理!C234</f>
        <v>ＴＤＫ</v>
      </c>
      <c r="C234" s="4">
        <f>_xll.RssMarket("6762","現在値")</f>
        <v>3830</v>
      </c>
      <c r="E234" s="4">
        <v>3830</v>
      </c>
      <c r="F234" s="4">
        <v>3802</v>
      </c>
      <c r="G234" s="4">
        <v>3504</v>
      </c>
      <c r="H234" s="4">
        <v>3561</v>
      </c>
      <c r="I234" s="4">
        <v>3640</v>
      </c>
      <c r="J234" s="4">
        <v>3715</v>
      </c>
      <c r="K234" s="4">
        <v>4111</v>
      </c>
      <c r="L234" s="4">
        <v>3950</v>
      </c>
      <c r="M234" s="4">
        <v>3849</v>
      </c>
      <c r="N234" s="4">
        <v>4104</v>
      </c>
      <c r="O234" s="4">
        <v>4108</v>
      </c>
      <c r="P234" s="4">
        <v>3796</v>
      </c>
      <c r="Q234" s="4">
        <v>3608</v>
      </c>
      <c r="R234" s="4">
        <v>3715</v>
      </c>
      <c r="S234" s="4">
        <v>3370</v>
      </c>
      <c r="T234" s="4">
        <v>3141</v>
      </c>
      <c r="U234" s="4">
        <v>2943</v>
      </c>
      <c r="V234" s="4">
        <v>2985.5</v>
      </c>
      <c r="W234" s="4">
        <v>2977.5</v>
      </c>
      <c r="X234" s="4">
        <v>2993</v>
      </c>
      <c r="Y234" s="4">
        <v>3072</v>
      </c>
      <c r="Z234" s="4">
        <v>2916.5</v>
      </c>
      <c r="AA234" s="4">
        <v>2961</v>
      </c>
      <c r="AB234" s="4">
        <v>2936</v>
      </c>
      <c r="AC234" s="4">
        <v>2923.5</v>
      </c>
      <c r="AD234" s="4">
        <v>2896</v>
      </c>
      <c r="AE234" s="4">
        <v>2775.5</v>
      </c>
      <c r="AF234" s="4">
        <v>2890.5</v>
      </c>
      <c r="AG234" s="4">
        <v>2677</v>
      </c>
      <c r="AH234" s="4">
        <v>2718</v>
      </c>
      <c r="AI234" s="4">
        <v>2689.5</v>
      </c>
      <c r="AJ234" s="4">
        <v>2662</v>
      </c>
      <c r="AK234" s="4">
        <v>2700.5</v>
      </c>
      <c r="AL234" s="4">
        <v>2576</v>
      </c>
      <c r="AM234" s="4">
        <v>2542</v>
      </c>
      <c r="AN234" s="4">
        <v>2616</v>
      </c>
      <c r="AO234" s="4">
        <v>2540</v>
      </c>
      <c r="AP234" s="4">
        <v>2246.5</v>
      </c>
      <c r="AQ234" s="4">
        <v>2273</v>
      </c>
      <c r="AR234" s="4">
        <v>2266</v>
      </c>
      <c r="AS234" s="4">
        <v>2310</v>
      </c>
      <c r="AT234" s="4">
        <v>2220</v>
      </c>
      <c r="AU234" s="4">
        <v>2200</v>
      </c>
      <c r="AV234" s="4">
        <v>2076.5</v>
      </c>
      <c r="AW234" s="4">
        <v>2020.5</v>
      </c>
      <c r="AX234" s="4">
        <v>2011.5</v>
      </c>
      <c r="AY234" s="4">
        <v>1945.5</v>
      </c>
      <c r="AZ234" s="4">
        <v>2073</v>
      </c>
      <c r="BA234" s="4">
        <v>1966</v>
      </c>
      <c r="BB234" s="4">
        <v>2000</v>
      </c>
      <c r="BC234" s="4">
        <v>2110.5</v>
      </c>
      <c r="BD234" s="4">
        <v>2096.5</v>
      </c>
      <c r="BE234" s="4">
        <v>2089.5</v>
      </c>
      <c r="BF234" s="4">
        <v>2037.5</v>
      </c>
      <c r="BG234" s="4">
        <v>2042.5</v>
      </c>
      <c r="BH234" s="4">
        <v>2127.5</v>
      </c>
      <c r="BI234" s="4">
        <v>2192</v>
      </c>
      <c r="BJ234" s="4">
        <v>2109</v>
      </c>
      <c r="BK234" s="4">
        <v>2070.5</v>
      </c>
      <c r="BL234" s="4">
        <v>2154</v>
      </c>
    </row>
    <row r="235" spans="1:64">
      <c r="A235" s="65" t="s">
        <v>519</v>
      </c>
      <c r="B235" s="4" t="str">
        <f>銘柄管理!C235</f>
        <v>ＦＩＧ</v>
      </c>
      <c r="C235" s="4">
        <f>_xll.RssMarket("4392","現在値")</f>
        <v>1270</v>
      </c>
      <c r="E235" s="4">
        <v>1270</v>
      </c>
      <c r="F235" s="4">
        <v>1246</v>
      </c>
      <c r="G235" s="4">
        <v>1347</v>
      </c>
      <c r="H235" s="4">
        <v>1421</v>
      </c>
      <c r="I235" s="4">
        <v>1588</v>
      </c>
      <c r="J235" s="4">
        <v>1596</v>
      </c>
      <c r="K235" s="4">
        <v>1360</v>
      </c>
      <c r="L235" s="4">
        <v>1363</v>
      </c>
      <c r="M235" s="4">
        <v>1629</v>
      </c>
      <c r="N235" s="4">
        <v>1705</v>
      </c>
      <c r="O235" s="4">
        <v>2015</v>
      </c>
      <c r="P235" s="4">
        <v>1781</v>
      </c>
      <c r="Q235" s="4">
        <v>2039</v>
      </c>
      <c r="R235" s="4">
        <v>2246</v>
      </c>
      <c r="S235" s="4">
        <v>2185</v>
      </c>
      <c r="T235" s="4">
        <v>1785</v>
      </c>
      <c r="U235" s="4">
        <v>1981</v>
      </c>
      <c r="V235" s="4">
        <v>1581</v>
      </c>
      <c r="W235" s="4">
        <v>1360</v>
      </c>
      <c r="X235" s="4">
        <v>1060</v>
      </c>
      <c r="Y235" s="4">
        <v>910</v>
      </c>
      <c r="Z235" s="4">
        <v>760</v>
      </c>
      <c r="AA235" s="4">
        <v>735</v>
      </c>
      <c r="AB235" s="4">
        <v>870</v>
      </c>
      <c r="AC235" s="4">
        <v>509</v>
      </c>
      <c r="AD235" s="4">
        <v>429</v>
      </c>
      <c r="AE235" s="4">
        <v>349</v>
      </c>
      <c r="AF235" s="4">
        <v>345</v>
      </c>
      <c r="AG235" s="4">
        <v>344</v>
      </c>
      <c r="AH235" s="4">
        <v>353</v>
      </c>
      <c r="AI235" s="4">
        <v>356</v>
      </c>
      <c r="AJ235" s="4">
        <v>348</v>
      </c>
      <c r="AK235" s="4">
        <v>347</v>
      </c>
      <c r="AL235" s="4">
        <v>350</v>
      </c>
      <c r="AM235" s="4">
        <v>347</v>
      </c>
      <c r="AN235" s="4">
        <v>336</v>
      </c>
      <c r="AO235" s="4">
        <v>328</v>
      </c>
      <c r="AP235" s="4">
        <v>329</v>
      </c>
      <c r="AQ235" s="4">
        <v>323</v>
      </c>
      <c r="AR235" s="4">
        <v>322</v>
      </c>
      <c r="AS235" s="4">
        <v>319</v>
      </c>
      <c r="AT235" s="4">
        <v>322</v>
      </c>
      <c r="AU235" s="4">
        <v>324</v>
      </c>
      <c r="AV235" s="4">
        <v>333</v>
      </c>
      <c r="AW235" s="4">
        <v>321</v>
      </c>
      <c r="AX235" s="4">
        <v>323</v>
      </c>
      <c r="AY235" s="4">
        <v>319</v>
      </c>
      <c r="AZ235" s="4">
        <v>315</v>
      </c>
      <c r="BA235" s="4">
        <v>318</v>
      </c>
      <c r="BB235" s="4">
        <v>310</v>
      </c>
      <c r="BC235" s="4">
        <v>310</v>
      </c>
      <c r="BD235" s="4">
        <v>322</v>
      </c>
      <c r="BE235" s="4">
        <v>320</v>
      </c>
      <c r="BF235" s="4">
        <v>324</v>
      </c>
      <c r="BG235" s="4">
        <v>313</v>
      </c>
      <c r="BH235" s="4">
        <v>301</v>
      </c>
      <c r="BI235" s="4">
        <v>308</v>
      </c>
      <c r="BJ235" s="4">
        <v>326</v>
      </c>
      <c r="BK235" s="4">
        <v>315</v>
      </c>
      <c r="BL235" s="4">
        <v>316</v>
      </c>
    </row>
    <row r="236" spans="1:64">
      <c r="A236" s="65" t="s">
        <v>520</v>
      </c>
      <c r="B236" s="4" t="str">
        <f>銘柄管理!C236</f>
        <v>スクロール</v>
      </c>
      <c r="C236" s="4">
        <f>_xll.RssMarket("8005","現在値")</f>
        <v>1643</v>
      </c>
      <c r="E236" s="4">
        <v>1643</v>
      </c>
      <c r="F236" s="4">
        <v>1627</v>
      </c>
      <c r="G236" s="4">
        <v>1615</v>
      </c>
      <c r="H236" s="4">
        <v>1634</v>
      </c>
      <c r="I236" s="4">
        <v>1628</v>
      </c>
      <c r="J236" s="4">
        <v>1620</v>
      </c>
      <c r="K236" s="4">
        <v>1637</v>
      </c>
      <c r="L236" s="4">
        <v>1620</v>
      </c>
      <c r="M236" s="4">
        <v>1643</v>
      </c>
      <c r="N236" s="4">
        <v>1638</v>
      </c>
      <c r="O236" s="4">
        <v>1679</v>
      </c>
      <c r="P236" s="4">
        <v>1649</v>
      </c>
      <c r="Q236" s="4">
        <v>1626</v>
      </c>
      <c r="R236" s="4">
        <v>1628</v>
      </c>
      <c r="S236" s="4">
        <v>1642</v>
      </c>
      <c r="T236" s="4">
        <v>1634</v>
      </c>
      <c r="U236" s="4">
        <v>1642</v>
      </c>
      <c r="V236" s="4">
        <v>1657</v>
      </c>
      <c r="W236" s="4">
        <v>1682</v>
      </c>
      <c r="X236" s="4">
        <v>1649</v>
      </c>
      <c r="Y236" s="4">
        <v>1618</v>
      </c>
      <c r="Z236" s="4">
        <v>1623</v>
      </c>
      <c r="AA236" s="4">
        <v>1631</v>
      </c>
      <c r="AB236" s="4">
        <v>1655</v>
      </c>
      <c r="AC236" s="4">
        <v>1705</v>
      </c>
      <c r="AD236" s="4">
        <v>1597</v>
      </c>
      <c r="AE236" s="4">
        <v>1297</v>
      </c>
      <c r="AF236" s="4">
        <v>1305</v>
      </c>
      <c r="AG236" s="4">
        <v>1325</v>
      </c>
      <c r="AH236" s="4">
        <v>1333</v>
      </c>
      <c r="AI236" s="4">
        <v>1314</v>
      </c>
      <c r="AJ236" s="4">
        <v>1322</v>
      </c>
      <c r="AK236" s="4">
        <v>1317</v>
      </c>
      <c r="AL236" s="4">
        <v>1327</v>
      </c>
      <c r="AM236" s="4">
        <v>1347</v>
      </c>
      <c r="AN236" s="4">
        <v>1352</v>
      </c>
      <c r="AO236" s="4">
        <v>1352</v>
      </c>
      <c r="AP236" s="4">
        <v>1355</v>
      </c>
      <c r="AQ236" s="4">
        <v>1334</v>
      </c>
      <c r="AR236" s="4">
        <v>1316</v>
      </c>
      <c r="AS236" s="4">
        <v>1312</v>
      </c>
      <c r="AT236" s="4">
        <v>1329</v>
      </c>
      <c r="AU236" s="4">
        <v>1353</v>
      </c>
      <c r="AV236" s="4">
        <v>1358</v>
      </c>
      <c r="AW236" s="4">
        <v>1346</v>
      </c>
      <c r="AX236" s="4">
        <v>1348</v>
      </c>
      <c r="AY236" s="4">
        <v>1342</v>
      </c>
      <c r="AZ236" s="4">
        <v>1342</v>
      </c>
      <c r="BA236" s="4">
        <v>1345</v>
      </c>
      <c r="BB236" s="4">
        <v>1330</v>
      </c>
      <c r="BC236" s="4">
        <v>1297</v>
      </c>
      <c r="BD236" s="4">
        <v>1336</v>
      </c>
      <c r="BE236" s="4">
        <v>1333</v>
      </c>
      <c r="BF236" s="4">
        <v>1331</v>
      </c>
      <c r="BG236" s="4">
        <v>1314</v>
      </c>
      <c r="BH236" s="4">
        <v>1282</v>
      </c>
      <c r="BI236" s="4">
        <v>1305</v>
      </c>
      <c r="BJ236" s="4">
        <v>1336</v>
      </c>
      <c r="BK236" s="4">
        <v>1319</v>
      </c>
      <c r="BL236" s="4">
        <v>1310</v>
      </c>
    </row>
    <row r="237" spans="1:64">
      <c r="A237" s="65" t="s">
        <v>521</v>
      </c>
      <c r="B237" s="4" t="str">
        <f>銘柄管理!C237</f>
        <v>デジタルアーツ</v>
      </c>
      <c r="C237" s="4">
        <f>_xll.RssMarket("2326","現在値")</f>
        <v>3610</v>
      </c>
      <c r="E237" s="4">
        <v>3610</v>
      </c>
      <c r="F237" s="4">
        <v>3580</v>
      </c>
      <c r="G237" s="4">
        <v>3565</v>
      </c>
      <c r="H237" s="4">
        <v>3610</v>
      </c>
      <c r="I237" s="4">
        <v>3625</v>
      </c>
      <c r="J237" s="4">
        <v>3700</v>
      </c>
      <c r="K237" s="4">
        <v>3830</v>
      </c>
      <c r="L237" s="4">
        <v>3695</v>
      </c>
      <c r="M237" s="4">
        <v>3745</v>
      </c>
      <c r="N237" s="4">
        <v>4070</v>
      </c>
      <c r="O237" s="4">
        <v>3980</v>
      </c>
      <c r="P237" s="4">
        <v>4045</v>
      </c>
      <c r="Q237" s="4">
        <v>4145</v>
      </c>
      <c r="R237" s="4">
        <v>4100</v>
      </c>
      <c r="S237" s="4">
        <v>4150</v>
      </c>
      <c r="T237" s="4">
        <v>4120</v>
      </c>
      <c r="U237" s="4">
        <v>4145</v>
      </c>
      <c r="V237" s="4">
        <v>4350</v>
      </c>
      <c r="W237" s="4">
        <v>4245</v>
      </c>
      <c r="X237" s="4">
        <v>4240</v>
      </c>
      <c r="Y237" s="4">
        <v>4030</v>
      </c>
      <c r="Z237" s="4">
        <v>4110</v>
      </c>
      <c r="AA237" s="4">
        <v>4020</v>
      </c>
      <c r="AB237" s="4">
        <v>4240</v>
      </c>
      <c r="AC237" s="4">
        <v>4940</v>
      </c>
      <c r="AD237" s="4">
        <v>5940</v>
      </c>
      <c r="AE237" s="4">
        <v>5590</v>
      </c>
      <c r="AF237" s="4">
        <v>5600</v>
      </c>
      <c r="AG237" s="4">
        <v>5550</v>
      </c>
      <c r="AH237" s="4">
        <v>5490</v>
      </c>
      <c r="AI237" s="4">
        <v>5510</v>
      </c>
      <c r="AJ237" s="4">
        <v>5660</v>
      </c>
      <c r="AK237" s="4">
        <v>6050</v>
      </c>
      <c r="AL237" s="4">
        <v>5910</v>
      </c>
      <c r="AM237" s="4">
        <v>5850</v>
      </c>
      <c r="AN237" s="4">
        <v>5830</v>
      </c>
      <c r="AO237" s="4">
        <v>5770</v>
      </c>
      <c r="AP237" s="4">
        <v>5550</v>
      </c>
      <c r="AQ237" s="4">
        <v>5480</v>
      </c>
      <c r="AR237" s="4">
        <v>5400</v>
      </c>
      <c r="AS237" s="4">
        <v>5440</v>
      </c>
      <c r="AT237" s="4">
        <v>5420</v>
      </c>
      <c r="AU237" s="4">
        <v>5610</v>
      </c>
      <c r="AV237" s="4">
        <v>5440</v>
      </c>
      <c r="AW237" s="4">
        <v>5430</v>
      </c>
      <c r="AX237" s="4">
        <v>5370</v>
      </c>
      <c r="AY237" s="4">
        <v>5260</v>
      </c>
      <c r="AZ237" s="4">
        <v>5380</v>
      </c>
      <c r="BA237" s="4">
        <v>5160</v>
      </c>
      <c r="BB237" s="4">
        <v>5090</v>
      </c>
      <c r="BC237" s="4">
        <v>5230</v>
      </c>
      <c r="BD237" s="4">
        <v>5110</v>
      </c>
      <c r="BE237" s="4">
        <v>5080</v>
      </c>
      <c r="BF237" s="4">
        <v>4980</v>
      </c>
      <c r="BG237" s="4">
        <v>4865</v>
      </c>
      <c r="BH237" s="4">
        <v>5040</v>
      </c>
      <c r="BI237" s="4">
        <v>5210</v>
      </c>
      <c r="BJ237" s="4">
        <v>5220</v>
      </c>
      <c r="BK237" s="4">
        <v>5290</v>
      </c>
      <c r="BL237" s="4">
        <v>5340</v>
      </c>
    </row>
    <row r="238" spans="1:64">
      <c r="A238" s="65" t="s">
        <v>522</v>
      </c>
      <c r="B238" s="4" t="str">
        <f>銘柄管理!C238</f>
        <v>ＴＯＡ</v>
      </c>
      <c r="C238" s="4">
        <f>_xll.RssMarket("6809","現在値")</f>
        <v>1567</v>
      </c>
      <c r="E238" s="4">
        <v>1567</v>
      </c>
      <c r="F238" s="4">
        <v>1565</v>
      </c>
      <c r="G238" s="4">
        <v>1556</v>
      </c>
      <c r="H238" s="4">
        <v>1548</v>
      </c>
      <c r="I238" s="4">
        <v>1562</v>
      </c>
      <c r="J238" s="4">
        <v>1549</v>
      </c>
      <c r="K238" s="4">
        <v>1573</v>
      </c>
      <c r="L238" s="4">
        <v>1544</v>
      </c>
      <c r="M238" s="4">
        <v>1540</v>
      </c>
      <c r="N238" s="4">
        <v>1558</v>
      </c>
      <c r="O238" s="4">
        <v>1535</v>
      </c>
      <c r="P238" s="4">
        <v>1552</v>
      </c>
      <c r="Q238" s="4">
        <v>1544</v>
      </c>
      <c r="R238" s="4">
        <v>1537</v>
      </c>
      <c r="S238" s="4">
        <v>1560</v>
      </c>
      <c r="T238" s="4">
        <v>1557</v>
      </c>
      <c r="U238" s="4">
        <v>1535</v>
      </c>
      <c r="V238" s="4">
        <v>1525</v>
      </c>
      <c r="W238" s="4">
        <v>1599</v>
      </c>
      <c r="X238" s="4">
        <v>1577</v>
      </c>
      <c r="Y238" s="4">
        <v>1605</v>
      </c>
      <c r="Z238" s="4">
        <v>1581</v>
      </c>
      <c r="AA238" s="4">
        <v>1573</v>
      </c>
      <c r="AB238" s="4">
        <v>1558</v>
      </c>
      <c r="AC238" s="4">
        <v>1570</v>
      </c>
      <c r="AD238" s="4">
        <v>1569</v>
      </c>
      <c r="AE238" s="4">
        <v>1780</v>
      </c>
      <c r="AF238" s="4">
        <v>1747</v>
      </c>
      <c r="AG238" s="4">
        <v>1730</v>
      </c>
      <c r="AH238" s="4">
        <v>1744</v>
      </c>
      <c r="AI238" s="4">
        <v>1707</v>
      </c>
      <c r="AJ238" s="4">
        <v>1713</v>
      </c>
      <c r="AK238" s="4">
        <v>1745</v>
      </c>
      <c r="AL238" s="4">
        <v>1761</v>
      </c>
      <c r="AM238" s="4">
        <v>1786</v>
      </c>
      <c r="AN238" s="4">
        <v>1769</v>
      </c>
      <c r="AO238" s="4">
        <v>1791</v>
      </c>
      <c r="AP238" s="4">
        <v>1776</v>
      </c>
      <c r="AQ238" s="4">
        <v>1780</v>
      </c>
      <c r="AR238" s="4">
        <v>1777</v>
      </c>
      <c r="AS238" s="4">
        <v>1786</v>
      </c>
      <c r="AT238" s="4">
        <v>1807</v>
      </c>
      <c r="AU238" s="4">
        <v>1815</v>
      </c>
      <c r="AV238" s="4">
        <v>1844</v>
      </c>
      <c r="AW238" s="4">
        <v>1816</v>
      </c>
      <c r="AX238" s="4">
        <v>1791</v>
      </c>
      <c r="AY238" s="4">
        <v>1790</v>
      </c>
      <c r="AZ238" s="4">
        <v>1787</v>
      </c>
      <c r="BA238" s="4">
        <v>1799</v>
      </c>
      <c r="BB238" s="4">
        <v>1751</v>
      </c>
      <c r="BC238" s="4">
        <v>1788</v>
      </c>
      <c r="BD238" s="4">
        <v>1898</v>
      </c>
      <c r="BE238" s="4">
        <v>1879</v>
      </c>
      <c r="BF238" s="4">
        <v>1883</v>
      </c>
      <c r="BG238" s="4">
        <v>1814</v>
      </c>
      <c r="BH238" s="4">
        <v>1773</v>
      </c>
      <c r="BI238" s="4">
        <v>1814</v>
      </c>
      <c r="BJ238" s="4">
        <v>1794</v>
      </c>
      <c r="BK238" s="4">
        <v>1733</v>
      </c>
      <c r="BL238" s="4">
        <v>1740</v>
      </c>
    </row>
    <row r="239" spans="1:64">
      <c r="A239" s="65" t="s">
        <v>523</v>
      </c>
      <c r="B239" s="4" t="str">
        <f>銘柄管理!C239</f>
        <v>ユーザーローカル</v>
      </c>
      <c r="C239" s="4">
        <f>_xll.RssMarket("3984","現在値")</f>
        <v>1810</v>
      </c>
      <c r="E239" s="4">
        <v>1810</v>
      </c>
      <c r="F239" s="4">
        <v>1773</v>
      </c>
      <c r="G239" s="4">
        <v>1753</v>
      </c>
      <c r="H239" s="4">
        <v>1800</v>
      </c>
      <c r="I239" s="4">
        <v>1791</v>
      </c>
      <c r="J239" s="4">
        <v>1825</v>
      </c>
      <c r="K239" s="4">
        <v>1910</v>
      </c>
      <c r="L239" s="4">
        <v>1807</v>
      </c>
      <c r="M239" s="4">
        <v>1815</v>
      </c>
      <c r="N239" s="4">
        <v>1820</v>
      </c>
      <c r="O239" s="4">
        <v>1812</v>
      </c>
      <c r="P239" s="4">
        <v>1720</v>
      </c>
      <c r="Q239" s="4">
        <v>1670</v>
      </c>
      <c r="R239" s="4">
        <v>1706</v>
      </c>
      <c r="S239" s="4">
        <v>1741</v>
      </c>
      <c r="T239" s="4">
        <v>1791</v>
      </c>
      <c r="U239" s="4">
        <v>1758</v>
      </c>
      <c r="V239" s="4">
        <v>1736</v>
      </c>
      <c r="W239" s="4">
        <v>1729</v>
      </c>
      <c r="X239" s="4">
        <v>1706</v>
      </c>
      <c r="Y239" s="4">
        <v>1702</v>
      </c>
      <c r="Z239" s="4">
        <v>1700</v>
      </c>
      <c r="AA239" s="4">
        <v>1745</v>
      </c>
      <c r="AB239" s="4">
        <v>1724</v>
      </c>
      <c r="AC239" s="4">
        <v>1812</v>
      </c>
      <c r="AD239" s="4">
        <v>1793</v>
      </c>
      <c r="AE239" s="4">
        <v>1600</v>
      </c>
      <c r="AF239" s="4">
        <v>1540</v>
      </c>
      <c r="AG239" s="4">
        <v>1544</v>
      </c>
      <c r="AH239" s="4">
        <v>1559</v>
      </c>
      <c r="AI239" s="4">
        <v>1554</v>
      </c>
      <c r="AJ239" s="4">
        <v>1567</v>
      </c>
      <c r="AK239" s="4">
        <v>1577</v>
      </c>
      <c r="AL239" s="4">
        <v>1608</v>
      </c>
      <c r="AM239" s="4">
        <v>1580</v>
      </c>
      <c r="AN239" s="4">
        <v>1565</v>
      </c>
      <c r="AO239" s="4">
        <v>1575</v>
      </c>
      <c r="AP239" s="4">
        <v>1576</v>
      </c>
      <c r="AQ239" s="4">
        <v>1508</v>
      </c>
      <c r="AR239" s="4">
        <v>1468</v>
      </c>
      <c r="AS239" s="4">
        <v>1448</v>
      </c>
      <c r="AT239" s="4">
        <v>1458</v>
      </c>
      <c r="AU239" s="4">
        <v>1495</v>
      </c>
      <c r="AV239" s="4">
        <v>1535</v>
      </c>
      <c r="AW239" s="4">
        <v>1472</v>
      </c>
      <c r="AX239" s="4">
        <v>1459</v>
      </c>
      <c r="AY239" s="4">
        <v>1456</v>
      </c>
      <c r="AZ239" s="4">
        <v>1440</v>
      </c>
      <c r="BA239" s="4">
        <v>1474</v>
      </c>
      <c r="BB239" s="4">
        <v>1408</v>
      </c>
      <c r="BC239" s="4">
        <v>1384</v>
      </c>
      <c r="BD239" s="4">
        <v>1439</v>
      </c>
      <c r="BE239" s="4">
        <v>1431</v>
      </c>
      <c r="BF239" s="4">
        <v>1478</v>
      </c>
      <c r="BG239" s="4">
        <v>1461</v>
      </c>
      <c r="BH239" s="4">
        <v>1426</v>
      </c>
      <c r="BI239" s="4">
        <v>1473</v>
      </c>
      <c r="BJ239" s="4">
        <v>1543</v>
      </c>
      <c r="BK239" s="4">
        <v>1511</v>
      </c>
      <c r="BL239" s="4">
        <v>1526</v>
      </c>
    </row>
    <row r="240" spans="1:64">
      <c r="A240" s="65" t="s">
        <v>524</v>
      </c>
      <c r="B240" s="4" t="str">
        <f>銘柄管理!C240</f>
        <v>ダイトロン</v>
      </c>
      <c r="C240" s="4">
        <f>_xll.RssMarket("7609","現在値")</f>
        <v>3635</v>
      </c>
      <c r="E240" s="4">
        <v>3635</v>
      </c>
      <c r="F240" s="4">
        <v>3565</v>
      </c>
      <c r="G240" s="4">
        <v>3465</v>
      </c>
      <c r="H240" s="4">
        <v>3430</v>
      </c>
      <c r="I240" s="4">
        <v>3435</v>
      </c>
      <c r="J240" s="4">
        <v>3565</v>
      </c>
      <c r="K240" s="4">
        <v>3775</v>
      </c>
      <c r="L240" s="4">
        <v>3725</v>
      </c>
      <c r="M240" s="4">
        <v>3695</v>
      </c>
      <c r="N240" s="4">
        <v>3575</v>
      </c>
      <c r="O240" s="4">
        <v>3565</v>
      </c>
      <c r="P240" s="4">
        <v>3570</v>
      </c>
      <c r="Q240" s="4">
        <v>3540</v>
      </c>
      <c r="R240" s="4">
        <v>3530</v>
      </c>
      <c r="S240" s="4">
        <v>3655</v>
      </c>
      <c r="T240" s="4">
        <v>3615</v>
      </c>
      <c r="U240" s="4">
        <v>3535</v>
      </c>
      <c r="V240" s="4">
        <v>3490</v>
      </c>
      <c r="W240" s="4">
        <v>3575</v>
      </c>
      <c r="X240" s="4">
        <v>3855</v>
      </c>
      <c r="Y240" s="4">
        <v>3825</v>
      </c>
      <c r="Z240" s="4">
        <v>3930</v>
      </c>
      <c r="AA240" s="4">
        <v>3870</v>
      </c>
      <c r="AB240" s="4">
        <v>3940</v>
      </c>
      <c r="AC240" s="4">
        <v>3950</v>
      </c>
      <c r="AD240" s="4">
        <v>3840</v>
      </c>
      <c r="AE240" s="4">
        <v>3380</v>
      </c>
      <c r="AF240" s="4">
        <v>3140</v>
      </c>
      <c r="AG240" s="4">
        <v>2909</v>
      </c>
      <c r="AH240" s="4">
        <v>2894</v>
      </c>
      <c r="AI240" s="4">
        <v>2889</v>
      </c>
      <c r="AJ240" s="4">
        <v>2891</v>
      </c>
      <c r="AK240" s="4">
        <v>2862</v>
      </c>
      <c r="AL240" s="4">
        <v>2827</v>
      </c>
      <c r="AM240" s="4">
        <v>2883</v>
      </c>
      <c r="AN240" s="4">
        <v>2883</v>
      </c>
      <c r="AO240" s="4">
        <v>2873</v>
      </c>
      <c r="AP240" s="4">
        <v>2961</v>
      </c>
      <c r="AQ240" s="4">
        <v>2870</v>
      </c>
      <c r="AR240" s="4">
        <v>2930</v>
      </c>
      <c r="AS240" s="4">
        <v>2839</v>
      </c>
      <c r="AT240" s="4">
        <v>2823</v>
      </c>
      <c r="AU240" s="4">
        <v>2778</v>
      </c>
      <c r="AV240" s="4">
        <v>2843</v>
      </c>
      <c r="AW240" s="4">
        <v>2712</v>
      </c>
      <c r="AX240" s="4">
        <v>2709</v>
      </c>
      <c r="AY240" s="4">
        <v>2721</v>
      </c>
      <c r="AZ240" s="4">
        <v>2714</v>
      </c>
      <c r="BA240" s="4">
        <v>2778</v>
      </c>
      <c r="BB240" s="4">
        <v>2651</v>
      </c>
      <c r="BC240" s="4">
        <v>2766</v>
      </c>
      <c r="BD240" s="4">
        <v>2866</v>
      </c>
      <c r="BE240" s="4">
        <v>2866</v>
      </c>
      <c r="BF240" s="4">
        <v>2845</v>
      </c>
      <c r="BG240" s="4">
        <v>2783</v>
      </c>
      <c r="BH240" s="4">
        <v>2703</v>
      </c>
      <c r="BI240" s="4">
        <v>2828</v>
      </c>
      <c r="BJ240" s="4">
        <v>2948</v>
      </c>
      <c r="BK240" s="4">
        <v>2860</v>
      </c>
      <c r="BL240" s="4">
        <v>2880</v>
      </c>
    </row>
    <row r="241" spans="1:64">
      <c r="A241" s="65" t="s">
        <v>525</v>
      </c>
      <c r="B241" s="4" t="str">
        <f>銘柄管理!C241</f>
        <v>イトーキ</v>
      </c>
      <c r="C241" s="4">
        <f>_xll.RssMarket("7972","現在値")</f>
        <v>2431</v>
      </c>
      <c r="E241" s="4">
        <v>2431</v>
      </c>
      <c r="F241" s="4">
        <v>2455</v>
      </c>
      <c r="G241" s="4">
        <v>2438</v>
      </c>
      <c r="H241" s="4">
        <v>2416</v>
      </c>
      <c r="I241" s="4">
        <v>2408</v>
      </c>
      <c r="J241" s="4">
        <v>2425</v>
      </c>
      <c r="K241" s="4">
        <v>2422</v>
      </c>
      <c r="L241" s="4">
        <v>2369</v>
      </c>
      <c r="M241" s="4">
        <v>2446</v>
      </c>
      <c r="N241" s="4">
        <v>2455</v>
      </c>
      <c r="O241" s="4">
        <v>2522</v>
      </c>
      <c r="P241" s="4">
        <v>2567</v>
      </c>
      <c r="Q241" s="4">
        <v>2615</v>
      </c>
      <c r="R241" s="4">
        <v>2713</v>
      </c>
      <c r="S241" s="4">
        <v>2622</v>
      </c>
      <c r="T241" s="4">
        <v>2625</v>
      </c>
      <c r="U241" s="4">
        <v>2573</v>
      </c>
      <c r="V241" s="4">
        <v>2653</v>
      </c>
      <c r="W241" s="4">
        <v>2704</v>
      </c>
      <c r="X241" s="4">
        <v>2698</v>
      </c>
      <c r="Y241" s="4">
        <v>2715</v>
      </c>
      <c r="Z241" s="4">
        <v>2789</v>
      </c>
      <c r="AA241" s="4">
        <v>2799</v>
      </c>
      <c r="AB241" s="4">
        <v>2787</v>
      </c>
      <c r="AC241" s="4">
        <v>2760</v>
      </c>
      <c r="AD241" s="4">
        <v>2893</v>
      </c>
      <c r="AE241" s="4">
        <v>3250</v>
      </c>
      <c r="AF241" s="4">
        <v>3160</v>
      </c>
      <c r="AG241" s="4">
        <v>3165</v>
      </c>
      <c r="AH241" s="4">
        <v>3290</v>
      </c>
      <c r="AI241" s="4">
        <v>3215</v>
      </c>
      <c r="AJ241" s="4">
        <v>3190</v>
      </c>
      <c r="AK241" s="4">
        <v>3235</v>
      </c>
      <c r="AL241" s="4">
        <v>3265</v>
      </c>
      <c r="AM241" s="4">
        <v>3300</v>
      </c>
      <c r="AN241" s="4">
        <v>3285</v>
      </c>
      <c r="AO241" s="4">
        <v>3295</v>
      </c>
      <c r="AP241" s="4">
        <v>3350</v>
      </c>
      <c r="AQ241" s="4">
        <v>3365</v>
      </c>
      <c r="AR241" s="4">
        <v>3535</v>
      </c>
      <c r="AS241" s="4">
        <v>3535</v>
      </c>
      <c r="AT241" s="4">
        <v>3480</v>
      </c>
      <c r="AU241" s="4">
        <v>3460</v>
      </c>
      <c r="AV241" s="4">
        <v>3520</v>
      </c>
      <c r="AW241" s="4">
        <v>3365</v>
      </c>
      <c r="AX241" s="4">
        <v>3315</v>
      </c>
      <c r="AY241" s="4">
        <v>3285</v>
      </c>
      <c r="AZ241" s="4">
        <v>3240</v>
      </c>
      <c r="BA241" s="4">
        <v>3245</v>
      </c>
      <c r="BB241" s="4">
        <v>3025</v>
      </c>
      <c r="BC241" s="4">
        <v>3125</v>
      </c>
      <c r="BD241" s="4">
        <v>3250</v>
      </c>
      <c r="BE241" s="4">
        <v>3265</v>
      </c>
      <c r="BF241" s="4">
        <v>3370</v>
      </c>
      <c r="BG241" s="4">
        <v>3300</v>
      </c>
      <c r="BH241" s="4">
        <v>3170</v>
      </c>
      <c r="BI241" s="4">
        <v>3295</v>
      </c>
      <c r="BJ241" s="4">
        <v>3455</v>
      </c>
      <c r="BK241" s="4">
        <v>3440</v>
      </c>
      <c r="BL241" s="4">
        <v>3415</v>
      </c>
    </row>
    <row r="242" spans="1:64">
      <c r="A242" s="65" t="s">
        <v>526</v>
      </c>
      <c r="B242" s="4" t="str">
        <f>銘柄管理!C242</f>
        <v>オキサイド</v>
      </c>
      <c r="C242" s="4">
        <f>_xll.RssMarket("6521","現在値")</f>
        <v>4810</v>
      </c>
      <c r="E242" s="4">
        <v>4810</v>
      </c>
      <c r="F242" s="4">
        <v>4680</v>
      </c>
      <c r="G242" s="4">
        <v>4400</v>
      </c>
      <c r="H242" s="4">
        <v>4430</v>
      </c>
      <c r="I242" s="4">
        <v>4495</v>
      </c>
      <c r="J242" s="4">
        <v>4850</v>
      </c>
      <c r="K242" s="4">
        <v>5130</v>
      </c>
      <c r="L242" s="4">
        <v>4915</v>
      </c>
      <c r="M242" s="4">
        <v>5200</v>
      </c>
      <c r="N242" s="4">
        <v>5030</v>
      </c>
      <c r="O242" s="4">
        <v>5330</v>
      </c>
      <c r="P242" s="4">
        <v>5420</v>
      </c>
      <c r="Q242" s="4">
        <v>5850</v>
      </c>
      <c r="R242" s="4">
        <v>5590</v>
      </c>
      <c r="S242" s="4">
        <v>6100</v>
      </c>
      <c r="T242" s="4">
        <v>6410</v>
      </c>
      <c r="U242" s="4">
        <v>5590</v>
      </c>
      <c r="V242" s="4">
        <v>5780</v>
      </c>
      <c r="W242" s="4">
        <v>5820</v>
      </c>
      <c r="X242" s="4">
        <v>6780</v>
      </c>
      <c r="Y242" s="4">
        <v>6030</v>
      </c>
      <c r="Z242" s="4">
        <v>6460</v>
      </c>
      <c r="AA242" s="4">
        <v>6330</v>
      </c>
      <c r="AB242" s="4">
        <v>6530</v>
      </c>
      <c r="AC242" s="4">
        <v>6570</v>
      </c>
      <c r="AD242" s="4">
        <v>6210</v>
      </c>
      <c r="AE242" s="4">
        <v>5280</v>
      </c>
      <c r="AF242" s="4">
        <v>4680</v>
      </c>
      <c r="AG242" s="4">
        <v>4595</v>
      </c>
      <c r="AH242" s="4">
        <v>4745</v>
      </c>
      <c r="AI242" s="4">
        <v>4645</v>
      </c>
      <c r="AJ242" s="4">
        <v>4755</v>
      </c>
      <c r="AK242" s="4">
        <v>4600</v>
      </c>
      <c r="AL242" s="4">
        <v>4905</v>
      </c>
      <c r="AM242" s="4">
        <v>5090</v>
      </c>
      <c r="AN242" s="4">
        <v>4385</v>
      </c>
      <c r="AO242" s="4">
        <v>4050</v>
      </c>
      <c r="AP242" s="4">
        <v>4435</v>
      </c>
      <c r="AQ242" s="4">
        <v>4350</v>
      </c>
      <c r="AR242" s="4">
        <v>5010</v>
      </c>
      <c r="AS242" s="4">
        <v>5050</v>
      </c>
      <c r="AT242" s="4">
        <v>4685</v>
      </c>
      <c r="AU242" s="4">
        <v>4470</v>
      </c>
      <c r="AV242" s="4">
        <v>4665</v>
      </c>
      <c r="AW242" s="4">
        <v>4305</v>
      </c>
      <c r="AX242" s="4">
        <v>4585</v>
      </c>
      <c r="AY242" s="4">
        <v>4290</v>
      </c>
      <c r="AZ242" s="4">
        <v>4090</v>
      </c>
      <c r="BA242" s="4">
        <v>4495</v>
      </c>
      <c r="BB242" s="4">
        <v>4235</v>
      </c>
      <c r="BC242" s="4">
        <v>4200</v>
      </c>
      <c r="BD242" s="4">
        <v>4370</v>
      </c>
      <c r="BE242" s="4">
        <v>4450</v>
      </c>
      <c r="BF242" s="4">
        <v>4565</v>
      </c>
      <c r="BG242" s="4">
        <v>4945</v>
      </c>
      <c r="BH242" s="4">
        <v>4700</v>
      </c>
      <c r="BI242" s="4">
        <v>5190</v>
      </c>
      <c r="BJ242" s="4">
        <v>5090</v>
      </c>
      <c r="BK242" s="4">
        <v>4850</v>
      </c>
      <c r="BL242" s="4">
        <v>5040</v>
      </c>
    </row>
    <row r="243" spans="1:64">
      <c r="A243" s="65" t="s">
        <v>527</v>
      </c>
      <c r="B243" s="4" t="str">
        <f>銘柄管理!C243</f>
        <v>クオルテック</v>
      </c>
      <c r="C243" s="4">
        <f>_xll.RssMarket("9165","現在値")</f>
        <v>1691</v>
      </c>
      <c r="E243" s="4">
        <v>1691</v>
      </c>
      <c r="F243" s="4">
        <v>1708</v>
      </c>
      <c r="G243" s="4">
        <v>1711</v>
      </c>
      <c r="H243" s="4">
        <v>1680</v>
      </c>
      <c r="I243" s="4">
        <v>1707</v>
      </c>
      <c r="J243" s="4">
        <v>1726</v>
      </c>
      <c r="K243" s="4">
        <v>1841</v>
      </c>
      <c r="L243" s="4">
        <v>1801</v>
      </c>
      <c r="M243" s="4">
        <v>1808</v>
      </c>
      <c r="N243" s="4">
        <v>1778</v>
      </c>
      <c r="O243" s="4">
        <v>1826</v>
      </c>
      <c r="P243" s="4">
        <v>1873</v>
      </c>
      <c r="Q243" s="4">
        <v>1865</v>
      </c>
      <c r="R243" s="4">
        <v>1945</v>
      </c>
      <c r="S243" s="4">
        <v>2193</v>
      </c>
      <c r="T243" s="4">
        <v>2005</v>
      </c>
      <c r="U243" s="4">
        <v>1750</v>
      </c>
      <c r="V243" s="4">
        <v>1820</v>
      </c>
      <c r="W243" s="4">
        <v>1838</v>
      </c>
      <c r="X243" s="4">
        <v>1844</v>
      </c>
      <c r="Y243" s="4">
        <v>1683</v>
      </c>
      <c r="Z243" s="4">
        <v>1724</v>
      </c>
      <c r="AA243" s="4">
        <v>1777</v>
      </c>
      <c r="AB243" s="4">
        <v>1765</v>
      </c>
      <c r="AC243" s="4">
        <v>1857</v>
      </c>
      <c r="AD243" s="4">
        <v>1800</v>
      </c>
      <c r="AE243" s="4">
        <v>1611</v>
      </c>
      <c r="AF243" s="4">
        <v>1490</v>
      </c>
      <c r="AG243" s="4">
        <v>1479</v>
      </c>
      <c r="AH243" s="4">
        <v>1470</v>
      </c>
      <c r="AI243" s="4">
        <v>1467</v>
      </c>
      <c r="AJ243" s="4">
        <v>1469</v>
      </c>
      <c r="AK243" s="4">
        <v>1468</v>
      </c>
      <c r="AL243" s="4">
        <v>1470</v>
      </c>
      <c r="AM243" s="4">
        <v>1469</v>
      </c>
      <c r="AN243" s="4">
        <v>1449</v>
      </c>
      <c r="AO243" s="4">
        <v>1451</v>
      </c>
      <c r="AP243" s="4">
        <v>1460</v>
      </c>
      <c r="AQ243" s="4">
        <v>1457</v>
      </c>
      <c r="AR243" s="4">
        <v>1440</v>
      </c>
      <c r="AS243" s="4">
        <v>1422</v>
      </c>
      <c r="AT243" s="4">
        <v>1421</v>
      </c>
      <c r="AU243" s="4">
        <v>1434</v>
      </c>
      <c r="AV243" s="4">
        <v>1434</v>
      </c>
      <c r="AW243" s="4">
        <v>1419</v>
      </c>
      <c r="AX243" s="4">
        <v>1427</v>
      </c>
      <c r="AY243" s="4">
        <v>1419</v>
      </c>
      <c r="AZ243" s="4">
        <v>1400</v>
      </c>
      <c r="BA243" s="4">
        <v>1415</v>
      </c>
      <c r="BB243" s="4">
        <v>1396</v>
      </c>
      <c r="BC243" s="4">
        <v>1408</v>
      </c>
      <c r="BD243" s="4">
        <v>1415</v>
      </c>
      <c r="BE243" s="4">
        <v>1415</v>
      </c>
      <c r="BF243" s="4">
        <v>1418</v>
      </c>
      <c r="BG243" s="4">
        <v>1420</v>
      </c>
      <c r="BH243" s="4">
        <v>1405</v>
      </c>
      <c r="BI243" s="4">
        <v>1410</v>
      </c>
      <c r="BJ243" s="4">
        <v>1414</v>
      </c>
      <c r="BK243" s="4">
        <v>1412</v>
      </c>
      <c r="BL243" s="4">
        <v>1410</v>
      </c>
    </row>
    <row r="244" spans="1:64">
      <c r="A244" s="65" t="s">
        <v>528</v>
      </c>
      <c r="B244" s="4" t="str">
        <f>銘柄管理!C244</f>
        <v>デンソー</v>
      </c>
      <c r="C244" s="4">
        <f>_xll.RssMarket("6902","現在値")</f>
        <v>1917</v>
      </c>
      <c r="E244" s="4">
        <v>1917</v>
      </c>
      <c r="F244" s="4">
        <v>1893.5</v>
      </c>
      <c r="G244" s="4">
        <v>1854</v>
      </c>
      <c r="H244" s="4">
        <v>1834.5</v>
      </c>
      <c r="I244" s="4">
        <v>1882.5</v>
      </c>
      <c r="J244" s="4">
        <v>1903.5</v>
      </c>
      <c r="K244" s="4">
        <v>1887</v>
      </c>
      <c r="L244" s="4">
        <v>1907</v>
      </c>
      <c r="M244" s="4">
        <v>1926</v>
      </c>
      <c r="N244" s="4">
        <v>1867.5</v>
      </c>
      <c r="O244" s="4">
        <v>1869</v>
      </c>
      <c r="P244" s="4">
        <v>1908</v>
      </c>
      <c r="Q244" s="4">
        <v>1886</v>
      </c>
      <c r="R244" s="4">
        <v>1888.5</v>
      </c>
      <c r="S244" s="4">
        <v>1837</v>
      </c>
      <c r="T244" s="4">
        <v>1834.5</v>
      </c>
      <c r="U244" s="4">
        <v>1850</v>
      </c>
      <c r="V244" s="4">
        <v>1835.5</v>
      </c>
      <c r="W244" s="4">
        <v>1859.5</v>
      </c>
      <c r="X244" s="4">
        <v>1838.5</v>
      </c>
      <c r="Y244" s="4">
        <v>1944</v>
      </c>
      <c r="Z244" s="4">
        <v>1884</v>
      </c>
      <c r="AA244" s="4">
        <v>1917</v>
      </c>
      <c r="AB244" s="4">
        <v>1878</v>
      </c>
      <c r="AC244" s="4">
        <v>1879</v>
      </c>
      <c r="AD244" s="4">
        <v>1919</v>
      </c>
      <c r="AE244" s="4">
        <v>1914.5</v>
      </c>
      <c r="AF244" s="4">
        <v>1895.5</v>
      </c>
      <c r="AG244" s="4">
        <v>1882.5</v>
      </c>
      <c r="AH244" s="4">
        <v>1846.5</v>
      </c>
      <c r="AI244" s="4">
        <v>1883.5</v>
      </c>
      <c r="AJ244" s="4">
        <v>1868</v>
      </c>
      <c r="AK244" s="4">
        <v>1893.5</v>
      </c>
      <c r="AL244" s="4">
        <v>1925.5</v>
      </c>
      <c r="AM244" s="4">
        <v>1944</v>
      </c>
      <c r="AN244" s="4">
        <v>1962.5</v>
      </c>
      <c r="AO244" s="4">
        <v>1926</v>
      </c>
      <c r="AP244" s="4">
        <v>1917.5</v>
      </c>
      <c r="AQ244" s="4">
        <v>1915</v>
      </c>
      <c r="AR244" s="4">
        <v>1926.5</v>
      </c>
      <c r="AS244" s="4">
        <v>1917</v>
      </c>
      <c r="AT244" s="4">
        <v>1933</v>
      </c>
      <c r="AU244" s="4">
        <v>1951.5</v>
      </c>
      <c r="AV244" s="4">
        <v>1960.5</v>
      </c>
      <c r="AW244" s="4">
        <v>1908</v>
      </c>
      <c r="AX244" s="4">
        <v>1907.5</v>
      </c>
      <c r="AY244" s="4">
        <v>1923</v>
      </c>
      <c r="AZ244" s="4">
        <v>1930</v>
      </c>
      <c r="BA244" s="4">
        <v>1954</v>
      </c>
      <c r="BB244" s="4">
        <v>1947.5</v>
      </c>
      <c r="BC244" s="4">
        <v>1891</v>
      </c>
      <c r="BD244" s="4">
        <v>1953.5</v>
      </c>
      <c r="BE244" s="4">
        <v>1944.5</v>
      </c>
      <c r="BF244" s="4">
        <v>1921.5</v>
      </c>
      <c r="BG244" s="4">
        <v>1907.5</v>
      </c>
      <c r="BH244" s="4">
        <v>1864</v>
      </c>
      <c r="BI244" s="4">
        <v>1915.5</v>
      </c>
      <c r="BJ244" s="4">
        <v>1965</v>
      </c>
      <c r="BK244" s="4">
        <v>1945</v>
      </c>
      <c r="BL244" s="4">
        <v>1933.5</v>
      </c>
    </row>
    <row r="245" spans="1:64">
      <c r="A245" s="65" t="s">
        <v>529</v>
      </c>
      <c r="B245" s="4" t="str">
        <f>銘柄管理!C245</f>
        <v>グローバルウェイ</v>
      </c>
      <c r="C245" s="4">
        <f>_xll.RssMarket("3936","現在値")</f>
        <v>155</v>
      </c>
      <c r="E245" s="4">
        <v>155</v>
      </c>
      <c r="F245" s="4">
        <v>161</v>
      </c>
      <c r="G245" s="4">
        <v>167</v>
      </c>
      <c r="H245" s="4">
        <v>171</v>
      </c>
      <c r="I245" s="4">
        <v>178</v>
      </c>
      <c r="J245" s="4">
        <v>179</v>
      </c>
      <c r="K245" s="4">
        <v>175</v>
      </c>
      <c r="L245" s="4">
        <v>169</v>
      </c>
      <c r="M245" s="4">
        <v>168</v>
      </c>
      <c r="N245" s="4">
        <v>165</v>
      </c>
      <c r="O245" s="4">
        <v>170</v>
      </c>
      <c r="P245" s="4">
        <v>177</v>
      </c>
      <c r="Q245" s="4">
        <v>167</v>
      </c>
      <c r="R245" s="4">
        <v>162</v>
      </c>
      <c r="S245" s="4">
        <v>167</v>
      </c>
      <c r="T245" s="4">
        <v>169</v>
      </c>
      <c r="U245" s="4">
        <v>174</v>
      </c>
      <c r="V245" s="4">
        <v>161</v>
      </c>
      <c r="W245" s="4">
        <v>200</v>
      </c>
      <c r="X245" s="4">
        <v>206</v>
      </c>
      <c r="Y245" s="4">
        <v>156</v>
      </c>
      <c r="Z245" s="4">
        <v>169</v>
      </c>
      <c r="AA245" s="4">
        <v>172</v>
      </c>
      <c r="AB245" s="4">
        <v>168</v>
      </c>
      <c r="AC245" s="4">
        <v>176</v>
      </c>
      <c r="AD245" s="4">
        <v>186</v>
      </c>
      <c r="AE245" s="4">
        <v>173</v>
      </c>
      <c r="AF245" s="4">
        <v>193</v>
      </c>
      <c r="AG245" s="4">
        <v>209</v>
      </c>
      <c r="AH245" s="4">
        <v>238</v>
      </c>
      <c r="AI245" s="4">
        <v>235</v>
      </c>
      <c r="AJ245" s="4">
        <v>198</v>
      </c>
      <c r="AK245" s="4">
        <v>199</v>
      </c>
      <c r="AL245" s="4">
        <v>149</v>
      </c>
      <c r="AM245" s="4">
        <v>130</v>
      </c>
      <c r="AN245" s="4">
        <v>127</v>
      </c>
      <c r="AO245" s="4">
        <v>125</v>
      </c>
      <c r="AP245" s="4">
        <v>124</v>
      </c>
      <c r="AQ245" s="4">
        <v>125</v>
      </c>
      <c r="AR245" s="4">
        <v>127</v>
      </c>
      <c r="AS245" s="4">
        <v>129</v>
      </c>
      <c r="AT245" s="4">
        <v>127</v>
      </c>
      <c r="AU245" s="4">
        <v>126</v>
      </c>
      <c r="AV245" s="4">
        <v>127</v>
      </c>
      <c r="AW245" s="4">
        <v>125</v>
      </c>
      <c r="AX245" s="4">
        <v>130</v>
      </c>
      <c r="AY245" s="4">
        <v>125</v>
      </c>
      <c r="AZ245" s="4">
        <v>125</v>
      </c>
      <c r="BA245" s="4">
        <v>128</v>
      </c>
      <c r="BB245" s="4">
        <v>126</v>
      </c>
      <c r="BC245" s="4">
        <v>131</v>
      </c>
      <c r="BD245" s="4">
        <v>127</v>
      </c>
      <c r="BE245" s="4">
        <v>124</v>
      </c>
      <c r="BF245" s="4">
        <v>128</v>
      </c>
      <c r="BG245" s="4">
        <v>138</v>
      </c>
      <c r="BH245" s="4">
        <v>130</v>
      </c>
      <c r="BI245" s="4">
        <v>132</v>
      </c>
      <c r="BJ245" s="4">
        <v>130</v>
      </c>
      <c r="BK245" s="4">
        <v>131</v>
      </c>
      <c r="BL245" s="4">
        <v>134</v>
      </c>
    </row>
    <row r="246" spans="1:64">
      <c r="A246" s="65" t="s">
        <v>547</v>
      </c>
      <c r="B246" s="4" t="str">
        <f>銘柄管理!C246</f>
        <v>エノモト</v>
      </c>
      <c r="C246" s="4">
        <f>_xll.RssMarket("6928","現在値")</f>
        <v>3365</v>
      </c>
      <c r="E246" s="4">
        <v>3365</v>
      </c>
      <c r="F246" s="4">
        <v>3320</v>
      </c>
      <c r="G246" s="4">
        <v>3160</v>
      </c>
      <c r="H246" s="4">
        <v>3315</v>
      </c>
      <c r="I246" s="4">
        <v>3455</v>
      </c>
      <c r="J246" s="4">
        <v>3430</v>
      </c>
      <c r="K246" s="4">
        <v>3635</v>
      </c>
      <c r="L246" s="4">
        <v>3675</v>
      </c>
      <c r="M246" s="4">
        <v>3700</v>
      </c>
      <c r="N246" s="4">
        <v>3720</v>
      </c>
      <c r="O246" s="4">
        <v>3890</v>
      </c>
      <c r="P246" s="4">
        <v>3805</v>
      </c>
      <c r="Q246" s="4">
        <v>3735</v>
      </c>
      <c r="R246" s="4">
        <v>3530</v>
      </c>
      <c r="S246" s="4">
        <v>3655</v>
      </c>
      <c r="T246" s="4">
        <v>3650</v>
      </c>
      <c r="U246" s="4">
        <v>3485</v>
      </c>
      <c r="V246" s="4">
        <v>3500</v>
      </c>
      <c r="W246" s="4">
        <v>3475</v>
      </c>
      <c r="X246" s="4">
        <v>3510</v>
      </c>
      <c r="Y246" s="4">
        <v>3470</v>
      </c>
      <c r="Z246" s="4">
        <v>3435</v>
      </c>
      <c r="AA246" s="4">
        <v>3505</v>
      </c>
      <c r="AB246" s="4">
        <v>3440</v>
      </c>
      <c r="AC246" s="4">
        <v>3480</v>
      </c>
      <c r="AD246" s="4">
        <v>3620</v>
      </c>
      <c r="AE246" s="4">
        <v>3600</v>
      </c>
      <c r="AF246" s="4">
        <v>3445</v>
      </c>
      <c r="AG246" s="4">
        <v>3285</v>
      </c>
      <c r="AH246" s="4">
        <v>3220</v>
      </c>
      <c r="AI246" s="4">
        <v>3120</v>
      </c>
      <c r="AJ246" s="4">
        <v>3165</v>
      </c>
      <c r="AK246" s="4">
        <v>3105</v>
      </c>
      <c r="AL246" s="4">
        <v>3200</v>
      </c>
      <c r="AM246" s="4">
        <v>3235</v>
      </c>
      <c r="AN246" s="4">
        <v>3230</v>
      </c>
      <c r="AO246" s="4">
        <v>3230</v>
      </c>
      <c r="AP246" s="4">
        <v>3325</v>
      </c>
      <c r="AQ246" s="4">
        <v>3290</v>
      </c>
      <c r="AR246" s="4">
        <v>3195</v>
      </c>
      <c r="AS246" s="4">
        <v>3150</v>
      </c>
      <c r="AT246" s="4">
        <v>3115</v>
      </c>
      <c r="AU246" s="4">
        <v>3085</v>
      </c>
      <c r="AV246" s="4">
        <v>3115</v>
      </c>
      <c r="AW246" s="4">
        <v>2917</v>
      </c>
      <c r="AX246" s="4">
        <v>2851</v>
      </c>
      <c r="AY246" s="4">
        <v>2857</v>
      </c>
      <c r="AZ246" s="4">
        <v>2860</v>
      </c>
      <c r="BA246" s="4">
        <v>2904</v>
      </c>
      <c r="BB246" s="4">
        <v>2814</v>
      </c>
      <c r="BC246" s="4">
        <v>2850</v>
      </c>
      <c r="BD246" s="4">
        <v>2879</v>
      </c>
      <c r="BE246" s="4">
        <v>2890</v>
      </c>
      <c r="BF246" s="4">
        <v>2920</v>
      </c>
      <c r="BG246" s="4">
        <v>2829</v>
      </c>
      <c r="BH246" s="4">
        <v>2755</v>
      </c>
      <c r="BI246" s="4">
        <v>2871</v>
      </c>
      <c r="BJ246" s="4">
        <v>3060</v>
      </c>
      <c r="BK246" s="4">
        <v>2959</v>
      </c>
      <c r="BL246" s="4">
        <v>2997</v>
      </c>
    </row>
    <row r="247" spans="1:64">
      <c r="A247" s="65" t="s">
        <v>548</v>
      </c>
      <c r="B247" s="4" t="str">
        <f>銘柄管理!C247</f>
        <v>三菱製鋼</v>
      </c>
      <c r="C247" s="4">
        <f>_xll.RssMarket("5632","現在値")</f>
        <v>2141</v>
      </c>
      <c r="E247" s="4">
        <v>2141</v>
      </c>
      <c r="F247" s="4">
        <v>2171</v>
      </c>
      <c r="G247" s="4">
        <v>2139</v>
      </c>
      <c r="H247" s="4">
        <v>2111</v>
      </c>
      <c r="I247" s="4">
        <v>2107</v>
      </c>
      <c r="J247" s="4">
        <v>2103</v>
      </c>
      <c r="K247" s="4">
        <v>2150</v>
      </c>
      <c r="L247" s="4">
        <v>2103</v>
      </c>
      <c r="M247" s="4">
        <v>2083</v>
      </c>
      <c r="N247" s="4">
        <v>2076</v>
      </c>
      <c r="O247" s="4">
        <v>2127</v>
      </c>
      <c r="P247" s="4">
        <v>2157</v>
      </c>
      <c r="Q247" s="4">
        <v>2126</v>
      </c>
      <c r="R247" s="4">
        <v>2143</v>
      </c>
      <c r="S247" s="4">
        <v>2135</v>
      </c>
      <c r="T247" s="4">
        <v>2144</v>
      </c>
      <c r="U247" s="4">
        <v>2105</v>
      </c>
      <c r="V247" s="4">
        <v>2015</v>
      </c>
      <c r="W247" s="4">
        <v>2083</v>
      </c>
      <c r="X247" s="4">
        <v>2053</v>
      </c>
      <c r="Y247" s="4">
        <v>2169</v>
      </c>
      <c r="Z247" s="4">
        <v>2074</v>
      </c>
      <c r="AA247" s="4">
        <v>1980</v>
      </c>
      <c r="AB247" s="4">
        <v>1863</v>
      </c>
      <c r="AC247" s="4">
        <v>1892</v>
      </c>
      <c r="AD247" s="4">
        <v>1835</v>
      </c>
      <c r="AE247" s="4">
        <v>1845</v>
      </c>
      <c r="AF247" s="4">
        <v>1812</v>
      </c>
      <c r="AG247" s="4">
        <v>1795</v>
      </c>
      <c r="AH247" s="4">
        <v>1824</v>
      </c>
      <c r="AI247" s="4">
        <v>1788</v>
      </c>
      <c r="AJ247" s="4">
        <v>1789</v>
      </c>
      <c r="AK247" s="4">
        <v>1806</v>
      </c>
      <c r="AL247" s="4">
        <v>1804</v>
      </c>
      <c r="AM247" s="4">
        <v>1833</v>
      </c>
      <c r="AN247" s="4">
        <v>1838</v>
      </c>
      <c r="AO247" s="4">
        <v>1822</v>
      </c>
      <c r="AP247" s="4">
        <v>1837</v>
      </c>
      <c r="AQ247" s="4">
        <v>1826</v>
      </c>
      <c r="AR247" s="4">
        <v>1813</v>
      </c>
      <c r="AS247" s="4">
        <v>1796</v>
      </c>
      <c r="AT247" s="4">
        <v>1791</v>
      </c>
      <c r="AU247" s="4">
        <v>1811</v>
      </c>
      <c r="AV247" s="4">
        <v>1840</v>
      </c>
      <c r="AW247" s="4">
        <v>1809</v>
      </c>
      <c r="AX247" s="4">
        <v>1797</v>
      </c>
      <c r="AY247" s="4">
        <v>1815</v>
      </c>
      <c r="AZ247" s="4">
        <v>1792</v>
      </c>
      <c r="BA247" s="4">
        <v>1835</v>
      </c>
      <c r="BB247" s="4">
        <v>1781</v>
      </c>
      <c r="BC247" s="4">
        <v>1807</v>
      </c>
      <c r="BD247" s="4">
        <v>1885</v>
      </c>
      <c r="BE247" s="4">
        <v>1874</v>
      </c>
      <c r="BF247" s="4">
        <v>1877</v>
      </c>
      <c r="BG247" s="4">
        <v>1831</v>
      </c>
      <c r="BH247" s="4">
        <v>1778</v>
      </c>
      <c r="BI247" s="4">
        <v>1834</v>
      </c>
      <c r="BJ247" s="4">
        <v>1893</v>
      </c>
      <c r="BK247" s="4">
        <v>1826</v>
      </c>
      <c r="BL247" s="4">
        <v>1820</v>
      </c>
    </row>
    <row r="248" spans="1:64">
      <c r="A248" s="65" t="s">
        <v>549</v>
      </c>
      <c r="B248" s="4" t="str">
        <f>銘柄管理!C248</f>
        <v>リクルートホールディングス</v>
      </c>
      <c r="C248" s="4">
        <f>_xll.RssMarket("6098","現在値")</f>
        <v>10520</v>
      </c>
      <c r="E248" s="4">
        <v>10520</v>
      </c>
      <c r="F248" s="4">
        <v>10750</v>
      </c>
      <c r="G248" s="4">
        <v>10790</v>
      </c>
      <c r="H248" s="4">
        <v>11155</v>
      </c>
      <c r="I248" s="4">
        <v>11380</v>
      </c>
      <c r="J248" s="4">
        <v>10755</v>
      </c>
      <c r="K248" s="4">
        <v>10595</v>
      </c>
      <c r="L248" s="4">
        <v>10615</v>
      </c>
      <c r="M248" s="4">
        <v>10920</v>
      </c>
      <c r="N248" s="4">
        <v>10845</v>
      </c>
      <c r="O248" s="4">
        <v>10900</v>
      </c>
      <c r="P248" s="4">
        <v>10570</v>
      </c>
      <c r="Q248" s="4">
        <v>10185</v>
      </c>
      <c r="R248" s="4">
        <v>9907</v>
      </c>
      <c r="S248" s="4">
        <v>9688</v>
      </c>
      <c r="T248" s="4">
        <v>9789</v>
      </c>
      <c r="U248" s="4">
        <v>9564</v>
      </c>
      <c r="V248" s="4">
        <v>9653</v>
      </c>
      <c r="W248" s="4">
        <v>9846</v>
      </c>
      <c r="X248" s="4">
        <v>9122</v>
      </c>
      <c r="Y248" s="4">
        <v>7825</v>
      </c>
      <c r="Z248" s="4">
        <v>7780</v>
      </c>
      <c r="AA248" s="4">
        <v>7800</v>
      </c>
      <c r="AB248" s="4">
        <v>7573</v>
      </c>
      <c r="AC248" s="4">
        <v>7700</v>
      </c>
      <c r="AD248" s="4">
        <v>7822</v>
      </c>
      <c r="AE248" s="4">
        <v>7475</v>
      </c>
      <c r="AF248" s="4">
        <v>7361</v>
      </c>
      <c r="AG248" s="4">
        <v>7303</v>
      </c>
      <c r="AH248" s="4">
        <v>7464</v>
      </c>
      <c r="AI248" s="4">
        <v>7302</v>
      </c>
      <c r="AJ248" s="4">
        <v>7308</v>
      </c>
      <c r="AK248" s="4">
        <v>7561</v>
      </c>
      <c r="AL248" s="4">
        <v>7953</v>
      </c>
      <c r="AM248" s="4">
        <v>7853</v>
      </c>
      <c r="AN248" s="4">
        <v>7625</v>
      </c>
      <c r="AO248" s="4">
        <v>7524</v>
      </c>
      <c r="AP248" s="4">
        <v>7275</v>
      </c>
      <c r="AQ248" s="4">
        <v>7163</v>
      </c>
      <c r="AR248" s="4">
        <v>7030</v>
      </c>
      <c r="AS248" s="4">
        <v>6996</v>
      </c>
      <c r="AT248" s="4">
        <v>7117</v>
      </c>
      <c r="AU248" s="4">
        <v>7179</v>
      </c>
      <c r="AV248" s="4">
        <v>7333</v>
      </c>
      <c r="AW248" s="4">
        <v>6977</v>
      </c>
      <c r="AX248" s="4">
        <v>6940</v>
      </c>
      <c r="AY248" s="4">
        <v>6942</v>
      </c>
      <c r="AZ248" s="4">
        <v>6922</v>
      </c>
      <c r="BA248" s="4">
        <v>7145</v>
      </c>
      <c r="BB248" s="4">
        <v>6526</v>
      </c>
      <c r="BC248" s="4">
        <v>6316</v>
      </c>
      <c r="BD248" s="4">
        <v>6519</v>
      </c>
      <c r="BE248" s="4">
        <v>6399</v>
      </c>
      <c r="BF248" s="4">
        <v>6416</v>
      </c>
      <c r="BG248" s="4">
        <v>6539</v>
      </c>
      <c r="BH248" s="4">
        <v>6311</v>
      </c>
      <c r="BI248" s="4">
        <v>6332</v>
      </c>
      <c r="BJ248" s="4">
        <v>6554</v>
      </c>
      <c r="BK248" s="4">
        <v>6565</v>
      </c>
      <c r="BL248" s="4">
        <v>6435</v>
      </c>
    </row>
    <row r="249" spans="1:64">
      <c r="A249" s="65" t="s">
        <v>550</v>
      </c>
      <c r="B249" s="4" t="str">
        <f>銘柄管理!C249</f>
        <v>荏原製作所</v>
      </c>
      <c r="C249" s="4">
        <f>_xll.RssMarket("6361","現在値")</f>
        <v>6527</v>
      </c>
      <c r="E249" s="4">
        <v>6527</v>
      </c>
      <c r="F249" s="4">
        <v>6232</v>
      </c>
      <c r="G249" s="4">
        <v>5506</v>
      </c>
      <c r="H249" s="4">
        <v>5243</v>
      </c>
      <c r="I249" s="4">
        <v>5265</v>
      </c>
      <c r="J249" s="4">
        <v>5030</v>
      </c>
      <c r="K249" s="4">
        <v>5535</v>
      </c>
      <c r="L249" s="4">
        <v>5480</v>
      </c>
      <c r="M249" s="4">
        <v>5626</v>
      </c>
      <c r="N249" s="4">
        <v>5357</v>
      </c>
      <c r="O249" s="4">
        <v>5730</v>
      </c>
      <c r="P249" s="4">
        <v>5683</v>
      </c>
      <c r="Q249" s="4">
        <v>5499</v>
      </c>
      <c r="R249" s="4">
        <v>5472</v>
      </c>
      <c r="S249" s="4">
        <v>5693</v>
      </c>
      <c r="T249" s="4">
        <v>5452</v>
      </c>
      <c r="U249" s="4">
        <v>5036</v>
      </c>
      <c r="V249" s="4">
        <v>4935</v>
      </c>
      <c r="W249" s="4">
        <v>5153</v>
      </c>
      <c r="X249" s="4">
        <v>5349</v>
      </c>
      <c r="Y249" s="4">
        <v>5533</v>
      </c>
      <c r="Z249" s="4">
        <v>5729</v>
      </c>
      <c r="AA249" s="4">
        <v>5740</v>
      </c>
      <c r="AB249" s="4">
        <v>5841</v>
      </c>
      <c r="AC249" s="4">
        <v>5902</v>
      </c>
      <c r="AD249" s="4">
        <v>5750</v>
      </c>
      <c r="AE249" s="4">
        <v>5763</v>
      </c>
      <c r="AF249" s="4">
        <v>5242</v>
      </c>
      <c r="AG249" s="4">
        <v>5327</v>
      </c>
      <c r="AH249" s="4">
        <v>5423</v>
      </c>
      <c r="AI249" s="4">
        <v>5446</v>
      </c>
      <c r="AJ249" s="4">
        <v>5304</v>
      </c>
      <c r="AK249" s="4">
        <v>5309</v>
      </c>
      <c r="AL249" s="4">
        <v>5471</v>
      </c>
      <c r="AM249" s="4">
        <v>5137</v>
      </c>
      <c r="AN249" s="4">
        <v>5131</v>
      </c>
      <c r="AO249" s="4">
        <v>4933</v>
      </c>
      <c r="AP249" s="4">
        <v>5161</v>
      </c>
      <c r="AQ249" s="4">
        <v>5004</v>
      </c>
      <c r="AR249" s="4">
        <v>5171</v>
      </c>
      <c r="AS249" s="4">
        <v>5087</v>
      </c>
      <c r="AT249" s="4">
        <v>5124</v>
      </c>
      <c r="AU249" s="4">
        <v>5080</v>
      </c>
      <c r="AV249" s="4">
        <v>5057</v>
      </c>
      <c r="AW249" s="4">
        <v>4566</v>
      </c>
      <c r="AX249" s="4">
        <v>4527</v>
      </c>
      <c r="AY249" s="4">
        <v>4487</v>
      </c>
      <c r="AZ249" s="4">
        <v>4436</v>
      </c>
      <c r="BA249" s="4">
        <v>4552</v>
      </c>
      <c r="BB249" s="4">
        <v>4254</v>
      </c>
      <c r="BC249" s="4">
        <v>4253</v>
      </c>
      <c r="BD249" s="4">
        <v>4465</v>
      </c>
      <c r="BE249" s="4">
        <v>4642</v>
      </c>
      <c r="BF249" s="4">
        <v>4848</v>
      </c>
      <c r="BG249" s="4">
        <v>4487</v>
      </c>
      <c r="BH249" s="4">
        <v>4365</v>
      </c>
      <c r="BI249" s="4">
        <v>4752</v>
      </c>
      <c r="BJ249" s="4">
        <v>4965</v>
      </c>
      <c r="BK249" s="4">
        <v>4752</v>
      </c>
      <c r="BL249" s="4">
        <v>4688</v>
      </c>
    </row>
    <row r="250" spans="1:64">
      <c r="A250" s="65" t="s">
        <v>551</v>
      </c>
      <c r="B250" s="4" t="str">
        <f>銘柄管理!C250</f>
        <v>情報戦略テクノロジー</v>
      </c>
      <c r="C250" s="4">
        <f>_xll.RssMarket("155A","現在値")</f>
        <v>866</v>
      </c>
      <c r="E250" s="4">
        <v>866</v>
      </c>
      <c r="F250" s="4">
        <v>820</v>
      </c>
      <c r="G250" s="4">
        <v>835</v>
      </c>
      <c r="H250" s="4">
        <v>858</v>
      </c>
      <c r="I250" s="4">
        <v>889</v>
      </c>
      <c r="J250" s="4">
        <v>839</v>
      </c>
      <c r="K250" s="4">
        <v>868</v>
      </c>
      <c r="L250" s="4">
        <v>844</v>
      </c>
      <c r="M250" s="4">
        <v>833</v>
      </c>
      <c r="N250" s="4">
        <v>828</v>
      </c>
      <c r="O250" s="4">
        <v>836</v>
      </c>
      <c r="P250" s="4">
        <v>872</v>
      </c>
      <c r="Q250" s="4">
        <v>860</v>
      </c>
      <c r="R250" s="4">
        <v>879</v>
      </c>
      <c r="S250" s="4">
        <v>880</v>
      </c>
      <c r="T250" s="4">
        <v>852</v>
      </c>
      <c r="U250" s="4">
        <v>846</v>
      </c>
      <c r="V250" s="4">
        <v>835</v>
      </c>
      <c r="W250" s="4">
        <v>875</v>
      </c>
      <c r="X250" s="4">
        <v>880</v>
      </c>
      <c r="Y250" s="4">
        <v>889</v>
      </c>
      <c r="Z250" s="4">
        <v>739</v>
      </c>
      <c r="AA250" s="4">
        <v>770</v>
      </c>
      <c r="AB250" s="4">
        <v>791</v>
      </c>
      <c r="AC250" s="4">
        <v>798</v>
      </c>
      <c r="AD250" s="4">
        <v>815</v>
      </c>
      <c r="AE250" s="4">
        <v>816</v>
      </c>
      <c r="AF250" s="4">
        <v>801</v>
      </c>
      <c r="AG250" s="4">
        <v>801</v>
      </c>
      <c r="AH250" s="4">
        <v>807</v>
      </c>
      <c r="AI250" s="4">
        <v>813</v>
      </c>
      <c r="AJ250" s="4">
        <v>821</v>
      </c>
      <c r="AK250" s="4">
        <v>835</v>
      </c>
      <c r="AL250" s="4">
        <v>860</v>
      </c>
      <c r="AM250" s="4">
        <v>852</v>
      </c>
      <c r="AN250" s="4">
        <v>836</v>
      </c>
      <c r="AO250" s="4">
        <v>842</v>
      </c>
      <c r="AP250" s="4">
        <v>833</v>
      </c>
      <c r="AQ250" s="4">
        <v>829</v>
      </c>
      <c r="AR250" s="4">
        <v>812</v>
      </c>
      <c r="AS250" s="4">
        <v>808</v>
      </c>
      <c r="AT250" s="4">
        <v>823</v>
      </c>
      <c r="AU250" s="4">
        <v>847</v>
      </c>
      <c r="AV250" s="4">
        <v>876</v>
      </c>
      <c r="AW250" s="4">
        <v>853</v>
      </c>
      <c r="AX250" s="4">
        <v>854</v>
      </c>
      <c r="AY250" s="4">
        <v>842</v>
      </c>
      <c r="AZ250" s="4">
        <v>840</v>
      </c>
      <c r="BA250" s="4">
        <v>859</v>
      </c>
      <c r="BB250" s="4">
        <v>812</v>
      </c>
      <c r="BC250" s="4">
        <v>827</v>
      </c>
      <c r="BD250" s="4">
        <v>878</v>
      </c>
      <c r="BE250" s="4">
        <v>863</v>
      </c>
      <c r="BF250" s="4">
        <v>884</v>
      </c>
      <c r="BG250" s="4">
        <v>864</v>
      </c>
      <c r="BH250" s="4">
        <v>861</v>
      </c>
      <c r="BI250" s="4">
        <v>890</v>
      </c>
      <c r="BJ250" s="4">
        <v>935</v>
      </c>
      <c r="BK250" s="4">
        <v>873</v>
      </c>
      <c r="BL250" s="4">
        <v>879</v>
      </c>
    </row>
    <row r="251" spans="1:64">
      <c r="A251" s="65" t="s">
        <v>552</v>
      </c>
      <c r="B251" s="4" t="str">
        <f>銘柄管理!C251</f>
        <v>ＴＥＲＲＡＤＲＯＮＥ</v>
      </c>
      <c r="C251" s="4">
        <f>_xll.RssMarket("278A","現在値")</f>
        <v>8020</v>
      </c>
      <c r="E251" s="4">
        <v>8020</v>
      </c>
      <c r="F251" s="4">
        <v>8750</v>
      </c>
      <c r="G251" s="4">
        <v>8100</v>
      </c>
      <c r="H251" s="4">
        <v>8570</v>
      </c>
      <c r="I251" s="4">
        <v>8990</v>
      </c>
      <c r="J251" s="4">
        <v>8260</v>
      </c>
      <c r="K251" s="4">
        <v>8190</v>
      </c>
      <c r="L251" s="4">
        <v>8050</v>
      </c>
      <c r="M251" s="4">
        <v>8590</v>
      </c>
      <c r="N251" s="4">
        <v>8540</v>
      </c>
      <c r="O251" s="4">
        <v>9110</v>
      </c>
      <c r="P251" s="4">
        <v>9690</v>
      </c>
      <c r="Q251" s="4">
        <v>10010</v>
      </c>
      <c r="R251" s="4">
        <v>9210</v>
      </c>
      <c r="S251" s="4">
        <v>10870</v>
      </c>
      <c r="T251" s="4">
        <v>11320</v>
      </c>
      <c r="U251" s="4">
        <v>10910</v>
      </c>
      <c r="V251" s="4">
        <v>11100</v>
      </c>
      <c r="W251" s="4">
        <v>12560</v>
      </c>
      <c r="X251" s="4">
        <v>12750</v>
      </c>
      <c r="Y251" s="4">
        <v>12190</v>
      </c>
      <c r="Z251" s="4">
        <v>10740</v>
      </c>
      <c r="AA251" s="4">
        <v>11470</v>
      </c>
      <c r="AB251" s="4">
        <v>12400</v>
      </c>
      <c r="AC251" s="4">
        <v>16400</v>
      </c>
      <c r="AD251" s="4">
        <v>13400</v>
      </c>
      <c r="AE251" s="4">
        <v>12850</v>
      </c>
      <c r="AF251" s="4">
        <v>10770</v>
      </c>
      <c r="AG251" s="4">
        <v>9270</v>
      </c>
      <c r="AH251" s="4">
        <v>7770</v>
      </c>
      <c r="AI251" s="4">
        <v>7450</v>
      </c>
      <c r="AJ251" s="4">
        <v>7840</v>
      </c>
      <c r="AK251" s="4">
        <v>8260</v>
      </c>
      <c r="AL251" s="4">
        <v>7220</v>
      </c>
      <c r="AM251" s="4">
        <v>6220</v>
      </c>
      <c r="AN251" s="4">
        <v>6550</v>
      </c>
      <c r="AO251" s="4">
        <v>6480</v>
      </c>
      <c r="AP251" s="4">
        <v>6700</v>
      </c>
      <c r="AQ251" s="4">
        <v>6000</v>
      </c>
      <c r="AR251" s="4">
        <v>5660</v>
      </c>
      <c r="AS251" s="4">
        <v>5660</v>
      </c>
      <c r="AT251" s="4">
        <v>4960</v>
      </c>
      <c r="AU251" s="4">
        <v>4445</v>
      </c>
      <c r="AV251" s="4">
        <v>4250</v>
      </c>
      <c r="AW251" s="4">
        <v>4215</v>
      </c>
      <c r="AX251" s="4">
        <v>4710</v>
      </c>
      <c r="AY251" s="4">
        <v>4490</v>
      </c>
      <c r="AZ251" s="4">
        <v>4795</v>
      </c>
      <c r="BA251" s="4">
        <v>4495</v>
      </c>
      <c r="BB251" s="4">
        <v>3795</v>
      </c>
      <c r="BC251" s="4">
        <v>3825</v>
      </c>
      <c r="BD251" s="4">
        <v>4100</v>
      </c>
      <c r="BE251" s="4">
        <v>4000</v>
      </c>
      <c r="BF251" s="4">
        <v>4095</v>
      </c>
      <c r="BG251" s="4">
        <v>3395</v>
      </c>
      <c r="BH251" s="4">
        <v>2891</v>
      </c>
      <c r="BI251" s="4">
        <v>2940</v>
      </c>
      <c r="BJ251" s="4">
        <v>2985</v>
      </c>
      <c r="BK251" s="4">
        <v>3125</v>
      </c>
      <c r="BL251" s="4">
        <v>2624</v>
      </c>
    </row>
    <row r="252" spans="1:64">
      <c r="A252" s="65" t="s">
        <v>553</v>
      </c>
      <c r="B252" s="4" t="str">
        <f>銘柄管理!C252</f>
        <v>ＭＩＣ</v>
      </c>
      <c r="C252" s="4">
        <f>_xll.RssMarket("300A","現在値")</f>
        <v>2847</v>
      </c>
      <c r="E252" s="4">
        <v>2847</v>
      </c>
      <c r="F252" s="4">
        <v>2810</v>
      </c>
      <c r="G252" s="4">
        <v>2867</v>
      </c>
      <c r="H252" s="4">
        <v>2780</v>
      </c>
      <c r="I252" s="4">
        <v>2800</v>
      </c>
      <c r="J252" s="4">
        <v>2737</v>
      </c>
      <c r="K252" s="4">
        <v>2804</v>
      </c>
      <c r="L252" s="4">
        <v>2755</v>
      </c>
      <c r="M252" s="4">
        <v>2804</v>
      </c>
      <c r="N252" s="4">
        <v>2844</v>
      </c>
      <c r="O252" s="4">
        <v>2872</v>
      </c>
      <c r="P252" s="4">
        <v>2835</v>
      </c>
      <c r="Q252" s="4">
        <v>2887</v>
      </c>
      <c r="R252" s="4">
        <v>2844</v>
      </c>
      <c r="S252" s="4">
        <v>2869</v>
      </c>
      <c r="T252" s="4">
        <v>2918</v>
      </c>
      <c r="U252" s="4">
        <v>2864</v>
      </c>
      <c r="V252" s="4">
        <v>2891</v>
      </c>
      <c r="W252" s="4">
        <v>2900</v>
      </c>
      <c r="X252" s="4">
        <v>2874</v>
      </c>
      <c r="Y252" s="4">
        <v>2950</v>
      </c>
      <c r="Z252" s="4">
        <v>2604</v>
      </c>
      <c r="AA252" s="4">
        <v>2781</v>
      </c>
      <c r="AB252" s="4">
        <v>2731</v>
      </c>
      <c r="AC252" s="4">
        <v>2802</v>
      </c>
      <c r="AD252" s="4">
        <v>2782</v>
      </c>
      <c r="AE252" s="4">
        <v>2753</v>
      </c>
      <c r="AF252" s="4">
        <v>2795</v>
      </c>
      <c r="AG252" s="4">
        <v>2768</v>
      </c>
      <c r="AH252" s="4">
        <v>2849</v>
      </c>
      <c r="AI252" s="4">
        <v>2762</v>
      </c>
      <c r="AJ252" s="4">
        <v>2879</v>
      </c>
      <c r="AK252" s="4">
        <v>2950</v>
      </c>
      <c r="AL252" s="4">
        <v>3060</v>
      </c>
      <c r="AM252" s="4">
        <v>3075</v>
      </c>
      <c r="AN252" s="4">
        <v>3045</v>
      </c>
      <c r="AO252" s="4">
        <v>2982</v>
      </c>
      <c r="AP252" s="4">
        <v>2998</v>
      </c>
      <c r="AQ252" s="4">
        <v>2945</v>
      </c>
      <c r="AR252" s="4">
        <v>2913</v>
      </c>
      <c r="AS252" s="4">
        <v>2898</v>
      </c>
      <c r="AT252" s="4">
        <v>2928</v>
      </c>
      <c r="AU252" s="4">
        <v>2853</v>
      </c>
      <c r="AV252" s="4">
        <v>2820</v>
      </c>
      <c r="AW252" s="4">
        <v>2824</v>
      </c>
      <c r="AX252" s="4">
        <v>2842</v>
      </c>
      <c r="AY252" s="4">
        <v>2845</v>
      </c>
      <c r="AZ252" s="4">
        <v>2808</v>
      </c>
      <c r="BA252" s="4">
        <v>2865</v>
      </c>
      <c r="BB252" s="4">
        <v>2749</v>
      </c>
      <c r="BC252" s="4">
        <v>2720</v>
      </c>
      <c r="BD252" s="4">
        <v>2842</v>
      </c>
      <c r="BE252" s="4">
        <v>2770</v>
      </c>
      <c r="BF252" s="4">
        <v>2818</v>
      </c>
      <c r="BG252" s="4">
        <v>2725</v>
      </c>
      <c r="BH252" s="4">
        <v>2650</v>
      </c>
      <c r="BI252" s="4">
        <v>2774</v>
      </c>
      <c r="BJ252" s="4">
        <v>2834</v>
      </c>
      <c r="BK252" s="4">
        <v>2784</v>
      </c>
      <c r="BL252" s="4">
        <v>2782</v>
      </c>
    </row>
    <row r="253" spans="1:64">
      <c r="A253" s="65" t="s">
        <v>554</v>
      </c>
      <c r="B253" s="4" t="str">
        <f>銘柄管理!C253</f>
        <v>サイボウズ</v>
      </c>
      <c r="C253" s="4">
        <f>_xll.RssMarket("4776","現在値")</f>
        <v>2299</v>
      </c>
      <c r="E253" s="4">
        <v>2299</v>
      </c>
      <c r="F253" s="4">
        <v>2297</v>
      </c>
      <c r="G253" s="4">
        <v>2293</v>
      </c>
      <c r="H253" s="4">
        <v>2322</v>
      </c>
      <c r="I253" s="4">
        <v>2339</v>
      </c>
      <c r="J253" s="4">
        <v>2368</v>
      </c>
      <c r="K253" s="4">
        <v>2462</v>
      </c>
      <c r="L253" s="4">
        <v>2400</v>
      </c>
      <c r="M253" s="4">
        <v>2469</v>
      </c>
      <c r="N253" s="4">
        <v>2657</v>
      </c>
      <c r="O253" s="4">
        <v>2597</v>
      </c>
      <c r="P253" s="4">
        <v>2539</v>
      </c>
      <c r="Q253" s="4">
        <v>2515</v>
      </c>
      <c r="R253" s="4">
        <v>2559</v>
      </c>
      <c r="S253" s="4">
        <v>2587</v>
      </c>
      <c r="T253" s="4">
        <v>2513</v>
      </c>
      <c r="U253" s="4">
        <v>2495</v>
      </c>
      <c r="V253" s="4">
        <v>2452</v>
      </c>
      <c r="W253" s="4">
        <v>2449</v>
      </c>
      <c r="X253" s="4">
        <v>2365</v>
      </c>
      <c r="Y253" s="4">
        <v>2392</v>
      </c>
      <c r="Z253" s="4">
        <v>2124</v>
      </c>
      <c r="AA253" s="4">
        <v>2197</v>
      </c>
      <c r="AB253" s="4">
        <v>2136</v>
      </c>
      <c r="AC253" s="4">
        <v>2178</v>
      </c>
      <c r="AD253" s="4">
        <v>2185</v>
      </c>
      <c r="AE253" s="4">
        <v>2121</v>
      </c>
      <c r="AF253" s="4">
        <v>2082</v>
      </c>
      <c r="AG253" s="4">
        <v>2078</v>
      </c>
      <c r="AH253" s="4">
        <v>2116</v>
      </c>
      <c r="AI253" s="4">
        <v>2113</v>
      </c>
      <c r="AJ253" s="4">
        <v>2116</v>
      </c>
      <c r="AK253" s="4">
        <v>2116</v>
      </c>
      <c r="AL253" s="4">
        <v>2158</v>
      </c>
      <c r="AM253" s="4">
        <v>2133</v>
      </c>
      <c r="AN253" s="4">
        <v>2180</v>
      </c>
      <c r="AO253" s="4">
        <v>2282</v>
      </c>
      <c r="AP253" s="4">
        <v>2187</v>
      </c>
      <c r="AQ253" s="4">
        <v>2113</v>
      </c>
      <c r="AR253" s="4">
        <v>2041</v>
      </c>
      <c r="AS253" s="4">
        <v>1965</v>
      </c>
      <c r="AT253" s="4">
        <v>1977</v>
      </c>
      <c r="AU253" s="4">
        <v>2038</v>
      </c>
      <c r="AV253" s="4">
        <v>2113</v>
      </c>
      <c r="AW253" s="4">
        <v>2083</v>
      </c>
      <c r="AX253" s="4">
        <v>2053</v>
      </c>
      <c r="AY253" s="4">
        <v>2033</v>
      </c>
      <c r="AZ253" s="4">
        <v>2037</v>
      </c>
      <c r="BA253" s="4">
        <v>2087</v>
      </c>
      <c r="BB253" s="4">
        <v>2067</v>
      </c>
      <c r="BC253" s="4">
        <v>2044</v>
      </c>
      <c r="BD253" s="4">
        <v>2098</v>
      </c>
      <c r="BE253" s="4">
        <v>2048</v>
      </c>
      <c r="BF253" s="4">
        <v>2065</v>
      </c>
      <c r="BG253" s="4">
        <v>2044</v>
      </c>
      <c r="BH253" s="4">
        <v>1992</v>
      </c>
      <c r="BI253" s="4">
        <v>2082</v>
      </c>
      <c r="BJ253" s="4">
        <v>2152</v>
      </c>
      <c r="BK253" s="4">
        <v>2120</v>
      </c>
      <c r="BL253" s="4">
        <v>2137</v>
      </c>
    </row>
    <row r="254" spans="1:64">
      <c r="A254" s="65" t="s">
        <v>555</v>
      </c>
      <c r="B254" s="4" t="str">
        <f>銘柄管理!C254</f>
        <v>トレンドマイクロ</v>
      </c>
      <c r="C254" s="4">
        <f>_xll.RssMarket("4704","現在値")</f>
        <v>5820</v>
      </c>
      <c r="E254" s="4">
        <v>5820</v>
      </c>
      <c r="F254" s="4">
        <v>5749</v>
      </c>
      <c r="G254" s="4">
        <v>5900</v>
      </c>
      <c r="H254" s="4">
        <v>6135</v>
      </c>
      <c r="I254" s="4">
        <v>6217</v>
      </c>
      <c r="J254" s="4">
        <v>6328</v>
      </c>
      <c r="K254" s="4">
        <v>6678</v>
      </c>
      <c r="L254" s="4">
        <v>6225</v>
      </c>
      <c r="M254" s="4">
        <v>6333</v>
      </c>
      <c r="N254" s="4">
        <v>6351</v>
      </c>
      <c r="O254" s="4">
        <v>6353</v>
      </c>
      <c r="P254" s="4">
        <v>6010</v>
      </c>
      <c r="Q254" s="4">
        <v>5880</v>
      </c>
      <c r="R254" s="4">
        <v>6065</v>
      </c>
      <c r="S254" s="4">
        <v>6356</v>
      </c>
      <c r="T254" s="4">
        <v>6184</v>
      </c>
      <c r="U254" s="4">
        <v>5990</v>
      </c>
      <c r="V254" s="4">
        <v>5944</v>
      </c>
      <c r="W254" s="4">
        <v>6113</v>
      </c>
      <c r="X254" s="4">
        <v>5905</v>
      </c>
      <c r="Y254" s="4">
        <v>5537</v>
      </c>
      <c r="Z254" s="4">
        <v>5471</v>
      </c>
      <c r="AA254" s="4">
        <v>5607</v>
      </c>
      <c r="AB254" s="4">
        <v>5594</v>
      </c>
      <c r="AC254" s="4">
        <v>5645</v>
      </c>
      <c r="AD254" s="4">
        <v>5645</v>
      </c>
      <c r="AE254" s="4">
        <v>5535</v>
      </c>
      <c r="AF254" s="4">
        <v>5304</v>
      </c>
      <c r="AG254" s="4">
        <v>5476</v>
      </c>
      <c r="AH254" s="4">
        <v>5611</v>
      </c>
      <c r="AI254" s="4">
        <v>5476</v>
      </c>
      <c r="AJ254" s="4">
        <v>5576</v>
      </c>
      <c r="AK254" s="4">
        <v>5765</v>
      </c>
      <c r="AL254" s="4">
        <v>5879</v>
      </c>
      <c r="AM254" s="4">
        <v>5986</v>
      </c>
      <c r="AN254" s="4">
        <v>5756</v>
      </c>
      <c r="AO254" s="4">
        <v>5978</v>
      </c>
      <c r="AP254" s="4">
        <v>5998</v>
      </c>
      <c r="AQ254" s="4">
        <v>5459</v>
      </c>
      <c r="AR254" s="4">
        <v>5361</v>
      </c>
      <c r="AS254" s="4">
        <v>5143</v>
      </c>
      <c r="AT254" s="4">
        <v>5135</v>
      </c>
      <c r="AU254" s="4">
        <v>5356</v>
      </c>
      <c r="AV254" s="4">
        <v>5504</v>
      </c>
      <c r="AW254" s="4">
        <v>5365</v>
      </c>
      <c r="AX254" s="4">
        <v>5324</v>
      </c>
      <c r="AY254" s="4">
        <v>5316</v>
      </c>
      <c r="AZ254" s="4">
        <v>5301</v>
      </c>
      <c r="BA254" s="4">
        <v>5371</v>
      </c>
      <c r="BB254" s="4">
        <v>5240</v>
      </c>
      <c r="BC254" s="4">
        <v>5172</v>
      </c>
      <c r="BD254" s="4">
        <v>5338</v>
      </c>
      <c r="BE254" s="4">
        <v>5217</v>
      </c>
      <c r="BF254" s="4">
        <v>5323</v>
      </c>
      <c r="BG254" s="4">
        <v>5363</v>
      </c>
      <c r="BH254" s="4">
        <v>5295</v>
      </c>
      <c r="BI254" s="4">
        <v>5347</v>
      </c>
      <c r="BJ254" s="4">
        <v>5343</v>
      </c>
      <c r="BK254" s="4">
        <v>5303</v>
      </c>
      <c r="BL254" s="4">
        <v>5365</v>
      </c>
    </row>
    <row r="255" spans="1:64">
      <c r="A255" s="65" t="s">
        <v>556</v>
      </c>
      <c r="B255" s="4" t="str">
        <f>銘柄管理!C255</f>
        <v>栗田工業</v>
      </c>
      <c r="C255" s="4">
        <f>_xll.RssMarket("6370","現在値")</f>
        <v>9370</v>
      </c>
      <c r="E255" s="4">
        <v>9370</v>
      </c>
      <c r="F255" s="4">
        <v>9187</v>
      </c>
      <c r="G255" s="4">
        <v>8383</v>
      </c>
      <c r="H255" s="4">
        <v>8125</v>
      </c>
      <c r="I255" s="4">
        <v>8200</v>
      </c>
      <c r="J255" s="4">
        <v>8279</v>
      </c>
      <c r="K255" s="4">
        <v>8769</v>
      </c>
      <c r="L255" s="4">
        <v>8839</v>
      </c>
      <c r="M255" s="4">
        <v>8856</v>
      </c>
      <c r="N255" s="4">
        <v>8490</v>
      </c>
      <c r="O255" s="4">
        <v>8699</v>
      </c>
      <c r="P255" s="4">
        <v>8753</v>
      </c>
      <c r="Q255" s="4">
        <v>8691</v>
      </c>
      <c r="R255" s="4">
        <v>8819</v>
      </c>
      <c r="S255" s="4">
        <v>8776</v>
      </c>
      <c r="T255" s="4">
        <v>8684</v>
      </c>
      <c r="U255" s="4">
        <v>8563</v>
      </c>
      <c r="V255" s="4">
        <v>8388</v>
      </c>
      <c r="W255" s="4">
        <v>8766</v>
      </c>
      <c r="X255" s="4">
        <v>8720</v>
      </c>
      <c r="Y255" s="4">
        <v>9000</v>
      </c>
      <c r="Z255" s="4">
        <v>8809</v>
      </c>
      <c r="AA255" s="4">
        <v>8917</v>
      </c>
      <c r="AB255" s="4">
        <v>9036</v>
      </c>
      <c r="AC255" s="4">
        <v>8937</v>
      </c>
      <c r="AD255" s="4">
        <v>8648</v>
      </c>
      <c r="AE255" s="4">
        <v>8358</v>
      </c>
      <c r="AF255" s="4">
        <v>8044</v>
      </c>
      <c r="AG255" s="4">
        <v>8429</v>
      </c>
      <c r="AH255" s="4">
        <v>8477</v>
      </c>
      <c r="AI255" s="4">
        <v>8303</v>
      </c>
      <c r="AJ255" s="4">
        <v>7796</v>
      </c>
      <c r="AK255" s="4">
        <v>7827</v>
      </c>
      <c r="AL255" s="4">
        <v>7818</v>
      </c>
      <c r="AM255" s="4">
        <v>8038</v>
      </c>
      <c r="AN255" s="4">
        <v>8163</v>
      </c>
      <c r="AO255" s="4">
        <v>8080</v>
      </c>
      <c r="AP255" s="4">
        <v>7971</v>
      </c>
      <c r="AQ255" s="4">
        <v>7916</v>
      </c>
      <c r="AR255" s="4">
        <v>7947</v>
      </c>
      <c r="AS255" s="4">
        <v>8090</v>
      </c>
      <c r="AT255" s="4">
        <v>8118</v>
      </c>
      <c r="AU255" s="4">
        <v>8059</v>
      </c>
      <c r="AV255" s="4">
        <v>8115</v>
      </c>
      <c r="AW255" s="4">
        <v>7748</v>
      </c>
      <c r="AX255" s="4">
        <v>7704</v>
      </c>
      <c r="AY255" s="4">
        <v>7685</v>
      </c>
      <c r="AZ255" s="4">
        <v>7573</v>
      </c>
      <c r="BA255" s="4">
        <v>7730</v>
      </c>
      <c r="BB255" s="4">
        <v>7328</v>
      </c>
      <c r="BC255" s="4">
        <v>7353</v>
      </c>
      <c r="BD255" s="4">
        <v>7674</v>
      </c>
      <c r="BE255" s="4">
        <v>7745</v>
      </c>
      <c r="BF255" s="4">
        <v>7702</v>
      </c>
      <c r="BG255" s="4">
        <v>7522</v>
      </c>
      <c r="BH255" s="4">
        <v>7186</v>
      </c>
      <c r="BI255" s="4">
        <v>7698</v>
      </c>
      <c r="BJ255" s="4">
        <v>7974</v>
      </c>
      <c r="BK255" s="4">
        <v>7826</v>
      </c>
      <c r="BL255" s="4">
        <v>7740</v>
      </c>
    </row>
    <row r="256" spans="1:64">
      <c r="A256" s="65" t="s">
        <v>557</v>
      </c>
      <c r="B256" s="4" t="str">
        <f>銘柄管理!C256</f>
        <v>名村造船所</v>
      </c>
      <c r="C256" s="4">
        <f>_xll.RssMarket("7014","現在値")</f>
        <v>3875</v>
      </c>
      <c r="E256" s="4">
        <v>3875</v>
      </c>
      <c r="F256" s="4">
        <v>3770</v>
      </c>
      <c r="G256" s="4">
        <v>3545</v>
      </c>
      <c r="H256" s="4">
        <v>3430</v>
      </c>
      <c r="I256" s="4">
        <v>3415</v>
      </c>
      <c r="J256" s="4">
        <v>3590</v>
      </c>
      <c r="K256" s="4">
        <v>3695</v>
      </c>
      <c r="L256" s="4">
        <v>3445</v>
      </c>
      <c r="M256" s="4">
        <v>3555</v>
      </c>
      <c r="N256" s="4">
        <v>3470</v>
      </c>
      <c r="O256" s="4">
        <v>3525</v>
      </c>
      <c r="P256" s="4">
        <v>3735</v>
      </c>
      <c r="Q256" s="4">
        <v>3800</v>
      </c>
      <c r="R256" s="4">
        <v>4075</v>
      </c>
      <c r="S256" s="4">
        <v>4080</v>
      </c>
      <c r="T256" s="4">
        <v>3815</v>
      </c>
      <c r="U256" s="4">
        <v>8563</v>
      </c>
      <c r="V256" s="4">
        <v>8388</v>
      </c>
      <c r="W256" s="4">
        <v>8766</v>
      </c>
      <c r="X256" s="4">
        <v>8720</v>
      </c>
      <c r="Y256" s="4">
        <v>9000</v>
      </c>
      <c r="Z256" s="4">
        <v>8809</v>
      </c>
      <c r="AA256" s="4">
        <v>8917</v>
      </c>
      <c r="AB256" s="4">
        <v>9036</v>
      </c>
      <c r="AC256" s="4">
        <v>8937</v>
      </c>
      <c r="AD256" s="4">
        <v>8648</v>
      </c>
      <c r="AE256" s="4">
        <v>8358</v>
      </c>
      <c r="AF256" s="4">
        <v>8044</v>
      </c>
      <c r="AG256" s="4">
        <v>8429</v>
      </c>
      <c r="AH256" s="4">
        <v>8477</v>
      </c>
      <c r="AI256" s="4">
        <v>8303</v>
      </c>
      <c r="AJ256" s="4">
        <v>7796</v>
      </c>
      <c r="AK256" s="4">
        <v>7827</v>
      </c>
      <c r="AL256" s="4">
        <v>7818</v>
      </c>
      <c r="AM256" s="4">
        <v>8038</v>
      </c>
      <c r="AN256" s="4">
        <v>8163</v>
      </c>
      <c r="AO256" s="4">
        <v>8080</v>
      </c>
      <c r="AP256" s="4">
        <v>7971</v>
      </c>
      <c r="AQ256" s="4">
        <v>7916</v>
      </c>
      <c r="AR256" s="4">
        <v>7947</v>
      </c>
      <c r="AS256" s="4">
        <v>8090</v>
      </c>
      <c r="AT256" s="4">
        <v>8118</v>
      </c>
      <c r="AU256" s="4">
        <v>8059</v>
      </c>
      <c r="AV256" s="4">
        <v>8115</v>
      </c>
      <c r="AW256" s="4">
        <v>7748</v>
      </c>
      <c r="AX256" s="4">
        <v>7704</v>
      </c>
      <c r="AY256" s="4">
        <v>7685</v>
      </c>
      <c r="AZ256" s="4">
        <v>7573</v>
      </c>
      <c r="BA256" s="4">
        <v>7730</v>
      </c>
      <c r="BB256" s="4">
        <v>7328</v>
      </c>
      <c r="BC256" s="4">
        <v>7353</v>
      </c>
      <c r="BD256" s="4">
        <v>7674</v>
      </c>
      <c r="BE256" s="4">
        <v>7745</v>
      </c>
      <c r="BF256" s="4">
        <v>7702</v>
      </c>
      <c r="BG256" s="4">
        <v>7522</v>
      </c>
      <c r="BH256" s="4">
        <v>7186</v>
      </c>
      <c r="BI256" s="4">
        <v>7698</v>
      </c>
      <c r="BJ256" s="4">
        <v>7974</v>
      </c>
      <c r="BK256" s="4">
        <v>7826</v>
      </c>
      <c r="BL256" s="4">
        <v>7740</v>
      </c>
    </row>
    <row r="257" spans="1:64">
      <c r="A257" s="65" t="s">
        <v>558</v>
      </c>
      <c r="B257" s="4" t="str">
        <f>銘柄管理!C257</f>
        <v>イノテック</v>
      </c>
      <c r="C257" s="4">
        <f>_xll.RssMarket("9880","現在値")</f>
        <v>4115</v>
      </c>
      <c r="E257" s="4">
        <v>4115</v>
      </c>
      <c r="F257" s="4">
        <v>3955</v>
      </c>
      <c r="G257" s="4">
        <v>4005</v>
      </c>
      <c r="H257" s="4">
        <v>4035</v>
      </c>
      <c r="I257" s="4">
        <v>4100</v>
      </c>
      <c r="J257" s="4">
        <v>4195</v>
      </c>
      <c r="K257" s="4">
        <v>4480</v>
      </c>
      <c r="L257" s="4">
        <v>4530</v>
      </c>
      <c r="M257" s="4">
        <v>4370</v>
      </c>
      <c r="N257" s="4">
        <v>4270</v>
      </c>
      <c r="O257" s="4">
        <v>4345</v>
      </c>
      <c r="P257" s="4">
        <v>4185</v>
      </c>
      <c r="Q257" s="4">
        <v>4320</v>
      </c>
      <c r="R257" s="4">
        <v>4310</v>
      </c>
      <c r="S257" s="4">
        <v>4585</v>
      </c>
      <c r="T257" s="4">
        <v>4345</v>
      </c>
      <c r="U257" s="4">
        <v>4305</v>
      </c>
      <c r="V257" s="4">
        <v>4100</v>
      </c>
      <c r="W257" s="4">
        <v>4280</v>
      </c>
      <c r="X257" s="4">
        <v>4540</v>
      </c>
      <c r="Y257" s="4">
        <v>3840</v>
      </c>
      <c r="Z257" s="4">
        <v>3345</v>
      </c>
      <c r="AA257" s="4">
        <v>3290</v>
      </c>
      <c r="AB257" s="4">
        <v>3370</v>
      </c>
      <c r="AC257" s="4">
        <v>3385</v>
      </c>
      <c r="AD257" s="4">
        <v>3220</v>
      </c>
      <c r="AE257" s="4">
        <v>3225</v>
      </c>
      <c r="AF257" s="4">
        <v>2823</v>
      </c>
      <c r="AG257" s="4">
        <v>2859</v>
      </c>
      <c r="AH257" s="4">
        <v>2814</v>
      </c>
      <c r="AI257" s="4">
        <v>2764</v>
      </c>
      <c r="AJ257" s="4">
        <v>2749</v>
      </c>
      <c r="AK257" s="4">
        <v>2633</v>
      </c>
      <c r="AL257" s="4">
        <v>2672</v>
      </c>
      <c r="AM257" s="4">
        <v>2737</v>
      </c>
      <c r="AN257" s="4">
        <v>2755</v>
      </c>
      <c r="AO257" s="4">
        <v>2807</v>
      </c>
      <c r="AP257" s="4">
        <v>2895</v>
      </c>
      <c r="AQ257" s="4">
        <v>2852</v>
      </c>
      <c r="AR257" s="4">
        <v>2678</v>
      </c>
      <c r="AS257" s="4">
        <v>2610</v>
      </c>
      <c r="AT257" s="4">
        <v>2594</v>
      </c>
      <c r="AU257" s="4">
        <v>2575</v>
      </c>
      <c r="AV257" s="4">
        <v>2624</v>
      </c>
      <c r="AW257" s="4">
        <v>2478</v>
      </c>
      <c r="AX257" s="4">
        <v>2508</v>
      </c>
      <c r="AY257" s="4">
        <v>2479</v>
      </c>
      <c r="AZ257" s="4">
        <v>2443</v>
      </c>
      <c r="BA257" s="4">
        <v>2495</v>
      </c>
      <c r="BB257" s="4">
        <v>2401</v>
      </c>
      <c r="BC257" s="4">
        <v>2401</v>
      </c>
      <c r="BD257" s="4">
        <v>2567</v>
      </c>
      <c r="BE257" s="4">
        <v>2597</v>
      </c>
      <c r="BF257" s="4">
        <v>2559</v>
      </c>
      <c r="BG257" s="4">
        <v>2476</v>
      </c>
      <c r="BH257" s="4">
        <v>2371</v>
      </c>
      <c r="BI257" s="4">
        <v>2532</v>
      </c>
      <c r="BJ257" s="4">
        <v>2660</v>
      </c>
      <c r="BK257" s="4">
        <v>2553</v>
      </c>
      <c r="BL257" s="4">
        <v>2607</v>
      </c>
    </row>
    <row r="258" spans="1:64">
      <c r="A258" s="65" t="s">
        <v>559</v>
      </c>
      <c r="B258" s="4" t="str">
        <f>銘柄管理!C258</f>
        <v>カバー</v>
      </c>
      <c r="C258" s="4">
        <f>_xll.RssMarket("5253","現在値")</f>
        <v>1449</v>
      </c>
      <c r="E258" s="4">
        <v>1449</v>
      </c>
      <c r="F258" s="4">
        <v>1415</v>
      </c>
      <c r="G258" s="4">
        <v>1429</v>
      </c>
      <c r="H258" s="4">
        <v>1522</v>
      </c>
      <c r="I258" s="4">
        <v>1520</v>
      </c>
      <c r="J258" s="4">
        <v>1636</v>
      </c>
      <c r="K258" s="4">
        <v>1630</v>
      </c>
      <c r="L258" s="4">
        <v>1600</v>
      </c>
      <c r="M258" s="4">
        <v>1637</v>
      </c>
      <c r="N258" s="4">
        <v>1633</v>
      </c>
      <c r="O258" s="4">
        <v>1600</v>
      </c>
      <c r="P258" s="4">
        <v>1587</v>
      </c>
      <c r="Q258" s="4">
        <v>1564</v>
      </c>
      <c r="R258" s="4">
        <v>1693</v>
      </c>
      <c r="S258" s="4">
        <v>1760</v>
      </c>
      <c r="T258" s="4">
        <v>1743</v>
      </c>
      <c r="U258" s="4">
        <v>1700</v>
      </c>
      <c r="V258" s="4">
        <v>1671</v>
      </c>
      <c r="W258" s="4">
        <v>1572</v>
      </c>
      <c r="X258" s="4">
        <v>1466</v>
      </c>
      <c r="Y258" s="4">
        <v>1433</v>
      </c>
      <c r="Z258" s="4">
        <v>1430</v>
      </c>
      <c r="AA258" s="4">
        <v>1382</v>
      </c>
      <c r="AB258" s="4">
        <v>1411</v>
      </c>
      <c r="AC258" s="4">
        <v>1418</v>
      </c>
      <c r="AD258" s="4">
        <v>1415</v>
      </c>
      <c r="AE258" s="4">
        <v>1435</v>
      </c>
      <c r="AF258" s="4">
        <v>1372</v>
      </c>
      <c r="AG258" s="4">
        <v>1376</v>
      </c>
      <c r="AH258" s="4">
        <v>1350</v>
      </c>
      <c r="AI258" s="4">
        <v>1385</v>
      </c>
      <c r="AJ258" s="4">
        <v>1419</v>
      </c>
      <c r="AK258" s="4">
        <v>1425</v>
      </c>
      <c r="AL258" s="4">
        <v>1449</v>
      </c>
      <c r="AM258" s="4">
        <v>1450</v>
      </c>
      <c r="AN258" s="4">
        <v>1465</v>
      </c>
      <c r="AO258" s="4">
        <v>1441</v>
      </c>
      <c r="AP258" s="4">
        <v>1470</v>
      </c>
      <c r="AQ258" s="4">
        <v>1441</v>
      </c>
      <c r="AR258" s="4">
        <v>1408</v>
      </c>
      <c r="AS258" s="4">
        <v>1425</v>
      </c>
      <c r="AT258" s="4">
        <v>1476</v>
      </c>
      <c r="AU258" s="4">
        <v>1542</v>
      </c>
      <c r="AV258" s="4">
        <v>1419</v>
      </c>
      <c r="AW258" s="4">
        <v>1390</v>
      </c>
      <c r="AX258" s="4">
        <v>1377</v>
      </c>
      <c r="AY258" s="4">
        <v>1340</v>
      </c>
      <c r="AZ258" s="4">
        <v>1390</v>
      </c>
      <c r="BA258" s="4">
        <v>1336</v>
      </c>
      <c r="BB258" s="4">
        <v>1340</v>
      </c>
      <c r="BC258" s="4">
        <v>1389</v>
      </c>
      <c r="BD258" s="4">
        <v>1395</v>
      </c>
      <c r="BE258" s="4">
        <v>1471</v>
      </c>
      <c r="BF258" s="4">
        <v>1413</v>
      </c>
      <c r="BG258" s="4">
        <v>1411</v>
      </c>
      <c r="BH258" s="4">
        <v>1610</v>
      </c>
      <c r="BI258" s="4">
        <v>1611</v>
      </c>
      <c r="BJ258" s="4">
        <v>1637</v>
      </c>
      <c r="BK258" s="4">
        <v>1595</v>
      </c>
      <c r="BL258" s="4">
        <v>1628</v>
      </c>
    </row>
    <row r="259" spans="1:64">
      <c r="A259" s="65" t="s">
        <v>560</v>
      </c>
      <c r="B259" s="4" t="str">
        <f>銘柄管理!C259</f>
        <v>商船三井</v>
      </c>
      <c r="C259" s="4">
        <f>_xll.RssMarket("9104","現在値")</f>
        <v>5438</v>
      </c>
      <c r="E259" s="4">
        <v>5438</v>
      </c>
      <c r="F259" s="4">
        <v>5559</v>
      </c>
      <c r="G259" s="4">
        <v>5765</v>
      </c>
      <c r="H259" s="4">
        <v>5712</v>
      </c>
      <c r="I259" s="4">
        <v>5689</v>
      </c>
      <c r="J259" s="4">
        <v>5767</v>
      </c>
      <c r="K259" s="4">
        <v>5801</v>
      </c>
      <c r="L259" s="4">
        <v>5534</v>
      </c>
      <c r="M259" s="4">
        <v>5459</v>
      </c>
      <c r="N259" s="4">
        <v>5500</v>
      </c>
      <c r="O259" s="4">
        <v>5385</v>
      </c>
      <c r="P259" s="4">
        <v>5476</v>
      </c>
      <c r="Q259" s="4">
        <v>5433</v>
      </c>
      <c r="R259" s="4">
        <v>5454</v>
      </c>
      <c r="S259" s="4">
        <v>5560</v>
      </c>
      <c r="T259" s="4">
        <v>5650</v>
      </c>
      <c r="U259" s="4">
        <v>5709</v>
      </c>
      <c r="V259" s="4">
        <v>5795</v>
      </c>
      <c r="W259" s="4">
        <v>5824</v>
      </c>
      <c r="X259" s="4">
        <v>5851</v>
      </c>
      <c r="Y259" s="4">
        <v>5863</v>
      </c>
      <c r="Z259" s="4">
        <v>5901</v>
      </c>
      <c r="AA259" s="4">
        <v>5873</v>
      </c>
      <c r="AB259" s="4">
        <v>5846</v>
      </c>
      <c r="AC259" s="4">
        <v>5802</v>
      </c>
      <c r="AD259" s="4">
        <v>5774</v>
      </c>
      <c r="AE259" s="4">
        <v>5870</v>
      </c>
      <c r="AF259" s="4">
        <v>5917</v>
      </c>
      <c r="AG259" s="4">
        <v>5935</v>
      </c>
      <c r="AH259" s="4">
        <v>5965</v>
      </c>
      <c r="AI259" s="4">
        <v>5773</v>
      </c>
      <c r="AJ259" s="4">
        <v>6122</v>
      </c>
      <c r="AK259" s="4">
        <v>5999</v>
      </c>
      <c r="AL259" s="4">
        <v>6089</v>
      </c>
      <c r="AM259" s="4">
        <v>6088</v>
      </c>
      <c r="AN259" s="4">
        <v>6106</v>
      </c>
      <c r="AO259" s="4">
        <v>6307</v>
      </c>
      <c r="AP259" s="4">
        <v>6380</v>
      </c>
      <c r="AQ259" s="4">
        <v>6362</v>
      </c>
      <c r="AR259" s="4">
        <v>6408</v>
      </c>
      <c r="AS259" s="4">
        <v>6387</v>
      </c>
      <c r="AT259" s="4">
        <v>6473</v>
      </c>
      <c r="AU259" s="4">
        <v>6631</v>
      </c>
      <c r="AV259" s="4">
        <v>6593</v>
      </c>
      <c r="AW259" s="4">
        <v>6870</v>
      </c>
      <c r="AX259" s="4">
        <v>6851</v>
      </c>
      <c r="AY259" s="4">
        <v>6766</v>
      </c>
      <c r="AZ259" s="4">
        <v>6603</v>
      </c>
      <c r="BA259" s="4">
        <v>6498</v>
      </c>
      <c r="BB259" s="4">
        <v>6496</v>
      </c>
      <c r="BC259" s="4">
        <v>6763</v>
      </c>
      <c r="BD259" s="4">
        <v>7022</v>
      </c>
      <c r="BE259" s="4">
        <v>6862</v>
      </c>
      <c r="BF259" s="4">
        <v>6532</v>
      </c>
      <c r="BG259" s="4">
        <v>6410</v>
      </c>
      <c r="BH259" s="4">
        <v>6382</v>
      </c>
      <c r="BI259" s="4">
        <v>6976</v>
      </c>
      <c r="BJ259" s="4">
        <v>7014</v>
      </c>
      <c r="BK259" s="4">
        <v>6276</v>
      </c>
      <c r="BL259" s="4">
        <v>6039</v>
      </c>
    </row>
    <row r="260" spans="1:64">
      <c r="A260" s="65" t="s">
        <v>561</v>
      </c>
      <c r="B260" s="4" t="str">
        <f>銘柄管理!C260</f>
        <v>千代田化工建</v>
      </c>
      <c r="C260" s="4">
        <f>_xll.RssMarket("6366","現在値")</f>
        <v>798</v>
      </c>
      <c r="E260" s="4">
        <v>798</v>
      </c>
      <c r="F260" s="4">
        <v>762</v>
      </c>
      <c r="G260" s="4">
        <v>708</v>
      </c>
      <c r="H260" s="4">
        <v>668</v>
      </c>
      <c r="I260" s="4">
        <v>670</v>
      </c>
      <c r="J260" s="4">
        <v>694</v>
      </c>
      <c r="K260" s="4">
        <v>732</v>
      </c>
      <c r="L260" s="4">
        <v>717</v>
      </c>
      <c r="M260" s="4">
        <v>706</v>
      </c>
      <c r="N260" s="4">
        <v>722</v>
      </c>
      <c r="O260" s="4">
        <v>727</v>
      </c>
      <c r="P260" s="4">
        <v>753</v>
      </c>
      <c r="Q260" s="4">
        <v>745</v>
      </c>
      <c r="R260" s="4">
        <v>772</v>
      </c>
      <c r="S260" s="4">
        <v>811</v>
      </c>
      <c r="T260" s="4">
        <v>747</v>
      </c>
      <c r="U260" s="4">
        <v>712</v>
      </c>
      <c r="V260" s="4">
        <v>712</v>
      </c>
      <c r="W260" s="4">
        <v>771</v>
      </c>
      <c r="X260" s="4">
        <v>751</v>
      </c>
      <c r="Y260" s="4">
        <v>813</v>
      </c>
      <c r="Z260" s="4">
        <v>821</v>
      </c>
      <c r="AA260" s="4">
        <v>822</v>
      </c>
      <c r="AB260" s="4">
        <v>794</v>
      </c>
      <c r="AC260" s="4">
        <v>843</v>
      </c>
      <c r="AD260" s="4">
        <v>993</v>
      </c>
      <c r="AE260" s="4">
        <v>1045</v>
      </c>
      <c r="AF260" s="4">
        <v>1023</v>
      </c>
      <c r="AG260" s="4">
        <v>1011</v>
      </c>
      <c r="AH260" s="4">
        <v>1074</v>
      </c>
      <c r="AI260" s="4">
        <v>1027</v>
      </c>
      <c r="AJ260" s="4">
        <v>1027</v>
      </c>
      <c r="AK260" s="4">
        <v>1064</v>
      </c>
      <c r="AL260" s="4">
        <v>1064</v>
      </c>
      <c r="AM260" s="4">
        <v>1091</v>
      </c>
      <c r="AN260" s="4">
        <v>1111</v>
      </c>
      <c r="AO260" s="4">
        <v>1155</v>
      </c>
      <c r="AP260" s="4">
        <v>1173</v>
      </c>
      <c r="AQ260" s="4">
        <v>1118</v>
      </c>
      <c r="AR260" s="4">
        <v>1135</v>
      </c>
      <c r="AS260" s="4">
        <v>1132</v>
      </c>
      <c r="AT260" s="4">
        <v>1165</v>
      </c>
      <c r="AU260" s="4">
        <v>1214</v>
      </c>
      <c r="AV260" s="4">
        <v>1116</v>
      </c>
      <c r="AW260" s="4">
        <v>966</v>
      </c>
      <c r="AX260" s="4">
        <v>972</v>
      </c>
      <c r="AY260" s="4">
        <v>977</v>
      </c>
      <c r="AZ260" s="4">
        <v>978</v>
      </c>
      <c r="BA260" s="4">
        <v>990</v>
      </c>
      <c r="BB260" s="4">
        <v>893</v>
      </c>
      <c r="BC260" s="4">
        <v>906</v>
      </c>
      <c r="BD260" s="4">
        <v>917</v>
      </c>
      <c r="BE260" s="4">
        <v>936</v>
      </c>
      <c r="BF260" s="4">
        <v>1046</v>
      </c>
      <c r="BG260" s="4">
        <v>1056</v>
      </c>
      <c r="BH260" s="4">
        <v>1005</v>
      </c>
      <c r="BI260" s="4">
        <v>1148</v>
      </c>
      <c r="BJ260" s="4">
        <v>1228</v>
      </c>
      <c r="BK260" s="4">
        <v>1048</v>
      </c>
      <c r="BL260" s="4">
        <v>1055</v>
      </c>
    </row>
    <row r="261" spans="1:64">
      <c r="A261" s="65" t="s">
        <v>562</v>
      </c>
      <c r="B261" s="4" t="str">
        <f>銘柄管理!C261</f>
        <v>旭ダイヤモンド</v>
      </c>
      <c r="C261" s="4">
        <f>_xll.RssMarket("6140","現在値")</f>
        <v>1323</v>
      </c>
      <c r="E261" s="4">
        <v>1323</v>
      </c>
      <c r="F261" s="4">
        <v>1283</v>
      </c>
      <c r="G261" s="4">
        <v>1235</v>
      </c>
      <c r="H261" s="4">
        <v>1214</v>
      </c>
      <c r="I261" s="4">
        <v>1226</v>
      </c>
      <c r="J261" s="4">
        <v>1289</v>
      </c>
      <c r="K261" s="4">
        <v>1339</v>
      </c>
      <c r="L261" s="4">
        <v>1315</v>
      </c>
      <c r="M261" s="4">
        <v>1318</v>
      </c>
      <c r="N261" s="4">
        <v>1323</v>
      </c>
      <c r="O261" s="4">
        <v>1369</v>
      </c>
      <c r="P261" s="4">
        <v>1343</v>
      </c>
      <c r="Q261" s="4">
        <v>1362</v>
      </c>
      <c r="R261" s="4">
        <v>1350</v>
      </c>
      <c r="S261" s="4">
        <v>1396</v>
      </c>
      <c r="T261" s="4">
        <v>1362</v>
      </c>
      <c r="U261" s="4">
        <v>1275</v>
      </c>
      <c r="V261" s="4">
        <v>1289</v>
      </c>
      <c r="W261" s="4">
        <v>1296</v>
      </c>
      <c r="X261" s="4">
        <v>1290</v>
      </c>
      <c r="Y261" s="4">
        <v>1336</v>
      </c>
      <c r="Z261" s="4">
        <v>1356</v>
      </c>
      <c r="AA261" s="4">
        <v>1384</v>
      </c>
      <c r="AB261" s="4">
        <v>1341</v>
      </c>
      <c r="AC261" s="4">
        <v>1319</v>
      </c>
      <c r="AD261" s="4">
        <v>1330</v>
      </c>
      <c r="AE261" s="4">
        <v>1318</v>
      </c>
      <c r="AF261" s="4">
        <v>1292</v>
      </c>
      <c r="AG261" s="4">
        <v>1291</v>
      </c>
      <c r="AH261" s="4">
        <v>1314</v>
      </c>
      <c r="AI261" s="4">
        <v>1286</v>
      </c>
      <c r="AJ261" s="4">
        <v>1310</v>
      </c>
      <c r="AK261" s="4">
        <v>1272</v>
      </c>
      <c r="AL261" s="4">
        <v>1297</v>
      </c>
      <c r="AM261" s="4">
        <v>1311</v>
      </c>
      <c r="AN261" s="4">
        <v>1312</v>
      </c>
      <c r="AO261" s="4">
        <v>1332</v>
      </c>
      <c r="AP261" s="4">
        <v>1191</v>
      </c>
      <c r="AQ261" s="4">
        <v>1164</v>
      </c>
      <c r="AR261" s="4">
        <v>1176</v>
      </c>
      <c r="AS261" s="4">
        <v>1164</v>
      </c>
      <c r="AT261" s="4">
        <v>1173</v>
      </c>
      <c r="AU261" s="4">
        <v>1158</v>
      </c>
      <c r="AV261" s="4">
        <v>1192</v>
      </c>
      <c r="AW261" s="4">
        <v>1152</v>
      </c>
      <c r="AX261" s="4">
        <v>1155</v>
      </c>
      <c r="AY261" s="4">
        <v>1203</v>
      </c>
      <c r="AZ261" s="4">
        <v>1218</v>
      </c>
      <c r="BA261" s="4">
        <v>1238</v>
      </c>
      <c r="BB261" s="4">
        <v>1182</v>
      </c>
      <c r="BC261" s="4">
        <v>1228</v>
      </c>
      <c r="BD261" s="4">
        <v>1279</v>
      </c>
      <c r="BE261" s="4">
        <v>1250</v>
      </c>
      <c r="BF261" s="4">
        <v>1285</v>
      </c>
      <c r="BG261" s="4">
        <v>1234</v>
      </c>
      <c r="BH261" s="4">
        <v>1225</v>
      </c>
      <c r="BI261" s="4">
        <v>1342</v>
      </c>
      <c r="BJ261" s="4">
        <v>1392</v>
      </c>
      <c r="BK261" s="4">
        <v>1375</v>
      </c>
      <c r="BL261" s="4">
        <v>1401</v>
      </c>
    </row>
    <row r="262" spans="1:64">
      <c r="A262" s="65" t="s">
        <v>563</v>
      </c>
      <c r="B262" s="4" t="str">
        <f>銘柄管理!C262</f>
        <v>住石ホールディングス</v>
      </c>
      <c r="C262" s="4">
        <f>_xll.RssMarket("1514","現在値")</f>
        <v>550</v>
      </c>
      <c r="E262" s="4">
        <v>550</v>
      </c>
      <c r="F262" s="4">
        <v>545</v>
      </c>
      <c r="G262" s="4">
        <v>553</v>
      </c>
      <c r="H262" s="4">
        <v>548</v>
      </c>
      <c r="I262" s="4">
        <v>555</v>
      </c>
      <c r="J262" s="4">
        <v>577</v>
      </c>
      <c r="K262" s="4">
        <v>579</v>
      </c>
      <c r="L262" s="4">
        <v>550</v>
      </c>
      <c r="M262" s="4">
        <v>561</v>
      </c>
      <c r="N262" s="4">
        <v>569</v>
      </c>
      <c r="O262" s="4">
        <v>587</v>
      </c>
      <c r="P262" s="4">
        <v>591</v>
      </c>
      <c r="Q262" s="4">
        <v>606</v>
      </c>
      <c r="R262" s="4">
        <v>596</v>
      </c>
      <c r="S262" s="4">
        <v>603</v>
      </c>
      <c r="T262" s="4">
        <v>597</v>
      </c>
      <c r="U262" s="4">
        <v>589</v>
      </c>
      <c r="V262" s="4">
        <v>617</v>
      </c>
      <c r="W262" s="4">
        <v>621</v>
      </c>
      <c r="X262" s="4">
        <v>704</v>
      </c>
      <c r="Y262" s="4">
        <v>708</v>
      </c>
      <c r="Z262" s="4">
        <v>723</v>
      </c>
      <c r="AA262" s="4">
        <v>730</v>
      </c>
      <c r="AB262" s="4">
        <v>741</v>
      </c>
      <c r="AC262" s="4">
        <v>741</v>
      </c>
      <c r="AD262" s="4">
        <v>753</v>
      </c>
      <c r="AE262" s="4">
        <v>760</v>
      </c>
      <c r="AF262" s="4">
        <v>769</v>
      </c>
      <c r="AG262" s="4">
        <v>783</v>
      </c>
      <c r="AH262" s="4">
        <v>783</v>
      </c>
      <c r="AI262" s="4">
        <v>791</v>
      </c>
      <c r="AJ262" s="4">
        <v>808</v>
      </c>
      <c r="AK262" s="4">
        <v>827</v>
      </c>
      <c r="AL262" s="4">
        <v>854</v>
      </c>
      <c r="AM262" s="4">
        <v>861</v>
      </c>
      <c r="AN262" s="4">
        <v>841</v>
      </c>
      <c r="AO262" s="4">
        <v>873</v>
      </c>
      <c r="AP262" s="4">
        <v>850</v>
      </c>
      <c r="AQ262" s="4">
        <v>856</v>
      </c>
      <c r="AR262" s="4">
        <v>879</v>
      </c>
      <c r="AS262" s="4">
        <v>828</v>
      </c>
      <c r="AT262" s="4">
        <v>882</v>
      </c>
      <c r="AU262" s="4">
        <v>891</v>
      </c>
      <c r="AV262" s="4">
        <v>930</v>
      </c>
      <c r="AW262" s="4">
        <v>919</v>
      </c>
      <c r="AX262" s="4">
        <v>953</v>
      </c>
      <c r="AY262" s="4">
        <v>945</v>
      </c>
      <c r="AZ262" s="4">
        <v>986</v>
      </c>
      <c r="BA262" s="4">
        <v>992</v>
      </c>
      <c r="BB262" s="4">
        <v>1078</v>
      </c>
      <c r="BC262" s="4">
        <v>1009</v>
      </c>
      <c r="BD262" s="4">
        <v>859</v>
      </c>
      <c r="BE262" s="4">
        <v>893</v>
      </c>
      <c r="BF262" s="4">
        <v>863</v>
      </c>
      <c r="BG262" s="4">
        <v>872</v>
      </c>
      <c r="BH262" s="4">
        <v>939</v>
      </c>
      <c r="BI262" s="4">
        <v>1010</v>
      </c>
      <c r="BJ262" s="4">
        <v>1036</v>
      </c>
      <c r="BK262" s="4">
        <v>1051</v>
      </c>
      <c r="BL262" s="4">
        <v>1138</v>
      </c>
    </row>
    <row r="263" spans="1:64">
      <c r="A263" s="65" t="s">
        <v>564</v>
      </c>
      <c r="B263" s="4" t="str">
        <f>銘柄管理!C263</f>
        <v>日本製鋼所</v>
      </c>
      <c r="C263" s="4">
        <f>_xll.RssMarket("5631","現在値")</f>
        <v>8295</v>
      </c>
      <c r="E263" s="4">
        <v>8295</v>
      </c>
      <c r="F263" s="4">
        <v>7747</v>
      </c>
      <c r="G263" s="4">
        <v>7549</v>
      </c>
      <c r="H263" s="4">
        <v>7114</v>
      </c>
      <c r="I263" s="4">
        <v>7091</v>
      </c>
      <c r="J263" s="4">
        <v>7470</v>
      </c>
      <c r="K263" s="4">
        <v>7930</v>
      </c>
      <c r="L263" s="4">
        <v>7276</v>
      </c>
      <c r="M263" s="4">
        <v>7328</v>
      </c>
      <c r="N263" s="4">
        <v>7266</v>
      </c>
      <c r="O263" s="4">
        <v>7504</v>
      </c>
      <c r="P263" s="4">
        <v>7669</v>
      </c>
      <c r="Q263" s="4">
        <v>7847</v>
      </c>
      <c r="R263" s="4">
        <v>8007</v>
      </c>
      <c r="S263" s="4">
        <v>7889</v>
      </c>
      <c r="T263" s="4">
        <v>7924</v>
      </c>
      <c r="U263" s="4">
        <v>7742</v>
      </c>
      <c r="V263" s="4">
        <v>8094</v>
      </c>
      <c r="W263" s="4">
        <v>7998</v>
      </c>
      <c r="X263" s="4">
        <v>7806</v>
      </c>
      <c r="Y263" s="4">
        <v>7863</v>
      </c>
      <c r="Z263" s="4">
        <v>8076</v>
      </c>
      <c r="AA263" s="4">
        <v>8806</v>
      </c>
      <c r="AB263" s="4">
        <v>8819</v>
      </c>
      <c r="AC263" s="4">
        <v>9069</v>
      </c>
      <c r="AD263" s="4">
        <v>9209</v>
      </c>
      <c r="AE263" s="4">
        <v>9317</v>
      </c>
      <c r="AF263" s="4">
        <v>9283</v>
      </c>
      <c r="AG263" s="4">
        <v>9489</v>
      </c>
      <c r="AH263" s="4">
        <v>9760</v>
      </c>
      <c r="AI263" s="4">
        <v>9748</v>
      </c>
      <c r="AJ263" s="4">
        <v>9872</v>
      </c>
      <c r="AK263" s="4">
        <v>9755</v>
      </c>
      <c r="AL263" s="4">
        <v>9490</v>
      </c>
      <c r="AM263" s="4">
        <v>9425</v>
      </c>
      <c r="AN263" s="4">
        <v>9129</v>
      </c>
      <c r="AO263" s="4">
        <v>9061</v>
      </c>
      <c r="AP263" s="4">
        <v>9300</v>
      </c>
      <c r="AQ263" s="4">
        <v>9047</v>
      </c>
      <c r="AR263" s="4">
        <v>9726</v>
      </c>
      <c r="AS263" s="4">
        <v>9738</v>
      </c>
      <c r="AT263" s="4">
        <v>9836</v>
      </c>
      <c r="AU263" s="4">
        <v>9894</v>
      </c>
      <c r="AV263" s="4">
        <v>9618</v>
      </c>
      <c r="AW263" s="4">
        <v>9469</v>
      </c>
      <c r="AX263" s="4">
        <v>9677</v>
      </c>
      <c r="AY263" s="4">
        <v>9513</v>
      </c>
      <c r="AZ263" s="4">
        <v>9098</v>
      </c>
      <c r="BA263" s="4">
        <v>9249</v>
      </c>
      <c r="BB263" s="4">
        <v>8371</v>
      </c>
      <c r="BC263" s="4">
        <v>8806</v>
      </c>
      <c r="BD263" s="4">
        <v>9198</v>
      </c>
      <c r="BE263" s="4">
        <v>9483</v>
      </c>
      <c r="BF263" s="4">
        <v>9552</v>
      </c>
      <c r="BG263" s="4">
        <v>9257</v>
      </c>
      <c r="BH263" s="4">
        <v>9569</v>
      </c>
      <c r="BI263" s="4">
        <v>9901</v>
      </c>
      <c r="BJ263" s="4">
        <v>10305</v>
      </c>
      <c r="BK263" s="4">
        <v>9649</v>
      </c>
      <c r="BL263" s="4">
        <v>9877</v>
      </c>
    </row>
    <row r="264" spans="1:64">
      <c r="A264" s="65" t="s">
        <v>565</v>
      </c>
      <c r="B264" s="4" t="str">
        <f>銘柄管理!C264</f>
        <v>ジーエス・ユアサコーポ</v>
      </c>
      <c r="C264" s="4">
        <f>_xll.RssMarket("6674","現在値")</f>
        <v>6718</v>
      </c>
      <c r="E264" s="4">
        <v>6718</v>
      </c>
      <c r="F264" s="4">
        <v>6568</v>
      </c>
      <c r="G264" s="4">
        <v>6197</v>
      </c>
      <c r="H264" s="4">
        <v>6297</v>
      </c>
      <c r="I264" s="4">
        <v>6412</v>
      </c>
      <c r="J264" s="4">
        <v>6654</v>
      </c>
      <c r="K264" s="4">
        <v>7280</v>
      </c>
      <c r="L264" s="4">
        <v>7185</v>
      </c>
      <c r="M264" s="4">
        <v>7495</v>
      </c>
      <c r="N264" s="4">
        <v>6861</v>
      </c>
      <c r="O264" s="4">
        <v>6409</v>
      </c>
      <c r="P264" s="4">
        <v>6560</v>
      </c>
      <c r="Q264" s="4">
        <v>6438</v>
      </c>
      <c r="R264" s="4">
        <v>6298</v>
      </c>
      <c r="S264" s="4">
        <v>6320</v>
      </c>
      <c r="T264" s="4">
        <v>6148</v>
      </c>
      <c r="U264" s="4">
        <v>6038</v>
      </c>
      <c r="V264" s="4">
        <v>6118</v>
      </c>
      <c r="W264" s="4">
        <v>6336</v>
      </c>
      <c r="X264" s="4">
        <v>6285</v>
      </c>
      <c r="Y264" s="4">
        <v>6450</v>
      </c>
      <c r="Z264" s="4">
        <v>6286</v>
      </c>
      <c r="AA264" s="4">
        <v>6339</v>
      </c>
      <c r="AB264" s="4">
        <v>6710</v>
      </c>
      <c r="AC264" s="4">
        <v>6565</v>
      </c>
      <c r="AD264" s="4">
        <v>6620</v>
      </c>
      <c r="AE264" s="4">
        <v>6495</v>
      </c>
      <c r="AF264" s="4">
        <v>6278</v>
      </c>
      <c r="AG264" s="4">
        <v>6317</v>
      </c>
      <c r="AH264" s="4">
        <v>6164</v>
      </c>
      <c r="AI264" s="4">
        <v>6235</v>
      </c>
      <c r="AJ264" s="4">
        <v>6250</v>
      </c>
      <c r="AK264" s="4">
        <v>6323</v>
      </c>
      <c r="AL264" s="4">
        <v>6452</v>
      </c>
      <c r="AM264" s="4">
        <v>6669</v>
      </c>
      <c r="AN264" s="4">
        <v>6603</v>
      </c>
      <c r="AO264" s="4">
        <v>6745</v>
      </c>
      <c r="AP264" s="4">
        <v>6778</v>
      </c>
      <c r="AQ264" s="4">
        <v>6613</v>
      </c>
      <c r="AR264" s="4">
        <v>6590</v>
      </c>
      <c r="AS264" s="4">
        <v>6343</v>
      </c>
      <c r="AT264" s="4">
        <v>6331</v>
      </c>
      <c r="AU264" s="4">
        <v>6155</v>
      </c>
      <c r="AV264" s="4">
        <v>6176</v>
      </c>
      <c r="AW264" s="4">
        <v>5929</v>
      </c>
      <c r="AX264" s="4">
        <v>5977</v>
      </c>
      <c r="AY264" s="4">
        <v>5859</v>
      </c>
      <c r="AZ264" s="4">
        <v>5663</v>
      </c>
      <c r="BA264" s="4">
        <v>5687</v>
      </c>
      <c r="BB264" s="4">
        <v>5277</v>
      </c>
      <c r="BC264" s="4">
        <v>5391</v>
      </c>
      <c r="BD264" s="4">
        <v>5411</v>
      </c>
      <c r="BE264" s="4">
        <v>5181</v>
      </c>
      <c r="BF264" s="4">
        <v>5211</v>
      </c>
      <c r="BG264" s="4">
        <v>5015</v>
      </c>
      <c r="BH264" s="4">
        <v>4864</v>
      </c>
      <c r="BI264" s="4">
        <v>5071</v>
      </c>
      <c r="BJ264" s="4">
        <v>5214</v>
      </c>
      <c r="BK264" s="4">
        <v>5088</v>
      </c>
      <c r="BL264" s="4">
        <v>5038</v>
      </c>
    </row>
    <row r="265" spans="1:64">
      <c r="A265" s="65" t="s">
        <v>566</v>
      </c>
      <c r="B265" s="4" t="str">
        <f>銘柄管理!C265</f>
        <v>ＦＤＫ</v>
      </c>
      <c r="C265" s="4">
        <f>_xll.RssMarket("6955","現在値")</f>
        <v>513</v>
      </c>
      <c r="E265" s="4">
        <v>513</v>
      </c>
      <c r="F265" s="4">
        <v>502</v>
      </c>
      <c r="G265" s="4">
        <v>499</v>
      </c>
      <c r="H265" s="4">
        <v>505</v>
      </c>
      <c r="I265" s="4">
        <v>525</v>
      </c>
      <c r="J265" s="4">
        <v>640</v>
      </c>
      <c r="K265" s="4">
        <v>574</v>
      </c>
      <c r="L265" s="4">
        <v>494</v>
      </c>
      <c r="M265" s="4">
        <v>503</v>
      </c>
      <c r="N265" s="4">
        <v>437</v>
      </c>
      <c r="O265" s="4">
        <v>423</v>
      </c>
      <c r="P265" s="4">
        <v>422</v>
      </c>
      <c r="Q265" s="4">
        <v>449</v>
      </c>
      <c r="R265" s="4">
        <v>432</v>
      </c>
      <c r="S265" s="4">
        <v>403</v>
      </c>
      <c r="T265" s="4">
        <v>414</v>
      </c>
      <c r="U265" s="4">
        <v>406</v>
      </c>
      <c r="V265" s="4">
        <v>410</v>
      </c>
      <c r="W265" s="4">
        <v>416</v>
      </c>
      <c r="X265" s="4">
        <v>415</v>
      </c>
      <c r="Y265" s="4">
        <v>422</v>
      </c>
      <c r="Z265" s="4">
        <v>429</v>
      </c>
      <c r="AA265" s="4">
        <v>426</v>
      </c>
      <c r="AB265" s="4">
        <v>433</v>
      </c>
      <c r="AC265" s="4">
        <v>432</v>
      </c>
      <c r="AD265" s="4">
        <v>443</v>
      </c>
      <c r="AE265" s="4">
        <v>455</v>
      </c>
      <c r="AF265" s="4">
        <v>428</v>
      </c>
      <c r="AG265" s="4">
        <v>433</v>
      </c>
      <c r="AH265" s="4">
        <v>447</v>
      </c>
      <c r="AI265" s="4">
        <v>454</v>
      </c>
      <c r="AJ265" s="4">
        <v>450</v>
      </c>
      <c r="AK265" s="4">
        <v>450</v>
      </c>
      <c r="AL265" s="4">
        <v>448</v>
      </c>
      <c r="AM265" s="4">
        <v>452</v>
      </c>
      <c r="AN265" s="4">
        <v>456</v>
      </c>
      <c r="AO265" s="4">
        <v>448</v>
      </c>
      <c r="AP265" s="4">
        <v>463</v>
      </c>
      <c r="AQ265" s="4">
        <v>446</v>
      </c>
      <c r="AR265" s="4">
        <v>457</v>
      </c>
      <c r="AS265" s="4">
        <v>451</v>
      </c>
      <c r="AT265" s="4">
        <v>448</v>
      </c>
      <c r="AU265" s="4">
        <v>468</v>
      </c>
      <c r="AV265" s="4">
        <v>486</v>
      </c>
      <c r="AW265" s="4">
        <v>468</v>
      </c>
      <c r="AX265" s="4">
        <v>477</v>
      </c>
      <c r="AY265" s="4">
        <v>476</v>
      </c>
      <c r="AZ265" s="4">
        <v>460</v>
      </c>
      <c r="BA265" s="4">
        <v>478</v>
      </c>
      <c r="BB265" s="4">
        <v>468</v>
      </c>
      <c r="BC265" s="4">
        <v>477</v>
      </c>
      <c r="BD265" s="4">
        <v>483</v>
      </c>
      <c r="BE265" s="4">
        <v>487</v>
      </c>
      <c r="BF265" s="4">
        <v>490</v>
      </c>
      <c r="BG265" s="4">
        <v>476</v>
      </c>
      <c r="BH265" s="4">
        <v>471</v>
      </c>
      <c r="BI265" s="4">
        <v>503</v>
      </c>
      <c r="BJ265" s="4">
        <v>522</v>
      </c>
      <c r="BK265" s="4">
        <v>529</v>
      </c>
      <c r="BL265" s="4">
        <v>449</v>
      </c>
    </row>
    <row r="266" spans="1:64">
      <c r="A266" s="65" t="s">
        <v>567</v>
      </c>
      <c r="B266" s="4" t="str">
        <f>銘柄管理!C266</f>
        <v>インフォメティス</v>
      </c>
      <c r="C266" s="4">
        <f>_xll.RssMarket("281A","現在値")</f>
        <v>647</v>
      </c>
      <c r="E266" s="4">
        <v>647</v>
      </c>
      <c r="F266" s="4">
        <v>615</v>
      </c>
      <c r="G266" s="4">
        <v>534</v>
      </c>
      <c r="H266" s="4">
        <v>548</v>
      </c>
      <c r="I266" s="4">
        <v>543</v>
      </c>
      <c r="J266" s="4">
        <v>582</v>
      </c>
      <c r="K266" s="4">
        <v>613</v>
      </c>
      <c r="L266" s="4">
        <v>652</v>
      </c>
      <c r="M266" s="4">
        <v>695</v>
      </c>
      <c r="N266" s="4">
        <v>689</v>
      </c>
      <c r="O266" s="4">
        <v>687</v>
      </c>
      <c r="P266" s="4">
        <v>760</v>
      </c>
      <c r="Q266" s="4">
        <v>829</v>
      </c>
      <c r="R266" s="4">
        <v>825</v>
      </c>
      <c r="S266" s="4">
        <v>895</v>
      </c>
      <c r="T266" s="4">
        <v>805</v>
      </c>
      <c r="U266" s="4">
        <v>773</v>
      </c>
      <c r="V266" s="4">
        <v>775</v>
      </c>
      <c r="W266" s="4">
        <v>842</v>
      </c>
      <c r="X266" s="4">
        <v>823</v>
      </c>
      <c r="Y266" s="4">
        <v>765</v>
      </c>
      <c r="Z266" s="4">
        <v>716</v>
      </c>
      <c r="AA266" s="4">
        <v>746</v>
      </c>
      <c r="AB266" s="4">
        <v>756</v>
      </c>
      <c r="AC266" s="4">
        <v>806</v>
      </c>
      <c r="AD266" s="4">
        <v>819</v>
      </c>
      <c r="AE266" s="4">
        <v>757</v>
      </c>
      <c r="AF266" s="4">
        <v>740</v>
      </c>
      <c r="AG266" s="4">
        <v>693</v>
      </c>
      <c r="AH266" s="4">
        <v>712</v>
      </c>
      <c r="AI266" s="4">
        <v>763</v>
      </c>
      <c r="AJ266" s="4">
        <v>763</v>
      </c>
      <c r="AK266" s="4">
        <v>811</v>
      </c>
      <c r="AL266" s="4">
        <v>799</v>
      </c>
      <c r="AM266" s="4">
        <v>895</v>
      </c>
      <c r="AN266" s="4">
        <v>958</v>
      </c>
      <c r="AO266" s="4">
        <v>808</v>
      </c>
      <c r="AP266" s="4">
        <v>757</v>
      </c>
      <c r="AQ266" s="4">
        <v>780</v>
      </c>
      <c r="AR266" s="4">
        <v>680</v>
      </c>
      <c r="AS266" s="4">
        <v>664</v>
      </c>
      <c r="AT266" s="4">
        <v>627</v>
      </c>
      <c r="AU266" s="4">
        <v>643</v>
      </c>
      <c r="AV266" s="4">
        <v>543</v>
      </c>
      <c r="AW266" s="4">
        <v>535</v>
      </c>
      <c r="AX266" s="4">
        <v>595</v>
      </c>
      <c r="AY266" s="4">
        <v>517</v>
      </c>
      <c r="AZ266" s="4">
        <v>437</v>
      </c>
      <c r="BA266" s="4">
        <v>446</v>
      </c>
      <c r="BB266" s="4">
        <v>457</v>
      </c>
      <c r="BC266" s="4">
        <v>491</v>
      </c>
      <c r="BD266" s="4">
        <v>466</v>
      </c>
      <c r="BE266" s="4">
        <v>479</v>
      </c>
      <c r="BF266" s="4">
        <v>560</v>
      </c>
      <c r="BG266" s="4">
        <v>660</v>
      </c>
      <c r="BH266" s="4">
        <v>560</v>
      </c>
      <c r="BI266" s="4">
        <v>596</v>
      </c>
      <c r="BJ266" s="4">
        <v>577</v>
      </c>
      <c r="BK266" s="4">
        <v>497</v>
      </c>
      <c r="BL266" s="4">
        <v>417</v>
      </c>
    </row>
    <row r="267" spans="1:64">
      <c r="A267" s="65" t="s">
        <v>568</v>
      </c>
      <c r="B267" s="4" t="str">
        <f>銘柄管理!C267</f>
        <v>日本ギア工業</v>
      </c>
      <c r="C267" s="4">
        <f>_xll.RssMarket("6356","現在値")</f>
        <v>1630</v>
      </c>
      <c r="E267" s="4">
        <v>1630</v>
      </c>
      <c r="F267" s="4">
        <v>1378</v>
      </c>
      <c r="G267" s="4">
        <v>1416</v>
      </c>
      <c r="H267" s="4">
        <v>1378</v>
      </c>
      <c r="I267" s="4">
        <v>1425</v>
      </c>
      <c r="J267" s="4">
        <v>1499</v>
      </c>
      <c r="K267" s="4">
        <v>1604</v>
      </c>
      <c r="L267" s="4">
        <v>1455</v>
      </c>
      <c r="M267" s="4">
        <v>1488</v>
      </c>
      <c r="N267" s="4">
        <v>1457</v>
      </c>
      <c r="O267" s="4">
        <v>1492</v>
      </c>
      <c r="P267" s="4">
        <v>1660</v>
      </c>
      <c r="Q267" s="4">
        <v>1690</v>
      </c>
      <c r="R267" s="4">
        <v>1720</v>
      </c>
      <c r="S267" s="4">
        <v>1560</v>
      </c>
      <c r="T267" s="4">
        <v>1502</v>
      </c>
      <c r="U267" s="4">
        <v>1355</v>
      </c>
      <c r="V267" s="4">
        <v>1373</v>
      </c>
      <c r="W267" s="4">
        <v>1415</v>
      </c>
      <c r="X267" s="4">
        <v>1449</v>
      </c>
      <c r="Y267" s="4">
        <v>1410</v>
      </c>
      <c r="Z267" s="4">
        <v>1438</v>
      </c>
      <c r="AA267" s="4">
        <v>1403</v>
      </c>
      <c r="AB267" s="4">
        <v>1523</v>
      </c>
      <c r="AC267" s="4">
        <v>1517</v>
      </c>
      <c r="AD267" s="4">
        <v>1489</v>
      </c>
      <c r="AE267" s="4">
        <v>1481</v>
      </c>
      <c r="AF267" s="4">
        <v>1501</v>
      </c>
      <c r="AG267" s="4">
        <v>1586</v>
      </c>
      <c r="AH267" s="4">
        <v>1685</v>
      </c>
      <c r="AI267" s="4">
        <v>1640</v>
      </c>
      <c r="AJ267" s="4">
        <v>1666</v>
      </c>
      <c r="AK267" s="4">
        <v>1526</v>
      </c>
      <c r="AL267" s="4">
        <v>1226</v>
      </c>
      <c r="AM267" s="4">
        <v>1277</v>
      </c>
      <c r="AN267" s="4">
        <v>1304</v>
      </c>
      <c r="AO267" s="4">
        <v>1333</v>
      </c>
      <c r="AP267" s="4">
        <v>1328</v>
      </c>
      <c r="AQ267" s="4">
        <v>1277</v>
      </c>
      <c r="AR267" s="4">
        <v>1281</v>
      </c>
      <c r="AS267" s="4">
        <v>1305</v>
      </c>
      <c r="AT267" s="4">
        <v>1238</v>
      </c>
      <c r="AU267" s="4">
        <v>1301</v>
      </c>
      <c r="AV267" s="4">
        <v>1304</v>
      </c>
      <c r="AW267" s="4">
        <v>1177</v>
      </c>
      <c r="AX267" s="4">
        <v>1191</v>
      </c>
      <c r="AY267" s="4">
        <v>1183</v>
      </c>
      <c r="AZ267" s="4">
        <v>1201</v>
      </c>
      <c r="BA267" s="4">
        <v>1305</v>
      </c>
      <c r="BB267" s="4">
        <v>1313</v>
      </c>
      <c r="BC267" s="4">
        <v>1401</v>
      </c>
      <c r="BD267" s="4">
        <v>1455</v>
      </c>
      <c r="BE267" s="4">
        <v>1470</v>
      </c>
      <c r="BF267" s="4">
        <v>1584</v>
      </c>
      <c r="BG267" s="4">
        <v>1522</v>
      </c>
      <c r="BH267" s="4">
        <v>1509</v>
      </c>
      <c r="BI267" s="4">
        <v>1800</v>
      </c>
      <c r="BJ267" s="4">
        <v>1883</v>
      </c>
      <c r="BK267" s="4">
        <v>1628</v>
      </c>
      <c r="BL267" s="4">
        <v>1806</v>
      </c>
    </row>
    <row r="268" spans="1:64">
      <c r="A268" s="65" t="s">
        <v>569</v>
      </c>
      <c r="B268" s="4" t="str">
        <f>銘柄管理!C268</f>
        <v>助川電気工業</v>
      </c>
      <c r="C268" s="4">
        <f>_xll.RssMarket("7711","現在値")</f>
        <v>5650</v>
      </c>
      <c r="E268" s="4">
        <v>5650</v>
      </c>
      <c r="F268" s="4">
        <v>4945</v>
      </c>
      <c r="G268" s="4">
        <v>4825</v>
      </c>
      <c r="H268" s="4">
        <v>4635</v>
      </c>
      <c r="I268" s="4">
        <v>4710</v>
      </c>
      <c r="J268" s="4">
        <v>5050</v>
      </c>
      <c r="K268" s="4">
        <v>5490</v>
      </c>
      <c r="L268" s="4">
        <v>5060</v>
      </c>
      <c r="M268" s="4">
        <v>5140</v>
      </c>
      <c r="N268" s="4">
        <v>5200</v>
      </c>
      <c r="O268" s="4">
        <v>5280</v>
      </c>
      <c r="P268" s="4">
        <v>5360</v>
      </c>
      <c r="Q268" s="4">
        <v>5380</v>
      </c>
      <c r="R268" s="4">
        <v>5480</v>
      </c>
      <c r="S268" s="4">
        <v>5420</v>
      </c>
      <c r="T268" s="4">
        <v>5360</v>
      </c>
      <c r="U268" s="4">
        <v>5080</v>
      </c>
      <c r="V268" s="4">
        <v>5020</v>
      </c>
      <c r="W268" s="4">
        <v>5180</v>
      </c>
      <c r="X268" s="4">
        <v>5310</v>
      </c>
      <c r="Y268" s="4">
        <v>5420</v>
      </c>
      <c r="Z268" s="4">
        <v>5370</v>
      </c>
      <c r="AA268" s="4">
        <v>5650</v>
      </c>
      <c r="AB268" s="4">
        <v>5620</v>
      </c>
      <c r="AC268" s="4">
        <v>5820</v>
      </c>
      <c r="AD268" s="4">
        <v>6000</v>
      </c>
      <c r="AE268" s="4">
        <v>6200</v>
      </c>
      <c r="AF268" s="4">
        <v>5920</v>
      </c>
      <c r="AG268" s="4">
        <v>6000</v>
      </c>
      <c r="AH268" s="4">
        <v>6130</v>
      </c>
      <c r="AI268" s="4">
        <v>6170</v>
      </c>
      <c r="AJ268" s="4">
        <v>6350</v>
      </c>
      <c r="AK268" s="4">
        <v>6600</v>
      </c>
      <c r="AL268" s="4">
        <v>6280</v>
      </c>
      <c r="AM268" s="4">
        <v>6320</v>
      </c>
      <c r="AN268" s="4">
        <v>6350</v>
      </c>
      <c r="AO268" s="4">
        <v>6280</v>
      </c>
      <c r="AP268" s="4">
        <v>6340</v>
      </c>
      <c r="AQ268" s="4">
        <v>6110</v>
      </c>
      <c r="AR268" s="4">
        <v>6250</v>
      </c>
      <c r="AS268" s="4">
        <v>6260</v>
      </c>
      <c r="AT268" s="4">
        <v>6240</v>
      </c>
      <c r="AU268" s="4">
        <v>6410</v>
      </c>
      <c r="AV268" s="4">
        <v>6700</v>
      </c>
      <c r="AW268" s="4">
        <v>6250</v>
      </c>
      <c r="AX268" s="4">
        <v>6450</v>
      </c>
      <c r="AY268" s="4">
        <v>6500</v>
      </c>
      <c r="AZ268" s="4">
        <v>6480</v>
      </c>
      <c r="BA268" s="4">
        <v>6710</v>
      </c>
      <c r="BB268" s="4">
        <v>6340</v>
      </c>
      <c r="BC268" s="4">
        <v>6650</v>
      </c>
      <c r="BD268" s="4">
        <v>6670</v>
      </c>
      <c r="BE268" s="4">
        <v>6740</v>
      </c>
      <c r="BF268" s="4">
        <v>7040</v>
      </c>
      <c r="BG268" s="4">
        <v>6620</v>
      </c>
      <c r="BH268" s="4">
        <v>6630</v>
      </c>
      <c r="BI268" s="4">
        <v>7110</v>
      </c>
      <c r="BJ268" s="4">
        <v>7500</v>
      </c>
      <c r="BK268" s="4">
        <v>7050</v>
      </c>
      <c r="BL268" s="4">
        <v>7250</v>
      </c>
    </row>
    <row r="269" spans="1:64">
      <c r="A269" s="65" t="s">
        <v>570</v>
      </c>
      <c r="B269" s="4" t="str">
        <f>銘柄管理!C269</f>
        <v>日機装</v>
      </c>
      <c r="C269" s="4">
        <f>_xll.RssMarket("6376","現在値")</f>
        <v>3855</v>
      </c>
      <c r="E269" s="4">
        <v>3855</v>
      </c>
      <c r="F269" s="4">
        <v>3715</v>
      </c>
      <c r="G269" s="4">
        <v>3600</v>
      </c>
      <c r="H269" s="4">
        <v>3570</v>
      </c>
      <c r="I269" s="4">
        <v>3280</v>
      </c>
      <c r="J269" s="4">
        <v>3330</v>
      </c>
      <c r="K269" s="4">
        <v>3195</v>
      </c>
      <c r="L269" s="4">
        <v>3140</v>
      </c>
      <c r="M269" s="4">
        <v>3125</v>
      </c>
      <c r="N269" s="4">
        <v>3225</v>
      </c>
      <c r="O269" s="4">
        <v>3105</v>
      </c>
      <c r="P269" s="4">
        <v>3240</v>
      </c>
      <c r="Q269" s="4">
        <v>3280</v>
      </c>
      <c r="R269" s="4">
        <v>3450</v>
      </c>
      <c r="S269" s="4">
        <v>3205</v>
      </c>
      <c r="T269" s="4">
        <v>3000</v>
      </c>
      <c r="U269" s="4">
        <v>2861</v>
      </c>
      <c r="V269" s="4">
        <v>2887</v>
      </c>
      <c r="W269" s="4">
        <v>2991</v>
      </c>
      <c r="X269" s="4">
        <v>2911</v>
      </c>
      <c r="Y269" s="4">
        <v>2682</v>
      </c>
      <c r="Z269" s="4">
        <v>2660</v>
      </c>
      <c r="AA269" s="4">
        <v>2648</v>
      </c>
      <c r="AB269" s="4">
        <v>2641</v>
      </c>
      <c r="AC269" s="4">
        <v>2650</v>
      </c>
      <c r="AD269" s="4">
        <v>2644</v>
      </c>
      <c r="AE269" s="4">
        <v>2634</v>
      </c>
      <c r="AF269" s="4">
        <v>2658</v>
      </c>
      <c r="AG269" s="4">
        <v>2634</v>
      </c>
      <c r="AH269" s="4">
        <v>2589</v>
      </c>
      <c r="AI269" s="4">
        <v>2644</v>
      </c>
      <c r="AJ269" s="4">
        <v>2576</v>
      </c>
      <c r="AK269" s="4">
        <v>2563</v>
      </c>
      <c r="AL269" s="4">
        <v>2573</v>
      </c>
      <c r="AM269" s="4">
        <v>2629</v>
      </c>
      <c r="AN269" s="4">
        <v>2657</v>
      </c>
      <c r="AO269" s="4">
        <v>2719</v>
      </c>
      <c r="AP269" s="4">
        <v>2773</v>
      </c>
      <c r="AQ269" s="4">
        <v>2816</v>
      </c>
      <c r="AR269" s="4">
        <v>2840</v>
      </c>
      <c r="AS269" s="4">
        <v>2820</v>
      </c>
      <c r="AT269" s="4">
        <v>2726</v>
      </c>
      <c r="AU269" s="4">
        <v>2728</v>
      </c>
      <c r="AV269" s="4">
        <v>2664</v>
      </c>
      <c r="AW269" s="4">
        <v>2660</v>
      </c>
      <c r="AX269" s="4">
        <v>2659</v>
      </c>
      <c r="AY269" s="4">
        <v>2583</v>
      </c>
      <c r="AZ269" s="4">
        <v>2644</v>
      </c>
      <c r="BA269" s="4">
        <v>2483</v>
      </c>
      <c r="BB269" s="4">
        <v>2396</v>
      </c>
      <c r="BC269" s="4">
        <v>2380</v>
      </c>
      <c r="BD269" s="4">
        <v>2296</v>
      </c>
      <c r="BE269" s="4">
        <v>2304</v>
      </c>
      <c r="BF269" s="4">
        <v>2234</v>
      </c>
      <c r="BG269" s="4">
        <v>2205</v>
      </c>
      <c r="BH269" s="4">
        <v>2322</v>
      </c>
      <c r="BI269" s="4">
        <v>2423</v>
      </c>
      <c r="BJ269" s="4">
        <v>2391</v>
      </c>
      <c r="BK269" s="4">
        <v>2401</v>
      </c>
      <c r="BL269" s="4">
        <v>2340</v>
      </c>
    </row>
    <row r="270" spans="1:64">
      <c r="A270" s="65" t="s">
        <v>571</v>
      </c>
      <c r="B270" s="4" t="str">
        <f>銘柄管理!C270</f>
        <v>明海グループ</v>
      </c>
      <c r="C270" s="4">
        <f>_xll.RssMarket("9115","現在値")</f>
        <v>805</v>
      </c>
      <c r="E270" s="4">
        <v>805</v>
      </c>
      <c r="F270" s="4">
        <v>826</v>
      </c>
      <c r="G270" s="4">
        <v>848</v>
      </c>
      <c r="H270" s="4">
        <v>899</v>
      </c>
      <c r="I270" s="4">
        <v>904</v>
      </c>
      <c r="J270" s="4">
        <v>973</v>
      </c>
      <c r="K270" s="4">
        <v>981</v>
      </c>
      <c r="L270" s="4">
        <v>999</v>
      </c>
      <c r="M270" s="4">
        <v>1020</v>
      </c>
      <c r="N270" s="4">
        <v>1036</v>
      </c>
      <c r="O270" s="4">
        <v>1047</v>
      </c>
      <c r="P270" s="4">
        <v>1110</v>
      </c>
      <c r="Q270" s="4">
        <v>1137</v>
      </c>
      <c r="R270" s="4">
        <v>1143</v>
      </c>
      <c r="S270" s="4">
        <v>1162</v>
      </c>
      <c r="T270" s="4">
        <v>1152</v>
      </c>
      <c r="U270" s="4">
        <v>1130</v>
      </c>
      <c r="V270" s="4">
        <v>1103</v>
      </c>
      <c r="W270" s="4">
        <v>1176</v>
      </c>
      <c r="X270" s="4">
        <v>1218</v>
      </c>
      <c r="Y270" s="4">
        <v>1227</v>
      </c>
      <c r="Z270" s="4">
        <v>1196</v>
      </c>
      <c r="AA270" s="4">
        <v>1208</v>
      </c>
      <c r="AB270" s="4">
        <v>1216</v>
      </c>
      <c r="AC270" s="4">
        <v>1272</v>
      </c>
      <c r="AD270" s="4">
        <v>1244</v>
      </c>
      <c r="AE270" s="4">
        <v>1329</v>
      </c>
      <c r="AF270" s="4">
        <v>1294</v>
      </c>
      <c r="AG270" s="4">
        <v>1274</v>
      </c>
      <c r="AH270" s="4">
        <v>1249</v>
      </c>
      <c r="AI270" s="4">
        <v>1180</v>
      </c>
      <c r="AJ270" s="4">
        <v>1175</v>
      </c>
      <c r="AK270" s="4">
        <v>1178</v>
      </c>
      <c r="AL270" s="4">
        <v>1214</v>
      </c>
      <c r="AM270" s="4">
        <v>1267</v>
      </c>
      <c r="AN270" s="4">
        <v>1282</v>
      </c>
      <c r="AO270" s="4">
        <v>1241</v>
      </c>
      <c r="AP270" s="4">
        <v>1285</v>
      </c>
      <c r="AQ270" s="4">
        <v>1289</v>
      </c>
      <c r="AR270" s="4">
        <v>1303</v>
      </c>
      <c r="AS270" s="4">
        <v>1290</v>
      </c>
      <c r="AT270" s="4">
        <v>1269</v>
      </c>
      <c r="AU270" s="4">
        <v>1275</v>
      </c>
      <c r="AV270" s="4">
        <v>1259</v>
      </c>
      <c r="AW270" s="4">
        <v>1232</v>
      </c>
      <c r="AX270" s="4">
        <v>1352</v>
      </c>
      <c r="AY270" s="4">
        <v>1200</v>
      </c>
      <c r="AZ270" s="4">
        <v>1309</v>
      </c>
      <c r="BA270" s="4">
        <v>1273</v>
      </c>
      <c r="BB270" s="4">
        <v>1349</v>
      </c>
      <c r="BC270" s="4">
        <v>1530</v>
      </c>
      <c r="BD270" s="4">
        <v>1400</v>
      </c>
      <c r="BE270" s="4">
        <v>1473</v>
      </c>
      <c r="BF270" s="4">
        <v>1572</v>
      </c>
      <c r="BG270" s="4">
        <v>1391</v>
      </c>
      <c r="BH270" s="4">
        <v>1480</v>
      </c>
      <c r="BI270" s="4">
        <v>1267</v>
      </c>
      <c r="BJ270" s="4">
        <v>1113</v>
      </c>
      <c r="BK270" s="4">
        <v>967</v>
      </c>
      <c r="BL270" s="4">
        <v>923</v>
      </c>
    </row>
    <row r="271" spans="1:64">
      <c r="A271" s="65" t="s">
        <v>572</v>
      </c>
      <c r="B271" s="4" t="str">
        <f>銘柄管理!C271</f>
        <v>三菱製紙</v>
      </c>
      <c r="C271" s="4">
        <f>_xll.RssMarket("3864","現在値")</f>
        <v>1059</v>
      </c>
      <c r="E271" s="4">
        <v>1059</v>
      </c>
      <c r="F271" s="4">
        <v>1074</v>
      </c>
      <c r="G271" s="4">
        <v>1061</v>
      </c>
      <c r="H271" s="4">
        <v>1054</v>
      </c>
      <c r="I271" s="4">
        <v>1074</v>
      </c>
      <c r="J271" s="4">
        <v>1052</v>
      </c>
      <c r="K271" s="4">
        <v>1061</v>
      </c>
      <c r="L271" s="4">
        <v>1040</v>
      </c>
      <c r="M271" s="4">
        <v>1060</v>
      </c>
      <c r="N271" s="4">
        <v>1045</v>
      </c>
      <c r="O271" s="4">
        <v>1055</v>
      </c>
      <c r="P271" s="4">
        <v>1100</v>
      </c>
      <c r="Q271" s="4">
        <v>1131</v>
      </c>
      <c r="R271" s="4">
        <v>1096</v>
      </c>
      <c r="S271" s="4">
        <v>1088</v>
      </c>
      <c r="T271" s="4">
        <v>1095</v>
      </c>
      <c r="U271" s="4">
        <v>1090</v>
      </c>
      <c r="V271" s="4">
        <v>1034</v>
      </c>
      <c r="W271" s="4">
        <v>1018</v>
      </c>
      <c r="X271" s="4">
        <v>1036</v>
      </c>
      <c r="Y271" s="4">
        <v>1009</v>
      </c>
      <c r="Z271" s="4">
        <v>928</v>
      </c>
      <c r="AA271" s="4">
        <v>913</v>
      </c>
      <c r="AB271" s="4">
        <v>916</v>
      </c>
      <c r="AC271" s="4">
        <v>935</v>
      </c>
      <c r="AD271" s="4">
        <v>944</v>
      </c>
      <c r="AE271" s="4">
        <v>934</v>
      </c>
      <c r="AF271" s="4">
        <v>928</v>
      </c>
      <c r="AG271" s="4">
        <v>932</v>
      </c>
      <c r="AH271" s="4">
        <v>937</v>
      </c>
      <c r="AI271" s="4">
        <v>936</v>
      </c>
      <c r="AJ271" s="4">
        <v>959</v>
      </c>
      <c r="AK271" s="4">
        <v>951</v>
      </c>
      <c r="AL271" s="4">
        <v>959</v>
      </c>
      <c r="AM271" s="4">
        <v>978</v>
      </c>
      <c r="AN271" s="4">
        <v>972</v>
      </c>
      <c r="AO271" s="4">
        <v>990</v>
      </c>
      <c r="AP271" s="4">
        <v>982</v>
      </c>
      <c r="AQ271" s="4">
        <v>951</v>
      </c>
      <c r="AR271" s="4">
        <v>927</v>
      </c>
      <c r="AS271" s="4">
        <v>921</v>
      </c>
      <c r="AT271" s="4">
        <v>895</v>
      </c>
      <c r="AU271" s="4">
        <v>895</v>
      </c>
      <c r="AV271" s="4">
        <v>892</v>
      </c>
      <c r="AW271" s="4">
        <v>876</v>
      </c>
      <c r="AX271" s="4">
        <v>856</v>
      </c>
      <c r="AY271" s="4">
        <v>850</v>
      </c>
      <c r="AZ271" s="4">
        <v>855</v>
      </c>
      <c r="BA271" s="4">
        <v>841</v>
      </c>
      <c r="BB271" s="4">
        <v>825</v>
      </c>
      <c r="BC271" s="4">
        <v>817</v>
      </c>
      <c r="BD271" s="4">
        <v>820</v>
      </c>
      <c r="BE271" s="4">
        <v>811</v>
      </c>
      <c r="BF271" s="4">
        <v>812</v>
      </c>
      <c r="BG271" s="4">
        <v>797</v>
      </c>
      <c r="BH271" s="4">
        <v>780</v>
      </c>
      <c r="BI271" s="4">
        <v>813</v>
      </c>
      <c r="BJ271" s="4">
        <v>847</v>
      </c>
      <c r="BK271" s="4">
        <v>824</v>
      </c>
      <c r="BL271" s="4">
        <v>836</v>
      </c>
    </row>
    <row r="272" spans="1:64">
      <c r="A272" s="65" t="s">
        <v>573</v>
      </c>
      <c r="B272" s="4" t="str">
        <f>銘柄管理!C272</f>
        <v>日本ケミコン</v>
      </c>
      <c r="C272" s="4">
        <f>_xll.RssMarket("6997","現在値")</f>
        <v>5240</v>
      </c>
      <c r="E272" s="4">
        <v>5240</v>
      </c>
      <c r="F272" s="4">
        <v>4540</v>
      </c>
      <c r="G272" s="4">
        <v>4175</v>
      </c>
      <c r="H272" s="4">
        <v>4110</v>
      </c>
      <c r="I272" s="4">
        <v>4245</v>
      </c>
      <c r="J272" s="4">
        <v>4535</v>
      </c>
      <c r="K272" s="4">
        <v>4980</v>
      </c>
      <c r="L272" s="4">
        <v>4945</v>
      </c>
      <c r="M272" s="4">
        <v>4840</v>
      </c>
      <c r="N272" s="4">
        <v>4785</v>
      </c>
      <c r="O272" s="4">
        <v>5620</v>
      </c>
      <c r="P272" s="4">
        <v>5080</v>
      </c>
      <c r="Q272" s="4">
        <v>4380</v>
      </c>
      <c r="R272" s="4">
        <v>3865</v>
      </c>
      <c r="S272" s="4">
        <v>4065</v>
      </c>
      <c r="T272" s="4">
        <v>3365</v>
      </c>
      <c r="U272" s="4">
        <v>2923</v>
      </c>
      <c r="V272" s="4">
        <v>2991</v>
      </c>
      <c r="W272" s="4">
        <v>3055</v>
      </c>
      <c r="X272" s="4">
        <v>2944</v>
      </c>
      <c r="Y272" s="4">
        <v>2996</v>
      </c>
      <c r="Z272" s="4">
        <v>3415</v>
      </c>
      <c r="AA272" s="4">
        <v>3180</v>
      </c>
      <c r="AB272" s="4">
        <v>3200</v>
      </c>
      <c r="AC272" s="4">
        <v>3170</v>
      </c>
      <c r="AD272" s="4">
        <v>3160</v>
      </c>
      <c r="AE272" s="4">
        <v>2960</v>
      </c>
      <c r="AF272" s="4">
        <v>2651</v>
      </c>
      <c r="AG272" s="4">
        <v>2660</v>
      </c>
      <c r="AH272" s="4">
        <v>2462</v>
      </c>
      <c r="AI272" s="4">
        <v>2321</v>
      </c>
      <c r="AJ272" s="4">
        <v>2295</v>
      </c>
      <c r="AK272" s="4">
        <v>2243</v>
      </c>
      <c r="AL272" s="4">
        <v>2450</v>
      </c>
      <c r="AM272" s="4">
        <v>2354</v>
      </c>
      <c r="AN272" s="4">
        <v>2384</v>
      </c>
      <c r="AO272" s="4">
        <v>2243</v>
      </c>
      <c r="AP272" s="4">
        <v>2265</v>
      </c>
      <c r="AQ272" s="4">
        <v>2055</v>
      </c>
      <c r="AR272" s="4">
        <v>1942</v>
      </c>
      <c r="AS272" s="4">
        <v>1762</v>
      </c>
      <c r="AT272" s="4">
        <v>1660</v>
      </c>
      <c r="AU272" s="4">
        <v>1646</v>
      </c>
      <c r="AV272" s="4">
        <v>1668</v>
      </c>
      <c r="AW272" s="4">
        <v>1504</v>
      </c>
      <c r="AX272" s="4">
        <v>1487</v>
      </c>
      <c r="AY272" s="4">
        <v>1474</v>
      </c>
      <c r="AZ272" s="4">
        <v>1459</v>
      </c>
      <c r="BA272" s="4">
        <v>1496</v>
      </c>
      <c r="BB272" s="4">
        <v>1420</v>
      </c>
      <c r="BC272" s="4">
        <v>1469</v>
      </c>
      <c r="BD272" s="4">
        <v>1454</v>
      </c>
      <c r="BE272" s="4">
        <v>1470</v>
      </c>
      <c r="BF272" s="4">
        <v>1460</v>
      </c>
      <c r="BG272" s="4">
        <v>1402</v>
      </c>
      <c r="BH272" s="4">
        <v>1376</v>
      </c>
      <c r="BI272" s="4">
        <v>1503</v>
      </c>
      <c r="BJ272" s="4">
        <v>1609</v>
      </c>
      <c r="BK272" s="4">
        <v>1544</v>
      </c>
      <c r="BL272" s="4">
        <v>1534</v>
      </c>
    </row>
    <row r="273" spans="1:64">
      <c r="A273" s="65" t="s">
        <v>574</v>
      </c>
      <c r="B273" s="4" t="str">
        <f>銘柄管理!C273</f>
        <v>ＨＵグループＨＤ</v>
      </c>
      <c r="C273" s="4">
        <f>_xll.RssMarket("4544","現在値")</f>
        <v>3190</v>
      </c>
      <c r="E273" s="4">
        <v>3190</v>
      </c>
      <c r="F273" s="4">
        <v>3251</v>
      </c>
      <c r="G273" s="4">
        <v>3392</v>
      </c>
      <c r="H273" s="4">
        <v>3411</v>
      </c>
      <c r="I273" s="4">
        <v>3462</v>
      </c>
      <c r="J273" s="4">
        <v>3343</v>
      </c>
      <c r="K273" s="4">
        <v>3357</v>
      </c>
      <c r="L273" s="4">
        <v>3298</v>
      </c>
      <c r="M273" s="4">
        <v>3302</v>
      </c>
      <c r="N273" s="4">
        <v>3139</v>
      </c>
      <c r="O273" s="4">
        <v>3186</v>
      </c>
      <c r="P273" s="4">
        <v>3117</v>
      </c>
      <c r="Q273" s="4">
        <v>3146</v>
      </c>
      <c r="R273" s="4">
        <v>3140</v>
      </c>
      <c r="S273" s="4">
        <v>3195</v>
      </c>
      <c r="T273" s="4">
        <v>3193</v>
      </c>
      <c r="U273" s="4">
        <v>3168</v>
      </c>
      <c r="V273" s="4">
        <v>3240</v>
      </c>
      <c r="W273" s="4">
        <v>3226</v>
      </c>
      <c r="X273" s="4">
        <v>3174</v>
      </c>
      <c r="Y273" s="4">
        <v>3228</v>
      </c>
      <c r="Z273" s="4">
        <v>3228</v>
      </c>
      <c r="AA273" s="4">
        <v>3135</v>
      </c>
      <c r="AB273" s="4">
        <v>3093</v>
      </c>
      <c r="AC273" s="4">
        <v>3112</v>
      </c>
      <c r="AD273" s="4">
        <v>3122</v>
      </c>
      <c r="AE273" s="4">
        <v>3134</v>
      </c>
      <c r="AF273" s="4">
        <v>3100</v>
      </c>
      <c r="AG273" s="4">
        <v>3111</v>
      </c>
      <c r="AH273" s="4">
        <v>3192</v>
      </c>
      <c r="AI273" s="4">
        <v>3258</v>
      </c>
      <c r="AJ273" s="4">
        <v>3190</v>
      </c>
      <c r="AK273" s="4">
        <v>3176</v>
      </c>
      <c r="AL273" s="4">
        <v>3169</v>
      </c>
      <c r="AM273" s="4">
        <v>3121</v>
      </c>
      <c r="AN273" s="4">
        <v>3170</v>
      </c>
      <c r="AO273" s="4">
        <v>3147</v>
      </c>
      <c r="AP273" s="4">
        <v>3183</v>
      </c>
      <c r="AQ273" s="4">
        <v>3166</v>
      </c>
      <c r="AR273" s="4">
        <v>3133</v>
      </c>
      <c r="AS273" s="4">
        <v>3126</v>
      </c>
      <c r="AT273" s="4">
        <v>3122</v>
      </c>
      <c r="AU273" s="4">
        <v>3209</v>
      </c>
      <c r="AV273" s="4">
        <v>3243</v>
      </c>
      <c r="AW273" s="4">
        <v>3225</v>
      </c>
      <c r="AX273" s="4">
        <v>3237</v>
      </c>
      <c r="AY273" s="4">
        <v>3218</v>
      </c>
      <c r="AZ273" s="4">
        <v>3210</v>
      </c>
      <c r="BA273" s="4">
        <v>3238</v>
      </c>
      <c r="BB273" s="4">
        <v>3191</v>
      </c>
      <c r="BC273" s="4">
        <v>3217</v>
      </c>
      <c r="BD273" s="4">
        <v>3287</v>
      </c>
      <c r="BE273" s="4">
        <v>3170</v>
      </c>
      <c r="BF273" s="4">
        <v>3116</v>
      </c>
      <c r="BG273" s="4">
        <v>3039</v>
      </c>
      <c r="BH273" s="4">
        <v>2958.5</v>
      </c>
      <c r="BI273" s="4">
        <v>3115</v>
      </c>
      <c r="BJ273" s="4">
        <v>3135</v>
      </c>
      <c r="BK273" s="4">
        <v>3112</v>
      </c>
      <c r="BL273" s="4">
        <v>3100</v>
      </c>
    </row>
    <row r="274" spans="1:64">
      <c r="A274" s="65" t="s">
        <v>575</v>
      </c>
      <c r="B274" s="4" t="str">
        <f>銘柄管理!C274</f>
        <v>東亜ディーケーケー</v>
      </c>
      <c r="C274" s="4">
        <f>_xll.RssMarket("6848","現在値")</f>
        <v>864</v>
      </c>
      <c r="E274" s="4">
        <v>864</v>
      </c>
      <c r="F274" s="4">
        <v>855</v>
      </c>
      <c r="G274" s="4">
        <v>851</v>
      </c>
      <c r="H274" s="4">
        <v>878</v>
      </c>
      <c r="I274" s="4">
        <v>850</v>
      </c>
      <c r="J274" s="4">
        <v>854</v>
      </c>
      <c r="K274" s="4">
        <v>871</v>
      </c>
      <c r="L274" s="4">
        <v>852</v>
      </c>
      <c r="M274" s="4">
        <v>861</v>
      </c>
      <c r="N274" s="4">
        <v>869</v>
      </c>
      <c r="O274" s="4">
        <v>858</v>
      </c>
      <c r="P274" s="4">
        <v>855</v>
      </c>
      <c r="Q274" s="4">
        <v>854</v>
      </c>
      <c r="R274" s="4">
        <v>853</v>
      </c>
      <c r="S274" s="4">
        <v>864</v>
      </c>
      <c r="T274" s="4">
        <v>862</v>
      </c>
      <c r="U274" s="4">
        <v>843</v>
      </c>
      <c r="V274" s="4">
        <v>869</v>
      </c>
      <c r="W274" s="4">
        <v>873</v>
      </c>
      <c r="X274" s="4">
        <v>858</v>
      </c>
      <c r="Y274" s="4">
        <v>870</v>
      </c>
      <c r="Z274" s="4">
        <v>877</v>
      </c>
      <c r="AA274" s="4">
        <v>869</v>
      </c>
      <c r="AB274" s="4">
        <v>869</v>
      </c>
      <c r="AC274" s="4">
        <v>872</v>
      </c>
      <c r="AD274" s="4">
        <v>870</v>
      </c>
      <c r="AE274" s="4">
        <v>862</v>
      </c>
      <c r="AF274" s="4">
        <v>871</v>
      </c>
      <c r="AG274" s="4">
        <v>876</v>
      </c>
      <c r="AH274" s="4">
        <v>870</v>
      </c>
      <c r="AI274" s="4">
        <v>881</v>
      </c>
      <c r="AJ274" s="4">
        <v>874</v>
      </c>
      <c r="AK274" s="4">
        <v>878</v>
      </c>
      <c r="AL274" s="4">
        <v>879</v>
      </c>
      <c r="AM274" s="4">
        <v>879</v>
      </c>
      <c r="AN274" s="4">
        <v>877</v>
      </c>
      <c r="AO274" s="4">
        <v>869</v>
      </c>
      <c r="AP274" s="4">
        <v>870</v>
      </c>
      <c r="AQ274" s="4">
        <v>873</v>
      </c>
      <c r="AR274" s="4">
        <v>872</v>
      </c>
      <c r="AS274" s="4">
        <v>871</v>
      </c>
      <c r="AT274" s="4">
        <v>883</v>
      </c>
      <c r="AU274" s="4">
        <v>882</v>
      </c>
      <c r="AV274" s="4">
        <v>878</v>
      </c>
      <c r="AW274" s="4">
        <v>882</v>
      </c>
      <c r="AX274" s="4">
        <v>883</v>
      </c>
      <c r="AY274" s="4">
        <v>885</v>
      </c>
      <c r="AZ274" s="4">
        <v>882</v>
      </c>
      <c r="BA274" s="4">
        <v>885</v>
      </c>
      <c r="BB274" s="4">
        <v>893</v>
      </c>
      <c r="BC274" s="4">
        <v>909</v>
      </c>
      <c r="BD274" s="4">
        <v>898</v>
      </c>
      <c r="BE274" s="4">
        <v>897</v>
      </c>
      <c r="BF274" s="4">
        <v>878</v>
      </c>
      <c r="BG274" s="4">
        <v>881</v>
      </c>
      <c r="BH274" s="4">
        <v>912</v>
      </c>
      <c r="BI274" s="4">
        <v>923</v>
      </c>
      <c r="BJ274" s="4">
        <v>916</v>
      </c>
      <c r="BK274" s="4">
        <v>914</v>
      </c>
      <c r="BL274" s="4">
        <v>926</v>
      </c>
    </row>
    <row r="275" spans="1:64">
      <c r="A275" s="65" t="s">
        <v>576</v>
      </c>
      <c r="B275" s="4" t="str">
        <f>銘柄管理!C275</f>
        <v>大紀アルミニウム</v>
      </c>
      <c r="C275" s="4">
        <f>_xll.RssMarket("5702","現在値")</f>
        <v>1704</v>
      </c>
      <c r="E275" s="4">
        <v>1704</v>
      </c>
      <c r="F275" s="4">
        <v>1732</v>
      </c>
      <c r="G275" s="4">
        <v>1825</v>
      </c>
      <c r="H275" s="4">
        <v>1816</v>
      </c>
      <c r="I275" s="4">
        <v>1831</v>
      </c>
      <c r="J275" s="4">
        <v>1858</v>
      </c>
      <c r="K275" s="4">
        <v>1931</v>
      </c>
      <c r="L275" s="4">
        <v>1905</v>
      </c>
      <c r="M275" s="4">
        <v>2007</v>
      </c>
      <c r="N275" s="4">
        <v>1956</v>
      </c>
      <c r="O275" s="4">
        <v>1915</v>
      </c>
      <c r="P275" s="4">
        <v>1923</v>
      </c>
      <c r="Q275" s="4">
        <v>1966</v>
      </c>
      <c r="R275" s="4">
        <v>1973</v>
      </c>
      <c r="S275" s="4">
        <v>1967</v>
      </c>
      <c r="T275" s="4">
        <v>1906</v>
      </c>
      <c r="U275" s="4">
        <v>1857</v>
      </c>
      <c r="V275" s="4">
        <v>1797</v>
      </c>
      <c r="W275" s="4">
        <v>1828</v>
      </c>
      <c r="X275" s="4">
        <v>1796</v>
      </c>
      <c r="Y275" s="4">
        <v>1848</v>
      </c>
      <c r="Z275" s="4">
        <v>1787</v>
      </c>
      <c r="AA275" s="4">
        <v>1603</v>
      </c>
      <c r="AB275" s="4">
        <v>1587</v>
      </c>
      <c r="AC275" s="4">
        <v>1596</v>
      </c>
      <c r="AD275" s="4">
        <v>1613</v>
      </c>
      <c r="AE275" s="4">
        <v>1543</v>
      </c>
      <c r="AF275" s="4">
        <v>1496</v>
      </c>
      <c r="AG275" s="4">
        <v>1465</v>
      </c>
      <c r="AH275" s="4">
        <v>1491</v>
      </c>
      <c r="AI275" s="4">
        <v>1459</v>
      </c>
      <c r="AJ275" s="4">
        <v>1447</v>
      </c>
      <c r="AK275" s="4">
        <v>1462</v>
      </c>
      <c r="AL275" s="4">
        <v>1476</v>
      </c>
      <c r="AM275" s="4">
        <v>1495</v>
      </c>
      <c r="AN275" s="4">
        <v>1474</v>
      </c>
      <c r="AO275" s="4">
        <v>1521</v>
      </c>
      <c r="AP275" s="4">
        <v>1556</v>
      </c>
      <c r="AQ275" s="4">
        <v>1559</v>
      </c>
      <c r="AR275" s="4">
        <v>1595</v>
      </c>
      <c r="AS275" s="4">
        <v>1565</v>
      </c>
      <c r="AT275" s="4">
        <v>1543</v>
      </c>
      <c r="AU275" s="4">
        <v>1552</v>
      </c>
      <c r="AV275" s="4">
        <v>1557</v>
      </c>
      <c r="AW275" s="4">
        <v>1489</v>
      </c>
      <c r="AX275" s="4">
        <v>1496</v>
      </c>
      <c r="AY275" s="4">
        <v>1468</v>
      </c>
      <c r="AZ275" s="4">
        <v>1440</v>
      </c>
      <c r="BA275" s="4">
        <v>1452</v>
      </c>
      <c r="BB275" s="4">
        <v>1407</v>
      </c>
      <c r="BC275" s="4">
        <v>1388</v>
      </c>
      <c r="BD275" s="4">
        <v>1318</v>
      </c>
      <c r="BE275" s="4">
        <v>1300</v>
      </c>
      <c r="BF275" s="4">
        <v>1299</v>
      </c>
      <c r="BG275" s="4">
        <v>1268</v>
      </c>
      <c r="BH275" s="4">
        <v>1233</v>
      </c>
      <c r="BI275" s="4">
        <v>1313</v>
      </c>
      <c r="BJ275" s="4">
        <v>1378</v>
      </c>
      <c r="BK275" s="4">
        <v>1357</v>
      </c>
      <c r="BL275" s="4">
        <v>1356</v>
      </c>
    </row>
    <row r="276" spans="1:64">
      <c r="A276" s="65" t="s">
        <v>577</v>
      </c>
      <c r="B276" s="4" t="str">
        <f>銘柄管理!C276</f>
        <v>河合楽器</v>
      </c>
      <c r="C276" s="4">
        <f>_xll.RssMarket("7952","現在値")</f>
        <v>3245</v>
      </c>
      <c r="E276" s="4">
        <v>3245</v>
      </c>
      <c r="F276" s="4">
        <v>3250</v>
      </c>
      <c r="G276" s="4">
        <v>3020</v>
      </c>
      <c r="H276" s="4">
        <v>3010</v>
      </c>
      <c r="I276" s="4">
        <v>3095</v>
      </c>
      <c r="J276" s="4">
        <v>3145</v>
      </c>
      <c r="K276" s="4">
        <v>3140</v>
      </c>
      <c r="L276" s="4">
        <v>3195</v>
      </c>
      <c r="M276" s="4">
        <v>3215</v>
      </c>
      <c r="N276" s="4">
        <v>3135</v>
      </c>
      <c r="O276" s="4">
        <v>3250</v>
      </c>
      <c r="P276" s="4">
        <v>3300</v>
      </c>
      <c r="Q276" s="4">
        <v>3210</v>
      </c>
      <c r="R276" s="4">
        <v>3055</v>
      </c>
      <c r="S276" s="4">
        <v>3035</v>
      </c>
      <c r="T276" s="4">
        <v>2950</v>
      </c>
      <c r="U276" s="4">
        <v>2961</v>
      </c>
      <c r="V276" s="4">
        <v>2930</v>
      </c>
      <c r="W276" s="4">
        <v>3100</v>
      </c>
      <c r="X276" s="4">
        <v>3080</v>
      </c>
      <c r="Y276" s="4">
        <v>3120</v>
      </c>
      <c r="Z276" s="4">
        <v>3005</v>
      </c>
      <c r="AA276" s="4">
        <v>2981</v>
      </c>
      <c r="AB276" s="4">
        <v>2937</v>
      </c>
      <c r="AC276" s="4">
        <v>2812</v>
      </c>
      <c r="AD276" s="4">
        <v>2740</v>
      </c>
      <c r="AE276" s="4">
        <v>2825</v>
      </c>
      <c r="AF276" s="4">
        <v>2769</v>
      </c>
      <c r="AG276" s="4">
        <v>2745</v>
      </c>
      <c r="AH276" s="4">
        <v>2839</v>
      </c>
      <c r="AI276" s="4">
        <v>2829</v>
      </c>
      <c r="AJ276" s="4">
        <v>2786</v>
      </c>
      <c r="AK276" s="4">
        <v>2868</v>
      </c>
      <c r="AL276" s="4">
        <v>3025</v>
      </c>
      <c r="AM276" s="4">
        <v>3065</v>
      </c>
      <c r="AN276" s="4">
        <v>3050</v>
      </c>
      <c r="AO276" s="4">
        <v>3050</v>
      </c>
      <c r="AP276" s="4">
        <v>3135</v>
      </c>
      <c r="AQ276" s="4">
        <v>3070</v>
      </c>
      <c r="AR276" s="4">
        <v>3020</v>
      </c>
      <c r="AS276" s="4">
        <v>3005</v>
      </c>
      <c r="AT276" s="4">
        <v>3030</v>
      </c>
      <c r="AU276" s="4">
        <v>2960</v>
      </c>
      <c r="AV276" s="4">
        <v>3030</v>
      </c>
      <c r="AW276" s="4">
        <v>2993</v>
      </c>
      <c r="AX276" s="4">
        <v>2976</v>
      </c>
      <c r="AY276" s="4">
        <v>3005</v>
      </c>
      <c r="AZ276" s="4">
        <v>3010</v>
      </c>
      <c r="BA276" s="4">
        <v>2978</v>
      </c>
      <c r="BB276" s="4">
        <v>2824</v>
      </c>
      <c r="BC276" s="4">
        <v>2759</v>
      </c>
      <c r="BD276" s="4">
        <v>2864</v>
      </c>
      <c r="BE276" s="4">
        <v>2798</v>
      </c>
      <c r="BF276" s="4">
        <v>2763</v>
      </c>
      <c r="BG276" s="4">
        <v>2744</v>
      </c>
      <c r="BH276" s="4">
        <v>2660</v>
      </c>
      <c r="BI276" s="4">
        <v>2721</v>
      </c>
      <c r="BJ276" s="4">
        <v>2816</v>
      </c>
      <c r="BK276" s="4">
        <v>2772</v>
      </c>
      <c r="BL276" s="4">
        <v>2773</v>
      </c>
    </row>
    <row r="277" spans="1:64">
      <c r="A277" s="65" t="s">
        <v>578</v>
      </c>
      <c r="B277" s="4" t="str">
        <f>銘柄管理!C277</f>
        <v>グンゼ</v>
      </c>
      <c r="C277" s="4">
        <f>_xll.RssMarket("3002","現在値")</f>
        <v>3820</v>
      </c>
      <c r="E277" s="4">
        <v>3820</v>
      </c>
      <c r="F277" s="4">
        <v>3815</v>
      </c>
      <c r="G277" s="4">
        <v>3845</v>
      </c>
      <c r="H277" s="4">
        <v>3725</v>
      </c>
      <c r="I277" s="4">
        <v>3740</v>
      </c>
      <c r="J277" s="4">
        <v>3665</v>
      </c>
      <c r="K277" s="4">
        <v>3715</v>
      </c>
      <c r="L277" s="4">
        <v>3680</v>
      </c>
      <c r="M277" s="4">
        <v>3700</v>
      </c>
      <c r="N277" s="4">
        <v>3660</v>
      </c>
      <c r="O277" s="4">
        <v>3715</v>
      </c>
      <c r="P277" s="4">
        <v>3725</v>
      </c>
      <c r="Q277" s="4">
        <v>3700</v>
      </c>
      <c r="R277" s="4">
        <v>3725</v>
      </c>
      <c r="S277" s="4">
        <v>3660</v>
      </c>
      <c r="T277" s="4">
        <v>3655</v>
      </c>
      <c r="U277" s="4">
        <v>3695</v>
      </c>
      <c r="V277" s="4">
        <v>3650</v>
      </c>
      <c r="W277" s="4">
        <v>3725</v>
      </c>
      <c r="X277" s="4">
        <v>3715</v>
      </c>
      <c r="Y277" s="4">
        <v>3735</v>
      </c>
      <c r="Z277" s="4">
        <v>3815</v>
      </c>
      <c r="AA277" s="4">
        <v>3585</v>
      </c>
      <c r="AB277" s="4">
        <v>3595</v>
      </c>
      <c r="AC277" s="4">
        <v>3620</v>
      </c>
      <c r="AD277" s="4">
        <v>3620</v>
      </c>
      <c r="AE277" s="4">
        <v>3640</v>
      </c>
      <c r="AF277" s="4">
        <v>3595</v>
      </c>
      <c r="AG277" s="4">
        <v>3610</v>
      </c>
      <c r="AH277" s="4">
        <v>3710</v>
      </c>
      <c r="AI277" s="4">
        <v>3660</v>
      </c>
      <c r="AJ277" s="4">
        <v>3670</v>
      </c>
      <c r="AK277" s="4">
        <v>3700</v>
      </c>
      <c r="AL277" s="4">
        <v>3750</v>
      </c>
      <c r="AM277" s="4">
        <v>3840</v>
      </c>
      <c r="AN277" s="4">
        <v>3945</v>
      </c>
      <c r="AO277" s="4">
        <v>3910</v>
      </c>
      <c r="AP277" s="4">
        <v>3925</v>
      </c>
      <c r="AQ277" s="4">
        <v>3860</v>
      </c>
      <c r="AR277" s="4">
        <v>3890</v>
      </c>
      <c r="AS277" s="4">
        <v>3920</v>
      </c>
      <c r="AT277" s="4">
        <v>3945</v>
      </c>
      <c r="AU277" s="4">
        <v>3945</v>
      </c>
      <c r="AV277" s="4">
        <v>3955</v>
      </c>
      <c r="AW277" s="4">
        <v>3865</v>
      </c>
      <c r="AX277" s="4">
        <v>3845</v>
      </c>
      <c r="AY277" s="4">
        <v>3815</v>
      </c>
      <c r="AZ277" s="4">
        <v>3785</v>
      </c>
      <c r="BA277" s="4">
        <v>3805</v>
      </c>
      <c r="BB277" s="4">
        <v>3700</v>
      </c>
      <c r="BC277" s="4">
        <v>3735</v>
      </c>
      <c r="BD277" s="4">
        <v>4215</v>
      </c>
      <c r="BE277" s="4">
        <v>4195</v>
      </c>
      <c r="BF277" s="4">
        <v>4220</v>
      </c>
      <c r="BG277" s="4">
        <v>4200</v>
      </c>
      <c r="BH277" s="4">
        <v>4100</v>
      </c>
      <c r="BI277" s="4">
        <v>4255</v>
      </c>
      <c r="BJ277" s="4">
        <v>4380</v>
      </c>
      <c r="BK277" s="4">
        <v>4295</v>
      </c>
      <c r="BL277" s="4">
        <v>4260</v>
      </c>
    </row>
    <row r="278" spans="1:64">
      <c r="A278" s="65" t="s">
        <v>579</v>
      </c>
      <c r="B278" s="4" t="str">
        <f>銘柄管理!C278</f>
        <v>ゴールドクレスト</v>
      </c>
      <c r="C278" s="4">
        <f>_xll.RssMarket("8871","現在値")</f>
        <v>3245</v>
      </c>
      <c r="E278" s="4">
        <v>3245</v>
      </c>
      <c r="F278" s="4">
        <v>3305</v>
      </c>
      <c r="G278" s="4">
        <v>3355</v>
      </c>
      <c r="H278" s="4">
        <v>3325</v>
      </c>
      <c r="I278" s="4">
        <v>3330</v>
      </c>
      <c r="J278" s="4">
        <v>3265</v>
      </c>
      <c r="K278" s="4">
        <v>3220</v>
      </c>
      <c r="L278" s="4">
        <v>3305</v>
      </c>
      <c r="M278" s="4">
        <v>3415</v>
      </c>
      <c r="N278" s="4">
        <v>3490</v>
      </c>
      <c r="O278" s="4">
        <v>3575</v>
      </c>
      <c r="P278" s="4">
        <v>3570</v>
      </c>
      <c r="Q278" s="4">
        <v>3540</v>
      </c>
      <c r="R278" s="4">
        <v>3500</v>
      </c>
      <c r="S278" s="4">
        <v>3520</v>
      </c>
      <c r="T278" s="4">
        <v>3585</v>
      </c>
      <c r="U278" s="4">
        <v>3560</v>
      </c>
      <c r="V278" s="4">
        <v>3660</v>
      </c>
      <c r="W278" s="4">
        <v>3700</v>
      </c>
      <c r="X278" s="4">
        <v>3650</v>
      </c>
      <c r="Y278" s="4">
        <v>3290</v>
      </c>
      <c r="Z278" s="4">
        <v>3305</v>
      </c>
      <c r="AA278" s="4">
        <v>3345</v>
      </c>
      <c r="AB278" s="4">
        <v>3320</v>
      </c>
      <c r="AC278" s="4">
        <v>3320</v>
      </c>
      <c r="AD278" s="4">
        <v>3330</v>
      </c>
      <c r="AE278" s="4">
        <v>3325</v>
      </c>
      <c r="AF278" s="4">
        <v>3340</v>
      </c>
      <c r="AG278" s="4">
        <v>3355</v>
      </c>
      <c r="AH278" s="4">
        <v>3335</v>
      </c>
      <c r="AI278" s="4">
        <v>3310</v>
      </c>
      <c r="AJ278" s="4">
        <v>3320</v>
      </c>
      <c r="AK278" s="4">
        <v>3310</v>
      </c>
      <c r="AL278" s="4">
        <v>3405</v>
      </c>
      <c r="AM278" s="4">
        <v>3420</v>
      </c>
      <c r="AN278" s="4">
        <v>3420</v>
      </c>
      <c r="AO278" s="4">
        <v>3465</v>
      </c>
      <c r="AP278" s="4">
        <v>3480</v>
      </c>
      <c r="AQ278" s="4">
        <v>3465</v>
      </c>
      <c r="AR278" s="4">
        <v>3460</v>
      </c>
      <c r="AS278" s="4">
        <v>3510</v>
      </c>
      <c r="AT278" s="4">
        <v>3485</v>
      </c>
      <c r="AU278" s="4">
        <v>3505</v>
      </c>
      <c r="AV278" s="4">
        <v>3515</v>
      </c>
      <c r="AW278" s="4">
        <v>3455</v>
      </c>
      <c r="AX278" s="4">
        <v>3425</v>
      </c>
      <c r="AY278" s="4">
        <v>3450</v>
      </c>
      <c r="AZ278" s="4">
        <v>3425</v>
      </c>
      <c r="BA278" s="4">
        <v>3335</v>
      </c>
      <c r="BB278" s="4">
        <v>3340</v>
      </c>
      <c r="BC278" s="4">
        <v>3380</v>
      </c>
      <c r="BD278" s="4">
        <v>3355</v>
      </c>
      <c r="BE278" s="4">
        <v>3320</v>
      </c>
      <c r="BF278" s="4">
        <v>3310</v>
      </c>
      <c r="BG278" s="4">
        <v>3260</v>
      </c>
      <c r="BH278" s="4">
        <v>3325</v>
      </c>
      <c r="BI278" s="4">
        <v>3350</v>
      </c>
      <c r="BJ278" s="4">
        <v>3320</v>
      </c>
      <c r="BK278" s="4">
        <v>3325</v>
      </c>
      <c r="BL278" s="4">
        <v>3300</v>
      </c>
    </row>
    <row r="279" spans="1:64">
      <c r="A279" s="65" t="s">
        <v>583</v>
      </c>
      <c r="B279" s="4" t="str">
        <f>銘柄管理!C279</f>
        <v>アバールデータ</v>
      </c>
      <c r="C279" s="4">
        <f>_xll.RssMarket("6918","現在値")</f>
        <v>3335</v>
      </c>
      <c r="E279" s="4">
        <v>3335</v>
      </c>
      <c r="F279" s="4">
        <v>3270</v>
      </c>
      <c r="G279" s="4">
        <v>3055</v>
      </c>
      <c r="H279" s="4">
        <v>2975</v>
      </c>
      <c r="I279" s="4">
        <v>2900</v>
      </c>
      <c r="J279" s="4">
        <v>3060</v>
      </c>
      <c r="K279" s="4">
        <v>3255</v>
      </c>
      <c r="L279" s="4">
        <v>3285</v>
      </c>
      <c r="M279" s="4">
        <v>3305</v>
      </c>
      <c r="N279" s="4">
        <v>3415</v>
      </c>
      <c r="O279" s="4">
        <v>3525</v>
      </c>
      <c r="P279" s="4">
        <v>3490</v>
      </c>
      <c r="Q279" s="4">
        <v>3315</v>
      </c>
      <c r="R279" s="4">
        <v>3470</v>
      </c>
      <c r="S279" s="4">
        <v>3400</v>
      </c>
      <c r="T279" s="4">
        <v>3435</v>
      </c>
      <c r="U279" s="4">
        <v>3310</v>
      </c>
      <c r="V279" s="4">
        <v>3570</v>
      </c>
      <c r="W279" s="4">
        <v>3760</v>
      </c>
      <c r="X279" s="4">
        <v>3520</v>
      </c>
      <c r="Y279" s="4">
        <v>3535</v>
      </c>
      <c r="Z279" s="4">
        <v>3645</v>
      </c>
      <c r="AA279" s="4">
        <v>3670</v>
      </c>
      <c r="AB279" s="4">
        <v>3685</v>
      </c>
      <c r="AC279" s="4">
        <v>3325</v>
      </c>
      <c r="AD279" s="4">
        <v>3295</v>
      </c>
      <c r="AE279" s="4">
        <v>3105</v>
      </c>
      <c r="AF279" s="4">
        <v>2933</v>
      </c>
      <c r="AG279" s="4">
        <v>2899</v>
      </c>
      <c r="AH279" s="4">
        <v>2969</v>
      </c>
      <c r="AI279" s="4">
        <v>3030</v>
      </c>
      <c r="AJ279" s="4">
        <v>3005</v>
      </c>
      <c r="AK279" s="4">
        <v>3060</v>
      </c>
      <c r="AL279" s="4">
        <v>3055</v>
      </c>
      <c r="AM279" s="4">
        <v>2957</v>
      </c>
      <c r="AN279" s="4">
        <v>2801</v>
      </c>
      <c r="AO279" s="4">
        <v>2854</v>
      </c>
      <c r="AP279" s="4">
        <v>2834</v>
      </c>
      <c r="AQ279" s="4">
        <v>2852</v>
      </c>
      <c r="AR279" s="4">
        <v>2803</v>
      </c>
      <c r="AS279" s="4">
        <v>2764</v>
      </c>
      <c r="AT279" s="4">
        <v>2723</v>
      </c>
      <c r="AU279" s="4">
        <v>2710</v>
      </c>
      <c r="AV279" s="4">
        <v>2624</v>
      </c>
      <c r="AW279" s="4">
        <v>2601</v>
      </c>
      <c r="AX279" s="4">
        <v>2597</v>
      </c>
      <c r="AY279" s="4">
        <v>2596</v>
      </c>
      <c r="AZ279" s="4">
        <v>2628</v>
      </c>
      <c r="BA279" s="4">
        <v>2577</v>
      </c>
      <c r="BB279" s="4">
        <v>2611</v>
      </c>
      <c r="BC279" s="4">
        <v>2779</v>
      </c>
      <c r="BD279" s="4">
        <v>2779</v>
      </c>
      <c r="BE279" s="4">
        <v>2791</v>
      </c>
      <c r="BF279" s="4">
        <v>2699</v>
      </c>
      <c r="BG279" s="4">
        <v>2650</v>
      </c>
      <c r="BH279" s="4">
        <v>2731</v>
      </c>
      <c r="BI279" s="4">
        <v>2803</v>
      </c>
      <c r="BJ279" s="4">
        <v>2794</v>
      </c>
      <c r="BK279" s="4">
        <v>2789</v>
      </c>
      <c r="BL279" s="4">
        <v>2699</v>
      </c>
    </row>
    <row r="280" spans="1:64">
      <c r="A280" s="65" t="s">
        <v>580</v>
      </c>
      <c r="B280" s="4" t="str">
        <f>銘柄管理!C280</f>
        <v>ヨシタケ</v>
      </c>
      <c r="C280" s="4">
        <f>_xll.RssMarket("6488","現在値")</f>
        <v>924</v>
      </c>
      <c r="E280" s="4">
        <v>924</v>
      </c>
      <c r="F280" s="4">
        <v>918</v>
      </c>
      <c r="G280" s="4">
        <v>913</v>
      </c>
      <c r="H280" s="4">
        <v>915</v>
      </c>
      <c r="I280" s="4">
        <v>921</v>
      </c>
      <c r="J280" s="4">
        <v>933</v>
      </c>
      <c r="K280" s="4">
        <v>936</v>
      </c>
      <c r="L280" s="4">
        <v>934</v>
      </c>
      <c r="M280" s="4">
        <v>931</v>
      </c>
      <c r="N280" s="4">
        <v>927</v>
      </c>
      <c r="O280" s="4">
        <v>932</v>
      </c>
      <c r="P280" s="4">
        <v>926</v>
      </c>
      <c r="Q280" s="4">
        <v>932</v>
      </c>
      <c r="R280" s="4">
        <v>950</v>
      </c>
      <c r="S280" s="4">
        <v>951</v>
      </c>
      <c r="T280" s="4">
        <v>961</v>
      </c>
      <c r="U280" s="4">
        <v>953</v>
      </c>
      <c r="V280" s="4">
        <v>972</v>
      </c>
      <c r="W280" s="4">
        <v>955</v>
      </c>
      <c r="X280" s="4">
        <v>958</v>
      </c>
      <c r="Y280" s="4">
        <v>980</v>
      </c>
      <c r="Z280" s="4">
        <v>933</v>
      </c>
      <c r="AA280" s="4">
        <v>932</v>
      </c>
      <c r="AB280" s="4">
        <v>937</v>
      </c>
      <c r="AC280" s="4">
        <v>936</v>
      </c>
      <c r="AD280" s="4">
        <v>935</v>
      </c>
      <c r="AE280" s="4">
        <v>935</v>
      </c>
      <c r="AF280" s="4">
        <v>943</v>
      </c>
      <c r="AG280" s="4">
        <v>944</v>
      </c>
      <c r="AH280" s="4">
        <v>937</v>
      </c>
      <c r="AI280" s="4">
        <v>934</v>
      </c>
      <c r="AJ280" s="4">
        <v>934</v>
      </c>
      <c r="AK280" s="4">
        <v>934</v>
      </c>
      <c r="AL280" s="4">
        <v>940</v>
      </c>
      <c r="AM280" s="4">
        <v>953</v>
      </c>
      <c r="AN280" s="4">
        <v>956</v>
      </c>
      <c r="AO280" s="4">
        <v>952</v>
      </c>
      <c r="AP280" s="4">
        <v>940</v>
      </c>
      <c r="AQ280" s="4">
        <v>940</v>
      </c>
      <c r="AR280" s="4">
        <v>944</v>
      </c>
      <c r="AS280" s="4">
        <v>945</v>
      </c>
      <c r="AT280" s="4">
        <v>942</v>
      </c>
      <c r="AU280" s="4">
        <v>941</v>
      </c>
      <c r="AV280" s="4">
        <v>936</v>
      </c>
      <c r="AW280" s="4">
        <v>933</v>
      </c>
      <c r="AX280" s="4">
        <v>936</v>
      </c>
      <c r="AY280" s="4">
        <v>938</v>
      </c>
      <c r="AZ280" s="4">
        <v>926</v>
      </c>
      <c r="BA280" s="4">
        <v>923</v>
      </c>
      <c r="BB280" s="4">
        <v>917</v>
      </c>
      <c r="BC280" s="4">
        <v>966</v>
      </c>
      <c r="BD280" s="4">
        <v>957</v>
      </c>
      <c r="BE280" s="4">
        <v>963</v>
      </c>
      <c r="BF280" s="4">
        <v>944</v>
      </c>
      <c r="BG280" s="4">
        <v>928</v>
      </c>
      <c r="BH280" s="4">
        <v>958</v>
      </c>
      <c r="BI280" s="4">
        <v>965</v>
      </c>
      <c r="BJ280" s="4">
        <v>965</v>
      </c>
      <c r="BK280" s="4">
        <v>967</v>
      </c>
      <c r="BL280" s="4">
        <v>990</v>
      </c>
    </row>
    <row r="281" spans="1:64">
      <c r="A281" s="65" t="s">
        <v>581</v>
      </c>
      <c r="B281" s="4" t="str">
        <f>銘柄管理!C281</f>
        <v>高島</v>
      </c>
      <c r="C281" s="4">
        <f>_xll.RssMarket("8007","現在値")</f>
        <v>749</v>
      </c>
      <c r="E281" s="4">
        <v>749</v>
      </c>
      <c r="F281" s="4">
        <v>746</v>
      </c>
      <c r="G281" s="4">
        <v>740</v>
      </c>
      <c r="H281" s="4">
        <v>736</v>
      </c>
      <c r="I281" s="4">
        <v>741</v>
      </c>
      <c r="J281" s="4">
        <v>740</v>
      </c>
      <c r="K281" s="4">
        <v>736</v>
      </c>
      <c r="L281" s="4">
        <v>729</v>
      </c>
      <c r="M281" s="4">
        <v>731</v>
      </c>
      <c r="N281" s="4">
        <v>725</v>
      </c>
      <c r="O281" s="4">
        <v>731</v>
      </c>
      <c r="P281" s="4">
        <v>766</v>
      </c>
      <c r="Q281" s="4">
        <v>763</v>
      </c>
      <c r="R281" s="4">
        <v>753</v>
      </c>
      <c r="S281" s="4">
        <v>745</v>
      </c>
      <c r="T281" s="4">
        <v>736</v>
      </c>
      <c r="U281" s="4">
        <v>741</v>
      </c>
      <c r="V281" s="4">
        <v>728</v>
      </c>
      <c r="W281" s="4">
        <v>744</v>
      </c>
      <c r="X281" s="4">
        <v>754</v>
      </c>
      <c r="Y281" s="4">
        <v>764</v>
      </c>
      <c r="Z281" s="4">
        <v>773</v>
      </c>
      <c r="AA281" s="4">
        <v>689</v>
      </c>
      <c r="AB281" s="4">
        <v>768</v>
      </c>
      <c r="AC281" s="4">
        <v>769</v>
      </c>
      <c r="AD281" s="4">
        <v>782</v>
      </c>
      <c r="AE281" s="4">
        <v>793</v>
      </c>
      <c r="AF281" s="4">
        <v>794</v>
      </c>
      <c r="AG281" s="4">
        <v>784</v>
      </c>
      <c r="AH281" s="4">
        <v>798</v>
      </c>
      <c r="AI281" s="4">
        <v>772</v>
      </c>
      <c r="AJ281" s="4">
        <v>768</v>
      </c>
      <c r="AK281" s="4">
        <v>775</v>
      </c>
      <c r="AL281" s="4">
        <v>776</v>
      </c>
      <c r="AM281" s="4">
        <v>786</v>
      </c>
      <c r="AN281" s="4">
        <v>794</v>
      </c>
      <c r="AO281" s="4">
        <v>806</v>
      </c>
      <c r="AP281" s="4">
        <v>812</v>
      </c>
      <c r="AQ281" s="4">
        <v>810</v>
      </c>
      <c r="AR281" s="4">
        <v>810</v>
      </c>
      <c r="AS281" s="4">
        <v>812</v>
      </c>
      <c r="AT281" s="4">
        <v>817</v>
      </c>
      <c r="AU281" s="4">
        <v>824</v>
      </c>
      <c r="AV281" s="4">
        <v>836</v>
      </c>
      <c r="AW281" s="4">
        <v>826</v>
      </c>
      <c r="AX281" s="4">
        <v>822</v>
      </c>
      <c r="AY281" s="4">
        <v>816</v>
      </c>
      <c r="AZ281" s="4">
        <v>817</v>
      </c>
      <c r="BA281" s="4">
        <v>825</v>
      </c>
      <c r="BB281" s="4">
        <v>811</v>
      </c>
      <c r="BC281" s="4">
        <v>811</v>
      </c>
      <c r="BD281" s="4">
        <v>850</v>
      </c>
      <c r="BE281" s="4">
        <v>844</v>
      </c>
      <c r="BF281" s="4">
        <v>851</v>
      </c>
      <c r="BG281" s="4">
        <v>835</v>
      </c>
      <c r="BH281" s="4">
        <v>816</v>
      </c>
      <c r="BI281" s="4">
        <v>835</v>
      </c>
      <c r="BJ281" s="4">
        <v>857</v>
      </c>
      <c r="BK281" s="4">
        <v>838</v>
      </c>
      <c r="BL281" s="4">
        <v>836</v>
      </c>
    </row>
    <row r="282" spans="1:64">
      <c r="A282" s="65" t="s">
        <v>582</v>
      </c>
      <c r="B282" s="4" t="str">
        <f>銘柄管理!C282</f>
        <v>ニチバン</v>
      </c>
      <c r="C282" s="4">
        <f>_xll.RssMarket("4218","現在値")</f>
        <v>1834</v>
      </c>
      <c r="E282" s="4">
        <v>1834</v>
      </c>
      <c r="F282" s="4">
        <v>1835</v>
      </c>
      <c r="G282" s="4">
        <v>1837</v>
      </c>
      <c r="H282" s="4">
        <v>1835</v>
      </c>
      <c r="I282" s="4">
        <v>1826</v>
      </c>
      <c r="J282" s="4">
        <v>1800</v>
      </c>
      <c r="K282" s="4">
        <v>1805</v>
      </c>
      <c r="L282" s="4">
        <v>1792</v>
      </c>
      <c r="M282" s="4">
        <v>1813</v>
      </c>
      <c r="N282" s="4">
        <v>1792</v>
      </c>
      <c r="O282" s="4">
        <v>1823</v>
      </c>
      <c r="P282" s="4">
        <v>1825</v>
      </c>
      <c r="Q282" s="4">
        <v>1849</v>
      </c>
      <c r="R282" s="4">
        <v>1863</v>
      </c>
      <c r="S282" s="4">
        <v>1866</v>
      </c>
      <c r="T282" s="4">
        <v>1869</v>
      </c>
      <c r="U282" s="4">
        <v>1859</v>
      </c>
      <c r="V282" s="4">
        <v>1863</v>
      </c>
      <c r="W282" s="4">
        <v>1880</v>
      </c>
      <c r="X282" s="4">
        <v>1866</v>
      </c>
      <c r="Y282" s="4">
        <v>1902</v>
      </c>
      <c r="Z282" s="4">
        <v>1897</v>
      </c>
      <c r="AA282" s="4">
        <v>1849</v>
      </c>
      <c r="AB282" s="4">
        <v>1830</v>
      </c>
      <c r="AC282" s="4">
        <v>1821</v>
      </c>
      <c r="AD282" s="4">
        <v>1836</v>
      </c>
      <c r="AE282" s="4">
        <v>1849</v>
      </c>
      <c r="AF282" s="4">
        <v>1833</v>
      </c>
      <c r="AG282" s="4">
        <v>1817</v>
      </c>
      <c r="AH282" s="4">
        <v>1825</v>
      </c>
      <c r="AI282" s="4">
        <v>1818</v>
      </c>
      <c r="AJ282" s="4">
        <v>1824</v>
      </c>
      <c r="AK282" s="4">
        <v>1842</v>
      </c>
      <c r="AL282" s="4">
        <v>1856</v>
      </c>
      <c r="AM282" s="4">
        <v>1872</v>
      </c>
      <c r="AN282" s="4">
        <v>1885</v>
      </c>
      <c r="AO282" s="4">
        <v>1889</v>
      </c>
      <c r="AP282" s="4">
        <v>1884</v>
      </c>
      <c r="AQ282" s="4">
        <v>1887</v>
      </c>
      <c r="AR282" s="4">
        <v>1882</v>
      </c>
      <c r="AS282" s="4">
        <v>1890</v>
      </c>
      <c r="AT282" s="4">
        <v>1896</v>
      </c>
      <c r="AU282" s="4">
        <v>1896</v>
      </c>
      <c r="AV282" s="4">
        <v>1909</v>
      </c>
      <c r="AW282" s="4">
        <v>1913</v>
      </c>
      <c r="AX282" s="4">
        <v>1903</v>
      </c>
      <c r="AY282" s="4">
        <v>1893</v>
      </c>
      <c r="AZ282" s="4">
        <v>1896</v>
      </c>
      <c r="BA282" s="4">
        <v>1897</v>
      </c>
      <c r="BB282" s="4">
        <v>1876</v>
      </c>
      <c r="BC282" s="4">
        <v>1871</v>
      </c>
      <c r="BD282" s="4">
        <v>1926</v>
      </c>
      <c r="BE282" s="4">
        <v>1922</v>
      </c>
      <c r="BF282" s="4">
        <v>1911</v>
      </c>
      <c r="BG282" s="4">
        <v>1897</v>
      </c>
      <c r="BH282" s="4">
        <v>1865</v>
      </c>
      <c r="BI282" s="4">
        <v>1896</v>
      </c>
      <c r="BJ282" s="4">
        <v>1912</v>
      </c>
      <c r="BK282" s="4">
        <v>1902</v>
      </c>
      <c r="BL282" s="4">
        <v>1891</v>
      </c>
    </row>
    <row r="283" spans="1:64">
      <c r="A283" s="65" t="s">
        <v>584</v>
      </c>
      <c r="B283" s="4" t="str">
        <f>銘柄管理!C283</f>
        <v>ＳＣＲＥＥＮホールディングス</v>
      </c>
      <c r="C283" s="4">
        <f>_xll.RssMarket("7735","現在値")</f>
        <v>15320</v>
      </c>
      <c r="E283" s="4">
        <v>15320</v>
      </c>
      <c r="F283" s="4">
        <v>14970</v>
      </c>
      <c r="G283" s="4">
        <v>13945</v>
      </c>
      <c r="H283" s="4">
        <v>12990</v>
      </c>
      <c r="I283" s="4">
        <v>12980</v>
      </c>
      <c r="J283" s="4">
        <v>11760</v>
      </c>
      <c r="K283" s="4">
        <v>12630</v>
      </c>
      <c r="L283" s="4">
        <v>13440</v>
      </c>
      <c r="M283" s="4">
        <v>13345</v>
      </c>
      <c r="N283" s="4">
        <v>11315</v>
      </c>
      <c r="O283" s="4">
        <v>10875</v>
      </c>
      <c r="P283" s="4">
        <v>11120</v>
      </c>
      <c r="Q283" s="4">
        <v>11030</v>
      </c>
      <c r="R283" s="4">
        <v>11220</v>
      </c>
      <c r="S283" s="4">
        <v>11035</v>
      </c>
      <c r="T283" s="4">
        <v>10765</v>
      </c>
      <c r="U283" s="4">
        <v>10730</v>
      </c>
      <c r="V283" s="4">
        <v>10545</v>
      </c>
      <c r="W283" s="4">
        <v>10520</v>
      </c>
      <c r="X283" s="4">
        <v>10885</v>
      </c>
      <c r="Y283" s="4">
        <v>11335</v>
      </c>
      <c r="Z283" s="4">
        <v>12205</v>
      </c>
      <c r="AA283" s="4">
        <v>11215</v>
      </c>
      <c r="AB283" s="4">
        <v>11430</v>
      </c>
      <c r="AC283" s="4">
        <v>11410</v>
      </c>
      <c r="AD283" s="4">
        <v>11380</v>
      </c>
      <c r="AE283" s="4">
        <v>11300</v>
      </c>
      <c r="AF283" s="4">
        <v>10390</v>
      </c>
      <c r="AG283" s="4">
        <v>10230</v>
      </c>
      <c r="AH283" s="4">
        <v>10445</v>
      </c>
      <c r="AI283" s="4">
        <v>10805</v>
      </c>
      <c r="AJ283" s="4">
        <v>10610</v>
      </c>
      <c r="AK283" s="4">
        <v>10335</v>
      </c>
      <c r="AL283" s="4">
        <v>10435</v>
      </c>
      <c r="AM283" s="4">
        <v>10700</v>
      </c>
      <c r="AN283" s="4">
        <v>10575</v>
      </c>
      <c r="AO283" s="4">
        <v>10510</v>
      </c>
      <c r="AP283" s="4">
        <v>11280</v>
      </c>
      <c r="AQ283" s="4">
        <v>10930</v>
      </c>
      <c r="AR283" s="4">
        <v>11200</v>
      </c>
      <c r="AS283" s="4">
        <v>10695</v>
      </c>
      <c r="AT283" s="4">
        <v>10745</v>
      </c>
      <c r="AU283" s="4">
        <v>10150</v>
      </c>
      <c r="AV283" s="4">
        <v>10025</v>
      </c>
      <c r="AW283" s="4">
        <v>9224</v>
      </c>
      <c r="AX283" s="4">
        <v>9050</v>
      </c>
      <c r="AY283" s="4">
        <v>9192</v>
      </c>
      <c r="AZ283" s="4">
        <v>9027</v>
      </c>
      <c r="BA283" s="4">
        <v>9420</v>
      </c>
      <c r="BB283" s="4">
        <v>8940</v>
      </c>
      <c r="BC283" s="4">
        <v>9119</v>
      </c>
      <c r="BD283" s="4">
        <v>9540</v>
      </c>
      <c r="BE283" s="4">
        <v>9777.5</v>
      </c>
      <c r="BF283" s="4">
        <v>9872.5</v>
      </c>
      <c r="BG283" s="4">
        <v>9602.5</v>
      </c>
      <c r="BH283" s="4">
        <v>9420</v>
      </c>
      <c r="BI283" s="4">
        <v>9947.5</v>
      </c>
      <c r="BJ283" s="4">
        <v>10025</v>
      </c>
      <c r="BK283" s="4">
        <v>9720</v>
      </c>
      <c r="BL283" s="4">
        <v>9627.5</v>
      </c>
    </row>
    <row r="284" spans="1:64">
      <c r="A284" s="65" t="s">
        <v>585</v>
      </c>
      <c r="B284" s="4" t="str">
        <f>銘柄管理!C284</f>
        <v>データセクション</v>
      </c>
      <c r="C284" s="4">
        <f>_xll.RssMarket("3905","現在値")</f>
        <v>4915</v>
      </c>
      <c r="E284" s="4">
        <v>4915</v>
      </c>
      <c r="F284" s="4">
        <v>5200</v>
      </c>
      <c r="G284" s="4">
        <v>4580</v>
      </c>
      <c r="H284" s="4">
        <v>4340</v>
      </c>
      <c r="I284" s="4">
        <v>4315</v>
      </c>
      <c r="J284" s="4">
        <v>4940</v>
      </c>
      <c r="K284" s="4">
        <v>4900</v>
      </c>
      <c r="L284" s="4">
        <v>5690</v>
      </c>
      <c r="M284" s="4">
        <v>5060</v>
      </c>
      <c r="N284" s="4">
        <v>4360</v>
      </c>
      <c r="O284" s="4">
        <v>5310</v>
      </c>
      <c r="P284" s="4">
        <v>6140</v>
      </c>
      <c r="Q284" s="4">
        <v>5140</v>
      </c>
      <c r="R284" s="4">
        <v>4435</v>
      </c>
      <c r="S284" s="4">
        <v>4490</v>
      </c>
      <c r="T284" s="4">
        <v>4800</v>
      </c>
      <c r="U284" s="4">
        <v>4100</v>
      </c>
      <c r="V284" s="4">
        <v>3400</v>
      </c>
      <c r="W284" s="4">
        <v>3345</v>
      </c>
      <c r="X284" s="4">
        <v>2843</v>
      </c>
      <c r="Y284" s="4">
        <v>2343</v>
      </c>
      <c r="Z284" s="4">
        <v>2149</v>
      </c>
      <c r="AA284" s="4">
        <v>2279</v>
      </c>
      <c r="AB284" s="4">
        <v>2250</v>
      </c>
      <c r="AC284" s="4">
        <v>2360</v>
      </c>
      <c r="AD284" s="4">
        <v>2089</v>
      </c>
      <c r="AE284" s="4">
        <v>1689</v>
      </c>
      <c r="AF284" s="4">
        <v>1474</v>
      </c>
      <c r="AG284" s="4">
        <v>1487</v>
      </c>
      <c r="AH284" s="4">
        <v>1503</v>
      </c>
      <c r="AI284" s="4">
        <v>1467</v>
      </c>
      <c r="AJ284" s="4">
        <v>1479</v>
      </c>
      <c r="AK284" s="4">
        <v>1504</v>
      </c>
      <c r="AL284" s="4">
        <v>1526</v>
      </c>
      <c r="AM284" s="4">
        <v>1589</v>
      </c>
      <c r="AN284" s="4">
        <v>1590</v>
      </c>
      <c r="AO284" s="4">
        <v>1602</v>
      </c>
      <c r="AP284" s="4">
        <v>1547</v>
      </c>
      <c r="AQ284" s="4">
        <v>1473</v>
      </c>
      <c r="AR284" s="4">
        <v>1447</v>
      </c>
      <c r="AS284" s="4">
        <v>1363</v>
      </c>
      <c r="AT284" s="4">
        <v>1365</v>
      </c>
      <c r="AU284" s="4">
        <v>1379</v>
      </c>
      <c r="AV284" s="4">
        <v>1383</v>
      </c>
      <c r="AW284" s="4">
        <v>1304</v>
      </c>
      <c r="AX284" s="4">
        <v>1318</v>
      </c>
      <c r="AY284" s="4">
        <v>1337</v>
      </c>
      <c r="AZ284" s="4">
        <v>1355</v>
      </c>
      <c r="BA284" s="4">
        <v>1373</v>
      </c>
      <c r="BB284" s="4">
        <v>1270</v>
      </c>
      <c r="BC284" s="4">
        <v>1334</v>
      </c>
      <c r="BD284" s="4">
        <v>1390</v>
      </c>
      <c r="BE284" s="4">
        <v>1395</v>
      </c>
      <c r="BF284" s="4">
        <v>1430</v>
      </c>
      <c r="BG284" s="4">
        <v>1322</v>
      </c>
      <c r="BH284" s="4">
        <v>1292</v>
      </c>
      <c r="BI284" s="4">
        <v>1485</v>
      </c>
      <c r="BJ284" s="4">
        <v>1543</v>
      </c>
      <c r="BK284" s="4">
        <v>1533</v>
      </c>
      <c r="BL284" s="4">
        <v>1595</v>
      </c>
    </row>
    <row r="285" spans="1:64">
      <c r="A285" s="65" t="s">
        <v>586</v>
      </c>
      <c r="B285" s="4" t="str">
        <f>銘柄管理!C285</f>
        <v>トリドールホールディングス</v>
      </c>
      <c r="C285" s="4">
        <f>_xll.RssMarket("3397","現在値")</f>
        <v>3653</v>
      </c>
      <c r="E285" s="4">
        <v>3653</v>
      </c>
      <c r="F285" s="4">
        <v>3733</v>
      </c>
      <c r="G285" s="4">
        <v>3821</v>
      </c>
      <c r="H285" s="4">
        <v>3905</v>
      </c>
      <c r="I285" s="4">
        <v>3856</v>
      </c>
      <c r="J285" s="4">
        <v>3775</v>
      </c>
      <c r="K285" s="4">
        <v>3676</v>
      </c>
      <c r="L285" s="4">
        <v>3731</v>
      </c>
      <c r="M285" s="4">
        <v>3824</v>
      </c>
      <c r="N285" s="4">
        <v>3831</v>
      </c>
      <c r="O285" s="4">
        <v>3766</v>
      </c>
      <c r="P285" s="4">
        <v>3783</v>
      </c>
      <c r="Q285" s="4">
        <v>3789</v>
      </c>
      <c r="R285" s="4">
        <v>3739</v>
      </c>
      <c r="S285" s="4">
        <v>3895</v>
      </c>
      <c r="T285" s="4">
        <v>3855</v>
      </c>
      <c r="U285" s="4">
        <v>3800</v>
      </c>
      <c r="V285" s="4">
        <v>3895</v>
      </c>
      <c r="W285" s="4">
        <v>3856</v>
      </c>
      <c r="X285" s="4">
        <v>3750</v>
      </c>
      <c r="Y285" s="4">
        <v>3758</v>
      </c>
      <c r="Z285" s="4">
        <v>3886</v>
      </c>
      <c r="AA285" s="4">
        <v>3995</v>
      </c>
      <c r="AB285" s="4">
        <v>3930</v>
      </c>
      <c r="AC285" s="4">
        <v>3960</v>
      </c>
      <c r="AD285" s="4">
        <v>3965</v>
      </c>
      <c r="AE285" s="4">
        <v>3995</v>
      </c>
      <c r="AF285" s="4">
        <v>4008</v>
      </c>
      <c r="AG285" s="4">
        <v>4045</v>
      </c>
      <c r="AH285" s="4">
        <v>4108</v>
      </c>
      <c r="AI285" s="4">
        <v>4055</v>
      </c>
      <c r="AJ285" s="4">
        <v>4072</v>
      </c>
      <c r="AK285" s="4">
        <v>4111</v>
      </c>
      <c r="AL285" s="4">
        <v>4155</v>
      </c>
      <c r="AM285" s="4">
        <v>4157</v>
      </c>
      <c r="AN285" s="4">
        <v>4215</v>
      </c>
      <c r="AO285" s="4">
        <v>4180</v>
      </c>
      <c r="AP285" s="4">
        <v>4215</v>
      </c>
      <c r="AQ285" s="4">
        <v>4272</v>
      </c>
      <c r="AR285" s="4">
        <v>4225</v>
      </c>
      <c r="AS285" s="4">
        <v>4258</v>
      </c>
      <c r="AT285" s="4">
        <v>4293</v>
      </c>
      <c r="AU285" s="4">
        <v>4366</v>
      </c>
      <c r="AV285" s="4">
        <v>4500</v>
      </c>
      <c r="AW285" s="4">
        <v>4503</v>
      </c>
      <c r="AX285" s="4">
        <v>4490</v>
      </c>
      <c r="AY285" s="4">
        <v>4515</v>
      </c>
      <c r="AZ285" s="4">
        <v>4483</v>
      </c>
      <c r="BA285" s="4">
        <v>4500</v>
      </c>
      <c r="BB285" s="4">
        <v>4357</v>
      </c>
      <c r="BC285" s="4">
        <v>4305</v>
      </c>
      <c r="BD285" s="4">
        <v>4363</v>
      </c>
      <c r="BE285" s="4">
        <v>4354</v>
      </c>
      <c r="BF285" s="4">
        <v>4359</v>
      </c>
      <c r="BG285" s="4">
        <v>4382</v>
      </c>
      <c r="BH285" s="4">
        <v>4315</v>
      </c>
      <c r="BI285" s="4">
        <v>4326</v>
      </c>
      <c r="BJ285" s="4">
        <v>4345</v>
      </c>
      <c r="BK285" s="4">
        <v>4296</v>
      </c>
      <c r="BL285" s="4">
        <v>4295</v>
      </c>
    </row>
    <row r="286" spans="1:64">
      <c r="A286" s="65" t="s">
        <v>587</v>
      </c>
      <c r="B286" s="4" t="str">
        <f>銘柄管理!C286</f>
        <v>ＳＵＢＡＲＵ</v>
      </c>
      <c r="C286" s="4">
        <f>_xll.RssMarket("7270","現在値")</f>
        <v>2582.5</v>
      </c>
      <c r="E286" s="4">
        <v>2582.5</v>
      </c>
      <c r="F286" s="4">
        <v>2564.5</v>
      </c>
      <c r="G286" s="4">
        <v>2474</v>
      </c>
      <c r="H286" s="4">
        <v>2480</v>
      </c>
      <c r="I286" s="4">
        <v>2535.5</v>
      </c>
      <c r="J286" s="4">
        <v>2493</v>
      </c>
      <c r="K286" s="4">
        <v>2454.5</v>
      </c>
      <c r="L286" s="4">
        <v>2474.5</v>
      </c>
      <c r="M286" s="4">
        <v>2471</v>
      </c>
      <c r="N286" s="4">
        <v>2438.5</v>
      </c>
      <c r="O286" s="4">
        <v>2422</v>
      </c>
      <c r="P286" s="4">
        <v>2442</v>
      </c>
      <c r="Q286" s="4">
        <v>2465.5</v>
      </c>
      <c r="R286" s="4">
        <v>2437</v>
      </c>
      <c r="S286" s="4">
        <v>2464.5</v>
      </c>
      <c r="T286" s="4">
        <v>2441</v>
      </c>
      <c r="U286" s="4">
        <v>2493</v>
      </c>
      <c r="V286" s="4">
        <v>2437</v>
      </c>
      <c r="W286" s="4">
        <v>2450</v>
      </c>
      <c r="X286" s="4">
        <v>2385</v>
      </c>
      <c r="Y286" s="4">
        <v>2567.5</v>
      </c>
      <c r="Z286" s="4">
        <v>2402</v>
      </c>
      <c r="AA286" s="4">
        <v>2346</v>
      </c>
      <c r="AB286" s="4">
        <v>2288</v>
      </c>
      <c r="AC286" s="4">
        <v>2319.5</v>
      </c>
      <c r="AD286" s="4">
        <v>2358</v>
      </c>
      <c r="AE286" s="4">
        <v>2343</v>
      </c>
      <c r="AF286" s="4">
        <v>2369.5</v>
      </c>
      <c r="AG286" s="4">
        <v>2349.5</v>
      </c>
      <c r="AH286" s="4">
        <v>2438.5</v>
      </c>
      <c r="AI286" s="4">
        <v>2440</v>
      </c>
      <c r="AJ286" s="4">
        <v>2447.5</v>
      </c>
      <c r="AK286" s="4">
        <v>2501</v>
      </c>
      <c r="AL286" s="4">
        <v>2500.5</v>
      </c>
      <c r="AM286" s="4">
        <v>2570.5</v>
      </c>
      <c r="AN286" s="4">
        <v>2569</v>
      </c>
      <c r="AO286" s="4">
        <v>2537.5</v>
      </c>
      <c r="AP286" s="4">
        <v>2548</v>
      </c>
      <c r="AQ286" s="4">
        <v>2506</v>
      </c>
      <c r="AR286" s="4">
        <v>2539</v>
      </c>
      <c r="AS286" s="4">
        <v>2506</v>
      </c>
      <c r="AT286" s="4">
        <v>2544.5</v>
      </c>
      <c r="AU286" s="4">
        <v>2540</v>
      </c>
      <c r="AV286" s="4">
        <v>2593.5</v>
      </c>
      <c r="AW286" s="4">
        <v>2522</v>
      </c>
      <c r="AX286" s="4">
        <v>2523</v>
      </c>
      <c r="AY286" s="4">
        <v>2538.5</v>
      </c>
      <c r="AZ286" s="4">
        <v>2510.5</v>
      </c>
      <c r="BA286" s="4">
        <v>2553</v>
      </c>
      <c r="BB286" s="4">
        <v>2483.5</v>
      </c>
      <c r="BC286" s="4">
        <v>2473</v>
      </c>
      <c r="BD286" s="4">
        <v>2601</v>
      </c>
      <c r="BE286" s="4">
        <v>2592</v>
      </c>
      <c r="BF286" s="4">
        <v>2585</v>
      </c>
      <c r="BG286" s="4">
        <v>2560</v>
      </c>
      <c r="BH286" s="4">
        <v>2496.5</v>
      </c>
      <c r="BI286" s="4">
        <v>2559</v>
      </c>
      <c r="BJ286" s="4">
        <v>2608.5</v>
      </c>
      <c r="BK286" s="4">
        <v>2577.5</v>
      </c>
      <c r="BL286" s="4">
        <v>2568.5</v>
      </c>
    </row>
    <row r="287" spans="1:64">
      <c r="A287" s="65" t="s">
        <v>588</v>
      </c>
      <c r="B287" s="4" t="str">
        <f>銘柄管理!C287</f>
        <v>サン電子</v>
      </c>
      <c r="C287" s="4">
        <f>_xll.RssMarket("6736","現在値")</f>
        <v>9100</v>
      </c>
      <c r="E287" s="4">
        <v>9100</v>
      </c>
      <c r="F287" s="4">
        <v>8780</v>
      </c>
      <c r="G287" s="4">
        <v>8690</v>
      </c>
      <c r="H287" s="4">
        <v>9030</v>
      </c>
      <c r="I287" s="4">
        <v>8690</v>
      </c>
      <c r="J287" s="4">
        <v>8610</v>
      </c>
      <c r="K287" s="4">
        <v>8670</v>
      </c>
      <c r="L287" s="4">
        <v>8940</v>
      </c>
      <c r="M287" s="4">
        <v>9100</v>
      </c>
      <c r="N287" s="4">
        <v>9460</v>
      </c>
      <c r="O287" s="4">
        <v>9230</v>
      </c>
      <c r="P287" s="4">
        <v>9060</v>
      </c>
      <c r="Q287" s="4">
        <v>9150</v>
      </c>
      <c r="R287" s="4">
        <v>9180</v>
      </c>
      <c r="S287" s="4">
        <v>9430</v>
      </c>
      <c r="T287" s="4">
        <v>8900</v>
      </c>
      <c r="U287" s="4">
        <v>8640</v>
      </c>
      <c r="V287" s="4">
        <v>9680</v>
      </c>
      <c r="W287" s="4">
        <v>9120</v>
      </c>
      <c r="X287" s="4">
        <v>8760</v>
      </c>
      <c r="Y287" s="4">
        <v>8500</v>
      </c>
      <c r="Z287" s="4">
        <v>8480</v>
      </c>
      <c r="AA287" s="4">
        <v>9070</v>
      </c>
      <c r="AB287" s="4">
        <v>8660</v>
      </c>
      <c r="AC287" s="4">
        <v>8590</v>
      </c>
      <c r="AD287" s="4">
        <v>8610</v>
      </c>
      <c r="AE287" s="4">
        <v>8670</v>
      </c>
      <c r="AF287" s="4">
        <v>8300</v>
      </c>
      <c r="AG287" s="4">
        <v>8190</v>
      </c>
      <c r="AH287" s="4">
        <v>7980</v>
      </c>
      <c r="AI287" s="4">
        <v>8100</v>
      </c>
      <c r="AJ287" s="4">
        <v>8290</v>
      </c>
      <c r="AK287" s="4">
        <v>7990</v>
      </c>
      <c r="AL287" s="4">
        <v>7980</v>
      </c>
      <c r="AM287" s="4">
        <v>7970</v>
      </c>
      <c r="AN287" s="4">
        <v>7860</v>
      </c>
      <c r="AO287" s="4">
        <v>7840</v>
      </c>
      <c r="AP287" s="4">
        <v>7260</v>
      </c>
      <c r="AQ287" s="4">
        <v>7640</v>
      </c>
      <c r="AR287" s="4">
        <v>8550</v>
      </c>
      <c r="AS287" s="4">
        <v>9060</v>
      </c>
      <c r="AT287" s="4">
        <v>9320</v>
      </c>
      <c r="AU287" s="4">
        <v>8370</v>
      </c>
      <c r="AV287" s="4">
        <v>8330</v>
      </c>
      <c r="AW287" s="4">
        <v>8510</v>
      </c>
      <c r="AX287" s="4">
        <v>8490</v>
      </c>
      <c r="AY287" s="4">
        <v>8530</v>
      </c>
      <c r="AZ287" s="4">
        <v>8070</v>
      </c>
      <c r="BA287" s="4">
        <v>8250</v>
      </c>
      <c r="BB287" s="4">
        <v>8640</v>
      </c>
      <c r="BC287" s="4">
        <v>8570</v>
      </c>
      <c r="BD287" s="4">
        <v>8160</v>
      </c>
      <c r="BE287" s="4">
        <v>7780</v>
      </c>
      <c r="BF287" s="4">
        <v>7640</v>
      </c>
      <c r="BG287" s="4">
        <v>7610</v>
      </c>
      <c r="BH287" s="4">
        <v>7820</v>
      </c>
      <c r="BI287" s="4">
        <v>7760</v>
      </c>
      <c r="BJ287" s="4">
        <v>7750</v>
      </c>
      <c r="BK287" s="4">
        <v>7720</v>
      </c>
      <c r="BL287" s="4">
        <v>7550</v>
      </c>
    </row>
    <row r="288" spans="1:64">
      <c r="A288" s="65" t="s">
        <v>589</v>
      </c>
      <c r="B288" s="4" t="str">
        <f>銘柄管理!C288</f>
        <v>紀文食品</v>
      </c>
      <c r="C288" s="4">
        <f>_xll.RssMarket("2933","現在値")</f>
        <v>1050</v>
      </c>
      <c r="E288" s="4">
        <v>1050</v>
      </c>
      <c r="F288" s="4">
        <v>1044</v>
      </c>
      <c r="G288" s="4">
        <v>1050</v>
      </c>
      <c r="H288" s="4">
        <v>1048</v>
      </c>
      <c r="I288" s="4">
        <v>1035</v>
      </c>
      <c r="J288" s="4">
        <v>1030</v>
      </c>
      <c r="K288" s="4">
        <v>1022</v>
      </c>
      <c r="L288" s="4">
        <v>1028</v>
      </c>
      <c r="M288" s="4">
        <v>1018</v>
      </c>
      <c r="N288" s="4">
        <v>1027</v>
      </c>
      <c r="O288" s="4">
        <v>1036</v>
      </c>
      <c r="P288" s="4">
        <v>1044</v>
      </c>
      <c r="Q288" s="4">
        <v>1036</v>
      </c>
      <c r="R288" s="4">
        <v>1038</v>
      </c>
      <c r="S288" s="4">
        <v>1040</v>
      </c>
      <c r="T288" s="4">
        <v>1043</v>
      </c>
      <c r="U288" s="4">
        <v>1042</v>
      </c>
      <c r="V288" s="4">
        <v>1035</v>
      </c>
      <c r="W288" s="4">
        <v>1040</v>
      </c>
      <c r="X288" s="4">
        <v>1030</v>
      </c>
      <c r="Y288" s="4">
        <v>1030</v>
      </c>
      <c r="Z288" s="4">
        <v>1031</v>
      </c>
      <c r="AA288" s="4">
        <v>1025</v>
      </c>
      <c r="AB288" s="4">
        <v>1024</v>
      </c>
      <c r="AC288" s="4">
        <v>1032</v>
      </c>
      <c r="AD288" s="4">
        <v>1031</v>
      </c>
      <c r="AE288" s="4">
        <v>1032</v>
      </c>
      <c r="AF288" s="4">
        <v>1028</v>
      </c>
      <c r="AG288" s="4">
        <v>1026</v>
      </c>
      <c r="AH288" s="4">
        <v>1030</v>
      </c>
      <c r="AI288" s="4">
        <v>1034</v>
      </c>
      <c r="AJ288" s="4">
        <v>1040</v>
      </c>
      <c r="AK288" s="4">
        <v>1052</v>
      </c>
      <c r="AL288" s="4">
        <v>1061</v>
      </c>
      <c r="AM288" s="4">
        <v>1062</v>
      </c>
      <c r="AN288" s="4">
        <v>1058</v>
      </c>
      <c r="AO288" s="4">
        <v>1058</v>
      </c>
      <c r="AP288" s="4">
        <v>1051</v>
      </c>
      <c r="AQ288" s="4">
        <v>1059</v>
      </c>
      <c r="AR288" s="4">
        <v>1057</v>
      </c>
      <c r="AS288" s="4">
        <v>1058</v>
      </c>
      <c r="AT288" s="4">
        <v>1064</v>
      </c>
      <c r="AU288" s="4">
        <v>1065</v>
      </c>
      <c r="AV288" s="4">
        <v>1062</v>
      </c>
      <c r="AW288" s="4">
        <v>1056</v>
      </c>
      <c r="AX288" s="4">
        <v>1050</v>
      </c>
      <c r="AY288" s="4">
        <v>1056</v>
      </c>
      <c r="AZ288" s="4">
        <v>1040</v>
      </c>
      <c r="BA288" s="4">
        <v>1040</v>
      </c>
      <c r="BB288" s="4">
        <v>1063</v>
      </c>
      <c r="BC288" s="4">
        <v>1050</v>
      </c>
      <c r="BD288" s="4">
        <v>1050</v>
      </c>
      <c r="BE288" s="4">
        <v>1044</v>
      </c>
      <c r="BF288" s="4">
        <v>1027</v>
      </c>
      <c r="BG288" s="4">
        <v>1039</v>
      </c>
      <c r="BH288" s="4">
        <v>1053</v>
      </c>
      <c r="BI288" s="4">
        <v>1038</v>
      </c>
      <c r="BJ288" s="4">
        <v>1036</v>
      </c>
      <c r="BK288" s="4">
        <v>1032</v>
      </c>
      <c r="BL288" s="4">
        <v>1039</v>
      </c>
    </row>
    <row r="289" spans="1:64">
      <c r="A289" s="65" t="s">
        <v>590</v>
      </c>
      <c r="B289" s="4" t="str">
        <f>銘柄管理!C289</f>
        <v>関東電化</v>
      </c>
      <c r="C289" s="4">
        <f>_xll.RssMarket("4047","現在値")</f>
        <v>3895</v>
      </c>
      <c r="E289" s="4">
        <v>3895</v>
      </c>
      <c r="F289" s="4">
        <v>3760</v>
      </c>
      <c r="G289" s="4">
        <v>3750</v>
      </c>
      <c r="H289" s="4">
        <v>4020</v>
      </c>
      <c r="I289" s="4">
        <v>3860</v>
      </c>
      <c r="J289" s="4">
        <v>3905</v>
      </c>
      <c r="K289" s="4">
        <v>4095</v>
      </c>
      <c r="L289" s="4">
        <v>4405</v>
      </c>
      <c r="M289" s="4">
        <v>3705</v>
      </c>
      <c r="N289" s="4">
        <v>3530</v>
      </c>
      <c r="O289" s="4">
        <v>3540</v>
      </c>
      <c r="P289" s="4">
        <v>3625</v>
      </c>
      <c r="Q289" s="4">
        <v>3455</v>
      </c>
      <c r="R289" s="4">
        <v>3330</v>
      </c>
      <c r="S289" s="4">
        <v>3305</v>
      </c>
      <c r="T289" s="4">
        <v>3040</v>
      </c>
      <c r="U289" s="4">
        <v>2870</v>
      </c>
      <c r="V289" s="4">
        <v>2666</v>
      </c>
      <c r="W289" s="4">
        <v>2770</v>
      </c>
      <c r="X289" s="4">
        <v>2550</v>
      </c>
      <c r="Y289" s="4">
        <v>2050</v>
      </c>
      <c r="Z289" s="4">
        <v>2175</v>
      </c>
      <c r="AA289" s="4">
        <v>2112</v>
      </c>
      <c r="AB289" s="4">
        <v>1971</v>
      </c>
      <c r="AC289" s="4">
        <v>1909</v>
      </c>
      <c r="AD289" s="4">
        <v>1856</v>
      </c>
      <c r="AE289" s="4">
        <v>1813</v>
      </c>
      <c r="AF289" s="4">
        <v>1706</v>
      </c>
      <c r="AG289" s="4">
        <v>1671</v>
      </c>
      <c r="AH289" s="4">
        <v>1700</v>
      </c>
      <c r="AI289" s="4">
        <v>1649</v>
      </c>
      <c r="AJ289" s="4">
        <v>1646</v>
      </c>
      <c r="AK289" s="4">
        <v>1632</v>
      </c>
      <c r="AL289" s="4">
        <v>1657</v>
      </c>
      <c r="AM289" s="4">
        <v>1671</v>
      </c>
      <c r="AN289" s="4">
        <v>1632</v>
      </c>
      <c r="AO289" s="4">
        <v>1632</v>
      </c>
      <c r="AP289" s="4">
        <v>1671</v>
      </c>
      <c r="AQ289" s="4">
        <v>1659</v>
      </c>
      <c r="AR289" s="4">
        <v>1700</v>
      </c>
      <c r="AS289" s="4">
        <v>1635</v>
      </c>
      <c r="AT289" s="4">
        <v>1625</v>
      </c>
      <c r="AU289" s="4">
        <v>1578</v>
      </c>
      <c r="AV289" s="4">
        <v>1606</v>
      </c>
      <c r="AW289" s="4">
        <v>1442</v>
      </c>
      <c r="AX289" s="4">
        <v>1389</v>
      </c>
      <c r="AY289" s="4">
        <v>1373</v>
      </c>
      <c r="AZ289" s="4">
        <v>1372</v>
      </c>
      <c r="BA289" s="4">
        <v>1420</v>
      </c>
      <c r="BB289" s="4">
        <v>1347</v>
      </c>
      <c r="BC289" s="4">
        <v>1411</v>
      </c>
      <c r="BD289" s="4">
        <v>1506</v>
      </c>
      <c r="BE289" s="4">
        <v>1510</v>
      </c>
      <c r="BF289" s="4">
        <v>1488</v>
      </c>
      <c r="BG289" s="4">
        <v>1405</v>
      </c>
      <c r="BH289" s="4">
        <v>1353</v>
      </c>
      <c r="BI289" s="4">
        <v>1457</v>
      </c>
      <c r="BJ289" s="4">
        <v>1562</v>
      </c>
      <c r="BK289" s="4">
        <v>1477</v>
      </c>
      <c r="BL289" s="4">
        <v>1550</v>
      </c>
    </row>
    <row r="290" spans="1:64">
      <c r="A290" s="65" t="s">
        <v>591</v>
      </c>
      <c r="B290" s="4" t="str">
        <f>銘柄管理!C290</f>
        <v>ＹＵＳＨＩＮ</v>
      </c>
      <c r="C290" s="4">
        <f>_xll.RssMarket("6482","現在値")</f>
        <v>770</v>
      </c>
      <c r="E290" s="4">
        <v>770</v>
      </c>
      <c r="F290" s="4">
        <v>713</v>
      </c>
      <c r="G290" s="4">
        <v>677</v>
      </c>
      <c r="H290" s="4">
        <v>672</v>
      </c>
      <c r="I290" s="4">
        <v>668</v>
      </c>
      <c r="J290" s="4">
        <v>659</v>
      </c>
      <c r="K290" s="4">
        <v>672</v>
      </c>
      <c r="L290" s="4">
        <v>665</v>
      </c>
      <c r="M290" s="4">
        <v>658</v>
      </c>
      <c r="N290" s="4">
        <v>646</v>
      </c>
      <c r="O290" s="4">
        <v>661</v>
      </c>
      <c r="P290" s="4">
        <v>667</v>
      </c>
      <c r="Q290" s="4">
        <v>677</v>
      </c>
      <c r="R290" s="4">
        <v>670</v>
      </c>
      <c r="S290" s="4">
        <v>710</v>
      </c>
      <c r="T290" s="4">
        <v>721</v>
      </c>
      <c r="U290" s="4">
        <v>707</v>
      </c>
      <c r="V290" s="4">
        <v>708</v>
      </c>
      <c r="W290" s="4">
        <v>712</v>
      </c>
      <c r="X290" s="4">
        <v>720</v>
      </c>
      <c r="Y290" s="4">
        <v>734</v>
      </c>
      <c r="Z290" s="4">
        <v>754</v>
      </c>
      <c r="AA290" s="4">
        <v>731</v>
      </c>
      <c r="AB290" s="4">
        <v>724</v>
      </c>
      <c r="AC290" s="4">
        <v>701</v>
      </c>
      <c r="AD290" s="4">
        <v>683</v>
      </c>
      <c r="AE290" s="4">
        <v>690</v>
      </c>
      <c r="AF290" s="4">
        <v>681</v>
      </c>
      <c r="AG290" s="4">
        <v>667</v>
      </c>
      <c r="AH290" s="4">
        <v>669</v>
      </c>
      <c r="AI290" s="4">
        <v>658</v>
      </c>
      <c r="AJ290" s="4">
        <v>659</v>
      </c>
      <c r="AK290" s="4">
        <v>659</v>
      </c>
      <c r="AL290" s="4">
        <v>671</v>
      </c>
      <c r="AM290" s="4">
        <v>678</v>
      </c>
      <c r="AN290" s="4">
        <v>676</v>
      </c>
      <c r="AO290" s="4">
        <v>671</v>
      </c>
      <c r="AP290" s="4">
        <v>678</v>
      </c>
      <c r="AQ290" s="4">
        <v>680</v>
      </c>
      <c r="AR290" s="4">
        <v>679</v>
      </c>
      <c r="AS290" s="4">
        <v>676</v>
      </c>
      <c r="AT290" s="4">
        <v>679</v>
      </c>
      <c r="AU290" s="4">
        <v>680</v>
      </c>
      <c r="AV290" s="4">
        <v>695</v>
      </c>
      <c r="AW290" s="4">
        <v>689</v>
      </c>
      <c r="AX290" s="4">
        <v>680</v>
      </c>
      <c r="AY290" s="4">
        <v>669</v>
      </c>
      <c r="AZ290" s="4">
        <v>672</v>
      </c>
      <c r="BA290" s="4">
        <v>673</v>
      </c>
      <c r="BB290" s="4">
        <v>661</v>
      </c>
      <c r="BC290" s="4">
        <v>657</v>
      </c>
      <c r="BD290" s="4">
        <v>689</v>
      </c>
      <c r="BE290" s="4">
        <v>693</v>
      </c>
      <c r="BF290" s="4">
        <v>696</v>
      </c>
      <c r="BG290" s="4">
        <v>679</v>
      </c>
      <c r="BH290" s="4">
        <v>670</v>
      </c>
      <c r="BI290" s="4">
        <v>672</v>
      </c>
      <c r="BJ290" s="4">
        <v>719</v>
      </c>
      <c r="BK290" s="4">
        <v>720</v>
      </c>
      <c r="BL290" s="4">
        <v>700</v>
      </c>
    </row>
    <row r="291" spans="1:64">
      <c r="A291" s="65" t="s">
        <v>592</v>
      </c>
      <c r="B291" s="4" t="str">
        <f>銘柄管理!C291</f>
        <v>電気興業</v>
      </c>
      <c r="C291" s="4">
        <f>_xll.RssMarket("6706","現在値")</f>
        <v>3155</v>
      </c>
      <c r="E291" s="4">
        <v>3155</v>
      </c>
      <c r="F291" s="4">
        <v>3180</v>
      </c>
      <c r="G291" s="4">
        <v>3175</v>
      </c>
      <c r="H291" s="4">
        <v>3290</v>
      </c>
      <c r="I291" s="4">
        <v>3390</v>
      </c>
      <c r="J291" s="4">
        <v>3465</v>
      </c>
      <c r="K291" s="4">
        <v>3475</v>
      </c>
      <c r="L291" s="4">
        <v>3510</v>
      </c>
      <c r="M291" s="4">
        <v>3475</v>
      </c>
      <c r="N291" s="4">
        <v>3525</v>
      </c>
      <c r="O291" s="4">
        <v>3510</v>
      </c>
      <c r="P291" s="4">
        <v>3520</v>
      </c>
      <c r="Q291" s="4">
        <v>3480</v>
      </c>
      <c r="R291" s="4">
        <v>3470</v>
      </c>
      <c r="S291" s="4">
        <v>3405</v>
      </c>
      <c r="T291" s="4">
        <v>3415</v>
      </c>
      <c r="U291" s="4">
        <v>3415</v>
      </c>
      <c r="V291" s="4">
        <v>3415</v>
      </c>
      <c r="W291" s="4">
        <v>3445</v>
      </c>
      <c r="X291" s="4">
        <v>3460</v>
      </c>
      <c r="Y291" s="4">
        <v>3470</v>
      </c>
      <c r="Z291" s="4">
        <v>3485</v>
      </c>
      <c r="AA291" s="4">
        <v>3465</v>
      </c>
      <c r="AB291" s="4">
        <v>3425</v>
      </c>
      <c r="AC291" s="4">
        <v>3410</v>
      </c>
      <c r="AD291" s="4">
        <v>3415</v>
      </c>
      <c r="AE291" s="4">
        <v>3335</v>
      </c>
      <c r="AF291" s="4">
        <v>3315</v>
      </c>
      <c r="AG291" s="4">
        <v>3345</v>
      </c>
      <c r="AH291" s="4">
        <v>3295</v>
      </c>
      <c r="AI291" s="4">
        <v>3325</v>
      </c>
      <c r="AJ291" s="4">
        <v>3330</v>
      </c>
      <c r="AK291" s="4">
        <v>3280</v>
      </c>
      <c r="AL291" s="4">
        <v>3300</v>
      </c>
      <c r="AM291" s="4">
        <v>3310</v>
      </c>
      <c r="AN291" s="4">
        <v>3275</v>
      </c>
      <c r="AO291" s="4">
        <v>3295</v>
      </c>
      <c r="AP291" s="4">
        <v>3255</v>
      </c>
      <c r="AQ291" s="4">
        <v>3220</v>
      </c>
      <c r="AR291" s="4">
        <v>3165</v>
      </c>
      <c r="AS291" s="4">
        <v>3080</v>
      </c>
      <c r="AT291" s="4">
        <v>3095</v>
      </c>
      <c r="AU291" s="4">
        <v>3170</v>
      </c>
      <c r="AV291" s="4">
        <v>3090</v>
      </c>
      <c r="AW291" s="4">
        <v>3075</v>
      </c>
      <c r="AX291" s="4">
        <v>3075</v>
      </c>
      <c r="AY291" s="4">
        <v>3055</v>
      </c>
      <c r="AZ291" s="4">
        <v>3085</v>
      </c>
      <c r="BA291" s="4">
        <v>3000</v>
      </c>
      <c r="BB291" s="4">
        <v>3020</v>
      </c>
      <c r="BC291" s="4">
        <v>3100</v>
      </c>
      <c r="BD291" s="4">
        <v>3085</v>
      </c>
      <c r="BE291" s="4">
        <v>3120</v>
      </c>
      <c r="BF291" s="4">
        <v>3090</v>
      </c>
      <c r="BG291" s="4">
        <v>3000</v>
      </c>
      <c r="BH291" s="4">
        <v>3125</v>
      </c>
      <c r="BI291" s="4">
        <v>3220</v>
      </c>
      <c r="BJ291" s="4">
        <v>3105</v>
      </c>
      <c r="BK291" s="4">
        <v>3215</v>
      </c>
      <c r="BL291" s="4">
        <v>3195</v>
      </c>
    </row>
    <row r="292" spans="1:64">
      <c r="A292" s="65" t="s">
        <v>593</v>
      </c>
      <c r="B292" s="4" t="str">
        <f>銘柄管理!C292</f>
        <v>新光商事</v>
      </c>
      <c r="C292" s="4">
        <f>_xll.RssMarket("8141","現在値")</f>
        <v>1581</v>
      </c>
      <c r="E292" s="4">
        <v>1581</v>
      </c>
      <c r="F292" s="4">
        <v>1580</v>
      </c>
      <c r="G292" s="4">
        <v>1579</v>
      </c>
      <c r="H292" s="4">
        <v>1578</v>
      </c>
      <c r="I292" s="4">
        <v>1583</v>
      </c>
      <c r="J292" s="4">
        <v>1585</v>
      </c>
      <c r="K292" s="4">
        <v>1584</v>
      </c>
      <c r="L292" s="4">
        <v>1579</v>
      </c>
      <c r="M292" s="4">
        <v>1580</v>
      </c>
      <c r="N292" s="4">
        <v>1575</v>
      </c>
      <c r="O292" s="4">
        <v>1579</v>
      </c>
      <c r="P292" s="4">
        <v>1595</v>
      </c>
      <c r="Q292" s="4">
        <v>1600</v>
      </c>
      <c r="R292" s="4">
        <v>1603</v>
      </c>
      <c r="S292" s="4">
        <v>1613</v>
      </c>
      <c r="T292" s="4">
        <v>1606</v>
      </c>
      <c r="U292" s="4">
        <v>1613</v>
      </c>
      <c r="V292" s="4">
        <v>1595</v>
      </c>
      <c r="W292" s="4">
        <v>1525</v>
      </c>
      <c r="X292" s="4">
        <v>1485</v>
      </c>
      <c r="Y292" s="4">
        <v>1575</v>
      </c>
      <c r="Z292" s="4">
        <v>1665</v>
      </c>
      <c r="AA292" s="4">
        <v>1662</v>
      </c>
      <c r="AB292" s="4">
        <v>1714</v>
      </c>
      <c r="AC292" s="4">
        <v>1740</v>
      </c>
      <c r="AD292" s="4">
        <v>1668</v>
      </c>
      <c r="AE292" s="4">
        <v>1631</v>
      </c>
      <c r="AF292" s="4">
        <v>1601</v>
      </c>
      <c r="AG292" s="4">
        <v>1540</v>
      </c>
      <c r="AH292" s="4">
        <v>1517</v>
      </c>
      <c r="AI292" s="4">
        <v>1539</v>
      </c>
      <c r="AJ292" s="4">
        <v>1577</v>
      </c>
      <c r="AK292" s="4">
        <v>1550</v>
      </c>
      <c r="AL292" s="4">
        <v>1539</v>
      </c>
      <c r="AM292" s="4">
        <v>1490</v>
      </c>
      <c r="AN292" s="4">
        <v>1450</v>
      </c>
      <c r="AO292" s="4">
        <v>1419</v>
      </c>
      <c r="AP292" s="4">
        <v>1371</v>
      </c>
      <c r="AQ292" s="4">
        <v>1447</v>
      </c>
      <c r="AR292" s="4">
        <v>1405</v>
      </c>
      <c r="AS292" s="4">
        <v>1403</v>
      </c>
      <c r="AT292" s="4">
        <v>1388</v>
      </c>
      <c r="AU292" s="4">
        <v>1350</v>
      </c>
      <c r="AV292" s="4">
        <v>1302</v>
      </c>
      <c r="AW292" s="4">
        <v>1311</v>
      </c>
      <c r="AX292" s="4">
        <v>1269</v>
      </c>
      <c r="AY292" s="4">
        <v>1266</v>
      </c>
      <c r="AZ292" s="4">
        <v>1254</v>
      </c>
      <c r="BA292" s="4">
        <v>1250</v>
      </c>
      <c r="BB292" s="4">
        <v>1225</v>
      </c>
      <c r="BC292" s="4">
        <v>1185</v>
      </c>
      <c r="BD292" s="4">
        <v>1231</v>
      </c>
      <c r="BE292" s="4">
        <v>1103</v>
      </c>
      <c r="BF292" s="4">
        <v>1080</v>
      </c>
      <c r="BG292" s="4">
        <v>1100</v>
      </c>
      <c r="BH292" s="4">
        <v>1101</v>
      </c>
      <c r="BI292" s="4">
        <v>1099</v>
      </c>
      <c r="BJ292" s="4">
        <v>1098</v>
      </c>
      <c r="BK292" s="4">
        <v>1087</v>
      </c>
      <c r="BL292" s="4">
        <v>1076</v>
      </c>
    </row>
    <row r="293" spans="1:64">
      <c r="A293" s="65" t="s">
        <v>594</v>
      </c>
      <c r="B293" s="4" t="str">
        <f>銘柄管理!C293</f>
        <v>山形銀行</v>
      </c>
      <c r="C293" s="4">
        <f>_xll.RssMarket("8344","現在値")</f>
        <v>3465</v>
      </c>
      <c r="E293" s="4">
        <v>3465</v>
      </c>
      <c r="F293" s="4">
        <v>3560</v>
      </c>
      <c r="G293" s="4">
        <v>3495</v>
      </c>
      <c r="H293" s="4">
        <v>3370</v>
      </c>
      <c r="I293" s="4">
        <v>3350</v>
      </c>
      <c r="J293" s="4">
        <v>3075</v>
      </c>
      <c r="K293" s="4">
        <v>3035</v>
      </c>
      <c r="L293" s="4">
        <v>2975</v>
      </c>
      <c r="M293" s="4">
        <v>3055</v>
      </c>
      <c r="N293" s="4">
        <v>3070</v>
      </c>
      <c r="O293" s="4">
        <v>3095</v>
      </c>
      <c r="P293" s="4">
        <v>3080</v>
      </c>
      <c r="Q293" s="4">
        <v>2991</v>
      </c>
      <c r="R293" s="4">
        <v>3055</v>
      </c>
      <c r="S293" s="4">
        <v>3035</v>
      </c>
      <c r="T293" s="4">
        <v>2994</v>
      </c>
      <c r="U293" s="4">
        <v>2940</v>
      </c>
      <c r="V293" s="4">
        <v>2876</v>
      </c>
      <c r="W293" s="4">
        <v>2655</v>
      </c>
      <c r="X293" s="4">
        <v>2636</v>
      </c>
      <c r="Y293" s="4">
        <v>2616</v>
      </c>
      <c r="Z293" s="4">
        <v>2548</v>
      </c>
      <c r="AA293" s="4">
        <v>2535</v>
      </c>
      <c r="AB293" s="4">
        <v>2515</v>
      </c>
      <c r="AC293" s="4">
        <v>2595</v>
      </c>
      <c r="AD293" s="4">
        <v>2503</v>
      </c>
      <c r="AE293" s="4">
        <v>2537</v>
      </c>
      <c r="AF293" s="4">
        <v>2563</v>
      </c>
      <c r="AG293" s="4">
        <v>2396</v>
      </c>
      <c r="AH293" s="4">
        <v>2415</v>
      </c>
      <c r="AI293" s="4">
        <v>2477</v>
      </c>
      <c r="AJ293" s="4">
        <v>2538</v>
      </c>
      <c r="AK293" s="4">
        <v>2638</v>
      </c>
      <c r="AL293" s="4">
        <v>2726</v>
      </c>
      <c r="AM293" s="4">
        <v>2786</v>
      </c>
      <c r="AN293" s="4">
        <v>2780</v>
      </c>
      <c r="AO293" s="4">
        <v>2740</v>
      </c>
      <c r="AP293" s="4">
        <v>2688</v>
      </c>
      <c r="AQ293" s="4">
        <v>2683</v>
      </c>
      <c r="AR293" s="4">
        <v>2678</v>
      </c>
      <c r="AS293" s="4">
        <v>2656</v>
      </c>
      <c r="AT293" s="4">
        <v>2657</v>
      </c>
      <c r="AU293" s="4">
        <v>2579</v>
      </c>
      <c r="AV293" s="4">
        <v>2550</v>
      </c>
      <c r="AW293" s="4">
        <v>2510</v>
      </c>
      <c r="AX293" s="4">
        <v>2497</v>
      </c>
      <c r="AY293" s="4">
        <v>2525</v>
      </c>
      <c r="AZ293" s="4">
        <v>2363</v>
      </c>
      <c r="BA293" s="4">
        <v>2411</v>
      </c>
      <c r="BB293" s="4">
        <v>2498</v>
      </c>
      <c r="BC293" s="4">
        <v>2479</v>
      </c>
      <c r="BD293" s="4">
        <v>2518</v>
      </c>
      <c r="BE293" s="4">
        <v>2384</v>
      </c>
      <c r="BF293" s="4">
        <v>2294</v>
      </c>
      <c r="BG293" s="4">
        <v>2386</v>
      </c>
      <c r="BH293" s="4">
        <v>2471</v>
      </c>
      <c r="BI293" s="4">
        <v>2401</v>
      </c>
      <c r="BJ293" s="4">
        <v>2396</v>
      </c>
      <c r="BK293" s="4">
        <v>2403</v>
      </c>
      <c r="BL293" s="4">
        <v>2415</v>
      </c>
    </row>
    <row r="294" spans="1:64">
      <c r="A294" s="65" t="s">
        <v>595</v>
      </c>
      <c r="B294" s="4" t="str">
        <f>銘柄管理!C294</f>
        <v>小野建</v>
      </c>
      <c r="C294" s="4">
        <f>_xll.RssMarket("7414","現在値")</f>
        <v>1330</v>
      </c>
      <c r="E294" s="4">
        <v>1330</v>
      </c>
      <c r="F294" s="4">
        <v>1324</v>
      </c>
      <c r="G294" s="4">
        <v>1318</v>
      </c>
      <c r="H294" s="4">
        <v>1309</v>
      </c>
      <c r="I294" s="4">
        <v>1311</v>
      </c>
      <c r="J294" s="4">
        <v>1310</v>
      </c>
      <c r="K294" s="4">
        <v>1330</v>
      </c>
      <c r="L294" s="4">
        <v>1308</v>
      </c>
      <c r="M294" s="4">
        <v>1313</v>
      </c>
      <c r="N294" s="4">
        <v>1301</v>
      </c>
      <c r="O294" s="4">
        <v>1318</v>
      </c>
      <c r="P294" s="4">
        <v>1347</v>
      </c>
      <c r="Q294" s="4">
        <v>1344</v>
      </c>
      <c r="R294" s="4">
        <v>1338</v>
      </c>
      <c r="S294" s="4">
        <v>1318</v>
      </c>
      <c r="T294" s="4">
        <v>1326</v>
      </c>
      <c r="U294" s="4">
        <v>1329</v>
      </c>
      <c r="V294" s="4">
        <v>1322</v>
      </c>
      <c r="W294" s="4">
        <v>1344</v>
      </c>
      <c r="X294" s="4">
        <v>1339</v>
      </c>
      <c r="Y294" s="4">
        <v>1366</v>
      </c>
      <c r="Z294" s="4">
        <v>1440</v>
      </c>
      <c r="AA294" s="4">
        <v>1428</v>
      </c>
      <c r="AB294" s="4">
        <v>1440</v>
      </c>
      <c r="AC294" s="4">
        <v>1435</v>
      </c>
      <c r="AD294" s="4">
        <v>1424</v>
      </c>
      <c r="AE294" s="4">
        <v>1447</v>
      </c>
      <c r="AF294" s="4">
        <v>1413</v>
      </c>
      <c r="AG294" s="4">
        <v>1394</v>
      </c>
      <c r="AH294" s="4">
        <v>1402</v>
      </c>
      <c r="AI294" s="4">
        <v>1375</v>
      </c>
      <c r="AJ294" s="4">
        <v>1382</v>
      </c>
      <c r="AK294" s="4">
        <v>1376</v>
      </c>
      <c r="AL294" s="4">
        <v>1380</v>
      </c>
      <c r="AM294" s="4">
        <v>1394</v>
      </c>
      <c r="AN294" s="4">
        <v>1406</v>
      </c>
      <c r="AO294" s="4">
        <v>1396</v>
      </c>
      <c r="AP294" s="4">
        <v>1400</v>
      </c>
      <c r="AQ294" s="4">
        <v>1407</v>
      </c>
      <c r="AR294" s="4">
        <v>1406</v>
      </c>
      <c r="AS294" s="4">
        <v>1404</v>
      </c>
      <c r="AT294" s="4">
        <v>1410</v>
      </c>
      <c r="AU294" s="4">
        <v>1419</v>
      </c>
      <c r="AV294" s="4">
        <v>1420</v>
      </c>
      <c r="AW294" s="4">
        <v>1420</v>
      </c>
      <c r="AX294" s="4">
        <v>1393</v>
      </c>
      <c r="AY294" s="4">
        <v>1391</v>
      </c>
      <c r="AZ294" s="4">
        <v>1391</v>
      </c>
      <c r="BA294" s="4">
        <v>1406</v>
      </c>
      <c r="BB294" s="4">
        <v>1388</v>
      </c>
      <c r="BC294" s="4">
        <v>1389</v>
      </c>
      <c r="BD294" s="4">
        <v>1437</v>
      </c>
      <c r="BE294" s="4">
        <v>1435</v>
      </c>
      <c r="BF294" s="4">
        <v>1434</v>
      </c>
      <c r="BG294" s="4">
        <v>1422</v>
      </c>
      <c r="BH294" s="4">
        <v>1388</v>
      </c>
      <c r="BI294" s="4">
        <v>1413</v>
      </c>
      <c r="BJ294" s="4">
        <v>1446</v>
      </c>
      <c r="BK294" s="4">
        <v>1422</v>
      </c>
      <c r="BL294" s="4">
        <v>1413</v>
      </c>
    </row>
    <row r="295" spans="1:64">
      <c r="A295" s="65" t="s">
        <v>596</v>
      </c>
      <c r="B295" s="4" t="str">
        <f>銘柄管理!C295</f>
        <v>ＣＫＤ</v>
      </c>
      <c r="C295" s="4">
        <f>_xll.RssMarket("6407","現在値")</f>
        <v>7450</v>
      </c>
      <c r="E295" s="4">
        <v>7450</v>
      </c>
      <c r="F295" s="4">
        <v>7470</v>
      </c>
      <c r="G295" s="4">
        <v>6640</v>
      </c>
      <c r="H295" s="4">
        <v>6150</v>
      </c>
      <c r="I295" s="4">
        <v>6190</v>
      </c>
      <c r="J295" s="4">
        <v>5830</v>
      </c>
      <c r="K295" s="4">
        <v>6260</v>
      </c>
      <c r="L295" s="4">
        <v>6300</v>
      </c>
      <c r="M295" s="4">
        <v>6480</v>
      </c>
      <c r="N295" s="4">
        <v>6330</v>
      </c>
      <c r="O295" s="4">
        <v>6720</v>
      </c>
      <c r="P295" s="4">
        <v>6560</v>
      </c>
      <c r="Q295" s="4">
        <v>6800</v>
      </c>
      <c r="R295" s="4">
        <v>6730</v>
      </c>
      <c r="S295" s="4">
        <v>6890</v>
      </c>
      <c r="T295" s="4">
        <v>6740</v>
      </c>
      <c r="U295" s="4">
        <v>6360</v>
      </c>
      <c r="V295" s="4">
        <v>5920</v>
      </c>
      <c r="W295" s="4">
        <v>5970</v>
      </c>
      <c r="X295" s="4">
        <v>6230</v>
      </c>
      <c r="Y295" s="4">
        <v>6790</v>
      </c>
      <c r="Z295" s="4">
        <v>7000</v>
      </c>
      <c r="AA295" s="4">
        <v>6870</v>
      </c>
      <c r="AB295" s="4">
        <v>6810</v>
      </c>
      <c r="AC295" s="4">
        <v>6680</v>
      </c>
      <c r="AD295" s="4">
        <v>6650</v>
      </c>
      <c r="AE295" s="4">
        <v>6470</v>
      </c>
      <c r="AF295" s="4">
        <v>6030</v>
      </c>
      <c r="AG295" s="4">
        <v>6040</v>
      </c>
      <c r="AH295" s="4">
        <v>5870</v>
      </c>
      <c r="AI295" s="4">
        <v>5830</v>
      </c>
      <c r="AJ295" s="4">
        <v>5520</v>
      </c>
      <c r="AK295" s="4">
        <v>5490</v>
      </c>
      <c r="AL295" s="4">
        <v>5780</v>
      </c>
      <c r="AM295" s="4">
        <v>5630</v>
      </c>
      <c r="AN295" s="4">
        <v>5670</v>
      </c>
      <c r="AO295" s="4">
        <v>5540</v>
      </c>
      <c r="AP295" s="4">
        <v>5760</v>
      </c>
      <c r="AQ295" s="4">
        <v>5600</v>
      </c>
      <c r="AR295" s="4">
        <v>5740</v>
      </c>
      <c r="AS295" s="4">
        <v>5650</v>
      </c>
      <c r="AT295" s="4">
        <v>5570</v>
      </c>
      <c r="AU295" s="4">
        <v>5120</v>
      </c>
      <c r="AV295" s="4">
        <v>5080</v>
      </c>
      <c r="AW295" s="4">
        <v>4900</v>
      </c>
      <c r="AX295" s="4">
        <v>4850</v>
      </c>
      <c r="AY295" s="4">
        <v>4875</v>
      </c>
      <c r="AZ295" s="4">
        <v>4620</v>
      </c>
      <c r="BA295" s="4">
        <v>4720</v>
      </c>
      <c r="BB295" s="4">
        <v>4270</v>
      </c>
      <c r="BC295" s="4">
        <v>4265</v>
      </c>
      <c r="BD295" s="4">
        <v>4330</v>
      </c>
      <c r="BE295" s="4">
        <v>4505</v>
      </c>
      <c r="BF295" s="4">
        <v>4685</v>
      </c>
      <c r="BG295" s="4">
        <v>4330</v>
      </c>
      <c r="BH295" s="4">
        <v>4140</v>
      </c>
      <c r="BI295" s="4">
        <v>4505</v>
      </c>
      <c r="BJ295" s="4">
        <v>4780</v>
      </c>
      <c r="BK295" s="4">
        <v>4430</v>
      </c>
      <c r="BL295" s="4">
        <v>4445</v>
      </c>
    </row>
    <row r="296" spans="1:64">
      <c r="A296" s="65" t="s">
        <v>597</v>
      </c>
      <c r="B296" s="4" t="str">
        <f>銘柄管理!C296</f>
        <v>ベルトラ</v>
      </c>
      <c r="C296" s="4">
        <f>_xll.RssMarket("7048","現在値")</f>
        <v>133</v>
      </c>
      <c r="E296" s="4">
        <v>133</v>
      </c>
      <c r="F296" s="4">
        <v>126</v>
      </c>
      <c r="G296" s="4">
        <v>119</v>
      </c>
      <c r="H296" s="4">
        <v>116</v>
      </c>
      <c r="I296" s="4">
        <v>124</v>
      </c>
      <c r="J296" s="4">
        <v>126</v>
      </c>
      <c r="K296" s="4">
        <v>130</v>
      </c>
      <c r="L296" s="4">
        <v>128</v>
      </c>
      <c r="M296" s="4">
        <v>129</v>
      </c>
      <c r="N296" s="4">
        <v>130</v>
      </c>
      <c r="O296" s="4">
        <v>133</v>
      </c>
      <c r="P296" s="4">
        <v>131</v>
      </c>
      <c r="Q296" s="4">
        <v>133</v>
      </c>
      <c r="R296" s="4">
        <v>137</v>
      </c>
      <c r="S296" s="4">
        <v>143</v>
      </c>
      <c r="T296" s="4">
        <v>144</v>
      </c>
      <c r="U296" s="4">
        <v>147</v>
      </c>
      <c r="V296" s="4">
        <v>145</v>
      </c>
      <c r="W296" s="4">
        <v>148</v>
      </c>
      <c r="X296" s="4">
        <v>159</v>
      </c>
      <c r="Y296" s="4">
        <v>165</v>
      </c>
      <c r="Z296" s="4">
        <v>163</v>
      </c>
      <c r="AA296" s="4">
        <v>164</v>
      </c>
      <c r="AB296" s="4">
        <v>164</v>
      </c>
      <c r="AC296" s="4">
        <v>163</v>
      </c>
      <c r="AD296" s="4">
        <v>162</v>
      </c>
      <c r="AE296" s="4">
        <v>160</v>
      </c>
      <c r="AF296" s="4">
        <v>164</v>
      </c>
      <c r="AG296" s="4">
        <v>161</v>
      </c>
      <c r="AH296" s="4">
        <v>163</v>
      </c>
      <c r="AI296" s="4">
        <v>169</v>
      </c>
      <c r="AJ296" s="4">
        <v>173</v>
      </c>
      <c r="AK296" s="4">
        <v>179</v>
      </c>
      <c r="AL296" s="4">
        <v>184</v>
      </c>
      <c r="AM296" s="4">
        <v>189</v>
      </c>
      <c r="AN296" s="4">
        <v>179</v>
      </c>
      <c r="AO296" s="4">
        <v>178</v>
      </c>
      <c r="AP296" s="4">
        <v>175</v>
      </c>
      <c r="AQ296" s="4">
        <v>174</v>
      </c>
      <c r="AR296" s="4">
        <v>174</v>
      </c>
      <c r="AS296" s="4">
        <v>179</v>
      </c>
      <c r="AT296" s="4">
        <v>189</v>
      </c>
      <c r="AU296" s="4">
        <v>179</v>
      </c>
      <c r="AV296" s="4">
        <v>180</v>
      </c>
      <c r="AW296" s="4">
        <v>178</v>
      </c>
      <c r="AX296" s="4">
        <v>175</v>
      </c>
      <c r="AY296" s="4">
        <v>183</v>
      </c>
      <c r="AZ296" s="4">
        <v>174</v>
      </c>
      <c r="BA296" s="4">
        <v>173</v>
      </c>
      <c r="BB296" s="4">
        <v>182</v>
      </c>
      <c r="BC296" s="4">
        <v>175</v>
      </c>
      <c r="BD296" s="4">
        <v>185</v>
      </c>
      <c r="BE296" s="4">
        <v>179</v>
      </c>
      <c r="BF296" s="4">
        <v>175</v>
      </c>
      <c r="BG296" s="4">
        <v>180</v>
      </c>
      <c r="BH296" s="4">
        <v>192</v>
      </c>
      <c r="BI296" s="4">
        <v>188</v>
      </c>
      <c r="BJ296" s="4">
        <v>186</v>
      </c>
      <c r="BK296" s="4">
        <v>188</v>
      </c>
      <c r="BL296" s="4">
        <v>193</v>
      </c>
    </row>
    <row r="297" spans="1:64">
      <c r="A297" s="65" t="s">
        <v>598</v>
      </c>
      <c r="B297" s="4" t="str">
        <f>銘柄管理!C297</f>
        <v>長谷工コーポレーシヨン</v>
      </c>
      <c r="C297" s="4">
        <f>_xll.RssMarket("1808","現在値")</f>
        <v>2706.5</v>
      </c>
      <c r="E297" s="4">
        <v>2706.5</v>
      </c>
      <c r="F297" s="4">
        <v>2690</v>
      </c>
      <c r="G297" s="4">
        <v>2691</v>
      </c>
      <c r="H297" s="4">
        <v>2731</v>
      </c>
      <c r="I297" s="4">
        <v>2727.5</v>
      </c>
      <c r="J297" s="4">
        <v>2647</v>
      </c>
      <c r="K297" s="4">
        <v>2654</v>
      </c>
      <c r="L297" s="4">
        <v>2626.5</v>
      </c>
      <c r="M297" s="4">
        <v>2630</v>
      </c>
      <c r="N297" s="4">
        <v>2617.5</v>
      </c>
      <c r="O297" s="4">
        <v>2660.5</v>
      </c>
      <c r="P297" s="4">
        <v>2712.5</v>
      </c>
      <c r="Q297" s="4">
        <v>2695.5</v>
      </c>
      <c r="R297" s="4">
        <v>2696.5</v>
      </c>
      <c r="S297" s="4">
        <v>2676.5</v>
      </c>
      <c r="T297" s="4">
        <v>2695</v>
      </c>
      <c r="U297" s="4">
        <v>2719</v>
      </c>
      <c r="V297" s="4">
        <v>2714.5</v>
      </c>
      <c r="W297" s="4">
        <v>2790.5</v>
      </c>
      <c r="X297" s="4">
        <v>2844</v>
      </c>
      <c r="Y297" s="4">
        <v>2684</v>
      </c>
      <c r="Z297" s="4">
        <v>2689</v>
      </c>
      <c r="AA297" s="4">
        <v>2790.5</v>
      </c>
      <c r="AB297" s="4">
        <v>2803.5</v>
      </c>
      <c r="AC297" s="4">
        <v>2767</v>
      </c>
      <c r="AD297" s="4">
        <v>2758</v>
      </c>
      <c r="AE297" s="4">
        <v>2755</v>
      </c>
      <c r="AF297" s="4">
        <v>2744</v>
      </c>
      <c r="AG297" s="4">
        <v>2709</v>
      </c>
      <c r="AH297" s="4">
        <v>2818</v>
      </c>
      <c r="AI297" s="4">
        <v>2723.5</v>
      </c>
      <c r="AJ297" s="4">
        <v>2684</v>
      </c>
      <c r="AK297" s="4">
        <v>2724.5</v>
      </c>
      <c r="AL297" s="4">
        <v>2762.5</v>
      </c>
      <c r="AM297" s="4">
        <v>2764</v>
      </c>
      <c r="AN297" s="4">
        <v>2821</v>
      </c>
      <c r="AO297" s="4">
        <v>2766.5</v>
      </c>
      <c r="AP297" s="4">
        <v>2770.5</v>
      </c>
      <c r="AQ297" s="4">
        <v>2757</v>
      </c>
      <c r="AR297" s="4">
        <v>2722</v>
      </c>
      <c r="AS297" s="4">
        <v>2885</v>
      </c>
      <c r="AT297" s="4">
        <v>2912</v>
      </c>
      <c r="AU297" s="4">
        <v>2931.5</v>
      </c>
      <c r="AV297" s="4">
        <v>2986.5</v>
      </c>
      <c r="AW297" s="4">
        <v>2920</v>
      </c>
      <c r="AX297" s="4">
        <v>2897.5</v>
      </c>
      <c r="AY297" s="4">
        <v>2901.5</v>
      </c>
      <c r="AZ297" s="4">
        <v>2933</v>
      </c>
      <c r="BA297" s="4">
        <v>2966</v>
      </c>
      <c r="BB297" s="4">
        <v>2885.5</v>
      </c>
      <c r="BC297" s="4">
        <v>2869</v>
      </c>
      <c r="BD297" s="4">
        <v>2992</v>
      </c>
      <c r="BE297" s="4">
        <v>3003</v>
      </c>
      <c r="BF297" s="4">
        <v>2979.5</v>
      </c>
      <c r="BG297" s="4">
        <v>2928</v>
      </c>
      <c r="BH297" s="4">
        <v>2860</v>
      </c>
      <c r="BI297" s="4">
        <v>2940</v>
      </c>
      <c r="BJ297" s="4">
        <v>3074</v>
      </c>
      <c r="BK297" s="4">
        <v>3015</v>
      </c>
      <c r="BL297" s="4">
        <v>2986</v>
      </c>
    </row>
    <row r="298" spans="1:64">
      <c r="A298" s="65" t="s">
        <v>770</v>
      </c>
      <c r="B298" s="4" t="str">
        <f>銘柄管理!C298</f>
        <v>ＵＢＥ</v>
      </c>
      <c r="C298" s="4">
        <f>_xll.RssMarket("4208","現在値")</f>
        <v>3163</v>
      </c>
      <c r="E298" s="4">
        <v>3163</v>
      </c>
      <c r="F298" s="4">
        <v>3196</v>
      </c>
      <c r="G298" s="4">
        <v>3068</v>
      </c>
      <c r="H298" s="4">
        <v>2999.5</v>
      </c>
      <c r="I298" s="4">
        <v>3018</v>
      </c>
      <c r="J298" s="4">
        <v>2921</v>
      </c>
      <c r="K298" s="4">
        <v>2955</v>
      </c>
      <c r="L298" s="4">
        <v>2941</v>
      </c>
      <c r="M298" s="4">
        <v>2992</v>
      </c>
      <c r="N298" s="4">
        <v>2941</v>
      </c>
      <c r="O298" s="4">
        <v>2918</v>
      </c>
      <c r="P298" s="4">
        <v>2952.5</v>
      </c>
      <c r="Q298" s="4">
        <v>2930.5</v>
      </c>
      <c r="R298" s="4">
        <v>2975.5</v>
      </c>
      <c r="S298" s="4">
        <v>2970</v>
      </c>
      <c r="T298" s="4">
        <v>2992</v>
      </c>
      <c r="U298" s="4">
        <v>3046</v>
      </c>
      <c r="V298" s="4">
        <v>2890.5</v>
      </c>
      <c r="W298" s="4">
        <v>2390.5</v>
      </c>
      <c r="X298" s="4">
        <v>2400.5</v>
      </c>
      <c r="Y298" s="4">
        <v>2384</v>
      </c>
      <c r="Z298" s="4">
        <v>2459</v>
      </c>
      <c r="AA298" s="4">
        <v>2350.5</v>
      </c>
      <c r="AB298" s="4">
        <v>2321.5</v>
      </c>
      <c r="AC298" s="4">
        <v>2387</v>
      </c>
      <c r="AD298" s="4">
        <v>2388</v>
      </c>
      <c r="AE298" s="4">
        <v>2398</v>
      </c>
      <c r="AF298" s="4">
        <v>2378.5</v>
      </c>
      <c r="AG298" s="4">
        <v>2366.5</v>
      </c>
      <c r="AH298" s="4">
        <v>2391</v>
      </c>
      <c r="AI298" s="4">
        <v>2360.5</v>
      </c>
      <c r="AJ298" s="4">
        <v>2351</v>
      </c>
      <c r="AK298" s="4">
        <v>2349</v>
      </c>
      <c r="AL298" s="4">
        <v>2375.5</v>
      </c>
      <c r="AM298" s="4">
        <v>2413</v>
      </c>
      <c r="AN298" s="4">
        <v>2412.5</v>
      </c>
      <c r="AO298" s="4">
        <v>2447.5</v>
      </c>
      <c r="AP298" s="4">
        <v>2432</v>
      </c>
      <c r="AQ298" s="4">
        <v>2425.5</v>
      </c>
      <c r="AR298" s="4">
        <v>2408.5</v>
      </c>
      <c r="AS298" s="4">
        <v>2418.5</v>
      </c>
      <c r="AT298" s="4">
        <v>2447</v>
      </c>
      <c r="AU298" s="4">
        <v>2467</v>
      </c>
      <c r="AV298" s="4">
        <v>2518</v>
      </c>
      <c r="AW298" s="4">
        <v>2447</v>
      </c>
      <c r="AX298" s="4">
        <v>2445</v>
      </c>
      <c r="AY298" s="4">
        <v>2459.5</v>
      </c>
      <c r="AZ298" s="4">
        <v>2448.5</v>
      </c>
      <c r="BA298" s="4">
        <v>2500</v>
      </c>
      <c r="BB298" s="4">
        <v>2431</v>
      </c>
      <c r="BC298" s="4">
        <v>2431.5</v>
      </c>
      <c r="BD298" s="4">
        <v>2529</v>
      </c>
      <c r="BE298" s="4">
        <v>2518</v>
      </c>
      <c r="BF298" s="4">
        <v>2514</v>
      </c>
      <c r="BG298" s="4">
        <v>2475</v>
      </c>
      <c r="BH298" s="4">
        <v>2425</v>
      </c>
      <c r="BI298" s="4">
        <v>2485.5</v>
      </c>
      <c r="BJ298" s="4">
        <v>2600</v>
      </c>
      <c r="BK298" s="4">
        <v>2526.5</v>
      </c>
      <c r="BL298" s="4">
        <v>2523.5</v>
      </c>
    </row>
    <row r="299" spans="1:64">
      <c r="A299" s="65" t="s">
        <v>772</v>
      </c>
      <c r="B299" s="4" t="str">
        <f>銘柄管理!C299</f>
        <v>アストロスケールホールディンク</v>
      </c>
      <c r="C299" s="4">
        <f>_xll.RssMarket("186A","現在値")</f>
        <v>1348</v>
      </c>
      <c r="E299" s="4">
        <v>1348</v>
      </c>
      <c r="F299" s="4">
        <v>1375</v>
      </c>
      <c r="G299" s="4">
        <v>1905</v>
      </c>
      <c r="H299" s="4">
        <v>1810</v>
      </c>
      <c r="I299" s="4">
        <v>1749</v>
      </c>
      <c r="J299" s="4">
        <v>2089</v>
      </c>
      <c r="K299" s="4">
        <v>2090</v>
      </c>
      <c r="L299" s="4">
        <v>1955</v>
      </c>
      <c r="M299" s="4">
        <v>2065</v>
      </c>
      <c r="N299" s="4">
        <v>2145</v>
      </c>
      <c r="O299" s="4">
        <v>2349</v>
      </c>
      <c r="P299" s="4">
        <v>2739</v>
      </c>
      <c r="Q299" s="4">
        <v>2868</v>
      </c>
      <c r="R299" s="4">
        <v>2694</v>
      </c>
      <c r="S299" s="4">
        <v>2696</v>
      </c>
      <c r="T299" s="4">
        <v>2352</v>
      </c>
      <c r="U299" s="4">
        <v>1952</v>
      </c>
      <c r="V299" s="4">
        <v>1920</v>
      </c>
      <c r="W299" s="4">
        <v>2115</v>
      </c>
      <c r="X299" s="4">
        <v>1892</v>
      </c>
      <c r="Y299" s="4">
        <v>1932</v>
      </c>
      <c r="Z299" s="4">
        <v>1860</v>
      </c>
      <c r="AA299" s="4">
        <v>1824</v>
      </c>
      <c r="AB299" s="4">
        <v>1838</v>
      </c>
      <c r="AC299" s="4">
        <v>1779</v>
      </c>
      <c r="AD299" s="4">
        <v>1570</v>
      </c>
      <c r="AE299" s="4">
        <v>1413</v>
      </c>
      <c r="AF299" s="4">
        <v>1310</v>
      </c>
      <c r="AG299" s="4">
        <v>1286</v>
      </c>
      <c r="AH299" s="4">
        <v>1312</v>
      </c>
      <c r="AI299" s="4">
        <v>1240</v>
      </c>
      <c r="AJ299" s="4">
        <v>1323</v>
      </c>
      <c r="AK299" s="4">
        <v>1409</v>
      </c>
      <c r="AL299" s="4">
        <v>1450</v>
      </c>
      <c r="AM299" s="4">
        <v>1452</v>
      </c>
      <c r="AN299" s="4">
        <v>1454</v>
      </c>
      <c r="AO299" s="4">
        <v>1345</v>
      </c>
      <c r="AP299" s="4">
        <v>1384</v>
      </c>
      <c r="AQ299" s="4">
        <v>1367</v>
      </c>
      <c r="AR299" s="4">
        <v>1389</v>
      </c>
      <c r="AS299" s="4">
        <v>1332</v>
      </c>
      <c r="AT299" s="4">
        <v>1342</v>
      </c>
      <c r="AU299" s="4">
        <v>1239</v>
      </c>
      <c r="AV299" s="4">
        <v>1185</v>
      </c>
      <c r="AW299" s="4">
        <v>1088</v>
      </c>
      <c r="AX299" s="4">
        <v>1077</v>
      </c>
      <c r="AY299" s="4">
        <v>1030</v>
      </c>
      <c r="AZ299" s="4">
        <v>1006</v>
      </c>
      <c r="BA299" s="4">
        <v>923</v>
      </c>
      <c r="BB299" s="4">
        <v>874</v>
      </c>
      <c r="BC299" s="4">
        <v>913</v>
      </c>
      <c r="BD299" s="4">
        <v>989</v>
      </c>
      <c r="BE299" s="4">
        <v>992</v>
      </c>
      <c r="BF299" s="4">
        <v>1038</v>
      </c>
      <c r="BG299" s="4">
        <v>1003</v>
      </c>
      <c r="BH299" s="4">
        <v>985</v>
      </c>
      <c r="BI299" s="4">
        <v>1104</v>
      </c>
      <c r="BJ299" s="4">
        <v>1232</v>
      </c>
      <c r="BK299" s="4">
        <v>1117</v>
      </c>
      <c r="BL299" s="4">
        <v>1112</v>
      </c>
    </row>
    <row r="300" spans="1:64">
      <c r="A300" s="65" t="s">
        <v>773</v>
      </c>
      <c r="B300" s="4" t="str">
        <f>銘柄管理!C300</f>
        <v>浜松ホトニクス</v>
      </c>
      <c r="C300" s="4">
        <f>_xll.RssMarket("6965","現在値")</f>
        <v>2777.5</v>
      </c>
      <c r="E300" s="4">
        <v>2777.5</v>
      </c>
      <c r="F300" s="4">
        <v>2648</v>
      </c>
      <c r="G300" s="4">
        <v>2495.5</v>
      </c>
      <c r="H300" s="4">
        <v>2427.5</v>
      </c>
      <c r="I300" s="4">
        <v>2368.5</v>
      </c>
      <c r="J300" s="4">
        <v>2630</v>
      </c>
      <c r="K300" s="4">
        <v>2864</v>
      </c>
      <c r="L300" s="4">
        <v>2920.5</v>
      </c>
      <c r="M300" s="4">
        <v>2877.5</v>
      </c>
      <c r="N300" s="4">
        <v>2732</v>
      </c>
      <c r="O300" s="4">
        <v>2910</v>
      </c>
      <c r="P300" s="4">
        <v>2863</v>
      </c>
      <c r="Q300" s="4">
        <v>2823</v>
      </c>
      <c r="R300" s="4">
        <v>2700</v>
      </c>
      <c r="S300" s="4">
        <v>2973.5</v>
      </c>
      <c r="T300" s="4">
        <v>2910.5</v>
      </c>
      <c r="U300" s="4">
        <v>2673.5</v>
      </c>
      <c r="V300" s="4">
        <v>2633.5</v>
      </c>
      <c r="W300" s="4">
        <v>2685.5</v>
      </c>
      <c r="X300" s="4">
        <v>2867</v>
      </c>
      <c r="Y300" s="4">
        <v>2657</v>
      </c>
      <c r="Z300" s="4">
        <v>2157</v>
      </c>
      <c r="AA300" s="4">
        <v>2162.5</v>
      </c>
      <c r="AB300" s="4">
        <v>2177</v>
      </c>
      <c r="AC300" s="4">
        <v>2162</v>
      </c>
      <c r="AD300" s="4">
        <v>2193.5</v>
      </c>
      <c r="AE300" s="4">
        <v>2140</v>
      </c>
      <c r="AF300" s="4">
        <v>2006</v>
      </c>
      <c r="AG300" s="4">
        <v>2023</v>
      </c>
      <c r="AH300" s="4">
        <v>2002.5</v>
      </c>
      <c r="AI300" s="4">
        <v>2053.5</v>
      </c>
      <c r="AJ300" s="4">
        <v>1921.5</v>
      </c>
      <c r="AK300" s="4">
        <v>1913.5</v>
      </c>
      <c r="AL300" s="4">
        <v>1944.5</v>
      </c>
      <c r="AM300" s="4">
        <v>1945.5</v>
      </c>
      <c r="AN300" s="4">
        <v>1952</v>
      </c>
      <c r="AO300" s="4">
        <v>1937</v>
      </c>
      <c r="AP300" s="4">
        <v>1960</v>
      </c>
      <c r="AQ300" s="4">
        <v>1902</v>
      </c>
      <c r="AR300" s="4">
        <v>1936</v>
      </c>
      <c r="AS300" s="4">
        <v>1949.5</v>
      </c>
      <c r="AT300" s="4">
        <v>1942.5</v>
      </c>
      <c r="AU300" s="4">
        <v>1950</v>
      </c>
      <c r="AV300" s="4">
        <v>1966.5</v>
      </c>
      <c r="AW300" s="4">
        <v>1839</v>
      </c>
      <c r="AX300" s="4">
        <v>1862</v>
      </c>
      <c r="AY300" s="4">
        <v>1848.5</v>
      </c>
      <c r="AZ300" s="4">
        <v>1818.5</v>
      </c>
      <c r="BA300" s="4">
        <v>1860</v>
      </c>
      <c r="BB300" s="4">
        <v>1766.5</v>
      </c>
      <c r="BC300" s="4">
        <v>1835</v>
      </c>
      <c r="BD300" s="4">
        <v>1940.5</v>
      </c>
      <c r="BE300" s="4">
        <v>2000</v>
      </c>
      <c r="BF300" s="4">
        <v>1966</v>
      </c>
      <c r="BG300" s="4">
        <v>1851.5</v>
      </c>
      <c r="BH300" s="4">
        <v>1778</v>
      </c>
      <c r="BI300" s="4">
        <v>1907</v>
      </c>
      <c r="BJ300" s="4">
        <v>2007.5</v>
      </c>
      <c r="BK300" s="4">
        <v>1991</v>
      </c>
      <c r="BL300" s="4">
        <v>2064</v>
      </c>
    </row>
    <row r="301" spans="1:64">
      <c r="A301" s="65" t="s">
        <v>793</v>
      </c>
      <c r="B301" s="4" t="str">
        <f>銘柄管理!C301</f>
        <v>三菱化工機</v>
      </c>
      <c r="C301" s="4">
        <f>_xll.RssMarket("6331","現在値")</f>
        <v>4100</v>
      </c>
      <c r="E301" s="4">
        <v>4100</v>
      </c>
      <c r="F301" s="4">
        <v>3910</v>
      </c>
      <c r="G301" s="4">
        <v>3660</v>
      </c>
      <c r="H301" s="4">
        <v>3615</v>
      </c>
      <c r="I301" s="4">
        <v>3500</v>
      </c>
      <c r="J301" s="4">
        <v>3610</v>
      </c>
      <c r="K301" s="4">
        <v>3460</v>
      </c>
      <c r="L301" s="4">
        <v>3640</v>
      </c>
      <c r="M301" s="4">
        <v>3425</v>
      </c>
      <c r="N301" s="4">
        <v>3485</v>
      </c>
      <c r="O301" s="4">
        <v>3590</v>
      </c>
      <c r="P301" s="4">
        <v>3660</v>
      </c>
      <c r="Q301" s="4">
        <v>3665</v>
      </c>
      <c r="R301" s="4">
        <v>3490</v>
      </c>
      <c r="S301" s="4">
        <v>3400</v>
      </c>
      <c r="T301" s="4">
        <v>3495</v>
      </c>
      <c r="U301" s="4">
        <v>3440</v>
      </c>
      <c r="V301" s="4">
        <v>3625</v>
      </c>
      <c r="W301" s="4">
        <v>3845</v>
      </c>
      <c r="X301" s="4">
        <v>3660</v>
      </c>
      <c r="Y301" s="4">
        <v>3305</v>
      </c>
      <c r="Z301" s="4">
        <v>3320</v>
      </c>
      <c r="AA301" s="4">
        <v>3310</v>
      </c>
      <c r="AB301" s="4">
        <v>3285</v>
      </c>
      <c r="AC301" s="4">
        <v>3275</v>
      </c>
      <c r="AD301" s="4">
        <v>3285</v>
      </c>
      <c r="AE301" s="4">
        <v>3260</v>
      </c>
      <c r="AF301" s="4">
        <v>3180</v>
      </c>
      <c r="AG301" s="4">
        <v>3205</v>
      </c>
      <c r="AH301" s="4">
        <v>3285</v>
      </c>
      <c r="AI301" s="4">
        <v>3210</v>
      </c>
      <c r="AJ301" s="4">
        <v>3180</v>
      </c>
      <c r="AK301" s="4">
        <v>3055</v>
      </c>
      <c r="AL301" s="4">
        <v>3035</v>
      </c>
      <c r="AM301" s="4">
        <v>3045</v>
      </c>
      <c r="AN301" s="4">
        <v>3030</v>
      </c>
      <c r="AO301" s="4">
        <v>3075</v>
      </c>
      <c r="AP301" s="4">
        <v>3045</v>
      </c>
      <c r="AQ301" s="4">
        <v>3090</v>
      </c>
      <c r="AR301" s="4">
        <v>3120</v>
      </c>
      <c r="AS301" s="4">
        <v>3185</v>
      </c>
      <c r="AT301" s="4">
        <v>3170</v>
      </c>
      <c r="AU301" s="4">
        <v>3235</v>
      </c>
      <c r="AV301" s="4">
        <v>3080</v>
      </c>
      <c r="AW301" s="4">
        <v>3075</v>
      </c>
      <c r="AX301" s="4">
        <v>3035</v>
      </c>
      <c r="AY301" s="4">
        <v>3020</v>
      </c>
      <c r="AZ301" s="4">
        <v>3120</v>
      </c>
      <c r="BA301" s="4">
        <v>2914</v>
      </c>
      <c r="BB301" s="4">
        <v>3005</v>
      </c>
      <c r="BC301" s="4">
        <v>3120</v>
      </c>
      <c r="BD301" s="4">
        <v>3165</v>
      </c>
      <c r="BE301" s="4">
        <v>3210</v>
      </c>
      <c r="BF301" s="4">
        <v>3100</v>
      </c>
      <c r="BG301" s="4">
        <v>3040</v>
      </c>
      <c r="BH301" s="4">
        <v>3265</v>
      </c>
      <c r="BI301" s="4">
        <v>3465</v>
      </c>
      <c r="BJ301" s="4">
        <v>3245</v>
      </c>
      <c r="BK301" s="4">
        <v>3245</v>
      </c>
      <c r="BL301" s="4">
        <v>3220</v>
      </c>
    </row>
    <row r="302" spans="1:64">
      <c r="A302" s="65" t="s">
        <v>795</v>
      </c>
      <c r="B302" s="4" t="str">
        <f>銘柄管理!C302</f>
        <v>ＨＯＹＡ</v>
      </c>
      <c r="C302" s="4">
        <f>_xll.RssMarket("7741","現在値")</f>
        <v>27620</v>
      </c>
      <c r="E302" s="4">
        <v>27620</v>
      </c>
      <c r="F302" s="4">
        <v>27065</v>
      </c>
      <c r="G302" s="4">
        <v>26420</v>
      </c>
      <c r="H302" s="4">
        <v>25650</v>
      </c>
      <c r="I302" s="4">
        <v>25710</v>
      </c>
      <c r="J302" s="4">
        <v>25280</v>
      </c>
      <c r="K302" s="4">
        <v>26340</v>
      </c>
      <c r="L302" s="4">
        <v>26430</v>
      </c>
      <c r="M302" s="4">
        <v>27495</v>
      </c>
      <c r="N302" s="4">
        <v>26305</v>
      </c>
      <c r="O302" s="4">
        <v>27080</v>
      </c>
      <c r="P302" s="4">
        <v>26970</v>
      </c>
      <c r="Q302" s="4">
        <v>27195</v>
      </c>
      <c r="R302" s="4">
        <v>26300</v>
      </c>
      <c r="S302" s="4">
        <v>26225</v>
      </c>
      <c r="T302" s="4">
        <v>26580</v>
      </c>
      <c r="U302" s="4">
        <v>26500</v>
      </c>
      <c r="V302" s="4">
        <v>26895</v>
      </c>
      <c r="W302" s="4">
        <v>27725</v>
      </c>
      <c r="X302" s="4">
        <v>28005</v>
      </c>
      <c r="Y302" s="4">
        <v>27670</v>
      </c>
      <c r="Z302" s="4">
        <v>27680</v>
      </c>
      <c r="AA302" s="4">
        <v>27285</v>
      </c>
      <c r="AB302" s="4">
        <v>27235</v>
      </c>
      <c r="AC302" s="4">
        <v>27470</v>
      </c>
      <c r="AD302" s="4">
        <v>27510</v>
      </c>
      <c r="AE302" s="4">
        <v>27830</v>
      </c>
      <c r="AF302" s="4">
        <v>29100</v>
      </c>
      <c r="AG302" s="4">
        <v>29305</v>
      </c>
      <c r="AH302" s="4">
        <v>28940</v>
      </c>
      <c r="AI302" s="4">
        <v>28590</v>
      </c>
      <c r="AJ302" s="4">
        <v>28495</v>
      </c>
      <c r="AK302" s="4">
        <v>28675</v>
      </c>
      <c r="AL302" s="4">
        <v>28970</v>
      </c>
      <c r="AM302" s="4">
        <v>29645</v>
      </c>
      <c r="AN302" s="4">
        <v>28995</v>
      </c>
      <c r="AO302" s="4">
        <v>30000</v>
      </c>
      <c r="AP302" s="4">
        <v>30030</v>
      </c>
      <c r="AQ302" s="4">
        <v>29400</v>
      </c>
      <c r="AR302" s="4">
        <v>29170</v>
      </c>
      <c r="AS302" s="4">
        <v>29490</v>
      </c>
      <c r="AT302" s="4">
        <v>28985</v>
      </c>
      <c r="AU302" s="4">
        <v>28755</v>
      </c>
      <c r="AV302" s="4">
        <v>28005</v>
      </c>
      <c r="AW302" s="4">
        <v>27960</v>
      </c>
      <c r="AX302" s="4">
        <v>27575</v>
      </c>
      <c r="AY302" s="4">
        <v>27320</v>
      </c>
      <c r="AZ302" s="4">
        <v>27600</v>
      </c>
      <c r="BA302" s="4">
        <v>26550</v>
      </c>
      <c r="BB302" s="4">
        <v>27025</v>
      </c>
      <c r="BC302" s="4">
        <v>27280</v>
      </c>
      <c r="BD302" s="4">
        <v>28090</v>
      </c>
      <c r="BE302" s="4">
        <v>28420</v>
      </c>
      <c r="BF302" s="4">
        <v>28235</v>
      </c>
      <c r="BG302" s="4">
        <v>27265</v>
      </c>
      <c r="BH302" s="4">
        <v>27800</v>
      </c>
      <c r="BI302" s="4">
        <v>28150</v>
      </c>
      <c r="BJ302" s="4">
        <v>27680</v>
      </c>
      <c r="BK302" s="4">
        <v>27570</v>
      </c>
      <c r="BL302" s="4">
        <v>27765</v>
      </c>
    </row>
    <row r="303" spans="1:64">
      <c r="A303" s="66"/>
    </row>
    <row r="304" spans="1:64">
      <c r="A304" s="66"/>
    </row>
    <row r="305" spans="1:1">
      <c r="A305" s="66"/>
    </row>
    <row r="306" spans="1:1">
      <c r="A306" s="66"/>
    </row>
    <row r="307" spans="1:1">
      <c r="A307" s="66"/>
    </row>
    <row r="308" spans="1:1">
      <c r="A308" s="66"/>
    </row>
    <row r="309" spans="1:1">
      <c r="A309" s="66"/>
    </row>
    <row r="310" spans="1:1">
      <c r="A310" s="66"/>
    </row>
    <row r="311" spans="1:1">
      <c r="A311" s="66"/>
    </row>
    <row r="312" spans="1:1">
      <c r="A312" s="66"/>
    </row>
    <row r="313" spans="1:1">
      <c r="A313" s="66"/>
    </row>
    <row r="314" spans="1:1">
      <c r="A314" s="66"/>
    </row>
    <row r="315" spans="1:1">
      <c r="A315" s="66"/>
    </row>
    <row r="316" spans="1:1">
      <c r="A316" s="66"/>
    </row>
    <row r="317" spans="1:1">
      <c r="A317" s="66"/>
    </row>
    <row r="318" spans="1:1">
      <c r="A318" s="66"/>
    </row>
    <row r="319" spans="1:1">
      <c r="A319" s="66"/>
    </row>
    <row r="320" spans="1:1">
      <c r="A320" s="66"/>
    </row>
    <row r="321" spans="1:1">
      <c r="A321" s="66"/>
    </row>
    <row r="322" spans="1:1">
      <c r="A322" s="66"/>
    </row>
    <row r="323" spans="1:1">
      <c r="A323" s="66"/>
    </row>
    <row r="324" spans="1:1">
      <c r="A324" s="66"/>
    </row>
    <row r="325" spans="1:1">
      <c r="A325" s="66"/>
    </row>
    <row r="326" spans="1:1">
      <c r="A326" s="66"/>
    </row>
    <row r="327" spans="1:1">
      <c r="A327" s="66"/>
    </row>
    <row r="328" spans="1:1">
      <c r="A328" s="66"/>
    </row>
    <row r="329" spans="1:1">
      <c r="A329" s="66"/>
    </row>
    <row r="330" spans="1:1">
      <c r="A330" s="66"/>
    </row>
    <row r="331" spans="1:1">
      <c r="A331" s="66"/>
    </row>
    <row r="332" spans="1:1">
      <c r="A332" s="66"/>
    </row>
    <row r="333" spans="1:1">
      <c r="A333" s="66"/>
    </row>
    <row r="334" spans="1:1">
      <c r="A334" s="66"/>
    </row>
    <row r="335" spans="1:1">
      <c r="A335" s="66"/>
    </row>
    <row r="336" spans="1:1">
      <c r="A336" s="66"/>
    </row>
    <row r="337" spans="1:1">
      <c r="A337" s="66"/>
    </row>
    <row r="338" spans="1:1">
      <c r="A338" s="66"/>
    </row>
    <row r="339" spans="1:1">
      <c r="A339" s="66"/>
    </row>
    <row r="340" spans="1:1">
      <c r="A340" s="66"/>
    </row>
    <row r="341" spans="1:1">
      <c r="A341" s="66"/>
    </row>
    <row r="342" spans="1:1">
      <c r="A342" s="66"/>
    </row>
    <row r="343" spans="1:1">
      <c r="A343" s="66"/>
    </row>
    <row r="344" spans="1:1">
      <c r="A344" s="66"/>
    </row>
    <row r="345" spans="1:1">
      <c r="A345" s="66"/>
    </row>
    <row r="346" spans="1:1">
      <c r="A346" s="66"/>
    </row>
    <row r="347" spans="1:1">
      <c r="A347" s="66"/>
    </row>
    <row r="348" spans="1:1">
      <c r="A348" s="66"/>
    </row>
    <row r="349" spans="1:1">
      <c r="A349" s="66"/>
    </row>
    <row r="350" spans="1:1">
      <c r="A350" s="66"/>
    </row>
    <row r="351" spans="1:1">
      <c r="A351" s="66"/>
    </row>
    <row r="352" spans="1:1">
      <c r="A352" s="66"/>
    </row>
    <row r="353" spans="1:1">
      <c r="A353" s="66"/>
    </row>
    <row r="354" spans="1:1">
      <c r="A354" s="66"/>
    </row>
    <row r="355" spans="1:1">
      <c r="A355" s="66"/>
    </row>
    <row r="356" spans="1:1">
      <c r="A356" s="66"/>
    </row>
    <row r="357" spans="1:1">
      <c r="A357" s="66"/>
    </row>
    <row r="358" spans="1:1">
      <c r="A358" s="66"/>
    </row>
    <row r="359" spans="1:1">
      <c r="A359" s="66"/>
    </row>
    <row r="360" spans="1:1">
      <c r="A360" s="66"/>
    </row>
    <row r="361" spans="1:1">
      <c r="A361" s="66"/>
    </row>
    <row r="362" spans="1:1">
      <c r="A362" s="66"/>
    </row>
    <row r="363" spans="1:1">
      <c r="A363" s="66"/>
    </row>
    <row r="364" spans="1:1">
      <c r="A364" s="66"/>
    </row>
    <row r="365" spans="1:1">
      <c r="A365" s="66"/>
    </row>
    <row r="366" spans="1:1">
      <c r="A366" s="66"/>
    </row>
    <row r="367" spans="1:1">
      <c r="A367" s="66"/>
    </row>
    <row r="368" spans="1:1">
      <c r="A368" s="66"/>
    </row>
    <row r="369" spans="1:1">
      <c r="A369" s="66"/>
    </row>
    <row r="370" spans="1:1">
      <c r="A370" s="66"/>
    </row>
    <row r="371" spans="1:1">
      <c r="A371" s="66"/>
    </row>
    <row r="372" spans="1:1">
      <c r="A372" s="66"/>
    </row>
    <row r="373" spans="1:1">
      <c r="A373" s="66"/>
    </row>
    <row r="374" spans="1:1">
      <c r="A374" s="66"/>
    </row>
    <row r="375" spans="1:1">
      <c r="A375" s="66"/>
    </row>
    <row r="376" spans="1:1">
      <c r="A376" s="66"/>
    </row>
    <row r="377" spans="1:1">
      <c r="A377" s="66"/>
    </row>
    <row r="378" spans="1:1">
      <c r="A378" s="66"/>
    </row>
    <row r="379" spans="1:1">
      <c r="A379" s="66"/>
    </row>
    <row r="380" spans="1:1">
      <c r="A380" s="66"/>
    </row>
    <row r="381" spans="1:1">
      <c r="A381" s="66"/>
    </row>
    <row r="382" spans="1:1">
      <c r="A382" s="66"/>
    </row>
    <row r="383" spans="1:1">
      <c r="A383" s="66"/>
    </row>
    <row r="384" spans="1:1">
      <c r="A384" s="66"/>
    </row>
    <row r="385" spans="1:1">
      <c r="A385" s="66"/>
    </row>
    <row r="386" spans="1:1">
      <c r="A386" s="66"/>
    </row>
    <row r="387" spans="1:1">
      <c r="A387" s="66"/>
    </row>
    <row r="388" spans="1:1">
      <c r="A388" s="66"/>
    </row>
    <row r="389" spans="1:1">
      <c r="A389" s="66"/>
    </row>
    <row r="390" spans="1:1">
      <c r="A390" s="66"/>
    </row>
    <row r="391" spans="1:1">
      <c r="A391" s="66"/>
    </row>
    <row r="392" spans="1:1">
      <c r="A392" s="66"/>
    </row>
    <row r="393" spans="1:1">
      <c r="A393" s="66"/>
    </row>
    <row r="394" spans="1:1">
      <c r="A394" s="66"/>
    </row>
    <row r="395" spans="1:1">
      <c r="A395" s="66"/>
    </row>
    <row r="396" spans="1:1">
      <c r="A396" s="66"/>
    </row>
    <row r="397" spans="1:1">
      <c r="A397" s="66"/>
    </row>
    <row r="398" spans="1:1">
      <c r="A398" s="66"/>
    </row>
    <row r="399" spans="1:1">
      <c r="A399" s="66"/>
    </row>
    <row r="400" spans="1:1">
      <c r="A400" s="66"/>
    </row>
    <row r="401" spans="1:1">
      <c r="A401" s="66"/>
    </row>
    <row r="402" spans="1:1">
      <c r="A402" s="66"/>
    </row>
    <row r="403" spans="1:1">
      <c r="A403" s="66"/>
    </row>
    <row r="404" spans="1:1">
      <c r="A404" s="66"/>
    </row>
    <row r="405" spans="1:1">
      <c r="A405" s="66"/>
    </row>
    <row r="406" spans="1:1">
      <c r="A406" s="66"/>
    </row>
    <row r="407" spans="1:1">
      <c r="A407" s="66"/>
    </row>
    <row r="408" spans="1:1">
      <c r="A408" s="66"/>
    </row>
    <row r="409" spans="1:1">
      <c r="A409" s="66"/>
    </row>
    <row r="410" spans="1:1">
      <c r="A410" s="66"/>
    </row>
    <row r="411" spans="1:1">
      <c r="A411" s="66"/>
    </row>
    <row r="412" spans="1:1">
      <c r="A412" s="66"/>
    </row>
    <row r="413" spans="1:1">
      <c r="A413" s="66"/>
    </row>
    <row r="414" spans="1:1">
      <c r="A414" s="66"/>
    </row>
    <row r="415" spans="1:1">
      <c r="A415" s="66"/>
    </row>
    <row r="416" spans="1:1">
      <c r="A416" s="66"/>
    </row>
    <row r="417" spans="1:1">
      <c r="A417" s="66"/>
    </row>
    <row r="418" spans="1:1">
      <c r="A418" s="66"/>
    </row>
    <row r="419" spans="1:1">
      <c r="A419" s="66"/>
    </row>
    <row r="420" spans="1:1">
      <c r="A420" s="66"/>
    </row>
    <row r="421" spans="1:1">
      <c r="A421" s="66"/>
    </row>
    <row r="422" spans="1:1">
      <c r="A422" s="66"/>
    </row>
    <row r="423" spans="1:1">
      <c r="A423" s="66"/>
    </row>
    <row r="424" spans="1:1">
      <c r="A424" s="66"/>
    </row>
    <row r="425" spans="1:1">
      <c r="A425" s="66"/>
    </row>
    <row r="426" spans="1:1">
      <c r="A426" s="66"/>
    </row>
    <row r="427" spans="1:1">
      <c r="A427" s="66"/>
    </row>
    <row r="428" spans="1:1">
      <c r="A428" s="66"/>
    </row>
    <row r="429" spans="1:1">
      <c r="A429" s="66"/>
    </row>
    <row r="430" spans="1:1">
      <c r="A430" s="66"/>
    </row>
    <row r="431" spans="1:1">
      <c r="A431" s="66"/>
    </row>
    <row r="432" spans="1:1">
      <c r="A432" s="66"/>
    </row>
    <row r="433" spans="1:1">
      <c r="A433" s="66"/>
    </row>
    <row r="434" spans="1:1">
      <c r="A434" s="66"/>
    </row>
    <row r="435" spans="1:1">
      <c r="A435" s="66"/>
    </row>
    <row r="436" spans="1:1">
      <c r="A436" s="66"/>
    </row>
    <row r="437" spans="1:1">
      <c r="A437" s="66"/>
    </row>
    <row r="438" spans="1:1">
      <c r="A438" s="66"/>
    </row>
    <row r="439" spans="1:1">
      <c r="A439" s="66"/>
    </row>
    <row r="440" spans="1:1">
      <c r="A440" s="66"/>
    </row>
    <row r="441" spans="1:1">
      <c r="A441" s="66"/>
    </row>
    <row r="442" spans="1:1">
      <c r="A442" s="66"/>
    </row>
    <row r="443" spans="1:1">
      <c r="A443" s="66"/>
    </row>
    <row r="444" spans="1:1">
      <c r="A444" s="66"/>
    </row>
    <row r="445" spans="1:1">
      <c r="A445" s="66"/>
    </row>
    <row r="446" spans="1:1">
      <c r="A446" s="66"/>
    </row>
    <row r="447" spans="1:1">
      <c r="A447" s="66"/>
    </row>
    <row r="448" spans="1:1">
      <c r="A448" s="66"/>
    </row>
    <row r="449" spans="1:1">
      <c r="A449" s="66"/>
    </row>
    <row r="450" spans="1:1">
      <c r="A450" s="66"/>
    </row>
    <row r="451" spans="1:1">
      <c r="A451" s="66"/>
    </row>
    <row r="452" spans="1:1">
      <c r="A452" s="66"/>
    </row>
    <row r="453" spans="1:1">
      <c r="A453" s="66"/>
    </row>
    <row r="454" spans="1:1">
      <c r="A454" s="66"/>
    </row>
    <row r="455" spans="1:1">
      <c r="A455" s="66"/>
    </row>
    <row r="456" spans="1:1">
      <c r="A456" s="66"/>
    </row>
    <row r="457" spans="1:1">
      <c r="A457" s="66"/>
    </row>
    <row r="458" spans="1:1">
      <c r="A458" s="66"/>
    </row>
    <row r="459" spans="1:1">
      <c r="A459" s="66"/>
    </row>
    <row r="460" spans="1:1">
      <c r="A460" s="66"/>
    </row>
    <row r="461" spans="1:1">
      <c r="A461" s="66"/>
    </row>
    <row r="462" spans="1:1">
      <c r="A462" s="66"/>
    </row>
    <row r="463" spans="1:1">
      <c r="A463" s="66"/>
    </row>
    <row r="464" spans="1:1">
      <c r="A464" s="66"/>
    </row>
    <row r="465" spans="1:1">
      <c r="A465" s="66"/>
    </row>
    <row r="466" spans="1:1">
      <c r="A466" s="66"/>
    </row>
    <row r="467" spans="1:1">
      <c r="A467" s="66"/>
    </row>
    <row r="468" spans="1:1">
      <c r="A468" s="66"/>
    </row>
    <row r="469" spans="1:1">
      <c r="A469" s="66"/>
    </row>
    <row r="470" spans="1:1">
      <c r="A470" s="66"/>
    </row>
    <row r="471" spans="1:1">
      <c r="A471" s="66"/>
    </row>
    <row r="472" spans="1:1">
      <c r="A472" s="66"/>
    </row>
    <row r="473" spans="1:1">
      <c r="A473" s="66"/>
    </row>
    <row r="474" spans="1:1">
      <c r="A474" s="66"/>
    </row>
    <row r="475" spans="1:1">
      <c r="A475" s="66"/>
    </row>
    <row r="476" spans="1:1">
      <c r="A476" s="66"/>
    </row>
    <row r="477" spans="1:1">
      <c r="A477" s="66"/>
    </row>
    <row r="478" spans="1:1">
      <c r="A478" s="66"/>
    </row>
    <row r="479" spans="1:1">
      <c r="A479" s="66"/>
    </row>
    <row r="480" spans="1:1">
      <c r="A480" s="66"/>
    </row>
    <row r="481" spans="1:1">
      <c r="A481" s="66"/>
    </row>
    <row r="482" spans="1:1">
      <c r="A482" s="66"/>
    </row>
    <row r="483" spans="1:1">
      <c r="A483" s="66"/>
    </row>
    <row r="484" spans="1:1">
      <c r="A484" s="66"/>
    </row>
    <row r="485" spans="1:1">
      <c r="A485" s="66"/>
    </row>
    <row r="486" spans="1:1">
      <c r="A486" s="66"/>
    </row>
    <row r="487" spans="1:1">
      <c r="A487" s="66"/>
    </row>
    <row r="488" spans="1:1">
      <c r="A488" s="66"/>
    </row>
    <row r="489" spans="1:1">
      <c r="A489" s="66"/>
    </row>
    <row r="490" spans="1:1">
      <c r="A490" s="66"/>
    </row>
    <row r="491" spans="1:1">
      <c r="A491" s="66"/>
    </row>
    <row r="492" spans="1:1">
      <c r="A492" s="66"/>
    </row>
    <row r="493" spans="1:1">
      <c r="A493" s="66"/>
    </row>
    <row r="494" spans="1:1">
      <c r="A494" s="66"/>
    </row>
    <row r="495" spans="1:1">
      <c r="A495" s="66"/>
    </row>
    <row r="496" spans="1:1">
      <c r="A496" s="66"/>
    </row>
    <row r="497" spans="1:1">
      <c r="A497" s="66"/>
    </row>
    <row r="498" spans="1:1">
      <c r="A498" s="66"/>
    </row>
    <row r="499" spans="1:1">
      <c r="A499" s="66"/>
    </row>
    <row r="500" spans="1:1">
      <c r="A500" s="66"/>
    </row>
    <row r="501" spans="1:1">
      <c r="A501" s="66"/>
    </row>
    <row r="502" spans="1:1">
      <c r="A502" s="66"/>
    </row>
    <row r="503" spans="1:1">
      <c r="A503" s="66"/>
    </row>
    <row r="504" spans="1:1">
      <c r="A504" s="66"/>
    </row>
    <row r="505" spans="1:1">
      <c r="A505" s="66"/>
    </row>
  </sheetData>
  <sheetProtection algorithmName="SHA-512" hashValue="C8OGwQO26wvV5jSdyiy/s1tIKqyFqajeFaB8wGY8FjJzNwEHcb/PTj6FcynmEXfl6cKUvXXsDJSrygKkOJF00g==" saltValue="LA2OIELdF2rLgMiTnOybvg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6" tint="-0.499984740745262"/>
  </sheetPr>
  <dimension ref="A1:BL506"/>
  <sheetViews>
    <sheetView showGridLines="0" zoomScale="123" zoomScaleNormal="123" workbookViewId="0">
      <pane xSplit="4" ySplit="4" topLeftCell="E266" activePane="bottomRight" state="frozen"/>
      <selection activeCell="C162" sqref="C162"/>
      <selection pane="topRight" activeCell="C162" sqref="C162"/>
      <selection pane="bottomLeft" activeCell="C162" sqref="C162"/>
      <selection pane="bottomRight" activeCell="L320" sqref="L320"/>
    </sheetView>
  </sheetViews>
  <sheetFormatPr defaultRowHeight="14.25"/>
  <cols>
    <col min="1" max="1" width="7.75" style="437" bestFit="1" customWidth="1"/>
    <col min="2" max="2" width="30.625" style="1" bestFit="1" customWidth="1"/>
    <col min="3" max="3" width="13.375" style="1" bestFit="1" customWidth="1"/>
    <col min="4" max="4" width="11.375" style="1" bestFit="1" customWidth="1"/>
    <col min="5" max="6" width="10.375" style="1" bestFit="1" customWidth="1"/>
    <col min="7" max="9" width="10.25" style="1" bestFit="1" customWidth="1"/>
    <col min="10" max="11" width="10.375" style="1" bestFit="1" customWidth="1"/>
    <col min="12" max="49" width="10.25" style="1" bestFit="1" customWidth="1"/>
    <col min="50" max="50" width="10.375" style="1" bestFit="1" customWidth="1"/>
    <col min="51" max="64" width="10.25" style="1" bestFit="1" customWidth="1"/>
    <col min="65" max="16384" width="9" style="1"/>
  </cols>
  <sheetData>
    <row r="1" spans="1:64" ht="30" customHeight="1">
      <c r="A1" s="551" t="s">
        <v>542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430" t="s">
        <v>817</v>
      </c>
      <c r="B2" s="210" t="s">
        <v>3</v>
      </c>
      <c r="C2" s="210" t="s">
        <v>47</v>
      </c>
      <c r="D2" s="213" t="s">
        <v>39</v>
      </c>
      <c r="E2" s="222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  <c r="AE2" s="211"/>
      <c r="AF2" s="211"/>
      <c r="AG2" s="211"/>
      <c r="AH2" s="211"/>
      <c r="AI2" s="211"/>
      <c r="AJ2" s="211"/>
      <c r="AK2" s="211"/>
      <c r="AL2" s="211"/>
      <c r="AM2" s="211"/>
      <c r="AN2" s="211"/>
      <c r="AO2" s="211"/>
      <c r="AP2" s="211"/>
      <c r="AQ2" s="211"/>
      <c r="AR2" s="211"/>
      <c r="AS2" s="211"/>
      <c r="AT2" s="211"/>
      <c r="AU2" s="211"/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211"/>
      <c r="BG2" s="211"/>
      <c r="BH2" s="211"/>
      <c r="BI2" s="211"/>
      <c r="BJ2" s="211"/>
      <c r="BK2" s="211"/>
      <c r="BL2" s="211"/>
    </row>
    <row r="3" spans="1:64" ht="14.1" customHeight="1">
      <c r="A3" s="431" t="s">
        <v>40</v>
      </c>
      <c r="B3" s="212"/>
      <c r="C3" s="212" t="s">
        <v>531</v>
      </c>
      <c r="D3" s="214"/>
      <c r="E3" s="215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22.5" customHeight="1">
      <c r="A4" s="435"/>
      <c r="B4" s="88"/>
      <c r="C4" s="88"/>
      <c r="D4" s="219"/>
      <c r="E4" s="219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22.5" customHeight="1">
      <c r="A5" s="432" t="str">
        <f>IF(銘柄管理!B5="","",銘柄管理!B5)</f>
        <v>TOPX</v>
      </c>
      <c r="B5" s="49">
        <f>IF(銘柄管理!C5="","",銘柄管理!C5)</f>
        <v>4013.23</v>
      </c>
      <c r="C5" s="50" cm="1">
        <f t="array" ref="C5">_xll.RssIndexMarket("TOPX", "出来高")</f>
        <v>234920</v>
      </c>
      <c r="D5" s="216"/>
      <c r="E5" s="217">
        <v>234920</v>
      </c>
      <c r="F5" s="51">
        <v>248987</v>
      </c>
      <c r="G5" s="51">
        <v>298924</v>
      </c>
      <c r="H5" s="51">
        <v>262899</v>
      </c>
      <c r="I5" s="51">
        <v>275419</v>
      </c>
      <c r="J5" s="51">
        <v>286208</v>
      </c>
      <c r="K5" s="51">
        <v>242344</v>
      </c>
      <c r="L5" s="51">
        <v>254015</v>
      </c>
      <c r="M5" s="52">
        <v>280706</v>
      </c>
      <c r="N5" s="52">
        <v>297219</v>
      </c>
      <c r="O5" s="52">
        <v>483567</v>
      </c>
      <c r="P5" s="52">
        <v>281296</v>
      </c>
      <c r="Q5" s="52">
        <v>267824</v>
      </c>
      <c r="R5" s="52">
        <v>268512</v>
      </c>
      <c r="S5" s="52">
        <v>260652</v>
      </c>
      <c r="T5" s="52">
        <v>270037</v>
      </c>
      <c r="U5" s="52">
        <v>295563</v>
      </c>
      <c r="V5" s="52">
        <v>292537</v>
      </c>
      <c r="W5" s="52">
        <v>293326</v>
      </c>
      <c r="X5" s="52">
        <v>341267</v>
      </c>
      <c r="Y5" s="52">
        <v>335971</v>
      </c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</row>
    <row r="6" spans="1:64" ht="22.5" customHeight="1">
      <c r="A6" s="433" t="s">
        <v>263</v>
      </c>
      <c r="B6" s="49" t="s">
        <v>477</v>
      </c>
      <c r="C6" s="53">
        <f>_xll.RssMarket("5706","出来高")</f>
        <v>1716800</v>
      </c>
      <c r="D6" s="220">
        <f t="shared" ref="D6:D69" si="0">C6-E6</f>
        <v>0</v>
      </c>
      <c r="E6" s="221">
        <v>1716800</v>
      </c>
      <c r="F6" s="54">
        <v>2735900</v>
      </c>
      <c r="G6" s="54">
        <v>2434000</v>
      </c>
      <c r="H6" s="54">
        <v>3868100</v>
      </c>
      <c r="I6" s="54">
        <v>1698900</v>
      </c>
      <c r="J6" s="54">
        <v>1978700</v>
      </c>
      <c r="K6" s="54">
        <v>1514600</v>
      </c>
      <c r="L6" s="54">
        <v>1702400</v>
      </c>
      <c r="M6" s="54">
        <v>1783000</v>
      </c>
      <c r="N6" s="54">
        <v>2308800</v>
      </c>
      <c r="O6" s="54">
        <v>2287800</v>
      </c>
      <c r="P6" s="54">
        <v>5244100</v>
      </c>
      <c r="Q6" s="54">
        <v>2149400</v>
      </c>
      <c r="R6" s="55">
        <v>1891300</v>
      </c>
      <c r="S6" s="55">
        <v>1847400</v>
      </c>
      <c r="T6" s="55">
        <v>1964800</v>
      </c>
      <c r="U6" s="55">
        <v>1979200</v>
      </c>
      <c r="V6" s="55">
        <v>1759900</v>
      </c>
      <c r="W6" s="55">
        <v>2104800</v>
      </c>
      <c r="X6" s="55">
        <v>2872900</v>
      </c>
      <c r="Y6" s="55">
        <v>2997400</v>
      </c>
      <c r="Z6" s="55">
        <v>6185500</v>
      </c>
      <c r="AA6" s="55">
        <v>3317800</v>
      </c>
      <c r="AB6" s="55">
        <v>2098100</v>
      </c>
      <c r="AC6" s="55">
        <v>2551400</v>
      </c>
      <c r="AD6" s="55">
        <v>2551400</v>
      </c>
      <c r="AE6" s="55">
        <v>2582600</v>
      </c>
      <c r="AF6" s="55">
        <v>2151900</v>
      </c>
      <c r="AG6" s="55">
        <v>1669300</v>
      </c>
      <c r="AH6" s="55">
        <v>2464100</v>
      </c>
      <c r="AI6" s="55">
        <v>2386800</v>
      </c>
      <c r="AJ6" s="55">
        <v>2156100</v>
      </c>
      <c r="AK6" s="55">
        <v>1570700</v>
      </c>
      <c r="AL6" s="55">
        <v>1560100</v>
      </c>
      <c r="AM6" s="55">
        <v>1696700</v>
      </c>
      <c r="AN6" s="21">
        <v>1472900</v>
      </c>
      <c r="AO6" s="21">
        <v>1023500</v>
      </c>
      <c r="AP6" s="22">
        <v>1262900</v>
      </c>
      <c r="AQ6" s="22">
        <v>2234300</v>
      </c>
      <c r="AR6" s="22">
        <v>2707000</v>
      </c>
      <c r="AS6" s="22">
        <v>1787000</v>
      </c>
      <c r="AT6" s="22">
        <v>2012700</v>
      </c>
      <c r="AU6" s="22">
        <v>2418600</v>
      </c>
      <c r="AV6" s="22">
        <v>1877000</v>
      </c>
      <c r="AW6" s="22">
        <v>2442800</v>
      </c>
      <c r="AX6" s="22">
        <v>1386500</v>
      </c>
      <c r="AY6" s="22">
        <v>1689000</v>
      </c>
      <c r="AZ6" s="22">
        <v>1404200</v>
      </c>
      <c r="BA6" s="22">
        <v>1997600</v>
      </c>
      <c r="BB6" s="22">
        <v>1500200</v>
      </c>
      <c r="BC6" s="22">
        <v>2133100</v>
      </c>
      <c r="BD6" s="22">
        <v>1946800</v>
      </c>
      <c r="BE6" s="22">
        <v>1518300</v>
      </c>
      <c r="BF6" s="22">
        <v>1966200</v>
      </c>
      <c r="BG6" s="22">
        <v>2128100</v>
      </c>
      <c r="BH6" s="22">
        <v>2799900</v>
      </c>
      <c r="BI6" s="22">
        <v>2211800</v>
      </c>
      <c r="BJ6" s="22">
        <v>1862600</v>
      </c>
      <c r="BK6" s="22">
        <v>2222200</v>
      </c>
      <c r="BL6" s="22">
        <v>1968200</v>
      </c>
    </row>
    <row r="7" spans="1:64" ht="15.95" customHeight="1">
      <c r="A7" s="433" t="s">
        <v>264</v>
      </c>
      <c r="B7" s="49" t="s">
        <v>83</v>
      </c>
      <c r="C7" s="53">
        <f>_xll.RssMarket("5423","出来高")</f>
        <v>385700</v>
      </c>
      <c r="D7" s="220">
        <f t="shared" si="0"/>
        <v>0</v>
      </c>
      <c r="E7" s="221">
        <v>385700</v>
      </c>
      <c r="F7" s="55">
        <v>266000</v>
      </c>
      <c r="G7" s="55">
        <v>538200</v>
      </c>
      <c r="H7" s="55">
        <v>289100</v>
      </c>
      <c r="I7" s="55">
        <v>225000</v>
      </c>
      <c r="J7" s="55">
        <v>430800</v>
      </c>
      <c r="K7" s="55">
        <v>190600</v>
      </c>
      <c r="L7" s="55">
        <v>271900</v>
      </c>
      <c r="M7" s="55">
        <v>340800</v>
      </c>
      <c r="N7" s="55">
        <v>323000</v>
      </c>
      <c r="O7" s="55">
        <v>496800</v>
      </c>
      <c r="P7" s="55">
        <v>290400</v>
      </c>
      <c r="Q7" s="55">
        <v>390000</v>
      </c>
      <c r="R7" s="55">
        <v>325400</v>
      </c>
      <c r="S7" s="55">
        <v>269500</v>
      </c>
      <c r="T7" s="55">
        <v>349400</v>
      </c>
      <c r="U7" s="55">
        <v>311700</v>
      </c>
      <c r="V7" s="55">
        <v>394200</v>
      </c>
      <c r="W7" s="55">
        <v>489200</v>
      </c>
      <c r="X7" s="55">
        <v>729700</v>
      </c>
      <c r="Y7" s="55">
        <v>1307500</v>
      </c>
      <c r="Z7" s="55">
        <v>510200</v>
      </c>
      <c r="AA7" s="55">
        <v>393600</v>
      </c>
      <c r="AB7" s="55">
        <v>502600</v>
      </c>
      <c r="AC7" s="55">
        <v>502600</v>
      </c>
      <c r="AD7" s="55">
        <v>670800</v>
      </c>
      <c r="AE7" s="55">
        <v>503300</v>
      </c>
      <c r="AF7" s="55">
        <v>442900</v>
      </c>
      <c r="AG7" s="55">
        <v>509400</v>
      </c>
      <c r="AH7" s="55">
        <v>573900</v>
      </c>
      <c r="AI7" s="55">
        <v>1287300</v>
      </c>
      <c r="AJ7" s="55">
        <v>1953600</v>
      </c>
      <c r="AK7" s="55">
        <v>576200</v>
      </c>
      <c r="AL7" s="55">
        <v>561600</v>
      </c>
      <c r="AM7" s="55">
        <v>568300</v>
      </c>
      <c r="AN7" s="55">
        <v>557900</v>
      </c>
      <c r="AO7" s="55">
        <v>489200</v>
      </c>
      <c r="AP7" s="55">
        <v>572900</v>
      </c>
      <c r="AQ7" s="22">
        <v>368500</v>
      </c>
      <c r="AR7" s="22">
        <v>333100</v>
      </c>
      <c r="AS7" s="22">
        <v>596600</v>
      </c>
      <c r="AT7" s="22">
        <v>456100</v>
      </c>
      <c r="AU7" s="22">
        <v>571300</v>
      </c>
      <c r="AV7" s="22">
        <v>433200</v>
      </c>
      <c r="AW7" s="22">
        <v>977800</v>
      </c>
      <c r="AX7" s="22">
        <v>1231500</v>
      </c>
      <c r="AY7" s="22">
        <v>3075000</v>
      </c>
      <c r="AZ7" s="22">
        <v>472400</v>
      </c>
      <c r="BA7" s="22">
        <v>345500</v>
      </c>
      <c r="BB7" s="22">
        <v>445300</v>
      </c>
      <c r="BC7" s="22">
        <v>388800</v>
      </c>
      <c r="BD7" s="22">
        <v>471200</v>
      </c>
      <c r="BE7" s="22">
        <v>322500</v>
      </c>
      <c r="BF7" s="22">
        <v>463700</v>
      </c>
      <c r="BG7" s="22">
        <v>526700</v>
      </c>
      <c r="BH7" s="22">
        <v>429700</v>
      </c>
      <c r="BI7" s="22">
        <v>360700</v>
      </c>
      <c r="BJ7" s="22">
        <v>290300</v>
      </c>
      <c r="BK7" s="22">
        <v>308400</v>
      </c>
      <c r="BL7" s="22">
        <v>303200</v>
      </c>
    </row>
    <row r="8" spans="1:64" ht="15.95" customHeight="1">
      <c r="A8" s="433" t="s">
        <v>265</v>
      </c>
      <c r="B8" s="49" t="s">
        <v>84</v>
      </c>
      <c r="C8" s="53">
        <f>_xll.RssMarket("5713","出来高")</f>
        <v>2551700</v>
      </c>
      <c r="D8" s="220">
        <f t="shared" si="0"/>
        <v>0</v>
      </c>
      <c r="E8" s="221">
        <v>2551700</v>
      </c>
      <c r="F8" s="56">
        <v>2641400</v>
      </c>
      <c r="G8" s="56">
        <v>4556800</v>
      </c>
      <c r="H8" s="56">
        <v>3142400</v>
      </c>
      <c r="I8" s="56">
        <v>3560800</v>
      </c>
      <c r="J8" s="56">
        <v>3843300</v>
      </c>
      <c r="K8" s="56">
        <v>2594500</v>
      </c>
      <c r="L8" s="56">
        <v>2081000</v>
      </c>
      <c r="M8" s="56">
        <v>2542500</v>
      </c>
      <c r="N8" s="56">
        <v>2932000</v>
      </c>
      <c r="O8" s="56">
        <v>4027100</v>
      </c>
      <c r="P8" s="56">
        <v>4084200</v>
      </c>
      <c r="Q8" s="56">
        <v>2595000</v>
      </c>
      <c r="R8" s="56">
        <v>2050500</v>
      </c>
      <c r="S8" s="56">
        <v>2228600</v>
      </c>
      <c r="T8" s="56">
        <v>2640900</v>
      </c>
      <c r="U8" s="56">
        <v>3138100</v>
      </c>
      <c r="V8" s="56">
        <v>2982700</v>
      </c>
      <c r="W8" s="56">
        <v>3759600</v>
      </c>
      <c r="X8" s="56">
        <v>4067900</v>
      </c>
      <c r="Y8" s="56">
        <v>3379600</v>
      </c>
      <c r="Z8" s="56">
        <v>3612200</v>
      </c>
      <c r="AA8" s="56">
        <v>4429700</v>
      </c>
      <c r="AB8" s="56">
        <v>8245000</v>
      </c>
      <c r="AC8" s="56">
        <v>8245000</v>
      </c>
      <c r="AD8" s="56">
        <v>3684000</v>
      </c>
      <c r="AE8" s="56">
        <v>3693100</v>
      </c>
      <c r="AF8" s="56">
        <v>1976400</v>
      </c>
      <c r="AG8" s="56">
        <v>3637600</v>
      </c>
      <c r="AH8" s="56">
        <v>3034900</v>
      </c>
      <c r="AI8" s="56">
        <v>2050300</v>
      </c>
      <c r="AJ8" s="56">
        <v>2954900</v>
      </c>
      <c r="AK8" s="56">
        <v>2835900</v>
      </c>
      <c r="AL8" s="56">
        <v>1576200</v>
      </c>
      <c r="AM8" s="56">
        <v>1726400</v>
      </c>
      <c r="AN8" s="23">
        <v>3352800</v>
      </c>
      <c r="AO8" s="23">
        <v>2892200</v>
      </c>
      <c r="AP8" s="22">
        <v>5526000</v>
      </c>
      <c r="AQ8" s="22">
        <v>2866300</v>
      </c>
      <c r="AR8" s="22">
        <v>3247400</v>
      </c>
      <c r="AS8" s="22">
        <v>3333200</v>
      </c>
      <c r="AT8" s="22">
        <v>3853300</v>
      </c>
      <c r="AU8" s="22">
        <v>3918100</v>
      </c>
      <c r="AV8" s="22">
        <v>2314600</v>
      </c>
      <c r="AW8" s="22">
        <v>2369000</v>
      </c>
      <c r="AX8" s="22">
        <v>2396300</v>
      </c>
      <c r="AY8" s="22">
        <v>5304000</v>
      </c>
      <c r="AZ8" s="22">
        <v>3762200</v>
      </c>
      <c r="BA8" s="22">
        <v>5535500</v>
      </c>
      <c r="BB8" s="22">
        <v>4307300</v>
      </c>
      <c r="BC8" s="22">
        <v>3207800</v>
      </c>
      <c r="BD8" s="22">
        <v>4209600</v>
      </c>
      <c r="BE8" s="22">
        <v>4789300</v>
      </c>
      <c r="BF8" s="22">
        <v>6980800</v>
      </c>
      <c r="BG8" s="22">
        <v>6650400</v>
      </c>
      <c r="BH8" s="22">
        <v>3566700</v>
      </c>
      <c r="BI8" s="22">
        <v>3094100</v>
      </c>
      <c r="BJ8" s="22">
        <v>5161100</v>
      </c>
      <c r="BK8" s="22">
        <v>3330400</v>
      </c>
      <c r="BL8" s="22">
        <v>3832700</v>
      </c>
    </row>
    <row r="9" spans="1:64" ht="15.95" customHeight="1">
      <c r="A9" s="433" t="s">
        <v>266</v>
      </c>
      <c r="B9" s="49" t="s">
        <v>85</v>
      </c>
      <c r="C9" s="53">
        <f>_xll.RssMarket("5711","出来高")</f>
        <v>659400</v>
      </c>
      <c r="D9" s="220">
        <f t="shared" si="0"/>
        <v>0</v>
      </c>
      <c r="E9" s="218">
        <v>659400</v>
      </c>
      <c r="F9" s="22">
        <v>906800</v>
      </c>
      <c r="G9" s="22">
        <v>1201900</v>
      </c>
      <c r="H9" s="22">
        <v>885100</v>
      </c>
      <c r="I9" s="22">
        <v>951900</v>
      </c>
      <c r="J9" s="22">
        <v>1382600</v>
      </c>
      <c r="K9" s="22">
        <v>745200</v>
      </c>
      <c r="L9" s="22">
        <v>871200</v>
      </c>
      <c r="M9" s="22">
        <v>1127900</v>
      </c>
      <c r="N9" s="22">
        <v>968200</v>
      </c>
      <c r="O9" s="22">
        <v>1620700</v>
      </c>
      <c r="P9" s="22">
        <v>1032600</v>
      </c>
      <c r="Q9" s="22">
        <v>1015000</v>
      </c>
      <c r="R9" s="22">
        <v>858000</v>
      </c>
      <c r="S9" s="22">
        <v>1242700</v>
      </c>
      <c r="T9" s="22">
        <v>1055000</v>
      </c>
      <c r="U9" s="22">
        <v>1708500</v>
      </c>
      <c r="V9" s="22">
        <v>1473300</v>
      </c>
      <c r="W9" s="22">
        <v>1722400</v>
      </c>
      <c r="X9" s="22">
        <v>1744000</v>
      </c>
      <c r="Y9" s="22">
        <v>3907200</v>
      </c>
      <c r="Z9" s="22">
        <v>2487800</v>
      </c>
      <c r="AA9" s="22">
        <v>1799900</v>
      </c>
      <c r="AB9" s="22">
        <v>1709900</v>
      </c>
      <c r="AC9" s="22">
        <v>1709900</v>
      </c>
      <c r="AD9" s="22">
        <v>1250200</v>
      </c>
      <c r="AE9" s="22">
        <v>1200800</v>
      </c>
      <c r="AF9" s="22">
        <v>701600</v>
      </c>
      <c r="AG9" s="22">
        <v>1003800</v>
      </c>
      <c r="AH9" s="22">
        <v>958100</v>
      </c>
      <c r="AI9" s="22">
        <v>642800</v>
      </c>
      <c r="AJ9" s="22">
        <v>935400</v>
      </c>
      <c r="AK9" s="22">
        <v>879300</v>
      </c>
      <c r="AL9" s="22">
        <v>602500</v>
      </c>
      <c r="AM9" s="22">
        <v>649000</v>
      </c>
      <c r="AN9" s="22">
        <v>1068700</v>
      </c>
      <c r="AO9" s="22">
        <v>943200</v>
      </c>
      <c r="AP9" s="22">
        <v>1522000</v>
      </c>
      <c r="AQ9" s="22">
        <v>1418200</v>
      </c>
      <c r="AR9" s="22">
        <v>959100</v>
      </c>
      <c r="AS9" s="22">
        <v>1051000</v>
      </c>
      <c r="AT9" s="22">
        <v>1178900</v>
      </c>
      <c r="AU9" s="22">
        <v>2869000</v>
      </c>
      <c r="AV9" s="22">
        <v>715900</v>
      </c>
      <c r="AW9" s="22">
        <v>951000</v>
      </c>
      <c r="AX9" s="22">
        <v>1165400</v>
      </c>
      <c r="AY9" s="22">
        <v>1455200</v>
      </c>
      <c r="AZ9" s="22">
        <v>1590700</v>
      </c>
      <c r="BA9" s="22">
        <v>1904700</v>
      </c>
      <c r="BB9" s="22">
        <v>1780800</v>
      </c>
      <c r="BC9" s="22">
        <v>1386800</v>
      </c>
      <c r="BD9" s="22">
        <v>1845400</v>
      </c>
      <c r="BE9" s="22">
        <v>2392100</v>
      </c>
      <c r="BF9" s="22">
        <v>3557100</v>
      </c>
      <c r="BG9" s="22">
        <v>6014300</v>
      </c>
      <c r="BH9" s="22">
        <v>3875900</v>
      </c>
      <c r="BI9" s="22">
        <v>815100</v>
      </c>
      <c r="BJ9" s="22">
        <v>1310700</v>
      </c>
      <c r="BK9" s="22">
        <v>1186500</v>
      </c>
      <c r="BL9" s="22">
        <v>1240800</v>
      </c>
    </row>
    <row r="10" spans="1:64" ht="15.95" customHeight="1">
      <c r="A10" s="433" t="s">
        <v>267</v>
      </c>
      <c r="B10" s="49" t="s">
        <v>86</v>
      </c>
      <c r="C10" s="53">
        <f>_xll.RssMarket("5714","出来高")</f>
        <v>365500</v>
      </c>
      <c r="D10" s="220">
        <f t="shared" si="0"/>
        <v>0</v>
      </c>
      <c r="E10" s="218">
        <v>365500</v>
      </c>
      <c r="F10" s="22">
        <v>371200</v>
      </c>
      <c r="G10" s="22">
        <v>515700</v>
      </c>
      <c r="H10" s="22">
        <v>552800</v>
      </c>
      <c r="I10" s="22">
        <v>420500</v>
      </c>
      <c r="J10" s="22">
        <v>757100</v>
      </c>
      <c r="K10" s="22">
        <v>451500</v>
      </c>
      <c r="L10" s="22">
        <v>511300</v>
      </c>
      <c r="M10" s="22">
        <v>333400</v>
      </c>
      <c r="N10" s="22">
        <v>453000</v>
      </c>
      <c r="O10" s="22">
        <v>585200</v>
      </c>
      <c r="P10" s="22">
        <v>568800</v>
      </c>
      <c r="Q10" s="22">
        <v>517800</v>
      </c>
      <c r="R10" s="22">
        <v>456800</v>
      </c>
      <c r="S10" s="22">
        <v>462700</v>
      </c>
      <c r="T10" s="22">
        <v>394900</v>
      </c>
      <c r="U10" s="22">
        <v>477900</v>
      </c>
      <c r="V10" s="22">
        <v>542400</v>
      </c>
      <c r="W10" s="22">
        <v>550400</v>
      </c>
      <c r="X10" s="22">
        <v>1539600</v>
      </c>
      <c r="Y10" s="22">
        <v>618700</v>
      </c>
      <c r="Z10" s="22">
        <v>411000</v>
      </c>
      <c r="AA10" s="22">
        <v>453500</v>
      </c>
      <c r="AB10" s="22">
        <v>672000</v>
      </c>
      <c r="AC10" s="22">
        <v>672000</v>
      </c>
      <c r="AD10" s="22">
        <v>592300</v>
      </c>
      <c r="AE10" s="22">
        <v>522000</v>
      </c>
      <c r="AF10" s="22">
        <v>234200</v>
      </c>
      <c r="AG10" s="22">
        <v>356500</v>
      </c>
      <c r="AH10" s="22">
        <v>434400</v>
      </c>
      <c r="AI10" s="22">
        <v>292000</v>
      </c>
      <c r="AJ10" s="22">
        <v>331300</v>
      </c>
      <c r="AK10" s="22">
        <v>279900</v>
      </c>
      <c r="AL10" s="22">
        <v>294700</v>
      </c>
      <c r="AM10" s="22">
        <v>348200</v>
      </c>
      <c r="AN10" s="22">
        <v>339600</v>
      </c>
      <c r="AO10" s="22">
        <v>348900</v>
      </c>
      <c r="AP10" s="22">
        <v>349700</v>
      </c>
      <c r="AQ10" s="22">
        <v>407600</v>
      </c>
      <c r="AR10" s="22">
        <v>386100</v>
      </c>
      <c r="AS10" s="22">
        <v>296200</v>
      </c>
      <c r="AT10" s="22">
        <v>295900</v>
      </c>
      <c r="AU10" s="22">
        <v>358400</v>
      </c>
      <c r="AV10" s="22">
        <v>548900</v>
      </c>
      <c r="AW10" s="22">
        <v>383400</v>
      </c>
      <c r="AX10" s="22">
        <v>266700</v>
      </c>
      <c r="AY10" s="22">
        <v>349000</v>
      </c>
      <c r="AZ10" s="22">
        <v>608400</v>
      </c>
      <c r="BA10" s="22">
        <v>571300</v>
      </c>
      <c r="BB10" s="22">
        <v>634700</v>
      </c>
      <c r="BC10" s="22">
        <v>554500</v>
      </c>
      <c r="BD10" s="22">
        <v>505900</v>
      </c>
      <c r="BE10" s="22">
        <v>464300</v>
      </c>
      <c r="BF10" s="22">
        <v>623000</v>
      </c>
      <c r="BG10" s="22">
        <v>1443200</v>
      </c>
      <c r="BH10" s="22">
        <v>862800</v>
      </c>
      <c r="BI10" s="22">
        <v>452300</v>
      </c>
      <c r="BJ10" s="22">
        <v>348600</v>
      </c>
      <c r="BK10" s="22">
        <v>668900</v>
      </c>
      <c r="BL10" s="22">
        <v>541700</v>
      </c>
    </row>
    <row r="11" spans="1:64" ht="15.95" customHeight="1">
      <c r="A11" s="433" t="s">
        <v>268</v>
      </c>
      <c r="B11" s="49" t="s">
        <v>87</v>
      </c>
      <c r="C11" s="53">
        <f>_xll.RssMarket("6701","出来高")</f>
        <v>5022300</v>
      </c>
      <c r="D11" s="220">
        <f t="shared" si="0"/>
        <v>0</v>
      </c>
      <c r="E11" s="218">
        <v>5022300</v>
      </c>
      <c r="F11" s="22">
        <v>6248800</v>
      </c>
      <c r="G11" s="22">
        <v>9142000</v>
      </c>
      <c r="H11" s="22">
        <v>5710100</v>
      </c>
      <c r="I11" s="22">
        <v>6012200</v>
      </c>
      <c r="J11" s="22">
        <v>6718600</v>
      </c>
      <c r="K11" s="22">
        <v>5135700</v>
      </c>
      <c r="L11" s="22">
        <v>6944800</v>
      </c>
      <c r="M11" s="22">
        <v>7730700</v>
      </c>
      <c r="N11" s="22">
        <v>9485400</v>
      </c>
      <c r="O11" s="22">
        <v>16563200</v>
      </c>
      <c r="P11" s="22">
        <v>5581400</v>
      </c>
      <c r="Q11" s="22">
        <v>8303000</v>
      </c>
      <c r="R11" s="22">
        <v>6498500</v>
      </c>
      <c r="S11" s="22">
        <v>4948800</v>
      </c>
      <c r="T11" s="22">
        <v>5967600</v>
      </c>
      <c r="U11" s="22">
        <v>7263800</v>
      </c>
      <c r="V11" s="22">
        <v>9282600</v>
      </c>
      <c r="W11" s="22">
        <v>6347700</v>
      </c>
      <c r="X11" s="22">
        <v>8545500</v>
      </c>
      <c r="Y11" s="22">
        <v>7773700</v>
      </c>
      <c r="Z11" s="22">
        <v>7433400</v>
      </c>
      <c r="AA11" s="22">
        <v>4828200</v>
      </c>
      <c r="AB11" s="22">
        <v>8014100</v>
      </c>
      <c r="AC11" s="22">
        <v>8014100</v>
      </c>
      <c r="AD11" s="22">
        <v>10515600</v>
      </c>
      <c r="AE11" s="22">
        <v>10880800</v>
      </c>
      <c r="AF11" s="22">
        <v>11361500</v>
      </c>
      <c r="AG11" s="22">
        <v>21434400</v>
      </c>
      <c r="AH11" s="22">
        <v>13579200</v>
      </c>
      <c r="AI11" s="22">
        <v>20656900</v>
      </c>
      <c r="AJ11" s="22">
        <v>8635400</v>
      </c>
      <c r="AK11" s="22">
        <v>7058500</v>
      </c>
      <c r="AL11" s="22">
        <v>8708100</v>
      </c>
      <c r="AM11" s="22">
        <v>4965000</v>
      </c>
      <c r="AN11" s="22">
        <v>7056900</v>
      </c>
      <c r="AO11" s="22">
        <v>9060800</v>
      </c>
      <c r="AP11" s="22">
        <v>12938300</v>
      </c>
      <c r="AQ11" s="22">
        <v>10135100</v>
      </c>
      <c r="AR11" s="22">
        <v>7574000</v>
      </c>
      <c r="AS11" s="22">
        <v>10911300</v>
      </c>
      <c r="AT11" s="22">
        <v>5929100</v>
      </c>
      <c r="AU11" s="22">
        <v>6590700</v>
      </c>
      <c r="AV11" s="22">
        <v>3732700</v>
      </c>
      <c r="AW11" s="22">
        <v>4581600</v>
      </c>
      <c r="AX11" s="22">
        <v>2372700</v>
      </c>
      <c r="AY11" s="22">
        <v>2372700</v>
      </c>
      <c r="AZ11" s="22">
        <v>6125500</v>
      </c>
      <c r="BA11" s="22">
        <v>6125500</v>
      </c>
      <c r="BB11" s="22">
        <v>5067400</v>
      </c>
      <c r="BC11" s="22">
        <v>5067400</v>
      </c>
      <c r="BD11" s="22">
        <v>7176700</v>
      </c>
      <c r="BE11" s="22">
        <v>7176700</v>
      </c>
      <c r="BF11" s="22">
        <v>7176700</v>
      </c>
      <c r="BG11" s="22">
        <v>7789900</v>
      </c>
      <c r="BH11" s="22">
        <v>7789900</v>
      </c>
      <c r="BI11" s="22">
        <v>7789900</v>
      </c>
      <c r="BJ11" s="22">
        <v>7043700</v>
      </c>
      <c r="BK11" s="22">
        <v>7043700</v>
      </c>
      <c r="BL11" s="22">
        <v>7043700</v>
      </c>
    </row>
    <row r="12" spans="1:64" ht="15.95" customHeight="1">
      <c r="A12" s="433" t="s">
        <v>269</v>
      </c>
      <c r="B12" s="49" t="s">
        <v>88</v>
      </c>
      <c r="C12" s="53">
        <f>_xll.RssMarket("1605","出来高")</f>
        <v>7587200</v>
      </c>
      <c r="D12" s="220">
        <f t="shared" si="0"/>
        <v>0</v>
      </c>
      <c r="E12" s="218">
        <v>7587200</v>
      </c>
      <c r="F12" s="22">
        <v>6864700</v>
      </c>
      <c r="G12" s="22">
        <v>5425200</v>
      </c>
      <c r="H12" s="22">
        <v>5556700</v>
      </c>
      <c r="I12" s="22">
        <v>4697200</v>
      </c>
      <c r="J12" s="22">
        <v>4637600</v>
      </c>
      <c r="K12" s="22">
        <v>3111500</v>
      </c>
      <c r="L12" s="22">
        <v>3446600</v>
      </c>
      <c r="M12" s="22">
        <v>4739100</v>
      </c>
      <c r="N12" s="22">
        <v>7383900</v>
      </c>
      <c r="O12" s="22">
        <v>12569800</v>
      </c>
      <c r="P12" s="22">
        <v>6084900</v>
      </c>
      <c r="Q12" s="22">
        <v>4290700</v>
      </c>
      <c r="R12" s="22">
        <v>6971200</v>
      </c>
      <c r="S12" s="22">
        <v>4170500</v>
      </c>
      <c r="T12" s="22">
        <v>5198800</v>
      </c>
      <c r="U12" s="22">
        <v>6209900</v>
      </c>
      <c r="V12" s="22">
        <v>5379500</v>
      </c>
      <c r="W12" s="22">
        <v>5790500</v>
      </c>
      <c r="X12" s="22">
        <v>6169800</v>
      </c>
      <c r="Y12" s="22">
        <v>7215000</v>
      </c>
      <c r="Z12" s="22">
        <v>6330200</v>
      </c>
      <c r="AA12" s="22">
        <v>4919900</v>
      </c>
      <c r="AB12" s="22">
        <v>5603100</v>
      </c>
      <c r="AC12" s="22">
        <v>5603100</v>
      </c>
      <c r="AD12" s="22">
        <v>7428100</v>
      </c>
      <c r="AE12" s="22">
        <v>12599300</v>
      </c>
      <c r="AF12" s="22">
        <v>4706100</v>
      </c>
      <c r="AG12" s="22">
        <v>9521700</v>
      </c>
      <c r="AH12" s="22">
        <v>5972600</v>
      </c>
      <c r="AI12" s="22">
        <v>7017200</v>
      </c>
      <c r="AJ12" s="22">
        <v>9212900</v>
      </c>
      <c r="AK12" s="22">
        <v>11234600</v>
      </c>
      <c r="AL12" s="22">
        <v>7335600</v>
      </c>
      <c r="AM12" s="22">
        <v>7801500</v>
      </c>
      <c r="AN12" s="22">
        <v>9948100</v>
      </c>
      <c r="AO12" s="22">
        <v>8819000</v>
      </c>
      <c r="AP12" s="22">
        <v>8358100</v>
      </c>
      <c r="AQ12" s="22">
        <v>11571700</v>
      </c>
      <c r="AR12" s="22">
        <v>8566200</v>
      </c>
      <c r="AS12" s="22">
        <v>9931200</v>
      </c>
      <c r="AT12" s="22">
        <v>8140300</v>
      </c>
      <c r="AU12" s="22">
        <v>10197400</v>
      </c>
      <c r="AV12" s="22">
        <v>21684100</v>
      </c>
      <c r="AW12" s="22">
        <v>9903500</v>
      </c>
      <c r="AX12" s="22">
        <v>11644300</v>
      </c>
      <c r="AY12" s="22">
        <v>12217700</v>
      </c>
      <c r="AZ12" s="22">
        <v>32548200</v>
      </c>
      <c r="BA12" s="22">
        <v>14486800</v>
      </c>
      <c r="BB12" s="22">
        <v>20046600</v>
      </c>
      <c r="BC12" s="22">
        <v>15318800</v>
      </c>
      <c r="BD12" s="22">
        <v>9407200</v>
      </c>
      <c r="BE12" s="22">
        <v>12701000</v>
      </c>
      <c r="BF12" s="22">
        <v>14245400</v>
      </c>
      <c r="BG12" s="22">
        <v>16560400</v>
      </c>
      <c r="BH12" s="22">
        <v>15309600</v>
      </c>
      <c r="BI12" s="22">
        <v>11280100</v>
      </c>
      <c r="BJ12" s="22">
        <v>13330200</v>
      </c>
      <c r="BK12" s="22">
        <v>10523800</v>
      </c>
      <c r="BL12" s="22">
        <v>14370700</v>
      </c>
    </row>
    <row r="13" spans="1:64" ht="15.95" customHeight="1">
      <c r="A13" s="433" t="s">
        <v>270</v>
      </c>
      <c r="B13" s="49" t="s">
        <v>89</v>
      </c>
      <c r="C13" s="53">
        <f>_xll.RssMarket("5703","出来高")</f>
        <v>315700</v>
      </c>
      <c r="D13" s="220">
        <f t="shared" si="0"/>
        <v>0</v>
      </c>
      <c r="E13" s="218">
        <v>315700</v>
      </c>
      <c r="F13" s="22">
        <v>263200</v>
      </c>
      <c r="G13" s="22">
        <v>286000</v>
      </c>
      <c r="H13" s="22">
        <v>406300</v>
      </c>
      <c r="I13" s="22">
        <v>273400</v>
      </c>
      <c r="J13" s="22">
        <v>309300</v>
      </c>
      <c r="K13" s="22">
        <v>319100</v>
      </c>
      <c r="L13" s="22">
        <v>226700</v>
      </c>
      <c r="M13" s="22">
        <v>269500</v>
      </c>
      <c r="N13" s="22">
        <v>278200</v>
      </c>
      <c r="O13" s="22">
        <v>372100</v>
      </c>
      <c r="P13" s="22">
        <v>352000</v>
      </c>
      <c r="Q13" s="22">
        <v>279800</v>
      </c>
      <c r="R13" s="22">
        <v>388000</v>
      </c>
      <c r="S13" s="22">
        <v>243300</v>
      </c>
      <c r="T13" s="22">
        <v>342400</v>
      </c>
      <c r="U13" s="22">
        <v>301100</v>
      </c>
      <c r="V13" s="22">
        <v>366100</v>
      </c>
      <c r="W13" s="22">
        <v>476200</v>
      </c>
      <c r="X13" s="22">
        <v>824000</v>
      </c>
      <c r="Y13" s="22">
        <v>551900</v>
      </c>
      <c r="Z13" s="22">
        <v>310800</v>
      </c>
      <c r="AA13" s="22">
        <v>235900</v>
      </c>
      <c r="AB13" s="22">
        <v>269300</v>
      </c>
      <c r="AC13" s="22">
        <v>269300</v>
      </c>
      <c r="AD13" s="22">
        <v>327600</v>
      </c>
      <c r="AE13" s="22">
        <v>352700</v>
      </c>
      <c r="AF13" s="22">
        <v>279100</v>
      </c>
      <c r="AG13" s="22">
        <v>210900</v>
      </c>
      <c r="AH13" s="22">
        <v>167000</v>
      </c>
      <c r="AI13" s="22">
        <v>197500</v>
      </c>
      <c r="AJ13" s="22">
        <v>162700</v>
      </c>
      <c r="AK13" s="22">
        <v>232800</v>
      </c>
      <c r="AL13" s="22">
        <v>151800</v>
      </c>
      <c r="AM13" s="22">
        <v>178300</v>
      </c>
      <c r="AN13" s="22">
        <v>158200</v>
      </c>
      <c r="AO13" s="22">
        <v>180700</v>
      </c>
      <c r="AP13" s="22">
        <v>144800</v>
      </c>
      <c r="AQ13" s="22">
        <v>194200</v>
      </c>
      <c r="AR13" s="22">
        <v>190900</v>
      </c>
      <c r="AS13" s="22">
        <v>172700</v>
      </c>
      <c r="AT13" s="22">
        <v>229600</v>
      </c>
      <c r="AU13" s="22">
        <v>252400</v>
      </c>
      <c r="AV13" s="22">
        <v>407100</v>
      </c>
      <c r="AW13" s="22">
        <v>133100</v>
      </c>
      <c r="AX13" s="22">
        <v>144600</v>
      </c>
      <c r="AY13" s="22">
        <v>247300</v>
      </c>
      <c r="AZ13" s="22">
        <v>284000</v>
      </c>
      <c r="BA13" s="22">
        <v>360700</v>
      </c>
      <c r="BB13" s="22">
        <v>259700</v>
      </c>
      <c r="BC13" s="22">
        <v>351300</v>
      </c>
      <c r="BD13" s="22">
        <v>186500</v>
      </c>
      <c r="BE13" s="22">
        <v>255500</v>
      </c>
      <c r="BF13" s="22">
        <v>255600</v>
      </c>
      <c r="BG13" s="22">
        <v>462200</v>
      </c>
      <c r="BH13" s="22">
        <v>523200</v>
      </c>
      <c r="BI13" s="22">
        <v>220200</v>
      </c>
      <c r="BJ13" s="22">
        <v>225400</v>
      </c>
      <c r="BK13" s="22">
        <v>278900</v>
      </c>
      <c r="BL13" s="22">
        <v>252500</v>
      </c>
    </row>
    <row r="14" spans="1:64" ht="15.95" customHeight="1">
      <c r="A14" s="433" t="s">
        <v>271</v>
      </c>
      <c r="B14" s="49" t="s">
        <v>90</v>
      </c>
      <c r="C14" s="53">
        <f>_xll.RssMarket("8002","出来高")</f>
        <v>3994600</v>
      </c>
      <c r="D14" s="220">
        <f t="shared" si="0"/>
        <v>0</v>
      </c>
      <c r="E14" s="218">
        <v>3994600</v>
      </c>
      <c r="F14" s="22">
        <v>3653000</v>
      </c>
      <c r="G14" s="22">
        <v>5513700</v>
      </c>
      <c r="H14" s="22">
        <v>3907200</v>
      </c>
      <c r="I14" s="22">
        <v>4912100</v>
      </c>
      <c r="J14" s="22">
        <v>4973100</v>
      </c>
      <c r="K14" s="22">
        <v>3343800</v>
      </c>
      <c r="L14" s="22">
        <v>3271700</v>
      </c>
      <c r="M14" s="22">
        <v>4772000</v>
      </c>
      <c r="N14" s="22">
        <v>5020200</v>
      </c>
      <c r="O14" s="22">
        <v>10715100</v>
      </c>
      <c r="P14" s="22">
        <v>4813500</v>
      </c>
      <c r="Q14" s="22">
        <v>4638300</v>
      </c>
      <c r="R14" s="22">
        <v>3987700</v>
      </c>
      <c r="S14" s="22">
        <v>4239600</v>
      </c>
      <c r="T14" s="22">
        <v>4102500</v>
      </c>
      <c r="U14" s="22">
        <v>5603600</v>
      </c>
      <c r="V14" s="22">
        <v>4049800</v>
      </c>
      <c r="W14" s="22">
        <v>3827200</v>
      </c>
      <c r="X14" s="22">
        <v>5929200</v>
      </c>
      <c r="Y14" s="22">
        <v>5671100</v>
      </c>
      <c r="Z14" s="22">
        <v>4925800</v>
      </c>
      <c r="AA14" s="22">
        <v>5564100</v>
      </c>
      <c r="AB14" s="22">
        <v>5517900</v>
      </c>
      <c r="AC14" s="22">
        <v>5517900</v>
      </c>
      <c r="AD14" s="22">
        <v>8414100</v>
      </c>
      <c r="AE14" s="22">
        <v>19526800</v>
      </c>
      <c r="AF14" s="22">
        <v>15975800</v>
      </c>
      <c r="AG14" s="22">
        <v>4607700</v>
      </c>
      <c r="AH14" s="22">
        <v>3970900</v>
      </c>
      <c r="AI14" s="22">
        <v>3064200</v>
      </c>
      <c r="AJ14" s="22">
        <v>2982300</v>
      </c>
      <c r="AK14" s="22">
        <v>3732700</v>
      </c>
      <c r="AL14" s="22">
        <v>3702700</v>
      </c>
      <c r="AM14" s="22">
        <v>2998900</v>
      </c>
      <c r="AN14" s="22">
        <v>2787800</v>
      </c>
      <c r="AO14" s="22">
        <v>4098700</v>
      </c>
      <c r="AP14" s="22">
        <v>4164500</v>
      </c>
      <c r="AQ14" s="22">
        <v>4862900</v>
      </c>
      <c r="AR14" s="22">
        <v>3869300</v>
      </c>
      <c r="AS14" s="22">
        <v>3193900</v>
      </c>
      <c r="AT14" s="22">
        <v>4566600</v>
      </c>
      <c r="AU14" s="22">
        <v>4044000</v>
      </c>
      <c r="AV14" s="22">
        <v>5573700</v>
      </c>
      <c r="AW14" s="22">
        <v>2706800</v>
      </c>
      <c r="AX14" s="22">
        <v>2784700</v>
      </c>
      <c r="AY14" s="22">
        <v>2567900</v>
      </c>
      <c r="AZ14" s="22">
        <v>4371700</v>
      </c>
      <c r="BA14" s="22">
        <v>5167500</v>
      </c>
      <c r="BB14" s="22">
        <v>6126300</v>
      </c>
      <c r="BC14" s="22">
        <v>5728600</v>
      </c>
      <c r="BD14" s="22">
        <v>3373800</v>
      </c>
      <c r="BE14" s="22">
        <v>5783700</v>
      </c>
      <c r="BF14" s="22">
        <v>3374100</v>
      </c>
      <c r="BG14" s="22">
        <v>6635000</v>
      </c>
      <c r="BH14" s="22">
        <v>8699000</v>
      </c>
      <c r="BI14" s="22">
        <v>4928400</v>
      </c>
      <c r="BJ14" s="22">
        <v>4128700</v>
      </c>
      <c r="BK14" s="22">
        <v>4402000</v>
      </c>
      <c r="BL14" s="22">
        <v>9884400</v>
      </c>
    </row>
    <row r="15" spans="1:64" ht="15.95" customHeight="1">
      <c r="A15" s="433" t="s">
        <v>272</v>
      </c>
      <c r="B15" s="49" t="s">
        <v>91</v>
      </c>
      <c r="C15" s="53">
        <f>_xll.RssMarket("5021","出来高")</f>
        <v>524700</v>
      </c>
      <c r="D15" s="220">
        <f t="shared" si="0"/>
        <v>0</v>
      </c>
      <c r="E15" s="218">
        <v>524700</v>
      </c>
      <c r="F15" s="22">
        <v>752800</v>
      </c>
      <c r="G15" s="22">
        <v>1040300</v>
      </c>
      <c r="H15" s="22">
        <v>537500</v>
      </c>
      <c r="I15" s="22">
        <v>684000</v>
      </c>
      <c r="J15" s="22">
        <v>523400</v>
      </c>
      <c r="K15" s="22">
        <v>486500</v>
      </c>
      <c r="L15" s="22">
        <v>728600</v>
      </c>
      <c r="M15" s="22">
        <v>727800</v>
      </c>
      <c r="N15" s="22">
        <v>666600</v>
      </c>
      <c r="O15" s="22">
        <v>1097100</v>
      </c>
      <c r="P15" s="22">
        <v>555800</v>
      </c>
      <c r="Q15" s="22">
        <v>490100</v>
      </c>
      <c r="R15" s="22">
        <v>522000</v>
      </c>
      <c r="S15" s="22">
        <v>473200</v>
      </c>
      <c r="T15" s="22">
        <v>412100</v>
      </c>
      <c r="U15" s="22">
        <v>543000</v>
      </c>
      <c r="V15" s="22">
        <v>547900</v>
      </c>
      <c r="W15" s="22">
        <v>757400</v>
      </c>
      <c r="X15" s="22">
        <v>655100</v>
      </c>
      <c r="Y15" s="22">
        <v>939500</v>
      </c>
      <c r="Z15" s="22">
        <v>1405500</v>
      </c>
      <c r="AA15" s="22">
        <v>682300</v>
      </c>
      <c r="AB15" s="22">
        <v>751700</v>
      </c>
      <c r="AC15" s="22">
        <v>751700</v>
      </c>
      <c r="AD15" s="22">
        <v>813100</v>
      </c>
      <c r="AE15" s="22">
        <v>1077300</v>
      </c>
      <c r="AF15" s="22">
        <v>445500</v>
      </c>
      <c r="AG15" s="22">
        <v>841200</v>
      </c>
      <c r="AH15" s="22">
        <v>720800</v>
      </c>
      <c r="AI15" s="22">
        <v>646500</v>
      </c>
      <c r="AJ15" s="22">
        <v>693900</v>
      </c>
      <c r="AK15" s="22">
        <v>1073800</v>
      </c>
      <c r="AL15" s="22">
        <v>691100</v>
      </c>
      <c r="AM15" s="22">
        <v>462300</v>
      </c>
      <c r="AN15" s="22">
        <v>489800</v>
      </c>
      <c r="AO15" s="22">
        <v>446400</v>
      </c>
      <c r="AP15" s="22">
        <v>457900</v>
      </c>
      <c r="AQ15" s="22">
        <v>427700</v>
      </c>
      <c r="AR15" s="22">
        <v>488500</v>
      </c>
      <c r="AS15" s="22">
        <v>445500</v>
      </c>
      <c r="AT15" s="22">
        <v>548300</v>
      </c>
      <c r="AU15" s="22">
        <v>600100</v>
      </c>
      <c r="AV15" s="22">
        <v>730300</v>
      </c>
      <c r="AW15" s="22">
        <v>575700</v>
      </c>
      <c r="AX15" s="22">
        <v>305700</v>
      </c>
      <c r="AY15" s="22">
        <v>318900</v>
      </c>
      <c r="AZ15" s="22">
        <v>575000</v>
      </c>
      <c r="BA15" s="22">
        <v>574700</v>
      </c>
      <c r="BB15" s="22">
        <v>912100</v>
      </c>
      <c r="BC15" s="22">
        <v>775900</v>
      </c>
      <c r="BD15" s="22">
        <v>476100</v>
      </c>
      <c r="BE15" s="22">
        <v>620200</v>
      </c>
      <c r="BF15" s="22">
        <v>894800</v>
      </c>
      <c r="BG15" s="22">
        <v>954200</v>
      </c>
      <c r="BH15" s="22">
        <v>3270300</v>
      </c>
      <c r="BI15" s="22">
        <v>763800</v>
      </c>
      <c r="BJ15" s="22">
        <v>697400</v>
      </c>
      <c r="BK15" s="22">
        <v>642000</v>
      </c>
      <c r="BL15" s="22">
        <v>813400</v>
      </c>
    </row>
    <row r="16" spans="1:64" ht="15.95" customHeight="1">
      <c r="A16" s="433" t="s">
        <v>273</v>
      </c>
      <c r="B16" s="49" t="s">
        <v>92</v>
      </c>
      <c r="C16" s="53">
        <f>_xll.RssMarket("8058","出来高")</f>
        <v>7426100</v>
      </c>
      <c r="D16" s="220">
        <f t="shared" si="0"/>
        <v>0</v>
      </c>
      <c r="E16" s="218">
        <v>7426100</v>
      </c>
      <c r="F16" s="22">
        <v>7796200</v>
      </c>
      <c r="G16" s="22">
        <v>11085600</v>
      </c>
      <c r="H16" s="22">
        <v>6907100</v>
      </c>
      <c r="I16" s="22">
        <v>10613300</v>
      </c>
      <c r="J16" s="22">
        <v>9103700</v>
      </c>
      <c r="K16" s="22">
        <v>6647000</v>
      </c>
      <c r="L16" s="22">
        <v>6381700</v>
      </c>
      <c r="M16" s="22">
        <v>6640600</v>
      </c>
      <c r="N16" s="22">
        <v>10546100</v>
      </c>
      <c r="O16" s="22">
        <v>23956500</v>
      </c>
      <c r="P16" s="22">
        <v>40475700</v>
      </c>
      <c r="Q16" s="22">
        <v>10092200</v>
      </c>
      <c r="R16" s="22">
        <v>8281500</v>
      </c>
      <c r="S16" s="22">
        <v>7695500</v>
      </c>
      <c r="T16" s="22">
        <v>7353700</v>
      </c>
      <c r="U16" s="22">
        <v>7464700</v>
      </c>
      <c r="V16" s="22">
        <v>7798600</v>
      </c>
      <c r="W16" s="22">
        <v>8787900</v>
      </c>
      <c r="X16" s="22">
        <v>9795100</v>
      </c>
      <c r="Y16" s="22">
        <v>9361000</v>
      </c>
      <c r="Z16" s="22">
        <v>16943100</v>
      </c>
      <c r="AA16" s="22">
        <v>12392700</v>
      </c>
      <c r="AB16" s="22">
        <v>9987800</v>
      </c>
      <c r="AC16" s="22">
        <v>9987800</v>
      </c>
      <c r="AD16" s="22">
        <v>13304600</v>
      </c>
      <c r="AE16" s="22">
        <v>22555700</v>
      </c>
      <c r="AF16" s="22">
        <v>46978900</v>
      </c>
      <c r="AG16" s="22">
        <v>16646400</v>
      </c>
      <c r="AH16" s="22">
        <v>8775500</v>
      </c>
      <c r="AI16" s="22">
        <v>10204500</v>
      </c>
      <c r="AJ16" s="22">
        <v>10913900</v>
      </c>
      <c r="AK16" s="22">
        <v>10952800</v>
      </c>
      <c r="AL16" s="22">
        <v>9339900</v>
      </c>
      <c r="AM16" s="22">
        <v>7277300</v>
      </c>
      <c r="AN16" s="22">
        <v>8032000</v>
      </c>
      <c r="AO16" s="22">
        <v>8716300</v>
      </c>
      <c r="AP16" s="22">
        <v>9443600</v>
      </c>
      <c r="AQ16" s="22">
        <v>13794100</v>
      </c>
      <c r="AR16" s="22">
        <v>8428000</v>
      </c>
      <c r="AS16" s="22">
        <v>9023000</v>
      </c>
      <c r="AT16" s="22">
        <v>9609500</v>
      </c>
      <c r="AU16" s="22">
        <v>11738000</v>
      </c>
      <c r="AV16" s="22">
        <v>13753500</v>
      </c>
      <c r="AW16" s="22">
        <v>6565800</v>
      </c>
      <c r="AX16" s="22">
        <v>7612300</v>
      </c>
      <c r="AY16" s="22">
        <v>6060700</v>
      </c>
      <c r="AZ16" s="22">
        <v>10726400</v>
      </c>
      <c r="BA16" s="22">
        <v>11116700</v>
      </c>
      <c r="BB16" s="22">
        <v>17194400</v>
      </c>
      <c r="BC16" s="22">
        <v>15552800</v>
      </c>
      <c r="BD16" s="22">
        <v>8646300</v>
      </c>
      <c r="BE16" s="22">
        <v>9763900</v>
      </c>
      <c r="BF16" s="22">
        <v>10786800</v>
      </c>
      <c r="BG16" s="22">
        <v>14219400</v>
      </c>
      <c r="BH16" s="22">
        <v>22540600</v>
      </c>
      <c r="BI16" s="22">
        <v>16209400</v>
      </c>
      <c r="BJ16" s="22">
        <v>8516300</v>
      </c>
      <c r="BK16" s="22">
        <v>9665300</v>
      </c>
      <c r="BL16" s="22">
        <v>13535000</v>
      </c>
    </row>
    <row r="17" spans="1:64" ht="15.95" customHeight="1">
      <c r="A17" s="433" t="s">
        <v>274</v>
      </c>
      <c r="B17" s="49" t="s">
        <v>93</v>
      </c>
      <c r="C17" s="53">
        <f>_xll.RssMarket("5333","出来高")</f>
        <v>1474400</v>
      </c>
      <c r="D17" s="220">
        <f t="shared" si="0"/>
        <v>0</v>
      </c>
      <c r="E17" s="218">
        <v>1474400</v>
      </c>
      <c r="F17" s="22">
        <v>1678900</v>
      </c>
      <c r="G17" s="22">
        <v>1789800</v>
      </c>
      <c r="H17" s="22">
        <v>1795000</v>
      </c>
      <c r="I17" s="22">
        <v>1838700</v>
      </c>
      <c r="J17" s="22">
        <v>2589900</v>
      </c>
      <c r="K17" s="22">
        <v>2408700</v>
      </c>
      <c r="L17" s="22">
        <v>1489200</v>
      </c>
      <c r="M17" s="22">
        <v>1646400</v>
      </c>
      <c r="N17" s="22">
        <v>2521200</v>
      </c>
      <c r="O17" s="22">
        <v>2446600</v>
      </c>
      <c r="P17" s="22">
        <v>1858200</v>
      </c>
      <c r="Q17" s="22">
        <v>1770600</v>
      </c>
      <c r="R17" s="22">
        <v>1356400</v>
      </c>
      <c r="S17" s="22">
        <v>1421600</v>
      </c>
      <c r="T17" s="22">
        <v>1334400</v>
      </c>
      <c r="U17" s="22">
        <v>1787300</v>
      </c>
      <c r="V17" s="22">
        <v>1654500</v>
      </c>
      <c r="W17" s="22">
        <v>1248600</v>
      </c>
      <c r="X17" s="22">
        <v>2140600</v>
      </c>
      <c r="Y17" s="22">
        <v>1649100</v>
      </c>
      <c r="Z17" s="22">
        <v>1776800</v>
      </c>
      <c r="AA17" s="22">
        <v>1621100</v>
      </c>
      <c r="AB17" s="22">
        <v>1998100</v>
      </c>
      <c r="AC17" s="22">
        <v>1998100</v>
      </c>
      <c r="AD17" s="22">
        <v>2118200</v>
      </c>
      <c r="AE17" s="22">
        <v>2855100</v>
      </c>
      <c r="AF17" s="22">
        <v>2150700</v>
      </c>
      <c r="AG17" s="22">
        <v>4866100</v>
      </c>
      <c r="AH17" s="22">
        <v>1203200</v>
      </c>
      <c r="AI17" s="22">
        <v>1435800</v>
      </c>
      <c r="AJ17" s="22">
        <v>885800</v>
      </c>
      <c r="AK17" s="22">
        <v>1318400</v>
      </c>
      <c r="AL17" s="22">
        <v>714900</v>
      </c>
      <c r="AM17" s="22">
        <v>723700</v>
      </c>
      <c r="AN17" s="22">
        <v>716500</v>
      </c>
      <c r="AO17" s="22">
        <v>739000</v>
      </c>
      <c r="AP17" s="22">
        <v>1166900</v>
      </c>
      <c r="AQ17" s="22">
        <v>1087600</v>
      </c>
      <c r="AR17" s="22">
        <v>652200</v>
      </c>
      <c r="AS17" s="22">
        <v>815200</v>
      </c>
      <c r="AT17" s="22">
        <v>1151700</v>
      </c>
      <c r="AU17" s="22">
        <v>1154600</v>
      </c>
      <c r="AV17" s="22">
        <v>1409100</v>
      </c>
      <c r="AW17" s="22">
        <v>555300</v>
      </c>
      <c r="AX17" s="22">
        <v>793000</v>
      </c>
      <c r="AY17" s="22">
        <v>631600</v>
      </c>
      <c r="AZ17" s="22">
        <v>1139700</v>
      </c>
      <c r="BA17" s="22">
        <v>925000</v>
      </c>
      <c r="BB17" s="22">
        <v>1225300</v>
      </c>
      <c r="BC17" s="22">
        <v>1258100</v>
      </c>
      <c r="BD17" s="22">
        <v>1035500</v>
      </c>
      <c r="BE17" s="22">
        <v>1154300</v>
      </c>
      <c r="BF17" s="22">
        <v>747100</v>
      </c>
      <c r="BG17" s="22">
        <v>1122300</v>
      </c>
      <c r="BH17" s="22">
        <v>2004000</v>
      </c>
      <c r="BI17" s="22">
        <v>706300</v>
      </c>
      <c r="BJ17" s="22">
        <v>727800</v>
      </c>
      <c r="BK17" s="22">
        <v>948600</v>
      </c>
      <c r="BL17" s="22">
        <v>1142000</v>
      </c>
    </row>
    <row r="18" spans="1:64" ht="15.95" customHeight="1">
      <c r="A18" s="433" t="s">
        <v>275</v>
      </c>
      <c r="B18" s="49" t="s">
        <v>94</v>
      </c>
      <c r="C18" s="53">
        <f>_xll.RssMarket("1662","出来高")</f>
        <v>1154600</v>
      </c>
      <c r="D18" s="220">
        <f t="shared" si="0"/>
        <v>0</v>
      </c>
      <c r="E18" s="218">
        <v>1154600</v>
      </c>
      <c r="F18" s="22">
        <v>1305200</v>
      </c>
      <c r="G18" s="22">
        <v>1517300</v>
      </c>
      <c r="H18" s="22">
        <v>1719700</v>
      </c>
      <c r="I18" s="22">
        <v>1743500</v>
      </c>
      <c r="J18" s="22">
        <v>1707000</v>
      </c>
      <c r="K18" s="22">
        <v>1577700</v>
      </c>
      <c r="L18" s="22">
        <v>1874500</v>
      </c>
      <c r="M18" s="22">
        <v>2445000</v>
      </c>
      <c r="N18" s="22">
        <v>1812600</v>
      </c>
      <c r="O18" s="22">
        <v>1828000</v>
      </c>
      <c r="P18" s="22">
        <v>2101700</v>
      </c>
      <c r="Q18" s="22">
        <v>1838300</v>
      </c>
      <c r="R18" s="22">
        <v>1692100</v>
      </c>
      <c r="S18" s="22">
        <v>1483500</v>
      </c>
      <c r="T18" s="22">
        <v>2359600</v>
      </c>
      <c r="U18" s="22">
        <v>2506600</v>
      </c>
      <c r="V18" s="22">
        <v>1282700</v>
      </c>
      <c r="W18" s="22">
        <v>1948000</v>
      </c>
      <c r="X18" s="22">
        <v>2191500</v>
      </c>
      <c r="Y18" s="22">
        <v>2657500</v>
      </c>
      <c r="Z18" s="22">
        <v>5240000</v>
      </c>
      <c r="AA18" s="22">
        <v>1668200</v>
      </c>
      <c r="AB18" s="22">
        <v>2013700</v>
      </c>
      <c r="AC18" s="22">
        <v>2013700</v>
      </c>
      <c r="AD18" s="22">
        <v>1993000</v>
      </c>
      <c r="AE18" s="22">
        <v>3022900</v>
      </c>
      <c r="AF18" s="22">
        <v>1114100</v>
      </c>
      <c r="AG18" s="22">
        <v>1939100</v>
      </c>
      <c r="AH18" s="22">
        <v>1682900</v>
      </c>
      <c r="AI18" s="22">
        <v>1397500</v>
      </c>
      <c r="AJ18" s="22">
        <v>2479600</v>
      </c>
      <c r="AK18" s="22">
        <v>4870100</v>
      </c>
      <c r="AL18" s="22">
        <v>3549200</v>
      </c>
      <c r="AM18" s="22">
        <v>3568200</v>
      </c>
      <c r="AN18" s="22">
        <v>5294900</v>
      </c>
      <c r="AO18" s="22">
        <v>2743800</v>
      </c>
      <c r="AP18" s="22">
        <v>1638200</v>
      </c>
      <c r="AQ18" s="22">
        <v>1919600</v>
      </c>
      <c r="AR18" s="22">
        <v>2468500</v>
      </c>
      <c r="AS18" s="22">
        <v>3066100</v>
      </c>
      <c r="AT18" s="22">
        <v>2021600</v>
      </c>
      <c r="AU18" s="22">
        <v>3113500</v>
      </c>
      <c r="AV18" s="22">
        <v>4181500</v>
      </c>
      <c r="AW18" s="22">
        <v>2288600</v>
      </c>
      <c r="AX18" s="22">
        <v>2679100</v>
      </c>
      <c r="AY18" s="22">
        <v>2708300</v>
      </c>
      <c r="AZ18" s="22">
        <v>7635900</v>
      </c>
      <c r="BA18" s="22">
        <v>3890000</v>
      </c>
      <c r="BB18" s="22">
        <v>4625100</v>
      </c>
      <c r="BC18" s="22">
        <v>3863000</v>
      </c>
      <c r="BD18" s="22">
        <v>4237100</v>
      </c>
      <c r="BE18" s="22">
        <v>3183200</v>
      </c>
      <c r="BF18" s="22">
        <v>3993700</v>
      </c>
      <c r="BG18" s="22">
        <v>5263600</v>
      </c>
      <c r="BH18" s="22">
        <v>6554300</v>
      </c>
      <c r="BI18" s="22">
        <v>6067000</v>
      </c>
      <c r="BJ18" s="22">
        <v>4472800</v>
      </c>
      <c r="BK18" s="22">
        <v>4130600</v>
      </c>
      <c r="BL18" s="22">
        <v>4079200</v>
      </c>
    </row>
    <row r="19" spans="1:64" ht="15.95" customHeight="1">
      <c r="A19" s="433" t="s">
        <v>276</v>
      </c>
      <c r="B19" s="49" t="s">
        <v>95</v>
      </c>
      <c r="C19" s="53">
        <f>_xll.RssMarket("8411","出来高")</f>
        <v>12922600</v>
      </c>
      <c r="D19" s="220">
        <f t="shared" si="0"/>
        <v>0</v>
      </c>
      <c r="E19" s="218">
        <v>12922600</v>
      </c>
      <c r="F19" s="22">
        <v>9797300</v>
      </c>
      <c r="G19" s="22">
        <v>13140500</v>
      </c>
      <c r="H19" s="22">
        <v>11181800</v>
      </c>
      <c r="I19" s="22">
        <v>12418200</v>
      </c>
      <c r="J19" s="22">
        <v>9646600</v>
      </c>
      <c r="K19" s="22">
        <v>10044100</v>
      </c>
      <c r="L19" s="22">
        <v>11569200</v>
      </c>
      <c r="M19" s="22">
        <v>12383200</v>
      </c>
      <c r="N19" s="22">
        <v>10005100</v>
      </c>
      <c r="O19" s="22">
        <v>16581900</v>
      </c>
      <c r="P19" s="22">
        <v>14467400</v>
      </c>
      <c r="Q19" s="22">
        <v>10262300</v>
      </c>
      <c r="R19" s="22">
        <v>11943500</v>
      </c>
      <c r="S19" s="22">
        <v>12090500</v>
      </c>
      <c r="T19" s="22">
        <v>16998300</v>
      </c>
      <c r="U19" s="22">
        <v>15514300</v>
      </c>
      <c r="V19" s="22">
        <v>13730800</v>
      </c>
      <c r="W19" s="22">
        <v>21432700</v>
      </c>
      <c r="X19" s="22">
        <v>10413100</v>
      </c>
      <c r="Y19" s="22">
        <v>8531800</v>
      </c>
      <c r="Z19" s="22">
        <v>7008000</v>
      </c>
      <c r="AA19" s="22">
        <v>8952100</v>
      </c>
      <c r="AB19" s="22">
        <v>9143400</v>
      </c>
      <c r="AC19" s="22">
        <v>9143400</v>
      </c>
      <c r="AD19" s="22">
        <v>10189400</v>
      </c>
      <c r="AE19" s="22">
        <v>11688900</v>
      </c>
      <c r="AF19" s="22">
        <v>7112700</v>
      </c>
      <c r="AG19" s="22">
        <v>10641200</v>
      </c>
      <c r="AH19" s="22">
        <v>13923800</v>
      </c>
      <c r="AI19" s="22">
        <v>9071000</v>
      </c>
      <c r="AJ19" s="22">
        <v>6579700</v>
      </c>
      <c r="AK19" s="22">
        <v>7429300</v>
      </c>
      <c r="AL19" s="22">
        <v>7751100</v>
      </c>
      <c r="AM19" s="22">
        <v>7503700</v>
      </c>
      <c r="AN19" s="22">
        <v>6356700</v>
      </c>
      <c r="AO19" s="22">
        <v>9186000</v>
      </c>
      <c r="AP19" s="22">
        <v>9620500</v>
      </c>
      <c r="AQ19" s="22">
        <v>10748300</v>
      </c>
      <c r="AR19" s="22">
        <v>7541600</v>
      </c>
      <c r="AS19" s="22">
        <v>6715800</v>
      </c>
      <c r="AT19" s="22">
        <v>6848600</v>
      </c>
      <c r="AU19" s="22">
        <v>9676300</v>
      </c>
      <c r="AV19" s="22">
        <v>14670500</v>
      </c>
      <c r="AW19" s="22">
        <v>5294000</v>
      </c>
      <c r="AX19" s="22">
        <v>5167300</v>
      </c>
      <c r="AY19" s="22">
        <v>4409300</v>
      </c>
      <c r="AZ19" s="22">
        <v>9146400</v>
      </c>
      <c r="BA19" s="22">
        <v>12619800</v>
      </c>
      <c r="BB19" s="22">
        <v>9532400</v>
      </c>
      <c r="BC19" s="22">
        <v>9881900</v>
      </c>
      <c r="BD19" s="22">
        <v>6873400</v>
      </c>
      <c r="BE19" s="22">
        <v>10547400</v>
      </c>
      <c r="BF19" s="22">
        <v>7093000</v>
      </c>
      <c r="BG19" s="22">
        <v>9534100</v>
      </c>
      <c r="BH19" s="22">
        <v>10440600</v>
      </c>
      <c r="BI19" s="22">
        <v>7695600</v>
      </c>
      <c r="BJ19" s="22">
        <v>5600600</v>
      </c>
      <c r="BK19" s="22">
        <v>7155700</v>
      </c>
      <c r="BL19" s="22">
        <v>14003800</v>
      </c>
    </row>
    <row r="20" spans="1:64" ht="15.95" customHeight="1">
      <c r="A20" s="433" t="s">
        <v>277</v>
      </c>
      <c r="B20" s="49" t="s">
        <v>96</v>
      </c>
      <c r="C20" s="53">
        <f>_xll.RssMarket("5541","出来高")</f>
        <v>138100</v>
      </c>
      <c r="D20" s="220">
        <f t="shared" si="0"/>
        <v>0</v>
      </c>
      <c r="E20" s="218">
        <v>138100</v>
      </c>
      <c r="F20" s="22">
        <v>248700</v>
      </c>
      <c r="G20" s="22">
        <v>308200</v>
      </c>
      <c r="H20" s="22">
        <v>285100</v>
      </c>
      <c r="I20" s="22">
        <v>280500</v>
      </c>
      <c r="J20" s="22">
        <v>427600</v>
      </c>
      <c r="K20" s="22">
        <v>326000</v>
      </c>
      <c r="L20" s="22">
        <v>194800</v>
      </c>
      <c r="M20" s="22">
        <v>323900</v>
      </c>
      <c r="N20" s="22">
        <v>245700</v>
      </c>
      <c r="O20" s="22">
        <v>241600</v>
      </c>
      <c r="P20" s="22">
        <v>296900</v>
      </c>
      <c r="Q20" s="22">
        <v>298400</v>
      </c>
      <c r="R20" s="22">
        <v>406700</v>
      </c>
      <c r="S20" s="22">
        <v>463600</v>
      </c>
      <c r="T20" s="22">
        <v>367100</v>
      </c>
      <c r="U20" s="22">
        <v>453400</v>
      </c>
      <c r="V20" s="22">
        <v>551500</v>
      </c>
      <c r="W20" s="22">
        <v>485100</v>
      </c>
      <c r="X20" s="22">
        <v>369300</v>
      </c>
      <c r="Y20" s="22">
        <v>485300</v>
      </c>
      <c r="Z20" s="22">
        <v>677400</v>
      </c>
      <c r="AA20" s="22">
        <v>719600</v>
      </c>
      <c r="AB20" s="22">
        <v>292300</v>
      </c>
      <c r="AC20" s="22">
        <v>292300</v>
      </c>
      <c r="AD20" s="22">
        <v>252100</v>
      </c>
      <c r="AE20" s="22">
        <v>427200</v>
      </c>
      <c r="AF20" s="22">
        <v>451300</v>
      </c>
      <c r="AG20" s="22">
        <v>603100</v>
      </c>
      <c r="AH20" s="22">
        <v>692900</v>
      </c>
      <c r="AI20" s="22">
        <v>424300</v>
      </c>
      <c r="AJ20" s="22">
        <v>242800</v>
      </c>
      <c r="AK20" s="22">
        <v>364900</v>
      </c>
      <c r="AL20" s="22">
        <v>281400</v>
      </c>
      <c r="AM20" s="22">
        <v>266800</v>
      </c>
      <c r="AN20" s="22">
        <v>431200</v>
      </c>
      <c r="AO20" s="22">
        <v>538200</v>
      </c>
      <c r="AP20" s="22">
        <v>331600</v>
      </c>
      <c r="AQ20" s="22">
        <v>383000</v>
      </c>
      <c r="AR20" s="22">
        <v>402700</v>
      </c>
      <c r="AS20" s="22">
        <v>341500</v>
      </c>
      <c r="AT20" s="22">
        <v>427400</v>
      </c>
      <c r="AU20" s="22">
        <v>313200</v>
      </c>
      <c r="AV20" s="22">
        <v>418100</v>
      </c>
      <c r="AW20" s="22">
        <v>223400</v>
      </c>
      <c r="AX20" s="22">
        <v>380100</v>
      </c>
      <c r="AY20" s="22">
        <v>274000</v>
      </c>
      <c r="AZ20" s="22">
        <v>445500</v>
      </c>
      <c r="BA20" s="22">
        <v>269900</v>
      </c>
      <c r="BB20" s="22">
        <v>424600</v>
      </c>
      <c r="BC20" s="22">
        <v>571300</v>
      </c>
      <c r="BD20" s="22">
        <v>353600</v>
      </c>
      <c r="BE20" s="22">
        <v>555600</v>
      </c>
      <c r="BF20" s="22">
        <v>481100</v>
      </c>
      <c r="BG20" s="22">
        <v>7951</v>
      </c>
      <c r="BH20" s="22">
        <v>198600</v>
      </c>
      <c r="BI20" s="22">
        <v>228900</v>
      </c>
      <c r="BJ20" s="22">
        <v>262900</v>
      </c>
      <c r="BK20" s="22">
        <v>251600</v>
      </c>
      <c r="BL20" s="22">
        <v>280700</v>
      </c>
    </row>
    <row r="21" spans="1:64" ht="15.95" customHeight="1">
      <c r="A21" s="433" t="s">
        <v>278</v>
      </c>
      <c r="B21" s="49" t="s">
        <v>97</v>
      </c>
      <c r="C21" s="53">
        <f>_xll.RssMarket("5332","出来高")</f>
        <v>1293200</v>
      </c>
      <c r="D21" s="220">
        <f t="shared" si="0"/>
        <v>0</v>
      </c>
      <c r="E21" s="218">
        <v>1293200</v>
      </c>
      <c r="F21" s="22">
        <v>1278600</v>
      </c>
      <c r="G21" s="22">
        <v>1679300</v>
      </c>
      <c r="H21" s="22">
        <v>1658800</v>
      </c>
      <c r="I21" s="22">
        <v>1143000</v>
      </c>
      <c r="J21" s="22">
        <v>2109800</v>
      </c>
      <c r="K21" s="22">
        <v>1685500</v>
      </c>
      <c r="L21" s="22">
        <v>3165600</v>
      </c>
      <c r="M21" s="22">
        <v>2695800</v>
      </c>
      <c r="N21" s="22">
        <v>1561900</v>
      </c>
      <c r="O21" s="22">
        <v>1879700</v>
      </c>
      <c r="P21" s="22">
        <v>1239600</v>
      </c>
      <c r="Q21" s="22">
        <v>1821000</v>
      </c>
      <c r="R21" s="22">
        <v>986300</v>
      </c>
      <c r="S21" s="22">
        <v>1151600</v>
      </c>
      <c r="T21" s="22">
        <v>918300</v>
      </c>
      <c r="U21" s="22">
        <v>1278500</v>
      </c>
      <c r="V21" s="22">
        <v>1038100</v>
      </c>
      <c r="W21" s="22">
        <v>921200</v>
      </c>
      <c r="X21" s="22">
        <v>1517200</v>
      </c>
      <c r="Y21" s="22">
        <v>1886400</v>
      </c>
      <c r="Z21" s="22">
        <v>795100</v>
      </c>
      <c r="AA21" s="22">
        <v>1763500</v>
      </c>
      <c r="AB21" s="22">
        <v>1926500</v>
      </c>
      <c r="AC21" s="22">
        <v>1926500</v>
      </c>
      <c r="AD21" s="22">
        <v>2574300</v>
      </c>
      <c r="AE21" s="22">
        <v>4349000</v>
      </c>
      <c r="AF21" s="22">
        <v>3169300</v>
      </c>
      <c r="AG21" s="22">
        <v>1425200</v>
      </c>
      <c r="AH21" s="22">
        <v>683400</v>
      </c>
      <c r="AI21" s="22">
        <v>914800</v>
      </c>
      <c r="AJ21" s="22">
        <v>1000500</v>
      </c>
      <c r="AK21" s="22">
        <v>1002600</v>
      </c>
      <c r="AL21" s="22">
        <v>990300</v>
      </c>
      <c r="AM21" s="22">
        <v>818600</v>
      </c>
      <c r="AN21" s="22">
        <v>418700</v>
      </c>
      <c r="AO21" s="22">
        <v>807100</v>
      </c>
      <c r="AP21" s="22">
        <v>2224500</v>
      </c>
      <c r="AQ21" s="22">
        <v>1232200</v>
      </c>
      <c r="AR21" s="22">
        <v>2693100</v>
      </c>
      <c r="AS21" s="22">
        <v>6886600</v>
      </c>
      <c r="AT21" s="22">
        <v>918400</v>
      </c>
      <c r="AU21" s="22">
        <v>1167500</v>
      </c>
      <c r="AV21" s="22">
        <v>1296700</v>
      </c>
      <c r="AW21" s="22">
        <v>871800</v>
      </c>
      <c r="AX21" s="22">
        <v>599600</v>
      </c>
      <c r="AY21" s="22">
        <v>635100</v>
      </c>
      <c r="AZ21" s="22">
        <v>808400</v>
      </c>
      <c r="BA21" s="22">
        <v>845800</v>
      </c>
      <c r="BB21" s="22">
        <v>960400</v>
      </c>
      <c r="BC21" s="22">
        <v>1304300</v>
      </c>
      <c r="BD21" s="22">
        <v>1286300</v>
      </c>
      <c r="BE21" s="22">
        <v>1302400</v>
      </c>
      <c r="BF21" s="22">
        <v>938400</v>
      </c>
      <c r="BG21" s="22">
        <v>1233800</v>
      </c>
      <c r="BH21" s="22">
        <v>1292100</v>
      </c>
      <c r="BI21" s="22">
        <v>953500</v>
      </c>
      <c r="BJ21" s="22">
        <v>591300</v>
      </c>
      <c r="BK21" s="22">
        <v>819500</v>
      </c>
      <c r="BL21" s="22">
        <v>1144400</v>
      </c>
    </row>
    <row r="22" spans="1:64" ht="15.95" customHeight="1">
      <c r="A22" s="433" t="s">
        <v>279</v>
      </c>
      <c r="B22" s="49" t="s">
        <v>98</v>
      </c>
      <c r="C22" s="53">
        <f>_xll.RssMarket("8725","出来高")</f>
        <v>3959300</v>
      </c>
      <c r="D22" s="220">
        <f t="shared" si="0"/>
        <v>0</v>
      </c>
      <c r="E22" s="218">
        <v>3959300</v>
      </c>
      <c r="F22" s="22">
        <v>3133600</v>
      </c>
      <c r="G22" s="22">
        <v>5475200</v>
      </c>
      <c r="H22" s="22">
        <v>3444800</v>
      </c>
      <c r="I22" s="22">
        <v>4882400</v>
      </c>
      <c r="J22" s="22">
        <v>4078900</v>
      </c>
      <c r="K22" s="22">
        <v>2749500</v>
      </c>
      <c r="L22" s="22">
        <v>3729600</v>
      </c>
      <c r="M22" s="22">
        <v>4192300</v>
      </c>
      <c r="N22" s="22">
        <v>4316300</v>
      </c>
      <c r="O22" s="22">
        <v>21947600</v>
      </c>
      <c r="P22" s="22">
        <v>4163600</v>
      </c>
      <c r="Q22" s="22">
        <v>4362800</v>
      </c>
      <c r="R22" s="22">
        <v>3443400</v>
      </c>
      <c r="S22" s="22">
        <v>4505700</v>
      </c>
      <c r="T22" s="22">
        <v>6554700</v>
      </c>
      <c r="U22" s="22">
        <v>5183200</v>
      </c>
      <c r="V22" s="22">
        <v>5100200</v>
      </c>
      <c r="W22" s="22">
        <v>3963700</v>
      </c>
      <c r="X22" s="22">
        <v>3998500</v>
      </c>
      <c r="Y22" s="22">
        <v>3569100</v>
      </c>
      <c r="Z22" s="22">
        <v>4277700</v>
      </c>
      <c r="AA22" s="22">
        <v>6882200</v>
      </c>
      <c r="AB22" s="22">
        <v>3290300</v>
      </c>
      <c r="AC22" s="22">
        <v>3290300</v>
      </c>
      <c r="AD22" s="22">
        <v>4823000</v>
      </c>
      <c r="AE22" s="22">
        <v>4535200</v>
      </c>
      <c r="AF22" s="22">
        <v>2605900</v>
      </c>
      <c r="AG22" s="22">
        <v>4050400</v>
      </c>
      <c r="AH22" s="22">
        <v>2895400</v>
      </c>
      <c r="AI22" s="22">
        <v>2940800</v>
      </c>
      <c r="AJ22" s="22">
        <v>2257500</v>
      </c>
      <c r="AK22" s="22">
        <v>3230500</v>
      </c>
      <c r="AL22" s="22">
        <v>2525600</v>
      </c>
      <c r="AM22" s="22">
        <v>2710200</v>
      </c>
      <c r="AN22" s="22">
        <v>2132400</v>
      </c>
      <c r="AO22" s="22">
        <v>2839800</v>
      </c>
      <c r="AP22" s="22">
        <v>2705400</v>
      </c>
      <c r="AQ22" s="22">
        <v>3169100</v>
      </c>
      <c r="AR22" s="22">
        <v>2703800</v>
      </c>
      <c r="AS22" s="22">
        <v>2951100</v>
      </c>
      <c r="AT22" s="22">
        <v>2916700</v>
      </c>
      <c r="AU22" s="22">
        <v>3839400</v>
      </c>
      <c r="AV22" s="22">
        <v>4235300</v>
      </c>
      <c r="AW22" s="22">
        <v>2740000</v>
      </c>
      <c r="AX22" s="22">
        <v>2097800</v>
      </c>
      <c r="AY22" s="22">
        <v>1673500</v>
      </c>
      <c r="AZ22" s="22">
        <v>3031500</v>
      </c>
      <c r="BA22" s="22">
        <v>3872600</v>
      </c>
      <c r="BB22" s="22">
        <v>4884300</v>
      </c>
      <c r="BC22" s="22">
        <v>5537700</v>
      </c>
      <c r="BD22" s="22">
        <v>4191800</v>
      </c>
      <c r="BE22" s="22">
        <v>5662000</v>
      </c>
      <c r="BF22" s="22">
        <v>4892200</v>
      </c>
      <c r="BG22" s="22">
        <v>4026000</v>
      </c>
      <c r="BH22" s="22">
        <v>5474100</v>
      </c>
      <c r="BI22" s="22">
        <v>3456300</v>
      </c>
      <c r="BJ22" s="22">
        <v>2303900</v>
      </c>
      <c r="BK22" s="22">
        <v>4196900</v>
      </c>
      <c r="BL22" s="22">
        <v>4441300</v>
      </c>
    </row>
    <row r="23" spans="1:64" ht="15.95" customHeight="1">
      <c r="A23" s="433" t="s">
        <v>280</v>
      </c>
      <c r="B23" s="49" t="s">
        <v>99</v>
      </c>
      <c r="C23" s="53">
        <f>_xll.RssMarket("8795","出来高")</f>
        <v>2140500</v>
      </c>
      <c r="D23" s="220">
        <f t="shared" si="0"/>
        <v>0</v>
      </c>
      <c r="E23" s="218">
        <v>2140500</v>
      </c>
      <c r="F23" s="22">
        <v>2237600</v>
      </c>
      <c r="G23" s="22">
        <v>2429300</v>
      </c>
      <c r="H23" s="22">
        <v>1909300</v>
      </c>
      <c r="I23" s="22">
        <v>3640400</v>
      </c>
      <c r="J23" s="22">
        <v>2067100</v>
      </c>
      <c r="K23" s="22">
        <v>3356300</v>
      </c>
      <c r="L23" s="22">
        <v>2187000</v>
      </c>
      <c r="M23" s="22">
        <v>2422000</v>
      </c>
      <c r="N23" s="22">
        <v>2299000</v>
      </c>
      <c r="O23" s="22">
        <v>6363200</v>
      </c>
      <c r="P23" s="22">
        <v>1641500</v>
      </c>
      <c r="Q23" s="22">
        <v>1694500</v>
      </c>
      <c r="R23" s="22">
        <v>1880900</v>
      </c>
      <c r="S23" s="22">
        <v>2480400</v>
      </c>
      <c r="T23" s="22">
        <v>2184200</v>
      </c>
      <c r="U23" s="22">
        <v>1907700</v>
      </c>
      <c r="V23" s="22">
        <v>2646700</v>
      </c>
      <c r="W23" s="22">
        <v>1908800</v>
      </c>
      <c r="X23" s="22">
        <v>2306000</v>
      </c>
      <c r="Y23" s="22">
        <v>1399500</v>
      </c>
      <c r="Z23" s="22">
        <v>1303000</v>
      </c>
      <c r="AA23" s="22">
        <v>1675300</v>
      </c>
      <c r="AB23" s="22">
        <v>1454700</v>
      </c>
      <c r="AC23" s="22">
        <v>1454700</v>
      </c>
      <c r="AD23" s="22">
        <v>1796600</v>
      </c>
      <c r="AE23" s="22">
        <v>2571300</v>
      </c>
      <c r="AF23" s="22">
        <v>1250400</v>
      </c>
      <c r="AG23" s="22">
        <v>2027600</v>
      </c>
      <c r="AH23" s="22">
        <v>2276000</v>
      </c>
      <c r="AI23" s="22">
        <v>1688900</v>
      </c>
      <c r="AJ23" s="22">
        <v>1701400</v>
      </c>
      <c r="AK23" s="22">
        <v>2772300</v>
      </c>
      <c r="AL23" s="22">
        <v>2000800</v>
      </c>
      <c r="AM23" s="22">
        <v>1822300</v>
      </c>
      <c r="AN23" s="22">
        <v>1642300</v>
      </c>
      <c r="AO23" s="22">
        <v>1879600</v>
      </c>
      <c r="AP23" s="22">
        <v>1551000</v>
      </c>
      <c r="AQ23" s="22">
        <v>1532900</v>
      </c>
      <c r="AR23" s="22">
        <v>1758700</v>
      </c>
      <c r="AS23" s="22">
        <v>1271400</v>
      </c>
      <c r="AT23" s="22">
        <v>1293000</v>
      </c>
      <c r="AU23" s="22">
        <v>1887700</v>
      </c>
      <c r="AV23" s="22">
        <v>2199100</v>
      </c>
      <c r="AW23" s="22">
        <v>1979400</v>
      </c>
      <c r="AX23" s="22">
        <v>3917000</v>
      </c>
      <c r="AY23" s="22">
        <v>1216700</v>
      </c>
      <c r="AZ23" s="22">
        <v>2509100</v>
      </c>
      <c r="BA23" s="22">
        <v>2951500</v>
      </c>
      <c r="BB23" s="22">
        <v>7553000</v>
      </c>
      <c r="BC23" s="22">
        <v>3039300</v>
      </c>
      <c r="BD23" s="22">
        <v>2441300</v>
      </c>
      <c r="BE23" s="22">
        <v>2812800</v>
      </c>
      <c r="BF23" s="22">
        <v>2517600</v>
      </c>
      <c r="BG23" s="22">
        <v>2122100</v>
      </c>
      <c r="BH23" s="22">
        <v>2412800</v>
      </c>
      <c r="BI23" s="22">
        <v>1556600</v>
      </c>
      <c r="BJ23" s="22">
        <v>1439200</v>
      </c>
      <c r="BK23" s="22">
        <v>2596300</v>
      </c>
      <c r="BL23" s="22">
        <v>1802300</v>
      </c>
    </row>
    <row r="24" spans="1:64" ht="15.95" customHeight="1">
      <c r="A24" s="433" t="s">
        <v>281</v>
      </c>
      <c r="B24" s="49" t="s">
        <v>100</v>
      </c>
      <c r="C24" s="53">
        <f>_xll.RssMarket("5019","出来高")</f>
        <v>4040400</v>
      </c>
      <c r="D24" s="220">
        <f t="shared" si="0"/>
        <v>0</v>
      </c>
      <c r="E24" s="218">
        <v>4040400</v>
      </c>
      <c r="F24" s="22">
        <v>3618200</v>
      </c>
      <c r="G24" s="22">
        <v>5523600</v>
      </c>
      <c r="H24" s="22">
        <v>3531900</v>
      </c>
      <c r="I24" s="22">
        <v>3746500</v>
      </c>
      <c r="J24" s="22">
        <v>4287600</v>
      </c>
      <c r="K24" s="22">
        <v>3641300</v>
      </c>
      <c r="L24" s="22">
        <v>3359600</v>
      </c>
      <c r="M24" s="22">
        <v>5315700</v>
      </c>
      <c r="N24" s="22">
        <v>5527800</v>
      </c>
      <c r="O24" s="22">
        <v>11955600</v>
      </c>
      <c r="P24" s="22">
        <v>8683900</v>
      </c>
      <c r="Q24" s="22">
        <v>4124300</v>
      </c>
      <c r="R24" s="22">
        <v>3597500</v>
      </c>
      <c r="S24" s="22">
        <v>4180400</v>
      </c>
      <c r="T24" s="22">
        <v>3702000</v>
      </c>
      <c r="U24" s="22">
        <v>4665700</v>
      </c>
      <c r="V24" s="22">
        <v>4699300</v>
      </c>
      <c r="W24" s="22">
        <v>5863400</v>
      </c>
      <c r="X24" s="22">
        <v>6853600</v>
      </c>
      <c r="Y24" s="22">
        <v>6963600</v>
      </c>
      <c r="Z24" s="22">
        <v>8769600</v>
      </c>
      <c r="AA24" s="22">
        <v>4718800</v>
      </c>
      <c r="AB24" s="22">
        <v>3701300</v>
      </c>
      <c r="AC24" s="22">
        <v>3701300</v>
      </c>
      <c r="AD24" s="22">
        <v>5627400</v>
      </c>
      <c r="AE24" s="22">
        <v>6407600</v>
      </c>
      <c r="AF24" s="22">
        <v>4688500</v>
      </c>
      <c r="AG24" s="22">
        <v>8432600</v>
      </c>
      <c r="AH24" s="22">
        <v>3745900</v>
      </c>
      <c r="AI24" s="22">
        <v>3600600</v>
      </c>
      <c r="AJ24" s="22">
        <v>4462900</v>
      </c>
      <c r="AK24" s="22">
        <v>5735900</v>
      </c>
      <c r="AL24" s="22">
        <v>4936300</v>
      </c>
      <c r="AM24" s="22">
        <v>4973500</v>
      </c>
      <c r="AN24" s="22">
        <v>4176900</v>
      </c>
      <c r="AO24" s="22">
        <v>3527000</v>
      </c>
      <c r="AP24" s="22">
        <v>3094200</v>
      </c>
      <c r="AQ24" s="22">
        <v>4061100</v>
      </c>
      <c r="AR24" s="22">
        <v>3772800</v>
      </c>
      <c r="AS24" s="22">
        <v>2946500</v>
      </c>
      <c r="AT24" s="22">
        <v>4074200</v>
      </c>
      <c r="AU24" s="22">
        <v>7882100</v>
      </c>
      <c r="AV24" s="22">
        <v>9112900</v>
      </c>
      <c r="AW24" s="22">
        <v>5616800</v>
      </c>
      <c r="AX24" s="22">
        <v>3685600</v>
      </c>
      <c r="AY24" s="22">
        <v>2624000</v>
      </c>
      <c r="AZ24" s="22">
        <v>4702500</v>
      </c>
      <c r="BA24" s="22">
        <v>5162700</v>
      </c>
      <c r="BB24" s="22">
        <v>5656900</v>
      </c>
      <c r="BC24" s="22">
        <v>4338200</v>
      </c>
      <c r="BD24" s="22">
        <v>3660300</v>
      </c>
      <c r="BE24" s="22">
        <v>4293500</v>
      </c>
      <c r="BF24" s="22">
        <v>3748100</v>
      </c>
      <c r="BG24" s="22">
        <v>5509100</v>
      </c>
      <c r="BH24" s="22">
        <v>5338900</v>
      </c>
      <c r="BI24" s="22">
        <v>3582400</v>
      </c>
      <c r="BJ24" s="22">
        <v>3236900</v>
      </c>
      <c r="BK24" s="22">
        <v>3395600</v>
      </c>
      <c r="BL24" s="22">
        <v>4383600</v>
      </c>
    </row>
    <row r="25" spans="1:64" ht="15.95" customHeight="1">
      <c r="A25" s="433" t="s">
        <v>282</v>
      </c>
      <c r="B25" s="49" t="s">
        <v>101</v>
      </c>
      <c r="C25" s="53">
        <f>_xll.RssMarket("8053","出来高")</f>
        <v>2278500</v>
      </c>
      <c r="D25" s="220">
        <f t="shared" si="0"/>
        <v>0</v>
      </c>
      <c r="E25" s="218">
        <v>2278500</v>
      </c>
      <c r="F25" s="22">
        <v>2412200</v>
      </c>
      <c r="G25" s="22">
        <v>4570300</v>
      </c>
      <c r="H25" s="22">
        <v>4708300</v>
      </c>
      <c r="I25" s="22">
        <v>4365900</v>
      </c>
      <c r="J25" s="22">
        <v>3290600</v>
      </c>
      <c r="K25" s="22">
        <v>1919700</v>
      </c>
      <c r="L25" s="22">
        <v>2552300</v>
      </c>
      <c r="M25" s="22">
        <v>2636000</v>
      </c>
      <c r="N25" s="22">
        <v>3123400</v>
      </c>
      <c r="O25" s="22">
        <v>10796100</v>
      </c>
      <c r="P25" s="22">
        <v>4614600</v>
      </c>
      <c r="Q25" s="22">
        <v>3034800</v>
      </c>
      <c r="R25" s="22">
        <v>2557700</v>
      </c>
      <c r="S25" s="22">
        <v>2040400</v>
      </c>
      <c r="T25" s="22">
        <v>1953600</v>
      </c>
      <c r="U25" s="22">
        <v>4191600</v>
      </c>
      <c r="V25" s="22">
        <v>2331200</v>
      </c>
      <c r="W25" s="22">
        <v>2584500</v>
      </c>
      <c r="X25" s="22">
        <v>2812200</v>
      </c>
      <c r="Y25" s="22">
        <v>3789200</v>
      </c>
      <c r="Z25" s="22">
        <v>4103900</v>
      </c>
      <c r="AA25" s="22">
        <v>3488200</v>
      </c>
      <c r="AB25" s="22">
        <v>4338400</v>
      </c>
      <c r="AC25" s="22">
        <v>4338400</v>
      </c>
      <c r="AD25" s="22">
        <v>7294300</v>
      </c>
      <c r="AE25" s="22">
        <v>19773700</v>
      </c>
      <c r="AF25" s="22">
        <v>17136600</v>
      </c>
      <c r="AG25" s="22">
        <v>4493700</v>
      </c>
      <c r="AH25" s="22">
        <v>3535200</v>
      </c>
      <c r="AI25" s="22">
        <v>2792800</v>
      </c>
      <c r="AJ25" s="22">
        <v>2194800</v>
      </c>
      <c r="AK25" s="22">
        <v>3219600</v>
      </c>
      <c r="AL25" s="22">
        <v>2920900</v>
      </c>
      <c r="AM25" s="22">
        <v>1970200</v>
      </c>
      <c r="AN25" s="22">
        <v>2184800</v>
      </c>
      <c r="AO25" s="22">
        <v>2693300</v>
      </c>
      <c r="AP25" s="22">
        <v>2867200</v>
      </c>
      <c r="AQ25" s="22">
        <v>2476800</v>
      </c>
      <c r="AR25" s="22">
        <v>2083700</v>
      </c>
      <c r="AS25" s="22">
        <v>2119300</v>
      </c>
      <c r="AT25" s="22">
        <v>3246700</v>
      </c>
      <c r="AU25" s="22">
        <v>3000700</v>
      </c>
      <c r="AV25" s="22">
        <v>3901000</v>
      </c>
      <c r="AW25" s="22">
        <v>2116600</v>
      </c>
      <c r="AX25" s="22">
        <v>1864200</v>
      </c>
      <c r="AY25" s="22">
        <v>1956400</v>
      </c>
      <c r="AZ25" s="22">
        <v>3076600</v>
      </c>
      <c r="BA25" s="22">
        <v>4609300</v>
      </c>
      <c r="BB25" s="22">
        <v>4265600</v>
      </c>
      <c r="BC25" s="22">
        <v>4219000</v>
      </c>
      <c r="BD25" s="22">
        <v>2263600</v>
      </c>
      <c r="BE25" s="22">
        <v>2930800</v>
      </c>
      <c r="BF25" s="22">
        <v>3093600</v>
      </c>
      <c r="BG25" s="22">
        <v>4238200</v>
      </c>
      <c r="BH25" s="22">
        <v>5384000</v>
      </c>
      <c r="BI25" s="22">
        <v>4120000</v>
      </c>
      <c r="BJ25" s="22">
        <v>2524400</v>
      </c>
      <c r="BK25" s="22">
        <v>3002600</v>
      </c>
      <c r="BL25" s="22">
        <v>3833600</v>
      </c>
    </row>
    <row r="26" spans="1:64" ht="15.95" customHeight="1">
      <c r="A26" s="433" t="s">
        <v>283</v>
      </c>
      <c r="B26" s="49" t="s">
        <v>102</v>
      </c>
      <c r="C26" s="53">
        <f>_xll.RssMarket("8591","出来高")</f>
        <v>3297700</v>
      </c>
      <c r="D26" s="220">
        <f t="shared" si="0"/>
        <v>0</v>
      </c>
      <c r="E26" s="218">
        <v>3297700</v>
      </c>
      <c r="F26" s="22">
        <v>3277700</v>
      </c>
      <c r="G26" s="22">
        <v>4689200</v>
      </c>
      <c r="H26" s="22">
        <v>3440000</v>
      </c>
      <c r="I26" s="22">
        <v>3177200</v>
      </c>
      <c r="J26" s="22">
        <v>4282200</v>
      </c>
      <c r="K26" s="22">
        <v>4106200</v>
      </c>
      <c r="L26" s="22">
        <v>3631000</v>
      </c>
      <c r="M26" s="22">
        <v>4230200</v>
      </c>
      <c r="N26" s="22">
        <v>3439000</v>
      </c>
      <c r="O26" s="22">
        <v>11231300</v>
      </c>
      <c r="P26" s="22">
        <v>4034600</v>
      </c>
      <c r="Q26" s="22">
        <v>4177600</v>
      </c>
      <c r="R26" s="22">
        <v>2862600</v>
      </c>
      <c r="S26" s="22">
        <v>2962300</v>
      </c>
      <c r="T26" s="22">
        <v>5566600</v>
      </c>
      <c r="U26" s="22">
        <v>5382800</v>
      </c>
      <c r="V26" s="22">
        <v>3428300</v>
      </c>
      <c r="W26" s="22">
        <v>3498200</v>
      </c>
      <c r="X26" s="22">
        <v>3566600</v>
      </c>
      <c r="Y26" s="22">
        <v>3688600</v>
      </c>
      <c r="Z26" s="22">
        <v>4551800</v>
      </c>
      <c r="AA26" s="22">
        <v>9097900</v>
      </c>
      <c r="AB26" s="22">
        <v>5492700</v>
      </c>
      <c r="AC26" s="22">
        <v>5492700</v>
      </c>
      <c r="AD26" s="22">
        <v>3962300</v>
      </c>
      <c r="AE26" s="22">
        <v>5074900</v>
      </c>
      <c r="AF26" s="22">
        <v>2638400</v>
      </c>
      <c r="AG26" s="22">
        <v>5308400</v>
      </c>
      <c r="AH26" s="22">
        <v>10949800</v>
      </c>
      <c r="AI26" s="22">
        <v>2361900</v>
      </c>
      <c r="AJ26" s="22">
        <v>2283400</v>
      </c>
      <c r="AK26" s="22">
        <v>2706600</v>
      </c>
      <c r="AL26" s="22">
        <v>2370200</v>
      </c>
      <c r="AM26" s="22">
        <v>2138000</v>
      </c>
      <c r="AN26" s="22">
        <v>2533100</v>
      </c>
      <c r="AO26" s="22">
        <v>3148300</v>
      </c>
      <c r="AP26" s="22">
        <v>2494000</v>
      </c>
      <c r="AQ26" s="22">
        <v>3474800</v>
      </c>
      <c r="AR26" s="22">
        <v>4153800</v>
      </c>
      <c r="AS26" s="22">
        <v>2604900</v>
      </c>
      <c r="AT26" s="22">
        <v>3085700</v>
      </c>
      <c r="AU26" s="22">
        <v>3255600</v>
      </c>
      <c r="AV26" s="22">
        <v>3998300</v>
      </c>
      <c r="AW26" s="22">
        <v>2323300</v>
      </c>
      <c r="AX26" s="22">
        <v>1525500</v>
      </c>
      <c r="AY26" s="22">
        <v>1643300</v>
      </c>
      <c r="AZ26" s="22">
        <v>2920200</v>
      </c>
      <c r="BA26" s="22">
        <v>2881800</v>
      </c>
      <c r="BB26" s="22">
        <v>3650200</v>
      </c>
      <c r="BC26" s="22">
        <v>4113500</v>
      </c>
      <c r="BD26" s="22">
        <v>2412600</v>
      </c>
      <c r="BE26" s="22">
        <v>2837600</v>
      </c>
      <c r="BF26" s="22">
        <v>3136800</v>
      </c>
      <c r="BG26" s="22">
        <v>4153700</v>
      </c>
      <c r="BH26" s="22">
        <v>5732600</v>
      </c>
      <c r="BI26" s="22">
        <v>2377700</v>
      </c>
      <c r="BJ26" s="22">
        <v>2206600</v>
      </c>
      <c r="BK26" s="22">
        <v>2675900</v>
      </c>
      <c r="BL26" s="22">
        <v>4916600</v>
      </c>
    </row>
    <row r="27" spans="1:64" ht="15.95" customHeight="1">
      <c r="A27" s="433" t="s">
        <v>284</v>
      </c>
      <c r="B27" s="49" t="s">
        <v>103</v>
      </c>
      <c r="C27" s="53">
        <f>_xll.RssMarket("3401","出来高")</f>
        <v>982500</v>
      </c>
      <c r="D27" s="220">
        <f t="shared" si="0"/>
        <v>0</v>
      </c>
      <c r="E27" s="218">
        <v>982500</v>
      </c>
      <c r="F27" s="22">
        <v>558900</v>
      </c>
      <c r="G27" s="22">
        <v>881200</v>
      </c>
      <c r="H27" s="22">
        <v>791900</v>
      </c>
      <c r="I27" s="22">
        <v>808300</v>
      </c>
      <c r="J27" s="22">
        <v>964800</v>
      </c>
      <c r="K27" s="22">
        <v>696700</v>
      </c>
      <c r="L27" s="22">
        <v>655000</v>
      </c>
      <c r="M27" s="22">
        <v>623900</v>
      </c>
      <c r="N27" s="22">
        <v>684600</v>
      </c>
      <c r="O27" s="22">
        <v>1120200</v>
      </c>
      <c r="P27" s="22">
        <v>600300</v>
      </c>
      <c r="Q27" s="22">
        <v>874400</v>
      </c>
      <c r="R27" s="22">
        <v>1037200</v>
      </c>
      <c r="S27" s="22">
        <v>863900</v>
      </c>
      <c r="T27" s="22">
        <v>563600</v>
      </c>
      <c r="U27" s="22">
        <v>747600</v>
      </c>
      <c r="V27" s="22">
        <v>1256700</v>
      </c>
      <c r="W27" s="22">
        <v>981000</v>
      </c>
      <c r="X27" s="22">
        <v>1284600</v>
      </c>
      <c r="Y27" s="22">
        <v>1066700</v>
      </c>
      <c r="Z27" s="22">
        <v>1800800</v>
      </c>
      <c r="AA27" s="22">
        <v>2496400</v>
      </c>
      <c r="AB27" s="22">
        <v>3170200</v>
      </c>
      <c r="AC27" s="22">
        <v>3170200</v>
      </c>
      <c r="AD27" s="22">
        <v>1291100</v>
      </c>
      <c r="AE27" s="22">
        <v>1258400</v>
      </c>
      <c r="AF27" s="22">
        <v>585200</v>
      </c>
      <c r="AG27" s="22">
        <v>2377700</v>
      </c>
      <c r="AH27" s="22">
        <v>591500</v>
      </c>
      <c r="AI27" s="22">
        <v>2206600</v>
      </c>
      <c r="AJ27" s="22">
        <v>904700</v>
      </c>
      <c r="AK27" s="22">
        <v>2675900</v>
      </c>
      <c r="AL27" s="22">
        <v>896400</v>
      </c>
      <c r="AM27" s="22">
        <v>4916600</v>
      </c>
      <c r="AN27" s="22">
        <v>1146500</v>
      </c>
      <c r="AO27" s="22">
        <v>3500400</v>
      </c>
      <c r="AP27" s="22">
        <v>1057500</v>
      </c>
      <c r="AQ27" s="22">
        <v>3790600</v>
      </c>
      <c r="AR27" s="22">
        <v>787100</v>
      </c>
      <c r="AS27" s="22">
        <v>4256300</v>
      </c>
      <c r="AT27" s="22">
        <v>920900</v>
      </c>
      <c r="AU27" s="22">
        <v>4981600</v>
      </c>
      <c r="AV27" s="22">
        <v>1522300</v>
      </c>
      <c r="AW27" s="22">
        <v>5034600</v>
      </c>
      <c r="AX27" s="22">
        <v>788500</v>
      </c>
      <c r="AY27" s="22">
        <v>5711200</v>
      </c>
      <c r="AZ27" s="22">
        <v>1029200</v>
      </c>
      <c r="BA27" s="22">
        <v>5613800</v>
      </c>
      <c r="BB27" s="22">
        <v>4238500</v>
      </c>
      <c r="BC27" s="22">
        <v>1121200</v>
      </c>
      <c r="BD27" s="22">
        <v>4563200</v>
      </c>
      <c r="BE27" s="22">
        <v>801100</v>
      </c>
      <c r="BF27" s="22">
        <v>5396400</v>
      </c>
      <c r="BG27" s="22">
        <v>889300</v>
      </c>
      <c r="BH27" s="22">
        <v>2960200</v>
      </c>
      <c r="BI27" s="22">
        <v>897700</v>
      </c>
      <c r="BJ27" s="22">
        <v>3439100</v>
      </c>
      <c r="BK27" s="22">
        <v>1099900</v>
      </c>
      <c r="BL27" s="22">
        <v>3255100</v>
      </c>
    </row>
    <row r="28" spans="1:64" ht="15.95" customHeight="1">
      <c r="A28" s="433" t="s">
        <v>285</v>
      </c>
      <c r="B28" s="49" t="s">
        <v>104</v>
      </c>
      <c r="C28" s="53">
        <f>_xll.RssMarket("3436","出来高")</f>
        <v>8223600</v>
      </c>
      <c r="D28" s="220">
        <f t="shared" si="0"/>
        <v>0</v>
      </c>
      <c r="E28" s="218">
        <v>8223600</v>
      </c>
      <c r="F28" s="22">
        <v>14625000</v>
      </c>
      <c r="G28" s="22">
        <v>17419200</v>
      </c>
      <c r="H28" s="22">
        <v>18147200</v>
      </c>
      <c r="I28" s="22">
        <v>17073800</v>
      </c>
      <c r="J28" s="22">
        <v>15237800</v>
      </c>
      <c r="K28" s="22">
        <v>12250300</v>
      </c>
      <c r="L28" s="22">
        <v>10044000</v>
      </c>
      <c r="M28" s="22">
        <v>15719900</v>
      </c>
      <c r="N28" s="22">
        <v>15095700</v>
      </c>
      <c r="O28" s="22">
        <v>21624300</v>
      </c>
      <c r="P28" s="22">
        <v>10954100</v>
      </c>
      <c r="Q28" s="22">
        <v>6792700</v>
      </c>
      <c r="R28" s="22">
        <v>9962100</v>
      </c>
      <c r="S28" s="22">
        <v>8445700</v>
      </c>
      <c r="T28" s="22">
        <v>11094300</v>
      </c>
      <c r="U28" s="22">
        <v>12795000</v>
      </c>
      <c r="V28" s="22">
        <v>8950000</v>
      </c>
      <c r="W28" s="22">
        <v>17205300</v>
      </c>
      <c r="X28" s="22">
        <v>17626900</v>
      </c>
      <c r="Y28" s="22">
        <v>17349500</v>
      </c>
      <c r="Z28" s="22">
        <v>26238200</v>
      </c>
      <c r="AA28" s="22">
        <v>18620400</v>
      </c>
      <c r="AB28" s="22">
        <v>24780600</v>
      </c>
      <c r="AC28" s="22">
        <v>24780600</v>
      </c>
      <c r="AD28" s="22">
        <v>40373500</v>
      </c>
      <c r="AE28" s="22">
        <v>3176400</v>
      </c>
      <c r="AF28" s="22">
        <v>12210700</v>
      </c>
      <c r="AG28" s="22">
        <v>29488100</v>
      </c>
      <c r="AH28" s="22">
        <v>14336500</v>
      </c>
      <c r="AI28" s="22">
        <v>12283700</v>
      </c>
      <c r="AJ28" s="22">
        <v>8450400</v>
      </c>
      <c r="AK28" s="22">
        <v>12088600</v>
      </c>
      <c r="AL28" s="22">
        <v>13293900</v>
      </c>
      <c r="AM28" s="22">
        <v>11271900</v>
      </c>
      <c r="AN28" s="22">
        <v>9888300</v>
      </c>
      <c r="AO28" s="22">
        <v>16407700</v>
      </c>
      <c r="AP28" s="22">
        <v>18756100</v>
      </c>
      <c r="AQ28" s="22">
        <v>13883200</v>
      </c>
      <c r="AR28" s="22">
        <v>12194800</v>
      </c>
      <c r="AS28" s="22">
        <v>16413400</v>
      </c>
      <c r="AT28" s="22">
        <v>9985700</v>
      </c>
      <c r="AU28" s="22">
        <v>9341600</v>
      </c>
      <c r="AV28" s="22">
        <v>7807900</v>
      </c>
      <c r="AW28" s="22">
        <v>4761100</v>
      </c>
      <c r="AX28" s="22">
        <v>5285600</v>
      </c>
      <c r="AY28" s="22">
        <v>5581300</v>
      </c>
      <c r="AZ28" s="22">
        <v>6969100</v>
      </c>
      <c r="BA28" s="22">
        <v>10842200</v>
      </c>
      <c r="BB28" s="22">
        <v>8973200</v>
      </c>
      <c r="BC28" s="22">
        <v>9878200</v>
      </c>
      <c r="BD28" s="22">
        <v>11258100</v>
      </c>
      <c r="BE28" s="22">
        <v>8803300</v>
      </c>
      <c r="BF28" s="22">
        <v>7474900</v>
      </c>
      <c r="BG28" s="22">
        <v>9672900</v>
      </c>
      <c r="BH28" s="22">
        <v>8137200</v>
      </c>
      <c r="BI28" s="22">
        <v>11314900</v>
      </c>
      <c r="BJ28" s="22">
        <v>8551000</v>
      </c>
      <c r="BK28" s="22">
        <v>6797100</v>
      </c>
      <c r="BL28" s="22">
        <v>10975700</v>
      </c>
    </row>
    <row r="29" spans="1:64" ht="15.95" customHeight="1">
      <c r="A29" s="433" t="s">
        <v>286</v>
      </c>
      <c r="B29" s="49" t="s">
        <v>105</v>
      </c>
      <c r="C29" s="53">
        <f>_xll.RssMarket("5020","出来高")</f>
        <v>6788300</v>
      </c>
      <c r="D29" s="220">
        <f t="shared" si="0"/>
        <v>0</v>
      </c>
      <c r="E29" s="218">
        <v>6788300</v>
      </c>
      <c r="F29" s="22">
        <v>8109600</v>
      </c>
      <c r="G29" s="22">
        <v>10122700</v>
      </c>
      <c r="H29" s="22">
        <v>7540000</v>
      </c>
      <c r="I29" s="22">
        <v>10371000</v>
      </c>
      <c r="J29" s="22">
        <v>9352700</v>
      </c>
      <c r="K29" s="22">
        <v>7151700</v>
      </c>
      <c r="L29" s="22">
        <v>6795500</v>
      </c>
      <c r="M29" s="22">
        <v>9637100</v>
      </c>
      <c r="N29" s="22">
        <v>8600200</v>
      </c>
      <c r="O29" s="22">
        <v>16776800</v>
      </c>
      <c r="P29" s="22">
        <v>7804300</v>
      </c>
      <c r="Q29" s="22">
        <v>5327700</v>
      </c>
      <c r="R29" s="22">
        <v>7709800</v>
      </c>
      <c r="S29" s="22">
        <v>7813700</v>
      </c>
      <c r="T29" s="22">
        <v>7634400</v>
      </c>
      <c r="U29" s="22">
        <v>8484900</v>
      </c>
      <c r="V29" s="22">
        <v>9436800</v>
      </c>
      <c r="W29" s="22">
        <v>9521800</v>
      </c>
      <c r="X29" s="22">
        <v>12202500</v>
      </c>
      <c r="Y29" s="22">
        <v>20291300</v>
      </c>
      <c r="Z29" s="22">
        <v>8703600</v>
      </c>
      <c r="AA29" s="22">
        <v>11062800</v>
      </c>
      <c r="AB29" s="22">
        <v>6914000</v>
      </c>
      <c r="AC29" s="22">
        <v>6914000</v>
      </c>
      <c r="AD29" s="22">
        <v>9943600</v>
      </c>
      <c r="AE29" s="22">
        <v>11850400</v>
      </c>
      <c r="AF29" s="22">
        <v>7852500</v>
      </c>
      <c r="AG29" s="22">
        <v>13650300</v>
      </c>
      <c r="AH29" s="22">
        <v>7276900</v>
      </c>
      <c r="AI29" s="22">
        <v>5581800</v>
      </c>
      <c r="AJ29" s="22">
        <v>5771200</v>
      </c>
      <c r="AK29" s="22">
        <v>7812700</v>
      </c>
      <c r="AL29" s="22">
        <v>6805400</v>
      </c>
      <c r="AM29" s="22">
        <v>7127700</v>
      </c>
      <c r="AN29" s="22">
        <v>7077200</v>
      </c>
      <c r="AO29" s="22">
        <v>9142200</v>
      </c>
      <c r="AP29" s="22">
        <v>8629400</v>
      </c>
      <c r="AQ29" s="22">
        <v>8113700</v>
      </c>
      <c r="AR29" s="22">
        <v>7867700</v>
      </c>
      <c r="AS29" s="22">
        <v>6821700</v>
      </c>
      <c r="AT29" s="22">
        <v>10342900</v>
      </c>
      <c r="AU29" s="22">
        <v>11136900</v>
      </c>
      <c r="AV29" s="22">
        <v>15201100</v>
      </c>
      <c r="AW29" s="22">
        <v>7753800</v>
      </c>
      <c r="AX29" s="22">
        <v>5381800</v>
      </c>
      <c r="AY29" s="22">
        <v>4340900</v>
      </c>
      <c r="AZ29" s="22">
        <v>12223400</v>
      </c>
      <c r="BA29" s="22">
        <v>12000600</v>
      </c>
      <c r="BB29" s="22">
        <v>14625700</v>
      </c>
      <c r="BC29" s="22">
        <v>11470900</v>
      </c>
      <c r="BD29" s="22">
        <v>7465600</v>
      </c>
      <c r="BE29" s="22">
        <v>8116700</v>
      </c>
      <c r="BF29" s="22">
        <v>8309900</v>
      </c>
      <c r="BG29" s="22">
        <v>12392200</v>
      </c>
      <c r="BH29" s="22">
        <v>16930200</v>
      </c>
      <c r="BI29" s="22">
        <v>11191400</v>
      </c>
      <c r="BJ29" s="22">
        <v>6708800</v>
      </c>
      <c r="BK29" s="22">
        <v>8176600</v>
      </c>
      <c r="BL29" s="22">
        <v>8707100</v>
      </c>
    </row>
    <row r="30" spans="1:64" ht="15.95" customHeight="1">
      <c r="A30" s="433" t="s">
        <v>287</v>
      </c>
      <c r="B30" s="49" t="s">
        <v>106</v>
      </c>
      <c r="C30" s="53">
        <f>_xll.RssMarket("6254","出来高")</f>
        <v>1015700</v>
      </c>
      <c r="D30" s="220">
        <f t="shared" si="0"/>
        <v>0</v>
      </c>
      <c r="E30" s="218">
        <v>1015700</v>
      </c>
      <c r="F30" s="22">
        <v>649800</v>
      </c>
      <c r="G30" s="22">
        <v>981300</v>
      </c>
      <c r="H30" s="22">
        <v>694400</v>
      </c>
      <c r="I30" s="22">
        <v>597700</v>
      </c>
      <c r="J30" s="22">
        <v>895700</v>
      </c>
      <c r="K30" s="22">
        <v>520600</v>
      </c>
      <c r="L30" s="22">
        <v>672900</v>
      </c>
      <c r="M30" s="22">
        <v>1053800</v>
      </c>
      <c r="N30" s="22">
        <v>867000</v>
      </c>
      <c r="O30" s="22">
        <v>680800</v>
      </c>
      <c r="P30" s="22">
        <v>763400</v>
      </c>
      <c r="Q30" s="22">
        <v>1079800</v>
      </c>
      <c r="R30" s="22">
        <v>819500</v>
      </c>
      <c r="S30" s="22">
        <v>1324800</v>
      </c>
      <c r="T30" s="22">
        <v>753700</v>
      </c>
      <c r="U30" s="22">
        <v>743700</v>
      </c>
      <c r="V30" s="22">
        <v>919900</v>
      </c>
      <c r="W30" s="22">
        <v>1628000</v>
      </c>
      <c r="X30" s="22">
        <v>3298800</v>
      </c>
      <c r="Y30" s="22">
        <v>853200</v>
      </c>
      <c r="Z30" s="22">
        <v>1135600</v>
      </c>
      <c r="AA30" s="22">
        <v>963800</v>
      </c>
      <c r="AB30" s="22">
        <v>1073500</v>
      </c>
      <c r="AC30" s="22">
        <v>1073500</v>
      </c>
      <c r="AD30" s="22">
        <v>1346700</v>
      </c>
      <c r="AE30" s="22">
        <v>1466100</v>
      </c>
      <c r="AF30" s="22">
        <v>364000</v>
      </c>
      <c r="AG30" s="22">
        <v>385300</v>
      </c>
      <c r="AH30" s="22">
        <v>417000</v>
      </c>
      <c r="AI30" s="22">
        <v>564800</v>
      </c>
      <c r="AJ30" s="22">
        <v>447300</v>
      </c>
      <c r="AK30" s="22">
        <v>686500</v>
      </c>
      <c r="AL30" s="22">
        <v>732600</v>
      </c>
      <c r="AM30" s="22">
        <v>939200</v>
      </c>
      <c r="AN30" s="22">
        <v>831300</v>
      </c>
      <c r="AO30" s="22">
        <v>540100</v>
      </c>
      <c r="AP30" s="22">
        <v>735200</v>
      </c>
      <c r="AQ30" s="22">
        <v>671800</v>
      </c>
      <c r="AR30" s="22">
        <v>1029900</v>
      </c>
      <c r="AS30" s="22">
        <v>606200</v>
      </c>
      <c r="AT30" s="22">
        <v>975200</v>
      </c>
      <c r="AU30" s="22">
        <v>685900</v>
      </c>
      <c r="AV30" s="22">
        <v>783100</v>
      </c>
      <c r="AW30" s="22">
        <v>342300</v>
      </c>
      <c r="AX30" s="22">
        <v>389600</v>
      </c>
      <c r="AY30" s="22">
        <v>720400</v>
      </c>
      <c r="AZ30" s="22">
        <v>671900</v>
      </c>
      <c r="BA30" s="22">
        <v>672200</v>
      </c>
      <c r="BB30" s="22">
        <v>709400</v>
      </c>
      <c r="BC30" s="22">
        <v>714600</v>
      </c>
      <c r="BD30" s="22">
        <v>1846800</v>
      </c>
      <c r="BE30" s="22">
        <v>691300</v>
      </c>
      <c r="BF30" s="22">
        <v>491600</v>
      </c>
      <c r="BG30" s="22">
        <v>942400</v>
      </c>
      <c r="BH30" s="22">
        <v>9130</v>
      </c>
      <c r="BI30" s="22">
        <v>550700</v>
      </c>
      <c r="BJ30" s="22">
        <v>367900</v>
      </c>
      <c r="BK30" s="22">
        <v>393800</v>
      </c>
      <c r="BL30" s="22">
        <v>459400</v>
      </c>
    </row>
    <row r="31" spans="1:64" ht="15.95" customHeight="1">
      <c r="A31" s="433" t="s">
        <v>288</v>
      </c>
      <c r="B31" s="49" t="s">
        <v>107</v>
      </c>
      <c r="C31" s="53">
        <f>_xll.RssMarket("8309","出来高")</f>
        <v>2691100</v>
      </c>
      <c r="D31" s="220">
        <f t="shared" si="0"/>
        <v>0</v>
      </c>
      <c r="E31" s="218">
        <v>2691100</v>
      </c>
      <c r="F31" s="22">
        <v>3081000</v>
      </c>
      <c r="G31" s="22">
        <v>4252000</v>
      </c>
      <c r="H31" s="22">
        <v>5125900</v>
      </c>
      <c r="I31" s="22">
        <v>3968400</v>
      </c>
      <c r="J31" s="22">
        <v>4151000</v>
      </c>
      <c r="K31" s="22">
        <v>2500700</v>
      </c>
      <c r="L31" s="22">
        <v>2703700</v>
      </c>
      <c r="M31" s="22">
        <v>2874700</v>
      </c>
      <c r="N31" s="22">
        <v>2296200</v>
      </c>
      <c r="O31" s="22">
        <v>5401000</v>
      </c>
      <c r="P31" s="22">
        <v>2347600</v>
      </c>
      <c r="Q31" s="22">
        <v>2045500</v>
      </c>
      <c r="R31" s="22">
        <v>2226400</v>
      </c>
      <c r="S31" s="22">
        <v>3554400</v>
      </c>
      <c r="T31" s="22">
        <v>2594000</v>
      </c>
      <c r="U31" s="22">
        <v>3805700</v>
      </c>
      <c r="V31" s="22">
        <v>3417200</v>
      </c>
      <c r="W31" s="22">
        <v>4260800</v>
      </c>
      <c r="X31" s="22">
        <v>3861900</v>
      </c>
      <c r="Y31" s="22">
        <v>2454000</v>
      </c>
      <c r="Z31" s="22">
        <v>1593600</v>
      </c>
      <c r="AA31" s="22">
        <v>2087700</v>
      </c>
      <c r="AB31" s="22">
        <v>1912900</v>
      </c>
      <c r="AC31" s="22">
        <v>1912900</v>
      </c>
      <c r="AD31" s="22">
        <v>2738200</v>
      </c>
      <c r="AE31" s="22">
        <v>4461200</v>
      </c>
      <c r="AF31" s="22">
        <v>2035000</v>
      </c>
      <c r="AG31" s="22">
        <v>2965200</v>
      </c>
      <c r="AH31" s="22">
        <v>3150000</v>
      </c>
      <c r="AI31" s="22">
        <v>2045200</v>
      </c>
      <c r="AJ31" s="22">
        <v>1093700</v>
      </c>
      <c r="AK31" s="22">
        <v>1516200</v>
      </c>
      <c r="AL31" s="22">
        <v>1622100</v>
      </c>
      <c r="AM31" s="22">
        <v>1950000</v>
      </c>
      <c r="AN31" s="22">
        <v>1562900</v>
      </c>
      <c r="AO31" s="22">
        <v>2059300</v>
      </c>
      <c r="AP31" s="22">
        <v>1995400</v>
      </c>
      <c r="AQ31" s="22">
        <v>2074300</v>
      </c>
      <c r="AR31" s="22">
        <v>1917300</v>
      </c>
      <c r="AS31" s="22">
        <v>1404200</v>
      </c>
      <c r="AT31" s="22">
        <v>1969700</v>
      </c>
      <c r="AU31" s="22">
        <v>1987500</v>
      </c>
      <c r="AV31" s="22">
        <v>3258200</v>
      </c>
      <c r="AW31" s="22">
        <v>974700</v>
      </c>
      <c r="AX31" s="22">
        <v>994100</v>
      </c>
      <c r="AY31" s="22">
        <v>1314000</v>
      </c>
      <c r="AZ31" s="22">
        <v>1706700</v>
      </c>
      <c r="BA31" s="22">
        <v>2084900</v>
      </c>
      <c r="BB31" s="22">
        <v>2511500</v>
      </c>
      <c r="BC31" s="22">
        <v>2553900</v>
      </c>
      <c r="BD31" s="22">
        <v>1766700</v>
      </c>
      <c r="BE31" s="22">
        <v>2067000</v>
      </c>
      <c r="BF31" s="22">
        <v>1461400</v>
      </c>
      <c r="BG31" s="22">
        <v>2453400</v>
      </c>
      <c r="BH31" s="22">
        <v>2920800</v>
      </c>
      <c r="BI31" s="22">
        <v>2667000</v>
      </c>
      <c r="BJ31" s="22">
        <v>1631400</v>
      </c>
      <c r="BK31" s="22">
        <v>1805400</v>
      </c>
      <c r="BL31" s="22">
        <v>2648300</v>
      </c>
    </row>
    <row r="32" spans="1:64" ht="15.95" customHeight="1">
      <c r="A32" s="433" t="s">
        <v>289</v>
      </c>
      <c r="B32" s="49" t="s">
        <v>108</v>
      </c>
      <c r="C32" s="53">
        <f>_xll.RssMarket("3863","出来高")</f>
        <v>606200</v>
      </c>
      <c r="D32" s="220">
        <f t="shared" si="0"/>
        <v>0</v>
      </c>
      <c r="E32" s="218">
        <v>606200</v>
      </c>
      <c r="F32" s="22">
        <v>732100</v>
      </c>
      <c r="G32" s="22">
        <v>872700</v>
      </c>
      <c r="H32" s="22">
        <v>652800</v>
      </c>
      <c r="I32" s="22">
        <v>980600</v>
      </c>
      <c r="J32" s="22">
        <v>1824900</v>
      </c>
      <c r="K32" s="22">
        <v>1528600</v>
      </c>
      <c r="L32" s="22">
        <v>1617800</v>
      </c>
      <c r="M32" s="22">
        <v>2471900</v>
      </c>
      <c r="N32" s="22">
        <v>1396200</v>
      </c>
      <c r="O32" s="22">
        <v>2523400</v>
      </c>
      <c r="P32" s="22">
        <v>1788300</v>
      </c>
      <c r="Q32" s="22">
        <v>2122300</v>
      </c>
      <c r="R32" s="22">
        <v>582000</v>
      </c>
      <c r="S32" s="22">
        <v>676300</v>
      </c>
      <c r="T32" s="22">
        <v>799900</v>
      </c>
      <c r="U32" s="22">
        <v>1236600</v>
      </c>
      <c r="V32" s="22">
        <v>1086600</v>
      </c>
      <c r="W32" s="22">
        <v>1487600</v>
      </c>
      <c r="X32" s="22">
        <v>1738300</v>
      </c>
      <c r="Y32" s="22">
        <v>912500</v>
      </c>
      <c r="Z32" s="22">
        <v>2236200</v>
      </c>
      <c r="AA32" s="22">
        <v>1048000</v>
      </c>
      <c r="AB32" s="22">
        <v>1359100</v>
      </c>
      <c r="AC32" s="22">
        <v>1359100</v>
      </c>
      <c r="AD32" s="22">
        <v>1211900</v>
      </c>
      <c r="AE32" s="22">
        <v>1761900</v>
      </c>
      <c r="AF32" s="22">
        <v>1512800</v>
      </c>
      <c r="AG32" s="22">
        <v>1657300</v>
      </c>
      <c r="AH32" s="22">
        <v>1133000</v>
      </c>
      <c r="AI32" s="22">
        <v>1885400</v>
      </c>
      <c r="AJ32" s="22">
        <v>979200</v>
      </c>
      <c r="AK32" s="22">
        <v>2324300</v>
      </c>
      <c r="AL32" s="22">
        <v>1412000</v>
      </c>
      <c r="AM32" s="22">
        <v>1410400</v>
      </c>
      <c r="AN32" s="22">
        <v>1414000</v>
      </c>
      <c r="AO32" s="22">
        <v>1241200</v>
      </c>
      <c r="AP32" s="22">
        <v>1287200</v>
      </c>
      <c r="AQ32" s="22">
        <v>2021400</v>
      </c>
      <c r="AR32" s="22">
        <v>695300</v>
      </c>
      <c r="AS32" s="22">
        <v>603700</v>
      </c>
      <c r="AT32" s="22">
        <v>760300</v>
      </c>
      <c r="AU32" s="22">
        <v>596700</v>
      </c>
      <c r="AV32" s="22">
        <v>703400</v>
      </c>
      <c r="AW32" s="22">
        <v>625900</v>
      </c>
      <c r="AX32" s="22">
        <v>458000</v>
      </c>
      <c r="AY32" s="22">
        <v>591000</v>
      </c>
      <c r="AZ32" s="22">
        <v>676800</v>
      </c>
      <c r="BA32" s="22">
        <v>901700</v>
      </c>
      <c r="BB32" s="22">
        <v>1667500</v>
      </c>
      <c r="BC32" s="22">
        <v>1561800</v>
      </c>
      <c r="BD32" s="22">
        <v>1271900</v>
      </c>
      <c r="BE32" s="22">
        <v>752100</v>
      </c>
      <c r="BF32" s="22">
        <v>897000</v>
      </c>
      <c r="BG32" s="22">
        <v>1697200</v>
      </c>
      <c r="BH32" s="22">
        <v>2112200</v>
      </c>
      <c r="BI32" s="22">
        <v>602100</v>
      </c>
      <c r="BJ32" s="22">
        <v>456700</v>
      </c>
      <c r="BK32" s="22">
        <v>792400</v>
      </c>
      <c r="BL32" s="22">
        <v>965100</v>
      </c>
    </row>
    <row r="33" spans="1:64" ht="15.95" customHeight="1">
      <c r="A33" s="433" t="s">
        <v>290</v>
      </c>
      <c r="B33" s="49" t="s">
        <v>109</v>
      </c>
      <c r="C33" s="53">
        <f>_xll.RssMarket("8601","出来高")</f>
        <v>4357200</v>
      </c>
      <c r="D33" s="220">
        <f t="shared" si="0"/>
        <v>0</v>
      </c>
      <c r="E33" s="218">
        <v>4357200</v>
      </c>
      <c r="F33" s="22">
        <v>4022300</v>
      </c>
      <c r="G33" s="22">
        <v>5437300</v>
      </c>
      <c r="H33" s="22">
        <v>3030000</v>
      </c>
      <c r="I33" s="22">
        <v>4167700</v>
      </c>
      <c r="J33" s="22">
        <v>4322400</v>
      </c>
      <c r="K33" s="22">
        <v>4149000</v>
      </c>
      <c r="L33" s="22">
        <v>3463400</v>
      </c>
      <c r="M33" s="22">
        <v>3870400</v>
      </c>
      <c r="N33" s="22">
        <v>3797700</v>
      </c>
      <c r="O33" s="22">
        <v>8997000</v>
      </c>
      <c r="P33" s="22">
        <v>4196500</v>
      </c>
      <c r="Q33" s="22">
        <v>5081300</v>
      </c>
      <c r="R33" s="22">
        <v>3631600</v>
      </c>
      <c r="S33" s="22">
        <v>4164800</v>
      </c>
      <c r="T33" s="22">
        <v>3890200</v>
      </c>
      <c r="U33" s="22">
        <v>4533600</v>
      </c>
      <c r="V33" s="22">
        <v>3479900</v>
      </c>
      <c r="W33" s="22">
        <v>3496800</v>
      </c>
      <c r="X33" s="22">
        <v>4189800</v>
      </c>
      <c r="Y33" s="22">
        <v>4109400</v>
      </c>
      <c r="Z33" s="22">
        <v>3881500</v>
      </c>
      <c r="AA33" s="22">
        <v>4032100</v>
      </c>
      <c r="AB33" s="22">
        <v>4199000</v>
      </c>
      <c r="AC33" s="22">
        <v>4199000</v>
      </c>
      <c r="AD33" s="22">
        <v>7216100</v>
      </c>
      <c r="AE33" s="22">
        <v>9013600</v>
      </c>
      <c r="AF33" s="22">
        <v>5777300</v>
      </c>
      <c r="AG33" s="22">
        <v>8593100</v>
      </c>
      <c r="AH33" s="22">
        <v>12085100</v>
      </c>
      <c r="AI33" s="22">
        <v>6612300</v>
      </c>
      <c r="AJ33" s="22">
        <v>4046500</v>
      </c>
      <c r="AK33" s="22">
        <v>4241200</v>
      </c>
      <c r="AL33" s="22">
        <v>3293200</v>
      </c>
      <c r="AM33" s="22">
        <v>3396500</v>
      </c>
      <c r="AN33" s="22">
        <v>3208200</v>
      </c>
      <c r="AO33" s="22">
        <v>3596600</v>
      </c>
      <c r="AP33" s="22">
        <v>4904000</v>
      </c>
      <c r="AQ33" s="22">
        <v>3977300</v>
      </c>
      <c r="AR33" s="22">
        <v>3826600</v>
      </c>
      <c r="AS33" s="22">
        <v>2354100</v>
      </c>
      <c r="AT33" s="22">
        <v>3499500</v>
      </c>
      <c r="AU33" s="22">
        <v>4445700</v>
      </c>
      <c r="AV33" s="22">
        <v>4806500</v>
      </c>
      <c r="AW33" s="22">
        <v>3047400</v>
      </c>
      <c r="AX33" s="22">
        <v>2499700</v>
      </c>
      <c r="AY33" s="22">
        <v>2567200</v>
      </c>
      <c r="AZ33" s="22">
        <v>4275500</v>
      </c>
      <c r="BA33" s="22">
        <v>5103600</v>
      </c>
      <c r="BB33" s="22">
        <v>8031200</v>
      </c>
      <c r="BC33" s="22">
        <v>7478100</v>
      </c>
      <c r="BD33" s="22">
        <v>5219900</v>
      </c>
      <c r="BE33" s="22">
        <v>5854600</v>
      </c>
      <c r="BF33" s="22">
        <v>3845100</v>
      </c>
      <c r="BG33" s="22">
        <v>6369800</v>
      </c>
      <c r="BH33" s="22">
        <v>7537900</v>
      </c>
      <c r="BI33" s="22">
        <v>3765400</v>
      </c>
      <c r="BJ33" s="22">
        <v>3918900</v>
      </c>
      <c r="BK33" s="22">
        <v>3990600</v>
      </c>
      <c r="BL33" s="22">
        <v>4720200</v>
      </c>
    </row>
    <row r="34" spans="1:64" ht="15.95" customHeight="1">
      <c r="A34" s="433" t="s">
        <v>291</v>
      </c>
      <c r="B34" s="49" t="s">
        <v>110</v>
      </c>
      <c r="C34" s="53">
        <f>_xll.RssMarket("5233","出来高")</f>
        <v>606300</v>
      </c>
      <c r="D34" s="220">
        <f t="shared" si="0"/>
        <v>0</v>
      </c>
      <c r="E34" s="218">
        <v>606300</v>
      </c>
      <c r="F34" s="22">
        <v>503700</v>
      </c>
      <c r="G34" s="22">
        <v>909000</v>
      </c>
      <c r="H34" s="22">
        <v>728500</v>
      </c>
      <c r="I34" s="22">
        <v>779900</v>
      </c>
      <c r="J34" s="22">
        <v>610100</v>
      </c>
      <c r="K34" s="22">
        <v>456500</v>
      </c>
      <c r="L34" s="22">
        <v>408700</v>
      </c>
      <c r="M34" s="22">
        <v>453900</v>
      </c>
      <c r="N34" s="22">
        <v>583600</v>
      </c>
      <c r="O34" s="22">
        <v>1436900</v>
      </c>
      <c r="P34" s="22">
        <v>865000</v>
      </c>
      <c r="Q34" s="22">
        <v>563600</v>
      </c>
      <c r="R34" s="22">
        <v>533400</v>
      </c>
      <c r="S34" s="22">
        <v>585000</v>
      </c>
      <c r="T34" s="22">
        <v>574900</v>
      </c>
      <c r="U34" s="22">
        <v>660200</v>
      </c>
      <c r="V34" s="22">
        <v>623400</v>
      </c>
      <c r="W34" s="22">
        <v>914900</v>
      </c>
      <c r="X34" s="22">
        <v>1020100</v>
      </c>
      <c r="Y34" s="22">
        <v>1157600</v>
      </c>
      <c r="Z34" s="22">
        <v>2078500</v>
      </c>
      <c r="AA34" s="22">
        <v>2207100</v>
      </c>
      <c r="AB34" s="22">
        <v>766600</v>
      </c>
      <c r="AC34" s="22">
        <v>766600</v>
      </c>
      <c r="AD34" s="22">
        <v>588200</v>
      </c>
      <c r="AE34" s="22">
        <v>764800</v>
      </c>
      <c r="AF34" s="22">
        <v>404700</v>
      </c>
      <c r="AG34" s="22">
        <v>633900</v>
      </c>
      <c r="AH34" s="22">
        <v>500100</v>
      </c>
      <c r="AI34" s="22">
        <v>639300</v>
      </c>
      <c r="AJ34" s="22">
        <v>455200</v>
      </c>
      <c r="AK34" s="22">
        <v>627400</v>
      </c>
      <c r="AL34" s="22">
        <v>336900</v>
      </c>
      <c r="AM34" s="22">
        <v>343900</v>
      </c>
      <c r="AN34" s="22">
        <v>548800</v>
      </c>
      <c r="AO34" s="22">
        <v>410400</v>
      </c>
      <c r="AP34" s="22">
        <v>502700</v>
      </c>
      <c r="AQ34" s="22">
        <v>569200</v>
      </c>
      <c r="AR34" s="22">
        <v>401800</v>
      </c>
      <c r="AS34" s="22">
        <v>431900</v>
      </c>
      <c r="AT34" s="22">
        <v>671000</v>
      </c>
      <c r="AU34" s="22">
        <v>796100</v>
      </c>
      <c r="AV34" s="22">
        <v>1125700</v>
      </c>
      <c r="AW34" s="22">
        <v>498000</v>
      </c>
      <c r="AX34" s="22">
        <v>493000</v>
      </c>
      <c r="AY34" s="22">
        <v>288500</v>
      </c>
      <c r="AZ34" s="22">
        <v>653500</v>
      </c>
      <c r="BA34" s="22">
        <v>648100</v>
      </c>
      <c r="BB34" s="22">
        <v>863000</v>
      </c>
      <c r="BC34" s="22">
        <v>600900</v>
      </c>
      <c r="BD34" s="22">
        <v>776800</v>
      </c>
      <c r="BE34" s="22">
        <v>782800</v>
      </c>
      <c r="BF34" s="22">
        <v>679500</v>
      </c>
      <c r="BG34" s="22">
        <v>1087500</v>
      </c>
      <c r="BH34" s="22">
        <v>1614200</v>
      </c>
      <c r="BI34" s="22">
        <v>353900</v>
      </c>
      <c r="BJ34" s="22">
        <v>573200</v>
      </c>
      <c r="BK34" s="22">
        <v>519000</v>
      </c>
      <c r="BL34" s="22">
        <v>670200</v>
      </c>
    </row>
    <row r="35" spans="1:64" ht="15.95" customHeight="1">
      <c r="A35" s="433" t="s">
        <v>292</v>
      </c>
      <c r="B35" s="49" t="s">
        <v>111</v>
      </c>
      <c r="C35" s="53">
        <f>_xll.RssMarket("8308","出来高")</f>
        <v>10336500</v>
      </c>
      <c r="D35" s="220">
        <f t="shared" si="0"/>
        <v>0</v>
      </c>
      <c r="E35" s="218">
        <v>10336500</v>
      </c>
      <c r="F35" s="22">
        <v>11756200</v>
      </c>
      <c r="G35" s="22">
        <v>11972000</v>
      </c>
      <c r="H35" s="22">
        <v>14673600</v>
      </c>
      <c r="I35" s="22">
        <v>11797200</v>
      </c>
      <c r="J35" s="22">
        <v>9733400</v>
      </c>
      <c r="K35" s="22">
        <v>8793900</v>
      </c>
      <c r="L35" s="22">
        <v>10316900</v>
      </c>
      <c r="M35" s="22">
        <v>7162100</v>
      </c>
      <c r="N35" s="22">
        <v>8197400</v>
      </c>
      <c r="O35" s="22">
        <v>9765600</v>
      </c>
      <c r="P35" s="22">
        <v>8129700</v>
      </c>
      <c r="Q35" s="22">
        <v>9183700</v>
      </c>
      <c r="R35" s="22">
        <v>6534900</v>
      </c>
      <c r="S35" s="22">
        <v>7337300</v>
      </c>
      <c r="T35" s="22">
        <v>11942000</v>
      </c>
      <c r="U35" s="22">
        <v>12149200</v>
      </c>
      <c r="V35" s="22">
        <v>8930900</v>
      </c>
      <c r="W35" s="22">
        <v>8484200</v>
      </c>
      <c r="X35" s="22">
        <v>10223500</v>
      </c>
      <c r="Y35" s="22">
        <v>8320400</v>
      </c>
      <c r="Z35" s="22">
        <v>10331200</v>
      </c>
      <c r="AA35" s="22">
        <v>9667900</v>
      </c>
      <c r="AB35" s="22">
        <v>9074400</v>
      </c>
      <c r="AC35" s="22">
        <v>9074400</v>
      </c>
      <c r="AD35" s="22">
        <v>9329900</v>
      </c>
      <c r="AE35" s="22">
        <v>12362900</v>
      </c>
      <c r="AF35" s="22">
        <v>5900900</v>
      </c>
      <c r="AG35" s="22">
        <v>12810700</v>
      </c>
      <c r="AH35" s="22">
        <v>16843800</v>
      </c>
      <c r="AI35" s="22">
        <v>5059300</v>
      </c>
      <c r="AJ35" s="22">
        <v>7046400</v>
      </c>
      <c r="AK35" s="22">
        <v>18447300</v>
      </c>
      <c r="AL35" s="22">
        <v>8762100</v>
      </c>
      <c r="AM35" s="22">
        <v>6738400</v>
      </c>
      <c r="AN35" s="22">
        <v>10064200</v>
      </c>
      <c r="AO35" s="22">
        <v>15280900</v>
      </c>
      <c r="AP35" s="22">
        <v>8546700</v>
      </c>
      <c r="AQ35" s="22">
        <v>10257900</v>
      </c>
      <c r="AR35" s="22">
        <v>6005200</v>
      </c>
      <c r="AS35" s="22">
        <v>4377100</v>
      </c>
      <c r="AT35" s="22">
        <v>7105700</v>
      </c>
      <c r="AU35" s="22">
        <v>7250800</v>
      </c>
      <c r="AV35" s="22">
        <v>8590300</v>
      </c>
      <c r="AW35" s="22">
        <v>5668400</v>
      </c>
      <c r="AX35" s="22">
        <v>4540300</v>
      </c>
      <c r="AY35" s="22">
        <v>3322000</v>
      </c>
      <c r="AZ35" s="22">
        <v>8626900</v>
      </c>
      <c r="BA35" s="22">
        <v>10820600</v>
      </c>
      <c r="BB35" s="22">
        <v>9333400</v>
      </c>
      <c r="BC35" s="22">
        <v>8805700</v>
      </c>
      <c r="BD35" s="22">
        <v>5436900</v>
      </c>
      <c r="BE35" s="22">
        <v>9652500</v>
      </c>
      <c r="BF35" s="22">
        <v>8429500</v>
      </c>
      <c r="BG35" s="22">
        <v>8531700</v>
      </c>
      <c r="BH35" s="22">
        <v>7351300</v>
      </c>
      <c r="BI35" s="22">
        <v>7333300</v>
      </c>
      <c r="BJ35" s="22">
        <v>4627400</v>
      </c>
      <c r="BK35" s="22">
        <v>7642100</v>
      </c>
      <c r="BL35" s="22">
        <v>10514700</v>
      </c>
    </row>
    <row r="36" spans="1:64" ht="15.95" customHeight="1">
      <c r="A36" s="433" t="s">
        <v>293</v>
      </c>
      <c r="B36" s="49" t="s">
        <v>112</v>
      </c>
      <c r="C36" s="53">
        <f>_xll.RssMarket("5938","出来高")</f>
        <v>1721200</v>
      </c>
      <c r="D36" s="220">
        <f t="shared" si="0"/>
        <v>0</v>
      </c>
      <c r="E36" s="218">
        <v>1721200</v>
      </c>
      <c r="F36" s="22">
        <v>1328400</v>
      </c>
      <c r="G36" s="22">
        <v>2242600</v>
      </c>
      <c r="H36" s="22">
        <v>1681600</v>
      </c>
      <c r="I36" s="22">
        <v>2358400</v>
      </c>
      <c r="J36" s="22">
        <v>2417400</v>
      </c>
      <c r="K36" s="22">
        <v>1383200</v>
      </c>
      <c r="L36" s="22">
        <v>1465300</v>
      </c>
      <c r="M36" s="22">
        <v>1888000</v>
      </c>
      <c r="N36" s="22">
        <v>2042200</v>
      </c>
      <c r="O36" s="22">
        <v>2790900</v>
      </c>
      <c r="P36" s="22">
        <v>1810900</v>
      </c>
      <c r="Q36" s="22">
        <v>1659800</v>
      </c>
      <c r="R36" s="22">
        <v>1394200</v>
      </c>
      <c r="S36" s="22">
        <v>1022700</v>
      </c>
      <c r="T36" s="22">
        <v>1297000</v>
      </c>
      <c r="U36" s="22">
        <v>2376800</v>
      </c>
      <c r="V36" s="22">
        <v>1383200</v>
      </c>
      <c r="W36" s="22">
        <v>1636800</v>
      </c>
      <c r="X36" s="22">
        <v>1694000</v>
      </c>
      <c r="Y36" s="22">
        <v>1620100</v>
      </c>
      <c r="Z36" s="22">
        <v>1285300</v>
      </c>
      <c r="AA36" s="22">
        <v>1666400</v>
      </c>
      <c r="AB36" s="22">
        <v>2120800</v>
      </c>
      <c r="AC36" s="22">
        <v>2120800</v>
      </c>
      <c r="AD36" s="22">
        <v>2687500</v>
      </c>
      <c r="AE36" s="22">
        <v>3711700</v>
      </c>
      <c r="AF36" s="22">
        <v>3850200</v>
      </c>
      <c r="AG36" s="22">
        <v>5742500</v>
      </c>
      <c r="AH36" s="22">
        <v>1792400</v>
      </c>
      <c r="AI36" s="22">
        <v>1477000</v>
      </c>
      <c r="AJ36" s="22">
        <v>1173700</v>
      </c>
      <c r="AK36" s="22">
        <v>4119200</v>
      </c>
      <c r="AL36" s="22">
        <v>1646600</v>
      </c>
      <c r="AM36" s="22">
        <v>1471100</v>
      </c>
      <c r="AN36" s="22">
        <v>1838100</v>
      </c>
      <c r="AO36" s="22">
        <v>2059200</v>
      </c>
      <c r="AP36" s="22">
        <v>2624400</v>
      </c>
      <c r="AQ36" s="22">
        <v>1958200</v>
      </c>
      <c r="AR36" s="22">
        <v>3155000</v>
      </c>
      <c r="AS36" s="22">
        <v>4855500</v>
      </c>
      <c r="AT36" s="22">
        <v>1458300</v>
      </c>
      <c r="AU36" s="22">
        <v>1413500</v>
      </c>
      <c r="AV36" s="22">
        <v>2104100</v>
      </c>
      <c r="AW36" s="22">
        <v>1414600</v>
      </c>
      <c r="AX36" s="22">
        <v>1348000</v>
      </c>
      <c r="AY36" s="22">
        <v>1436100</v>
      </c>
      <c r="AZ36" s="22">
        <v>2903700</v>
      </c>
      <c r="BA36" s="22">
        <v>1723400</v>
      </c>
      <c r="BB36" s="22">
        <v>3442800</v>
      </c>
      <c r="BC36" s="22">
        <v>3662800</v>
      </c>
      <c r="BD36" s="22">
        <v>2811400</v>
      </c>
      <c r="BE36" s="22">
        <v>3055900</v>
      </c>
      <c r="BF36" s="22">
        <v>3100600</v>
      </c>
      <c r="BG36" s="22">
        <v>4835300</v>
      </c>
      <c r="BH36" s="22">
        <v>6390200</v>
      </c>
      <c r="BI36" s="22">
        <v>1887000</v>
      </c>
      <c r="BJ36" s="22">
        <v>1772000</v>
      </c>
      <c r="BK36" s="22">
        <v>4055700</v>
      </c>
      <c r="BL36" s="22">
        <v>2268200</v>
      </c>
    </row>
    <row r="37" spans="1:64" ht="15.95" customHeight="1">
      <c r="A37" s="433" t="s">
        <v>294</v>
      </c>
      <c r="B37" s="49" t="s">
        <v>113</v>
      </c>
      <c r="C37" s="53">
        <f>_xll.RssMarket("8570","出来高")</f>
        <v>338900</v>
      </c>
      <c r="D37" s="220">
        <f t="shared" si="0"/>
        <v>0</v>
      </c>
      <c r="E37" s="218">
        <v>338900</v>
      </c>
      <c r="F37" s="22">
        <v>326000</v>
      </c>
      <c r="G37" s="22">
        <v>595600</v>
      </c>
      <c r="H37" s="22">
        <v>448600</v>
      </c>
      <c r="I37" s="22">
        <v>787900</v>
      </c>
      <c r="J37" s="22">
        <v>552000</v>
      </c>
      <c r="K37" s="22">
        <v>589600</v>
      </c>
      <c r="L37" s="22">
        <v>577500</v>
      </c>
      <c r="M37" s="22">
        <v>523100</v>
      </c>
      <c r="N37" s="22">
        <v>539600</v>
      </c>
      <c r="O37" s="22">
        <v>785000</v>
      </c>
      <c r="P37" s="22">
        <v>689200</v>
      </c>
      <c r="Q37" s="22">
        <v>517300</v>
      </c>
      <c r="R37" s="22">
        <v>568400</v>
      </c>
      <c r="S37" s="22">
        <v>474000</v>
      </c>
      <c r="T37" s="22">
        <v>609400</v>
      </c>
      <c r="U37" s="22">
        <v>731900</v>
      </c>
      <c r="V37" s="22">
        <v>865400</v>
      </c>
      <c r="W37" s="22">
        <v>714400</v>
      </c>
      <c r="X37" s="22">
        <v>744700</v>
      </c>
      <c r="Y37" s="22">
        <v>571700</v>
      </c>
      <c r="Z37" s="22">
        <v>503200</v>
      </c>
      <c r="AA37" s="22">
        <v>435100</v>
      </c>
      <c r="AB37" s="22">
        <v>600700</v>
      </c>
      <c r="AC37" s="22">
        <v>600700</v>
      </c>
      <c r="AD37" s="22">
        <v>1122500</v>
      </c>
      <c r="AE37" s="22">
        <v>837400</v>
      </c>
      <c r="AF37" s="22">
        <v>539300</v>
      </c>
      <c r="AG37" s="22">
        <v>749300</v>
      </c>
      <c r="AH37" s="22">
        <v>465500</v>
      </c>
      <c r="AI37" s="22">
        <v>471100</v>
      </c>
      <c r="AJ37" s="22">
        <v>508100</v>
      </c>
      <c r="AK37" s="22">
        <v>575900</v>
      </c>
      <c r="AL37" s="22">
        <v>816800</v>
      </c>
      <c r="AM37" s="22">
        <v>574800</v>
      </c>
      <c r="AN37" s="22">
        <v>460700</v>
      </c>
      <c r="AO37" s="22">
        <v>553600</v>
      </c>
      <c r="AP37" s="22">
        <v>583700</v>
      </c>
      <c r="AQ37" s="22">
        <v>521200</v>
      </c>
      <c r="AR37" s="22">
        <v>733000</v>
      </c>
      <c r="AS37" s="22">
        <v>1286200</v>
      </c>
      <c r="AT37" s="22">
        <v>1275000</v>
      </c>
      <c r="AU37" s="22">
        <v>3418500</v>
      </c>
      <c r="AV37" s="22">
        <v>565900</v>
      </c>
      <c r="AW37" s="22">
        <v>272000</v>
      </c>
      <c r="AX37" s="22">
        <v>239300</v>
      </c>
      <c r="AY37" s="22">
        <v>226900</v>
      </c>
      <c r="AZ37" s="22">
        <v>294600</v>
      </c>
      <c r="BA37" s="22">
        <v>349900</v>
      </c>
      <c r="BB37" s="22">
        <v>605800</v>
      </c>
      <c r="BC37" s="22">
        <v>460700</v>
      </c>
      <c r="BD37" s="22">
        <v>330300</v>
      </c>
      <c r="BE37" s="22">
        <v>358400</v>
      </c>
      <c r="BF37" s="22">
        <v>347000</v>
      </c>
      <c r="BG37" s="22">
        <v>443900</v>
      </c>
      <c r="BH37" s="22">
        <v>343100</v>
      </c>
      <c r="BI37" s="22">
        <v>331400</v>
      </c>
      <c r="BJ37" s="22">
        <v>272100</v>
      </c>
      <c r="BK37" s="22">
        <v>269600</v>
      </c>
      <c r="BL37" s="22">
        <v>441800</v>
      </c>
    </row>
    <row r="38" spans="1:64" ht="15.95" customHeight="1">
      <c r="A38" s="433" t="s">
        <v>295</v>
      </c>
      <c r="B38" s="49" t="s">
        <v>114</v>
      </c>
      <c r="C38" s="53">
        <f>_xll.RssMarket("5406","出来高")</f>
        <v>1310000</v>
      </c>
      <c r="D38" s="220">
        <f t="shared" si="0"/>
        <v>0</v>
      </c>
      <c r="E38" s="218">
        <v>1310000</v>
      </c>
      <c r="F38" s="22">
        <v>1124000</v>
      </c>
      <c r="G38" s="22">
        <v>2761200</v>
      </c>
      <c r="H38" s="22">
        <v>1777900</v>
      </c>
      <c r="I38" s="22">
        <v>1619400</v>
      </c>
      <c r="J38" s="22">
        <v>2268500</v>
      </c>
      <c r="K38" s="22">
        <v>1724300</v>
      </c>
      <c r="L38" s="22">
        <v>1785000</v>
      </c>
      <c r="M38" s="22">
        <v>1379700</v>
      </c>
      <c r="N38" s="22">
        <v>1761500</v>
      </c>
      <c r="O38" s="22">
        <v>2512100</v>
      </c>
      <c r="P38" s="22">
        <v>1853000</v>
      </c>
      <c r="Q38" s="22">
        <v>2515400</v>
      </c>
      <c r="R38" s="22">
        <v>1639900</v>
      </c>
      <c r="S38" s="22">
        <v>1886300</v>
      </c>
      <c r="T38" s="22">
        <v>1894000</v>
      </c>
      <c r="U38" s="22">
        <v>2091100</v>
      </c>
      <c r="V38" s="22">
        <v>2464500</v>
      </c>
      <c r="W38" s="22">
        <v>2079800</v>
      </c>
      <c r="X38" s="22">
        <v>1834800</v>
      </c>
      <c r="Y38" s="22">
        <v>2061400</v>
      </c>
      <c r="Z38" s="22">
        <v>2340700</v>
      </c>
      <c r="AA38" s="22">
        <v>3805000</v>
      </c>
      <c r="AB38" s="22">
        <v>9319400</v>
      </c>
      <c r="AC38" s="22">
        <v>9319400</v>
      </c>
      <c r="AD38" s="22">
        <v>3010900</v>
      </c>
      <c r="AE38" s="22">
        <v>4574800</v>
      </c>
      <c r="AF38" s="22">
        <v>2241100</v>
      </c>
      <c r="AG38" s="22">
        <v>3457100</v>
      </c>
      <c r="AH38" s="22">
        <v>1905900</v>
      </c>
      <c r="AI38" s="22">
        <v>1833800</v>
      </c>
      <c r="AJ38" s="22">
        <v>1590600</v>
      </c>
      <c r="AK38" s="22">
        <v>2007300</v>
      </c>
      <c r="AL38" s="22">
        <v>1732700</v>
      </c>
      <c r="AM38" s="22">
        <v>1367300</v>
      </c>
      <c r="AN38" s="22">
        <v>1582300</v>
      </c>
      <c r="AO38" s="22">
        <v>1626400</v>
      </c>
      <c r="AP38" s="22">
        <v>1222600</v>
      </c>
      <c r="AQ38" s="22">
        <v>1654400</v>
      </c>
      <c r="AR38" s="22">
        <v>1364900</v>
      </c>
      <c r="AS38" s="22">
        <v>1455100</v>
      </c>
      <c r="AT38" s="22">
        <v>1344600</v>
      </c>
      <c r="AU38" s="22">
        <v>2103500</v>
      </c>
      <c r="AV38" s="22">
        <v>2863500</v>
      </c>
      <c r="AW38" s="22">
        <v>1463100</v>
      </c>
      <c r="AX38" s="22">
        <v>872000</v>
      </c>
      <c r="AY38" s="22">
        <v>1123700</v>
      </c>
      <c r="AZ38" s="22">
        <v>2162900</v>
      </c>
      <c r="BA38" s="22">
        <v>2232200</v>
      </c>
      <c r="BB38" s="22">
        <v>2682200</v>
      </c>
      <c r="BC38" s="22">
        <v>2974300</v>
      </c>
      <c r="BD38" s="22">
        <v>3010200</v>
      </c>
      <c r="BE38" s="22">
        <v>4155200</v>
      </c>
      <c r="BF38" s="22">
        <v>1706500</v>
      </c>
      <c r="BG38" s="22">
        <v>3054100</v>
      </c>
      <c r="BH38" s="22">
        <v>5031500</v>
      </c>
      <c r="BI38" s="22">
        <v>1718100</v>
      </c>
      <c r="BJ38" s="22">
        <v>1653500</v>
      </c>
      <c r="BK38" s="22">
        <v>1938700</v>
      </c>
      <c r="BL38" s="22">
        <v>1961400</v>
      </c>
    </row>
    <row r="39" spans="1:64" ht="15.95" customHeight="1">
      <c r="A39" s="433" t="s">
        <v>296</v>
      </c>
      <c r="B39" s="49" t="s">
        <v>115</v>
      </c>
      <c r="C39" s="53">
        <f>_xll.RssMarket("8593","出来高")</f>
        <v>3327500</v>
      </c>
      <c r="D39" s="220">
        <f t="shared" si="0"/>
        <v>0</v>
      </c>
      <c r="E39" s="218">
        <v>3327500</v>
      </c>
      <c r="F39" s="22">
        <v>4749600</v>
      </c>
      <c r="G39" s="22">
        <v>5116300</v>
      </c>
      <c r="H39" s="22">
        <v>5220600</v>
      </c>
      <c r="I39" s="22">
        <v>5799200</v>
      </c>
      <c r="J39" s="22">
        <v>7062800</v>
      </c>
      <c r="K39" s="22">
        <v>5135100</v>
      </c>
      <c r="L39" s="22">
        <v>5191100</v>
      </c>
      <c r="M39" s="22">
        <v>5407100</v>
      </c>
      <c r="N39" s="22">
        <v>7450800</v>
      </c>
      <c r="O39" s="22">
        <v>9865400</v>
      </c>
      <c r="P39" s="22">
        <v>4673600</v>
      </c>
      <c r="Q39" s="22">
        <v>6031000</v>
      </c>
      <c r="R39" s="22">
        <v>6336100</v>
      </c>
      <c r="S39" s="22">
        <v>6875400</v>
      </c>
      <c r="T39" s="22">
        <v>5670200</v>
      </c>
      <c r="U39" s="22">
        <v>6771200</v>
      </c>
      <c r="V39" s="22">
        <v>7851100</v>
      </c>
      <c r="W39" s="22">
        <v>16020200</v>
      </c>
      <c r="X39" s="22">
        <v>4716600</v>
      </c>
      <c r="Y39" s="22">
        <v>3255300</v>
      </c>
      <c r="Z39" s="22">
        <v>3582500</v>
      </c>
      <c r="AA39" s="22">
        <v>3990700</v>
      </c>
      <c r="AB39" s="22">
        <v>2973000</v>
      </c>
      <c r="AC39" s="22">
        <v>2973000</v>
      </c>
      <c r="AD39" s="22">
        <v>3753900</v>
      </c>
      <c r="AE39" s="22">
        <v>5815300</v>
      </c>
      <c r="AF39" s="22">
        <v>3110200</v>
      </c>
      <c r="AG39" s="22">
        <v>3725000</v>
      </c>
      <c r="AH39" s="22">
        <v>3212200</v>
      </c>
      <c r="AI39" s="22">
        <v>3319400</v>
      </c>
      <c r="AJ39" s="22">
        <v>2614200</v>
      </c>
      <c r="AK39" s="22">
        <v>3759500</v>
      </c>
      <c r="AL39" s="22">
        <v>2728700</v>
      </c>
      <c r="AM39" s="22">
        <v>3886000</v>
      </c>
      <c r="AN39" s="22">
        <v>3404200</v>
      </c>
      <c r="AO39" s="22">
        <v>2123000</v>
      </c>
      <c r="AP39" s="22">
        <v>3934300</v>
      </c>
      <c r="AQ39" s="22">
        <v>3088100</v>
      </c>
      <c r="AR39" s="22">
        <v>2722900</v>
      </c>
      <c r="AS39" s="22">
        <v>2247400</v>
      </c>
      <c r="AT39" s="22">
        <v>3247800</v>
      </c>
      <c r="AU39" s="22">
        <v>5070800</v>
      </c>
      <c r="AV39" s="22">
        <v>5210900</v>
      </c>
      <c r="AW39" s="22">
        <v>2902200</v>
      </c>
      <c r="AX39" s="22">
        <v>3080400</v>
      </c>
      <c r="AY39" s="22">
        <v>2446200</v>
      </c>
      <c r="AZ39" s="22">
        <v>4728300</v>
      </c>
      <c r="BA39" s="22">
        <v>3797400</v>
      </c>
      <c r="BB39" s="22">
        <v>5679200</v>
      </c>
      <c r="BC39" s="22">
        <v>5784200</v>
      </c>
      <c r="BD39" s="22">
        <v>3972900</v>
      </c>
      <c r="BE39" s="22">
        <v>3955100</v>
      </c>
      <c r="BF39" s="22">
        <v>3460300</v>
      </c>
      <c r="BG39" s="22">
        <v>5131700</v>
      </c>
      <c r="BH39" s="22">
        <v>4292300</v>
      </c>
      <c r="BI39" s="22">
        <v>3353300</v>
      </c>
      <c r="BJ39" s="22">
        <v>2520300</v>
      </c>
      <c r="BK39" s="22">
        <v>2779600</v>
      </c>
      <c r="BL39" s="22">
        <v>3471500</v>
      </c>
    </row>
    <row r="40" spans="1:64" ht="15.95" customHeight="1">
      <c r="A40" s="433" t="s">
        <v>297</v>
      </c>
      <c r="B40" s="49" t="s">
        <v>116</v>
      </c>
      <c r="C40" s="53">
        <f>_xll.RssMarket("8604","出来高")</f>
        <v>14384100</v>
      </c>
      <c r="D40" s="220">
        <f t="shared" si="0"/>
        <v>0</v>
      </c>
      <c r="E40" s="218">
        <v>14384100</v>
      </c>
      <c r="F40" s="22">
        <v>7963300</v>
      </c>
      <c r="G40" s="22">
        <v>9797400</v>
      </c>
      <c r="H40" s="22">
        <v>7003100</v>
      </c>
      <c r="I40" s="22">
        <v>8660800</v>
      </c>
      <c r="J40" s="22">
        <v>12836900</v>
      </c>
      <c r="K40" s="22">
        <v>11799500</v>
      </c>
      <c r="L40" s="22">
        <v>8917400</v>
      </c>
      <c r="M40" s="22">
        <v>13692100</v>
      </c>
      <c r="N40" s="22">
        <v>11946000</v>
      </c>
      <c r="O40" s="22">
        <v>29233700</v>
      </c>
      <c r="P40" s="22">
        <v>11733700</v>
      </c>
      <c r="Q40" s="22">
        <v>8483800</v>
      </c>
      <c r="R40" s="22">
        <v>8148600</v>
      </c>
      <c r="S40" s="22">
        <v>8912800</v>
      </c>
      <c r="T40" s="22">
        <v>9575300</v>
      </c>
      <c r="U40" s="22">
        <v>8852000</v>
      </c>
      <c r="V40" s="22">
        <v>7838300</v>
      </c>
      <c r="W40" s="22">
        <v>6858500</v>
      </c>
      <c r="X40" s="22">
        <v>7345900</v>
      </c>
      <c r="Y40" s="22">
        <v>10564100</v>
      </c>
      <c r="Z40" s="22">
        <v>9756900</v>
      </c>
      <c r="AA40" s="22">
        <v>10219100</v>
      </c>
      <c r="AB40" s="22">
        <v>9077100</v>
      </c>
      <c r="AC40" s="22">
        <v>9077100</v>
      </c>
      <c r="AD40" s="22">
        <v>13871000</v>
      </c>
      <c r="AE40" s="22">
        <v>22906700</v>
      </c>
      <c r="AF40" s="22">
        <v>11373000</v>
      </c>
      <c r="AG40" s="22">
        <v>17254600</v>
      </c>
      <c r="AH40" s="22">
        <v>23120300</v>
      </c>
      <c r="AI40" s="22">
        <v>21603700</v>
      </c>
      <c r="AJ40" s="22">
        <v>8661500</v>
      </c>
      <c r="AK40" s="22">
        <v>9157800</v>
      </c>
      <c r="AL40" s="22">
        <v>7073400</v>
      </c>
      <c r="AM40" s="22">
        <v>6874500</v>
      </c>
      <c r="AN40" s="22">
        <v>6905300</v>
      </c>
      <c r="AO40" s="22">
        <v>10668900</v>
      </c>
      <c r="AP40" s="22">
        <v>15801200</v>
      </c>
      <c r="AQ40" s="22">
        <v>15002200</v>
      </c>
      <c r="AR40" s="22">
        <v>10036000</v>
      </c>
      <c r="AS40" s="22">
        <v>8041800</v>
      </c>
      <c r="AT40" s="22">
        <v>10624500</v>
      </c>
      <c r="AU40" s="22">
        <v>12050700</v>
      </c>
      <c r="AV40" s="22">
        <v>15230400</v>
      </c>
      <c r="AW40" s="22">
        <v>8709700</v>
      </c>
      <c r="AX40" s="22">
        <v>6249500</v>
      </c>
      <c r="AY40" s="22">
        <v>6862700</v>
      </c>
      <c r="AZ40" s="22">
        <v>11399200</v>
      </c>
      <c r="BA40" s="22">
        <v>12644000</v>
      </c>
      <c r="BB40" s="22">
        <v>14024000</v>
      </c>
      <c r="BC40" s="22">
        <v>14564700</v>
      </c>
      <c r="BD40" s="22">
        <v>10707500</v>
      </c>
      <c r="BE40" s="22">
        <v>12925200</v>
      </c>
      <c r="BF40" s="22">
        <v>12777300</v>
      </c>
      <c r="BG40" s="22">
        <v>16007300</v>
      </c>
      <c r="BH40" s="22">
        <v>14061900</v>
      </c>
      <c r="BI40" s="22">
        <v>14477900</v>
      </c>
      <c r="BJ40" s="22">
        <v>11133900</v>
      </c>
      <c r="BK40" s="22">
        <v>13273800</v>
      </c>
      <c r="BL40" s="22">
        <v>19091900</v>
      </c>
    </row>
    <row r="41" spans="1:64" ht="15.95" customHeight="1">
      <c r="A41" s="433" t="s">
        <v>298</v>
      </c>
      <c r="B41" s="49" t="s">
        <v>117</v>
      </c>
      <c r="C41" s="53">
        <f>_xll.RssMarket("3861","出来高")</f>
        <v>3088900</v>
      </c>
      <c r="D41" s="220">
        <f t="shared" si="0"/>
        <v>0</v>
      </c>
      <c r="E41" s="218">
        <v>3088900</v>
      </c>
      <c r="F41" s="22">
        <v>3324800</v>
      </c>
      <c r="G41" s="22">
        <v>3915300</v>
      </c>
      <c r="H41" s="22">
        <v>3235000</v>
      </c>
      <c r="I41" s="22">
        <v>5631600</v>
      </c>
      <c r="J41" s="22">
        <v>3445300</v>
      </c>
      <c r="K41" s="22">
        <v>3980500</v>
      </c>
      <c r="L41" s="22">
        <v>2974900</v>
      </c>
      <c r="M41" s="22">
        <v>3552900</v>
      </c>
      <c r="N41" s="22">
        <v>4386700</v>
      </c>
      <c r="O41" s="22">
        <v>5235200</v>
      </c>
      <c r="P41" s="22">
        <v>4485400</v>
      </c>
      <c r="Q41" s="22">
        <v>4917500</v>
      </c>
      <c r="R41" s="22">
        <v>4363400</v>
      </c>
      <c r="S41" s="22">
        <v>5529200</v>
      </c>
      <c r="T41" s="22">
        <v>5327100</v>
      </c>
      <c r="U41" s="22">
        <v>5082400</v>
      </c>
      <c r="V41" s="22">
        <v>6241200</v>
      </c>
      <c r="W41" s="22">
        <v>7101000</v>
      </c>
      <c r="X41" s="22">
        <v>9304700</v>
      </c>
      <c r="Y41" s="22">
        <v>5319700</v>
      </c>
      <c r="Z41" s="22">
        <v>3422600</v>
      </c>
      <c r="AA41" s="22">
        <v>3739000</v>
      </c>
      <c r="AB41" s="22">
        <v>3546700</v>
      </c>
      <c r="AC41" s="22">
        <v>3546700</v>
      </c>
      <c r="AD41" s="22">
        <v>4290700</v>
      </c>
      <c r="AE41" s="22">
        <v>5218600</v>
      </c>
      <c r="AF41" s="22">
        <v>3194600</v>
      </c>
      <c r="AG41" s="22">
        <v>4309500</v>
      </c>
      <c r="AH41" s="22">
        <v>3851900</v>
      </c>
      <c r="AI41" s="22">
        <v>3970300</v>
      </c>
      <c r="AJ41" s="22">
        <v>3016400</v>
      </c>
      <c r="AK41" s="22">
        <v>5059400</v>
      </c>
      <c r="AL41" s="22">
        <v>2990500</v>
      </c>
      <c r="AM41" s="22">
        <v>3921200</v>
      </c>
      <c r="AN41" s="22">
        <v>4718400</v>
      </c>
      <c r="AO41" s="22">
        <v>4314900</v>
      </c>
      <c r="AP41" s="22">
        <v>4812500</v>
      </c>
      <c r="AQ41" s="22">
        <v>3932300</v>
      </c>
      <c r="AR41" s="22">
        <v>3473200</v>
      </c>
      <c r="AS41" s="22">
        <v>4305100</v>
      </c>
      <c r="AT41" s="22">
        <v>4326500</v>
      </c>
      <c r="AU41" s="22">
        <v>3472000</v>
      </c>
      <c r="AV41" s="22">
        <v>5718700</v>
      </c>
      <c r="AW41" s="22">
        <v>3468100</v>
      </c>
      <c r="AX41" s="22">
        <v>3112600</v>
      </c>
      <c r="AY41" s="22">
        <v>3573100</v>
      </c>
      <c r="AZ41" s="22">
        <v>4344400</v>
      </c>
      <c r="BA41" s="22">
        <v>6153500</v>
      </c>
      <c r="BB41" s="22">
        <v>5476900</v>
      </c>
      <c r="BC41" s="22">
        <v>5424300</v>
      </c>
      <c r="BD41" s="22">
        <v>5635200</v>
      </c>
      <c r="BE41" s="22">
        <v>4287900</v>
      </c>
      <c r="BF41" s="22">
        <v>4619400</v>
      </c>
      <c r="BG41" s="22">
        <v>7471700</v>
      </c>
      <c r="BH41" s="22">
        <v>8403300</v>
      </c>
      <c r="BI41" s="22">
        <v>3437800</v>
      </c>
      <c r="BJ41" s="22">
        <v>2285900</v>
      </c>
      <c r="BK41" s="22">
        <v>3214000</v>
      </c>
      <c r="BL41" s="22">
        <v>3564200</v>
      </c>
    </row>
    <row r="42" spans="1:64" ht="15.95" customHeight="1">
      <c r="A42" s="433" t="s">
        <v>299</v>
      </c>
      <c r="B42" s="49" t="s">
        <v>118</v>
      </c>
      <c r="C42" s="53">
        <f>_xll.RssMarket("5947","出来高")</f>
        <v>423300</v>
      </c>
      <c r="D42" s="220">
        <f t="shared" si="0"/>
        <v>0</v>
      </c>
      <c r="E42" s="218">
        <v>423300</v>
      </c>
      <c r="F42" s="22">
        <v>528600</v>
      </c>
      <c r="G42" s="22">
        <v>551600</v>
      </c>
      <c r="H42" s="22">
        <v>229900</v>
      </c>
      <c r="I42" s="22">
        <v>385400</v>
      </c>
      <c r="J42" s="22">
        <v>463400</v>
      </c>
      <c r="K42" s="22">
        <v>498600</v>
      </c>
      <c r="L42" s="22">
        <v>467400</v>
      </c>
      <c r="M42" s="22">
        <v>389200</v>
      </c>
      <c r="N42" s="22">
        <v>410200</v>
      </c>
      <c r="O42" s="22">
        <v>462500</v>
      </c>
      <c r="P42" s="22">
        <v>353700</v>
      </c>
      <c r="Q42" s="22">
        <v>484700</v>
      </c>
      <c r="R42" s="22">
        <v>363800</v>
      </c>
      <c r="S42" s="22">
        <v>375300</v>
      </c>
      <c r="T42" s="22">
        <v>337100</v>
      </c>
      <c r="U42" s="22">
        <v>444600</v>
      </c>
      <c r="V42" s="22">
        <v>677500</v>
      </c>
      <c r="W42" s="22">
        <v>522000</v>
      </c>
      <c r="X42" s="22">
        <v>624200</v>
      </c>
      <c r="Y42" s="22">
        <v>603300</v>
      </c>
      <c r="Z42" s="22">
        <v>955200</v>
      </c>
      <c r="AA42" s="22">
        <v>1975200</v>
      </c>
      <c r="AB42" s="22">
        <v>426800</v>
      </c>
      <c r="AC42" s="22">
        <v>426800</v>
      </c>
      <c r="AD42" s="22">
        <v>499300</v>
      </c>
      <c r="AE42" s="22">
        <v>673900</v>
      </c>
      <c r="AF42" s="22">
        <v>277900</v>
      </c>
      <c r="AG42" s="22">
        <v>333600</v>
      </c>
      <c r="AH42" s="22">
        <v>417900</v>
      </c>
      <c r="AI42" s="22">
        <v>288300</v>
      </c>
      <c r="AJ42" s="22">
        <v>266200</v>
      </c>
      <c r="AK42" s="22">
        <v>338100</v>
      </c>
      <c r="AL42" s="22">
        <v>440700</v>
      </c>
      <c r="AM42" s="22">
        <v>329800</v>
      </c>
      <c r="AN42" s="22">
        <v>259200</v>
      </c>
      <c r="AO42" s="22">
        <v>482200</v>
      </c>
      <c r="AP42" s="22">
        <v>630800</v>
      </c>
      <c r="AQ42" s="22">
        <v>411800</v>
      </c>
      <c r="AR42" s="22">
        <v>530300</v>
      </c>
      <c r="AS42" s="22">
        <v>260200</v>
      </c>
      <c r="AT42" s="22">
        <v>234000</v>
      </c>
      <c r="AU42" s="22">
        <v>320800</v>
      </c>
      <c r="AV42" s="22">
        <v>358900</v>
      </c>
      <c r="AW42" s="22">
        <v>229500</v>
      </c>
      <c r="AX42" s="22">
        <v>150500</v>
      </c>
      <c r="AY42" s="22">
        <v>240900</v>
      </c>
      <c r="AZ42" s="22">
        <v>388500</v>
      </c>
      <c r="BA42" s="22">
        <v>267000</v>
      </c>
      <c r="BB42" s="22">
        <v>380900</v>
      </c>
      <c r="BC42" s="22">
        <v>349600</v>
      </c>
      <c r="BD42" s="22">
        <v>281900</v>
      </c>
      <c r="BE42" s="22">
        <v>235600</v>
      </c>
      <c r="BF42" s="22">
        <v>246300</v>
      </c>
      <c r="BG42" s="22">
        <v>293800</v>
      </c>
      <c r="BH42" s="22">
        <v>580900</v>
      </c>
      <c r="BI42" s="22">
        <v>204000</v>
      </c>
      <c r="BJ42" s="22">
        <v>283500</v>
      </c>
      <c r="BK42" s="22">
        <v>217700</v>
      </c>
      <c r="BL42" s="22">
        <v>254700</v>
      </c>
    </row>
    <row r="43" spans="1:64" ht="15.95" customHeight="1">
      <c r="A43" s="433" t="s">
        <v>300</v>
      </c>
      <c r="B43" s="49" t="s">
        <v>119</v>
      </c>
      <c r="C43" s="53">
        <f>_xll.RssMarket("8750","出来高")</f>
        <v>7912400</v>
      </c>
      <c r="D43" s="220">
        <f t="shared" si="0"/>
        <v>0</v>
      </c>
      <c r="E43" s="218">
        <v>7912400</v>
      </c>
      <c r="F43" s="22">
        <v>7976800</v>
      </c>
      <c r="G43" s="22">
        <v>13913200</v>
      </c>
      <c r="H43" s="22">
        <v>11898400</v>
      </c>
      <c r="I43" s="22">
        <v>11528200</v>
      </c>
      <c r="J43" s="22">
        <v>8437200</v>
      </c>
      <c r="K43" s="22">
        <v>7078800</v>
      </c>
      <c r="L43" s="22">
        <v>7555700</v>
      </c>
      <c r="M43" s="22">
        <v>6635000</v>
      </c>
      <c r="N43" s="22">
        <v>8481000</v>
      </c>
      <c r="O43" s="22">
        <v>15798700</v>
      </c>
      <c r="P43" s="22">
        <v>8358500</v>
      </c>
      <c r="Q43" s="22">
        <v>6468500</v>
      </c>
      <c r="R43" s="22">
        <v>6876300</v>
      </c>
      <c r="S43" s="22">
        <v>7082000</v>
      </c>
      <c r="T43" s="22">
        <v>8171500</v>
      </c>
      <c r="U43" s="22">
        <v>9910000</v>
      </c>
      <c r="V43" s="22">
        <v>12716700</v>
      </c>
      <c r="W43" s="22">
        <v>12818600</v>
      </c>
      <c r="X43" s="22">
        <v>19665600</v>
      </c>
      <c r="Y43" s="22">
        <v>5398100</v>
      </c>
      <c r="Z43" s="22">
        <v>5699100</v>
      </c>
      <c r="AA43" s="22">
        <v>7143700</v>
      </c>
      <c r="AB43" s="22">
        <v>5386700</v>
      </c>
      <c r="AC43" s="22">
        <v>5386700</v>
      </c>
      <c r="AD43" s="22">
        <v>7859000</v>
      </c>
      <c r="AE43" s="22">
        <v>10883000</v>
      </c>
      <c r="AF43" s="22">
        <v>5876800</v>
      </c>
      <c r="AG43" s="22">
        <v>10343800</v>
      </c>
      <c r="AH43" s="22">
        <v>16390000</v>
      </c>
      <c r="AI43" s="22">
        <v>7455500</v>
      </c>
      <c r="AJ43" s="22">
        <v>5906500</v>
      </c>
      <c r="AK43" s="22">
        <v>10780500</v>
      </c>
      <c r="AL43" s="22">
        <v>6118500</v>
      </c>
      <c r="AM43" s="22">
        <v>6099000</v>
      </c>
      <c r="AN43" s="22">
        <v>6089900</v>
      </c>
      <c r="AO43" s="22">
        <v>8475400</v>
      </c>
      <c r="AP43" s="22">
        <v>6269400</v>
      </c>
      <c r="AQ43" s="22">
        <v>6671200</v>
      </c>
      <c r="AR43" s="22">
        <v>6928700</v>
      </c>
      <c r="AS43" s="22">
        <v>5783700</v>
      </c>
      <c r="AT43" s="22">
        <v>6342300</v>
      </c>
      <c r="AU43" s="22">
        <v>8342200</v>
      </c>
      <c r="AV43" s="22">
        <v>9485500</v>
      </c>
      <c r="AW43" s="22">
        <v>7254000</v>
      </c>
      <c r="AX43" s="22">
        <v>5876300</v>
      </c>
      <c r="AY43" s="22">
        <v>3924000</v>
      </c>
      <c r="AZ43" s="22">
        <v>8395800</v>
      </c>
      <c r="BA43" s="22">
        <v>10937000</v>
      </c>
      <c r="BB43" s="22">
        <v>12018900</v>
      </c>
      <c r="BC43" s="22">
        <v>12062600</v>
      </c>
      <c r="BD43" s="22">
        <v>8449300</v>
      </c>
      <c r="BE43" s="22">
        <v>13432500</v>
      </c>
      <c r="BF43" s="22">
        <v>11663800</v>
      </c>
      <c r="BG43" s="22">
        <v>10356100</v>
      </c>
      <c r="BH43" s="22">
        <v>13546600</v>
      </c>
      <c r="BI43" s="22">
        <v>8541600</v>
      </c>
      <c r="BJ43" s="22">
        <v>5209800</v>
      </c>
      <c r="BK43" s="22">
        <v>5405100</v>
      </c>
      <c r="BL43" s="22">
        <v>9038900</v>
      </c>
    </row>
    <row r="44" spans="1:64" ht="15.95" customHeight="1">
      <c r="A44" s="433" t="s">
        <v>301</v>
      </c>
      <c r="B44" s="49" t="s">
        <v>120</v>
      </c>
      <c r="C44" s="53">
        <f>_xll.RssMarket("3402","出来高")</f>
        <v>2949300</v>
      </c>
      <c r="D44" s="220">
        <f t="shared" si="0"/>
        <v>0</v>
      </c>
      <c r="E44" s="218">
        <v>2949300</v>
      </c>
      <c r="F44" s="22">
        <v>3937500</v>
      </c>
      <c r="G44" s="22">
        <v>4808200</v>
      </c>
      <c r="H44" s="22">
        <v>4144200</v>
      </c>
      <c r="I44" s="22">
        <v>4143700</v>
      </c>
      <c r="J44" s="22">
        <v>4746100</v>
      </c>
      <c r="K44" s="22">
        <v>4232400</v>
      </c>
      <c r="L44" s="22">
        <v>3980900</v>
      </c>
      <c r="M44" s="22">
        <v>4798200</v>
      </c>
      <c r="N44" s="22">
        <v>5880000</v>
      </c>
      <c r="O44" s="22">
        <v>14393000</v>
      </c>
      <c r="P44" s="22">
        <v>4435400</v>
      </c>
      <c r="Q44" s="22">
        <v>4856800</v>
      </c>
      <c r="R44" s="22">
        <v>5208000</v>
      </c>
      <c r="S44" s="22">
        <v>3723800</v>
      </c>
      <c r="T44" s="22">
        <v>3639000</v>
      </c>
      <c r="U44" s="22">
        <v>4727600</v>
      </c>
      <c r="V44" s="22">
        <v>5977400</v>
      </c>
      <c r="W44" s="22">
        <v>6357200</v>
      </c>
      <c r="X44" s="22">
        <v>5128200</v>
      </c>
      <c r="Y44" s="22">
        <v>7980600</v>
      </c>
      <c r="Z44" s="22">
        <v>15095100</v>
      </c>
      <c r="AA44" s="22">
        <v>3594000</v>
      </c>
      <c r="AB44" s="22">
        <v>3779400</v>
      </c>
      <c r="AC44" s="22">
        <v>3779400</v>
      </c>
      <c r="AD44" s="22">
        <v>4860500</v>
      </c>
      <c r="AE44" s="22">
        <v>7519900</v>
      </c>
      <c r="AF44" s="22">
        <v>4965500</v>
      </c>
      <c r="AG44" s="22">
        <v>5290100</v>
      </c>
      <c r="AH44" s="22">
        <v>3625800</v>
      </c>
      <c r="AI44" s="22">
        <v>3880400</v>
      </c>
      <c r="AJ44" s="22">
        <v>3206100</v>
      </c>
      <c r="AK44" s="22">
        <v>3777000</v>
      </c>
      <c r="AL44" s="22">
        <v>4119200</v>
      </c>
      <c r="AM44" s="22">
        <v>3464100</v>
      </c>
      <c r="AN44" s="22">
        <v>4620200</v>
      </c>
      <c r="AO44" s="22">
        <v>4211700</v>
      </c>
      <c r="AP44" s="22">
        <v>5388300</v>
      </c>
      <c r="AQ44" s="22">
        <v>5035600</v>
      </c>
      <c r="AR44" s="22">
        <v>5488700</v>
      </c>
      <c r="AS44" s="22">
        <v>4466300</v>
      </c>
      <c r="AT44" s="22">
        <v>3875300</v>
      </c>
      <c r="AU44" s="22">
        <v>4209400</v>
      </c>
      <c r="AV44" s="22">
        <v>6289300</v>
      </c>
      <c r="AW44" s="22">
        <v>3513800</v>
      </c>
      <c r="AX44" s="22">
        <v>3385400</v>
      </c>
      <c r="AY44" s="22">
        <v>3129300</v>
      </c>
      <c r="AZ44" s="22">
        <v>5414400</v>
      </c>
      <c r="BA44" s="22">
        <v>4952400</v>
      </c>
      <c r="BB44" s="22">
        <v>6965100</v>
      </c>
      <c r="BC44" s="22">
        <v>6824400</v>
      </c>
      <c r="BD44" s="22">
        <v>6112300</v>
      </c>
      <c r="BE44" s="22">
        <v>5157000</v>
      </c>
      <c r="BF44" s="22">
        <v>4593900</v>
      </c>
      <c r="BG44" s="22">
        <v>7260500</v>
      </c>
      <c r="BH44" s="22">
        <v>7436700</v>
      </c>
      <c r="BI44" s="22">
        <v>4800000</v>
      </c>
      <c r="BJ44" s="22">
        <v>4721200</v>
      </c>
      <c r="BK44" s="22">
        <v>5740600</v>
      </c>
      <c r="BL44" s="22">
        <v>6396400</v>
      </c>
    </row>
    <row r="45" spans="1:64" ht="15.95" customHeight="1">
      <c r="A45" s="433" t="s">
        <v>302</v>
      </c>
      <c r="B45" s="49" t="s">
        <v>121</v>
      </c>
      <c r="C45" s="53">
        <f>_xll.RssMarket("8306","出来高")</f>
        <v>42080800</v>
      </c>
      <c r="D45" s="220">
        <f t="shared" si="0"/>
        <v>0</v>
      </c>
      <c r="E45" s="218">
        <v>42080800</v>
      </c>
      <c r="F45" s="22">
        <v>38818500</v>
      </c>
      <c r="G45" s="22">
        <v>54083500</v>
      </c>
      <c r="H45" s="22">
        <v>43885600</v>
      </c>
      <c r="I45" s="22">
        <v>60312600</v>
      </c>
      <c r="J45" s="22">
        <v>43619100</v>
      </c>
      <c r="K45" s="22">
        <v>42730200</v>
      </c>
      <c r="L45" s="22">
        <v>57793900</v>
      </c>
      <c r="M45" s="22">
        <v>46784900</v>
      </c>
      <c r="N45" s="22">
        <v>37371200</v>
      </c>
      <c r="O45" s="22">
        <v>69856600</v>
      </c>
      <c r="P45" s="22">
        <v>41665800</v>
      </c>
      <c r="Q45" s="22">
        <v>34986500</v>
      </c>
      <c r="R45" s="22">
        <v>32348200</v>
      </c>
      <c r="S45" s="22">
        <v>40421700</v>
      </c>
      <c r="T45" s="22">
        <v>52123700</v>
      </c>
      <c r="U45" s="22">
        <v>51809100</v>
      </c>
      <c r="V45" s="22">
        <v>55685600</v>
      </c>
      <c r="W45" s="22">
        <v>66978500</v>
      </c>
      <c r="X45" s="22">
        <v>47220900</v>
      </c>
      <c r="Y45" s="22">
        <v>34334700</v>
      </c>
      <c r="Z45" s="22">
        <v>34802100</v>
      </c>
      <c r="AA45" s="22">
        <v>28562100</v>
      </c>
      <c r="AB45" s="22">
        <v>29713600</v>
      </c>
      <c r="AC45" s="22">
        <v>29713600</v>
      </c>
      <c r="AD45" s="22">
        <v>37166700</v>
      </c>
      <c r="AE45" s="22">
        <v>53805900</v>
      </c>
      <c r="AF45" s="22">
        <v>28643100</v>
      </c>
      <c r="AG45" s="22">
        <v>39443000</v>
      </c>
      <c r="AH45" s="22">
        <v>45635600</v>
      </c>
      <c r="AI45" s="22">
        <v>29320200</v>
      </c>
      <c r="AJ45" s="22">
        <v>22067000</v>
      </c>
      <c r="AK45" s="22">
        <v>35144800</v>
      </c>
      <c r="AL45" s="22">
        <v>38846200</v>
      </c>
      <c r="AM45" s="22">
        <v>30217100</v>
      </c>
      <c r="AN45" s="22">
        <v>24113800</v>
      </c>
      <c r="AO45" s="22">
        <v>40793100</v>
      </c>
      <c r="AP45" s="22">
        <v>42419100</v>
      </c>
      <c r="AQ45" s="22">
        <v>48273800</v>
      </c>
      <c r="AR45" s="22">
        <v>38689000</v>
      </c>
      <c r="AS45" s="22">
        <v>30503200</v>
      </c>
      <c r="AT45" s="22">
        <v>33552100</v>
      </c>
      <c r="AU45" s="22">
        <v>35140500</v>
      </c>
      <c r="AV45" s="22">
        <v>57129700</v>
      </c>
      <c r="AW45" s="22">
        <v>25886900</v>
      </c>
      <c r="AX45" s="22">
        <v>27808200</v>
      </c>
      <c r="AY45" s="22">
        <v>22632900</v>
      </c>
      <c r="AZ45" s="22">
        <v>46325800</v>
      </c>
      <c r="BA45" s="22">
        <v>54819500</v>
      </c>
      <c r="BB45" s="22">
        <v>48044300</v>
      </c>
      <c r="BC45" s="22">
        <v>44413200</v>
      </c>
      <c r="BD45" s="22">
        <v>27929800</v>
      </c>
      <c r="BE45" s="22">
        <v>39608800</v>
      </c>
      <c r="BF45" s="22">
        <v>33656700</v>
      </c>
      <c r="BG45" s="22">
        <v>55478800</v>
      </c>
      <c r="BH45" s="22">
        <v>39731200</v>
      </c>
      <c r="BI45" s="22">
        <v>37616500</v>
      </c>
      <c r="BJ45" s="22">
        <v>26731700</v>
      </c>
      <c r="BK45" s="22">
        <v>37108500</v>
      </c>
      <c r="BL45" s="22">
        <v>40555600</v>
      </c>
    </row>
    <row r="46" spans="1:64" ht="15.95" customHeight="1">
      <c r="A46" s="433" t="s">
        <v>303</v>
      </c>
      <c r="B46" s="49" t="s">
        <v>122</v>
      </c>
      <c r="C46" s="53">
        <f>_xll.RssMarket("5401","出来高")</f>
        <v>23078200</v>
      </c>
      <c r="D46" s="220">
        <f t="shared" si="0"/>
        <v>0</v>
      </c>
      <c r="E46" s="218">
        <v>23078200</v>
      </c>
      <c r="F46" s="22">
        <v>21855000</v>
      </c>
      <c r="G46" s="22">
        <v>35530200</v>
      </c>
      <c r="H46" s="22">
        <v>30230800</v>
      </c>
      <c r="I46" s="22">
        <v>23320500</v>
      </c>
      <c r="J46" s="22">
        <v>36773100</v>
      </c>
      <c r="K46" s="22">
        <v>21297800</v>
      </c>
      <c r="L46" s="22">
        <v>25638500</v>
      </c>
      <c r="M46" s="22">
        <v>27280200</v>
      </c>
      <c r="N46" s="22">
        <v>46353800</v>
      </c>
      <c r="O46" s="22">
        <v>50632500</v>
      </c>
      <c r="P46" s="22">
        <v>26020600</v>
      </c>
      <c r="Q46" s="22">
        <v>26864800</v>
      </c>
      <c r="R46" s="22">
        <v>29250200</v>
      </c>
      <c r="S46" s="22">
        <v>21985700</v>
      </c>
      <c r="T46" s="22">
        <v>28759200</v>
      </c>
      <c r="U46" s="22">
        <v>40808400</v>
      </c>
      <c r="V46" s="22">
        <v>32513200</v>
      </c>
      <c r="W46" s="22">
        <v>32786700</v>
      </c>
      <c r="X46" s="22">
        <v>37792300</v>
      </c>
      <c r="Y46" s="22">
        <v>54796900</v>
      </c>
      <c r="Z46" s="22">
        <v>34062700</v>
      </c>
      <c r="AA46" s="22">
        <v>36770900</v>
      </c>
      <c r="AB46" s="22">
        <v>47352200</v>
      </c>
      <c r="AC46" s="22">
        <v>47352200</v>
      </c>
      <c r="AD46" s="22">
        <v>36330900</v>
      </c>
      <c r="AE46" s="22">
        <v>39379900</v>
      </c>
      <c r="AF46" s="22">
        <v>24588800</v>
      </c>
      <c r="AG46" s="22">
        <v>27367000</v>
      </c>
      <c r="AH46" s="22">
        <v>26538800</v>
      </c>
      <c r="AI46" s="22">
        <v>29570100</v>
      </c>
      <c r="AJ46" s="22">
        <v>28096800</v>
      </c>
      <c r="AK46" s="22">
        <v>24893900</v>
      </c>
      <c r="AL46" s="22">
        <v>18514900</v>
      </c>
      <c r="AM46" s="22">
        <v>17409500</v>
      </c>
      <c r="AN46" s="22">
        <v>19779100</v>
      </c>
      <c r="AO46" s="22">
        <v>18544700</v>
      </c>
      <c r="AP46" s="22">
        <v>18976400</v>
      </c>
      <c r="AQ46" s="22">
        <v>20939500</v>
      </c>
      <c r="AR46" s="22">
        <v>18859800</v>
      </c>
      <c r="AS46" s="22">
        <v>15154700</v>
      </c>
      <c r="AT46" s="22">
        <v>20245900</v>
      </c>
      <c r="AU46" s="22">
        <v>25366800</v>
      </c>
      <c r="AV46" s="22">
        <v>36952500</v>
      </c>
      <c r="AW46" s="22">
        <v>13411900</v>
      </c>
      <c r="AX46" s="22">
        <v>14989800</v>
      </c>
      <c r="AY46" s="22">
        <v>15472400</v>
      </c>
      <c r="AZ46" s="22">
        <v>26219900</v>
      </c>
      <c r="BA46" s="22">
        <v>23792900</v>
      </c>
      <c r="BB46" s="22">
        <v>39730500</v>
      </c>
      <c r="BC46" s="22">
        <v>33798100</v>
      </c>
      <c r="BD46" s="22">
        <v>24843000</v>
      </c>
      <c r="BE46" s="22">
        <v>25020100</v>
      </c>
      <c r="BF46" s="22">
        <v>24507800</v>
      </c>
      <c r="BG46" s="22">
        <v>35866800</v>
      </c>
      <c r="BH46" s="22">
        <v>37972200</v>
      </c>
      <c r="BI46" s="22">
        <v>30161200</v>
      </c>
      <c r="BJ46" s="22">
        <v>19428300</v>
      </c>
      <c r="BK46" s="22">
        <v>36475500</v>
      </c>
      <c r="BL46" s="22">
        <v>31649100</v>
      </c>
    </row>
    <row r="47" spans="1:64" ht="15.95" customHeight="1">
      <c r="A47" s="433" t="s">
        <v>304</v>
      </c>
      <c r="B47" s="49" t="s">
        <v>123</v>
      </c>
      <c r="C47" s="53">
        <f>_xll.RssMarket("8572","出来高")</f>
        <v>1330300</v>
      </c>
      <c r="D47" s="220">
        <f t="shared" si="0"/>
        <v>0</v>
      </c>
      <c r="E47" s="218">
        <v>1330300</v>
      </c>
      <c r="F47" s="22">
        <v>1491100</v>
      </c>
      <c r="G47" s="22">
        <v>1186300</v>
      </c>
      <c r="H47" s="22">
        <v>835200</v>
      </c>
      <c r="I47" s="22">
        <v>1105600</v>
      </c>
      <c r="J47" s="22">
        <v>2252300</v>
      </c>
      <c r="K47" s="22">
        <v>1495600</v>
      </c>
      <c r="L47" s="22">
        <v>1724500</v>
      </c>
      <c r="M47" s="22">
        <v>1447800</v>
      </c>
      <c r="N47" s="22">
        <v>2024500</v>
      </c>
      <c r="O47" s="22">
        <v>1402000</v>
      </c>
      <c r="P47" s="22">
        <v>1320700</v>
      </c>
      <c r="Q47" s="22">
        <v>1889200</v>
      </c>
      <c r="R47" s="22">
        <v>1586100</v>
      </c>
      <c r="S47" s="22">
        <v>1422300</v>
      </c>
      <c r="T47" s="22">
        <v>1757500</v>
      </c>
      <c r="U47" s="22">
        <v>1740200</v>
      </c>
      <c r="V47" s="22">
        <v>2037500</v>
      </c>
      <c r="W47" s="22">
        <v>1827300</v>
      </c>
      <c r="X47" s="22">
        <v>1806000</v>
      </c>
      <c r="Y47" s="22">
        <v>2576200</v>
      </c>
      <c r="Z47" s="22">
        <v>6227100</v>
      </c>
      <c r="AA47" s="22">
        <v>1774200</v>
      </c>
      <c r="AB47" s="22">
        <v>1384600</v>
      </c>
      <c r="AC47" s="22">
        <v>1384600</v>
      </c>
      <c r="AD47" s="22">
        <v>1482500</v>
      </c>
      <c r="AE47" s="22">
        <v>1491100</v>
      </c>
      <c r="AF47" s="22">
        <v>1117500</v>
      </c>
      <c r="AG47" s="22">
        <v>1145500</v>
      </c>
      <c r="AH47" s="22">
        <v>1695400</v>
      </c>
      <c r="AI47" s="22">
        <v>1617200</v>
      </c>
      <c r="AJ47" s="22">
        <v>1460200</v>
      </c>
      <c r="AK47" s="22">
        <v>1951600</v>
      </c>
      <c r="AL47" s="22">
        <v>2414100</v>
      </c>
      <c r="AM47" s="22">
        <v>4591900</v>
      </c>
      <c r="AN47" s="22">
        <v>1529700</v>
      </c>
      <c r="AO47" s="22">
        <v>1450000</v>
      </c>
      <c r="AP47" s="22">
        <v>1765000</v>
      </c>
      <c r="AQ47" s="22">
        <v>1772800</v>
      </c>
      <c r="AR47" s="22">
        <v>1407600</v>
      </c>
      <c r="AS47" s="22">
        <v>807800</v>
      </c>
      <c r="AT47" s="22">
        <v>1228800</v>
      </c>
      <c r="AU47" s="22">
        <v>1167700</v>
      </c>
      <c r="AV47" s="22">
        <v>1324200</v>
      </c>
      <c r="AW47" s="22">
        <v>685800</v>
      </c>
      <c r="AX47" s="22">
        <v>748200</v>
      </c>
      <c r="AY47" s="22">
        <v>543700</v>
      </c>
      <c r="AZ47" s="22">
        <v>1006600</v>
      </c>
      <c r="BA47" s="22">
        <v>1086700</v>
      </c>
      <c r="BB47" s="22">
        <v>1767200</v>
      </c>
      <c r="BC47" s="22">
        <v>2020300</v>
      </c>
      <c r="BD47" s="22">
        <v>1120000</v>
      </c>
      <c r="BE47" s="22">
        <v>1165600</v>
      </c>
      <c r="BF47" s="22">
        <v>1121800</v>
      </c>
      <c r="BG47" s="22">
        <v>1924300</v>
      </c>
      <c r="BH47" s="22">
        <v>1687400</v>
      </c>
      <c r="BI47" s="22">
        <v>1297900</v>
      </c>
      <c r="BJ47" s="22">
        <v>1009400</v>
      </c>
      <c r="BK47" s="22">
        <v>1180300</v>
      </c>
      <c r="BL47" s="22">
        <v>1132700</v>
      </c>
    </row>
    <row r="48" spans="1:64" ht="15.95" customHeight="1">
      <c r="A48" s="433" t="s">
        <v>305</v>
      </c>
      <c r="B48" s="49" t="s">
        <v>124</v>
      </c>
      <c r="C48" s="53">
        <f>_xll.RssMarket("3941","出来高")</f>
        <v>825300</v>
      </c>
      <c r="D48" s="220">
        <f t="shared" si="0"/>
        <v>0</v>
      </c>
      <c r="E48" s="218">
        <v>825300</v>
      </c>
      <c r="F48" s="22">
        <v>560900</v>
      </c>
      <c r="G48" s="22">
        <v>874300</v>
      </c>
      <c r="H48" s="22">
        <v>825900</v>
      </c>
      <c r="I48" s="22">
        <v>928400</v>
      </c>
      <c r="J48" s="22">
        <v>987800</v>
      </c>
      <c r="K48" s="22">
        <v>752200</v>
      </c>
      <c r="L48" s="22">
        <v>821900</v>
      </c>
      <c r="M48" s="22">
        <v>661000</v>
      </c>
      <c r="N48" s="22">
        <v>857500</v>
      </c>
      <c r="O48" s="22">
        <v>1467400</v>
      </c>
      <c r="P48" s="22">
        <v>1084500</v>
      </c>
      <c r="Q48" s="22">
        <v>929300</v>
      </c>
      <c r="R48" s="22">
        <v>774200</v>
      </c>
      <c r="S48" s="22">
        <v>816000</v>
      </c>
      <c r="T48" s="22">
        <v>903100</v>
      </c>
      <c r="U48" s="22">
        <v>1237500</v>
      </c>
      <c r="V48" s="22">
        <v>1505900</v>
      </c>
      <c r="W48" s="22">
        <v>1676300</v>
      </c>
      <c r="X48" s="22">
        <v>2035700</v>
      </c>
      <c r="Y48" s="22">
        <v>4157000</v>
      </c>
      <c r="Z48" s="22">
        <v>1058000</v>
      </c>
      <c r="AA48" s="22">
        <v>1147100</v>
      </c>
      <c r="AB48" s="22">
        <v>1402800</v>
      </c>
      <c r="AC48" s="22">
        <v>1402800</v>
      </c>
      <c r="AD48" s="22">
        <v>1278800</v>
      </c>
      <c r="AE48" s="22">
        <v>1757400</v>
      </c>
      <c r="AF48" s="22">
        <v>1092200</v>
      </c>
      <c r="AG48" s="22">
        <v>1710300</v>
      </c>
      <c r="AH48" s="22">
        <v>1291800</v>
      </c>
      <c r="AI48" s="22">
        <v>2566600</v>
      </c>
      <c r="AJ48" s="22">
        <v>558300</v>
      </c>
      <c r="AK48" s="22">
        <v>732300</v>
      </c>
      <c r="AL48" s="22">
        <v>699000</v>
      </c>
      <c r="AM48" s="22">
        <v>1085200</v>
      </c>
      <c r="AN48" s="22">
        <v>891600</v>
      </c>
      <c r="AO48" s="22">
        <v>626200</v>
      </c>
      <c r="AP48" s="22">
        <v>582100</v>
      </c>
      <c r="AQ48" s="22">
        <v>558300</v>
      </c>
      <c r="AR48" s="22">
        <v>551500</v>
      </c>
      <c r="AS48" s="22">
        <v>425600</v>
      </c>
      <c r="AT48" s="22">
        <v>604700</v>
      </c>
      <c r="AU48" s="22">
        <v>904000</v>
      </c>
      <c r="AV48" s="22">
        <v>752200</v>
      </c>
      <c r="AW48" s="22">
        <v>515600</v>
      </c>
      <c r="AX48" s="22">
        <v>741600</v>
      </c>
      <c r="AY48" s="22">
        <v>507500</v>
      </c>
      <c r="AZ48" s="22">
        <v>674200</v>
      </c>
      <c r="BA48" s="22">
        <v>704200</v>
      </c>
      <c r="BB48" s="22">
        <v>759800</v>
      </c>
      <c r="BC48" s="22">
        <v>855500</v>
      </c>
      <c r="BD48" s="22">
        <v>1089800</v>
      </c>
      <c r="BE48" s="22">
        <v>801200</v>
      </c>
      <c r="BF48" s="22">
        <v>1001000</v>
      </c>
      <c r="BG48" s="22">
        <v>1517700</v>
      </c>
      <c r="BH48" s="22">
        <v>2236800</v>
      </c>
      <c r="BI48" s="22">
        <v>625500</v>
      </c>
      <c r="BJ48" s="22">
        <v>408000</v>
      </c>
      <c r="BK48" s="22">
        <v>831200</v>
      </c>
      <c r="BL48" s="22">
        <v>1164500</v>
      </c>
    </row>
    <row r="49" spans="1:64" ht="15.95" customHeight="1">
      <c r="A49" s="433" t="s">
        <v>306</v>
      </c>
      <c r="B49" s="49" t="s">
        <v>125</v>
      </c>
      <c r="C49" s="53">
        <f>_xll.RssMarket("5929","出来高")</f>
        <v>424400</v>
      </c>
      <c r="D49" s="220">
        <f t="shared" si="0"/>
        <v>0</v>
      </c>
      <c r="E49" s="218">
        <v>424400</v>
      </c>
      <c r="F49" s="22">
        <v>555700</v>
      </c>
      <c r="G49" s="22">
        <v>703100</v>
      </c>
      <c r="H49" s="22">
        <v>687000</v>
      </c>
      <c r="I49" s="22">
        <v>860200</v>
      </c>
      <c r="J49" s="22">
        <v>1242200</v>
      </c>
      <c r="K49" s="22">
        <v>1423300</v>
      </c>
      <c r="L49" s="22">
        <v>886200</v>
      </c>
      <c r="M49" s="22">
        <v>872800</v>
      </c>
      <c r="N49" s="22">
        <v>1247900</v>
      </c>
      <c r="O49" s="22">
        <v>1600300</v>
      </c>
      <c r="P49" s="22">
        <v>1016800</v>
      </c>
      <c r="Q49" s="22">
        <v>1130500</v>
      </c>
      <c r="R49" s="22">
        <v>649100</v>
      </c>
      <c r="S49" s="22">
        <v>561900</v>
      </c>
      <c r="T49" s="22">
        <v>681800</v>
      </c>
      <c r="U49" s="22">
        <v>1088900</v>
      </c>
      <c r="V49" s="22">
        <v>696100</v>
      </c>
      <c r="W49" s="22">
        <v>777600</v>
      </c>
      <c r="X49" s="22">
        <v>874500</v>
      </c>
      <c r="Y49" s="22">
        <v>1190400</v>
      </c>
      <c r="Z49" s="22">
        <v>1002900</v>
      </c>
      <c r="AA49" s="22">
        <v>1023800</v>
      </c>
      <c r="AB49" s="22">
        <v>819800</v>
      </c>
      <c r="AC49" s="22">
        <v>819800</v>
      </c>
      <c r="AD49" s="22">
        <v>706100</v>
      </c>
      <c r="AE49" s="22">
        <v>978400</v>
      </c>
      <c r="AF49" s="22">
        <v>622300</v>
      </c>
      <c r="AG49" s="22">
        <v>801700</v>
      </c>
      <c r="AH49" s="22">
        <v>480400</v>
      </c>
      <c r="AI49" s="22">
        <v>252800</v>
      </c>
      <c r="AJ49" s="22">
        <v>330000</v>
      </c>
      <c r="AK49" s="22">
        <v>457000</v>
      </c>
      <c r="AL49" s="22">
        <v>410700</v>
      </c>
      <c r="AM49" s="22">
        <v>577000</v>
      </c>
      <c r="AN49" s="22">
        <v>632900</v>
      </c>
      <c r="AO49" s="22">
        <v>732800</v>
      </c>
      <c r="AP49" s="22">
        <v>870600</v>
      </c>
      <c r="AQ49" s="22">
        <v>426600</v>
      </c>
      <c r="AR49" s="22">
        <v>491000</v>
      </c>
      <c r="AS49" s="22">
        <v>494100</v>
      </c>
      <c r="AT49" s="22">
        <v>567400</v>
      </c>
      <c r="AU49" s="22">
        <v>693000</v>
      </c>
      <c r="AV49" s="22">
        <v>779700</v>
      </c>
      <c r="AW49" s="22">
        <v>553500</v>
      </c>
      <c r="AX49" s="22">
        <v>327800</v>
      </c>
      <c r="AY49" s="22">
        <v>487100</v>
      </c>
      <c r="AZ49" s="22">
        <v>604400</v>
      </c>
      <c r="BA49" s="22">
        <v>565900</v>
      </c>
      <c r="BB49" s="22">
        <v>516600</v>
      </c>
      <c r="BC49" s="22">
        <v>679500</v>
      </c>
      <c r="BD49" s="22">
        <v>505800</v>
      </c>
      <c r="BE49" s="22">
        <v>507800</v>
      </c>
      <c r="BF49" s="22">
        <v>466300</v>
      </c>
      <c r="BG49" s="22">
        <v>636700</v>
      </c>
      <c r="BH49" s="22">
        <v>1031800</v>
      </c>
      <c r="BI49" s="22">
        <v>615800</v>
      </c>
      <c r="BJ49" s="22">
        <v>460300</v>
      </c>
      <c r="BK49" s="22">
        <v>455900</v>
      </c>
      <c r="BL49" s="22">
        <v>584000</v>
      </c>
    </row>
    <row r="50" spans="1:64" ht="15.95" customHeight="1">
      <c r="A50" s="433" t="s">
        <v>307</v>
      </c>
      <c r="B50" s="49" t="s">
        <v>126</v>
      </c>
      <c r="C50" s="53">
        <f>_xll.RssMarket("8316","出来高")</f>
        <v>12405700</v>
      </c>
      <c r="D50" s="220">
        <f t="shared" si="0"/>
        <v>0</v>
      </c>
      <c r="E50" s="218">
        <v>12405700</v>
      </c>
      <c r="F50" s="22">
        <v>13563400</v>
      </c>
      <c r="G50" s="22">
        <v>18028200</v>
      </c>
      <c r="H50" s="22">
        <v>23960700</v>
      </c>
      <c r="I50" s="22">
        <v>16707100</v>
      </c>
      <c r="J50" s="22">
        <v>21813600</v>
      </c>
      <c r="K50" s="22">
        <v>15126700</v>
      </c>
      <c r="L50" s="22">
        <v>14349800</v>
      </c>
      <c r="M50" s="22">
        <v>13395700</v>
      </c>
      <c r="N50" s="22">
        <v>15691600</v>
      </c>
      <c r="O50" s="22">
        <v>12902800</v>
      </c>
      <c r="P50" s="22">
        <v>17617000</v>
      </c>
      <c r="Q50" s="22">
        <v>15094100</v>
      </c>
      <c r="R50" s="22">
        <v>13219300</v>
      </c>
      <c r="S50" s="22">
        <v>13205000</v>
      </c>
      <c r="T50" s="22">
        <v>12376300</v>
      </c>
      <c r="U50" s="22">
        <v>18212600</v>
      </c>
      <c r="V50" s="22">
        <v>18145400</v>
      </c>
      <c r="W50" s="22">
        <v>21178400</v>
      </c>
      <c r="X50" s="22">
        <v>14734800</v>
      </c>
      <c r="Y50" s="22">
        <v>15463800</v>
      </c>
      <c r="Z50" s="22">
        <v>18642900</v>
      </c>
      <c r="AA50" s="22">
        <v>12087700</v>
      </c>
      <c r="AB50" s="22">
        <v>12206700</v>
      </c>
      <c r="AC50" s="22">
        <v>12531400</v>
      </c>
      <c r="AD50" s="22">
        <v>12531400</v>
      </c>
      <c r="AE50" s="22">
        <v>12481400</v>
      </c>
      <c r="AF50" s="22">
        <v>17149500</v>
      </c>
      <c r="AG50" s="22">
        <v>8711900</v>
      </c>
      <c r="AH50" s="22">
        <v>15242200</v>
      </c>
      <c r="AI50" s="22">
        <v>15541200</v>
      </c>
      <c r="AJ50" s="22">
        <v>9422700</v>
      </c>
      <c r="AK50" s="22">
        <v>7882600</v>
      </c>
      <c r="AL50" s="22">
        <v>12947200</v>
      </c>
      <c r="AM50" s="22">
        <v>9352200</v>
      </c>
      <c r="AN50" s="22">
        <v>9134200</v>
      </c>
      <c r="AO50" s="22">
        <v>7598100</v>
      </c>
      <c r="AP50" s="22">
        <v>11391100</v>
      </c>
      <c r="AQ50" s="22">
        <v>11580100</v>
      </c>
      <c r="AR50" s="22">
        <v>12554000</v>
      </c>
      <c r="AS50" s="22">
        <v>10812000</v>
      </c>
      <c r="AT50" s="22">
        <v>9107100</v>
      </c>
      <c r="AU50" s="22">
        <v>9342000</v>
      </c>
      <c r="AV50" s="22">
        <v>12330500</v>
      </c>
      <c r="AW50" s="22">
        <v>16737800</v>
      </c>
      <c r="AX50" s="22">
        <v>8755300</v>
      </c>
      <c r="AY50" s="22">
        <v>7094100</v>
      </c>
      <c r="AZ50" s="22">
        <v>7293400</v>
      </c>
      <c r="BA50" s="22">
        <v>15876200</v>
      </c>
      <c r="BB50" s="22">
        <v>19037000</v>
      </c>
      <c r="BC50" s="22">
        <v>18512600</v>
      </c>
      <c r="BD50" s="22">
        <v>17031800</v>
      </c>
      <c r="BE50" s="22">
        <v>12876200</v>
      </c>
      <c r="BF50" s="22">
        <v>16139400</v>
      </c>
      <c r="BG50" s="22">
        <v>12070200</v>
      </c>
      <c r="BH50" s="22">
        <v>14956500</v>
      </c>
      <c r="BI50" s="22">
        <v>13725700</v>
      </c>
      <c r="BJ50" s="22">
        <v>11660400</v>
      </c>
      <c r="BK50" s="22">
        <v>9074000</v>
      </c>
      <c r="BL50" s="22">
        <v>10268600</v>
      </c>
    </row>
    <row r="51" spans="1:64" ht="15.95" customHeight="1">
      <c r="A51" s="433" t="s">
        <v>308</v>
      </c>
      <c r="B51" s="49" t="s">
        <v>127</v>
      </c>
      <c r="C51" s="53">
        <f>_xll.RssMarket("5449","出来高")</f>
        <v>91100</v>
      </c>
      <c r="D51" s="220">
        <f t="shared" si="0"/>
        <v>0</v>
      </c>
      <c r="E51" s="218">
        <v>91100</v>
      </c>
      <c r="F51" s="22">
        <v>35700</v>
      </c>
      <c r="G51" s="22">
        <v>35400</v>
      </c>
      <c r="H51" s="22">
        <v>48800</v>
      </c>
      <c r="I51" s="22">
        <v>30600</v>
      </c>
      <c r="J51" s="22">
        <v>86400</v>
      </c>
      <c r="K51" s="22">
        <v>58600</v>
      </c>
      <c r="L51" s="22">
        <v>82500</v>
      </c>
      <c r="M51" s="22">
        <v>115900</v>
      </c>
      <c r="N51" s="22">
        <v>66300</v>
      </c>
      <c r="O51" s="22">
        <v>385300</v>
      </c>
      <c r="P51" s="22">
        <v>33300</v>
      </c>
      <c r="Q51" s="22">
        <v>54200</v>
      </c>
      <c r="R51" s="22">
        <v>53200</v>
      </c>
      <c r="S51" s="22">
        <v>73500</v>
      </c>
      <c r="T51" s="22">
        <v>30000</v>
      </c>
      <c r="U51" s="22">
        <v>34200</v>
      </c>
      <c r="V51" s="22">
        <v>70200</v>
      </c>
      <c r="W51" s="22">
        <v>58800</v>
      </c>
      <c r="X51" s="22">
        <v>34100</v>
      </c>
      <c r="Y51" s="22">
        <v>69700</v>
      </c>
      <c r="Z51" s="22">
        <v>138600</v>
      </c>
      <c r="AA51" s="22">
        <v>57300</v>
      </c>
      <c r="AB51" s="22">
        <v>42300</v>
      </c>
      <c r="AC51" s="22">
        <v>42300</v>
      </c>
      <c r="AD51" s="22">
        <v>79900</v>
      </c>
      <c r="AE51" s="22">
        <v>65300</v>
      </c>
      <c r="AF51" s="22">
        <v>74600</v>
      </c>
      <c r="AG51" s="22">
        <v>58900</v>
      </c>
      <c r="AH51" s="22">
        <v>103000</v>
      </c>
      <c r="AI51" s="22">
        <v>53500</v>
      </c>
      <c r="AJ51" s="22">
        <v>41200</v>
      </c>
      <c r="AK51" s="22">
        <v>51700</v>
      </c>
      <c r="AL51" s="22">
        <v>49600</v>
      </c>
      <c r="AM51" s="22">
        <v>57500</v>
      </c>
      <c r="AN51" s="22">
        <v>72600</v>
      </c>
      <c r="AO51" s="22">
        <v>47800</v>
      </c>
      <c r="AP51" s="22">
        <v>47800</v>
      </c>
      <c r="AQ51" s="22">
        <v>40300</v>
      </c>
      <c r="AR51" s="22">
        <v>53500</v>
      </c>
      <c r="AS51" s="22">
        <v>99000</v>
      </c>
      <c r="AT51" s="22">
        <v>82200</v>
      </c>
      <c r="AU51" s="22">
        <v>43000</v>
      </c>
      <c r="AV51" s="22">
        <v>41700</v>
      </c>
      <c r="AW51" s="22">
        <v>27400</v>
      </c>
      <c r="AX51" s="22">
        <v>32700</v>
      </c>
      <c r="AY51" s="22">
        <v>31600</v>
      </c>
      <c r="AZ51" s="22">
        <v>66300</v>
      </c>
      <c r="BA51" s="22">
        <v>43100</v>
      </c>
      <c r="BB51" s="22">
        <v>40700</v>
      </c>
      <c r="BC51" s="22">
        <v>94300</v>
      </c>
      <c r="BD51" s="22">
        <v>23400</v>
      </c>
      <c r="BE51" s="22">
        <v>31600</v>
      </c>
      <c r="BF51" s="22">
        <v>34800</v>
      </c>
      <c r="BG51" s="22">
        <v>31100</v>
      </c>
      <c r="BH51" s="22">
        <v>27000</v>
      </c>
      <c r="BI51" s="22">
        <v>31400</v>
      </c>
      <c r="BJ51" s="22">
        <v>31100</v>
      </c>
      <c r="BK51" s="22">
        <v>26300</v>
      </c>
      <c r="BL51" s="22">
        <v>26300</v>
      </c>
    </row>
    <row r="52" spans="1:64" ht="15.95" customHeight="1">
      <c r="A52" s="433" t="s">
        <v>309</v>
      </c>
      <c r="B52" s="49" t="s">
        <v>128</v>
      </c>
      <c r="C52" s="53">
        <f>_xll.RssMarket("8766","出来高")</f>
        <v>4299600</v>
      </c>
      <c r="D52" s="220">
        <f t="shared" si="0"/>
        <v>0</v>
      </c>
      <c r="E52" s="218">
        <v>4299600</v>
      </c>
      <c r="F52" s="22">
        <v>4487400</v>
      </c>
      <c r="G52" s="22">
        <v>7968200</v>
      </c>
      <c r="H52" s="22">
        <v>6270700</v>
      </c>
      <c r="I52" s="22">
        <v>5719700</v>
      </c>
      <c r="J52" s="22">
        <v>8411600</v>
      </c>
      <c r="K52" s="22">
        <v>5687500</v>
      </c>
      <c r="L52" s="22">
        <v>5719800</v>
      </c>
      <c r="M52" s="22">
        <v>4571900</v>
      </c>
      <c r="N52" s="22">
        <v>5323900</v>
      </c>
      <c r="O52" s="22">
        <v>10833400</v>
      </c>
      <c r="P52" s="22">
        <v>6330700</v>
      </c>
      <c r="Q52" s="22">
        <v>5245100</v>
      </c>
      <c r="R52" s="22">
        <v>5595400</v>
      </c>
      <c r="S52" s="22">
        <v>7819300</v>
      </c>
      <c r="T52" s="22">
        <v>11696800</v>
      </c>
      <c r="U52" s="22">
        <v>7978900</v>
      </c>
      <c r="V52" s="22">
        <v>7192800</v>
      </c>
      <c r="W52" s="22">
        <v>5383800</v>
      </c>
      <c r="X52" s="22">
        <v>7584600</v>
      </c>
      <c r="Y52" s="22">
        <v>3937400</v>
      </c>
      <c r="Z52" s="22">
        <v>5780900</v>
      </c>
      <c r="AA52" s="22">
        <v>5391600</v>
      </c>
      <c r="AB52" s="22">
        <v>5271300</v>
      </c>
      <c r="AC52" s="22">
        <v>5271300</v>
      </c>
      <c r="AD52" s="22">
        <v>6464400</v>
      </c>
      <c r="AE52" s="22">
        <v>8016100</v>
      </c>
      <c r="AF52" s="22">
        <v>3972600</v>
      </c>
      <c r="AG52" s="22">
        <v>5962600</v>
      </c>
      <c r="AH52" s="22">
        <v>6157300</v>
      </c>
      <c r="AI52" s="22">
        <v>4891400</v>
      </c>
      <c r="AJ52" s="22">
        <v>5287100</v>
      </c>
      <c r="AK52" s="22">
        <v>6495500</v>
      </c>
      <c r="AL52" s="22">
        <v>5334100</v>
      </c>
      <c r="AM52" s="22">
        <v>6031100</v>
      </c>
      <c r="AN52" s="22">
        <v>7277100</v>
      </c>
      <c r="AO52" s="22">
        <v>7249700</v>
      </c>
      <c r="AP52" s="22">
        <v>5576800</v>
      </c>
      <c r="AQ52" s="22">
        <v>6326300</v>
      </c>
      <c r="AR52" s="22">
        <v>5402100</v>
      </c>
      <c r="AS52" s="22">
        <v>4832700</v>
      </c>
      <c r="AT52" s="22">
        <v>6839400</v>
      </c>
      <c r="AU52" s="22">
        <v>6757600</v>
      </c>
      <c r="AV52" s="22">
        <v>6779900</v>
      </c>
      <c r="AW52" s="22">
        <v>3538100</v>
      </c>
      <c r="AX52" s="22">
        <v>3422700</v>
      </c>
      <c r="AY52" s="22">
        <v>3548000</v>
      </c>
      <c r="AZ52" s="22">
        <v>6895000</v>
      </c>
      <c r="BA52" s="22">
        <v>8388900</v>
      </c>
      <c r="BB52" s="22">
        <v>9675400</v>
      </c>
      <c r="BC52" s="22">
        <v>12118700</v>
      </c>
      <c r="BD52" s="22">
        <v>22606800</v>
      </c>
      <c r="BE52" s="22">
        <v>33295700</v>
      </c>
      <c r="BF52" s="22">
        <v>2219800</v>
      </c>
      <c r="BG52" s="22">
        <v>5707400</v>
      </c>
      <c r="BH52" s="22">
        <v>7465900</v>
      </c>
      <c r="BI52" s="22">
        <v>3592600</v>
      </c>
      <c r="BJ52" s="22">
        <v>2894800</v>
      </c>
      <c r="BK52" s="22">
        <v>4316100</v>
      </c>
      <c r="BL52" s="22">
        <v>5612700</v>
      </c>
    </row>
    <row r="53" spans="1:64" ht="15.95" customHeight="1">
      <c r="A53" s="433" t="s">
        <v>310</v>
      </c>
      <c r="B53" s="49" t="s">
        <v>129</v>
      </c>
      <c r="C53" s="53">
        <f>_xll.RssMarket("5201","出来高")</f>
        <v>1363900</v>
      </c>
      <c r="D53" s="220">
        <f t="shared" si="0"/>
        <v>0</v>
      </c>
      <c r="E53" s="218">
        <v>1363900</v>
      </c>
      <c r="F53" s="22">
        <v>1508000</v>
      </c>
      <c r="G53" s="22">
        <v>1525000</v>
      </c>
      <c r="H53" s="22">
        <v>1356100</v>
      </c>
      <c r="I53" s="22">
        <v>1716600</v>
      </c>
      <c r="J53" s="22">
        <v>2738200</v>
      </c>
      <c r="K53" s="22">
        <v>2499400</v>
      </c>
      <c r="L53" s="22">
        <v>2514500</v>
      </c>
      <c r="M53" s="22">
        <v>4727500</v>
      </c>
      <c r="N53" s="22">
        <v>6108200</v>
      </c>
      <c r="O53" s="22">
        <v>2647100</v>
      </c>
      <c r="P53" s="22">
        <v>1498500</v>
      </c>
      <c r="Q53" s="22">
        <v>1695500</v>
      </c>
      <c r="R53" s="22">
        <v>1772800</v>
      </c>
      <c r="S53" s="22">
        <v>2117200</v>
      </c>
      <c r="T53" s="22">
        <v>1567000</v>
      </c>
      <c r="U53" s="22">
        <v>2177100</v>
      </c>
      <c r="V53" s="22">
        <v>2186700</v>
      </c>
      <c r="W53" s="22">
        <v>1471300</v>
      </c>
      <c r="X53" s="22">
        <v>1385200</v>
      </c>
      <c r="Y53" s="22">
        <v>1372100</v>
      </c>
      <c r="Z53" s="22">
        <v>2017500</v>
      </c>
      <c r="AA53" s="22">
        <v>8329200</v>
      </c>
      <c r="AB53" s="22">
        <v>1080000</v>
      </c>
      <c r="AC53" s="22">
        <v>1080000</v>
      </c>
      <c r="AD53" s="22">
        <v>1626700</v>
      </c>
      <c r="AE53" s="22">
        <v>2084600</v>
      </c>
      <c r="AF53" s="22">
        <v>857400</v>
      </c>
      <c r="AG53" s="22">
        <v>1401900</v>
      </c>
      <c r="AH53" s="22">
        <v>971900</v>
      </c>
      <c r="AI53" s="22">
        <v>621100</v>
      </c>
      <c r="AJ53" s="22">
        <v>777200</v>
      </c>
      <c r="AK53" s="22">
        <v>1002700</v>
      </c>
      <c r="AL53" s="22">
        <v>757800</v>
      </c>
      <c r="AM53" s="22">
        <v>846900</v>
      </c>
      <c r="AN53" s="22">
        <v>601400</v>
      </c>
      <c r="AO53" s="22">
        <v>1032200</v>
      </c>
      <c r="AP53" s="22">
        <v>1344200</v>
      </c>
      <c r="AQ53" s="22">
        <v>1062700</v>
      </c>
      <c r="AR53" s="22">
        <v>1166700</v>
      </c>
      <c r="AS53" s="22">
        <v>1341100</v>
      </c>
      <c r="AT53" s="22">
        <v>1053000</v>
      </c>
      <c r="AU53" s="22">
        <v>943000</v>
      </c>
      <c r="AV53" s="22">
        <v>1729600</v>
      </c>
      <c r="AW53" s="22">
        <v>906500</v>
      </c>
      <c r="AX53" s="22">
        <v>727300</v>
      </c>
      <c r="AY53" s="22">
        <v>1022700</v>
      </c>
      <c r="AZ53" s="22">
        <v>1170900</v>
      </c>
      <c r="BA53" s="22">
        <v>1108700</v>
      </c>
      <c r="BB53" s="22">
        <v>1076400</v>
      </c>
      <c r="BC53" s="22">
        <v>984900</v>
      </c>
      <c r="BD53" s="22">
        <v>841900</v>
      </c>
      <c r="BE53" s="22">
        <v>1190600</v>
      </c>
      <c r="BF53" s="22">
        <v>822600</v>
      </c>
      <c r="BG53" s="22">
        <v>1357000</v>
      </c>
      <c r="BH53" s="22">
        <v>1390400</v>
      </c>
      <c r="BI53" s="22">
        <v>957000</v>
      </c>
      <c r="BJ53" s="22">
        <v>832000</v>
      </c>
      <c r="BK53" s="22">
        <v>1792600</v>
      </c>
      <c r="BL53" s="22">
        <v>1226600</v>
      </c>
    </row>
    <row r="54" spans="1:64" ht="15.95" customHeight="1">
      <c r="A54" s="433" t="s">
        <v>311</v>
      </c>
      <c r="B54" s="49" t="s">
        <v>130</v>
      </c>
      <c r="C54" s="53">
        <f>_xll.RssMarket("8630","出来高")</f>
        <v>1584400</v>
      </c>
      <c r="D54" s="220">
        <f t="shared" si="0"/>
        <v>0</v>
      </c>
      <c r="E54" s="218">
        <v>1584400</v>
      </c>
      <c r="F54" s="22">
        <v>1636300</v>
      </c>
      <c r="G54" s="22">
        <v>2988000</v>
      </c>
      <c r="H54" s="22">
        <v>3041900</v>
      </c>
      <c r="I54" s="22">
        <v>2671600</v>
      </c>
      <c r="J54" s="22">
        <v>3622000</v>
      </c>
      <c r="K54" s="22">
        <v>2221700</v>
      </c>
      <c r="L54" s="22">
        <v>2905900</v>
      </c>
      <c r="M54" s="22">
        <v>2946900</v>
      </c>
      <c r="N54" s="22">
        <v>3262800</v>
      </c>
      <c r="O54" s="22">
        <v>10049500</v>
      </c>
      <c r="P54" s="22">
        <v>2832400</v>
      </c>
      <c r="Q54" s="22">
        <v>4562100</v>
      </c>
      <c r="R54" s="22">
        <v>4181600</v>
      </c>
      <c r="S54" s="22">
        <v>5931000</v>
      </c>
      <c r="T54" s="22">
        <v>10013600</v>
      </c>
      <c r="U54" s="22">
        <v>3556800</v>
      </c>
      <c r="V54" s="22">
        <v>3707800</v>
      </c>
      <c r="W54" s="22">
        <v>2206900</v>
      </c>
      <c r="X54" s="22">
        <v>2241700</v>
      </c>
      <c r="Y54" s="22">
        <v>2712200</v>
      </c>
      <c r="Z54" s="22">
        <v>2480500</v>
      </c>
      <c r="AA54" s="22">
        <v>1923700</v>
      </c>
      <c r="AB54" s="22">
        <v>1806200</v>
      </c>
      <c r="AC54" s="22">
        <v>1806200</v>
      </c>
      <c r="AD54" s="22">
        <v>2815000</v>
      </c>
      <c r="AE54" s="22">
        <v>3500500</v>
      </c>
      <c r="AF54" s="22">
        <v>1581400</v>
      </c>
      <c r="AG54" s="22">
        <v>3008100</v>
      </c>
      <c r="AH54" s="22">
        <v>2563900</v>
      </c>
      <c r="AI54" s="22">
        <v>2237200</v>
      </c>
      <c r="AJ54" s="22">
        <v>1999000</v>
      </c>
      <c r="AK54" s="22">
        <v>2974900</v>
      </c>
      <c r="AL54" s="22">
        <v>1832200</v>
      </c>
      <c r="AM54" s="22">
        <v>1752400</v>
      </c>
      <c r="AN54" s="22">
        <v>1671700</v>
      </c>
      <c r="AO54" s="22">
        <v>1656900</v>
      </c>
      <c r="AP54" s="22">
        <v>2046800</v>
      </c>
      <c r="AQ54" s="22">
        <v>1735200</v>
      </c>
      <c r="AR54" s="22">
        <v>1639900</v>
      </c>
      <c r="AS54" s="22">
        <v>2202300</v>
      </c>
      <c r="AT54" s="22">
        <v>2063200</v>
      </c>
      <c r="AU54" s="22">
        <v>3320600</v>
      </c>
      <c r="AV54" s="22">
        <v>2392800</v>
      </c>
      <c r="AW54" s="22">
        <v>1441000</v>
      </c>
      <c r="AX54" s="22">
        <v>1291900</v>
      </c>
      <c r="AY54" s="22">
        <v>1302200</v>
      </c>
      <c r="AZ54" s="22">
        <v>2551100</v>
      </c>
      <c r="BA54" s="22">
        <v>2318200</v>
      </c>
      <c r="BB54" s="22">
        <v>3065000</v>
      </c>
      <c r="BC54" s="22">
        <v>2849600</v>
      </c>
      <c r="BD54" s="22">
        <v>2791200</v>
      </c>
      <c r="BE54" s="22">
        <v>3034200</v>
      </c>
      <c r="BF54" s="22">
        <v>3180400</v>
      </c>
      <c r="BG54" s="22">
        <v>2641400</v>
      </c>
      <c r="BH54" s="22">
        <v>3327100</v>
      </c>
      <c r="BI54" s="22">
        <v>1851700</v>
      </c>
      <c r="BJ54" s="22">
        <v>1685200</v>
      </c>
      <c r="BK54" s="22">
        <v>1994200</v>
      </c>
      <c r="BL54" s="22">
        <v>2315600</v>
      </c>
    </row>
    <row r="55" spans="1:64" ht="15.95" customHeight="1">
      <c r="A55" s="433" t="s">
        <v>312</v>
      </c>
      <c r="B55" s="49" t="s">
        <v>131</v>
      </c>
      <c r="C55" s="53">
        <f>_xll.RssMarket("5901","出来高")</f>
        <v>249600</v>
      </c>
      <c r="D55" s="220">
        <f t="shared" si="0"/>
        <v>0</v>
      </c>
      <c r="E55" s="218">
        <v>249600</v>
      </c>
      <c r="F55" s="22">
        <v>217000</v>
      </c>
      <c r="G55" s="22">
        <v>346600</v>
      </c>
      <c r="H55" s="22">
        <v>199500</v>
      </c>
      <c r="I55" s="22">
        <v>318300</v>
      </c>
      <c r="J55" s="22">
        <v>408800</v>
      </c>
      <c r="K55" s="22">
        <v>254300</v>
      </c>
      <c r="L55" s="22">
        <v>275200</v>
      </c>
      <c r="M55" s="22">
        <v>313100</v>
      </c>
      <c r="N55" s="22">
        <v>292700</v>
      </c>
      <c r="O55" s="22">
        <v>550000</v>
      </c>
      <c r="P55" s="22">
        <v>370400</v>
      </c>
      <c r="Q55" s="22">
        <v>432800</v>
      </c>
      <c r="R55" s="22">
        <v>452300</v>
      </c>
      <c r="S55" s="22">
        <v>742200</v>
      </c>
      <c r="T55" s="22">
        <v>1135700</v>
      </c>
      <c r="U55" s="22">
        <v>829800</v>
      </c>
      <c r="V55" s="22">
        <v>827200</v>
      </c>
      <c r="W55" s="22">
        <v>1047500</v>
      </c>
      <c r="X55" s="22">
        <v>856400</v>
      </c>
      <c r="Y55" s="22">
        <v>338000</v>
      </c>
      <c r="Z55" s="22">
        <v>467900</v>
      </c>
      <c r="AA55" s="22">
        <v>372700</v>
      </c>
      <c r="AB55" s="22">
        <v>443100</v>
      </c>
      <c r="AC55" s="22">
        <v>443100</v>
      </c>
      <c r="AD55" s="22">
        <v>783700</v>
      </c>
      <c r="AE55" s="22">
        <v>896500</v>
      </c>
      <c r="AF55" s="22">
        <v>966600</v>
      </c>
      <c r="AG55" s="22">
        <v>642900</v>
      </c>
      <c r="AH55" s="22">
        <v>391800</v>
      </c>
      <c r="AI55" s="22">
        <v>467600</v>
      </c>
      <c r="AJ55" s="22">
        <v>302900</v>
      </c>
      <c r="AK55" s="22">
        <v>352100</v>
      </c>
      <c r="AL55" s="22">
        <v>360800</v>
      </c>
      <c r="AM55" s="22">
        <v>231200</v>
      </c>
      <c r="AN55" s="22">
        <v>263400</v>
      </c>
      <c r="AO55" s="22">
        <v>409200</v>
      </c>
      <c r="AP55" s="22">
        <v>290200</v>
      </c>
      <c r="AQ55" s="22">
        <v>426000</v>
      </c>
      <c r="AR55" s="22">
        <v>616900</v>
      </c>
      <c r="AS55" s="22">
        <v>388700</v>
      </c>
      <c r="AT55" s="22">
        <v>273400</v>
      </c>
      <c r="AU55" s="22">
        <v>276300</v>
      </c>
      <c r="AV55" s="22">
        <v>624700</v>
      </c>
      <c r="AW55" s="22">
        <v>328200</v>
      </c>
      <c r="AX55" s="22">
        <v>301000</v>
      </c>
      <c r="AY55" s="22">
        <v>400700</v>
      </c>
      <c r="AZ55" s="22">
        <v>255700</v>
      </c>
      <c r="BA55" s="22">
        <v>213000</v>
      </c>
      <c r="BB55" s="22">
        <v>276500</v>
      </c>
      <c r="BC55" s="22">
        <v>295200</v>
      </c>
      <c r="BD55" s="22">
        <v>240700</v>
      </c>
      <c r="BE55" s="22">
        <v>295200</v>
      </c>
      <c r="BF55" s="22">
        <v>441000</v>
      </c>
      <c r="BG55" s="22">
        <v>383800</v>
      </c>
      <c r="BH55" s="22">
        <v>572700</v>
      </c>
      <c r="BI55" s="22">
        <v>219700</v>
      </c>
      <c r="BJ55" s="22">
        <v>183700</v>
      </c>
      <c r="BK55" s="22">
        <v>207700</v>
      </c>
      <c r="BL55" s="22">
        <v>201300</v>
      </c>
    </row>
    <row r="56" spans="1:64" ht="15.95" customHeight="1">
      <c r="A56" s="433" t="s">
        <v>313</v>
      </c>
      <c r="B56" s="49" t="s">
        <v>132</v>
      </c>
      <c r="C56" s="53">
        <f>_xll.RssMarket("9412","出来高")</f>
        <v>1970700</v>
      </c>
      <c r="D56" s="220">
        <f t="shared" si="0"/>
        <v>0</v>
      </c>
      <c r="E56" s="218">
        <v>1970700</v>
      </c>
      <c r="F56" s="22">
        <v>3425800</v>
      </c>
      <c r="G56" s="22">
        <v>3443500</v>
      </c>
      <c r="H56" s="22">
        <v>2984600</v>
      </c>
      <c r="I56" s="22">
        <v>3799500</v>
      </c>
      <c r="J56" s="22">
        <v>2672000</v>
      </c>
      <c r="K56" s="22">
        <v>3142500</v>
      </c>
      <c r="L56" s="22">
        <v>5760800</v>
      </c>
      <c r="M56" s="22">
        <v>3329800</v>
      </c>
      <c r="N56" s="22">
        <v>6144300</v>
      </c>
      <c r="O56" s="22">
        <v>4559100</v>
      </c>
      <c r="P56" s="22">
        <v>3136300</v>
      </c>
      <c r="Q56" s="22">
        <v>4040700</v>
      </c>
      <c r="R56" s="22">
        <v>2687000</v>
      </c>
      <c r="S56" s="22">
        <v>2135900</v>
      </c>
      <c r="T56" s="22">
        <v>2721500</v>
      </c>
      <c r="U56" s="22">
        <v>3876400</v>
      </c>
      <c r="V56" s="22">
        <v>2249400</v>
      </c>
      <c r="W56" s="22">
        <v>2381800</v>
      </c>
      <c r="X56" s="22">
        <v>2897500</v>
      </c>
      <c r="Y56" s="22">
        <v>4393500</v>
      </c>
      <c r="Z56" s="22">
        <v>3162100</v>
      </c>
      <c r="AA56" s="22">
        <v>3347000</v>
      </c>
      <c r="AB56" s="22">
        <v>2527900</v>
      </c>
      <c r="AC56" s="22">
        <v>2527900</v>
      </c>
      <c r="AD56" s="22">
        <v>2740100</v>
      </c>
      <c r="AE56" s="22">
        <v>4437300</v>
      </c>
      <c r="AF56" s="22">
        <v>3303900</v>
      </c>
      <c r="AG56" s="22">
        <v>2790600</v>
      </c>
      <c r="AH56" s="22">
        <v>3326300</v>
      </c>
      <c r="AI56" s="22">
        <v>1820200</v>
      </c>
      <c r="AJ56" s="22">
        <v>1442800</v>
      </c>
      <c r="AK56" s="22">
        <v>1650400</v>
      </c>
      <c r="AL56" s="22">
        <v>2017800</v>
      </c>
      <c r="AM56" s="22">
        <v>1360000</v>
      </c>
      <c r="AN56" s="22">
        <v>1204900</v>
      </c>
      <c r="AO56" s="22">
        <v>1570000</v>
      </c>
      <c r="AP56" s="22">
        <v>1300700</v>
      </c>
      <c r="AQ56" s="22">
        <v>948200</v>
      </c>
      <c r="AR56" s="22">
        <v>1066300</v>
      </c>
      <c r="AS56" s="22">
        <v>1304500</v>
      </c>
      <c r="AT56" s="22">
        <v>1456500</v>
      </c>
      <c r="AU56" s="22">
        <v>861500</v>
      </c>
      <c r="AV56" s="22">
        <v>1350900</v>
      </c>
      <c r="AW56" s="22">
        <v>1077300</v>
      </c>
      <c r="AX56" s="22">
        <v>905300</v>
      </c>
      <c r="AY56" s="22">
        <v>858700</v>
      </c>
      <c r="AZ56" s="22">
        <v>1487000</v>
      </c>
      <c r="BA56" s="22">
        <v>1117800</v>
      </c>
      <c r="BB56" s="22">
        <v>1426100</v>
      </c>
      <c r="BC56" s="22">
        <v>1231400</v>
      </c>
      <c r="BD56" s="22">
        <v>1360900</v>
      </c>
      <c r="BE56" s="22">
        <v>1907900</v>
      </c>
      <c r="BF56" s="22">
        <v>1270600</v>
      </c>
      <c r="BG56" s="22">
        <v>1879300</v>
      </c>
      <c r="BH56" s="22">
        <v>1533900</v>
      </c>
      <c r="BI56" s="22">
        <v>1471800</v>
      </c>
      <c r="BJ56" s="22">
        <v>1963200</v>
      </c>
      <c r="BK56" s="22">
        <v>2599700</v>
      </c>
      <c r="BL56" s="22">
        <v>3383300</v>
      </c>
    </row>
    <row r="57" spans="1:64" ht="15.95" customHeight="1">
      <c r="A57" s="433" t="s">
        <v>314</v>
      </c>
      <c r="B57" s="49" t="s">
        <v>133</v>
      </c>
      <c r="C57" s="53">
        <f>_xll.RssMarket("6203","出来高")</f>
        <v>533500</v>
      </c>
      <c r="D57" s="220">
        <f t="shared" si="0"/>
        <v>0</v>
      </c>
      <c r="E57" s="218">
        <v>533500</v>
      </c>
      <c r="F57" s="22">
        <v>456800</v>
      </c>
      <c r="G57" s="22">
        <v>571900</v>
      </c>
      <c r="H57" s="22">
        <v>663000</v>
      </c>
      <c r="I57" s="22">
        <v>952400</v>
      </c>
      <c r="J57" s="22">
        <v>1275000</v>
      </c>
      <c r="K57" s="22">
        <v>1126800</v>
      </c>
      <c r="L57" s="22">
        <v>1811400</v>
      </c>
      <c r="M57" s="22">
        <v>2705900</v>
      </c>
      <c r="N57" s="22">
        <v>6712800</v>
      </c>
      <c r="O57" s="22">
        <v>6707600</v>
      </c>
      <c r="P57" s="22">
        <v>1544900</v>
      </c>
      <c r="Q57" s="22">
        <v>196500</v>
      </c>
      <c r="R57" s="22">
        <v>110800</v>
      </c>
      <c r="S57" s="22">
        <v>140800</v>
      </c>
      <c r="T57" s="22">
        <v>198400</v>
      </c>
      <c r="U57" s="22">
        <v>255300</v>
      </c>
      <c r="V57" s="22">
        <v>238900</v>
      </c>
      <c r="W57" s="22">
        <v>691500</v>
      </c>
      <c r="X57" s="22">
        <v>594500</v>
      </c>
      <c r="Y57" s="22">
        <v>342700</v>
      </c>
      <c r="Z57" s="22">
        <v>186900</v>
      </c>
      <c r="AA57" s="22">
        <v>235400</v>
      </c>
      <c r="AB57" s="22">
        <v>223400</v>
      </c>
      <c r="AC57" s="22">
        <v>223400</v>
      </c>
      <c r="AD57" s="22">
        <v>240400</v>
      </c>
      <c r="AE57" s="22">
        <v>212300</v>
      </c>
      <c r="AF57" s="22">
        <v>104400</v>
      </c>
      <c r="AG57" s="22">
        <v>220400</v>
      </c>
      <c r="AH57" s="22">
        <v>265200</v>
      </c>
      <c r="AI57" s="22">
        <v>243100</v>
      </c>
      <c r="AJ57" s="22">
        <v>296000</v>
      </c>
      <c r="AK57" s="22">
        <v>811900</v>
      </c>
      <c r="AL57" s="22">
        <v>891200</v>
      </c>
      <c r="AM57" s="22">
        <v>545900</v>
      </c>
      <c r="AN57" s="22">
        <v>126300</v>
      </c>
      <c r="AO57" s="22">
        <v>188400</v>
      </c>
      <c r="AP57" s="22">
        <v>398400</v>
      </c>
      <c r="AQ57" s="22">
        <v>334300</v>
      </c>
      <c r="AR57" s="22">
        <v>129900</v>
      </c>
      <c r="AS57" s="22">
        <v>155400</v>
      </c>
      <c r="AT57" s="22">
        <v>268500</v>
      </c>
      <c r="AU57" s="22">
        <v>368900</v>
      </c>
      <c r="AV57" s="22">
        <v>209300</v>
      </c>
      <c r="AW57" s="22">
        <v>118900</v>
      </c>
      <c r="AX57" s="22">
        <v>197500</v>
      </c>
      <c r="AY57" s="22">
        <v>110500</v>
      </c>
      <c r="AZ57" s="22">
        <v>198200</v>
      </c>
      <c r="BA57" s="22">
        <v>178000</v>
      </c>
      <c r="BB57" s="22">
        <v>184300</v>
      </c>
      <c r="BC57" s="22">
        <v>149300</v>
      </c>
      <c r="BD57" s="22">
        <v>108400</v>
      </c>
      <c r="BE57" s="22">
        <v>107500</v>
      </c>
      <c r="BF57" s="22">
        <v>144100</v>
      </c>
      <c r="BG57" s="22">
        <v>210400</v>
      </c>
      <c r="BH57" s="22">
        <v>135300</v>
      </c>
      <c r="BI57" s="22">
        <v>112300</v>
      </c>
      <c r="BJ57" s="22">
        <v>152000</v>
      </c>
      <c r="BK57" s="22">
        <v>168000</v>
      </c>
      <c r="BL57" s="22">
        <v>183600</v>
      </c>
    </row>
    <row r="58" spans="1:64" ht="15.95" customHeight="1">
      <c r="A58" s="433" t="s">
        <v>315</v>
      </c>
      <c r="B58" s="49" t="s">
        <v>134</v>
      </c>
      <c r="C58" s="53">
        <f>_xll.RssMarket("4676","出来高")</f>
        <v>435200</v>
      </c>
      <c r="D58" s="220">
        <f t="shared" si="0"/>
        <v>0</v>
      </c>
      <c r="E58" s="218">
        <v>435200</v>
      </c>
      <c r="F58" s="22">
        <v>371900</v>
      </c>
      <c r="G58" s="22">
        <v>571200</v>
      </c>
      <c r="H58" s="22">
        <v>597900</v>
      </c>
      <c r="I58" s="22">
        <v>543200</v>
      </c>
      <c r="J58" s="22">
        <v>835200</v>
      </c>
      <c r="K58" s="22">
        <v>2456800</v>
      </c>
      <c r="L58" s="22">
        <v>512200</v>
      </c>
      <c r="M58" s="22">
        <v>496400</v>
      </c>
      <c r="N58" s="22">
        <v>708200</v>
      </c>
      <c r="O58" s="22">
        <v>631700</v>
      </c>
      <c r="P58" s="22">
        <v>258100</v>
      </c>
      <c r="Q58" s="22">
        <v>467300</v>
      </c>
      <c r="R58" s="22">
        <v>602900</v>
      </c>
      <c r="S58" s="22">
        <v>297600</v>
      </c>
      <c r="T58" s="22">
        <v>302800</v>
      </c>
      <c r="U58" s="22">
        <v>420700</v>
      </c>
      <c r="V58" s="22">
        <v>424900</v>
      </c>
      <c r="W58" s="22">
        <v>818700</v>
      </c>
      <c r="X58" s="22">
        <v>466900</v>
      </c>
      <c r="Y58" s="22">
        <v>505700</v>
      </c>
      <c r="Z58" s="22">
        <v>1028200</v>
      </c>
      <c r="AA58" s="22">
        <v>279900</v>
      </c>
      <c r="AB58" s="22">
        <v>810100</v>
      </c>
      <c r="AC58" s="22">
        <v>810100</v>
      </c>
      <c r="AD58" s="22">
        <v>489400</v>
      </c>
      <c r="AE58" s="22">
        <v>540900</v>
      </c>
      <c r="AF58" s="22">
        <v>464000</v>
      </c>
      <c r="AG58" s="22">
        <v>698100</v>
      </c>
      <c r="AH58" s="22">
        <v>790300</v>
      </c>
      <c r="AI58" s="22">
        <v>366700</v>
      </c>
      <c r="AJ58" s="22">
        <v>497500</v>
      </c>
      <c r="AK58" s="22">
        <v>479000</v>
      </c>
      <c r="AL58" s="22">
        <v>616800</v>
      </c>
      <c r="AM58" s="22">
        <v>479900</v>
      </c>
      <c r="AN58" s="22">
        <v>1756100</v>
      </c>
      <c r="AO58" s="22">
        <v>1675300</v>
      </c>
      <c r="AP58" s="22">
        <v>2938600</v>
      </c>
      <c r="AQ58" s="22">
        <v>1374500</v>
      </c>
      <c r="AR58" s="22">
        <v>530400</v>
      </c>
      <c r="AS58" s="22">
        <v>805500</v>
      </c>
      <c r="AT58" s="22">
        <v>484200</v>
      </c>
      <c r="AU58" s="22">
        <v>1160100</v>
      </c>
      <c r="AV58" s="22">
        <v>1237600</v>
      </c>
      <c r="AW58" s="22">
        <v>1289700</v>
      </c>
      <c r="AX58" s="22">
        <v>776300</v>
      </c>
      <c r="AY58" s="22">
        <v>515400</v>
      </c>
      <c r="AZ58" s="22">
        <v>527300</v>
      </c>
      <c r="BA58" s="22">
        <v>683200</v>
      </c>
      <c r="BB58" s="22">
        <v>942500</v>
      </c>
      <c r="BC58" s="22">
        <v>1319500</v>
      </c>
      <c r="BD58" s="22">
        <v>763600</v>
      </c>
      <c r="BE58" s="22">
        <v>573600</v>
      </c>
      <c r="BF58" s="22">
        <v>954000</v>
      </c>
      <c r="BG58" s="22">
        <v>2160900</v>
      </c>
      <c r="BH58" s="22">
        <v>438000</v>
      </c>
      <c r="BI58" s="22">
        <v>579400</v>
      </c>
      <c r="BJ58" s="22">
        <v>589300</v>
      </c>
      <c r="BK58" s="22">
        <v>754000</v>
      </c>
      <c r="BL58" s="22">
        <v>1099600</v>
      </c>
    </row>
    <row r="59" spans="1:64" ht="15.95" customHeight="1">
      <c r="A59" s="433" t="s">
        <v>316</v>
      </c>
      <c r="B59" s="49" t="s">
        <v>135</v>
      </c>
      <c r="C59" s="53">
        <f>_xll.RssMarket("1961","出来高")</f>
        <v>376500</v>
      </c>
      <c r="D59" s="220">
        <f t="shared" si="0"/>
        <v>0</v>
      </c>
      <c r="E59" s="218">
        <v>376500</v>
      </c>
      <c r="F59" s="22">
        <v>448800</v>
      </c>
      <c r="G59" s="22">
        <v>635000</v>
      </c>
      <c r="H59" s="22">
        <v>721300</v>
      </c>
      <c r="I59" s="22">
        <v>890400</v>
      </c>
      <c r="J59" s="22">
        <v>684000</v>
      </c>
      <c r="K59" s="22">
        <v>677600</v>
      </c>
      <c r="L59" s="22">
        <v>715100</v>
      </c>
      <c r="M59" s="22">
        <v>339000</v>
      </c>
      <c r="N59" s="22">
        <v>536600</v>
      </c>
      <c r="O59" s="22">
        <v>878500</v>
      </c>
      <c r="P59" s="22">
        <v>484800</v>
      </c>
      <c r="Q59" s="22">
        <v>497500</v>
      </c>
      <c r="R59" s="22">
        <v>705900</v>
      </c>
      <c r="S59" s="22">
        <v>518400</v>
      </c>
      <c r="T59" s="22">
        <v>797200</v>
      </c>
      <c r="U59" s="22">
        <v>915600</v>
      </c>
      <c r="V59" s="22">
        <v>594300</v>
      </c>
      <c r="W59" s="22">
        <v>648200</v>
      </c>
      <c r="X59" s="22">
        <v>708900</v>
      </c>
      <c r="Y59" s="22">
        <v>822200</v>
      </c>
      <c r="Z59" s="22">
        <v>393500</v>
      </c>
      <c r="AA59" s="22">
        <v>595100</v>
      </c>
      <c r="AB59" s="22">
        <v>575000</v>
      </c>
      <c r="AC59" s="22">
        <v>575000</v>
      </c>
      <c r="AD59" s="22">
        <v>821200</v>
      </c>
      <c r="AE59" s="22">
        <v>1140200</v>
      </c>
      <c r="AF59" s="22">
        <v>574900</v>
      </c>
      <c r="AG59" s="22">
        <v>963700</v>
      </c>
      <c r="AH59" s="22">
        <v>710300</v>
      </c>
      <c r="AI59" s="22">
        <v>552606</v>
      </c>
      <c r="AJ59" s="22">
        <v>548105</v>
      </c>
      <c r="AK59" s="22">
        <v>584706</v>
      </c>
      <c r="AL59" s="22">
        <v>416104</v>
      </c>
      <c r="AM59" s="22">
        <v>452705</v>
      </c>
      <c r="AN59" s="22">
        <v>503705</v>
      </c>
      <c r="AO59" s="22">
        <v>985810</v>
      </c>
      <c r="AP59" s="22">
        <v>1933219</v>
      </c>
      <c r="AQ59" s="22">
        <v>1522815</v>
      </c>
      <c r="AR59" s="22">
        <v>999610</v>
      </c>
      <c r="AS59" s="22">
        <v>954310</v>
      </c>
      <c r="AT59" s="22">
        <v>1341013</v>
      </c>
      <c r="AU59" s="22">
        <v>1171812</v>
      </c>
      <c r="AV59" s="22">
        <v>767408</v>
      </c>
      <c r="AW59" s="22">
        <v>590106</v>
      </c>
      <c r="AX59" s="22">
        <v>460505</v>
      </c>
      <c r="AY59" s="22">
        <v>577806</v>
      </c>
      <c r="AZ59" s="22">
        <v>807908</v>
      </c>
      <c r="BA59" s="22">
        <v>497405</v>
      </c>
      <c r="BB59" s="22">
        <v>664207</v>
      </c>
      <c r="BC59" s="22">
        <v>895509</v>
      </c>
      <c r="BD59" s="22">
        <v>1014310</v>
      </c>
      <c r="BE59" s="22">
        <v>489905</v>
      </c>
      <c r="BF59" s="22">
        <v>533105</v>
      </c>
      <c r="BG59" s="22">
        <v>662707</v>
      </c>
      <c r="BH59" s="22">
        <v>839408</v>
      </c>
      <c r="BI59" s="22">
        <v>483305</v>
      </c>
      <c r="BJ59" s="22">
        <v>290703</v>
      </c>
      <c r="BK59" s="22">
        <v>322503</v>
      </c>
      <c r="BL59" s="22">
        <v>504305</v>
      </c>
    </row>
    <row r="60" spans="1:64" ht="15.95" customHeight="1">
      <c r="A60" s="433" t="s">
        <v>317</v>
      </c>
      <c r="B60" s="49" t="s">
        <v>136</v>
      </c>
      <c r="C60" s="53">
        <f>_xll.RssMarket("3107","出来高")</f>
        <v>294100</v>
      </c>
      <c r="D60" s="220">
        <f t="shared" si="0"/>
        <v>0</v>
      </c>
      <c r="E60" s="218">
        <v>294100</v>
      </c>
      <c r="F60" s="22">
        <v>227600</v>
      </c>
      <c r="G60" s="22">
        <v>308000</v>
      </c>
      <c r="H60" s="22">
        <v>300000</v>
      </c>
      <c r="I60" s="22">
        <v>502900</v>
      </c>
      <c r="J60" s="22">
        <v>291200</v>
      </c>
      <c r="K60" s="22">
        <v>196200</v>
      </c>
      <c r="L60" s="22">
        <v>252600</v>
      </c>
      <c r="M60" s="22">
        <v>321800</v>
      </c>
      <c r="N60" s="22">
        <v>461400</v>
      </c>
      <c r="O60" s="22">
        <v>394300</v>
      </c>
      <c r="P60" s="22">
        <v>268600</v>
      </c>
      <c r="Q60" s="22">
        <v>261400</v>
      </c>
      <c r="R60" s="22">
        <v>383500</v>
      </c>
      <c r="S60" s="22">
        <v>181600</v>
      </c>
      <c r="T60" s="22">
        <v>177200</v>
      </c>
      <c r="U60" s="22">
        <v>324900</v>
      </c>
      <c r="V60" s="22">
        <v>284300</v>
      </c>
      <c r="W60" s="22">
        <v>338600</v>
      </c>
      <c r="X60" s="22">
        <v>443600</v>
      </c>
      <c r="Y60" s="22">
        <v>499700</v>
      </c>
      <c r="Z60" s="22">
        <v>246100</v>
      </c>
      <c r="AA60" s="22">
        <v>239600</v>
      </c>
      <c r="AB60" s="22">
        <v>306800</v>
      </c>
      <c r="AC60" s="22">
        <v>306800</v>
      </c>
      <c r="AD60" s="22">
        <v>475700</v>
      </c>
      <c r="AE60" s="22">
        <v>429100</v>
      </c>
      <c r="AF60" s="22">
        <v>230800</v>
      </c>
      <c r="AG60" s="22">
        <v>226600</v>
      </c>
      <c r="AH60" s="22">
        <v>314600</v>
      </c>
      <c r="AI60" s="22">
        <v>236100</v>
      </c>
      <c r="AJ60" s="22">
        <v>210900</v>
      </c>
      <c r="AK60" s="22">
        <v>330400</v>
      </c>
      <c r="AL60" s="22">
        <v>238100</v>
      </c>
      <c r="AM60" s="22">
        <v>297900</v>
      </c>
      <c r="AN60" s="22">
        <v>300900</v>
      </c>
      <c r="AO60" s="22">
        <v>267300</v>
      </c>
      <c r="AP60" s="22">
        <v>301600</v>
      </c>
      <c r="AQ60" s="22">
        <v>205700</v>
      </c>
      <c r="AR60" s="22">
        <v>308400</v>
      </c>
      <c r="AS60" s="22">
        <v>211500</v>
      </c>
      <c r="AT60" s="22">
        <v>269400</v>
      </c>
      <c r="AU60" s="22">
        <v>231700</v>
      </c>
      <c r="AV60" s="22">
        <v>267200</v>
      </c>
      <c r="AW60" s="22">
        <v>168800</v>
      </c>
      <c r="AX60" s="22">
        <v>139600</v>
      </c>
      <c r="AY60" s="22">
        <v>250900</v>
      </c>
      <c r="AZ60" s="22">
        <v>266700</v>
      </c>
      <c r="BA60" s="22">
        <v>270900</v>
      </c>
      <c r="BB60" s="22">
        <v>358300</v>
      </c>
      <c r="BC60" s="22">
        <v>368800</v>
      </c>
      <c r="BD60" s="22">
        <v>238700</v>
      </c>
      <c r="BE60" s="22">
        <v>241900</v>
      </c>
      <c r="BF60" s="22">
        <v>199600</v>
      </c>
      <c r="BG60" s="22">
        <v>347900</v>
      </c>
      <c r="BH60" s="22">
        <v>389200</v>
      </c>
      <c r="BI60" s="22">
        <v>203500</v>
      </c>
      <c r="BJ60" s="22">
        <v>259700</v>
      </c>
      <c r="BK60" s="22">
        <v>210800</v>
      </c>
      <c r="BL60" s="22">
        <v>273700</v>
      </c>
    </row>
    <row r="61" spans="1:64" ht="15.95" customHeight="1">
      <c r="A61" s="433" t="s">
        <v>318</v>
      </c>
      <c r="B61" s="49" t="s">
        <v>137</v>
      </c>
      <c r="C61" s="53">
        <f>_xll.RssMarket("4045","出来高")</f>
        <v>170600</v>
      </c>
      <c r="D61" s="220">
        <f t="shared" si="0"/>
        <v>0</v>
      </c>
      <c r="E61" s="218">
        <v>170600</v>
      </c>
      <c r="F61" s="22">
        <v>185200</v>
      </c>
      <c r="G61" s="22">
        <v>260000</v>
      </c>
      <c r="H61" s="22">
        <v>237100</v>
      </c>
      <c r="I61" s="22">
        <v>335700</v>
      </c>
      <c r="J61" s="22">
        <v>381000</v>
      </c>
      <c r="K61" s="22">
        <v>289100</v>
      </c>
      <c r="L61" s="22">
        <v>248800</v>
      </c>
      <c r="M61" s="22">
        <v>267600</v>
      </c>
      <c r="N61" s="22">
        <v>386300</v>
      </c>
      <c r="O61" s="22">
        <v>353800</v>
      </c>
      <c r="P61" s="22">
        <v>216900</v>
      </c>
      <c r="Q61" s="22">
        <v>247500</v>
      </c>
      <c r="R61" s="22">
        <v>185900</v>
      </c>
      <c r="S61" s="22">
        <v>138200</v>
      </c>
      <c r="T61" s="22">
        <v>227300</v>
      </c>
      <c r="U61" s="22">
        <v>452400</v>
      </c>
      <c r="V61" s="22">
        <v>366200</v>
      </c>
      <c r="W61" s="22">
        <v>244600</v>
      </c>
      <c r="X61" s="22">
        <v>266600</v>
      </c>
      <c r="Y61" s="22">
        <v>208300</v>
      </c>
      <c r="Z61" s="22">
        <v>170900</v>
      </c>
      <c r="AA61" s="22">
        <v>254100</v>
      </c>
      <c r="AB61" s="22">
        <v>239000</v>
      </c>
      <c r="AC61" s="22">
        <v>239000</v>
      </c>
      <c r="AD61" s="22">
        <v>283700</v>
      </c>
      <c r="AE61" s="22">
        <v>437300</v>
      </c>
      <c r="AF61" s="22">
        <v>356200</v>
      </c>
      <c r="AG61" s="22">
        <v>608200</v>
      </c>
      <c r="AH61" s="22">
        <v>517400</v>
      </c>
      <c r="AI61" s="22">
        <v>355600</v>
      </c>
      <c r="AJ61" s="22">
        <v>319200</v>
      </c>
      <c r="AK61" s="22">
        <v>445700</v>
      </c>
      <c r="AL61" s="22">
        <v>229900</v>
      </c>
      <c r="AM61" s="22">
        <v>189100</v>
      </c>
      <c r="AN61" s="22">
        <v>225900</v>
      </c>
      <c r="AO61" s="22">
        <v>259800</v>
      </c>
      <c r="AP61" s="22">
        <v>258700</v>
      </c>
      <c r="AQ61" s="22">
        <v>211400</v>
      </c>
      <c r="AR61" s="22">
        <v>209600</v>
      </c>
      <c r="AS61" s="22">
        <v>419200</v>
      </c>
      <c r="AT61" s="22">
        <v>469900</v>
      </c>
      <c r="AU61" s="22">
        <v>460500</v>
      </c>
      <c r="AV61" s="22">
        <v>352200</v>
      </c>
      <c r="AW61" s="22">
        <v>190800</v>
      </c>
      <c r="AX61" s="22">
        <v>210400</v>
      </c>
      <c r="AY61" s="22">
        <v>217800</v>
      </c>
      <c r="AZ61" s="22">
        <v>323200</v>
      </c>
      <c r="BA61" s="22">
        <v>245200</v>
      </c>
      <c r="BB61" s="22">
        <v>322900</v>
      </c>
      <c r="BC61" s="22">
        <v>288800</v>
      </c>
      <c r="BD61" s="22">
        <v>232000</v>
      </c>
      <c r="BE61" s="22">
        <v>299000</v>
      </c>
      <c r="BF61" s="22">
        <v>360700</v>
      </c>
      <c r="BG61" s="22">
        <v>429200</v>
      </c>
      <c r="BH61" s="22">
        <v>405500</v>
      </c>
      <c r="BI61" s="22">
        <v>226900</v>
      </c>
      <c r="BJ61" s="22">
        <v>206400</v>
      </c>
      <c r="BK61" s="22">
        <v>400000</v>
      </c>
      <c r="BL61" s="22">
        <v>1060000</v>
      </c>
    </row>
    <row r="62" spans="1:64" ht="15.95" customHeight="1">
      <c r="A62" s="433" t="s">
        <v>319</v>
      </c>
      <c r="B62" s="49" t="s">
        <v>138</v>
      </c>
      <c r="C62" s="53">
        <f>_xll.RssMarket("5857","出来高")</f>
        <v>574600</v>
      </c>
      <c r="D62" s="220">
        <f t="shared" si="0"/>
        <v>0</v>
      </c>
      <c r="E62" s="218">
        <v>574600</v>
      </c>
      <c r="F62" s="22">
        <v>405000</v>
      </c>
      <c r="G62" s="22">
        <v>816600</v>
      </c>
      <c r="H62" s="22">
        <v>691300</v>
      </c>
      <c r="I62" s="22">
        <v>624200</v>
      </c>
      <c r="J62" s="22">
        <v>818900</v>
      </c>
      <c r="K62" s="22">
        <v>498700</v>
      </c>
      <c r="L62" s="22">
        <v>509400</v>
      </c>
      <c r="M62" s="22">
        <v>503100</v>
      </c>
      <c r="N62" s="22">
        <v>813800</v>
      </c>
      <c r="O62" s="22">
        <v>957800</v>
      </c>
      <c r="P62" s="22">
        <v>832300</v>
      </c>
      <c r="Q62" s="22">
        <v>804600</v>
      </c>
      <c r="R62" s="22">
        <v>668800</v>
      </c>
      <c r="S62" s="22">
        <v>614200</v>
      </c>
      <c r="T62" s="22">
        <v>732300</v>
      </c>
      <c r="U62" s="22">
        <v>751000</v>
      </c>
      <c r="V62" s="22">
        <v>477400</v>
      </c>
      <c r="W62" s="22">
        <v>727500</v>
      </c>
      <c r="X62" s="22">
        <v>765000</v>
      </c>
      <c r="Y62" s="22">
        <v>659100</v>
      </c>
      <c r="Z62" s="22">
        <v>749500</v>
      </c>
      <c r="AA62" s="22">
        <v>692900</v>
      </c>
      <c r="AB62" s="22">
        <v>1011500</v>
      </c>
      <c r="AC62" s="22">
        <v>1011500</v>
      </c>
      <c r="AD62" s="22">
        <v>1248700</v>
      </c>
      <c r="AE62" s="22">
        <v>2068300</v>
      </c>
      <c r="AF62" s="22">
        <v>626400</v>
      </c>
      <c r="AG62" s="22">
        <v>599500</v>
      </c>
      <c r="AH62" s="22">
        <v>851400</v>
      </c>
      <c r="AI62" s="22">
        <v>381200</v>
      </c>
      <c r="AJ62" s="22">
        <v>405800</v>
      </c>
      <c r="AK62" s="22">
        <v>727500</v>
      </c>
      <c r="AL62" s="22">
        <v>709700</v>
      </c>
      <c r="AM62" s="22">
        <v>1034000</v>
      </c>
      <c r="AN62" s="22">
        <v>319500</v>
      </c>
      <c r="AO62" s="22">
        <v>353500</v>
      </c>
      <c r="AP62" s="22">
        <v>459100</v>
      </c>
      <c r="AQ62" s="22">
        <v>460500</v>
      </c>
      <c r="AR62" s="22">
        <v>311700</v>
      </c>
      <c r="AS62" s="22">
        <v>335200</v>
      </c>
      <c r="AT62" s="22">
        <v>411800</v>
      </c>
      <c r="AU62" s="22">
        <v>625000</v>
      </c>
      <c r="AV62" s="22">
        <v>650100</v>
      </c>
      <c r="AW62" s="22">
        <v>270600</v>
      </c>
      <c r="AX62" s="22">
        <v>284400</v>
      </c>
      <c r="AY62" s="22">
        <v>331400</v>
      </c>
      <c r="AZ62" s="22">
        <v>691200</v>
      </c>
      <c r="BA62" s="22">
        <v>449300</v>
      </c>
      <c r="BB62" s="22">
        <v>760800</v>
      </c>
      <c r="BC62" s="22">
        <v>567100</v>
      </c>
      <c r="BD62" s="22">
        <v>431000</v>
      </c>
      <c r="BE62" s="22">
        <v>524600</v>
      </c>
      <c r="BF62" s="22">
        <v>619800</v>
      </c>
      <c r="BG62" s="22">
        <v>1306600</v>
      </c>
      <c r="BH62" s="22">
        <v>711200</v>
      </c>
      <c r="BI62" s="22">
        <v>403300</v>
      </c>
      <c r="BJ62" s="22">
        <v>398600</v>
      </c>
      <c r="BK62" s="22">
        <v>677600</v>
      </c>
      <c r="BL62" s="22">
        <v>446800</v>
      </c>
    </row>
    <row r="63" spans="1:64" ht="15.95" customHeight="1">
      <c r="A63" s="433" t="s">
        <v>320</v>
      </c>
      <c r="B63" s="49" t="s">
        <v>139</v>
      </c>
      <c r="C63" s="53">
        <f>_xll.RssMarket("8281","出来高")</f>
        <v>86700</v>
      </c>
      <c r="D63" s="220">
        <f t="shared" si="0"/>
        <v>0</v>
      </c>
      <c r="E63" s="218">
        <v>86700</v>
      </c>
      <c r="F63" s="22">
        <v>100500</v>
      </c>
      <c r="G63" s="22">
        <v>93400</v>
      </c>
      <c r="H63" s="22">
        <v>209900</v>
      </c>
      <c r="I63" s="22">
        <v>66900</v>
      </c>
      <c r="J63" s="22">
        <v>133300</v>
      </c>
      <c r="K63" s="22">
        <v>95500</v>
      </c>
      <c r="L63" s="22">
        <v>70300</v>
      </c>
      <c r="M63" s="22">
        <v>94100</v>
      </c>
      <c r="N63" s="22">
        <v>256800</v>
      </c>
      <c r="O63" s="22">
        <v>155600</v>
      </c>
      <c r="P63" s="22">
        <v>96000</v>
      </c>
      <c r="Q63" s="22">
        <v>76000</v>
      </c>
      <c r="R63" s="22">
        <v>77600</v>
      </c>
      <c r="S63" s="22">
        <v>141100</v>
      </c>
      <c r="T63" s="22">
        <v>84500</v>
      </c>
      <c r="U63" s="22">
        <v>121000</v>
      </c>
      <c r="V63" s="22">
        <v>172200</v>
      </c>
      <c r="W63" s="22">
        <v>173700</v>
      </c>
      <c r="X63" s="22">
        <v>243600</v>
      </c>
      <c r="Y63" s="22">
        <v>502700</v>
      </c>
      <c r="Z63" s="22">
        <v>120000</v>
      </c>
      <c r="AA63" s="22">
        <v>219100</v>
      </c>
      <c r="AB63" s="22">
        <v>111700</v>
      </c>
      <c r="AC63" s="22">
        <v>96300</v>
      </c>
      <c r="AD63" s="22">
        <v>96300</v>
      </c>
      <c r="AE63" s="22">
        <v>119900</v>
      </c>
      <c r="AF63" s="22">
        <v>344100</v>
      </c>
      <c r="AG63" s="22">
        <v>100200</v>
      </c>
      <c r="AH63" s="22">
        <v>109100</v>
      </c>
      <c r="AI63" s="22">
        <v>92400</v>
      </c>
      <c r="AJ63" s="22">
        <v>95200</v>
      </c>
      <c r="AK63" s="22">
        <v>86300</v>
      </c>
      <c r="AL63" s="22">
        <v>101400</v>
      </c>
      <c r="AM63" s="22">
        <v>108400</v>
      </c>
      <c r="AN63" s="22">
        <v>78000</v>
      </c>
      <c r="AO63" s="22">
        <v>142100</v>
      </c>
      <c r="AP63" s="22">
        <v>54100</v>
      </c>
      <c r="AQ63" s="22">
        <v>78300</v>
      </c>
      <c r="AR63" s="22">
        <v>75700</v>
      </c>
      <c r="AS63" s="22">
        <v>96600</v>
      </c>
      <c r="AT63" s="22">
        <v>124500</v>
      </c>
      <c r="AU63" s="22">
        <v>154200</v>
      </c>
      <c r="AV63" s="22">
        <v>73000</v>
      </c>
      <c r="AW63" s="22">
        <v>103500</v>
      </c>
      <c r="AX63" s="22">
        <v>130800</v>
      </c>
      <c r="AY63" s="22">
        <v>49100</v>
      </c>
      <c r="AZ63" s="22">
        <v>55100</v>
      </c>
      <c r="BA63" s="22">
        <v>85200</v>
      </c>
      <c r="BB63" s="22">
        <v>176000</v>
      </c>
      <c r="BC63" s="22">
        <v>377900</v>
      </c>
      <c r="BD63" s="22">
        <v>434500</v>
      </c>
      <c r="BE63" s="22">
        <v>241500</v>
      </c>
      <c r="BF63" s="22">
        <v>185300</v>
      </c>
      <c r="BG63" s="22">
        <v>182200</v>
      </c>
      <c r="BH63" s="22">
        <v>467700</v>
      </c>
      <c r="BI63" s="22">
        <v>210600</v>
      </c>
      <c r="BJ63" s="22">
        <v>112000</v>
      </c>
      <c r="BK63" s="22">
        <v>77400</v>
      </c>
      <c r="BL63" s="22">
        <v>106500</v>
      </c>
    </row>
    <row r="64" spans="1:64" ht="15.95" customHeight="1">
      <c r="A64" s="433" t="s">
        <v>321</v>
      </c>
      <c r="B64" s="49" t="s">
        <v>140</v>
      </c>
      <c r="C64" s="53">
        <f>_xll.RssMarket("4540","出来高")</f>
        <v>162100</v>
      </c>
      <c r="D64" s="220">
        <f t="shared" si="0"/>
        <v>0</v>
      </c>
      <c r="E64" s="218">
        <v>162100</v>
      </c>
      <c r="F64" s="22">
        <v>254900</v>
      </c>
      <c r="G64" s="22">
        <v>280500</v>
      </c>
      <c r="H64" s="22">
        <v>189400</v>
      </c>
      <c r="I64" s="22">
        <v>176100</v>
      </c>
      <c r="J64" s="22">
        <v>286900</v>
      </c>
      <c r="K64" s="22">
        <v>187500</v>
      </c>
      <c r="L64" s="22">
        <v>211300</v>
      </c>
      <c r="M64" s="22">
        <v>194300</v>
      </c>
      <c r="N64" s="22">
        <v>293100</v>
      </c>
      <c r="O64" s="22">
        <v>390700</v>
      </c>
      <c r="P64" s="22">
        <v>334400</v>
      </c>
      <c r="Q64" s="22">
        <v>365900</v>
      </c>
      <c r="R64" s="22">
        <v>291400</v>
      </c>
      <c r="S64" s="22">
        <v>302100</v>
      </c>
      <c r="T64" s="22">
        <v>283800</v>
      </c>
      <c r="U64" s="22">
        <v>575700</v>
      </c>
      <c r="V64" s="22">
        <v>598300</v>
      </c>
      <c r="W64" s="22">
        <v>408500</v>
      </c>
      <c r="X64" s="22">
        <v>527500</v>
      </c>
      <c r="Y64" s="22">
        <v>459700</v>
      </c>
      <c r="Z64" s="22">
        <v>803800</v>
      </c>
      <c r="AA64" s="22">
        <v>350100</v>
      </c>
      <c r="AB64" s="22">
        <v>324900</v>
      </c>
      <c r="AC64" s="22">
        <v>324900</v>
      </c>
      <c r="AD64" s="22">
        <v>376300</v>
      </c>
      <c r="AE64" s="22">
        <v>355900</v>
      </c>
      <c r="AF64" s="22">
        <v>203000</v>
      </c>
      <c r="AG64" s="22">
        <v>358000</v>
      </c>
      <c r="AH64" s="22">
        <v>350500</v>
      </c>
      <c r="AI64" s="22">
        <v>187800</v>
      </c>
      <c r="AJ64" s="22">
        <v>191300</v>
      </c>
      <c r="AK64" s="22">
        <v>309600</v>
      </c>
      <c r="AL64" s="22">
        <v>397500</v>
      </c>
      <c r="AM64" s="22">
        <v>327600</v>
      </c>
      <c r="AN64" s="22">
        <v>145200</v>
      </c>
      <c r="AO64" s="22">
        <v>175800</v>
      </c>
      <c r="AP64" s="22">
        <v>176400</v>
      </c>
      <c r="AQ64" s="22">
        <v>161600</v>
      </c>
      <c r="AR64" s="22">
        <v>165100</v>
      </c>
      <c r="AS64" s="22">
        <v>189900</v>
      </c>
      <c r="AT64" s="22">
        <v>206700</v>
      </c>
      <c r="AU64" s="22">
        <v>200100</v>
      </c>
      <c r="AV64" s="22">
        <v>227100</v>
      </c>
      <c r="AW64" s="22">
        <v>166100</v>
      </c>
      <c r="AX64" s="22">
        <v>185700</v>
      </c>
      <c r="AY64" s="22">
        <v>166800</v>
      </c>
      <c r="AZ64" s="22">
        <v>217100</v>
      </c>
      <c r="BA64" s="22">
        <v>324300</v>
      </c>
      <c r="BB64" s="22">
        <v>344500</v>
      </c>
      <c r="BC64" s="22">
        <v>398800</v>
      </c>
      <c r="BD64" s="22">
        <v>216800</v>
      </c>
      <c r="BE64" s="22">
        <v>253400</v>
      </c>
      <c r="BF64" s="22">
        <v>308500</v>
      </c>
      <c r="BG64" s="22">
        <v>297400</v>
      </c>
      <c r="BH64" s="22">
        <v>478500</v>
      </c>
      <c r="BI64" s="22">
        <v>378500</v>
      </c>
      <c r="BJ64" s="22">
        <v>317000</v>
      </c>
      <c r="BK64" s="22">
        <v>213200</v>
      </c>
      <c r="BL64" s="22">
        <v>247900</v>
      </c>
    </row>
    <row r="65" spans="1:64" ht="15.95" customHeight="1">
      <c r="A65" s="433" t="s">
        <v>322</v>
      </c>
      <c r="B65" s="49" t="s">
        <v>141</v>
      </c>
      <c r="C65" s="53">
        <f>_xll.RssMarket("9984","出来高")</f>
        <v>48833800</v>
      </c>
      <c r="D65" s="220">
        <f t="shared" si="0"/>
        <v>0</v>
      </c>
      <c r="E65" s="218">
        <v>48833800</v>
      </c>
      <c r="F65" s="22">
        <v>61595400</v>
      </c>
      <c r="G65" s="22">
        <v>75320600</v>
      </c>
      <c r="H65" s="22">
        <v>65531700</v>
      </c>
      <c r="I65" s="22">
        <v>65333800</v>
      </c>
      <c r="J65" s="22">
        <v>64167800</v>
      </c>
      <c r="K65" s="22">
        <v>62899400</v>
      </c>
      <c r="L65" s="22">
        <v>76525600</v>
      </c>
      <c r="M65" s="22">
        <v>73007300</v>
      </c>
      <c r="N65" s="22">
        <v>132031000</v>
      </c>
      <c r="O65" s="22">
        <v>81180100</v>
      </c>
      <c r="P65" s="22">
        <v>79058300</v>
      </c>
      <c r="Q65" s="22">
        <v>103217400</v>
      </c>
      <c r="R65" s="22">
        <v>91615400</v>
      </c>
      <c r="S65" s="22">
        <v>103280800</v>
      </c>
      <c r="T65" s="22">
        <v>73094900</v>
      </c>
      <c r="U65" s="22">
        <v>71784000</v>
      </c>
      <c r="V65" s="22">
        <v>53762700</v>
      </c>
      <c r="W65" s="22">
        <v>48158000</v>
      </c>
      <c r="X65" s="22">
        <v>69924000</v>
      </c>
      <c r="Y65" s="22">
        <v>69800200</v>
      </c>
      <c r="Z65" s="22">
        <v>46400500</v>
      </c>
      <c r="AA65" s="22">
        <v>57247600</v>
      </c>
      <c r="AB65" s="22">
        <v>83351500</v>
      </c>
      <c r="AC65" s="22">
        <v>83351500</v>
      </c>
      <c r="AD65" s="22">
        <v>80654100</v>
      </c>
      <c r="AE65" s="22">
        <v>119003600</v>
      </c>
      <c r="AF65" s="22">
        <v>72065400</v>
      </c>
      <c r="AG65" s="22">
        <v>101484400</v>
      </c>
      <c r="AH65" s="22">
        <v>97208200</v>
      </c>
      <c r="AI65" s="22">
        <v>99651700</v>
      </c>
      <c r="AJ65" s="22">
        <v>87686800</v>
      </c>
      <c r="AK65" s="22">
        <v>136536800</v>
      </c>
      <c r="AL65" s="22">
        <v>154144000</v>
      </c>
      <c r="AM65" s="22">
        <v>96285800</v>
      </c>
      <c r="AN65" s="22">
        <v>60475300</v>
      </c>
      <c r="AO65" s="22">
        <v>47876600</v>
      </c>
      <c r="AP65" s="22">
        <v>95147700</v>
      </c>
      <c r="AQ65" s="22">
        <v>91516800</v>
      </c>
      <c r="AR65" s="22">
        <v>93692500</v>
      </c>
      <c r="AS65" s="22">
        <v>29819900</v>
      </c>
      <c r="AT65" s="22">
        <v>46679400</v>
      </c>
      <c r="AU65" s="22">
        <v>45064100</v>
      </c>
      <c r="AV65" s="22">
        <v>51785400</v>
      </c>
      <c r="AW65" s="22">
        <v>33623300</v>
      </c>
      <c r="AX65" s="22">
        <v>28379500</v>
      </c>
      <c r="AY65" s="22">
        <v>32539500</v>
      </c>
      <c r="AZ65" s="22">
        <v>68824100</v>
      </c>
      <c r="BA65" s="22">
        <v>49237100</v>
      </c>
      <c r="BB65" s="22">
        <v>65675000</v>
      </c>
      <c r="BC65" s="22">
        <v>66029500</v>
      </c>
      <c r="BD65" s="22">
        <v>70316200</v>
      </c>
      <c r="BE65" s="22">
        <v>56598700</v>
      </c>
      <c r="BF65" s="22">
        <v>35242200</v>
      </c>
      <c r="BG65" s="22">
        <v>43467400</v>
      </c>
      <c r="BH65" s="22">
        <v>35935700</v>
      </c>
      <c r="BI65" s="22">
        <v>35075000</v>
      </c>
      <c r="BJ65" s="22">
        <v>34192500</v>
      </c>
      <c r="BK65" s="22">
        <v>34790800</v>
      </c>
      <c r="BL65" s="22">
        <v>41911500</v>
      </c>
    </row>
    <row r="66" spans="1:64" ht="15.95" customHeight="1">
      <c r="A66" s="433" t="s">
        <v>323</v>
      </c>
      <c r="B66" s="49" t="s">
        <v>51</v>
      </c>
      <c r="C66" s="53">
        <f>_xll.RssMarket("4063","出来高")</f>
        <v>4866300</v>
      </c>
      <c r="D66" s="220">
        <f t="shared" si="0"/>
        <v>0</v>
      </c>
      <c r="E66" s="218">
        <v>4866300</v>
      </c>
      <c r="F66" s="22">
        <v>5285700</v>
      </c>
      <c r="G66" s="22">
        <v>9888800</v>
      </c>
      <c r="H66" s="22">
        <v>8104400</v>
      </c>
      <c r="I66" s="22">
        <v>7626000</v>
      </c>
      <c r="J66" s="22">
        <v>7427500</v>
      </c>
      <c r="K66" s="22">
        <v>6100000</v>
      </c>
      <c r="L66" s="22">
        <v>6730800</v>
      </c>
      <c r="M66" s="22">
        <v>8189400</v>
      </c>
      <c r="N66" s="22">
        <v>8746700</v>
      </c>
      <c r="O66" s="22">
        <v>15831800</v>
      </c>
      <c r="P66" s="22">
        <v>7618800</v>
      </c>
      <c r="Q66" s="22">
        <v>11120800</v>
      </c>
      <c r="R66" s="22">
        <v>7333900</v>
      </c>
      <c r="S66" s="22">
        <v>7917200</v>
      </c>
      <c r="T66" s="22">
        <v>6503700</v>
      </c>
      <c r="U66" s="22">
        <v>5117500</v>
      </c>
      <c r="V66" s="22">
        <v>5504100</v>
      </c>
      <c r="W66" s="22">
        <v>5254300</v>
      </c>
      <c r="X66" s="22">
        <v>7528300</v>
      </c>
      <c r="Y66" s="22">
        <v>6194100</v>
      </c>
      <c r="Z66" s="22">
        <v>6777500</v>
      </c>
      <c r="AA66" s="22">
        <v>5350500</v>
      </c>
      <c r="AB66" s="22">
        <v>8717000</v>
      </c>
      <c r="AC66" s="22">
        <v>8717000</v>
      </c>
      <c r="AD66" s="22">
        <v>10411800</v>
      </c>
      <c r="AE66" s="22">
        <v>16438600</v>
      </c>
      <c r="AF66" s="22">
        <v>8745000</v>
      </c>
      <c r="AG66" s="22">
        <v>17278400</v>
      </c>
      <c r="AH66" s="22">
        <v>8604800</v>
      </c>
      <c r="AI66" s="22">
        <v>8365900</v>
      </c>
      <c r="AJ66" s="22">
        <v>5016200</v>
      </c>
      <c r="AK66" s="22">
        <v>5907500</v>
      </c>
      <c r="AL66" s="22">
        <v>6503000</v>
      </c>
      <c r="AM66" s="22">
        <v>8190200</v>
      </c>
      <c r="AN66" s="22">
        <v>9389000</v>
      </c>
      <c r="AO66" s="22">
        <v>8437800</v>
      </c>
      <c r="AP66" s="22">
        <v>8265500</v>
      </c>
      <c r="AQ66" s="22">
        <v>10556400</v>
      </c>
      <c r="AR66" s="22">
        <v>6472300</v>
      </c>
      <c r="AS66" s="22">
        <v>8241400</v>
      </c>
      <c r="AT66" s="22">
        <v>6428200</v>
      </c>
      <c r="AU66" s="22">
        <v>9355900</v>
      </c>
      <c r="AV66" s="22">
        <v>18412500</v>
      </c>
      <c r="AW66" s="22">
        <v>4807800</v>
      </c>
      <c r="AX66" s="22">
        <v>5253100</v>
      </c>
      <c r="AY66" s="22">
        <v>4405400</v>
      </c>
      <c r="AZ66" s="22">
        <v>7241600</v>
      </c>
      <c r="BA66" s="22">
        <v>9274100</v>
      </c>
      <c r="BB66" s="22">
        <v>11289900</v>
      </c>
      <c r="BC66" s="22">
        <v>10144400</v>
      </c>
      <c r="BD66" s="22">
        <v>7075700</v>
      </c>
      <c r="BE66" s="22">
        <v>8538900</v>
      </c>
      <c r="BF66" s="22">
        <v>8234900</v>
      </c>
      <c r="BG66" s="22">
        <v>17076600</v>
      </c>
      <c r="BH66" s="22">
        <v>10998400</v>
      </c>
      <c r="BI66" s="22">
        <v>8883400</v>
      </c>
      <c r="BJ66" s="22">
        <v>8067900</v>
      </c>
      <c r="BK66" s="22">
        <v>9079200</v>
      </c>
      <c r="BL66" s="22">
        <v>13581100</v>
      </c>
    </row>
    <row r="67" spans="1:64" ht="15.95" customHeight="1">
      <c r="A67" s="433" t="s">
        <v>324</v>
      </c>
      <c r="B67" s="49" t="s">
        <v>54</v>
      </c>
      <c r="C67" s="53">
        <f>_xll.RssMarket("4536","出来高")</f>
        <v>896900</v>
      </c>
      <c r="D67" s="220">
        <f t="shared" si="0"/>
        <v>0</v>
      </c>
      <c r="E67" s="218">
        <v>896900</v>
      </c>
      <c r="F67" s="22">
        <v>867000</v>
      </c>
      <c r="G67" s="22">
        <v>1152400</v>
      </c>
      <c r="H67" s="22">
        <v>1201100</v>
      </c>
      <c r="I67" s="22">
        <v>983900</v>
      </c>
      <c r="J67" s="22">
        <v>1478800</v>
      </c>
      <c r="K67" s="22">
        <v>1254200</v>
      </c>
      <c r="L67" s="22">
        <v>926800</v>
      </c>
      <c r="M67" s="22">
        <v>1012600</v>
      </c>
      <c r="N67" s="22">
        <v>939300</v>
      </c>
      <c r="O67" s="22">
        <v>1092300</v>
      </c>
      <c r="P67" s="22">
        <v>1216000</v>
      </c>
      <c r="Q67" s="22">
        <v>1167900</v>
      </c>
      <c r="R67" s="22">
        <v>1113800</v>
      </c>
      <c r="S67" s="22">
        <v>968500</v>
      </c>
      <c r="T67" s="22">
        <v>1160000</v>
      </c>
      <c r="U67" s="22">
        <v>1325500</v>
      </c>
      <c r="V67" s="22">
        <v>1340400</v>
      </c>
      <c r="W67" s="22">
        <v>951700</v>
      </c>
      <c r="X67" s="22">
        <v>1531000</v>
      </c>
      <c r="Y67" s="22">
        <v>2302000</v>
      </c>
      <c r="Z67" s="22">
        <v>3528600</v>
      </c>
      <c r="AA67" s="22">
        <v>1607900</v>
      </c>
      <c r="AB67" s="22">
        <v>1070900</v>
      </c>
      <c r="AC67" s="22">
        <v>1070900</v>
      </c>
      <c r="AD67" s="22">
        <v>1155800</v>
      </c>
      <c r="AE67" s="22">
        <v>1152500</v>
      </c>
      <c r="AF67" s="22">
        <v>792700</v>
      </c>
      <c r="AG67" s="22">
        <v>979500</v>
      </c>
      <c r="AH67" s="22">
        <v>656000</v>
      </c>
      <c r="AI67" s="22">
        <v>569400</v>
      </c>
      <c r="AJ67" s="22">
        <v>804600</v>
      </c>
      <c r="AK67" s="22">
        <v>713500</v>
      </c>
      <c r="AL67" s="22">
        <v>903300</v>
      </c>
      <c r="AM67" s="22">
        <v>676700</v>
      </c>
      <c r="AN67" s="22">
        <v>690900</v>
      </c>
      <c r="AO67" s="22">
        <v>973800</v>
      </c>
      <c r="AP67" s="22">
        <v>836400</v>
      </c>
      <c r="AQ67" s="22">
        <v>781600</v>
      </c>
      <c r="AR67" s="22">
        <v>1024700</v>
      </c>
      <c r="AS67" s="22">
        <v>1097000</v>
      </c>
      <c r="AT67" s="22">
        <v>988100</v>
      </c>
      <c r="AU67" s="22">
        <v>1147700</v>
      </c>
      <c r="AV67" s="22">
        <v>1478200</v>
      </c>
      <c r="AW67" s="22">
        <v>799500</v>
      </c>
      <c r="AX67" s="22">
        <v>1093500</v>
      </c>
      <c r="AY67" s="22">
        <v>577900</v>
      </c>
      <c r="AZ67" s="22">
        <v>913400</v>
      </c>
      <c r="BA67" s="22">
        <v>933900</v>
      </c>
      <c r="BB67" s="22">
        <v>1164700</v>
      </c>
      <c r="BC67" s="22">
        <v>1250600</v>
      </c>
      <c r="BD67" s="22">
        <v>901600</v>
      </c>
      <c r="BE67" s="22">
        <v>1030900</v>
      </c>
      <c r="BF67" s="22">
        <v>1055300</v>
      </c>
      <c r="BG67" s="22">
        <v>933700</v>
      </c>
      <c r="BH67" s="22">
        <v>1513200</v>
      </c>
      <c r="BI67" s="22">
        <v>767800</v>
      </c>
      <c r="BJ67" s="22">
        <v>901100</v>
      </c>
      <c r="BK67" s="22">
        <v>906400</v>
      </c>
      <c r="BL67" s="22">
        <v>986000</v>
      </c>
    </row>
    <row r="68" spans="1:64" ht="15.95" customHeight="1">
      <c r="A68" s="433" t="s">
        <v>325</v>
      </c>
      <c r="B68" s="49" t="s">
        <v>52</v>
      </c>
      <c r="C68" s="53">
        <f>_xll.RssMarket("6503","出来高")</f>
        <v>4255000</v>
      </c>
      <c r="D68" s="220">
        <f t="shared" si="0"/>
        <v>0</v>
      </c>
      <c r="E68" s="218">
        <v>4255000</v>
      </c>
      <c r="F68" s="22">
        <v>6728200</v>
      </c>
      <c r="G68" s="22">
        <v>8209700</v>
      </c>
      <c r="H68" s="22">
        <v>7318500</v>
      </c>
      <c r="I68" s="22">
        <v>9152600</v>
      </c>
      <c r="J68" s="22">
        <v>7398800</v>
      </c>
      <c r="K68" s="22">
        <v>5707800</v>
      </c>
      <c r="L68" s="22">
        <v>6699000</v>
      </c>
      <c r="M68" s="22">
        <v>5455800</v>
      </c>
      <c r="N68" s="22">
        <v>9193900</v>
      </c>
      <c r="O68" s="22">
        <v>14852400</v>
      </c>
      <c r="P68" s="22">
        <v>7953400</v>
      </c>
      <c r="Q68" s="22">
        <v>5960900</v>
      </c>
      <c r="R68" s="22">
        <v>5608300</v>
      </c>
      <c r="S68" s="22">
        <v>6834800</v>
      </c>
      <c r="T68" s="22">
        <v>8500900</v>
      </c>
      <c r="U68" s="22">
        <v>10679400</v>
      </c>
      <c r="V68" s="22">
        <v>9166700</v>
      </c>
      <c r="W68" s="22">
        <v>6997100</v>
      </c>
      <c r="X68" s="22">
        <v>8906700</v>
      </c>
      <c r="Y68" s="22">
        <v>6838400</v>
      </c>
      <c r="Z68" s="22">
        <v>4512200</v>
      </c>
      <c r="AA68" s="22">
        <v>5642700</v>
      </c>
      <c r="AB68" s="22">
        <v>7418200</v>
      </c>
      <c r="AC68" s="22">
        <v>7418200</v>
      </c>
      <c r="AD68" s="22">
        <v>8585500</v>
      </c>
      <c r="AE68" s="22">
        <v>12043300</v>
      </c>
      <c r="AF68" s="22">
        <v>6295700</v>
      </c>
      <c r="AG68" s="22">
        <v>13025200</v>
      </c>
      <c r="AH68" s="22">
        <v>9526000</v>
      </c>
      <c r="AI68" s="22">
        <v>7729900</v>
      </c>
      <c r="AJ68" s="22">
        <v>4219000</v>
      </c>
      <c r="AK68" s="22">
        <v>7685300</v>
      </c>
      <c r="AL68" s="22">
        <v>4450800</v>
      </c>
      <c r="AM68" s="22">
        <v>5315200</v>
      </c>
      <c r="AN68" s="22">
        <v>5914100</v>
      </c>
      <c r="AO68" s="22">
        <v>5511200</v>
      </c>
      <c r="AP68" s="22">
        <v>4956600</v>
      </c>
      <c r="AQ68" s="22">
        <v>5117500</v>
      </c>
      <c r="AR68" s="22">
        <v>5422000</v>
      </c>
      <c r="AS68" s="22">
        <v>4120200</v>
      </c>
      <c r="AT68" s="22">
        <v>6068800</v>
      </c>
      <c r="AU68" s="22">
        <v>5402400</v>
      </c>
      <c r="AV68" s="22">
        <v>5868900</v>
      </c>
      <c r="AW68" s="22">
        <v>3475800</v>
      </c>
      <c r="AX68" s="22">
        <v>3453100</v>
      </c>
      <c r="AY68" s="22">
        <v>3487500</v>
      </c>
      <c r="AZ68" s="22">
        <v>6041100</v>
      </c>
      <c r="BA68" s="22">
        <v>8731700</v>
      </c>
      <c r="BB68" s="22">
        <v>7621400</v>
      </c>
      <c r="BC68" s="22">
        <v>7564900</v>
      </c>
      <c r="BD68" s="22">
        <v>4881300</v>
      </c>
      <c r="BE68" s="22">
        <v>5387700</v>
      </c>
      <c r="BF68" s="22">
        <v>3909300</v>
      </c>
      <c r="BG68" s="22">
        <v>7279000</v>
      </c>
      <c r="BH68" s="22">
        <v>7867000</v>
      </c>
      <c r="BI68" s="22">
        <v>4594900</v>
      </c>
      <c r="BJ68" s="22">
        <v>4902000</v>
      </c>
      <c r="BK68" s="22">
        <v>5855300</v>
      </c>
      <c r="BL68" s="22">
        <v>4956800</v>
      </c>
    </row>
    <row r="69" spans="1:64" ht="15.95" customHeight="1">
      <c r="A69" s="433" t="s">
        <v>326</v>
      </c>
      <c r="B69" s="49" t="s">
        <v>55</v>
      </c>
      <c r="C69" s="53">
        <f>_xll.RssMarket("4980","出来高")</f>
        <v>2442300</v>
      </c>
      <c r="D69" s="220">
        <f t="shared" si="0"/>
        <v>0</v>
      </c>
      <c r="E69" s="218">
        <v>2442300</v>
      </c>
      <c r="F69" s="22">
        <v>2858100</v>
      </c>
      <c r="G69" s="22">
        <v>2617000</v>
      </c>
      <c r="H69" s="22">
        <v>2593300</v>
      </c>
      <c r="I69" s="22">
        <v>2935000</v>
      </c>
      <c r="J69" s="22">
        <v>2851100</v>
      </c>
      <c r="K69" s="22">
        <v>1894400</v>
      </c>
      <c r="L69" s="22">
        <v>1851000</v>
      </c>
      <c r="M69" s="22">
        <v>4259700</v>
      </c>
      <c r="N69" s="22">
        <v>3075500</v>
      </c>
      <c r="O69" s="22">
        <v>2230100</v>
      </c>
      <c r="P69" s="22">
        <v>2659800</v>
      </c>
      <c r="Q69" s="22">
        <v>2510200</v>
      </c>
      <c r="R69" s="22">
        <v>2788600</v>
      </c>
      <c r="S69" s="22">
        <v>3090200</v>
      </c>
      <c r="T69" s="22">
        <v>5139000</v>
      </c>
      <c r="U69" s="22">
        <v>9140000</v>
      </c>
      <c r="V69" s="22">
        <v>6417700</v>
      </c>
      <c r="W69" s="22">
        <v>12340900</v>
      </c>
      <c r="X69" s="22">
        <v>1252400</v>
      </c>
      <c r="Y69" s="22">
        <v>668100</v>
      </c>
      <c r="Z69" s="22">
        <v>2317200</v>
      </c>
      <c r="AA69" s="22">
        <v>1701300</v>
      </c>
      <c r="AB69" s="22">
        <v>2406700</v>
      </c>
      <c r="AC69" s="22">
        <v>2406700</v>
      </c>
      <c r="AD69" s="22">
        <v>1970800</v>
      </c>
      <c r="AE69" s="22">
        <v>2383900</v>
      </c>
      <c r="AF69" s="22">
        <v>913500</v>
      </c>
      <c r="AG69" s="22">
        <v>1292500</v>
      </c>
      <c r="AH69" s="22">
        <v>1300000</v>
      </c>
      <c r="AI69" s="22">
        <v>1811000</v>
      </c>
      <c r="AJ69" s="22">
        <v>1050800</v>
      </c>
      <c r="AK69" s="22">
        <v>1253500</v>
      </c>
      <c r="AL69" s="22">
        <v>901700</v>
      </c>
      <c r="AM69" s="22">
        <v>1155000</v>
      </c>
      <c r="AN69" s="22">
        <v>1718300</v>
      </c>
      <c r="AO69" s="22">
        <v>1680200</v>
      </c>
      <c r="AP69" s="22">
        <v>1446600</v>
      </c>
      <c r="AQ69" s="22">
        <v>1129100</v>
      </c>
      <c r="AR69" s="22">
        <v>1543300</v>
      </c>
      <c r="AS69" s="22">
        <v>1119400</v>
      </c>
      <c r="AT69" s="22">
        <v>1199100</v>
      </c>
      <c r="AU69" s="22">
        <v>1105900</v>
      </c>
      <c r="AV69" s="22">
        <v>2224300</v>
      </c>
      <c r="AW69" s="22">
        <v>825000</v>
      </c>
      <c r="AX69" s="22">
        <v>1189600</v>
      </c>
      <c r="AY69" s="22">
        <v>1158300</v>
      </c>
      <c r="AZ69" s="22">
        <v>1768400</v>
      </c>
      <c r="BA69" s="22">
        <v>1442000</v>
      </c>
      <c r="BB69" s="22">
        <v>1314700</v>
      </c>
      <c r="BC69" s="22">
        <v>1414800</v>
      </c>
      <c r="BD69" s="22">
        <v>819300</v>
      </c>
      <c r="BE69" s="22">
        <v>1224300</v>
      </c>
      <c r="BF69" s="22">
        <v>1390800</v>
      </c>
      <c r="BG69" s="22">
        <v>1705100</v>
      </c>
      <c r="BH69" s="22">
        <v>1400300</v>
      </c>
      <c r="BI69" s="22">
        <v>1639200</v>
      </c>
      <c r="BJ69" s="22">
        <v>1759300</v>
      </c>
      <c r="BK69" s="22">
        <v>2510900</v>
      </c>
      <c r="BL69" s="22">
        <v>1701300</v>
      </c>
    </row>
    <row r="70" spans="1:64" ht="15.95" customHeight="1">
      <c r="A70" s="433" t="s">
        <v>327</v>
      </c>
      <c r="B70" s="49" t="s">
        <v>56</v>
      </c>
      <c r="C70" s="53">
        <f>_xll.RssMarket("9424","出来高")</f>
        <v>1549700</v>
      </c>
      <c r="D70" s="220">
        <f t="shared" ref="D70:D133" si="1">C70-E70</f>
        <v>0</v>
      </c>
      <c r="E70" s="218">
        <v>1549700</v>
      </c>
      <c r="F70" s="22">
        <v>1243700</v>
      </c>
      <c r="G70" s="22">
        <v>1948100</v>
      </c>
      <c r="H70" s="22">
        <v>1954300</v>
      </c>
      <c r="I70" s="22">
        <v>1847900</v>
      </c>
      <c r="J70" s="22">
        <v>2346400</v>
      </c>
      <c r="K70" s="22">
        <v>1967500</v>
      </c>
      <c r="L70" s="22">
        <v>2191100</v>
      </c>
      <c r="M70" s="22">
        <v>1802700</v>
      </c>
      <c r="N70" s="22">
        <v>2161300</v>
      </c>
      <c r="O70" s="22">
        <v>1861400</v>
      </c>
      <c r="P70" s="22">
        <v>1968100</v>
      </c>
      <c r="Q70" s="22">
        <v>3788900</v>
      </c>
      <c r="R70" s="22">
        <v>3766700</v>
      </c>
      <c r="S70" s="22">
        <v>2547800</v>
      </c>
      <c r="T70" s="22">
        <v>2954700</v>
      </c>
      <c r="U70" s="22">
        <v>2232000</v>
      </c>
      <c r="V70" s="22">
        <v>2186300</v>
      </c>
      <c r="W70" s="22">
        <v>2907700</v>
      </c>
      <c r="X70" s="22">
        <v>1185600</v>
      </c>
      <c r="Y70" s="22">
        <v>1363600</v>
      </c>
      <c r="Z70" s="22">
        <v>1561100</v>
      </c>
      <c r="AA70" s="22">
        <v>1656500</v>
      </c>
      <c r="AB70" s="22">
        <v>2645300</v>
      </c>
      <c r="AC70" s="22">
        <v>2645300</v>
      </c>
      <c r="AD70" s="22">
        <v>5397500</v>
      </c>
      <c r="AE70" s="22">
        <v>2114500</v>
      </c>
      <c r="AF70" s="22">
        <v>1516900</v>
      </c>
      <c r="AG70" s="22">
        <v>1300000</v>
      </c>
      <c r="AH70" s="22">
        <v>2124800</v>
      </c>
      <c r="AI70" s="22">
        <v>1221400</v>
      </c>
      <c r="AJ70" s="22">
        <v>1689400</v>
      </c>
      <c r="AK70" s="22">
        <v>3172000</v>
      </c>
      <c r="AL70" s="22">
        <v>1378300</v>
      </c>
      <c r="AM70" s="22">
        <v>1356700</v>
      </c>
      <c r="AN70" s="22">
        <v>1442900</v>
      </c>
      <c r="AO70" s="22">
        <v>1703700</v>
      </c>
      <c r="AP70" s="22">
        <v>1137600</v>
      </c>
      <c r="AQ70" s="22">
        <v>3070100</v>
      </c>
      <c r="AR70" s="22">
        <v>1134400</v>
      </c>
      <c r="AS70" s="22">
        <v>2516200</v>
      </c>
      <c r="AT70" s="22">
        <v>2332900</v>
      </c>
      <c r="AU70" s="22">
        <v>1312500</v>
      </c>
      <c r="AV70" s="22">
        <v>1827100</v>
      </c>
      <c r="AW70" s="22">
        <v>1258100</v>
      </c>
      <c r="AX70" s="22">
        <v>1781200</v>
      </c>
      <c r="AY70" s="22">
        <v>2144600</v>
      </c>
      <c r="AZ70" s="22">
        <v>1992000</v>
      </c>
      <c r="BA70" s="22">
        <v>1596500</v>
      </c>
      <c r="BB70" s="22">
        <v>2023000</v>
      </c>
      <c r="BC70" s="22">
        <v>2323100</v>
      </c>
      <c r="BD70" s="22">
        <v>1406500</v>
      </c>
      <c r="BE70" s="22">
        <v>1637700</v>
      </c>
      <c r="BF70" s="22">
        <v>1402000</v>
      </c>
      <c r="BG70" s="22">
        <v>3165300</v>
      </c>
      <c r="BH70" s="22">
        <v>2052800</v>
      </c>
      <c r="BI70" s="22">
        <v>2052600</v>
      </c>
      <c r="BJ70" s="22">
        <v>1351000</v>
      </c>
      <c r="BK70" s="22">
        <v>1499300</v>
      </c>
      <c r="BL70" s="22">
        <v>1954300</v>
      </c>
    </row>
    <row r="71" spans="1:64" ht="15.95" customHeight="1">
      <c r="A71" s="433" t="s">
        <v>328</v>
      </c>
      <c r="B71" s="49" t="s">
        <v>57</v>
      </c>
      <c r="C71" s="53">
        <f>_xll.RssMarket("3854","出来高")</f>
        <v>125700</v>
      </c>
      <c r="D71" s="220">
        <f t="shared" si="1"/>
        <v>0</v>
      </c>
      <c r="E71" s="218">
        <v>125700</v>
      </c>
      <c r="F71" s="22">
        <v>71600</v>
      </c>
      <c r="G71" s="22">
        <v>152200</v>
      </c>
      <c r="H71" s="22">
        <v>112200</v>
      </c>
      <c r="I71" s="22">
        <v>88700</v>
      </c>
      <c r="J71" s="22">
        <v>217500</v>
      </c>
      <c r="K71" s="22">
        <v>105100</v>
      </c>
      <c r="L71" s="22">
        <v>100800</v>
      </c>
      <c r="M71" s="22">
        <v>102300</v>
      </c>
      <c r="N71" s="22">
        <v>66600</v>
      </c>
      <c r="O71" s="22">
        <v>97200</v>
      </c>
      <c r="P71" s="22">
        <v>98400</v>
      </c>
      <c r="Q71" s="22">
        <v>45900</v>
      </c>
      <c r="R71" s="22">
        <v>114200</v>
      </c>
      <c r="S71" s="22">
        <v>87600</v>
      </c>
      <c r="T71" s="22">
        <v>49400</v>
      </c>
      <c r="U71" s="22">
        <v>65200</v>
      </c>
      <c r="V71" s="22">
        <v>52500</v>
      </c>
      <c r="W71" s="22">
        <v>75300</v>
      </c>
      <c r="X71" s="22">
        <v>41300</v>
      </c>
      <c r="Y71" s="22">
        <v>50900</v>
      </c>
      <c r="Z71" s="22">
        <v>36300</v>
      </c>
      <c r="AA71" s="22">
        <v>47700</v>
      </c>
      <c r="AB71" s="22">
        <v>49000</v>
      </c>
      <c r="AC71" s="22">
        <v>49000</v>
      </c>
      <c r="AD71" s="22">
        <v>71600</v>
      </c>
      <c r="AE71" s="22">
        <v>51300</v>
      </c>
      <c r="AF71" s="22">
        <v>57300</v>
      </c>
      <c r="AG71" s="22">
        <v>75700</v>
      </c>
      <c r="AH71" s="22">
        <v>182200</v>
      </c>
      <c r="AI71" s="22">
        <v>52000</v>
      </c>
      <c r="AJ71" s="22">
        <v>46600</v>
      </c>
      <c r="AK71" s="22">
        <v>62800</v>
      </c>
      <c r="AL71" s="22">
        <v>55600</v>
      </c>
      <c r="AM71" s="22">
        <v>52600</v>
      </c>
      <c r="AN71" s="22">
        <v>56400</v>
      </c>
      <c r="AO71" s="22">
        <v>66600</v>
      </c>
      <c r="AP71" s="22">
        <v>50400</v>
      </c>
      <c r="AQ71" s="22">
        <v>54300</v>
      </c>
      <c r="AR71" s="22">
        <v>46600</v>
      </c>
      <c r="AS71" s="22">
        <v>62300</v>
      </c>
      <c r="AT71" s="22">
        <v>60800</v>
      </c>
      <c r="AU71" s="22">
        <v>55800</v>
      </c>
      <c r="AV71" s="22">
        <v>59100</v>
      </c>
      <c r="AW71" s="22">
        <v>57100</v>
      </c>
      <c r="AX71" s="22">
        <v>43400</v>
      </c>
      <c r="AY71" s="22">
        <v>31000</v>
      </c>
      <c r="AZ71" s="22">
        <v>46400</v>
      </c>
      <c r="BA71" s="22">
        <v>42600</v>
      </c>
      <c r="BB71" s="22">
        <v>82500</v>
      </c>
      <c r="BC71" s="22">
        <v>69200</v>
      </c>
      <c r="BD71" s="22">
        <v>43600</v>
      </c>
      <c r="BE71" s="22">
        <v>41600</v>
      </c>
      <c r="BF71" s="22">
        <v>36300</v>
      </c>
      <c r="BG71" s="22">
        <v>60700</v>
      </c>
      <c r="BH71" s="22">
        <v>47300</v>
      </c>
      <c r="BI71" s="22">
        <v>49900</v>
      </c>
      <c r="BJ71" s="22">
        <v>34300</v>
      </c>
      <c r="BK71" s="22">
        <v>57600</v>
      </c>
      <c r="BL71" s="22">
        <v>46900</v>
      </c>
    </row>
    <row r="72" spans="1:64" ht="15.95" customHeight="1">
      <c r="A72" s="433" t="s">
        <v>329</v>
      </c>
      <c r="B72" s="49" t="s">
        <v>58</v>
      </c>
      <c r="C72" s="53">
        <f>_xll.RssMarket("6027","出来高")</f>
        <v>110400</v>
      </c>
      <c r="D72" s="220">
        <f t="shared" si="1"/>
        <v>0</v>
      </c>
      <c r="E72" s="218">
        <v>110400</v>
      </c>
      <c r="F72" s="22">
        <v>91300</v>
      </c>
      <c r="G72" s="22">
        <v>115300</v>
      </c>
      <c r="H72" s="22">
        <v>99100</v>
      </c>
      <c r="I72" s="22">
        <v>89100</v>
      </c>
      <c r="J72" s="22">
        <v>104500</v>
      </c>
      <c r="K72" s="22">
        <v>80900</v>
      </c>
      <c r="L72" s="22">
        <v>106700</v>
      </c>
      <c r="M72" s="22">
        <v>114200</v>
      </c>
      <c r="N72" s="22">
        <v>119200</v>
      </c>
      <c r="O72" s="22">
        <v>67700</v>
      </c>
      <c r="P72" s="22">
        <v>98800</v>
      </c>
      <c r="Q72" s="22">
        <v>101400</v>
      </c>
      <c r="R72" s="22">
        <v>84400</v>
      </c>
      <c r="S72" s="22">
        <v>68500</v>
      </c>
      <c r="T72" s="22">
        <v>42600</v>
      </c>
      <c r="U72" s="22">
        <v>119700</v>
      </c>
      <c r="V72" s="22">
        <v>101500</v>
      </c>
      <c r="W72" s="22">
        <v>160200</v>
      </c>
      <c r="X72" s="22">
        <v>147300</v>
      </c>
      <c r="Y72" s="22">
        <v>202000</v>
      </c>
      <c r="Z72" s="22">
        <v>113900</v>
      </c>
      <c r="AA72" s="22">
        <v>49300</v>
      </c>
      <c r="AB72" s="22">
        <v>77300</v>
      </c>
      <c r="AC72" s="22">
        <v>77300</v>
      </c>
      <c r="AD72" s="22">
        <v>88300</v>
      </c>
      <c r="AE72" s="22">
        <v>105900</v>
      </c>
      <c r="AF72" s="22">
        <v>51000</v>
      </c>
      <c r="AG72" s="22">
        <v>45300</v>
      </c>
      <c r="AH72" s="22">
        <v>258800</v>
      </c>
      <c r="AI72" s="22">
        <v>142000</v>
      </c>
      <c r="AJ72" s="22">
        <v>87600</v>
      </c>
      <c r="AK72" s="22">
        <v>51900</v>
      </c>
      <c r="AL72" s="22">
        <v>60300</v>
      </c>
      <c r="AM72" s="22">
        <v>51000</v>
      </c>
      <c r="AN72" s="22">
        <v>55400</v>
      </c>
      <c r="AO72" s="22">
        <v>106900</v>
      </c>
      <c r="AP72" s="22">
        <v>137700</v>
      </c>
      <c r="AQ72" s="22">
        <v>161500</v>
      </c>
      <c r="AR72" s="22">
        <v>108800</v>
      </c>
      <c r="AS72" s="22">
        <v>101800</v>
      </c>
      <c r="AT72" s="22">
        <v>260600</v>
      </c>
      <c r="AU72" s="22">
        <v>280300</v>
      </c>
      <c r="AV72" s="22">
        <v>109800</v>
      </c>
      <c r="AW72" s="22">
        <v>41400</v>
      </c>
      <c r="AX72" s="22">
        <v>58100</v>
      </c>
      <c r="AY72" s="22">
        <v>109000</v>
      </c>
      <c r="AZ72" s="22">
        <v>101100</v>
      </c>
      <c r="BA72" s="22">
        <v>77400</v>
      </c>
      <c r="BB72" s="22">
        <v>112900</v>
      </c>
      <c r="BC72" s="22">
        <v>159100</v>
      </c>
      <c r="BD72" s="22">
        <v>73600</v>
      </c>
      <c r="BE72" s="22">
        <v>74000</v>
      </c>
      <c r="BF72" s="22">
        <v>80800</v>
      </c>
      <c r="BG72" s="22">
        <v>49000</v>
      </c>
      <c r="BH72" s="22">
        <v>88400</v>
      </c>
      <c r="BI72" s="22">
        <v>66000</v>
      </c>
      <c r="BJ72" s="22">
        <v>31100</v>
      </c>
      <c r="BK72" s="22">
        <v>94800</v>
      </c>
      <c r="BL72" s="22">
        <v>60100</v>
      </c>
    </row>
    <row r="73" spans="1:64" ht="15.95" customHeight="1">
      <c r="A73" s="433" t="s">
        <v>330</v>
      </c>
      <c r="B73" s="49" t="s">
        <v>59</v>
      </c>
      <c r="C73" s="53">
        <f>_xll.RssMarket("7806","出来高")</f>
        <v>101100</v>
      </c>
      <c r="D73" s="220">
        <f t="shared" si="1"/>
        <v>0</v>
      </c>
      <c r="E73" s="218">
        <v>101100</v>
      </c>
      <c r="F73" s="22">
        <v>70700</v>
      </c>
      <c r="G73" s="22">
        <v>76100</v>
      </c>
      <c r="H73" s="22">
        <v>123300</v>
      </c>
      <c r="I73" s="22">
        <v>81800</v>
      </c>
      <c r="J73" s="22">
        <v>94500</v>
      </c>
      <c r="K73" s="22">
        <v>98400</v>
      </c>
      <c r="L73" s="22">
        <v>179500</v>
      </c>
      <c r="M73" s="22">
        <v>148300</v>
      </c>
      <c r="N73" s="22">
        <v>138500</v>
      </c>
      <c r="O73" s="22">
        <v>187100</v>
      </c>
      <c r="P73" s="22">
        <v>210800</v>
      </c>
      <c r="Q73" s="22">
        <v>159600</v>
      </c>
      <c r="R73" s="22">
        <v>93500</v>
      </c>
      <c r="S73" s="22">
        <v>116000</v>
      </c>
      <c r="T73" s="22">
        <v>78400</v>
      </c>
      <c r="U73" s="22">
        <v>143600</v>
      </c>
      <c r="V73" s="22">
        <v>172400</v>
      </c>
      <c r="W73" s="22">
        <v>156700</v>
      </c>
      <c r="X73" s="22">
        <v>202300</v>
      </c>
      <c r="Y73" s="22">
        <v>335000</v>
      </c>
      <c r="Z73" s="22">
        <v>335500</v>
      </c>
      <c r="AA73" s="22">
        <v>641700</v>
      </c>
      <c r="AB73" s="22">
        <v>261500</v>
      </c>
      <c r="AC73" s="22">
        <v>261500</v>
      </c>
      <c r="AD73" s="22">
        <v>99300</v>
      </c>
      <c r="AE73" s="22">
        <v>173800</v>
      </c>
      <c r="AF73" s="22">
        <v>124500</v>
      </c>
      <c r="AG73" s="22">
        <v>114900</v>
      </c>
      <c r="AH73" s="22">
        <v>76700</v>
      </c>
      <c r="AI73" s="22">
        <v>127600</v>
      </c>
      <c r="AJ73" s="22">
        <v>86300</v>
      </c>
      <c r="AK73" s="22">
        <v>110000</v>
      </c>
      <c r="AL73" s="22">
        <v>92900</v>
      </c>
      <c r="AM73" s="22">
        <v>105000</v>
      </c>
      <c r="AN73" s="22">
        <v>100600</v>
      </c>
      <c r="AO73" s="22">
        <v>142100</v>
      </c>
      <c r="AP73" s="22">
        <v>76500</v>
      </c>
      <c r="AQ73" s="22">
        <v>145900</v>
      </c>
      <c r="AR73" s="22">
        <v>97600</v>
      </c>
      <c r="AS73" s="22">
        <v>128100</v>
      </c>
      <c r="AT73" s="22">
        <v>102400</v>
      </c>
      <c r="AU73" s="22">
        <v>105000</v>
      </c>
      <c r="AV73" s="22">
        <v>121200</v>
      </c>
      <c r="AW73" s="22">
        <v>91800</v>
      </c>
      <c r="AX73" s="22">
        <v>109000</v>
      </c>
      <c r="AY73" s="22">
        <v>86700</v>
      </c>
      <c r="AZ73" s="22">
        <v>148700</v>
      </c>
      <c r="BA73" s="22">
        <v>99500</v>
      </c>
      <c r="BB73" s="22">
        <v>177600</v>
      </c>
      <c r="BC73" s="22">
        <v>274700</v>
      </c>
      <c r="BD73" s="22">
        <v>147900</v>
      </c>
      <c r="BE73" s="22">
        <v>138000</v>
      </c>
      <c r="BF73" s="22">
        <v>108100</v>
      </c>
      <c r="BG73" s="22">
        <v>172100</v>
      </c>
      <c r="BH73" s="22">
        <v>107300</v>
      </c>
      <c r="BI73" s="22">
        <v>125800</v>
      </c>
      <c r="BJ73" s="22">
        <v>114700</v>
      </c>
      <c r="BK73" s="22">
        <v>123900</v>
      </c>
      <c r="BL73" s="22">
        <v>157100</v>
      </c>
    </row>
    <row r="74" spans="1:64" ht="15.95" customHeight="1">
      <c r="A74" s="433" t="s">
        <v>331</v>
      </c>
      <c r="B74" s="49" t="s">
        <v>60</v>
      </c>
      <c r="C74" s="53">
        <f>_xll.RssMarket("9202","出来高")</f>
        <v>2230900</v>
      </c>
      <c r="D74" s="220">
        <f t="shared" si="1"/>
        <v>0</v>
      </c>
      <c r="E74" s="218">
        <v>2230900</v>
      </c>
      <c r="F74" s="22">
        <v>2985100</v>
      </c>
      <c r="G74" s="22">
        <v>3164000</v>
      </c>
      <c r="H74" s="22">
        <v>2135800</v>
      </c>
      <c r="I74" s="22">
        <v>2158900</v>
      </c>
      <c r="J74" s="22">
        <v>2434400</v>
      </c>
      <c r="K74" s="22">
        <v>2216800</v>
      </c>
      <c r="L74" s="22">
        <v>2215600</v>
      </c>
      <c r="M74" s="22">
        <v>1983200</v>
      </c>
      <c r="N74" s="22">
        <v>3201700</v>
      </c>
      <c r="O74" s="22">
        <v>5406800</v>
      </c>
      <c r="P74" s="22">
        <v>2120400</v>
      </c>
      <c r="Q74" s="22">
        <v>2501400</v>
      </c>
      <c r="R74" s="22">
        <v>3620800</v>
      </c>
      <c r="S74" s="22">
        <v>2126500</v>
      </c>
      <c r="T74" s="22">
        <v>2315200</v>
      </c>
      <c r="U74" s="22">
        <v>2264400</v>
      </c>
      <c r="V74" s="22">
        <v>2421000</v>
      </c>
      <c r="W74" s="22">
        <v>2950300</v>
      </c>
      <c r="X74" s="22">
        <v>2781900</v>
      </c>
      <c r="Y74" s="22">
        <v>2105800</v>
      </c>
      <c r="Z74" s="22">
        <v>2618100</v>
      </c>
      <c r="AA74" s="22">
        <v>2907100</v>
      </c>
      <c r="AB74" s="22">
        <v>3306500</v>
      </c>
      <c r="AC74" s="22">
        <v>3306500</v>
      </c>
      <c r="AD74" s="22">
        <v>4390900</v>
      </c>
      <c r="AE74" s="22">
        <v>7110200</v>
      </c>
      <c r="AF74" s="22">
        <v>4982900</v>
      </c>
      <c r="AG74" s="22">
        <v>5649400</v>
      </c>
      <c r="AH74" s="22">
        <v>5415500</v>
      </c>
      <c r="AI74" s="22">
        <v>3159100</v>
      </c>
      <c r="AJ74" s="22">
        <v>3437600</v>
      </c>
      <c r="AK74" s="22">
        <v>5078700</v>
      </c>
      <c r="AL74" s="22">
        <v>2943400</v>
      </c>
      <c r="AM74" s="22">
        <v>2482900</v>
      </c>
      <c r="AN74" s="22">
        <v>2734200</v>
      </c>
      <c r="AO74" s="22">
        <v>3397600</v>
      </c>
      <c r="AP74" s="22">
        <v>2877400</v>
      </c>
      <c r="AQ74" s="22">
        <v>3416900</v>
      </c>
      <c r="AR74" s="22">
        <v>1974800</v>
      </c>
      <c r="AS74" s="22">
        <v>2762000</v>
      </c>
      <c r="AT74" s="22">
        <v>2383700</v>
      </c>
      <c r="AU74" s="22">
        <v>2807000</v>
      </c>
      <c r="AV74" s="22">
        <v>4570500</v>
      </c>
      <c r="AW74" s="22">
        <v>2330800</v>
      </c>
      <c r="AX74" s="22">
        <v>1919700</v>
      </c>
      <c r="AY74" s="22">
        <v>2294300</v>
      </c>
      <c r="AZ74" s="22">
        <v>3349500</v>
      </c>
      <c r="BA74" s="22">
        <v>3062100</v>
      </c>
      <c r="BB74" s="22">
        <v>2981100</v>
      </c>
      <c r="BC74" s="22">
        <v>2586700</v>
      </c>
      <c r="BD74" s="22">
        <v>1763800</v>
      </c>
      <c r="BE74" s="22">
        <v>2343800</v>
      </c>
      <c r="BF74" s="22">
        <v>3104900</v>
      </c>
      <c r="BG74" s="22">
        <v>3514300</v>
      </c>
      <c r="BH74" s="22">
        <v>4321000</v>
      </c>
      <c r="BI74" s="22">
        <v>3412700</v>
      </c>
      <c r="BJ74" s="22">
        <v>2350000</v>
      </c>
      <c r="BK74" s="22">
        <v>2812600</v>
      </c>
      <c r="BL74" s="22">
        <v>3884300</v>
      </c>
    </row>
    <row r="75" spans="1:64" ht="15.95" customHeight="1">
      <c r="A75" s="433" t="s">
        <v>332</v>
      </c>
      <c r="B75" s="49" t="s">
        <v>61</v>
      </c>
      <c r="C75" s="53">
        <f>_xll.RssMarket("7846","出来高")</f>
        <v>66000</v>
      </c>
      <c r="D75" s="220">
        <f t="shared" si="1"/>
        <v>0</v>
      </c>
      <c r="E75" s="218">
        <v>66000</v>
      </c>
      <c r="F75" s="22">
        <v>67200</v>
      </c>
      <c r="G75" s="22">
        <v>95600</v>
      </c>
      <c r="H75" s="22">
        <v>61900</v>
      </c>
      <c r="I75" s="22">
        <v>67800</v>
      </c>
      <c r="J75" s="22">
        <v>101800</v>
      </c>
      <c r="K75" s="22">
        <v>52500</v>
      </c>
      <c r="L75" s="22">
        <v>80500</v>
      </c>
      <c r="M75" s="22">
        <v>66300</v>
      </c>
      <c r="N75" s="22">
        <v>75200</v>
      </c>
      <c r="O75" s="22">
        <v>118300</v>
      </c>
      <c r="P75" s="22">
        <v>82900</v>
      </c>
      <c r="Q75" s="22">
        <v>82500</v>
      </c>
      <c r="R75" s="22">
        <v>109800</v>
      </c>
      <c r="S75" s="22">
        <v>91700</v>
      </c>
      <c r="T75" s="22">
        <v>95700</v>
      </c>
      <c r="U75" s="22">
        <v>148800</v>
      </c>
      <c r="V75" s="22">
        <v>106900</v>
      </c>
      <c r="W75" s="22">
        <v>89200</v>
      </c>
      <c r="X75" s="22">
        <v>97400</v>
      </c>
      <c r="Y75" s="22">
        <v>75900</v>
      </c>
      <c r="Z75" s="22">
        <v>88800</v>
      </c>
      <c r="AA75" s="22">
        <v>164300</v>
      </c>
      <c r="AB75" s="22">
        <v>111600</v>
      </c>
      <c r="AC75" s="22">
        <v>111600</v>
      </c>
      <c r="AD75" s="22">
        <v>99700</v>
      </c>
      <c r="AE75" s="22">
        <v>94300</v>
      </c>
      <c r="AF75" s="22">
        <v>93200</v>
      </c>
      <c r="AG75" s="22">
        <v>136700</v>
      </c>
      <c r="AH75" s="22">
        <v>294400</v>
      </c>
      <c r="AI75" s="22">
        <v>85900</v>
      </c>
      <c r="AJ75" s="22">
        <v>119500</v>
      </c>
      <c r="AK75" s="22">
        <v>104500</v>
      </c>
      <c r="AL75" s="22">
        <v>67400</v>
      </c>
      <c r="AM75" s="22">
        <v>94900</v>
      </c>
      <c r="AN75" s="22">
        <v>73200</v>
      </c>
      <c r="AO75" s="22">
        <v>73800</v>
      </c>
      <c r="AP75" s="22">
        <v>73400</v>
      </c>
      <c r="AQ75" s="22">
        <v>87900</v>
      </c>
      <c r="AR75" s="22">
        <v>70200</v>
      </c>
      <c r="AS75" s="22">
        <v>87200</v>
      </c>
      <c r="AT75" s="22">
        <v>69200</v>
      </c>
      <c r="AU75" s="22">
        <v>76600</v>
      </c>
      <c r="AV75" s="22">
        <v>77400</v>
      </c>
      <c r="AW75" s="22">
        <v>73400</v>
      </c>
      <c r="AX75" s="22">
        <v>49100</v>
      </c>
      <c r="AY75" s="22">
        <v>78500</v>
      </c>
      <c r="AZ75" s="22">
        <v>94200</v>
      </c>
      <c r="BA75" s="22">
        <v>107500</v>
      </c>
      <c r="BB75" s="22">
        <v>122400</v>
      </c>
      <c r="BC75" s="22">
        <v>113100</v>
      </c>
      <c r="BD75" s="22">
        <v>88800</v>
      </c>
      <c r="BE75" s="22">
        <v>125700</v>
      </c>
      <c r="BF75" s="22">
        <v>123800</v>
      </c>
      <c r="BG75" s="22">
        <v>197000</v>
      </c>
      <c r="BH75" s="22">
        <v>187300</v>
      </c>
      <c r="BI75" s="22">
        <v>112200</v>
      </c>
      <c r="BJ75" s="22">
        <v>118300</v>
      </c>
      <c r="BK75" s="22">
        <v>103200</v>
      </c>
      <c r="BL75" s="22">
        <v>122800</v>
      </c>
    </row>
    <row r="76" spans="1:64" ht="15.95" customHeight="1">
      <c r="A76" s="433" t="s">
        <v>333</v>
      </c>
      <c r="B76" s="49" t="s">
        <v>53</v>
      </c>
      <c r="C76" s="53">
        <f>_xll.RssMarket("2802","出来高")</f>
        <v>7021300</v>
      </c>
      <c r="D76" s="220">
        <f t="shared" si="1"/>
        <v>0</v>
      </c>
      <c r="E76" s="218">
        <v>7021300</v>
      </c>
      <c r="F76" s="22">
        <v>3452600</v>
      </c>
      <c r="G76" s="22">
        <v>7566800</v>
      </c>
      <c r="H76" s="22">
        <v>9098500</v>
      </c>
      <c r="I76" s="22">
        <v>3146800</v>
      </c>
      <c r="J76" s="22">
        <v>5597000</v>
      </c>
      <c r="K76" s="22">
        <v>4289000</v>
      </c>
      <c r="L76" s="22">
        <v>3057000</v>
      </c>
      <c r="M76" s="22">
        <v>3504900</v>
      </c>
      <c r="N76" s="22">
        <v>4996400</v>
      </c>
      <c r="O76" s="22">
        <v>9185600</v>
      </c>
      <c r="P76" s="22">
        <v>4114000</v>
      </c>
      <c r="Q76" s="22">
        <v>3869800</v>
      </c>
      <c r="R76" s="22">
        <v>5159900</v>
      </c>
      <c r="S76" s="22">
        <v>3827500</v>
      </c>
      <c r="T76" s="22">
        <v>5087100</v>
      </c>
      <c r="U76" s="22">
        <v>4275700</v>
      </c>
      <c r="V76" s="22">
        <v>4920400</v>
      </c>
      <c r="W76" s="22">
        <v>4332700</v>
      </c>
      <c r="X76" s="22">
        <v>4499600</v>
      </c>
      <c r="Y76" s="22">
        <v>5720800</v>
      </c>
      <c r="Z76" s="22">
        <v>4630900</v>
      </c>
      <c r="AA76" s="22">
        <v>7590600</v>
      </c>
      <c r="AB76" s="22">
        <v>12969600</v>
      </c>
      <c r="AC76" s="22">
        <v>12969600</v>
      </c>
      <c r="AD76" s="22">
        <v>10223100</v>
      </c>
      <c r="AE76" s="22">
        <v>10744000</v>
      </c>
      <c r="AF76" s="22">
        <v>3912900</v>
      </c>
      <c r="AG76" s="22">
        <v>7469200</v>
      </c>
      <c r="AH76" s="22">
        <v>2409700</v>
      </c>
      <c r="AI76" s="22">
        <v>3147200</v>
      </c>
      <c r="AJ76" s="22">
        <v>4191800</v>
      </c>
      <c r="AK76" s="22">
        <v>3034700</v>
      </c>
      <c r="AL76" s="22">
        <v>2492000</v>
      </c>
      <c r="AM76" s="22">
        <v>3564700</v>
      </c>
      <c r="AN76" s="22">
        <v>2451100</v>
      </c>
      <c r="AO76" s="22">
        <v>1922800</v>
      </c>
      <c r="AP76" s="22">
        <v>2181900</v>
      </c>
      <c r="AQ76" s="22">
        <v>2250300</v>
      </c>
      <c r="AR76" s="22">
        <v>2515800</v>
      </c>
      <c r="AS76" s="22">
        <v>3500300</v>
      </c>
      <c r="AT76" s="22">
        <v>3006800</v>
      </c>
      <c r="AU76" s="22">
        <v>2940100</v>
      </c>
      <c r="AV76" s="22">
        <v>3688600</v>
      </c>
      <c r="AW76" s="22">
        <v>2101900</v>
      </c>
      <c r="AX76" s="22">
        <v>2261800</v>
      </c>
      <c r="AY76" s="22">
        <v>1990300</v>
      </c>
      <c r="AZ76" s="22">
        <v>2792600</v>
      </c>
      <c r="BA76" s="22">
        <v>3440800</v>
      </c>
      <c r="BB76" s="22">
        <v>4560500</v>
      </c>
      <c r="BC76" s="22">
        <v>4050900</v>
      </c>
      <c r="BD76" s="22">
        <v>2661000</v>
      </c>
      <c r="BE76" s="22">
        <v>3042000</v>
      </c>
      <c r="BF76" s="22">
        <v>3418400</v>
      </c>
      <c r="BG76" s="22">
        <v>4414600</v>
      </c>
      <c r="BH76" s="22">
        <v>7011600</v>
      </c>
      <c r="BI76" s="22">
        <v>2392900</v>
      </c>
      <c r="BJ76" s="22">
        <v>2030700</v>
      </c>
      <c r="BK76" s="22">
        <v>2307400</v>
      </c>
      <c r="BL76" s="22">
        <v>3093000</v>
      </c>
    </row>
    <row r="77" spans="1:64" ht="15.95" customHeight="1">
      <c r="A77" s="433" t="s">
        <v>334</v>
      </c>
      <c r="B77" s="49" t="s">
        <v>62</v>
      </c>
      <c r="C77" s="53">
        <f>_xll.RssMarket("7203","出来高")</f>
        <v>26726100</v>
      </c>
      <c r="D77" s="220">
        <f t="shared" si="1"/>
        <v>0</v>
      </c>
      <c r="E77" s="218">
        <v>26726100</v>
      </c>
      <c r="F77" s="22">
        <v>20615100</v>
      </c>
      <c r="G77" s="22">
        <v>29442600</v>
      </c>
      <c r="H77" s="22">
        <v>27541100</v>
      </c>
      <c r="I77" s="22">
        <v>25839700</v>
      </c>
      <c r="J77" s="22">
        <v>30734900</v>
      </c>
      <c r="K77" s="22">
        <v>18955400</v>
      </c>
      <c r="L77" s="22">
        <v>19751600</v>
      </c>
      <c r="M77" s="22">
        <v>27875500</v>
      </c>
      <c r="N77" s="22">
        <v>37933000</v>
      </c>
      <c r="O77" s="22">
        <v>39820000</v>
      </c>
      <c r="P77" s="22">
        <v>25312200</v>
      </c>
      <c r="Q77" s="22">
        <v>17980500</v>
      </c>
      <c r="R77" s="22">
        <v>22249700</v>
      </c>
      <c r="S77" s="22">
        <v>16498800</v>
      </c>
      <c r="T77" s="22">
        <v>21798100</v>
      </c>
      <c r="U77" s="22">
        <v>26030500</v>
      </c>
      <c r="V77" s="22">
        <v>23002200</v>
      </c>
      <c r="W77" s="22">
        <v>30946400</v>
      </c>
      <c r="X77" s="22">
        <v>43178700</v>
      </c>
      <c r="Y77" s="22">
        <v>31564100</v>
      </c>
      <c r="Z77" s="22">
        <v>29534100</v>
      </c>
      <c r="AA77" s="22">
        <v>29055900</v>
      </c>
      <c r="AB77" s="22">
        <v>43038000</v>
      </c>
      <c r="AC77" s="22">
        <v>43038000</v>
      </c>
      <c r="AD77" s="22">
        <v>75083900</v>
      </c>
      <c r="AE77" s="22">
        <v>37816000</v>
      </c>
      <c r="AF77" s="22">
        <v>21904100</v>
      </c>
      <c r="AG77" s="22">
        <v>32130400</v>
      </c>
      <c r="AH77" s="22">
        <v>21920800</v>
      </c>
      <c r="AI77" s="22">
        <v>22659400</v>
      </c>
      <c r="AJ77" s="22">
        <v>23206300</v>
      </c>
      <c r="AK77" s="22">
        <v>20463800</v>
      </c>
      <c r="AL77" s="22">
        <v>19345300</v>
      </c>
      <c r="AM77" s="22">
        <v>14589600</v>
      </c>
      <c r="AN77" s="22">
        <v>14251500</v>
      </c>
      <c r="AO77" s="22">
        <v>20154600</v>
      </c>
      <c r="AP77" s="22">
        <v>20317000</v>
      </c>
      <c r="AQ77" s="22">
        <v>15920200</v>
      </c>
      <c r="AR77" s="22">
        <v>14353200</v>
      </c>
      <c r="AS77" s="22">
        <v>16930900</v>
      </c>
      <c r="AT77" s="22">
        <v>20191400</v>
      </c>
      <c r="AU77" s="22">
        <v>27222600</v>
      </c>
      <c r="AV77" s="22">
        <v>14215500</v>
      </c>
      <c r="AW77" s="22">
        <v>11430400</v>
      </c>
      <c r="AX77" s="22">
        <v>11056900</v>
      </c>
      <c r="AY77" s="22">
        <v>21711400</v>
      </c>
      <c r="AZ77" s="22">
        <v>25388600</v>
      </c>
      <c r="BA77" s="22">
        <v>26872400</v>
      </c>
      <c r="BB77" s="22">
        <v>28198100</v>
      </c>
      <c r="BC77" s="22">
        <v>16107200</v>
      </c>
      <c r="BD77" s="22">
        <v>18556700</v>
      </c>
      <c r="BE77" s="22">
        <v>16565700</v>
      </c>
      <c r="BF77" s="22">
        <v>22909400</v>
      </c>
      <c r="BG77" s="22">
        <v>23090100</v>
      </c>
      <c r="BH77" s="22">
        <v>15583800</v>
      </c>
      <c r="BI77" s="22">
        <v>11542500</v>
      </c>
      <c r="BJ77" s="22">
        <v>18079900</v>
      </c>
      <c r="BK77" s="22">
        <v>22705700</v>
      </c>
      <c r="BL77" s="22">
        <v>19335000</v>
      </c>
    </row>
    <row r="78" spans="1:64" ht="15.95" customHeight="1">
      <c r="A78" s="433" t="s">
        <v>335</v>
      </c>
      <c r="B78" s="49" t="s">
        <v>63</v>
      </c>
      <c r="C78" s="53">
        <f>_xll.RssMarket("6954","出来高")</f>
        <v>5209500</v>
      </c>
      <c r="D78" s="220">
        <f t="shared" si="1"/>
        <v>0</v>
      </c>
      <c r="E78" s="218">
        <v>5209500</v>
      </c>
      <c r="F78" s="22">
        <v>5451900</v>
      </c>
      <c r="G78" s="22">
        <v>7191600</v>
      </c>
      <c r="H78" s="22">
        <v>7393100</v>
      </c>
      <c r="I78" s="22">
        <v>6944300</v>
      </c>
      <c r="J78" s="22">
        <v>7184200</v>
      </c>
      <c r="K78" s="22">
        <v>5280700</v>
      </c>
      <c r="L78" s="22">
        <v>4661100</v>
      </c>
      <c r="M78" s="22">
        <v>6182500</v>
      </c>
      <c r="N78" s="22">
        <v>7795300</v>
      </c>
      <c r="O78" s="22">
        <v>8214300</v>
      </c>
      <c r="P78" s="22">
        <v>6951500</v>
      </c>
      <c r="Q78" s="22">
        <v>5836500</v>
      </c>
      <c r="R78" s="22">
        <v>6752400</v>
      </c>
      <c r="S78" s="22">
        <v>8458800</v>
      </c>
      <c r="T78" s="22">
        <v>7741100</v>
      </c>
      <c r="U78" s="22">
        <v>7749300</v>
      </c>
      <c r="V78" s="22">
        <v>6393300</v>
      </c>
      <c r="W78" s="22">
        <v>7397500</v>
      </c>
      <c r="X78" s="22">
        <v>14410600</v>
      </c>
      <c r="Y78" s="22">
        <v>16737500</v>
      </c>
      <c r="Z78" s="22">
        <v>5749400</v>
      </c>
      <c r="AA78" s="22">
        <v>8351500</v>
      </c>
      <c r="AB78" s="22">
        <v>8889100</v>
      </c>
      <c r="AC78" s="22">
        <v>8889100</v>
      </c>
      <c r="AD78" s="22">
        <v>12964500</v>
      </c>
      <c r="AE78" s="22">
        <v>9370000</v>
      </c>
      <c r="AF78" s="22">
        <v>4880600</v>
      </c>
      <c r="AG78" s="22">
        <v>10775600</v>
      </c>
      <c r="AH78" s="22">
        <v>12809200</v>
      </c>
      <c r="AI78" s="22">
        <v>17662700</v>
      </c>
      <c r="AJ78" s="22">
        <v>6099800</v>
      </c>
      <c r="AK78" s="22">
        <v>6293400</v>
      </c>
      <c r="AL78" s="22">
        <v>5444200</v>
      </c>
      <c r="AM78" s="22">
        <v>5311400</v>
      </c>
      <c r="AN78" s="22">
        <v>5984100</v>
      </c>
      <c r="AO78" s="22">
        <v>3654100</v>
      </c>
      <c r="AP78" s="22">
        <v>4599900</v>
      </c>
      <c r="AQ78" s="22">
        <v>4550300</v>
      </c>
      <c r="AR78" s="22">
        <v>4601900</v>
      </c>
      <c r="AS78" s="22">
        <v>6561000</v>
      </c>
      <c r="AT78" s="22">
        <v>7688200</v>
      </c>
      <c r="AU78" s="22">
        <v>4730400</v>
      </c>
      <c r="AV78" s="22">
        <v>6502600</v>
      </c>
      <c r="AW78" s="22">
        <v>2767800</v>
      </c>
      <c r="AX78" s="22">
        <v>3350200</v>
      </c>
      <c r="AY78" s="22">
        <v>3110200</v>
      </c>
      <c r="AZ78" s="22">
        <v>5040100</v>
      </c>
      <c r="BA78" s="22">
        <v>4999500</v>
      </c>
      <c r="BB78" s="22">
        <v>6067900</v>
      </c>
      <c r="BC78" s="22">
        <v>5399600</v>
      </c>
      <c r="BD78" s="22">
        <v>3409400</v>
      </c>
      <c r="BE78" s="22">
        <v>3147600</v>
      </c>
      <c r="BF78" s="22">
        <v>3267300</v>
      </c>
      <c r="BG78" s="22">
        <v>4910000</v>
      </c>
      <c r="BH78" s="22">
        <v>5312200</v>
      </c>
      <c r="BI78" s="22">
        <v>2960900</v>
      </c>
      <c r="BJ78" s="22">
        <v>3691200</v>
      </c>
      <c r="BK78" s="22">
        <v>3780400</v>
      </c>
      <c r="BL78" s="22">
        <v>6048500</v>
      </c>
    </row>
    <row r="79" spans="1:64" ht="15.95" customHeight="1">
      <c r="A79" s="433" t="s">
        <v>336</v>
      </c>
      <c r="B79" s="49" t="s">
        <v>64</v>
      </c>
      <c r="C79" s="53">
        <f>_xll.RssMarket("6479","出来高")</f>
        <v>3190800</v>
      </c>
      <c r="D79" s="220">
        <f t="shared" si="1"/>
        <v>0</v>
      </c>
      <c r="E79" s="218">
        <v>3190800</v>
      </c>
      <c r="F79" s="22">
        <v>4167100</v>
      </c>
      <c r="G79" s="22">
        <v>4112800</v>
      </c>
      <c r="H79" s="22">
        <v>3900000</v>
      </c>
      <c r="I79" s="22">
        <v>3205000</v>
      </c>
      <c r="J79" s="22">
        <v>4165100</v>
      </c>
      <c r="K79" s="22">
        <v>4271400</v>
      </c>
      <c r="L79" s="22">
        <v>2769600</v>
      </c>
      <c r="M79" s="22">
        <v>3795400</v>
      </c>
      <c r="N79" s="22">
        <v>3912700</v>
      </c>
      <c r="O79" s="22">
        <v>5338600</v>
      </c>
      <c r="P79" s="22">
        <v>2061300</v>
      </c>
      <c r="Q79" s="22">
        <v>2314900</v>
      </c>
      <c r="R79" s="22">
        <v>2539800</v>
      </c>
      <c r="S79" s="22">
        <v>2298900</v>
      </c>
      <c r="T79" s="22">
        <v>2440900</v>
      </c>
      <c r="U79" s="22">
        <v>2528700</v>
      </c>
      <c r="V79" s="22">
        <v>2137400</v>
      </c>
      <c r="W79" s="22">
        <v>3076500</v>
      </c>
      <c r="X79" s="22">
        <v>3164100</v>
      </c>
      <c r="Y79" s="22">
        <v>4083300</v>
      </c>
      <c r="Z79" s="22">
        <v>5903700</v>
      </c>
      <c r="AA79" s="22">
        <v>4164300</v>
      </c>
      <c r="AB79" s="22">
        <v>2485800</v>
      </c>
      <c r="AC79" s="22">
        <v>2485800</v>
      </c>
      <c r="AD79" s="22">
        <v>3109800</v>
      </c>
      <c r="AE79" s="22">
        <v>3393700</v>
      </c>
      <c r="AF79" s="22">
        <v>1751000</v>
      </c>
      <c r="AG79" s="22">
        <v>2720400</v>
      </c>
      <c r="AH79" s="22">
        <v>1935600</v>
      </c>
      <c r="AI79" s="22">
        <v>2073000</v>
      </c>
      <c r="AJ79" s="22">
        <v>1633500</v>
      </c>
      <c r="AK79" s="22">
        <v>1851200</v>
      </c>
      <c r="AL79" s="22">
        <v>1569700</v>
      </c>
      <c r="AM79" s="22">
        <v>1614700</v>
      </c>
      <c r="AN79" s="22">
        <v>2611900</v>
      </c>
      <c r="AO79" s="22">
        <v>2005700</v>
      </c>
      <c r="AP79" s="22">
        <v>3963000</v>
      </c>
      <c r="AQ79" s="22">
        <v>1918900</v>
      </c>
      <c r="AR79" s="22">
        <v>2206500</v>
      </c>
      <c r="AS79" s="22">
        <v>2234000</v>
      </c>
      <c r="AT79" s="22">
        <v>3069300</v>
      </c>
      <c r="AU79" s="22">
        <v>1837700</v>
      </c>
      <c r="AV79" s="22">
        <v>2347500</v>
      </c>
      <c r="AW79" s="22">
        <v>1607200</v>
      </c>
      <c r="AX79" s="22">
        <v>1586400</v>
      </c>
      <c r="AY79" s="22">
        <v>1804900</v>
      </c>
      <c r="AZ79" s="22">
        <v>1732200</v>
      </c>
      <c r="BA79" s="22">
        <v>1760100</v>
      </c>
      <c r="BB79" s="22">
        <v>1700900</v>
      </c>
      <c r="BC79" s="22">
        <v>1775100</v>
      </c>
      <c r="BD79" s="22">
        <v>1818900</v>
      </c>
      <c r="BE79" s="22">
        <v>2497700</v>
      </c>
      <c r="BF79" s="22">
        <v>1971000</v>
      </c>
      <c r="BG79" s="22">
        <v>3565100</v>
      </c>
      <c r="BH79" s="22">
        <v>2399600</v>
      </c>
      <c r="BI79" s="22">
        <v>1752700</v>
      </c>
      <c r="BJ79" s="22">
        <v>1768200</v>
      </c>
      <c r="BK79" s="22">
        <v>2573200</v>
      </c>
      <c r="BL79" s="22">
        <v>2489000</v>
      </c>
    </row>
    <row r="80" spans="1:64" ht="15.95" customHeight="1">
      <c r="A80" s="433" t="s">
        <v>337</v>
      </c>
      <c r="B80" s="49" t="s">
        <v>65</v>
      </c>
      <c r="C80" s="53">
        <f>_xll.RssMarket("1833","出来高")</f>
        <v>53400</v>
      </c>
      <c r="D80" s="220">
        <f t="shared" si="1"/>
        <v>0</v>
      </c>
      <c r="E80" s="218">
        <v>53400</v>
      </c>
      <c r="F80" s="22">
        <v>82800</v>
      </c>
      <c r="G80" s="22">
        <v>137700</v>
      </c>
      <c r="H80" s="22">
        <v>116400</v>
      </c>
      <c r="I80" s="22">
        <v>91000</v>
      </c>
      <c r="J80" s="22">
        <v>122500</v>
      </c>
      <c r="K80" s="22">
        <v>73300</v>
      </c>
      <c r="L80" s="22">
        <v>127500</v>
      </c>
      <c r="M80" s="22">
        <v>100000</v>
      </c>
      <c r="N80" s="22">
        <v>137800</v>
      </c>
      <c r="O80" s="22">
        <v>142200</v>
      </c>
      <c r="P80" s="22">
        <v>140100</v>
      </c>
      <c r="Q80" s="22">
        <v>139700</v>
      </c>
      <c r="R80" s="22">
        <v>102400</v>
      </c>
      <c r="S80" s="22">
        <v>153500</v>
      </c>
      <c r="T80" s="22">
        <v>82500</v>
      </c>
      <c r="U80" s="22">
        <v>147000</v>
      </c>
      <c r="V80" s="22">
        <v>120000</v>
      </c>
      <c r="W80" s="22">
        <v>258100</v>
      </c>
      <c r="X80" s="22">
        <v>120700</v>
      </c>
      <c r="Y80" s="22">
        <v>105600</v>
      </c>
      <c r="Z80" s="22">
        <v>112700</v>
      </c>
      <c r="AA80" s="22">
        <v>189600</v>
      </c>
      <c r="AB80" s="22">
        <v>223400</v>
      </c>
      <c r="AC80" s="22">
        <v>223400</v>
      </c>
      <c r="AD80" s="22">
        <v>102600</v>
      </c>
      <c r="AE80" s="22">
        <v>139500</v>
      </c>
      <c r="AF80" s="22">
        <v>71100</v>
      </c>
      <c r="AG80" s="22">
        <v>97700</v>
      </c>
      <c r="AH80" s="22">
        <v>117100</v>
      </c>
      <c r="AI80" s="22">
        <v>83800</v>
      </c>
      <c r="AJ80" s="22">
        <v>97200</v>
      </c>
      <c r="AK80" s="22">
        <v>173000</v>
      </c>
      <c r="AL80" s="22">
        <v>83200</v>
      </c>
      <c r="AM80" s="22">
        <v>48100</v>
      </c>
      <c r="AN80" s="22">
        <v>62600</v>
      </c>
      <c r="AO80" s="22">
        <v>76400</v>
      </c>
      <c r="AP80" s="22">
        <v>76900</v>
      </c>
      <c r="AQ80" s="22">
        <v>66600</v>
      </c>
      <c r="AR80" s="22">
        <v>59500</v>
      </c>
      <c r="AS80" s="22">
        <v>83400</v>
      </c>
      <c r="AT80" s="22">
        <v>84400</v>
      </c>
      <c r="AU80" s="22">
        <v>60900</v>
      </c>
      <c r="AV80" s="22">
        <v>79300</v>
      </c>
      <c r="AW80" s="22">
        <v>59200</v>
      </c>
      <c r="AX80" s="22">
        <v>56300</v>
      </c>
      <c r="AY80" s="22">
        <v>44200</v>
      </c>
      <c r="AZ80" s="22">
        <v>95700</v>
      </c>
      <c r="BA80" s="22">
        <v>91400</v>
      </c>
      <c r="BB80" s="22">
        <v>168300</v>
      </c>
      <c r="BC80" s="22">
        <v>160900</v>
      </c>
      <c r="BD80" s="22">
        <v>72300</v>
      </c>
      <c r="BE80" s="22">
        <v>100400</v>
      </c>
      <c r="BF80" s="22">
        <v>103200</v>
      </c>
      <c r="BG80" s="22">
        <v>112300</v>
      </c>
      <c r="BH80" s="22">
        <v>90700</v>
      </c>
      <c r="BI80" s="22">
        <v>65600</v>
      </c>
      <c r="BJ80" s="22">
        <v>73000</v>
      </c>
      <c r="BK80" s="22">
        <v>84600</v>
      </c>
      <c r="BL80" s="22">
        <v>79700</v>
      </c>
    </row>
    <row r="81" spans="1:64" ht="15.95" customHeight="1">
      <c r="A81" s="433" t="s">
        <v>338</v>
      </c>
      <c r="B81" s="49" t="s">
        <v>142</v>
      </c>
      <c r="C81" s="53">
        <f>_xll.RssMarket("6841","出来高")</f>
        <v>1378800</v>
      </c>
      <c r="D81" s="220">
        <f t="shared" si="1"/>
        <v>0</v>
      </c>
      <c r="E81" s="218">
        <v>1378800</v>
      </c>
      <c r="F81" s="22">
        <v>1208500</v>
      </c>
      <c r="G81" s="22">
        <v>2067500</v>
      </c>
      <c r="H81" s="22">
        <v>1381700</v>
      </c>
      <c r="I81" s="22">
        <v>1238500</v>
      </c>
      <c r="J81" s="22">
        <v>1439100</v>
      </c>
      <c r="K81" s="22">
        <v>1101800</v>
      </c>
      <c r="L81" s="22">
        <v>1120200</v>
      </c>
      <c r="M81" s="22">
        <v>1828000</v>
      </c>
      <c r="N81" s="22">
        <v>1704500</v>
      </c>
      <c r="O81" s="22">
        <v>2284700</v>
      </c>
      <c r="P81" s="22">
        <v>1054800</v>
      </c>
      <c r="Q81" s="22">
        <v>1788100</v>
      </c>
      <c r="R81" s="22">
        <v>1144000</v>
      </c>
      <c r="S81" s="22">
        <v>1273900</v>
      </c>
      <c r="T81" s="22">
        <v>1695700</v>
      </c>
      <c r="U81" s="22">
        <v>2295100</v>
      </c>
      <c r="V81" s="22">
        <v>1400400</v>
      </c>
      <c r="W81" s="22">
        <v>1367400</v>
      </c>
      <c r="X81" s="22">
        <v>1323900</v>
      </c>
      <c r="Y81" s="22">
        <v>1551700</v>
      </c>
      <c r="Z81" s="22">
        <v>1625900</v>
      </c>
      <c r="AA81" s="22">
        <v>1966400</v>
      </c>
      <c r="AB81" s="22">
        <v>2119200</v>
      </c>
      <c r="AC81" s="22">
        <v>2119200</v>
      </c>
      <c r="AD81" s="22">
        <v>4183400</v>
      </c>
      <c r="AE81" s="22">
        <v>2628100</v>
      </c>
      <c r="AF81" s="22">
        <v>820600</v>
      </c>
      <c r="AG81" s="22">
        <v>1379400</v>
      </c>
      <c r="AH81" s="22">
        <v>1894600</v>
      </c>
      <c r="AI81" s="22">
        <v>1079800</v>
      </c>
      <c r="AJ81" s="22">
        <v>776800</v>
      </c>
      <c r="AK81" s="22">
        <v>925100</v>
      </c>
      <c r="AL81" s="22">
        <v>857500</v>
      </c>
      <c r="AM81" s="22">
        <v>918900</v>
      </c>
      <c r="AN81" s="22">
        <v>761600</v>
      </c>
      <c r="AO81" s="22">
        <v>825700</v>
      </c>
      <c r="AP81" s="22">
        <v>868900</v>
      </c>
      <c r="AQ81" s="22">
        <v>1024200</v>
      </c>
      <c r="AR81" s="22">
        <v>803200</v>
      </c>
      <c r="AS81" s="22">
        <v>827300</v>
      </c>
      <c r="AT81" s="22">
        <v>1248900</v>
      </c>
      <c r="AU81" s="22">
        <v>2368800</v>
      </c>
      <c r="AV81" s="22">
        <v>2008500</v>
      </c>
      <c r="AW81" s="22">
        <v>851300</v>
      </c>
      <c r="AX81" s="22">
        <v>665200</v>
      </c>
      <c r="AY81" s="22">
        <v>896800</v>
      </c>
      <c r="AZ81" s="22">
        <v>1817400</v>
      </c>
      <c r="BA81" s="22">
        <v>1170000</v>
      </c>
      <c r="BB81" s="22">
        <v>1262100</v>
      </c>
      <c r="BC81" s="22">
        <v>955000</v>
      </c>
      <c r="BD81" s="22">
        <v>856100</v>
      </c>
      <c r="BE81" s="22">
        <v>1133700</v>
      </c>
      <c r="BF81" s="22">
        <v>1151300</v>
      </c>
      <c r="BG81" s="22">
        <v>1576700</v>
      </c>
      <c r="BH81" s="22">
        <v>1893100</v>
      </c>
      <c r="BI81" s="22">
        <v>817800</v>
      </c>
      <c r="BJ81" s="22">
        <v>1033300</v>
      </c>
      <c r="BK81" s="22">
        <v>791500</v>
      </c>
      <c r="BL81" s="22">
        <v>1202700</v>
      </c>
    </row>
    <row r="82" spans="1:64" ht="15.95" customHeight="1">
      <c r="A82" s="433" t="s">
        <v>339</v>
      </c>
      <c r="B82" s="49" t="s">
        <v>143</v>
      </c>
      <c r="C82" s="53">
        <f>_xll.RssMarket("7167","出来高")</f>
        <v>2240800</v>
      </c>
      <c r="D82" s="220">
        <f t="shared" si="1"/>
        <v>0</v>
      </c>
      <c r="E82" s="218">
        <v>2240800</v>
      </c>
      <c r="F82" s="22">
        <v>2781800</v>
      </c>
      <c r="G82" s="22">
        <v>3586800</v>
      </c>
      <c r="H82" s="22">
        <v>2414800</v>
      </c>
      <c r="I82" s="22">
        <v>3483900</v>
      </c>
      <c r="J82" s="22">
        <v>2237600</v>
      </c>
      <c r="K82" s="22">
        <v>2129900</v>
      </c>
      <c r="L82" s="22">
        <v>2651100</v>
      </c>
      <c r="M82" s="22">
        <v>2638500</v>
      </c>
      <c r="N82" s="22">
        <v>2606100</v>
      </c>
      <c r="O82" s="22">
        <v>3941700</v>
      </c>
      <c r="P82" s="22">
        <v>3132200</v>
      </c>
      <c r="Q82" s="22">
        <v>2292900</v>
      </c>
      <c r="R82" s="22">
        <v>1587100</v>
      </c>
      <c r="S82" s="22">
        <v>1883200</v>
      </c>
      <c r="T82" s="22">
        <v>2030200</v>
      </c>
      <c r="U82" s="22">
        <v>2293300</v>
      </c>
      <c r="V82" s="22">
        <v>2100100</v>
      </c>
      <c r="W82" s="22">
        <v>2254100</v>
      </c>
      <c r="X82" s="22">
        <v>2181400</v>
      </c>
      <c r="Y82" s="22">
        <v>2772200</v>
      </c>
      <c r="Z82" s="22">
        <v>3722500</v>
      </c>
      <c r="AA82" s="22">
        <v>2010300</v>
      </c>
      <c r="AB82" s="22">
        <v>2011400</v>
      </c>
      <c r="AC82" s="22">
        <v>2011400</v>
      </c>
      <c r="AD82" s="22">
        <v>2637100</v>
      </c>
      <c r="AE82" s="22">
        <v>4728000</v>
      </c>
      <c r="AF82" s="22">
        <v>2171400</v>
      </c>
      <c r="AG82" s="22">
        <v>2560300</v>
      </c>
      <c r="AH82" s="22">
        <v>2983200</v>
      </c>
      <c r="AI82" s="22">
        <v>2242900</v>
      </c>
      <c r="AJ82" s="22">
        <v>2976800</v>
      </c>
      <c r="AK82" s="22">
        <v>2492700</v>
      </c>
      <c r="AL82" s="22">
        <v>2903300</v>
      </c>
      <c r="AM82" s="22">
        <v>2316100</v>
      </c>
      <c r="AN82" s="22">
        <v>1435500</v>
      </c>
      <c r="AO82" s="22">
        <v>1505100</v>
      </c>
      <c r="AP82" s="22">
        <v>1456000</v>
      </c>
      <c r="AQ82" s="22">
        <v>1765400</v>
      </c>
      <c r="AR82" s="22">
        <v>1404200</v>
      </c>
      <c r="AS82" s="22">
        <v>2049400</v>
      </c>
      <c r="AT82" s="22">
        <v>2054300</v>
      </c>
      <c r="AU82" s="22">
        <v>3148900</v>
      </c>
      <c r="AV82" s="22">
        <v>3046200</v>
      </c>
      <c r="AW82" s="22">
        <v>1916200</v>
      </c>
      <c r="AX82" s="22">
        <v>1923600</v>
      </c>
      <c r="AY82" s="22">
        <v>1936100</v>
      </c>
      <c r="AZ82" s="22">
        <v>3117400</v>
      </c>
      <c r="BA82" s="22">
        <v>3689000</v>
      </c>
      <c r="BB82" s="22">
        <v>3077200</v>
      </c>
      <c r="BC82" s="22">
        <v>3365900</v>
      </c>
      <c r="BD82" s="22">
        <v>1922200</v>
      </c>
      <c r="BE82" s="22">
        <v>2025300</v>
      </c>
      <c r="BF82" s="22">
        <v>2229800</v>
      </c>
      <c r="BG82" s="22">
        <v>2203400</v>
      </c>
      <c r="BH82" s="22">
        <v>2238000</v>
      </c>
      <c r="BI82" s="22">
        <v>1748500</v>
      </c>
      <c r="BJ82" s="22">
        <v>1679600</v>
      </c>
      <c r="BK82" s="22">
        <v>2300000</v>
      </c>
      <c r="BL82" s="22">
        <v>3607500</v>
      </c>
    </row>
    <row r="83" spans="1:64" ht="15.95" customHeight="1">
      <c r="A83" s="433" t="s">
        <v>340</v>
      </c>
      <c r="B83" s="49" t="s">
        <v>144</v>
      </c>
      <c r="C83" s="53">
        <f>_xll.RssMarket("1925","出来高")</f>
        <v>2281300</v>
      </c>
      <c r="D83" s="220">
        <f t="shared" si="1"/>
        <v>0</v>
      </c>
      <c r="E83" s="218">
        <v>2281300</v>
      </c>
      <c r="F83" s="22">
        <v>1832900</v>
      </c>
      <c r="G83" s="22">
        <v>2675400</v>
      </c>
      <c r="H83" s="22">
        <v>2081800</v>
      </c>
      <c r="I83" s="22">
        <v>3086400</v>
      </c>
      <c r="J83" s="22">
        <v>2577200</v>
      </c>
      <c r="K83" s="22">
        <v>2200100</v>
      </c>
      <c r="L83" s="22">
        <v>2674200</v>
      </c>
      <c r="M83" s="22">
        <v>2592100</v>
      </c>
      <c r="N83" s="22">
        <v>3914800</v>
      </c>
      <c r="O83" s="22">
        <v>4883800</v>
      </c>
      <c r="P83" s="22">
        <v>2323300</v>
      </c>
      <c r="Q83" s="22">
        <v>1988400</v>
      </c>
      <c r="R83" s="22">
        <v>1670200</v>
      </c>
      <c r="S83" s="22">
        <v>2101400</v>
      </c>
      <c r="T83" s="22">
        <v>2173400</v>
      </c>
      <c r="U83" s="22">
        <v>2477700</v>
      </c>
      <c r="V83" s="22">
        <v>2614600</v>
      </c>
      <c r="W83" s="22">
        <v>2449900</v>
      </c>
      <c r="X83" s="22">
        <v>3148900</v>
      </c>
      <c r="Y83" s="22">
        <v>3938800</v>
      </c>
      <c r="Z83" s="22">
        <v>2161000</v>
      </c>
      <c r="AA83" s="22">
        <v>1692500</v>
      </c>
      <c r="AB83" s="22">
        <v>1610200</v>
      </c>
      <c r="AC83" s="22">
        <v>1610200</v>
      </c>
      <c r="AD83" s="22">
        <v>2179700</v>
      </c>
      <c r="AE83" s="22">
        <v>2782200</v>
      </c>
      <c r="AF83" s="22">
        <v>1346800</v>
      </c>
      <c r="AG83" s="22">
        <v>2579100</v>
      </c>
      <c r="AH83" s="22">
        <v>1997400</v>
      </c>
      <c r="AI83" s="22">
        <v>1433800</v>
      </c>
      <c r="AJ83" s="22">
        <v>1278800</v>
      </c>
      <c r="AK83" s="22">
        <v>1476200</v>
      </c>
      <c r="AL83" s="22">
        <v>1418500</v>
      </c>
      <c r="AM83" s="22">
        <v>1307900</v>
      </c>
      <c r="AN83" s="22">
        <v>1799900</v>
      </c>
      <c r="AO83" s="22">
        <v>1823600</v>
      </c>
      <c r="AP83" s="22">
        <v>1694700</v>
      </c>
      <c r="AQ83" s="22">
        <v>2309800</v>
      </c>
      <c r="AR83" s="22">
        <v>2371600</v>
      </c>
      <c r="AS83" s="22">
        <v>1639900</v>
      </c>
      <c r="AT83" s="22">
        <v>1515900</v>
      </c>
      <c r="AU83" s="22">
        <v>1839600</v>
      </c>
      <c r="AV83" s="22">
        <v>2407700</v>
      </c>
      <c r="AW83" s="22">
        <v>1410300</v>
      </c>
      <c r="AX83" s="22">
        <v>850800</v>
      </c>
      <c r="AY83" s="22">
        <v>715100</v>
      </c>
      <c r="AZ83" s="22">
        <v>1504000</v>
      </c>
      <c r="BA83" s="22">
        <v>1587600</v>
      </c>
      <c r="BB83" s="22">
        <v>2608100</v>
      </c>
      <c r="BC83" s="22">
        <v>2701300</v>
      </c>
      <c r="BD83" s="22">
        <v>1934000</v>
      </c>
      <c r="BE83" s="22">
        <v>1754300</v>
      </c>
      <c r="BF83" s="22">
        <v>1607700</v>
      </c>
      <c r="BG83" s="22">
        <v>2395500</v>
      </c>
      <c r="BH83" s="22">
        <v>2075800</v>
      </c>
      <c r="BI83" s="22">
        <v>1656700</v>
      </c>
      <c r="BJ83" s="22">
        <v>957300</v>
      </c>
      <c r="BK83" s="22">
        <v>1186200</v>
      </c>
      <c r="BL83" s="22">
        <v>1524000</v>
      </c>
    </row>
    <row r="84" spans="1:64" ht="15.95" customHeight="1">
      <c r="A84" s="433" t="s">
        <v>341</v>
      </c>
      <c r="B84" s="49" t="s">
        <v>145</v>
      </c>
      <c r="C84" s="53">
        <f>_xll.RssMarket("5411","出来高")</f>
        <v>2749000</v>
      </c>
      <c r="D84" s="220">
        <f t="shared" si="1"/>
        <v>0</v>
      </c>
      <c r="E84" s="218">
        <v>2749000</v>
      </c>
      <c r="F84" s="22">
        <v>3995200</v>
      </c>
      <c r="G84" s="22">
        <v>6191900</v>
      </c>
      <c r="H84" s="22">
        <v>5167700</v>
      </c>
      <c r="I84" s="22">
        <v>6356700</v>
      </c>
      <c r="J84" s="22">
        <v>9822900</v>
      </c>
      <c r="K84" s="22">
        <v>4205200</v>
      </c>
      <c r="L84" s="22">
        <v>5194100</v>
      </c>
      <c r="M84" s="22">
        <v>6015400</v>
      </c>
      <c r="N84" s="22">
        <v>6408500</v>
      </c>
      <c r="O84" s="22">
        <v>9400900</v>
      </c>
      <c r="P84" s="22">
        <v>4189400</v>
      </c>
      <c r="Q84" s="22">
        <v>5916700</v>
      </c>
      <c r="R84" s="22">
        <v>3723400</v>
      </c>
      <c r="S84" s="22">
        <v>4347000</v>
      </c>
      <c r="T84" s="22">
        <v>3901700</v>
      </c>
      <c r="U84" s="22">
        <v>4961000</v>
      </c>
      <c r="V84" s="22">
        <v>3753600</v>
      </c>
      <c r="W84" s="22">
        <v>4155300</v>
      </c>
      <c r="X84" s="22">
        <v>4992100</v>
      </c>
      <c r="Y84" s="22">
        <v>4579800</v>
      </c>
      <c r="Z84" s="22">
        <v>5780000</v>
      </c>
      <c r="AA84" s="22">
        <v>5041400</v>
      </c>
      <c r="AB84" s="22">
        <v>11984800</v>
      </c>
      <c r="AC84" s="22">
        <v>11984800</v>
      </c>
      <c r="AD84" s="22">
        <v>12245600</v>
      </c>
      <c r="AE84" s="22">
        <v>6483700</v>
      </c>
      <c r="AF84" s="22">
        <v>3020900</v>
      </c>
      <c r="AG84" s="22">
        <v>5512200</v>
      </c>
      <c r="AH84" s="22">
        <v>3706400</v>
      </c>
      <c r="AI84" s="22">
        <v>3584700</v>
      </c>
      <c r="AJ84" s="22">
        <v>5236500</v>
      </c>
      <c r="AK84" s="22">
        <v>5381200</v>
      </c>
      <c r="AL84" s="22">
        <v>4505900</v>
      </c>
      <c r="AM84" s="22">
        <v>5046900</v>
      </c>
      <c r="AN84" s="22">
        <v>5431700</v>
      </c>
      <c r="AO84" s="22">
        <v>3244200</v>
      </c>
      <c r="AP84" s="22">
        <v>3236600</v>
      </c>
      <c r="AQ84" s="22">
        <v>2754600</v>
      </c>
      <c r="AR84" s="22">
        <v>2895700</v>
      </c>
      <c r="AS84" s="22">
        <v>2399600</v>
      </c>
      <c r="AT84" s="22">
        <v>2343000</v>
      </c>
      <c r="AU84" s="22">
        <v>3021500</v>
      </c>
      <c r="AV84" s="22">
        <v>4836400</v>
      </c>
      <c r="AW84" s="22">
        <v>2155900</v>
      </c>
      <c r="AX84" s="22">
        <v>1956100</v>
      </c>
      <c r="AY84" s="22">
        <v>2061000</v>
      </c>
      <c r="AZ84" s="22">
        <v>2419100</v>
      </c>
      <c r="BA84" s="22">
        <v>3350200</v>
      </c>
      <c r="BB84" s="22">
        <v>4843200</v>
      </c>
      <c r="BC84" s="22">
        <v>4747700</v>
      </c>
      <c r="BD84" s="22">
        <v>3841300</v>
      </c>
      <c r="BE84" s="22">
        <v>4747700</v>
      </c>
      <c r="BF84" s="22">
        <v>3777900</v>
      </c>
      <c r="BG84" s="22">
        <v>5344200</v>
      </c>
      <c r="BH84" s="22">
        <v>5427700</v>
      </c>
      <c r="BI84" s="22">
        <v>3410400</v>
      </c>
      <c r="BJ84" s="22">
        <v>2737600</v>
      </c>
      <c r="BK84" s="22">
        <v>3917900</v>
      </c>
      <c r="BL84" s="22">
        <v>4275200</v>
      </c>
    </row>
    <row r="85" spans="1:64" ht="15.95" customHeight="1">
      <c r="A85" s="433" t="s">
        <v>342</v>
      </c>
      <c r="B85" s="49" t="s">
        <v>146</v>
      </c>
      <c r="C85" s="53">
        <f>_xll.RssMarket("7182","出来高")</f>
        <v>6055800</v>
      </c>
      <c r="D85" s="220">
        <f t="shared" si="1"/>
        <v>0</v>
      </c>
      <c r="E85" s="218">
        <v>6055800</v>
      </c>
      <c r="F85" s="22">
        <v>6960200</v>
      </c>
      <c r="G85" s="22">
        <v>10026900</v>
      </c>
      <c r="H85" s="22">
        <v>7855800</v>
      </c>
      <c r="I85" s="22">
        <v>7149700</v>
      </c>
      <c r="J85" s="22">
        <v>6145400</v>
      </c>
      <c r="K85" s="22">
        <v>7309400</v>
      </c>
      <c r="L85" s="22">
        <v>10161600</v>
      </c>
      <c r="M85" s="22">
        <v>6992900</v>
      </c>
      <c r="N85" s="22">
        <v>5149400</v>
      </c>
      <c r="O85" s="22">
        <v>13344700</v>
      </c>
      <c r="P85" s="22">
        <v>6364200</v>
      </c>
      <c r="Q85" s="22">
        <v>6409500</v>
      </c>
      <c r="R85" s="22">
        <v>6814000</v>
      </c>
      <c r="S85" s="22">
        <v>7640800</v>
      </c>
      <c r="T85" s="22">
        <v>11469000</v>
      </c>
      <c r="U85" s="22">
        <v>9882300</v>
      </c>
      <c r="V85" s="22">
        <v>8942700</v>
      </c>
      <c r="W85" s="22">
        <v>13114800</v>
      </c>
      <c r="X85" s="22">
        <v>8438700</v>
      </c>
      <c r="Y85" s="22">
        <v>4593500</v>
      </c>
      <c r="Z85" s="22">
        <v>4953500</v>
      </c>
      <c r="AA85" s="22">
        <v>6765400</v>
      </c>
      <c r="AB85" s="22">
        <v>8126100</v>
      </c>
      <c r="AC85" s="22">
        <v>8126100</v>
      </c>
      <c r="AD85" s="22">
        <v>7521200</v>
      </c>
      <c r="AE85" s="22">
        <v>12403000</v>
      </c>
      <c r="AF85" s="22">
        <v>4522800</v>
      </c>
      <c r="AG85" s="22">
        <v>10746900</v>
      </c>
      <c r="AH85" s="22">
        <v>7988500</v>
      </c>
      <c r="AI85" s="22">
        <v>5819400</v>
      </c>
      <c r="AJ85" s="22">
        <v>5596500</v>
      </c>
      <c r="AK85" s="22">
        <v>5926200</v>
      </c>
      <c r="AL85" s="22">
        <v>7408100</v>
      </c>
      <c r="AM85" s="22">
        <v>7654600</v>
      </c>
      <c r="AN85" s="22">
        <v>6160000</v>
      </c>
      <c r="AO85" s="22">
        <v>6059900</v>
      </c>
      <c r="AP85" s="22">
        <v>5899900</v>
      </c>
      <c r="AQ85" s="22">
        <v>5963700</v>
      </c>
      <c r="AR85" s="22">
        <v>4272300</v>
      </c>
      <c r="AS85" s="22">
        <v>3546100</v>
      </c>
      <c r="AT85" s="22">
        <v>4955100</v>
      </c>
      <c r="AU85" s="22">
        <v>7420300</v>
      </c>
      <c r="AV85" s="22">
        <v>10072800</v>
      </c>
      <c r="AW85" s="22">
        <v>4331300</v>
      </c>
      <c r="AX85" s="22">
        <v>4307500</v>
      </c>
      <c r="AY85" s="22">
        <v>2925600</v>
      </c>
      <c r="AZ85" s="22">
        <v>8267200</v>
      </c>
      <c r="BA85" s="22">
        <v>9914600</v>
      </c>
      <c r="BB85" s="22">
        <v>8372900</v>
      </c>
      <c r="BC85" s="22">
        <v>9219000</v>
      </c>
      <c r="BD85" s="22">
        <v>5645300</v>
      </c>
      <c r="BE85" s="22">
        <v>6808100</v>
      </c>
      <c r="BF85" s="22">
        <v>5995900</v>
      </c>
      <c r="BG85" s="22">
        <v>11219700</v>
      </c>
      <c r="BH85" s="22">
        <v>7934200</v>
      </c>
      <c r="BI85" s="22">
        <v>5815500</v>
      </c>
      <c r="BJ85" s="22">
        <v>4703700</v>
      </c>
      <c r="BK85" s="22">
        <v>7046400</v>
      </c>
      <c r="BL85" s="22">
        <v>10143800</v>
      </c>
    </row>
    <row r="86" spans="1:64" ht="15.95" customHeight="1">
      <c r="A86" s="433" t="s">
        <v>343</v>
      </c>
      <c r="B86" s="49" t="s">
        <v>147</v>
      </c>
      <c r="C86" s="53">
        <f>_xll.RssMarket("1963","出来高")</f>
        <v>1864000</v>
      </c>
      <c r="D86" s="220">
        <f t="shared" si="1"/>
        <v>0</v>
      </c>
      <c r="E86" s="218">
        <v>1864000</v>
      </c>
      <c r="F86" s="22">
        <v>1373900</v>
      </c>
      <c r="G86" s="22">
        <v>1460000</v>
      </c>
      <c r="H86" s="22">
        <v>1467300</v>
      </c>
      <c r="I86" s="22">
        <v>1394100</v>
      </c>
      <c r="J86" s="22">
        <v>1732900</v>
      </c>
      <c r="K86" s="22">
        <v>1449000</v>
      </c>
      <c r="L86" s="22">
        <v>1013900</v>
      </c>
      <c r="M86" s="22">
        <v>1911500</v>
      </c>
      <c r="N86" s="22">
        <v>1527300</v>
      </c>
      <c r="O86" s="22">
        <v>2804000</v>
      </c>
      <c r="P86" s="22">
        <v>2054500</v>
      </c>
      <c r="Q86" s="22">
        <v>1832300</v>
      </c>
      <c r="R86" s="22">
        <v>2968800</v>
      </c>
      <c r="S86" s="22">
        <v>3418300</v>
      </c>
      <c r="T86" s="22">
        <v>2669700</v>
      </c>
      <c r="U86" s="22">
        <v>3286900</v>
      </c>
      <c r="V86" s="22">
        <v>1889600</v>
      </c>
      <c r="W86" s="22">
        <v>3296500</v>
      </c>
      <c r="X86" s="22">
        <v>6228100</v>
      </c>
      <c r="Y86" s="22">
        <v>1875100</v>
      </c>
      <c r="Z86" s="22">
        <v>2617400</v>
      </c>
      <c r="AA86" s="22">
        <v>2664400</v>
      </c>
      <c r="AB86" s="22">
        <v>3104800</v>
      </c>
      <c r="AC86" s="22">
        <v>3104800</v>
      </c>
      <c r="AD86" s="22">
        <v>2213900</v>
      </c>
      <c r="AE86" s="22">
        <v>2393100</v>
      </c>
      <c r="AF86" s="22">
        <v>1192600</v>
      </c>
      <c r="AG86" s="22">
        <v>2116500</v>
      </c>
      <c r="AH86" s="22">
        <v>2436700</v>
      </c>
      <c r="AI86" s="22">
        <v>2495200</v>
      </c>
      <c r="AJ86" s="22">
        <v>2041700</v>
      </c>
      <c r="AK86" s="22">
        <v>3002500</v>
      </c>
      <c r="AL86" s="22">
        <v>2721100</v>
      </c>
      <c r="AM86" s="22">
        <v>2709400</v>
      </c>
      <c r="AN86" s="22">
        <v>2749000</v>
      </c>
      <c r="AO86" s="22">
        <v>1962700</v>
      </c>
      <c r="AP86" s="22">
        <v>2822800</v>
      </c>
      <c r="AQ86" s="22">
        <v>3177000</v>
      </c>
      <c r="AR86" s="22">
        <v>3566600</v>
      </c>
      <c r="AS86" s="22">
        <v>3001500</v>
      </c>
      <c r="AT86" s="22">
        <v>4256800</v>
      </c>
      <c r="AU86" s="22">
        <v>6389800</v>
      </c>
      <c r="AV86" s="22">
        <v>5645200</v>
      </c>
      <c r="AW86" s="22">
        <v>3141600</v>
      </c>
      <c r="AX86" s="22">
        <v>3947300</v>
      </c>
      <c r="AY86" s="22">
        <v>3763800</v>
      </c>
      <c r="AZ86" s="22">
        <v>6578400</v>
      </c>
      <c r="BA86" s="22">
        <v>4811300</v>
      </c>
      <c r="BB86" s="22">
        <v>6952600</v>
      </c>
      <c r="BC86" s="22">
        <v>2026600</v>
      </c>
      <c r="BD86" s="22">
        <v>1951000</v>
      </c>
      <c r="BE86" s="22">
        <v>2574000</v>
      </c>
      <c r="BF86" s="22">
        <v>2086900</v>
      </c>
      <c r="BG86" s="22">
        <v>2916900</v>
      </c>
      <c r="BH86" s="22">
        <v>3688200</v>
      </c>
      <c r="BI86" s="22">
        <v>3284300</v>
      </c>
      <c r="BJ86" s="22">
        <v>1423700</v>
      </c>
      <c r="BK86" s="22">
        <v>1423800</v>
      </c>
      <c r="BL86" s="22">
        <v>2213500</v>
      </c>
    </row>
    <row r="87" spans="1:64" ht="15.95" customHeight="1">
      <c r="A87" s="433" t="s">
        <v>344</v>
      </c>
      <c r="B87" s="49" t="s">
        <v>148</v>
      </c>
      <c r="C87" s="53">
        <f>_xll.RssMarket("2914","出来高")</f>
        <v>3469400</v>
      </c>
      <c r="D87" s="220">
        <f t="shared" si="1"/>
        <v>0</v>
      </c>
      <c r="E87" s="218">
        <v>3469400</v>
      </c>
      <c r="F87" s="22">
        <v>3155000</v>
      </c>
      <c r="G87" s="22">
        <v>7746000</v>
      </c>
      <c r="H87" s="22">
        <v>6014400</v>
      </c>
      <c r="I87" s="22">
        <v>3626400</v>
      </c>
      <c r="J87" s="22">
        <v>4375600</v>
      </c>
      <c r="K87" s="22">
        <v>3970300</v>
      </c>
      <c r="L87" s="22">
        <v>3724400</v>
      </c>
      <c r="M87" s="22">
        <v>3002800</v>
      </c>
      <c r="N87" s="22">
        <v>3956700</v>
      </c>
      <c r="O87" s="22">
        <v>10724600</v>
      </c>
      <c r="P87" s="22">
        <v>3448400</v>
      </c>
      <c r="Q87" s="22">
        <v>3071700</v>
      </c>
      <c r="R87" s="22">
        <v>3270200</v>
      </c>
      <c r="S87" s="22">
        <v>3680600</v>
      </c>
      <c r="T87" s="22">
        <v>3821600</v>
      </c>
      <c r="U87" s="22">
        <v>3702100</v>
      </c>
      <c r="V87" s="22">
        <v>3259100</v>
      </c>
      <c r="W87" s="22">
        <v>3712200</v>
      </c>
      <c r="X87" s="22">
        <v>3704200</v>
      </c>
      <c r="Y87" s="22">
        <v>4356700</v>
      </c>
      <c r="Z87" s="22">
        <v>4003600</v>
      </c>
      <c r="AA87" s="22">
        <v>11863100</v>
      </c>
      <c r="AB87" s="22">
        <v>11863100</v>
      </c>
      <c r="AC87" s="22">
        <v>5770200</v>
      </c>
      <c r="AD87" s="22">
        <v>4456100</v>
      </c>
      <c r="AE87" s="22">
        <v>3174400</v>
      </c>
      <c r="AF87" s="22">
        <v>4136000</v>
      </c>
      <c r="AG87" s="22">
        <v>4445200</v>
      </c>
      <c r="AH87" s="22">
        <v>3211200</v>
      </c>
      <c r="AI87" s="22">
        <v>3201700</v>
      </c>
      <c r="AJ87" s="22">
        <v>6374600</v>
      </c>
      <c r="AK87" s="22">
        <v>3852800</v>
      </c>
      <c r="AL87" s="22">
        <v>2480100</v>
      </c>
      <c r="AM87" s="22">
        <v>2465000</v>
      </c>
      <c r="AN87" s="22">
        <v>3226000</v>
      </c>
      <c r="AO87" s="22">
        <v>3684400</v>
      </c>
      <c r="AP87" s="22">
        <v>3677700</v>
      </c>
      <c r="AQ87" s="22">
        <v>4085900</v>
      </c>
      <c r="AR87" s="22">
        <v>2990100</v>
      </c>
      <c r="AS87" s="22">
        <v>3757200</v>
      </c>
      <c r="AT87" s="22">
        <v>4113600</v>
      </c>
      <c r="AU87" s="22">
        <v>4158000</v>
      </c>
      <c r="AV87" s="22">
        <v>3304700</v>
      </c>
      <c r="AW87" s="22">
        <v>2621800</v>
      </c>
      <c r="AX87" s="22">
        <v>2809600</v>
      </c>
      <c r="AY87" s="22">
        <v>4363000</v>
      </c>
      <c r="AZ87" s="22">
        <v>4883600</v>
      </c>
      <c r="BA87" s="22">
        <v>6053200</v>
      </c>
      <c r="BB87" s="22">
        <v>4406600</v>
      </c>
      <c r="BC87" s="22">
        <v>3133600</v>
      </c>
      <c r="BD87" s="22">
        <v>4224000</v>
      </c>
      <c r="BE87" s="22">
        <v>4582700</v>
      </c>
      <c r="BF87" s="22">
        <v>6754400</v>
      </c>
      <c r="BG87" s="22">
        <v>5494300</v>
      </c>
      <c r="BH87" s="22">
        <v>3587800</v>
      </c>
      <c r="BI87" s="22">
        <v>3446600</v>
      </c>
      <c r="BJ87" s="22">
        <v>3408600</v>
      </c>
      <c r="BK87" s="22">
        <v>3684600</v>
      </c>
      <c r="BL87" s="22">
        <v>4254000</v>
      </c>
    </row>
    <row r="88" spans="1:64" ht="15.95" customHeight="1">
      <c r="A88" s="433" t="s">
        <v>345</v>
      </c>
      <c r="B88" s="49" t="s">
        <v>149</v>
      </c>
      <c r="C88" s="53">
        <f>_xll.RssMarket("3003","出来高")</f>
        <v>1869700</v>
      </c>
      <c r="D88" s="220">
        <f t="shared" si="1"/>
        <v>0</v>
      </c>
      <c r="E88" s="218">
        <v>1869700</v>
      </c>
      <c r="F88" s="22">
        <v>2423000</v>
      </c>
      <c r="G88" s="22">
        <v>3906900</v>
      </c>
      <c r="H88" s="22">
        <v>3257100</v>
      </c>
      <c r="I88" s="22">
        <v>4265000</v>
      </c>
      <c r="J88" s="22">
        <v>3733600</v>
      </c>
      <c r="K88" s="22">
        <v>2105800</v>
      </c>
      <c r="L88" s="22">
        <v>3286700</v>
      </c>
      <c r="M88" s="22">
        <v>2449400</v>
      </c>
      <c r="N88" s="22">
        <v>2997100</v>
      </c>
      <c r="O88" s="22">
        <v>9900200</v>
      </c>
      <c r="P88" s="22">
        <v>2948700</v>
      </c>
      <c r="Q88" s="22">
        <v>3716200</v>
      </c>
      <c r="R88" s="22">
        <v>4468400</v>
      </c>
      <c r="S88" s="22">
        <v>9466700</v>
      </c>
      <c r="T88" s="22">
        <v>1675900</v>
      </c>
      <c r="U88" s="22">
        <v>2099200</v>
      </c>
      <c r="V88" s="22">
        <v>1897300</v>
      </c>
      <c r="W88" s="22">
        <v>2668400</v>
      </c>
      <c r="X88" s="22">
        <v>2477700</v>
      </c>
      <c r="Y88" s="22">
        <v>3073500</v>
      </c>
      <c r="Z88" s="22">
        <v>1300800</v>
      </c>
      <c r="AA88" s="22">
        <v>1398700</v>
      </c>
      <c r="AB88" s="22">
        <v>2252600</v>
      </c>
      <c r="AC88" s="22">
        <v>2252600</v>
      </c>
      <c r="AD88" s="22">
        <v>2518900</v>
      </c>
      <c r="AE88" s="22">
        <v>3594600</v>
      </c>
      <c r="AF88" s="22">
        <v>2500000</v>
      </c>
      <c r="AG88" s="22">
        <v>3831400</v>
      </c>
      <c r="AH88" s="22">
        <v>3969400</v>
      </c>
      <c r="AI88" s="22">
        <v>5587600</v>
      </c>
      <c r="AJ88" s="22">
        <v>1766500</v>
      </c>
      <c r="AK88" s="22">
        <v>1676600</v>
      </c>
      <c r="AL88" s="22">
        <v>1737600</v>
      </c>
      <c r="AM88" s="22">
        <v>1495500</v>
      </c>
      <c r="AN88" s="22">
        <v>994000</v>
      </c>
      <c r="AO88" s="22">
        <v>1441100</v>
      </c>
      <c r="AP88" s="22">
        <v>1731500</v>
      </c>
      <c r="AQ88" s="22">
        <v>1684900</v>
      </c>
      <c r="AR88" s="22">
        <v>1861900</v>
      </c>
      <c r="AS88" s="22">
        <v>1232300</v>
      </c>
      <c r="AT88" s="22">
        <v>1300700</v>
      </c>
      <c r="AU88" s="22">
        <v>2243100</v>
      </c>
      <c r="AV88" s="22">
        <v>2205300</v>
      </c>
      <c r="AW88" s="22">
        <v>1120100</v>
      </c>
      <c r="AX88" s="22">
        <v>970100</v>
      </c>
      <c r="AY88" s="22">
        <v>991500</v>
      </c>
      <c r="AZ88" s="22">
        <v>1758200</v>
      </c>
      <c r="BA88" s="22">
        <v>1435700</v>
      </c>
      <c r="BB88" s="22">
        <v>1921900</v>
      </c>
      <c r="BC88" s="22">
        <v>2339800</v>
      </c>
      <c r="BD88" s="22">
        <v>1680100</v>
      </c>
      <c r="BE88" s="22">
        <v>1966300</v>
      </c>
      <c r="BF88" s="22">
        <v>1911400</v>
      </c>
      <c r="BG88" s="22">
        <v>2760500</v>
      </c>
      <c r="BH88" s="22">
        <v>3000300</v>
      </c>
      <c r="BI88" s="22">
        <v>1676700</v>
      </c>
      <c r="BJ88" s="22">
        <v>1054500</v>
      </c>
      <c r="BK88" s="22">
        <v>1788700</v>
      </c>
      <c r="BL88" s="22">
        <v>1829300</v>
      </c>
    </row>
    <row r="89" spans="1:64" ht="15.95" customHeight="1">
      <c r="A89" s="433" t="s">
        <v>346</v>
      </c>
      <c r="B89" s="49" t="s">
        <v>150</v>
      </c>
      <c r="C89" s="53">
        <f>_xll.RssMarket("5892","出来高")</f>
        <v>109600</v>
      </c>
      <c r="D89" s="220">
        <f t="shared" si="1"/>
        <v>0</v>
      </c>
      <c r="E89" s="218">
        <v>109600</v>
      </c>
      <c r="F89" s="22">
        <v>91100</v>
      </c>
      <c r="G89" s="22">
        <v>154900</v>
      </c>
      <c r="H89" s="22">
        <v>40900</v>
      </c>
      <c r="I89" s="22">
        <v>50900</v>
      </c>
      <c r="J89" s="22">
        <v>72600</v>
      </c>
      <c r="K89" s="22">
        <v>113400</v>
      </c>
      <c r="L89" s="22">
        <v>52000</v>
      </c>
      <c r="M89" s="22">
        <v>55700</v>
      </c>
      <c r="N89" s="22">
        <v>42300</v>
      </c>
      <c r="O89" s="22">
        <v>50900</v>
      </c>
      <c r="P89" s="22">
        <v>68300</v>
      </c>
      <c r="Q89" s="22">
        <v>79600</v>
      </c>
      <c r="R89" s="22">
        <v>90300</v>
      </c>
      <c r="S89" s="22">
        <v>87800</v>
      </c>
      <c r="T89" s="22">
        <v>91100</v>
      </c>
      <c r="U89" s="22">
        <v>63900</v>
      </c>
      <c r="V89" s="22">
        <v>150600</v>
      </c>
      <c r="W89" s="22">
        <v>260400</v>
      </c>
      <c r="X89" s="22">
        <v>28700</v>
      </c>
      <c r="Y89" s="22">
        <v>105100</v>
      </c>
      <c r="Z89" s="22">
        <v>101000</v>
      </c>
      <c r="AA89" s="22">
        <v>90600</v>
      </c>
      <c r="AB89" s="22">
        <v>143600</v>
      </c>
      <c r="AC89" s="22">
        <v>143600</v>
      </c>
      <c r="AD89" s="22">
        <v>127400</v>
      </c>
      <c r="AE89" s="22">
        <v>52900</v>
      </c>
      <c r="AF89" s="22">
        <v>31300</v>
      </c>
      <c r="AG89" s="22">
        <v>77400</v>
      </c>
      <c r="AH89" s="22">
        <v>47100</v>
      </c>
      <c r="AI89" s="22">
        <v>24000</v>
      </c>
      <c r="AJ89" s="22">
        <v>31500</v>
      </c>
      <c r="AK89" s="22">
        <v>54600</v>
      </c>
      <c r="AL89" s="22">
        <v>35300</v>
      </c>
      <c r="AM89" s="22">
        <v>33400</v>
      </c>
      <c r="AN89" s="22">
        <v>40400</v>
      </c>
      <c r="AO89" s="22">
        <v>29900</v>
      </c>
      <c r="AP89" s="22">
        <v>30900</v>
      </c>
      <c r="AQ89" s="22">
        <v>57100</v>
      </c>
      <c r="AR89" s="22">
        <v>185900</v>
      </c>
      <c r="AS89" s="22">
        <v>23300</v>
      </c>
      <c r="AT89" s="22">
        <v>44600</v>
      </c>
      <c r="AU89" s="22">
        <v>41500</v>
      </c>
      <c r="AV89" s="22">
        <v>92100</v>
      </c>
      <c r="AW89" s="22">
        <v>38500</v>
      </c>
      <c r="AX89" s="22">
        <v>25200</v>
      </c>
      <c r="AY89" s="22">
        <v>30900</v>
      </c>
      <c r="AZ89" s="22">
        <v>31300</v>
      </c>
      <c r="BA89" s="22">
        <v>109800</v>
      </c>
      <c r="BB89" s="22">
        <v>35300</v>
      </c>
      <c r="BC89" s="22">
        <v>28600</v>
      </c>
      <c r="BD89" s="22">
        <v>19100</v>
      </c>
      <c r="BE89" s="22">
        <v>45300</v>
      </c>
      <c r="BF89" s="22">
        <v>40200</v>
      </c>
      <c r="BG89" s="22">
        <v>70200</v>
      </c>
      <c r="BH89" s="22">
        <v>97800</v>
      </c>
      <c r="BI89" s="22">
        <v>87400</v>
      </c>
      <c r="BJ89" s="22">
        <v>32200</v>
      </c>
      <c r="BK89" s="22">
        <v>40300</v>
      </c>
      <c r="BL89" s="22">
        <v>49400</v>
      </c>
    </row>
    <row r="90" spans="1:64" ht="15.95" customHeight="1">
      <c r="A90" s="433" t="s">
        <v>347</v>
      </c>
      <c r="B90" s="49" t="s">
        <v>151</v>
      </c>
      <c r="C90" s="53">
        <f>_xll.RssMarket("6323","出来高")</f>
        <v>1602600</v>
      </c>
      <c r="D90" s="220">
        <f t="shared" si="1"/>
        <v>0</v>
      </c>
      <c r="E90" s="218">
        <v>1602600</v>
      </c>
      <c r="F90" s="22">
        <v>1658600</v>
      </c>
      <c r="G90" s="22">
        <v>1870900</v>
      </c>
      <c r="H90" s="22">
        <v>1342600</v>
      </c>
      <c r="I90" s="22">
        <v>1331900</v>
      </c>
      <c r="J90" s="22">
        <v>2269300</v>
      </c>
      <c r="K90" s="22">
        <v>2018400</v>
      </c>
      <c r="L90" s="22">
        <v>3089500</v>
      </c>
      <c r="M90" s="22">
        <v>3050000</v>
      </c>
      <c r="N90" s="22">
        <v>1132800</v>
      </c>
      <c r="O90" s="22">
        <v>2132700</v>
      </c>
      <c r="P90" s="22">
        <v>1285800</v>
      </c>
      <c r="Q90" s="22">
        <v>1290700</v>
      </c>
      <c r="R90" s="22">
        <v>1431600</v>
      </c>
      <c r="S90" s="22">
        <v>1043700</v>
      </c>
      <c r="T90" s="22">
        <v>1600400</v>
      </c>
      <c r="U90" s="22">
        <v>1162700</v>
      </c>
      <c r="V90" s="22">
        <v>1663600</v>
      </c>
      <c r="W90" s="22">
        <v>1168500</v>
      </c>
      <c r="X90" s="22">
        <v>1938700</v>
      </c>
      <c r="Y90" s="22">
        <v>1479100</v>
      </c>
      <c r="Z90" s="22">
        <v>2075600</v>
      </c>
      <c r="AA90" s="22">
        <v>2166900</v>
      </c>
      <c r="AB90" s="22">
        <v>2289300</v>
      </c>
      <c r="AC90" s="22">
        <v>2289300</v>
      </c>
      <c r="AD90" s="22">
        <v>2998600</v>
      </c>
      <c r="AE90" s="22">
        <v>2913700</v>
      </c>
      <c r="AF90" s="22">
        <v>1548100</v>
      </c>
      <c r="AG90" s="22">
        <v>1706100</v>
      </c>
      <c r="AH90" s="22">
        <v>2107600</v>
      </c>
      <c r="AI90" s="22">
        <v>3075200</v>
      </c>
      <c r="AJ90" s="22">
        <v>1308900</v>
      </c>
      <c r="AK90" s="22">
        <v>1735800</v>
      </c>
      <c r="AL90" s="22">
        <v>2284400</v>
      </c>
      <c r="AM90" s="22">
        <v>2777600</v>
      </c>
      <c r="AN90" s="22">
        <v>1764400</v>
      </c>
      <c r="AO90" s="22">
        <v>1901100</v>
      </c>
      <c r="AP90" s="22">
        <v>3031600</v>
      </c>
      <c r="AQ90" s="22">
        <v>2849500</v>
      </c>
      <c r="AR90" s="22">
        <v>4561300</v>
      </c>
      <c r="AS90" s="22">
        <v>9459700</v>
      </c>
      <c r="AT90" s="22">
        <v>6627200</v>
      </c>
      <c r="AU90" s="22">
        <v>2420400</v>
      </c>
      <c r="AV90" s="22">
        <v>3094400</v>
      </c>
      <c r="AW90" s="22">
        <v>1837300</v>
      </c>
      <c r="AX90" s="22">
        <v>2010400</v>
      </c>
      <c r="AY90" s="22">
        <v>911800</v>
      </c>
      <c r="AZ90" s="22">
        <v>1166300</v>
      </c>
      <c r="BA90" s="22">
        <v>1207200</v>
      </c>
      <c r="BB90" s="22">
        <v>1227500</v>
      </c>
      <c r="BC90" s="22">
        <v>1645100</v>
      </c>
      <c r="BD90" s="22">
        <v>1282100</v>
      </c>
      <c r="BE90" s="22">
        <v>821000</v>
      </c>
      <c r="BF90" s="22">
        <v>804900</v>
      </c>
      <c r="BG90" s="22">
        <v>1192600</v>
      </c>
      <c r="BH90" s="22">
        <v>2473600</v>
      </c>
      <c r="BI90" s="22">
        <v>1668300</v>
      </c>
      <c r="BJ90" s="22">
        <v>1182000</v>
      </c>
      <c r="BK90" s="22">
        <v>939600</v>
      </c>
      <c r="BL90" s="22">
        <v>1884100</v>
      </c>
    </row>
    <row r="91" spans="1:64" ht="15.95" customHeight="1">
      <c r="A91" s="433" t="s">
        <v>348</v>
      </c>
      <c r="B91" s="49" t="s">
        <v>152</v>
      </c>
      <c r="C91" s="53">
        <f>_xll.RssMarket("6501","出来高")</f>
        <v>11385900</v>
      </c>
      <c r="D91" s="220">
        <f t="shared" si="1"/>
        <v>0</v>
      </c>
      <c r="E91" s="218">
        <v>11385900</v>
      </c>
      <c r="F91" s="22">
        <v>11238700</v>
      </c>
      <c r="G91" s="22">
        <v>18882700</v>
      </c>
      <c r="H91" s="22">
        <v>15175900</v>
      </c>
      <c r="I91" s="22">
        <v>15252700</v>
      </c>
      <c r="J91" s="22">
        <v>14584100</v>
      </c>
      <c r="K91" s="22">
        <v>11799100</v>
      </c>
      <c r="L91" s="22">
        <v>8401300</v>
      </c>
      <c r="M91" s="22">
        <v>15132500</v>
      </c>
      <c r="N91" s="22">
        <v>10393900</v>
      </c>
      <c r="O91" s="22">
        <v>27362800</v>
      </c>
      <c r="P91" s="22">
        <v>17942700</v>
      </c>
      <c r="Q91" s="22">
        <v>10796000</v>
      </c>
      <c r="R91" s="22">
        <v>9871700</v>
      </c>
      <c r="S91" s="22">
        <v>13406000</v>
      </c>
      <c r="T91" s="22">
        <v>17823800</v>
      </c>
      <c r="U91" s="22">
        <v>13438800</v>
      </c>
      <c r="V91" s="22">
        <v>17371300</v>
      </c>
      <c r="W91" s="22">
        <v>9951800</v>
      </c>
      <c r="X91" s="22">
        <v>15316500</v>
      </c>
      <c r="Y91" s="22">
        <v>14167400</v>
      </c>
      <c r="Z91" s="22">
        <v>14259600</v>
      </c>
      <c r="AA91" s="22">
        <v>11607400</v>
      </c>
      <c r="AB91" s="22">
        <v>15801200</v>
      </c>
      <c r="AC91" s="22">
        <v>15801200</v>
      </c>
      <c r="AD91" s="22">
        <v>16696700</v>
      </c>
      <c r="AE91" s="22">
        <v>25537000</v>
      </c>
      <c r="AF91" s="22">
        <v>11393000</v>
      </c>
      <c r="AG91" s="22">
        <v>22771900</v>
      </c>
      <c r="AH91" s="22">
        <v>29820000</v>
      </c>
      <c r="AI91" s="22">
        <v>18121800</v>
      </c>
      <c r="AJ91" s="22">
        <v>10572600</v>
      </c>
      <c r="AK91" s="22">
        <v>18639900</v>
      </c>
      <c r="AL91" s="22">
        <v>11183900</v>
      </c>
      <c r="AM91" s="22">
        <v>8784900</v>
      </c>
      <c r="AN91" s="22">
        <v>8848200</v>
      </c>
      <c r="AO91" s="22">
        <v>10437400</v>
      </c>
      <c r="AP91" s="22">
        <v>15083400</v>
      </c>
      <c r="AQ91" s="22">
        <v>22050700</v>
      </c>
      <c r="AR91" s="22">
        <v>12203300</v>
      </c>
      <c r="AS91" s="22">
        <v>12164800</v>
      </c>
      <c r="AT91" s="22">
        <v>11797600</v>
      </c>
      <c r="AU91" s="22">
        <v>13677900</v>
      </c>
      <c r="AV91" s="22">
        <v>13616600</v>
      </c>
      <c r="AW91" s="22">
        <v>7102400</v>
      </c>
      <c r="AX91" s="22">
        <v>7853200</v>
      </c>
      <c r="AY91" s="22">
        <v>7658200</v>
      </c>
      <c r="AZ91" s="22">
        <v>12344100</v>
      </c>
      <c r="BA91" s="22">
        <v>13925900</v>
      </c>
      <c r="BB91" s="22">
        <v>18209400</v>
      </c>
      <c r="BC91" s="22">
        <v>13897900</v>
      </c>
      <c r="BD91" s="22">
        <v>12080000</v>
      </c>
      <c r="BE91" s="22">
        <v>13127600</v>
      </c>
      <c r="BF91" s="22">
        <v>12308100</v>
      </c>
      <c r="BG91" s="22">
        <v>14999900</v>
      </c>
      <c r="BH91" s="22">
        <v>16630800</v>
      </c>
      <c r="BI91" s="22">
        <v>9901900</v>
      </c>
      <c r="BJ91" s="22">
        <v>9841200</v>
      </c>
      <c r="BK91" s="22">
        <v>10958600</v>
      </c>
      <c r="BL91" s="22">
        <v>14460100</v>
      </c>
    </row>
    <row r="92" spans="1:64" ht="15.95" customHeight="1">
      <c r="A92" s="433" t="s">
        <v>349</v>
      </c>
      <c r="B92" s="49" t="s">
        <v>153</v>
      </c>
      <c r="C92" s="53">
        <f>_xll.RssMarket("6134","出来高")</f>
        <v>460000</v>
      </c>
      <c r="D92" s="220">
        <f t="shared" si="1"/>
        <v>0</v>
      </c>
      <c r="E92" s="218">
        <v>460000</v>
      </c>
      <c r="F92" s="22">
        <v>577400</v>
      </c>
      <c r="G92" s="22">
        <v>728500</v>
      </c>
      <c r="H92" s="22">
        <v>644300</v>
      </c>
      <c r="I92" s="22">
        <v>765100</v>
      </c>
      <c r="J92" s="22">
        <v>1480300</v>
      </c>
      <c r="K92" s="22">
        <v>505400</v>
      </c>
      <c r="L92" s="22">
        <v>813900</v>
      </c>
      <c r="M92" s="22">
        <v>933300</v>
      </c>
      <c r="N92" s="22">
        <v>912700</v>
      </c>
      <c r="O92" s="22">
        <v>886500</v>
      </c>
      <c r="P92" s="22">
        <v>877700</v>
      </c>
      <c r="Q92" s="22">
        <v>920800</v>
      </c>
      <c r="R92" s="22">
        <v>1103300</v>
      </c>
      <c r="S92" s="22">
        <v>1037800</v>
      </c>
      <c r="T92" s="22">
        <v>1041100</v>
      </c>
      <c r="U92" s="22">
        <v>1571000</v>
      </c>
      <c r="V92" s="22">
        <v>1103200</v>
      </c>
      <c r="W92" s="22">
        <v>1476700</v>
      </c>
      <c r="X92" s="22">
        <v>2780000</v>
      </c>
      <c r="Y92" s="22">
        <v>1532400</v>
      </c>
      <c r="Z92" s="22">
        <v>522000</v>
      </c>
      <c r="AA92" s="22">
        <v>503300</v>
      </c>
      <c r="AB92" s="22">
        <v>611200</v>
      </c>
      <c r="AC92" s="22">
        <v>611200</v>
      </c>
      <c r="AD92" s="22">
        <v>572900</v>
      </c>
      <c r="AE92" s="22">
        <v>789700</v>
      </c>
      <c r="AF92" s="22">
        <v>519000</v>
      </c>
      <c r="AG92" s="22">
        <v>475300</v>
      </c>
      <c r="AH92" s="22">
        <v>509700</v>
      </c>
      <c r="AI92" s="22">
        <v>605600</v>
      </c>
      <c r="AJ92" s="22">
        <v>334000</v>
      </c>
      <c r="AK92" s="22">
        <v>433900</v>
      </c>
      <c r="AL92" s="22">
        <v>419400</v>
      </c>
      <c r="AM92" s="22">
        <v>587000</v>
      </c>
      <c r="AN92" s="22">
        <v>359300</v>
      </c>
      <c r="AO92" s="22">
        <v>436400</v>
      </c>
      <c r="AP92" s="22">
        <v>389800</v>
      </c>
      <c r="AQ92" s="22">
        <v>531700</v>
      </c>
      <c r="AR92" s="22">
        <v>698000</v>
      </c>
      <c r="AS92" s="22">
        <v>376700</v>
      </c>
      <c r="AT92" s="22">
        <v>490600</v>
      </c>
      <c r="AU92" s="22">
        <v>498500</v>
      </c>
      <c r="AV92" s="22">
        <v>467800</v>
      </c>
      <c r="AW92" s="22">
        <v>354700</v>
      </c>
      <c r="AX92" s="22">
        <v>330000</v>
      </c>
      <c r="AY92" s="22">
        <v>282100</v>
      </c>
      <c r="AZ92" s="22">
        <v>513700</v>
      </c>
      <c r="BA92" s="22">
        <v>492400</v>
      </c>
      <c r="BB92" s="22">
        <v>513500</v>
      </c>
      <c r="BC92" s="22">
        <v>610500</v>
      </c>
      <c r="BD92" s="22">
        <v>451200</v>
      </c>
      <c r="BE92" s="22">
        <v>414900</v>
      </c>
      <c r="BF92" s="22">
        <v>577900</v>
      </c>
      <c r="BG92" s="22">
        <v>637100</v>
      </c>
      <c r="BH92" s="22">
        <v>1435800</v>
      </c>
      <c r="BI92" s="22">
        <v>423200</v>
      </c>
      <c r="BJ92" s="22">
        <v>583000</v>
      </c>
      <c r="BK92" s="22">
        <v>477800</v>
      </c>
      <c r="BL92" s="22">
        <v>438200</v>
      </c>
    </row>
    <row r="93" spans="1:64" ht="15.95" customHeight="1">
      <c r="A93" s="433" t="s">
        <v>350</v>
      </c>
      <c r="B93" s="49" t="s">
        <v>154</v>
      </c>
      <c r="C93" s="53">
        <f>_xll.RssMarket("7746","出来高")</f>
        <v>1408400</v>
      </c>
      <c r="D93" s="220">
        <f t="shared" si="1"/>
        <v>0</v>
      </c>
      <c r="E93" s="218">
        <v>1408400</v>
      </c>
      <c r="F93" s="22">
        <v>6711800</v>
      </c>
      <c r="G93" s="22">
        <v>552700</v>
      </c>
      <c r="H93" s="22">
        <v>2857000</v>
      </c>
      <c r="I93" s="22">
        <v>618400</v>
      </c>
      <c r="J93" s="22">
        <v>550500</v>
      </c>
      <c r="K93" s="22">
        <v>388700</v>
      </c>
      <c r="L93" s="22">
        <v>327800</v>
      </c>
      <c r="M93" s="22">
        <v>692200</v>
      </c>
      <c r="N93" s="22">
        <v>459300</v>
      </c>
      <c r="O93" s="22">
        <v>837200</v>
      </c>
      <c r="P93" s="22">
        <v>417800</v>
      </c>
      <c r="Q93" s="22">
        <v>626700</v>
      </c>
      <c r="R93" s="22">
        <v>806100</v>
      </c>
      <c r="S93" s="22">
        <v>951700</v>
      </c>
      <c r="T93" s="22">
        <v>1758400</v>
      </c>
      <c r="U93" s="22">
        <v>3566200</v>
      </c>
      <c r="V93" s="22">
        <v>4638000</v>
      </c>
      <c r="W93" s="22">
        <v>1841700</v>
      </c>
      <c r="X93" s="22">
        <v>870500</v>
      </c>
      <c r="Y93" s="22">
        <v>818000</v>
      </c>
      <c r="Z93" s="22">
        <v>946300</v>
      </c>
      <c r="AA93" s="22">
        <v>1301100</v>
      </c>
      <c r="AB93" s="22">
        <v>607800</v>
      </c>
      <c r="AC93" s="22">
        <v>607800</v>
      </c>
      <c r="AD93" s="22">
        <v>602000</v>
      </c>
      <c r="AE93" s="22">
        <v>721700</v>
      </c>
      <c r="AF93" s="22">
        <v>1534300</v>
      </c>
      <c r="AG93" s="22">
        <v>1154300</v>
      </c>
      <c r="AH93" s="22">
        <v>503500</v>
      </c>
      <c r="AI93" s="22">
        <v>609100</v>
      </c>
      <c r="AJ93" s="22">
        <v>511800</v>
      </c>
      <c r="AK93" s="22">
        <v>728200</v>
      </c>
      <c r="AL93" s="22">
        <v>606400</v>
      </c>
      <c r="AM93" s="22">
        <v>1272800</v>
      </c>
      <c r="AN93" s="22">
        <v>4409000</v>
      </c>
      <c r="AO93" s="22">
        <v>795600</v>
      </c>
      <c r="AP93" s="22">
        <v>1612200</v>
      </c>
      <c r="AQ93" s="22">
        <v>853000</v>
      </c>
      <c r="AR93" s="22">
        <v>953800</v>
      </c>
      <c r="AS93" s="22">
        <v>1671400</v>
      </c>
      <c r="AT93" s="22">
        <v>570300</v>
      </c>
      <c r="AU93" s="22">
        <v>868700</v>
      </c>
      <c r="AV93" s="22">
        <v>6505000</v>
      </c>
      <c r="AW93" s="22">
        <v>1371600</v>
      </c>
      <c r="AX93" s="22">
        <v>375400</v>
      </c>
      <c r="AY93" s="22">
        <v>497900</v>
      </c>
      <c r="AZ93" s="22">
        <v>1492600</v>
      </c>
      <c r="BA93" s="22">
        <v>4229900</v>
      </c>
      <c r="BB93" s="22">
        <v>1467900</v>
      </c>
      <c r="BC93" s="22">
        <v>368300</v>
      </c>
      <c r="BD93" s="22">
        <v>546000</v>
      </c>
      <c r="BE93" s="22">
        <v>720700</v>
      </c>
      <c r="BF93" s="22">
        <v>763100</v>
      </c>
      <c r="BG93" s="22">
        <v>1427900</v>
      </c>
      <c r="BH93" s="22">
        <v>773000</v>
      </c>
      <c r="BI93" s="22">
        <v>1399000</v>
      </c>
      <c r="BJ93" s="22">
        <v>2165000</v>
      </c>
      <c r="BK93" s="22">
        <v>7053300</v>
      </c>
      <c r="BL93" s="22">
        <v>684400</v>
      </c>
    </row>
    <row r="94" spans="1:64" ht="15.95" customHeight="1">
      <c r="A94" s="433" t="s">
        <v>351</v>
      </c>
      <c r="B94" s="49" t="s">
        <v>155</v>
      </c>
      <c r="C94" s="53">
        <f>_xll.RssMarket("3407","出来高")</f>
        <v>3657500</v>
      </c>
      <c r="D94" s="220">
        <f t="shared" si="1"/>
        <v>0</v>
      </c>
      <c r="E94" s="218">
        <v>3657500</v>
      </c>
      <c r="F94" s="22">
        <v>4547400</v>
      </c>
      <c r="G94" s="22">
        <v>6489400</v>
      </c>
      <c r="H94" s="22">
        <v>4133600</v>
      </c>
      <c r="I94" s="22">
        <v>5735300</v>
      </c>
      <c r="J94" s="22">
        <v>6015600</v>
      </c>
      <c r="K94" s="22">
        <v>3738100</v>
      </c>
      <c r="L94" s="22">
        <v>4546500</v>
      </c>
      <c r="M94" s="22">
        <v>5186800</v>
      </c>
      <c r="N94" s="22">
        <v>4955100</v>
      </c>
      <c r="O94" s="22">
        <v>10221700</v>
      </c>
      <c r="P94" s="22">
        <v>5566900</v>
      </c>
      <c r="Q94" s="22">
        <v>4877600</v>
      </c>
      <c r="R94" s="22">
        <v>4317300</v>
      </c>
      <c r="S94" s="22">
        <v>3770800</v>
      </c>
      <c r="T94" s="22">
        <v>4570700</v>
      </c>
      <c r="U94" s="22">
        <v>5936600</v>
      </c>
      <c r="V94" s="22">
        <v>5626100</v>
      </c>
      <c r="W94" s="22">
        <v>4533300</v>
      </c>
      <c r="X94" s="22">
        <v>6129300</v>
      </c>
      <c r="Y94" s="22">
        <v>6255300</v>
      </c>
      <c r="Z94" s="22">
        <v>10306000</v>
      </c>
      <c r="AA94" s="22">
        <v>13151800</v>
      </c>
      <c r="AB94" s="22">
        <v>4652500</v>
      </c>
      <c r="AC94" s="22">
        <v>4652500</v>
      </c>
      <c r="AD94" s="22">
        <v>5504700</v>
      </c>
      <c r="AE94" s="22">
        <v>6643100</v>
      </c>
      <c r="AF94" s="22">
        <v>3442200</v>
      </c>
      <c r="AG94" s="22">
        <v>5477800</v>
      </c>
      <c r="AH94" s="22">
        <v>3348100</v>
      </c>
      <c r="AI94" s="22">
        <v>2929300</v>
      </c>
      <c r="AJ94" s="22">
        <v>3198300</v>
      </c>
      <c r="AK94" s="22">
        <v>4912400</v>
      </c>
      <c r="AL94" s="22">
        <v>4113900</v>
      </c>
      <c r="AM94" s="22">
        <v>2982900</v>
      </c>
      <c r="AN94" s="22">
        <v>3815900</v>
      </c>
      <c r="AO94" s="22">
        <v>4380700</v>
      </c>
      <c r="AP94" s="22">
        <v>5905000</v>
      </c>
      <c r="AQ94" s="22">
        <v>10197600</v>
      </c>
      <c r="AR94" s="22">
        <v>6362200</v>
      </c>
      <c r="AS94" s="22">
        <v>5012700</v>
      </c>
      <c r="AT94" s="22">
        <v>5080600</v>
      </c>
      <c r="AU94" s="22">
        <v>5463400</v>
      </c>
      <c r="AV94" s="22">
        <v>9006800</v>
      </c>
      <c r="AW94" s="22">
        <v>4369300</v>
      </c>
      <c r="AX94" s="22">
        <v>3413100</v>
      </c>
      <c r="AY94" s="22">
        <v>2305800</v>
      </c>
      <c r="AZ94" s="22">
        <v>5118700</v>
      </c>
      <c r="BA94" s="22">
        <v>6510600</v>
      </c>
      <c r="BB94" s="22">
        <v>7302800</v>
      </c>
      <c r="BC94" s="22">
        <v>5584900</v>
      </c>
      <c r="BD94" s="22">
        <v>3495300</v>
      </c>
      <c r="BE94" s="22">
        <v>3888900</v>
      </c>
      <c r="BF94" s="22">
        <v>5010900</v>
      </c>
      <c r="BG94" s="22">
        <v>7747400</v>
      </c>
      <c r="BH94" s="22">
        <v>10100300</v>
      </c>
      <c r="BI94" s="22">
        <v>4439900</v>
      </c>
      <c r="BJ94" s="22">
        <v>4006900</v>
      </c>
      <c r="BK94" s="22">
        <v>5769700</v>
      </c>
      <c r="BL94" s="22">
        <v>8123200</v>
      </c>
    </row>
    <row r="95" spans="1:64" ht="15.95" customHeight="1">
      <c r="A95" s="433" t="s">
        <v>352</v>
      </c>
      <c r="B95" s="49" t="s">
        <v>156</v>
      </c>
      <c r="C95" s="53">
        <f>_xll.RssMarket("4008","出来高")</f>
        <v>131300</v>
      </c>
      <c r="D95" s="220">
        <f t="shared" si="1"/>
        <v>0</v>
      </c>
      <c r="E95" s="218">
        <v>131300</v>
      </c>
      <c r="F95" s="22">
        <v>131100</v>
      </c>
      <c r="G95" s="22">
        <v>163900</v>
      </c>
      <c r="H95" s="22">
        <v>137600</v>
      </c>
      <c r="I95" s="22">
        <v>102600</v>
      </c>
      <c r="J95" s="22">
        <v>194000</v>
      </c>
      <c r="K95" s="22">
        <v>157000</v>
      </c>
      <c r="L95" s="22">
        <v>150100</v>
      </c>
      <c r="M95" s="22">
        <v>202300</v>
      </c>
      <c r="N95" s="22">
        <v>234400</v>
      </c>
      <c r="O95" s="22">
        <v>247100</v>
      </c>
      <c r="P95" s="22">
        <v>231600</v>
      </c>
      <c r="Q95" s="22">
        <v>297600</v>
      </c>
      <c r="R95" s="22">
        <v>190900</v>
      </c>
      <c r="S95" s="22">
        <v>171800</v>
      </c>
      <c r="T95" s="22">
        <v>160000</v>
      </c>
      <c r="U95" s="22">
        <v>191300</v>
      </c>
      <c r="V95" s="22">
        <v>135800</v>
      </c>
      <c r="W95" s="22">
        <v>187500</v>
      </c>
      <c r="X95" s="22">
        <v>217600</v>
      </c>
      <c r="Y95" s="22">
        <v>218400</v>
      </c>
      <c r="Z95" s="22">
        <v>318800</v>
      </c>
      <c r="AA95" s="22">
        <v>391000</v>
      </c>
      <c r="AB95" s="22">
        <v>139300</v>
      </c>
      <c r="AC95" s="22">
        <v>139300</v>
      </c>
      <c r="AD95" s="22">
        <v>131100</v>
      </c>
      <c r="AE95" s="22">
        <v>129500</v>
      </c>
      <c r="AF95" s="22">
        <v>88400</v>
      </c>
      <c r="AG95" s="22">
        <v>113300</v>
      </c>
      <c r="AH95" s="22">
        <v>99300</v>
      </c>
      <c r="AI95" s="22">
        <v>105600</v>
      </c>
      <c r="AJ95" s="22">
        <v>84800</v>
      </c>
      <c r="AK95" s="22">
        <v>111500</v>
      </c>
      <c r="AL95" s="22">
        <v>160300</v>
      </c>
      <c r="AM95" s="22">
        <v>109800</v>
      </c>
      <c r="AN95" s="22">
        <v>76200</v>
      </c>
      <c r="AO95" s="22">
        <v>97800</v>
      </c>
      <c r="AP95" s="22">
        <v>83400</v>
      </c>
      <c r="AQ95" s="22">
        <v>166800</v>
      </c>
      <c r="AR95" s="22">
        <v>132700</v>
      </c>
      <c r="AS95" s="22">
        <v>148800</v>
      </c>
      <c r="AT95" s="22">
        <v>155400</v>
      </c>
      <c r="AU95" s="22">
        <v>201400</v>
      </c>
      <c r="AV95" s="22">
        <v>231600</v>
      </c>
      <c r="AW95" s="22">
        <v>143500</v>
      </c>
      <c r="AX95" s="22">
        <v>210000</v>
      </c>
      <c r="AY95" s="22">
        <v>114900</v>
      </c>
      <c r="AZ95" s="22">
        <v>200500</v>
      </c>
      <c r="BA95" s="22">
        <v>221800</v>
      </c>
      <c r="BB95" s="22">
        <v>315200</v>
      </c>
      <c r="BC95" s="22">
        <v>65100</v>
      </c>
      <c r="BD95" s="22">
        <v>40600</v>
      </c>
      <c r="BE95" s="22">
        <v>29600</v>
      </c>
      <c r="BF95" s="22">
        <v>31600</v>
      </c>
      <c r="BG95" s="22">
        <v>74600</v>
      </c>
      <c r="BH95" s="22">
        <v>54900</v>
      </c>
      <c r="BI95" s="22">
        <v>27400</v>
      </c>
      <c r="BJ95" s="22">
        <v>33300</v>
      </c>
      <c r="BK95" s="22">
        <v>32600</v>
      </c>
      <c r="BL95" s="22">
        <v>38800</v>
      </c>
    </row>
    <row r="96" spans="1:64" ht="15.95" customHeight="1">
      <c r="A96" s="433" t="s">
        <v>353</v>
      </c>
      <c r="B96" s="49" t="s">
        <v>157</v>
      </c>
      <c r="C96" s="53">
        <f>_xll.RssMarket("4062","出来高")</f>
        <v>9058100</v>
      </c>
      <c r="D96" s="220">
        <f t="shared" si="1"/>
        <v>0</v>
      </c>
      <c r="E96" s="218">
        <v>9058100</v>
      </c>
      <c r="F96" s="22">
        <v>9339500</v>
      </c>
      <c r="G96" s="22">
        <v>9550400</v>
      </c>
      <c r="H96" s="22">
        <v>8447800</v>
      </c>
      <c r="I96" s="22">
        <v>8111500</v>
      </c>
      <c r="J96" s="22">
        <v>7707800</v>
      </c>
      <c r="K96" s="22">
        <v>8165500</v>
      </c>
      <c r="L96" s="22">
        <v>6317800</v>
      </c>
      <c r="M96" s="22">
        <v>6878300</v>
      </c>
      <c r="N96" s="22">
        <v>8084800</v>
      </c>
      <c r="O96" s="22">
        <v>10164100</v>
      </c>
      <c r="P96" s="22">
        <v>8387100</v>
      </c>
      <c r="Q96" s="22">
        <v>7490400</v>
      </c>
      <c r="R96" s="22">
        <v>7628200</v>
      </c>
      <c r="S96" s="22">
        <v>8690500</v>
      </c>
      <c r="T96" s="22">
        <v>9124900</v>
      </c>
      <c r="U96" s="22">
        <v>6862800</v>
      </c>
      <c r="V96" s="22">
        <v>6685700</v>
      </c>
      <c r="W96" s="22">
        <v>6760300</v>
      </c>
      <c r="X96" s="22">
        <v>8307900</v>
      </c>
      <c r="Y96" s="22">
        <v>8973700</v>
      </c>
      <c r="Z96" s="22">
        <v>8687100</v>
      </c>
      <c r="AA96" s="22">
        <v>22293100</v>
      </c>
      <c r="AB96" s="22">
        <v>8544200</v>
      </c>
      <c r="AC96" s="22">
        <v>8544200</v>
      </c>
      <c r="AD96" s="22">
        <v>10684700</v>
      </c>
      <c r="AE96" s="22">
        <v>11586800</v>
      </c>
      <c r="AF96" s="22">
        <v>5100600</v>
      </c>
      <c r="AG96" s="22">
        <v>8434800</v>
      </c>
      <c r="AH96" s="22">
        <v>5813900</v>
      </c>
      <c r="AI96" s="22">
        <v>9124800</v>
      </c>
      <c r="AJ96" s="22">
        <v>11078600</v>
      </c>
      <c r="AK96" s="22">
        <v>6416700</v>
      </c>
      <c r="AL96" s="22">
        <v>7596200</v>
      </c>
      <c r="AM96" s="22">
        <v>8109100</v>
      </c>
      <c r="AN96" s="22">
        <v>4249200</v>
      </c>
      <c r="AO96" s="22">
        <v>3714000</v>
      </c>
      <c r="AP96" s="22">
        <v>4460400</v>
      </c>
      <c r="AQ96" s="22">
        <v>7591600</v>
      </c>
      <c r="AR96" s="22">
        <v>5618000</v>
      </c>
      <c r="AS96" s="22">
        <v>6341000</v>
      </c>
      <c r="AT96" s="22">
        <v>6282300</v>
      </c>
      <c r="AU96" s="22">
        <v>7211800</v>
      </c>
      <c r="AV96" s="22">
        <v>8384000</v>
      </c>
      <c r="AW96" s="22">
        <v>5997800</v>
      </c>
      <c r="AX96" s="22">
        <v>4988300</v>
      </c>
      <c r="AY96" s="22">
        <v>4086500</v>
      </c>
      <c r="AZ96" s="22">
        <v>5446700</v>
      </c>
      <c r="BA96" s="22">
        <v>5761600</v>
      </c>
      <c r="BB96" s="22">
        <v>5276700</v>
      </c>
      <c r="BC96" s="22">
        <v>4785600</v>
      </c>
      <c r="BD96" s="22">
        <v>4688700</v>
      </c>
      <c r="BE96" s="22">
        <v>5320700</v>
      </c>
      <c r="BF96" s="22">
        <v>5241600</v>
      </c>
      <c r="BG96" s="22">
        <v>5319300</v>
      </c>
      <c r="BH96" s="22">
        <v>5390900</v>
      </c>
      <c r="BI96" s="22">
        <v>5431700</v>
      </c>
      <c r="BJ96" s="22">
        <v>7225500</v>
      </c>
      <c r="BK96" s="22">
        <v>6255800</v>
      </c>
      <c r="BL96" s="22">
        <v>5405300</v>
      </c>
    </row>
    <row r="97" spans="1:64" ht="15.95" customHeight="1">
      <c r="A97" s="433" t="s">
        <v>354</v>
      </c>
      <c r="B97" s="49" t="s">
        <v>158</v>
      </c>
      <c r="C97" s="53">
        <f>_xll.RssMarket("4182","出来高")</f>
        <v>1114200</v>
      </c>
      <c r="D97" s="220">
        <f t="shared" si="1"/>
        <v>0</v>
      </c>
      <c r="E97" s="218">
        <v>1114200</v>
      </c>
      <c r="F97" s="22">
        <v>1221900</v>
      </c>
      <c r="G97" s="22">
        <v>2602400</v>
      </c>
      <c r="H97" s="22">
        <v>971600</v>
      </c>
      <c r="I97" s="22">
        <v>1491700</v>
      </c>
      <c r="J97" s="22">
        <v>2430500</v>
      </c>
      <c r="K97" s="22">
        <v>1245100</v>
      </c>
      <c r="L97" s="22">
        <v>830500</v>
      </c>
      <c r="M97" s="22">
        <v>1232800</v>
      </c>
      <c r="N97" s="22">
        <v>1400800</v>
      </c>
      <c r="O97" s="22">
        <v>1292400</v>
      </c>
      <c r="P97" s="22">
        <v>1150000</v>
      </c>
      <c r="Q97" s="22">
        <v>1064900</v>
      </c>
      <c r="R97" s="22">
        <v>1654400</v>
      </c>
      <c r="S97" s="22">
        <v>1675800</v>
      </c>
      <c r="T97" s="22">
        <v>2042100</v>
      </c>
      <c r="U97" s="22">
        <v>1754100</v>
      </c>
      <c r="V97" s="22">
        <v>1709200</v>
      </c>
      <c r="W97" s="22">
        <v>2564300</v>
      </c>
      <c r="X97" s="22">
        <v>2780200</v>
      </c>
      <c r="Y97" s="22">
        <v>3574400</v>
      </c>
      <c r="Z97" s="22">
        <v>1754000</v>
      </c>
      <c r="AA97" s="22">
        <v>1648500</v>
      </c>
      <c r="AB97" s="22">
        <v>1397900</v>
      </c>
      <c r="AC97" s="22">
        <v>1397900</v>
      </c>
      <c r="AD97" s="22">
        <v>1352800</v>
      </c>
      <c r="AE97" s="22">
        <v>1614200</v>
      </c>
      <c r="AF97" s="22">
        <v>697500</v>
      </c>
      <c r="AG97" s="22">
        <v>1287400</v>
      </c>
      <c r="AH97" s="22">
        <v>1135200</v>
      </c>
      <c r="AI97" s="22">
        <v>1139000</v>
      </c>
      <c r="AJ97" s="22">
        <v>1335900</v>
      </c>
      <c r="AK97" s="22">
        <v>1199800</v>
      </c>
      <c r="AL97" s="22">
        <v>1084900</v>
      </c>
      <c r="AM97" s="22">
        <v>1453800</v>
      </c>
      <c r="AN97" s="22">
        <v>1012100</v>
      </c>
      <c r="AO97" s="22">
        <v>933000</v>
      </c>
      <c r="AP97" s="22">
        <v>930400</v>
      </c>
      <c r="AQ97" s="22">
        <v>1472400</v>
      </c>
      <c r="AR97" s="22">
        <v>1254800</v>
      </c>
      <c r="AS97" s="22">
        <v>1196800</v>
      </c>
      <c r="AT97" s="22">
        <v>1143300</v>
      </c>
      <c r="AU97" s="22">
        <v>1024400</v>
      </c>
      <c r="AV97" s="22">
        <v>2396600</v>
      </c>
      <c r="AW97" s="22">
        <v>1459800</v>
      </c>
      <c r="AX97" s="22">
        <v>1163500</v>
      </c>
      <c r="AY97" s="22">
        <v>1046900</v>
      </c>
      <c r="AZ97" s="22">
        <v>1041300</v>
      </c>
      <c r="BA97" s="22">
        <v>1229600</v>
      </c>
      <c r="BB97" s="22">
        <v>1874900</v>
      </c>
      <c r="BC97" s="22">
        <v>1385000</v>
      </c>
      <c r="BD97" s="22">
        <v>1353200</v>
      </c>
      <c r="BE97" s="22">
        <v>1210600</v>
      </c>
      <c r="BF97" s="22">
        <v>1237100</v>
      </c>
      <c r="BG97" s="22">
        <v>1401600</v>
      </c>
      <c r="BH97" s="22">
        <v>1370000</v>
      </c>
      <c r="BI97" s="22">
        <v>923800</v>
      </c>
      <c r="BJ97" s="22">
        <v>1122100</v>
      </c>
      <c r="BK97" s="22">
        <v>950900</v>
      </c>
      <c r="BL97" s="22">
        <v>1769900</v>
      </c>
    </row>
    <row r="98" spans="1:64" ht="15.95" customHeight="1">
      <c r="A98" s="433" t="s">
        <v>355</v>
      </c>
      <c r="B98" s="49" t="s">
        <v>159</v>
      </c>
      <c r="C98" s="53">
        <f>_xll.RssMarket("4188","出来高")</f>
        <v>7563000</v>
      </c>
      <c r="D98" s="220">
        <f t="shared" si="1"/>
        <v>0</v>
      </c>
      <c r="E98" s="218">
        <v>7563000</v>
      </c>
      <c r="F98" s="22">
        <v>4768100</v>
      </c>
      <c r="G98" s="22">
        <v>7848100</v>
      </c>
      <c r="H98" s="22">
        <v>6138900</v>
      </c>
      <c r="I98" s="22">
        <v>4932200</v>
      </c>
      <c r="J98" s="22">
        <v>5371000</v>
      </c>
      <c r="K98" s="22">
        <v>5688000</v>
      </c>
      <c r="L98" s="22">
        <v>4724200</v>
      </c>
      <c r="M98" s="22">
        <v>5952200</v>
      </c>
      <c r="N98" s="22">
        <v>5391500</v>
      </c>
      <c r="O98" s="22">
        <v>10577300</v>
      </c>
      <c r="P98" s="22">
        <v>7865100</v>
      </c>
      <c r="Q98" s="22">
        <v>6782700</v>
      </c>
      <c r="R98" s="22">
        <v>10479300</v>
      </c>
      <c r="S98" s="22">
        <v>5108300</v>
      </c>
      <c r="T98" s="22">
        <v>7807500</v>
      </c>
      <c r="U98" s="22">
        <v>7176100</v>
      </c>
      <c r="V98" s="22">
        <v>6773900</v>
      </c>
      <c r="W98" s="22">
        <v>5269400</v>
      </c>
      <c r="X98" s="22">
        <v>10576800</v>
      </c>
      <c r="Y98" s="22">
        <v>15257100</v>
      </c>
      <c r="Z98" s="22">
        <v>27241500</v>
      </c>
      <c r="AA98" s="22">
        <v>5823200</v>
      </c>
      <c r="AB98" s="22">
        <v>7365700</v>
      </c>
      <c r="AC98" s="22">
        <v>7365700</v>
      </c>
      <c r="AD98" s="22">
        <v>7575100</v>
      </c>
      <c r="AE98" s="22">
        <v>10686600</v>
      </c>
      <c r="AF98" s="22">
        <v>4518500</v>
      </c>
      <c r="AG98" s="22">
        <v>7575100</v>
      </c>
      <c r="AH98" s="22">
        <v>6184100</v>
      </c>
      <c r="AI98" s="22">
        <v>5186600</v>
      </c>
      <c r="AJ98" s="22">
        <v>3611200</v>
      </c>
      <c r="AK98" s="22">
        <v>6537700</v>
      </c>
      <c r="AL98" s="22">
        <v>4788500</v>
      </c>
      <c r="AM98" s="22">
        <v>5791800</v>
      </c>
      <c r="AN98" s="22">
        <v>6322400</v>
      </c>
      <c r="AO98" s="22">
        <v>4825800</v>
      </c>
      <c r="AP98" s="22">
        <v>4911100</v>
      </c>
      <c r="AQ98" s="22">
        <v>8840100</v>
      </c>
      <c r="AR98" s="22">
        <v>5158600</v>
      </c>
      <c r="AS98" s="22">
        <v>5745100</v>
      </c>
      <c r="AT98" s="22">
        <v>9622300</v>
      </c>
      <c r="AU98" s="22">
        <v>9814400</v>
      </c>
      <c r="AV98" s="22">
        <v>15109300</v>
      </c>
      <c r="AW98" s="22">
        <v>4507600</v>
      </c>
      <c r="AX98" s="22">
        <v>3597400</v>
      </c>
      <c r="AY98" s="22">
        <v>3442100</v>
      </c>
      <c r="AZ98" s="22">
        <v>8672600</v>
      </c>
      <c r="BA98" s="22">
        <v>7627400</v>
      </c>
      <c r="BB98" s="22">
        <v>9373600</v>
      </c>
      <c r="BC98" s="22">
        <v>7330700</v>
      </c>
      <c r="BD98" s="22">
        <v>6347400</v>
      </c>
      <c r="BE98" s="22">
        <v>7333300</v>
      </c>
      <c r="BF98" s="22">
        <v>10264600</v>
      </c>
      <c r="BG98" s="22">
        <v>10311800</v>
      </c>
      <c r="BH98" s="22">
        <v>11686900</v>
      </c>
      <c r="BI98" s="22">
        <v>7949300</v>
      </c>
      <c r="BJ98" s="22">
        <v>6563800</v>
      </c>
      <c r="BK98" s="22">
        <v>9929800</v>
      </c>
      <c r="BL98" s="22">
        <v>10030200</v>
      </c>
    </row>
    <row r="99" spans="1:64" ht="15.95" customHeight="1">
      <c r="A99" s="433" t="s">
        <v>356</v>
      </c>
      <c r="B99" s="49" t="s">
        <v>160</v>
      </c>
      <c r="C99" s="53">
        <f>_xll.RssMarket("4523","出来高")</f>
        <v>1988700</v>
      </c>
      <c r="D99" s="220">
        <f t="shared" si="1"/>
        <v>0</v>
      </c>
      <c r="E99" s="218">
        <v>1988700</v>
      </c>
      <c r="F99" s="22">
        <v>1702600</v>
      </c>
      <c r="G99" s="22">
        <v>1735600</v>
      </c>
      <c r="H99" s="22">
        <v>1960900</v>
      </c>
      <c r="I99" s="22">
        <v>1955700</v>
      </c>
      <c r="J99" s="22">
        <v>1696200</v>
      </c>
      <c r="K99" s="22">
        <v>1769400</v>
      </c>
      <c r="L99" s="22">
        <v>1753400</v>
      </c>
      <c r="M99" s="22">
        <v>2179400</v>
      </c>
      <c r="N99" s="22">
        <v>2323400</v>
      </c>
      <c r="O99" s="22">
        <v>3394200</v>
      </c>
      <c r="P99" s="22">
        <v>2698800</v>
      </c>
      <c r="Q99" s="22">
        <v>2164800</v>
      </c>
      <c r="R99" s="22">
        <v>1783500</v>
      </c>
      <c r="S99" s="22">
        <v>2045300</v>
      </c>
      <c r="T99" s="22">
        <v>1851200</v>
      </c>
      <c r="U99" s="22">
        <v>2678300</v>
      </c>
      <c r="V99" s="22">
        <v>1727000</v>
      </c>
      <c r="W99" s="22">
        <v>2716800</v>
      </c>
      <c r="X99" s="22">
        <v>1652100</v>
      </c>
      <c r="Y99" s="22">
        <v>1216700</v>
      </c>
      <c r="Z99" s="22">
        <v>1116100</v>
      </c>
      <c r="AA99" s="22">
        <v>964500</v>
      </c>
      <c r="AB99" s="22">
        <v>1495000</v>
      </c>
      <c r="AC99" s="22">
        <v>1495000</v>
      </c>
      <c r="AD99" s="22">
        <v>1542100</v>
      </c>
      <c r="AE99" s="22">
        <v>1336600</v>
      </c>
      <c r="AF99" s="22">
        <v>875000</v>
      </c>
      <c r="AG99" s="22">
        <v>1690500</v>
      </c>
      <c r="AH99" s="22">
        <v>1147300</v>
      </c>
      <c r="AI99" s="22">
        <v>1335800</v>
      </c>
      <c r="AJ99" s="22">
        <v>727400</v>
      </c>
      <c r="AK99" s="22">
        <v>861600</v>
      </c>
      <c r="AL99" s="22">
        <v>1188600</v>
      </c>
      <c r="AM99" s="22">
        <v>843600</v>
      </c>
      <c r="AN99" s="22">
        <v>763000</v>
      </c>
      <c r="AO99" s="22">
        <v>812800</v>
      </c>
      <c r="AP99" s="22">
        <v>776700</v>
      </c>
      <c r="AQ99" s="22">
        <v>1180400</v>
      </c>
      <c r="AR99" s="22">
        <v>1069000</v>
      </c>
      <c r="AS99" s="22">
        <v>899900</v>
      </c>
      <c r="AT99" s="22">
        <v>1367700</v>
      </c>
      <c r="AU99" s="22">
        <v>954500</v>
      </c>
      <c r="AV99" s="22">
        <v>1329300</v>
      </c>
      <c r="AW99" s="22">
        <v>708900</v>
      </c>
      <c r="AX99" s="22">
        <v>1239400</v>
      </c>
      <c r="AY99" s="22">
        <v>742700</v>
      </c>
      <c r="AZ99" s="22">
        <v>1385200</v>
      </c>
      <c r="BA99" s="22">
        <v>1278600</v>
      </c>
      <c r="BB99" s="22">
        <v>1250700</v>
      </c>
      <c r="BC99" s="22">
        <v>1371600</v>
      </c>
      <c r="BD99" s="22">
        <v>974000</v>
      </c>
      <c r="BE99" s="22">
        <v>824300</v>
      </c>
      <c r="BF99" s="22">
        <v>783400</v>
      </c>
      <c r="BG99" s="22">
        <v>1174300</v>
      </c>
      <c r="BH99" s="22">
        <v>1416500</v>
      </c>
      <c r="BI99" s="22">
        <v>838600</v>
      </c>
      <c r="BJ99" s="22">
        <v>1072100</v>
      </c>
      <c r="BK99" s="22">
        <v>925800</v>
      </c>
      <c r="BL99" s="22">
        <v>1263200</v>
      </c>
    </row>
    <row r="100" spans="1:64" ht="15.95" customHeight="1">
      <c r="A100" s="433" t="s">
        <v>357</v>
      </c>
      <c r="B100" s="49" t="s">
        <v>161</v>
      </c>
      <c r="C100" s="53">
        <f>_xll.RssMarket("4528","出来高")</f>
        <v>1121900</v>
      </c>
      <c r="D100" s="220">
        <f t="shared" si="1"/>
        <v>0</v>
      </c>
      <c r="E100" s="218">
        <v>1121900</v>
      </c>
      <c r="F100" s="22">
        <v>1555000</v>
      </c>
      <c r="G100" s="22">
        <v>1938800</v>
      </c>
      <c r="H100" s="22">
        <v>1702500</v>
      </c>
      <c r="I100" s="22">
        <v>1727700</v>
      </c>
      <c r="J100" s="22">
        <v>1828100</v>
      </c>
      <c r="K100" s="22">
        <v>1647400</v>
      </c>
      <c r="L100" s="22">
        <v>2306700</v>
      </c>
      <c r="M100" s="22">
        <v>3190200</v>
      </c>
      <c r="N100" s="22">
        <v>2742900</v>
      </c>
      <c r="O100" s="22">
        <v>1997700</v>
      </c>
      <c r="P100" s="22">
        <v>1638000</v>
      </c>
      <c r="Q100" s="22">
        <v>2270800</v>
      </c>
      <c r="R100" s="22">
        <v>1470700</v>
      </c>
      <c r="S100" s="22">
        <v>2447800</v>
      </c>
      <c r="T100" s="22">
        <v>1856600</v>
      </c>
      <c r="U100" s="22">
        <v>1860400</v>
      </c>
      <c r="V100" s="22">
        <v>1908300</v>
      </c>
      <c r="W100" s="22">
        <v>1545800</v>
      </c>
      <c r="X100" s="22">
        <v>1470500</v>
      </c>
      <c r="Y100" s="22">
        <v>1412300</v>
      </c>
      <c r="Z100" s="22">
        <v>2630000</v>
      </c>
      <c r="AA100" s="22">
        <v>1518900</v>
      </c>
      <c r="AB100" s="22">
        <v>2647600</v>
      </c>
      <c r="AC100" s="22">
        <v>2647600</v>
      </c>
      <c r="AD100" s="22">
        <v>5080800</v>
      </c>
      <c r="AE100" s="22">
        <v>2830800</v>
      </c>
      <c r="AF100" s="22">
        <v>1496900</v>
      </c>
      <c r="AG100" s="22">
        <v>1916700</v>
      </c>
      <c r="AH100" s="22">
        <v>1766800</v>
      </c>
      <c r="AI100" s="22">
        <v>1169200</v>
      </c>
      <c r="AJ100" s="22">
        <v>1461100</v>
      </c>
      <c r="AK100" s="22">
        <v>1770400</v>
      </c>
      <c r="AL100" s="22">
        <v>2105000</v>
      </c>
      <c r="AM100" s="22">
        <v>1464700</v>
      </c>
      <c r="AN100" s="22">
        <v>1318800</v>
      </c>
      <c r="AO100" s="22">
        <v>1886100</v>
      </c>
      <c r="AP100" s="22">
        <v>1465800</v>
      </c>
      <c r="AQ100" s="22">
        <v>2050200</v>
      </c>
      <c r="AR100" s="22">
        <v>1496100</v>
      </c>
      <c r="AS100" s="22">
        <v>1207800</v>
      </c>
      <c r="AT100" s="22">
        <v>1439300</v>
      </c>
      <c r="AU100" s="22">
        <v>1199900</v>
      </c>
      <c r="AV100" s="22">
        <v>1688700</v>
      </c>
      <c r="AW100" s="22">
        <v>883500</v>
      </c>
      <c r="AX100" s="22">
        <v>717900</v>
      </c>
      <c r="AY100" s="22">
        <v>1025000</v>
      </c>
      <c r="AZ100" s="22">
        <v>1631800</v>
      </c>
      <c r="BA100" s="22">
        <v>1786600</v>
      </c>
      <c r="BB100" s="22">
        <v>2025700</v>
      </c>
      <c r="BC100" s="22">
        <v>2683500</v>
      </c>
      <c r="BD100" s="22">
        <v>1595800</v>
      </c>
      <c r="BE100" s="22">
        <v>2269000</v>
      </c>
      <c r="BF100" s="22">
        <v>1445300</v>
      </c>
      <c r="BG100" s="22">
        <v>2508600</v>
      </c>
      <c r="BH100" s="22">
        <v>6153800</v>
      </c>
      <c r="BI100" s="22">
        <v>1797400</v>
      </c>
      <c r="BJ100" s="22">
        <v>1824000</v>
      </c>
      <c r="BK100" s="22">
        <v>1513900</v>
      </c>
      <c r="BL100" s="22">
        <v>2407500</v>
      </c>
    </row>
    <row r="101" spans="1:64" ht="15.95" customHeight="1">
      <c r="A101" s="433" t="s">
        <v>358</v>
      </c>
      <c r="B101" s="49" t="s">
        <v>162</v>
      </c>
      <c r="C101" s="53">
        <f>_xll.RssMarket("4661","出来高")</f>
        <v>4234100</v>
      </c>
      <c r="D101" s="220">
        <f t="shared" si="1"/>
        <v>0</v>
      </c>
      <c r="E101" s="218">
        <v>4234100</v>
      </c>
      <c r="F101" s="22">
        <v>4418000</v>
      </c>
      <c r="G101" s="22">
        <v>6707300</v>
      </c>
      <c r="H101" s="22">
        <v>5696300</v>
      </c>
      <c r="I101" s="22">
        <v>7004500</v>
      </c>
      <c r="J101" s="22">
        <v>6141000</v>
      </c>
      <c r="K101" s="22">
        <v>4043200</v>
      </c>
      <c r="L101" s="22">
        <v>4070600</v>
      </c>
      <c r="M101" s="22">
        <v>5882900</v>
      </c>
      <c r="N101" s="22">
        <v>7497600</v>
      </c>
      <c r="O101" s="22">
        <v>11732400</v>
      </c>
      <c r="P101" s="22">
        <v>7737900</v>
      </c>
      <c r="Q101" s="22">
        <v>5631100</v>
      </c>
      <c r="R101" s="22">
        <v>4427600</v>
      </c>
      <c r="S101" s="22">
        <v>5488800</v>
      </c>
      <c r="T101" s="22">
        <v>7407400</v>
      </c>
      <c r="U101" s="22">
        <v>5918400</v>
      </c>
      <c r="V101" s="22">
        <v>6635400</v>
      </c>
      <c r="W101" s="22">
        <v>5753000</v>
      </c>
      <c r="X101" s="22">
        <v>4894400</v>
      </c>
      <c r="Y101" s="22">
        <v>5794000</v>
      </c>
      <c r="Z101" s="22">
        <v>5341200</v>
      </c>
      <c r="AA101" s="22">
        <v>4889200</v>
      </c>
      <c r="AB101" s="22">
        <v>6984800</v>
      </c>
      <c r="AC101" s="22">
        <v>6984800</v>
      </c>
      <c r="AD101" s="22">
        <v>8435400</v>
      </c>
      <c r="AE101" s="22">
        <v>14737900</v>
      </c>
      <c r="AF101" s="22">
        <v>9239000</v>
      </c>
      <c r="AG101" s="22">
        <v>23914700</v>
      </c>
      <c r="AH101" s="22">
        <v>6665100</v>
      </c>
      <c r="AI101" s="22">
        <v>7915300</v>
      </c>
      <c r="AJ101" s="22">
        <v>8297100</v>
      </c>
      <c r="AK101" s="22">
        <v>7872200</v>
      </c>
      <c r="AL101" s="22">
        <v>3559600</v>
      </c>
      <c r="AM101" s="22">
        <v>2835000</v>
      </c>
      <c r="AN101" s="22">
        <v>2678200</v>
      </c>
      <c r="AO101" s="22">
        <v>3100700</v>
      </c>
      <c r="AP101" s="22">
        <v>4044400</v>
      </c>
      <c r="AQ101" s="22">
        <v>5357000</v>
      </c>
      <c r="AR101" s="22">
        <v>4294600</v>
      </c>
      <c r="AS101" s="22">
        <v>3406300</v>
      </c>
      <c r="AT101" s="22">
        <v>4662900</v>
      </c>
      <c r="AU101" s="22">
        <v>5196300</v>
      </c>
      <c r="AV101" s="22">
        <v>4618200</v>
      </c>
      <c r="AW101" s="22">
        <v>3653500</v>
      </c>
      <c r="AX101" s="22">
        <v>3994400</v>
      </c>
      <c r="AY101" s="22">
        <v>1704800</v>
      </c>
      <c r="AZ101" s="22">
        <v>3089000</v>
      </c>
      <c r="BA101" s="22">
        <v>4114300</v>
      </c>
      <c r="BB101" s="22">
        <v>5791200</v>
      </c>
      <c r="BC101" s="22">
        <v>6330900</v>
      </c>
      <c r="BD101" s="22">
        <v>3722400</v>
      </c>
      <c r="BE101" s="22">
        <v>3999400</v>
      </c>
      <c r="BF101" s="22">
        <v>3736100</v>
      </c>
      <c r="BG101" s="22">
        <v>6022700</v>
      </c>
      <c r="BH101" s="22">
        <v>6346500</v>
      </c>
      <c r="BI101" s="22">
        <v>3598100</v>
      </c>
      <c r="BJ101" s="22">
        <v>2842400</v>
      </c>
      <c r="BK101" s="22">
        <v>3084200</v>
      </c>
      <c r="BL101" s="22">
        <v>4040300</v>
      </c>
    </row>
    <row r="102" spans="1:64" ht="15.95" customHeight="1">
      <c r="A102" s="433" t="s">
        <v>359</v>
      </c>
      <c r="B102" s="49" t="s">
        <v>163</v>
      </c>
      <c r="C102" s="53">
        <f>_xll.RssMarket("5802","出来高")</f>
        <v>4673200</v>
      </c>
      <c r="D102" s="220">
        <f t="shared" si="1"/>
        <v>0</v>
      </c>
      <c r="E102" s="218">
        <v>4673200</v>
      </c>
      <c r="F102" s="22">
        <v>8747100</v>
      </c>
      <c r="G102" s="22">
        <v>8180800</v>
      </c>
      <c r="H102" s="22">
        <v>6921000</v>
      </c>
      <c r="I102" s="22">
        <v>9193400</v>
      </c>
      <c r="J102" s="22">
        <v>6242800</v>
      </c>
      <c r="K102" s="22">
        <v>5656600</v>
      </c>
      <c r="L102" s="22">
        <v>5585800</v>
      </c>
      <c r="M102" s="22">
        <v>6861400</v>
      </c>
      <c r="N102" s="22">
        <v>7301000</v>
      </c>
      <c r="O102" s="22">
        <v>9941900</v>
      </c>
      <c r="P102" s="22">
        <v>5225600</v>
      </c>
      <c r="Q102" s="22">
        <v>6459200</v>
      </c>
      <c r="R102" s="22">
        <v>5286700</v>
      </c>
      <c r="S102" s="22">
        <v>5949200</v>
      </c>
      <c r="T102" s="22">
        <v>5946400</v>
      </c>
      <c r="U102" s="22">
        <v>7893900</v>
      </c>
      <c r="V102" s="22">
        <v>6047200</v>
      </c>
      <c r="W102" s="22">
        <v>8641400</v>
      </c>
      <c r="X102" s="22">
        <v>10409100</v>
      </c>
      <c r="Y102" s="22">
        <v>11321600</v>
      </c>
      <c r="Z102" s="22">
        <v>12494700</v>
      </c>
      <c r="AA102" s="22">
        <v>16821100</v>
      </c>
      <c r="AB102" s="22">
        <v>4725400</v>
      </c>
      <c r="AC102" s="22">
        <v>4725400</v>
      </c>
      <c r="AD102" s="22">
        <v>5055700</v>
      </c>
      <c r="AE102" s="22">
        <v>10977100</v>
      </c>
      <c r="AF102" s="22">
        <v>4356600</v>
      </c>
      <c r="AG102" s="22">
        <v>4630900</v>
      </c>
      <c r="AH102" s="22">
        <v>3548800</v>
      </c>
      <c r="AI102" s="22">
        <v>4491300</v>
      </c>
      <c r="AJ102" s="22">
        <v>4655100</v>
      </c>
      <c r="AK102" s="22">
        <v>7066100</v>
      </c>
      <c r="AL102" s="22">
        <v>7019400</v>
      </c>
      <c r="AM102" s="22">
        <v>5864600</v>
      </c>
      <c r="AN102" s="22">
        <v>4757700</v>
      </c>
      <c r="AO102" s="22">
        <v>4406100</v>
      </c>
      <c r="AP102" s="22">
        <v>7908600</v>
      </c>
      <c r="AQ102" s="22">
        <v>8747200</v>
      </c>
      <c r="AR102" s="22">
        <v>7874800</v>
      </c>
      <c r="AS102" s="22">
        <v>13599200</v>
      </c>
      <c r="AT102" s="22">
        <v>10081400</v>
      </c>
      <c r="AU102" s="22">
        <v>7849500</v>
      </c>
      <c r="AV102" s="22">
        <v>9490900</v>
      </c>
      <c r="AW102" s="22">
        <v>7474800</v>
      </c>
      <c r="AX102" s="22">
        <v>8812800</v>
      </c>
      <c r="AY102" s="22">
        <v>6898100</v>
      </c>
      <c r="AZ102" s="22">
        <v>8987600</v>
      </c>
      <c r="BA102" s="22">
        <v>9946100</v>
      </c>
      <c r="BB102" s="22">
        <v>8492500</v>
      </c>
      <c r="BC102" s="22">
        <v>10709000</v>
      </c>
      <c r="BD102" s="22">
        <v>7329400</v>
      </c>
      <c r="BE102" s="22">
        <v>5844000</v>
      </c>
      <c r="BF102" s="22">
        <v>7481500</v>
      </c>
      <c r="BG102" s="22">
        <v>9280500</v>
      </c>
      <c r="BH102" s="22">
        <v>10735400</v>
      </c>
      <c r="BI102" s="22">
        <v>6650500</v>
      </c>
      <c r="BJ102" s="22">
        <v>11007100</v>
      </c>
      <c r="BK102" s="22">
        <v>5610400</v>
      </c>
      <c r="BL102" s="22">
        <v>7084300</v>
      </c>
    </row>
    <row r="103" spans="1:64" ht="15.95" customHeight="1">
      <c r="A103" s="433" t="s">
        <v>360</v>
      </c>
      <c r="B103" s="49" t="s">
        <v>164</v>
      </c>
      <c r="C103" s="53">
        <f>_xll.RssMarket("5803","出来高")</f>
        <v>35504300</v>
      </c>
      <c r="D103" s="220">
        <f t="shared" si="1"/>
        <v>0</v>
      </c>
      <c r="E103" s="218">
        <v>35504300</v>
      </c>
      <c r="F103" s="22">
        <v>68142600</v>
      </c>
      <c r="G103" s="22">
        <v>45471600</v>
      </c>
      <c r="H103" s="22">
        <v>51253400</v>
      </c>
      <c r="I103" s="22">
        <v>54543200</v>
      </c>
      <c r="J103" s="22">
        <v>45195300</v>
      </c>
      <c r="K103" s="22">
        <v>46983000</v>
      </c>
      <c r="L103" s="22">
        <v>45052400</v>
      </c>
      <c r="M103" s="22">
        <v>82340200</v>
      </c>
      <c r="N103" s="22">
        <v>48742800</v>
      </c>
      <c r="O103" s="22">
        <v>71394000</v>
      </c>
      <c r="P103" s="22">
        <v>66629900</v>
      </c>
      <c r="Q103" s="22">
        <v>71871700</v>
      </c>
      <c r="R103" s="22">
        <v>60516700</v>
      </c>
      <c r="S103" s="22">
        <v>105386700</v>
      </c>
      <c r="T103" s="22">
        <v>98432700</v>
      </c>
      <c r="U103" s="22">
        <v>116069900</v>
      </c>
      <c r="V103" s="22">
        <v>124339100</v>
      </c>
      <c r="W103" s="22">
        <v>86555100</v>
      </c>
      <c r="X103" s="22">
        <v>128904500</v>
      </c>
      <c r="Y103" s="22">
        <v>57118100</v>
      </c>
      <c r="Z103" s="22">
        <v>62691200</v>
      </c>
      <c r="AA103" s="22">
        <v>90480800</v>
      </c>
      <c r="AB103" s="22">
        <v>40738700</v>
      </c>
      <c r="AC103" s="22">
        <v>40738700</v>
      </c>
      <c r="AD103" s="22">
        <v>43386200</v>
      </c>
      <c r="AE103" s="22">
        <v>49010500</v>
      </c>
      <c r="AF103" s="22">
        <v>28397000</v>
      </c>
      <c r="AG103" s="22">
        <v>39274600</v>
      </c>
      <c r="AH103" s="22">
        <v>46167300</v>
      </c>
      <c r="AI103" s="22">
        <v>52739100</v>
      </c>
      <c r="AJ103" s="22">
        <v>40846300</v>
      </c>
      <c r="AK103" s="22">
        <v>57099000</v>
      </c>
      <c r="AL103" s="22">
        <v>42928800</v>
      </c>
      <c r="AM103" s="22">
        <v>49306000</v>
      </c>
      <c r="AN103" s="22">
        <v>49029200</v>
      </c>
      <c r="AO103" s="22">
        <v>49543600</v>
      </c>
      <c r="AP103" s="22">
        <v>53271700</v>
      </c>
      <c r="AQ103" s="22">
        <v>57485900</v>
      </c>
      <c r="AR103" s="22">
        <v>63357200</v>
      </c>
      <c r="AS103" s="22">
        <v>67148400</v>
      </c>
      <c r="AT103" s="22">
        <v>83540900</v>
      </c>
      <c r="AU103" s="22">
        <v>70638500</v>
      </c>
      <c r="AV103" s="22">
        <v>61297000</v>
      </c>
      <c r="AW103" s="22">
        <v>47494600</v>
      </c>
      <c r="AX103" s="22">
        <v>46016200</v>
      </c>
      <c r="AY103" s="22">
        <v>51978000</v>
      </c>
      <c r="AZ103" s="22">
        <v>56992200</v>
      </c>
      <c r="BA103" s="22">
        <v>48295400</v>
      </c>
      <c r="BB103" s="22">
        <v>43818400</v>
      </c>
      <c r="BC103" s="22">
        <v>11990600</v>
      </c>
      <c r="BD103" s="22">
        <v>12925700</v>
      </c>
      <c r="BE103" s="22">
        <v>9657200</v>
      </c>
      <c r="BF103" s="22">
        <v>10284100</v>
      </c>
      <c r="BG103" s="22">
        <v>9596200</v>
      </c>
      <c r="BH103" s="22">
        <v>9983100</v>
      </c>
      <c r="BI103" s="22">
        <v>7179300</v>
      </c>
      <c r="BJ103" s="22">
        <v>9417800</v>
      </c>
      <c r="BK103" s="22">
        <v>13783400</v>
      </c>
      <c r="BL103" s="22">
        <v>17650200</v>
      </c>
    </row>
    <row r="104" spans="1:64" ht="15.95" customHeight="1">
      <c r="A104" s="433" t="s">
        <v>361</v>
      </c>
      <c r="B104" s="49" t="s">
        <v>165</v>
      </c>
      <c r="C104" s="53">
        <f>_xll.RssMarket("6178","出来高")</f>
        <v>5707300</v>
      </c>
      <c r="D104" s="220">
        <f t="shared" si="1"/>
        <v>0</v>
      </c>
      <c r="E104" s="218">
        <v>5707300</v>
      </c>
      <c r="F104" s="22">
        <v>4930800</v>
      </c>
      <c r="G104" s="22">
        <v>5298900</v>
      </c>
      <c r="H104" s="22">
        <v>11509700</v>
      </c>
      <c r="I104" s="22">
        <v>7369600</v>
      </c>
      <c r="J104" s="22">
        <v>7432300</v>
      </c>
      <c r="K104" s="22">
        <v>5719500</v>
      </c>
      <c r="L104" s="22">
        <v>4225500</v>
      </c>
      <c r="M104" s="22">
        <v>5974500</v>
      </c>
      <c r="N104" s="22">
        <v>6170100</v>
      </c>
      <c r="O104" s="22">
        <v>5438700</v>
      </c>
      <c r="P104" s="22">
        <v>12417400</v>
      </c>
      <c r="Q104" s="22">
        <v>23062400</v>
      </c>
      <c r="R104" s="22">
        <v>6485500</v>
      </c>
      <c r="S104" s="22">
        <v>6223700</v>
      </c>
      <c r="T104" s="22">
        <v>4791000</v>
      </c>
      <c r="U104" s="22">
        <v>8548200</v>
      </c>
      <c r="V104" s="22">
        <v>8577200</v>
      </c>
      <c r="W104" s="22">
        <v>7908500</v>
      </c>
      <c r="X104" s="22">
        <v>12590600</v>
      </c>
      <c r="Y104" s="22">
        <v>5957200</v>
      </c>
      <c r="Z104" s="22">
        <v>4668100</v>
      </c>
      <c r="AA104" s="22">
        <v>4964600</v>
      </c>
      <c r="AB104" s="22">
        <v>4918200</v>
      </c>
      <c r="AC104" s="22">
        <v>3628400</v>
      </c>
      <c r="AD104" s="22">
        <v>3628400</v>
      </c>
      <c r="AE104" s="22">
        <v>5490100</v>
      </c>
      <c r="AF104" s="22">
        <v>5991100</v>
      </c>
      <c r="AG104" s="22">
        <v>3642000</v>
      </c>
      <c r="AH104" s="22">
        <v>6341300</v>
      </c>
      <c r="AI104" s="22">
        <v>5140500</v>
      </c>
      <c r="AJ104" s="22">
        <v>6389000</v>
      </c>
      <c r="AK104" s="22">
        <v>4120100</v>
      </c>
      <c r="AL104" s="22">
        <v>6404700</v>
      </c>
      <c r="AM104" s="22">
        <v>4093600</v>
      </c>
      <c r="AN104" s="22">
        <v>4614300</v>
      </c>
      <c r="AO104" s="22">
        <v>3288600</v>
      </c>
      <c r="AP104" s="22">
        <v>4178500</v>
      </c>
      <c r="AQ104" s="22">
        <v>3591700</v>
      </c>
      <c r="AR104" s="22">
        <v>3346500</v>
      </c>
      <c r="AS104" s="22">
        <v>3070900</v>
      </c>
      <c r="AT104" s="22">
        <v>2983400</v>
      </c>
      <c r="AU104" s="22">
        <v>3822400</v>
      </c>
      <c r="AV104" s="22">
        <v>4820700</v>
      </c>
      <c r="AW104" s="22">
        <v>5097200</v>
      </c>
      <c r="AX104" s="22">
        <v>3510600</v>
      </c>
      <c r="AY104" s="22">
        <v>5282300</v>
      </c>
      <c r="AZ104" s="22">
        <v>2404600</v>
      </c>
      <c r="BA104" s="22">
        <v>3725600</v>
      </c>
      <c r="BB104" s="22">
        <v>4333300</v>
      </c>
      <c r="BC104" s="22">
        <v>4933500</v>
      </c>
      <c r="BD104" s="22">
        <v>6069600</v>
      </c>
      <c r="BE104" s="22">
        <v>3956300</v>
      </c>
      <c r="BF104" s="22">
        <v>4654700</v>
      </c>
      <c r="BG104" s="22">
        <v>3849100</v>
      </c>
      <c r="BH104" s="22">
        <v>5671600</v>
      </c>
      <c r="BI104" s="22">
        <v>7699400</v>
      </c>
      <c r="BJ104" s="22">
        <v>4755100</v>
      </c>
      <c r="BK104" s="22">
        <v>3764900</v>
      </c>
      <c r="BL104" s="22">
        <v>3885600</v>
      </c>
    </row>
    <row r="105" spans="1:64" ht="15.95" customHeight="1">
      <c r="A105" s="433" t="s">
        <v>362</v>
      </c>
      <c r="B105" s="49" t="s">
        <v>166</v>
      </c>
      <c r="C105" s="53">
        <f>_xll.RssMarket("6925","出来高")</f>
        <v>591100</v>
      </c>
      <c r="D105" s="220">
        <f t="shared" si="1"/>
        <v>0</v>
      </c>
      <c r="E105" s="218">
        <v>591100</v>
      </c>
      <c r="F105" s="22">
        <v>314800</v>
      </c>
      <c r="G105" s="22">
        <v>621800</v>
      </c>
      <c r="H105" s="22">
        <v>367800</v>
      </c>
      <c r="I105" s="22">
        <v>360200</v>
      </c>
      <c r="J105" s="22">
        <v>439800</v>
      </c>
      <c r="K105" s="22">
        <v>417200</v>
      </c>
      <c r="L105" s="22">
        <v>476600</v>
      </c>
      <c r="M105" s="22">
        <v>666400</v>
      </c>
      <c r="N105" s="22">
        <v>517700</v>
      </c>
      <c r="O105" s="22">
        <v>537000</v>
      </c>
      <c r="P105" s="22">
        <v>482600</v>
      </c>
      <c r="Q105" s="22">
        <v>476700</v>
      </c>
      <c r="R105" s="22">
        <v>770100</v>
      </c>
      <c r="S105" s="22">
        <v>559000</v>
      </c>
      <c r="T105" s="22">
        <v>1024000</v>
      </c>
      <c r="U105" s="22">
        <v>495500</v>
      </c>
      <c r="V105" s="22">
        <v>723700</v>
      </c>
      <c r="W105" s="22">
        <v>1328700</v>
      </c>
      <c r="X105" s="22">
        <v>236500</v>
      </c>
      <c r="Y105" s="22">
        <v>482500</v>
      </c>
      <c r="Z105" s="22">
        <v>551700</v>
      </c>
      <c r="AA105" s="22">
        <v>551400</v>
      </c>
      <c r="AB105" s="22">
        <v>449800</v>
      </c>
      <c r="AC105" s="22">
        <v>449800</v>
      </c>
      <c r="AD105" s="22">
        <v>515800</v>
      </c>
      <c r="AE105" s="22">
        <v>765000</v>
      </c>
      <c r="AF105" s="22">
        <v>440000</v>
      </c>
      <c r="AG105" s="22">
        <v>1032100</v>
      </c>
      <c r="AH105" s="22">
        <v>1443500</v>
      </c>
      <c r="AI105" s="22">
        <v>382300</v>
      </c>
      <c r="AJ105" s="22">
        <v>499300</v>
      </c>
      <c r="AK105" s="22">
        <v>544700</v>
      </c>
      <c r="AL105" s="22">
        <v>284500</v>
      </c>
      <c r="AM105" s="22">
        <v>229400</v>
      </c>
      <c r="AN105" s="22">
        <v>416600</v>
      </c>
      <c r="AO105" s="22">
        <v>518400</v>
      </c>
      <c r="AP105" s="22">
        <v>209000</v>
      </c>
      <c r="AQ105" s="22">
        <v>229500</v>
      </c>
      <c r="AR105" s="22">
        <v>267800</v>
      </c>
      <c r="AS105" s="22">
        <v>199500</v>
      </c>
      <c r="AT105" s="22">
        <v>298700</v>
      </c>
      <c r="AU105" s="22">
        <v>250500</v>
      </c>
      <c r="AV105" s="22">
        <v>285500</v>
      </c>
      <c r="AW105" s="22">
        <v>202400</v>
      </c>
      <c r="AX105" s="22">
        <v>177800</v>
      </c>
      <c r="AY105" s="22">
        <v>214400</v>
      </c>
      <c r="AZ105" s="22">
        <v>511500</v>
      </c>
      <c r="BA105" s="22">
        <v>435900</v>
      </c>
      <c r="BB105" s="22">
        <v>471900</v>
      </c>
      <c r="BC105" s="22">
        <v>473600</v>
      </c>
      <c r="BD105" s="22">
        <v>262400</v>
      </c>
      <c r="BE105" s="22">
        <v>354200</v>
      </c>
      <c r="BF105" s="22">
        <v>288800</v>
      </c>
      <c r="BG105" s="22">
        <v>339500</v>
      </c>
      <c r="BH105" s="22">
        <v>419400</v>
      </c>
      <c r="BI105" s="22">
        <v>166000</v>
      </c>
      <c r="BJ105" s="22">
        <v>164400</v>
      </c>
      <c r="BK105" s="22">
        <v>202900</v>
      </c>
      <c r="BL105" s="22">
        <v>247000</v>
      </c>
    </row>
    <row r="106" spans="1:64" ht="15.95" customHeight="1">
      <c r="A106" s="433" t="s">
        <v>363</v>
      </c>
      <c r="B106" s="49" t="s">
        <v>167</v>
      </c>
      <c r="C106" s="53">
        <f>_xll.RssMarket("7021","出来高")</f>
        <v>800</v>
      </c>
      <c r="D106" s="220">
        <f t="shared" si="1"/>
        <v>0</v>
      </c>
      <c r="E106" s="218">
        <v>800</v>
      </c>
      <c r="F106" s="22">
        <v>200</v>
      </c>
      <c r="G106" s="22">
        <v>400</v>
      </c>
      <c r="H106" s="22">
        <v>1400</v>
      </c>
      <c r="I106" s="22">
        <v>1000</v>
      </c>
      <c r="J106" s="22">
        <v>500</v>
      </c>
      <c r="K106" s="22">
        <v>800</v>
      </c>
      <c r="L106" s="22">
        <v>2000</v>
      </c>
      <c r="M106" s="22">
        <v>1700</v>
      </c>
      <c r="N106" s="22">
        <v>400</v>
      </c>
      <c r="O106" s="22">
        <v>100</v>
      </c>
      <c r="P106" s="22">
        <v>900</v>
      </c>
      <c r="Q106" s="22">
        <v>4000</v>
      </c>
      <c r="R106" s="22">
        <v>1400</v>
      </c>
      <c r="S106" s="22">
        <v>8500</v>
      </c>
      <c r="T106" s="22">
        <v>4300</v>
      </c>
      <c r="U106" s="22">
        <v>4000</v>
      </c>
      <c r="V106" s="22">
        <v>8700</v>
      </c>
      <c r="W106" s="22">
        <v>11400</v>
      </c>
      <c r="X106" s="22">
        <v>2100</v>
      </c>
      <c r="Y106" s="22">
        <v>2400</v>
      </c>
      <c r="Z106" s="22">
        <v>2500</v>
      </c>
      <c r="AA106" s="22">
        <v>1700</v>
      </c>
      <c r="AB106" s="22">
        <v>1700</v>
      </c>
      <c r="AC106" s="22">
        <v>6300</v>
      </c>
      <c r="AD106" s="22">
        <v>1400</v>
      </c>
      <c r="AE106" s="22">
        <v>1700</v>
      </c>
      <c r="AF106" s="22">
        <v>6400</v>
      </c>
      <c r="AG106" s="22">
        <v>1800</v>
      </c>
      <c r="AH106" s="22">
        <v>1700</v>
      </c>
      <c r="AI106" s="22">
        <v>3900</v>
      </c>
      <c r="AJ106" s="22">
        <v>2200</v>
      </c>
      <c r="AK106" s="22">
        <v>1500</v>
      </c>
      <c r="AL106" s="22">
        <v>1900</v>
      </c>
      <c r="AM106" s="22">
        <v>2500</v>
      </c>
      <c r="AN106" s="22">
        <v>2900</v>
      </c>
      <c r="AO106" s="22">
        <v>1400</v>
      </c>
      <c r="AP106" s="22">
        <v>1700</v>
      </c>
      <c r="AQ106" s="22">
        <v>1700</v>
      </c>
      <c r="AR106" s="22">
        <v>1100</v>
      </c>
      <c r="AS106" s="22">
        <v>1300</v>
      </c>
      <c r="AT106" s="22">
        <v>1900</v>
      </c>
      <c r="AU106" s="22">
        <v>500</v>
      </c>
      <c r="AV106" s="22">
        <v>1400</v>
      </c>
      <c r="AW106" s="22">
        <v>1400</v>
      </c>
      <c r="AX106" s="22">
        <v>2300</v>
      </c>
      <c r="AY106" s="22">
        <v>1600</v>
      </c>
      <c r="AZ106" s="22">
        <v>1500</v>
      </c>
      <c r="BA106" s="22">
        <v>2400</v>
      </c>
      <c r="BB106" s="22">
        <v>600</v>
      </c>
      <c r="BC106" s="22">
        <v>1500</v>
      </c>
      <c r="BD106" s="22">
        <v>900</v>
      </c>
      <c r="BE106" s="22">
        <v>7200</v>
      </c>
      <c r="BF106" s="22">
        <v>3000</v>
      </c>
      <c r="BG106" s="22">
        <v>3700</v>
      </c>
      <c r="BH106" s="22">
        <v>1600</v>
      </c>
      <c r="BI106" s="22">
        <v>1500</v>
      </c>
      <c r="BJ106" s="22">
        <v>1500</v>
      </c>
      <c r="BK106" s="22">
        <v>1700</v>
      </c>
      <c r="BL106" s="22">
        <v>2200</v>
      </c>
    </row>
    <row r="107" spans="1:64" ht="15.95" customHeight="1">
      <c r="A107" s="433" t="s">
        <v>364</v>
      </c>
      <c r="B107" s="49" t="s">
        <v>168</v>
      </c>
      <c r="C107" s="53">
        <f>_xll.RssMarket("7729","出来高")</f>
        <v>346200</v>
      </c>
      <c r="D107" s="220">
        <f t="shared" si="1"/>
        <v>0</v>
      </c>
      <c r="E107" s="218">
        <v>346200</v>
      </c>
      <c r="F107" s="22">
        <v>442100</v>
      </c>
      <c r="G107" s="22">
        <v>489500</v>
      </c>
      <c r="H107" s="22">
        <v>496100</v>
      </c>
      <c r="I107" s="22">
        <v>585400</v>
      </c>
      <c r="J107" s="22">
        <v>396900</v>
      </c>
      <c r="K107" s="22">
        <v>301700</v>
      </c>
      <c r="L107" s="22">
        <v>382400</v>
      </c>
      <c r="M107" s="22">
        <v>552200</v>
      </c>
      <c r="N107" s="22">
        <v>340100</v>
      </c>
      <c r="O107" s="22">
        <v>498200</v>
      </c>
      <c r="P107" s="22">
        <v>315700</v>
      </c>
      <c r="Q107" s="22">
        <v>318800</v>
      </c>
      <c r="R107" s="22">
        <v>561400</v>
      </c>
      <c r="S107" s="22">
        <v>313500</v>
      </c>
      <c r="T107" s="22">
        <v>380400</v>
      </c>
      <c r="U107" s="22">
        <v>449600</v>
      </c>
      <c r="V107" s="22">
        <v>513000</v>
      </c>
      <c r="W107" s="22">
        <v>366700</v>
      </c>
      <c r="X107" s="22">
        <v>719700</v>
      </c>
      <c r="Y107" s="22">
        <v>986600</v>
      </c>
      <c r="Z107" s="22">
        <v>434800</v>
      </c>
      <c r="AA107" s="22">
        <v>342100</v>
      </c>
      <c r="AB107" s="22">
        <v>422100</v>
      </c>
      <c r="AC107" s="22">
        <v>422100</v>
      </c>
      <c r="AD107" s="22">
        <v>444600</v>
      </c>
      <c r="AE107" s="22">
        <v>477100</v>
      </c>
      <c r="AF107" s="22">
        <v>262400</v>
      </c>
      <c r="AG107" s="22">
        <v>488100</v>
      </c>
      <c r="AH107" s="22">
        <v>409700</v>
      </c>
      <c r="AI107" s="22">
        <v>247100</v>
      </c>
      <c r="AJ107" s="22">
        <v>348600</v>
      </c>
      <c r="AK107" s="22">
        <v>435600</v>
      </c>
      <c r="AL107" s="22">
        <v>429100</v>
      </c>
      <c r="AM107" s="22">
        <v>280600</v>
      </c>
      <c r="AN107" s="22">
        <v>206100</v>
      </c>
      <c r="AO107" s="22">
        <v>214500</v>
      </c>
      <c r="AP107" s="22">
        <v>323600</v>
      </c>
      <c r="AQ107" s="22">
        <v>482600</v>
      </c>
      <c r="AR107" s="22">
        <v>339000</v>
      </c>
      <c r="AS107" s="22">
        <v>312400</v>
      </c>
      <c r="AT107" s="22">
        <v>315600</v>
      </c>
      <c r="AU107" s="22">
        <v>284700</v>
      </c>
      <c r="AV107" s="22">
        <v>398900</v>
      </c>
      <c r="AW107" s="22">
        <v>136000</v>
      </c>
      <c r="AX107" s="22">
        <v>191800</v>
      </c>
      <c r="AY107" s="22">
        <v>172200</v>
      </c>
      <c r="AZ107" s="22">
        <v>405700</v>
      </c>
      <c r="BA107" s="22">
        <v>309400</v>
      </c>
      <c r="BB107" s="22">
        <v>326100</v>
      </c>
      <c r="BC107" s="22">
        <v>425800</v>
      </c>
      <c r="BD107" s="22">
        <v>253600</v>
      </c>
      <c r="BE107" s="22">
        <v>298700</v>
      </c>
      <c r="BF107" s="22">
        <v>302800</v>
      </c>
      <c r="BG107" s="22">
        <v>357200</v>
      </c>
      <c r="BH107" s="22">
        <v>323800</v>
      </c>
      <c r="BI107" s="22">
        <v>323800</v>
      </c>
      <c r="BJ107" s="22">
        <v>352700</v>
      </c>
      <c r="BK107" s="22">
        <v>361800</v>
      </c>
      <c r="BL107" s="22">
        <v>543100</v>
      </c>
    </row>
    <row r="108" spans="1:64" ht="15.95" customHeight="1">
      <c r="A108" s="433" t="s">
        <v>365</v>
      </c>
      <c r="B108" s="49" t="s">
        <v>169</v>
      </c>
      <c r="C108" s="53">
        <f>_xll.RssMarket("8424","出来高")</f>
        <v>168700</v>
      </c>
      <c r="D108" s="220">
        <f t="shared" si="1"/>
        <v>0</v>
      </c>
      <c r="E108" s="218">
        <v>168700</v>
      </c>
      <c r="F108" s="22">
        <v>131100</v>
      </c>
      <c r="G108" s="22">
        <v>188500</v>
      </c>
      <c r="H108" s="22">
        <v>113400</v>
      </c>
      <c r="I108" s="22">
        <v>170800</v>
      </c>
      <c r="J108" s="22">
        <v>202100</v>
      </c>
      <c r="K108" s="22">
        <v>174000</v>
      </c>
      <c r="L108" s="22">
        <v>172100</v>
      </c>
      <c r="M108" s="22">
        <v>190400</v>
      </c>
      <c r="N108" s="22">
        <v>143800</v>
      </c>
      <c r="O108" s="22">
        <v>223700</v>
      </c>
      <c r="P108" s="22">
        <v>133700</v>
      </c>
      <c r="Q108" s="22">
        <v>190400</v>
      </c>
      <c r="R108" s="22">
        <v>190600</v>
      </c>
      <c r="S108" s="22">
        <v>182400</v>
      </c>
      <c r="T108" s="22">
        <v>138500</v>
      </c>
      <c r="U108" s="22">
        <v>149300</v>
      </c>
      <c r="V108" s="22">
        <v>178900</v>
      </c>
      <c r="W108" s="22">
        <v>188400</v>
      </c>
      <c r="X108" s="22">
        <v>186300</v>
      </c>
      <c r="Y108" s="22">
        <v>159900</v>
      </c>
      <c r="Z108" s="22">
        <v>347000</v>
      </c>
      <c r="AA108" s="22">
        <v>379600</v>
      </c>
      <c r="AB108" s="22">
        <v>183900</v>
      </c>
      <c r="AC108" s="22">
        <v>183900</v>
      </c>
      <c r="AD108" s="22">
        <v>195500</v>
      </c>
      <c r="AE108" s="22">
        <v>199400</v>
      </c>
      <c r="AF108" s="22">
        <v>202600</v>
      </c>
      <c r="AG108" s="22">
        <v>159800</v>
      </c>
      <c r="AH108" s="22">
        <v>179900</v>
      </c>
      <c r="AI108" s="22">
        <v>132200</v>
      </c>
      <c r="AJ108" s="22">
        <v>105100</v>
      </c>
      <c r="AK108" s="22">
        <v>135300</v>
      </c>
      <c r="AL108" s="22">
        <v>154200</v>
      </c>
      <c r="AM108" s="22">
        <v>122800</v>
      </c>
      <c r="AN108" s="22">
        <v>139400</v>
      </c>
      <c r="AO108" s="22">
        <v>158000</v>
      </c>
      <c r="AP108" s="22">
        <v>159200</v>
      </c>
      <c r="AQ108" s="22">
        <v>132100</v>
      </c>
      <c r="AR108" s="22">
        <v>127600</v>
      </c>
      <c r="AS108" s="22">
        <v>147500</v>
      </c>
      <c r="AT108" s="22">
        <v>185000</v>
      </c>
      <c r="AU108" s="22">
        <v>156800</v>
      </c>
      <c r="AV108" s="22">
        <v>183900</v>
      </c>
      <c r="AW108" s="22">
        <v>122500</v>
      </c>
      <c r="AX108" s="22">
        <v>122300</v>
      </c>
      <c r="AY108" s="22">
        <v>123100</v>
      </c>
      <c r="AZ108" s="22">
        <v>155200</v>
      </c>
      <c r="BA108" s="22">
        <v>181000</v>
      </c>
      <c r="BB108" s="22">
        <v>199000</v>
      </c>
      <c r="BC108" s="22">
        <v>400200</v>
      </c>
      <c r="BD108" s="22">
        <v>201600</v>
      </c>
      <c r="BE108" s="22">
        <v>178400</v>
      </c>
      <c r="BF108" s="22">
        <v>246000</v>
      </c>
      <c r="BG108" s="22">
        <v>238600</v>
      </c>
      <c r="BH108" s="22">
        <v>246000</v>
      </c>
      <c r="BI108" s="22">
        <v>251400</v>
      </c>
      <c r="BJ108" s="22">
        <v>127900</v>
      </c>
      <c r="BK108" s="22">
        <v>123300</v>
      </c>
      <c r="BL108" s="22">
        <v>230900</v>
      </c>
    </row>
    <row r="109" spans="1:64" ht="15.95" customHeight="1">
      <c r="A109" s="433" t="s">
        <v>366</v>
      </c>
      <c r="B109" s="49" t="s">
        <v>170</v>
      </c>
      <c r="C109" s="53">
        <f>_xll.RssMarket("9020","出来高")</f>
        <v>2698700</v>
      </c>
      <c r="D109" s="220">
        <f t="shared" si="1"/>
        <v>0</v>
      </c>
      <c r="E109" s="218">
        <v>2698700</v>
      </c>
      <c r="F109" s="22">
        <v>2510800</v>
      </c>
      <c r="G109" s="22">
        <v>3564300</v>
      </c>
      <c r="H109" s="22">
        <v>5537400</v>
      </c>
      <c r="I109" s="22">
        <v>3237900</v>
      </c>
      <c r="J109" s="22">
        <v>3307600</v>
      </c>
      <c r="K109" s="22">
        <v>5454000</v>
      </c>
      <c r="L109" s="22">
        <v>3704900</v>
      </c>
      <c r="M109" s="22">
        <v>4419400</v>
      </c>
      <c r="N109" s="22">
        <v>2977100</v>
      </c>
      <c r="O109" s="22">
        <v>6800400</v>
      </c>
      <c r="P109" s="22">
        <v>4076100</v>
      </c>
      <c r="Q109" s="22">
        <v>3600500</v>
      </c>
      <c r="R109" s="22">
        <v>2398500</v>
      </c>
      <c r="S109" s="22">
        <v>3017100</v>
      </c>
      <c r="T109" s="22">
        <v>2559800</v>
      </c>
      <c r="U109" s="22">
        <v>2407700</v>
      </c>
      <c r="V109" s="22">
        <v>2606100</v>
      </c>
      <c r="W109" s="22">
        <v>2981900</v>
      </c>
      <c r="X109" s="22">
        <v>5927800</v>
      </c>
      <c r="Y109" s="22">
        <v>2981900</v>
      </c>
      <c r="Z109" s="22">
        <v>3644200</v>
      </c>
      <c r="AA109" s="22">
        <v>3630000</v>
      </c>
      <c r="AB109" s="22">
        <v>3352900</v>
      </c>
      <c r="AC109" s="22">
        <v>3352900</v>
      </c>
      <c r="AD109" s="22">
        <v>6176200</v>
      </c>
      <c r="AE109" s="22">
        <v>6540600</v>
      </c>
      <c r="AF109" s="22">
        <v>8824700</v>
      </c>
      <c r="AG109" s="22">
        <v>7890400</v>
      </c>
      <c r="AH109" s="22">
        <v>2637900</v>
      </c>
      <c r="AI109" s="22">
        <v>2458400</v>
      </c>
      <c r="AJ109" s="22">
        <v>2823300</v>
      </c>
      <c r="AK109" s="22">
        <v>2867300</v>
      </c>
      <c r="AL109" s="22">
        <v>2783900</v>
      </c>
      <c r="AM109" s="22">
        <v>3282400</v>
      </c>
      <c r="AN109" s="22">
        <v>2200200</v>
      </c>
      <c r="AO109" s="22">
        <v>2905800</v>
      </c>
      <c r="AP109" s="22">
        <v>2488400</v>
      </c>
      <c r="AQ109" s="22">
        <v>2776800</v>
      </c>
      <c r="AR109" s="22">
        <v>2934700</v>
      </c>
      <c r="AS109" s="22">
        <v>2494800</v>
      </c>
      <c r="AT109" s="22">
        <v>2557100</v>
      </c>
      <c r="AU109" s="22">
        <v>4536500</v>
      </c>
      <c r="AV109" s="22">
        <v>3899300</v>
      </c>
      <c r="AW109" s="22">
        <v>2430800</v>
      </c>
      <c r="AX109" s="22">
        <v>2638900</v>
      </c>
      <c r="AY109" s="22">
        <v>1613600</v>
      </c>
      <c r="AZ109" s="22">
        <v>2625700</v>
      </c>
      <c r="BA109" s="22">
        <v>2678700</v>
      </c>
      <c r="BB109" s="22">
        <v>3847000</v>
      </c>
      <c r="BC109" s="22">
        <v>4148800</v>
      </c>
      <c r="BD109" s="22">
        <v>2274700</v>
      </c>
      <c r="BE109" s="22">
        <v>3452500</v>
      </c>
      <c r="BF109" s="22">
        <v>2487700</v>
      </c>
      <c r="BG109" s="22">
        <v>3483400</v>
      </c>
      <c r="BH109" s="22">
        <v>4808300</v>
      </c>
      <c r="BI109" s="22">
        <v>3832100</v>
      </c>
      <c r="BJ109" s="22">
        <v>2318000</v>
      </c>
      <c r="BK109" s="22">
        <v>2254800</v>
      </c>
      <c r="BL109" s="22">
        <v>2690100</v>
      </c>
    </row>
    <row r="110" spans="1:64" ht="15.95" customHeight="1">
      <c r="A110" s="433" t="s">
        <v>367</v>
      </c>
      <c r="B110" s="49" t="s">
        <v>171</v>
      </c>
      <c r="C110" s="53">
        <f>_xll.RssMarket("9069","出来高")</f>
        <v>267400</v>
      </c>
      <c r="D110" s="220">
        <f t="shared" si="1"/>
        <v>0</v>
      </c>
      <c r="E110" s="218">
        <v>267400</v>
      </c>
      <c r="F110" s="22">
        <v>245600</v>
      </c>
      <c r="G110" s="22">
        <v>412100</v>
      </c>
      <c r="H110" s="22">
        <v>409500</v>
      </c>
      <c r="I110" s="22">
        <v>301300</v>
      </c>
      <c r="J110" s="22">
        <v>809400</v>
      </c>
      <c r="K110" s="22">
        <v>431500</v>
      </c>
      <c r="L110" s="22">
        <v>417900</v>
      </c>
      <c r="M110" s="22">
        <v>523600</v>
      </c>
      <c r="N110" s="22">
        <v>378500</v>
      </c>
      <c r="O110" s="22">
        <v>628300</v>
      </c>
      <c r="P110" s="22">
        <v>483000</v>
      </c>
      <c r="Q110" s="22">
        <v>563200</v>
      </c>
      <c r="R110" s="22">
        <v>430700</v>
      </c>
      <c r="S110" s="22">
        <v>399300</v>
      </c>
      <c r="T110" s="22">
        <v>247700</v>
      </c>
      <c r="U110" s="22">
        <v>302700</v>
      </c>
      <c r="V110" s="22">
        <v>289700</v>
      </c>
      <c r="W110" s="22">
        <v>330000</v>
      </c>
      <c r="X110" s="22">
        <v>501900</v>
      </c>
      <c r="Y110" s="22">
        <v>701300</v>
      </c>
      <c r="Z110" s="22">
        <v>303600</v>
      </c>
      <c r="AA110" s="22">
        <v>477800</v>
      </c>
      <c r="AB110" s="22">
        <v>229500</v>
      </c>
      <c r="AC110" s="22">
        <v>229500</v>
      </c>
      <c r="AD110" s="22">
        <v>336500</v>
      </c>
      <c r="AE110" s="22">
        <v>375900</v>
      </c>
      <c r="AF110" s="22">
        <v>269100</v>
      </c>
      <c r="AG110" s="22">
        <v>336800</v>
      </c>
      <c r="AH110" s="22">
        <v>328700</v>
      </c>
      <c r="AI110" s="22">
        <v>282600</v>
      </c>
      <c r="AJ110" s="22">
        <v>297500</v>
      </c>
      <c r="AK110" s="22">
        <v>396000</v>
      </c>
      <c r="AL110" s="22">
        <v>289000</v>
      </c>
      <c r="AM110" s="22">
        <v>318100</v>
      </c>
      <c r="AN110" s="22">
        <v>257000</v>
      </c>
      <c r="AO110" s="22">
        <v>166000</v>
      </c>
      <c r="AP110" s="22">
        <v>430100</v>
      </c>
      <c r="AQ110" s="22">
        <v>281300</v>
      </c>
      <c r="AR110" s="22">
        <v>201500</v>
      </c>
      <c r="AS110" s="22">
        <v>172400</v>
      </c>
      <c r="AT110" s="22">
        <v>239900</v>
      </c>
      <c r="AU110" s="22">
        <v>296800</v>
      </c>
      <c r="AV110" s="22">
        <v>325800</v>
      </c>
      <c r="AW110" s="22">
        <v>182500</v>
      </c>
      <c r="AX110" s="22">
        <v>213000</v>
      </c>
      <c r="AY110" s="22">
        <v>218600</v>
      </c>
      <c r="AZ110" s="22">
        <v>415800</v>
      </c>
      <c r="BA110" s="22">
        <v>388300</v>
      </c>
      <c r="BB110" s="22">
        <v>547300</v>
      </c>
      <c r="BC110" s="22">
        <v>639000</v>
      </c>
      <c r="BD110" s="22">
        <v>206600</v>
      </c>
      <c r="BE110" s="22">
        <v>311700</v>
      </c>
      <c r="BF110" s="22">
        <v>339900</v>
      </c>
      <c r="BG110" s="22">
        <v>567100</v>
      </c>
      <c r="BH110" s="22">
        <v>583900</v>
      </c>
      <c r="BI110" s="22">
        <v>325200</v>
      </c>
      <c r="BJ110" s="22">
        <v>277200</v>
      </c>
      <c r="BK110" s="22">
        <v>215000</v>
      </c>
      <c r="BL110" s="22">
        <v>426100</v>
      </c>
    </row>
    <row r="111" spans="1:64" ht="15.95" customHeight="1">
      <c r="A111" s="433" t="s">
        <v>368</v>
      </c>
      <c r="B111" s="49" t="s">
        <v>172</v>
      </c>
      <c r="C111" s="53">
        <f>_xll.RssMarket("9227","出来高")</f>
        <v>110100</v>
      </c>
      <c r="D111" s="220">
        <f t="shared" si="1"/>
        <v>0</v>
      </c>
      <c r="E111" s="218">
        <v>110100</v>
      </c>
      <c r="F111" s="22">
        <v>172200</v>
      </c>
      <c r="G111" s="22">
        <v>127600</v>
      </c>
      <c r="H111" s="22">
        <v>177100</v>
      </c>
      <c r="I111" s="22">
        <v>302700</v>
      </c>
      <c r="J111" s="22">
        <v>208700</v>
      </c>
      <c r="K111" s="22">
        <v>254400</v>
      </c>
      <c r="L111" s="22">
        <v>224700</v>
      </c>
      <c r="M111" s="22">
        <v>307300</v>
      </c>
      <c r="N111" s="22">
        <v>635100</v>
      </c>
      <c r="O111" s="22">
        <v>805900</v>
      </c>
      <c r="P111" s="22">
        <v>1982000</v>
      </c>
      <c r="Q111" s="22">
        <v>9484400</v>
      </c>
      <c r="R111" s="22">
        <v>88200</v>
      </c>
      <c r="S111" s="22">
        <v>63400</v>
      </c>
      <c r="T111" s="22">
        <v>225200</v>
      </c>
      <c r="U111" s="22">
        <v>284600</v>
      </c>
      <c r="V111" s="22">
        <v>305200</v>
      </c>
      <c r="W111" s="22">
        <v>231200</v>
      </c>
      <c r="X111" s="22">
        <v>356600</v>
      </c>
      <c r="Y111" s="22">
        <v>590800</v>
      </c>
      <c r="Z111" s="22">
        <v>485500</v>
      </c>
      <c r="AA111" s="22">
        <v>198900</v>
      </c>
      <c r="AB111" s="22">
        <v>226800</v>
      </c>
      <c r="AC111" s="22">
        <v>226800</v>
      </c>
      <c r="AD111" s="22">
        <v>170900</v>
      </c>
      <c r="AE111" s="22">
        <v>183500</v>
      </c>
      <c r="AF111" s="22">
        <v>159400</v>
      </c>
      <c r="AG111" s="22">
        <v>342000</v>
      </c>
      <c r="AH111" s="22">
        <v>350400</v>
      </c>
      <c r="AI111" s="22">
        <v>216200</v>
      </c>
      <c r="AJ111" s="22">
        <v>250100</v>
      </c>
      <c r="AK111" s="22">
        <v>363200</v>
      </c>
      <c r="AL111" s="22">
        <v>515300</v>
      </c>
      <c r="AM111" s="22">
        <v>1492800</v>
      </c>
      <c r="AN111" s="22">
        <v>2568000</v>
      </c>
      <c r="AO111" s="22">
        <v>297900</v>
      </c>
      <c r="AP111" s="22">
        <v>326300</v>
      </c>
      <c r="AQ111" s="22">
        <v>288300</v>
      </c>
      <c r="AR111" s="22">
        <v>324800</v>
      </c>
      <c r="AS111" s="22">
        <v>240800</v>
      </c>
      <c r="AT111" s="22">
        <v>216700</v>
      </c>
      <c r="AU111" s="22">
        <v>176800</v>
      </c>
      <c r="AV111" s="22">
        <v>379400</v>
      </c>
      <c r="AW111" s="22">
        <v>216800</v>
      </c>
      <c r="AX111" s="22">
        <v>188100</v>
      </c>
      <c r="AY111" s="22">
        <v>187200</v>
      </c>
      <c r="AZ111" s="22">
        <v>274600</v>
      </c>
      <c r="BA111" s="22">
        <v>330400</v>
      </c>
      <c r="BB111" s="22">
        <v>209700</v>
      </c>
      <c r="BC111" s="22">
        <v>326200</v>
      </c>
      <c r="BD111" s="22">
        <v>374100</v>
      </c>
      <c r="BE111" s="22">
        <v>271800</v>
      </c>
      <c r="BF111" s="22">
        <v>412200</v>
      </c>
      <c r="BG111" s="22">
        <v>606200</v>
      </c>
      <c r="BH111" s="22">
        <v>1672800</v>
      </c>
      <c r="BI111" s="22">
        <v>1122900</v>
      </c>
      <c r="BJ111" s="22">
        <v>257900</v>
      </c>
      <c r="BK111" s="22">
        <v>474800</v>
      </c>
      <c r="BL111" s="22">
        <v>203100</v>
      </c>
    </row>
    <row r="112" spans="1:64" ht="15.95" customHeight="1">
      <c r="A112" s="433" t="s">
        <v>369</v>
      </c>
      <c r="B112" s="49" t="s">
        <v>173</v>
      </c>
      <c r="C112" s="53">
        <f>_xll.RssMarket("9348","出来高")</f>
        <v>2625000</v>
      </c>
      <c r="D112" s="220">
        <f t="shared" si="1"/>
        <v>0</v>
      </c>
      <c r="E112" s="218">
        <v>2625000</v>
      </c>
      <c r="F112" s="22">
        <v>4609200</v>
      </c>
      <c r="G112" s="22">
        <v>4442300</v>
      </c>
      <c r="H112" s="22">
        <v>1601000</v>
      </c>
      <c r="I112" s="22">
        <v>1418700</v>
      </c>
      <c r="J112" s="22">
        <v>2424700</v>
      </c>
      <c r="K112" s="22">
        <v>5247100</v>
      </c>
      <c r="L112" s="22">
        <v>1877000</v>
      </c>
      <c r="M112" s="22">
        <v>2527200</v>
      </c>
      <c r="N112" s="22">
        <v>2047800</v>
      </c>
      <c r="O112" s="22">
        <v>7145100</v>
      </c>
      <c r="P112" s="22">
        <v>13839800</v>
      </c>
      <c r="Q112" s="22">
        <v>10776300</v>
      </c>
      <c r="R112" s="22">
        <v>6345000</v>
      </c>
      <c r="S112" s="22">
        <v>5129500</v>
      </c>
      <c r="T112" s="22">
        <v>1631700</v>
      </c>
      <c r="U112" s="22">
        <v>1799800</v>
      </c>
      <c r="V112" s="22">
        <v>2449700</v>
      </c>
      <c r="W112" s="22">
        <v>1024800</v>
      </c>
      <c r="X112" s="22">
        <v>1245000</v>
      </c>
      <c r="Y112" s="22">
        <v>1244200</v>
      </c>
      <c r="Z112" s="22">
        <v>978400</v>
      </c>
      <c r="AA112" s="22">
        <v>1210600</v>
      </c>
      <c r="AB112" s="22">
        <v>1378000</v>
      </c>
      <c r="AC112" s="22">
        <v>1378000</v>
      </c>
      <c r="AD112" s="22">
        <v>1372100</v>
      </c>
      <c r="AE112" s="22">
        <v>855400</v>
      </c>
      <c r="AF112" s="22">
        <v>520600</v>
      </c>
      <c r="AG112" s="22">
        <v>553400</v>
      </c>
      <c r="AH112" s="22">
        <v>755900</v>
      </c>
      <c r="AI112" s="22">
        <v>852900</v>
      </c>
      <c r="AJ112" s="22">
        <v>768100</v>
      </c>
      <c r="AK112" s="22">
        <v>1109600</v>
      </c>
      <c r="AL112" s="22">
        <v>954200</v>
      </c>
      <c r="AM112" s="22">
        <v>1690000</v>
      </c>
      <c r="AN112" s="22">
        <v>1327400</v>
      </c>
      <c r="AO112" s="22">
        <v>1316600</v>
      </c>
      <c r="AP112" s="22">
        <v>2116700</v>
      </c>
      <c r="AQ112" s="22">
        <v>2529000</v>
      </c>
      <c r="AR112" s="22">
        <v>1710700</v>
      </c>
      <c r="AS112" s="22">
        <v>1815300</v>
      </c>
      <c r="AT112" s="22">
        <v>6775700</v>
      </c>
      <c r="AU112" s="22">
        <v>1339200</v>
      </c>
      <c r="AV112" s="22">
        <v>2311400</v>
      </c>
      <c r="AW112" s="22">
        <v>1237000</v>
      </c>
      <c r="AX112" s="22">
        <v>1746500</v>
      </c>
      <c r="AY112" s="22">
        <v>5266600</v>
      </c>
      <c r="AZ112" s="22">
        <v>4705700</v>
      </c>
      <c r="BA112" s="22">
        <v>2227800</v>
      </c>
      <c r="BB112" s="22">
        <v>286100</v>
      </c>
      <c r="BC112" s="22">
        <v>439800</v>
      </c>
      <c r="BD112" s="22">
        <v>683700</v>
      </c>
      <c r="BE112" s="22">
        <v>1205000</v>
      </c>
      <c r="BF112" s="22">
        <v>715900</v>
      </c>
      <c r="BG112" s="22">
        <v>1569700</v>
      </c>
      <c r="BH112" s="22">
        <v>1509100</v>
      </c>
      <c r="BI112" s="22">
        <v>1373500</v>
      </c>
      <c r="BJ112" s="22">
        <v>965900</v>
      </c>
      <c r="BK112" s="22">
        <v>699600</v>
      </c>
      <c r="BL112" s="22">
        <v>1202000</v>
      </c>
    </row>
    <row r="113" spans="1:64" ht="15.95" customHeight="1">
      <c r="A113" s="433" t="s">
        <v>370</v>
      </c>
      <c r="B113" s="49" t="s">
        <v>174</v>
      </c>
      <c r="C113" s="53">
        <f>_xll.RssMarket("9449","出来高")</f>
        <v>248200</v>
      </c>
      <c r="D113" s="220">
        <f t="shared" si="1"/>
        <v>0</v>
      </c>
      <c r="E113" s="218">
        <v>248200</v>
      </c>
      <c r="F113" s="22">
        <v>266700</v>
      </c>
      <c r="G113" s="22">
        <v>394800</v>
      </c>
      <c r="H113" s="22">
        <v>250300</v>
      </c>
      <c r="I113" s="22">
        <v>259200</v>
      </c>
      <c r="J113" s="22">
        <v>357600</v>
      </c>
      <c r="K113" s="22">
        <v>229500</v>
      </c>
      <c r="L113" s="22">
        <v>429500</v>
      </c>
      <c r="M113" s="22">
        <v>487200</v>
      </c>
      <c r="N113" s="22">
        <v>294600</v>
      </c>
      <c r="O113" s="22">
        <v>617000</v>
      </c>
      <c r="P113" s="22">
        <v>310600</v>
      </c>
      <c r="Q113" s="22">
        <v>441900</v>
      </c>
      <c r="R113" s="22">
        <v>618700</v>
      </c>
      <c r="S113" s="22">
        <v>523000</v>
      </c>
      <c r="T113" s="22">
        <v>308200</v>
      </c>
      <c r="U113" s="22">
        <v>416700</v>
      </c>
      <c r="V113" s="22">
        <v>675300</v>
      </c>
      <c r="W113" s="22">
        <v>678200</v>
      </c>
      <c r="X113" s="22">
        <v>374700</v>
      </c>
      <c r="Y113" s="22">
        <v>364400</v>
      </c>
      <c r="Z113" s="22">
        <v>282400</v>
      </c>
      <c r="AA113" s="22">
        <v>377400</v>
      </c>
      <c r="AB113" s="22">
        <v>518400</v>
      </c>
      <c r="AC113" s="22">
        <v>518400</v>
      </c>
      <c r="AD113" s="22">
        <v>554000</v>
      </c>
      <c r="AE113" s="22">
        <v>462600</v>
      </c>
      <c r="AF113" s="22">
        <v>255800</v>
      </c>
      <c r="AG113" s="22">
        <v>556400</v>
      </c>
      <c r="AH113" s="22">
        <v>368400</v>
      </c>
      <c r="AI113" s="22">
        <v>330600</v>
      </c>
      <c r="AJ113" s="22">
        <v>317200</v>
      </c>
      <c r="AK113" s="22">
        <v>395200</v>
      </c>
      <c r="AL113" s="22">
        <v>352500</v>
      </c>
      <c r="AM113" s="22">
        <v>562900</v>
      </c>
      <c r="AN113" s="22">
        <v>327500</v>
      </c>
      <c r="AO113" s="22">
        <v>430000</v>
      </c>
      <c r="AP113" s="22">
        <v>795500</v>
      </c>
      <c r="AQ113" s="22">
        <v>272800</v>
      </c>
      <c r="AR113" s="22">
        <v>319900</v>
      </c>
      <c r="AS113" s="22">
        <v>294700</v>
      </c>
      <c r="AT113" s="22">
        <v>377600</v>
      </c>
      <c r="AU113" s="22">
        <v>372300</v>
      </c>
      <c r="AV113" s="22">
        <v>451000</v>
      </c>
      <c r="AW113" s="22">
        <v>264000</v>
      </c>
      <c r="AX113" s="22">
        <v>239100</v>
      </c>
      <c r="AY113" s="22">
        <v>318500</v>
      </c>
      <c r="AZ113" s="22">
        <v>353600</v>
      </c>
      <c r="BA113" s="22">
        <v>422100</v>
      </c>
      <c r="BB113" s="22">
        <v>370300</v>
      </c>
      <c r="BC113" s="22">
        <v>301000</v>
      </c>
      <c r="BD113" s="22">
        <v>287200</v>
      </c>
      <c r="BE113" s="22">
        <v>329000</v>
      </c>
      <c r="BF113" s="22">
        <v>313900</v>
      </c>
      <c r="BG113" s="22">
        <v>335800</v>
      </c>
      <c r="BH113" s="22">
        <v>352400</v>
      </c>
      <c r="BI113" s="22">
        <v>407200</v>
      </c>
      <c r="BJ113" s="22">
        <v>177400</v>
      </c>
      <c r="BK113" s="22">
        <v>394200</v>
      </c>
      <c r="BL113" s="22">
        <v>297300</v>
      </c>
    </row>
    <row r="114" spans="1:64" ht="15.95" customHeight="1">
      <c r="A114" s="433" t="s">
        <v>371</v>
      </c>
      <c r="B114" s="49" t="s">
        <v>175</v>
      </c>
      <c r="C114" s="53">
        <f>_xll.RssMarket("9501","出来高")</f>
        <v>21276700</v>
      </c>
      <c r="D114" s="220">
        <f t="shared" si="1"/>
        <v>0</v>
      </c>
      <c r="E114" s="218">
        <v>21276700</v>
      </c>
      <c r="F114" s="22">
        <v>24988500</v>
      </c>
      <c r="G114" s="22">
        <v>33012400</v>
      </c>
      <c r="H114" s="22">
        <v>42385200</v>
      </c>
      <c r="I114" s="22">
        <v>26553800</v>
      </c>
      <c r="J114" s="22">
        <v>32766800</v>
      </c>
      <c r="K114" s="22">
        <v>37231000</v>
      </c>
      <c r="L114" s="22">
        <v>40639800</v>
      </c>
      <c r="M114" s="22">
        <v>34358500</v>
      </c>
      <c r="N114" s="22">
        <v>42210000</v>
      </c>
      <c r="O114" s="22">
        <v>25544000</v>
      </c>
      <c r="P114" s="22">
        <v>25852800</v>
      </c>
      <c r="Q114" s="22">
        <v>31146600</v>
      </c>
      <c r="R114" s="22">
        <v>33384600</v>
      </c>
      <c r="S114" s="22">
        <v>32758000</v>
      </c>
      <c r="T114" s="22">
        <v>30470500</v>
      </c>
      <c r="U114" s="22">
        <v>51937900</v>
      </c>
      <c r="V114" s="22">
        <v>42880100</v>
      </c>
      <c r="W114" s="22">
        <v>58803900</v>
      </c>
      <c r="X114" s="22">
        <v>46892500</v>
      </c>
      <c r="Y114" s="22">
        <v>43827200</v>
      </c>
      <c r="Z114" s="22">
        <v>44350100</v>
      </c>
      <c r="AA114" s="22">
        <v>45523100</v>
      </c>
      <c r="AB114" s="22">
        <v>53169400</v>
      </c>
      <c r="AC114" s="22">
        <v>53169400</v>
      </c>
      <c r="AD114" s="22">
        <v>49861100</v>
      </c>
      <c r="AE114" s="22">
        <v>75841900</v>
      </c>
      <c r="AF114" s="22">
        <v>72810900</v>
      </c>
      <c r="AG114" s="22">
        <v>53614000</v>
      </c>
      <c r="AH114" s="22">
        <v>68403700</v>
      </c>
      <c r="AI114" s="22">
        <v>37490400</v>
      </c>
      <c r="AJ114" s="22">
        <v>46400600</v>
      </c>
      <c r="AK114" s="22">
        <v>72424100</v>
      </c>
      <c r="AL114" s="22">
        <v>79827900</v>
      </c>
      <c r="AM114" s="22">
        <v>48826900</v>
      </c>
      <c r="AN114" s="22">
        <v>41382600</v>
      </c>
      <c r="AO114" s="22">
        <v>53950200</v>
      </c>
      <c r="AP114" s="22">
        <v>39936400</v>
      </c>
      <c r="AQ114" s="22">
        <v>59078700</v>
      </c>
      <c r="AR114" s="22">
        <v>55894900</v>
      </c>
      <c r="AS114" s="22">
        <v>62428400</v>
      </c>
      <c r="AT114" s="22">
        <v>111263300</v>
      </c>
      <c r="AU114" s="22">
        <v>64839300</v>
      </c>
      <c r="AV114" s="22">
        <v>53895900</v>
      </c>
      <c r="AW114" s="22">
        <v>50092600</v>
      </c>
      <c r="AX114" s="22">
        <v>47908200</v>
      </c>
      <c r="AY114" s="22">
        <v>53909200</v>
      </c>
      <c r="AZ114" s="22">
        <v>69989300</v>
      </c>
      <c r="BA114" s="22">
        <v>64518700</v>
      </c>
      <c r="BB114" s="22">
        <v>57846800</v>
      </c>
      <c r="BC114" s="22">
        <v>58761400</v>
      </c>
      <c r="BD114" s="22">
        <v>45160800</v>
      </c>
      <c r="BE114" s="22">
        <v>56961500</v>
      </c>
      <c r="BF114" s="22">
        <v>68083600</v>
      </c>
      <c r="BG114" s="22">
        <v>73851600</v>
      </c>
      <c r="BH114" s="22">
        <v>133003600</v>
      </c>
      <c r="BI114" s="22">
        <v>125195100</v>
      </c>
      <c r="BJ114" s="22">
        <v>49006700</v>
      </c>
      <c r="BK114" s="22">
        <v>52959500</v>
      </c>
      <c r="BL114" s="22">
        <v>57316300</v>
      </c>
    </row>
    <row r="115" spans="1:64" ht="15.95" customHeight="1">
      <c r="A115" s="433" t="s">
        <v>372</v>
      </c>
      <c r="B115" s="49" t="s">
        <v>176</v>
      </c>
      <c r="C115" s="53">
        <f>_xll.RssMarket("9531","出来高")</f>
        <v>833700</v>
      </c>
      <c r="D115" s="220">
        <f t="shared" si="1"/>
        <v>0</v>
      </c>
      <c r="E115" s="218">
        <v>833700</v>
      </c>
      <c r="F115" s="22">
        <v>970800</v>
      </c>
      <c r="G115" s="22">
        <v>1140000</v>
      </c>
      <c r="H115" s="22">
        <v>1215200</v>
      </c>
      <c r="I115" s="22">
        <v>1001000</v>
      </c>
      <c r="J115" s="22">
        <v>1162100</v>
      </c>
      <c r="K115" s="22">
        <v>1020100</v>
      </c>
      <c r="L115" s="22">
        <v>1038800</v>
      </c>
      <c r="M115" s="22">
        <v>1096400</v>
      </c>
      <c r="N115" s="22">
        <v>1162500</v>
      </c>
      <c r="O115" s="22">
        <v>2978500</v>
      </c>
      <c r="P115" s="22">
        <v>5312400</v>
      </c>
      <c r="Q115" s="22">
        <v>1067600</v>
      </c>
      <c r="R115" s="22">
        <v>1029100</v>
      </c>
      <c r="S115" s="22">
        <v>898300</v>
      </c>
      <c r="T115" s="22">
        <v>850300</v>
      </c>
      <c r="U115" s="22">
        <v>1440300</v>
      </c>
      <c r="V115" s="22">
        <v>1261400</v>
      </c>
      <c r="W115" s="22">
        <v>1144400</v>
      </c>
      <c r="X115" s="22">
        <v>1180700</v>
      </c>
      <c r="Y115" s="22">
        <v>809900</v>
      </c>
      <c r="Z115" s="22">
        <v>1104600</v>
      </c>
      <c r="AA115" s="22">
        <v>1350300</v>
      </c>
      <c r="AB115" s="22">
        <v>1292900</v>
      </c>
      <c r="AC115" s="22">
        <v>1292900</v>
      </c>
      <c r="AD115" s="22">
        <v>1984100</v>
      </c>
      <c r="AE115" s="22">
        <v>2162200</v>
      </c>
      <c r="AF115" s="22">
        <v>1293900</v>
      </c>
      <c r="AG115" s="22">
        <v>3393000</v>
      </c>
      <c r="AH115" s="22">
        <v>2877500</v>
      </c>
      <c r="AI115" s="22">
        <v>959900</v>
      </c>
      <c r="AJ115" s="22">
        <v>1167300</v>
      </c>
      <c r="AK115" s="22">
        <v>1552900</v>
      </c>
      <c r="AL115" s="22">
        <v>1117500</v>
      </c>
      <c r="AM115" s="22">
        <v>1126400</v>
      </c>
      <c r="AN115" s="22">
        <v>1309100</v>
      </c>
      <c r="AO115" s="22">
        <v>905000</v>
      </c>
      <c r="AP115" s="22">
        <v>1088100</v>
      </c>
      <c r="AQ115" s="22">
        <v>1092000</v>
      </c>
      <c r="AR115" s="22">
        <v>1369300</v>
      </c>
      <c r="AS115" s="22">
        <v>986800</v>
      </c>
      <c r="AT115" s="22">
        <v>1088700</v>
      </c>
      <c r="AU115" s="22">
        <v>1280200</v>
      </c>
      <c r="AV115" s="22">
        <v>1341700</v>
      </c>
      <c r="AW115" s="22">
        <v>1006000</v>
      </c>
      <c r="AX115" s="22">
        <v>728600</v>
      </c>
      <c r="AY115" s="22">
        <v>713700</v>
      </c>
      <c r="AZ115" s="22">
        <v>1277800</v>
      </c>
      <c r="BA115" s="22">
        <v>1175500</v>
      </c>
      <c r="BB115" s="22">
        <v>1537300</v>
      </c>
      <c r="BC115" s="22">
        <v>1499400</v>
      </c>
      <c r="BD115" s="22">
        <v>1001700</v>
      </c>
      <c r="BE115" s="22">
        <v>1190700</v>
      </c>
      <c r="BF115" s="22">
        <v>919400</v>
      </c>
      <c r="BG115" s="22">
        <v>1468800</v>
      </c>
      <c r="BH115" s="22">
        <v>3065600</v>
      </c>
      <c r="BI115" s="22">
        <v>826900</v>
      </c>
      <c r="BJ115" s="22">
        <v>668400</v>
      </c>
      <c r="BK115" s="22">
        <v>707000</v>
      </c>
      <c r="BL115" s="22">
        <v>1215000</v>
      </c>
    </row>
    <row r="116" spans="1:64" ht="15.95" customHeight="1">
      <c r="A116" s="433" t="s">
        <v>373</v>
      </c>
      <c r="B116" s="49" t="s">
        <v>177</v>
      </c>
      <c r="C116" s="53">
        <f>_xll.RssMarket("9882","出来高")</f>
        <v>140600</v>
      </c>
      <c r="D116" s="220">
        <f t="shared" si="1"/>
        <v>0</v>
      </c>
      <c r="E116" s="218">
        <v>140600</v>
      </c>
      <c r="F116" s="22">
        <v>145200</v>
      </c>
      <c r="G116" s="22">
        <v>208200</v>
      </c>
      <c r="H116" s="22">
        <v>153600</v>
      </c>
      <c r="I116" s="22">
        <v>176400</v>
      </c>
      <c r="J116" s="22">
        <v>166200</v>
      </c>
      <c r="K116" s="22">
        <v>122200</v>
      </c>
      <c r="L116" s="22">
        <v>211400</v>
      </c>
      <c r="M116" s="22">
        <v>265700</v>
      </c>
      <c r="N116" s="22">
        <v>192500</v>
      </c>
      <c r="O116" s="22">
        <v>177600</v>
      </c>
      <c r="P116" s="22">
        <v>114000</v>
      </c>
      <c r="Q116" s="22">
        <v>125400</v>
      </c>
      <c r="R116" s="22">
        <v>123100</v>
      </c>
      <c r="S116" s="22">
        <v>107700</v>
      </c>
      <c r="T116" s="22">
        <v>120000</v>
      </c>
      <c r="U116" s="22">
        <v>145600</v>
      </c>
      <c r="V116" s="22">
        <v>197200</v>
      </c>
      <c r="W116" s="22">
        <v>169600</v>
      </c>
      <c r="X116" s="22">
        <v>170500</v>
      </c>
      <c r="Y116" s="22">
        <v>169300</v>
      </c>
      <c r="Z116" s="22">
        <v>171500</v>
      </c>
      <c r="AA116" s="22">
        <v>245600</v>
      </c>
      <c r="AB116" s="22">
        <v>562900</v>
      </c>
      <c r="AC116" s="22">
        <v>562900</v>
      </c>
      <c r="AD116" s="22">
        <v>250100</v>
      </c>
      <c r="AE116" s="22">
        <v>199400</v>
      </c>
      <c r="AF116" s="22">
        <v>91400</v>
      </c>
      <c r="AG116" s="22">
        <v>162800</v>
      </c>
      <c r="AH116" s="22">
        <v>154800</v>
      </c>
      <c r="AI116" s="22">
        <v>111000</v>
      </c>
      <c r="AJ116" s="22">
        <v>138600</v>
      </c>
      <c r="AK116" s="22">
        <v>131200</v>
      </c>
      <c r="AL116" s="22">
        <v>122700</v>
      </c>
      <c r="AM116" s="22">
        <v>162100</v>
      </c>
      <c r="AN116" s="22">
        <v>109600</v>
      </c>
      <c r="AO116" s="22">
        <v>90500</v>
      </c>
      <c r="AP116" s="22">
        <v>158200</v>
      </c>
      <c r="AQ116" s="22">
        <v>84500</v>
      </c>
      <c r="AR116" s="22">
        <v>76000</v>
      </c>
      <c r="AS116" s="22">
        <v>111800</v>
      </c>
      <c r="AT116" s="22">
        <v>128800</v>
      </c>
      <c r="AU116" s="22">
        <v>101200</v>
      </c>
      <c r="AV116" s="22">
        <v>223900</v>
      </c>
      <c r="AW116" s="22">
        <v>265900</v>
      </c>
      <c r="AX116" s="22">
        <v>148000</v>
      </c>
      <c r="AY116" s="22">
        <v>66300</v>
      </c>
      <c r="AZ116" s="22">
        <v>77200</v>
      </c>
      <c r="BA116" s="22">
        <v>105200</v>
      </c>
      <c r="BB116" s="22">
        <v>384900</v>
      </c>
      <c r="BC116" s="22">
        <v>342600</v>
      </c>
      <c r="BD116" s="22">
        <v>179300</v>
      </c>
      <c r="BE116" s="22">
        <v>185000</v>
      </c>
      <c r="BF116" s="22">
        <v>165800</v>
      </c>
      <c r="BG116" s="22">
        <v>236600</v>
      </c>
      <c r="BH116" s="22">
        <v>275600</v>
      </c>
      <c r="BI116" s="22">
        <v>120500</v>
      </c>
      <c r="BJ116" s="22">
        <v>114300</v>
      </c>
      <c r="BK116" s="22">
        <v>197700</v>
      </c>
      <c r="BL116" s="22">
        <v>204600</v>
      </c>
    </row>
    <row r="117" spans="1:64" ht="15.95" customHeight="1">
      <c r="A117" s="433" t="s">
        <v>374</v>
      </c>
      <c r="B117" s="49" t="s">
        <v>178</v>
      </c>
      <c r="C117" s="53">
        <f>_xll.RssMarket("5838","出来高")</f>
        <v>1008700</v>
      </c>
      <c r="D117" s="220">
        <f t="shared" si="1"/>
        <v>0</v>
      </c>
      <c r="E117" s="218">
        <v>1008700</v>
      </c>
      <c r="F117" s="22">
        <v>1797300</v>
      </c>
      <c r="G117" s="22">
        <v>2338200</v>
      </c>
      <c r="H117" s="22">
        <v>3158800</v>
      </c>
      <c r="I117" s="22">
        <v>3572000</v>
      </c>
      <c r="J117" s="22">
        <v>1615200</v>
      </c>
      <c r="K117" s="22">
        <v>1916500</v>
      </c>
      <c r="L117" s="22">
        <v>2661700</v>
      </c>
      <c r="M117" s="22">
        <v>3226800</v>
      </c>
      <c r="N117" s="22">
        <v>3499900</v>
      </c>
      <c r="O117" s="22">
        <v>3965300</v>
      </c>
      <c r="P117" s="22">
        <v>1799500</v>
      </c>
      <c r="Q117" s="22">
        <v>2822000</v>
      </c>
      <c r="R117" s="22">
        <v>4208700</v>
      </c>
      <c r="S117" s="22">
        <v>12468500</v>
      </c>
      <c r="T117" s="22">
        <v>3644500</v>
      </c>
      <c r="U117" s="22">
        <v>2295100</v>
      </c>
      <c r="V117" s="22">
        <v>2770900</v>
      </c>
      <c r="W117" s="22">
        <v>3792600</v>
      </c>
      <c r="X117" s="22">
        <v>1346200</v>
      </c>
      <c r="Y117" s="22">
        <v>1427600</v>
      </c>
      <c r="Z117" s="22">
        <v>2524200</v>
      </c>
      <c r="AA117" s="22">
        <v>1537500</v>
      </c>
      <c r="AB117" s="22">
        <v>1049100</v>
      </c>
      <c r="AC117" s="22">
        <v>1049100</v>
      </c>
      <c r="AD117" s="22">
        <v>1493100</v>
      </c>
      <c r="AE117" s="22">
        <v>1506000</v>
      </c>
      <c r="AF117" s="22">
        <v>680000</v>
      </c>
      <c r="AG117" s="22">
        <v>1075700</v>
      </c>
      <c r="AH117" s="22">
        <v>1564900</v>
      </c>
      <c r="AI117" s="22">
        <v>709300</v>
      </c>
      <c r="AJ117" s="22">
        <v>984100</v>
      </c>
      <c r="AK117" s="22">
        <v>1759500</v>
      </c>
      <c r="AL117" s="22">
        <v>1451400</v>
      </c>
      <c r="AM117" s="22">
        <v>1082000</v>
      </c>
      <c r="AN117" s="22">
        <v>686000</v>
      </c>
      <c r="AO117" s="22">
        <v>886600</v>
      </c>
      <c r="AP117" s="22">
        <v>986500</v>
      </c>
      <c r="AQ117" s="22">
        <v>901700</v>
      </c>
      <c r="AR117" s="22">
        <v>807900</v>
      </c>
      <c r="AS117" s="22">
        <v>989000</v>
      </c>
      <c r="AT117" s="22">
        <v>1436000</v>
      </c>
      <c r="AU117" s="22">
        <v>1703700</v>
      </c>
      <c r="AV117" s="22">
        <v>2229400</v>
      </c>
      <c r="AW117" s="22">
        <v>939700</v>
      </c>
      <c r="AX117" s="22">
        <v>694000</v>
      </c>
      <c r="AY117" s="22">
        <v>692600</v>
      </c>
      <c r="AZ117" s="22">
        <v>1119100</v>
      </c>
      <c r="BA117" s="22">
        <v>2196700</v>
      </c>
      <c r="BB117" s="22">
        <v>1824100</v>
      </c>
      <c r="BC117" s="22">
        <v>1397000</v>
      </c>
      <c r="BD117" s="22">
        <v>1921200</v>
      </c>
      <c r="BE117" s="22">
        <v>1102900</v>
      </c>
      <c r="BF117" s="22">
        <v>1064700</v>
      </c>
      <c r="BG117" s="22">
        <v>1318200</v>
      </c>
      <c r="BH117" s="22">
        <v>1579200</v>
      </c>
      <c r="BI117" s="22">
        <v>1381500</v>
      </c>
      <c r="BJ117" s="22">
        <v>1000900</v>
      </c>
      <c r="BK117" s="22">
        <v>1474000</v>
      </c>
      <c r="BL117" s="22">
        <v>1935300</v>
      </c>
    </row>
    <row r="118" spans="1:64" ht="15.95" customHeight="1">
      <c r="A118" s="433" t="s">
        <v>375</v>
      </c>
      <c r="B118" s="49" t="s">
        <v>179</v>
      </c>
      <c r="C118" s="53">
        <f>_xll.RssMarket("5844","出来高")</f>
        <v>1291700</v>
      </c>
      <c r="D118" s="220">
        <f t="shared" si="1"/>
        <v>0</v>
      </c>
      <c r="E118" s="218">
        <v>1291700</v>
      </c>
      <c r="F118" s="22">
        <v>1685300</v>
      </c>
      <c r="G118" s="22">
        <v>1120300</v>
      </c>
      <c r="H118" s="22">
        <v>707600</v>
      </c>
      <c r="I118" s="22">
        <v>1378800</v>
      </c>
      <c r="J118" s="22">
        <v>1363900</v>
      </c>
      <c r="K118" s="22">
        <v>1321100</v>
      </c>
      <c r="L118" s="22">
        <v>1246000</v>
      </c>
      <c r="M118" s="22">
        <v>964800</v>
      </c>
      <c r="N118" s="22">
        <v>845300</v>
      </c>
      <c r="O118" s="22">
        <v>2498400</v>
      </c>
      <c r="P118" s="22">
        <v>847900</v>
      </c>
      <c r="Q118" s="22">
        <v>923100</v>
      </c>
      <c r="R118" s="22">
        <v>904000</v>
      </c>
      <c r="S118" s="22">
        <v>675000</v>
      </c>
      <c r="T118" s="22">
        <v>1403800</v>
      </c>
      <c r="U118" s="22">
        <v>1557500</v>
      </c>
      <c r="V118" s="22">
        <v>921400</v>
      </c>
      <c r="W118" s="22">
        <v>1044500</v>
      </c>
      <c r="X118" s="22">
        <v>2254500</v>
      </c>
      <c r="Y118" s="22">
        <v>946800</v>
      </c>
      <c r="Z118" s="22">
        <v>823400</v>
      </c>
      <c r="AA118" s="22">
        <v>760200</v>
      </c>
      <c r="AB118" s="22">
        <v>826400</v>
      </c>
      <c r="AC118" s="22">
        <v>826400</v>
      </c>
      <c r="AD118" s="22">
        <v>910200</v>
      </c>
      <c r="AE118" s="22">
        <v>1203200</v>
      </c>
      <c r="AF118" s="22">
        <v>761000</v>
      </c>
      <c r="AG118" s="22">
        <v>953800</v>
      </c>
      <c r="AH118" s="22">
        <v>1090700</v>
      </c>
      <c r="AI118" s="22">
        <v>1131600</v>
      </c>
      <c r="AJ118" s="22">
        <v>636800</v>
      </c>
      <c r="AK118" s="22">
        <v>1110600</v>
      </c>
      <c r="AL118" s="22">
        <v>735500</v>
      </c>
      <c r="AM118" s="22">
        <v>1112300</v>
      </c>
      <c r="AN118" s="22">
        <v>945900</v>
      </c>
      <c r="AO118" s="22">
        <v>979500</v>
      </c>
      <c r="AP118" s="22">
        <v>861100</v>
      </c>
      <c r="AQ118" s="22">
        <v>713600</v>
      </c>
      <c r="AR118" s="22">
        <v>818100</v>
      </c>
      <c r="AS118" s="22">
        <v>710300</v>
      </c>
      <c r="AT118" s="22">
        <v>969900</v>
      </c>
      <c r="AU118" s="22">
        <v>1128100</v>
      </c>
      <c r="AV118" s="22">
        <v>1200800</v>
      </c>
      <c r="AW118" s="22">
        <v>717200</v>
      </c>
      <c r="AX118" s="22">
        <v>754500</v>
      </c>
      <c r="AY118" s="22">
        <v>684200</v>
      </c>
      <c r="AZ118" s="22">
        <v>887000</v>
      </c>
      <c r="BA118" s="22">
        <v>1379900</v>
      </c>
      <c r="BB118" s="22">
        <v>1326400</v>
      </c>
      <c r="BC118" s="22">
        <v>1600600</v>
      </c>
      <c r="BD118" s="22">
        <v>972700</v>
      </c>
      <c r="BE118" s="22">
        <v>1073400</v>
      </c>
      <c r="BF118" s="22">
        <v>1250900</v>
      </c>
      <c r="BG118" s="22">
        <v>1386000</v>
      </c>
      <c r="BH118" s="22">
        <v>1407700</v>
      </c>
      <c r="BI118" s="22">
        <v>976800</v>
      </c>
      <c r="BJ118" s="22">
        <v>1059200</v>
      </c>
      <c r="BK118" s="22">
        <v>1369000</v>
      </c>
      <c r="BL118" s="22">
        <v>2919700</v>
      </c>
    </row>
    <row r="119" spans="1:64" ht="15.95" customHeight="1">
      <c r="A119" s="433" t="s">
        <v>376</v>
      </c>
      <c r="B119" s="49" t="s">
        <v>180</v>
      </c>
      <c r="C119" s="53">
        <f>_xll.RssMarket("9404","出来高")</f>
        <v>431500</v>
      </c>
      <c r="D119" s="220">
        <f t="shared" si="1"/>
        <v>0</v>
      </c>
      <c r="E119" s="218">
        <v>431500</v>
      </c>
      <c r="F119" s="22">
        <v>602400</v>
      </c>
      <c r="G119" s="22">
        <v>640100</v>
      </c>
      <c r="H119" s="22">
        <v>583200</v>
      </c>
      <c r="I119" s="22">
        <v>649500</v>
      </c>
      <c r="J119" s="22">
        <v>639200</v>
      </c>
      <c r="K119" s="22">
        <v>1303100</v>
      </c>
      <c r="L119" s="22">
        <v>551300</v>
      </c>
      <c r="M119" s="22">
        <v>616000</v>
      </c>
      <c r="N119" s="22">
        <v>643000</v>
      </c>
      <c r="O119" s="22">
        <v>933700</v>
      </c>
      <c r="P119" s="22">
        <v>641600</v>
      </c>
      <c r="Q119" s="22">
        <v>591300</v>
      </c>
      <c r="R119" s="22">
        <v>532800</v>
      </c>
      <c r="S119" s="22">
        <v>456600</v>
      </c>
      <c r="T119" s="22">
        <v>587100</v>
      </c>
      <c r="U119" s="22">
        <v>666900</v>
      </c>
      <c r="V119" s="22">
        <v>772200</v>
      </c>
      <c r="W119" s="22">
        <v>549100</v>
      </c>
      <c r="X119" s="22">
        <v>878700</v>
      </c>
      <c r="Y119" s="22">
        <v>516800</v>
      </c>
      <c r="Z119" s="22">
        <v>578600</v>
      </c>
      <c r="AA119" s="22">
        <v>322200</v>
      </c>
      <c r="AB119" s="22">
        <v>742500</v>
      </c>
      <c r="AC119" s="22">
        <v>742500</v>
      </c>
      <c r="AD119" s="22">
        <v>497700</v>
      </c>
      <c r="AE119" s="22">
        <v>472500</v>
      </c>
      <c r="AF119" s="22">
        <v>388500</v>
      </c>
      <c r="AG119" s="22">
        <v>625000</v>
      </c>
      <c r="AH119" s="22">
        <v>402500</v>
      </c>
      <c r="AI119" s="22">
        <v>371400</v>
      </c>
      <c r="AJ119" s="22">
        <v>545800</v>
      </c>
      <c r="AK119" s="22">
        <v>604000</v>
      </c>
      <c r="AL119" s="22">
        <v>622600</v>
      </c>
      <c r="AM119" s="22">
        <v>371700</v>
      </c>
      <c r="AN119" s="22">
        <v>296700</v>
      </c>
      <c r="AO119" s="22">
        <v>306000</v>
      </c>
      <c r="AP119" s="22">
        <v>305000</v>
      </c>
      <c r="AQ119" s="22">
        <v>210000</v>
      </c>
      <c r="AR119" s="22">
        <v>214600</v>
      </c>
      <c r="AS119" s="22">
        <v>293800</v>
      </c>
      <c r="AT119" s="22">
        <v>330600</v>
      </c>
      <c r="AU119" s="22">
        <v>333500</v>
      </c>
      <c r="AV119" s="22">
        <v>428900</v>
      </c>
      <c r="AW119" s="22">
        <v>292500</v>
      </c>
      <c r="AX119" s="22">
        <v>331100</v>
      </c>
      <c r="AY119" s="22">
        <v>407400</v>
      </c>
      <c r="AZ119" s="22">
        <v>697000</v>
      </c>
      <c r="BA119" s="22">
        <v>556500</v>
      </c>
      <c r="BB119" s="22">
        <v>547700</v>
      </c>
      <c r="BC119" s="22">
        <v>489700</v>
      </c>
      <c r="BD119" s="22">
        <v>256700</v>
      </c>
      <c r="BE119" s="22">
        <v>320200</v>
      </c>
      <c r="BF119" s="22">
        <v>356400</v>
      </c>
      <c r="BG119" s="22">
        <v>435400</v>
      </c>
      <c r="BH119" s="22">
        <v>379400</v>
      </c>
      <c r="BI119" s="22">
        <v>286300</v>
      </c>
      <c r="BJ119" s="22">
        <v>262200</v>
      </c>
      <c r="BK119" s="22">
        <v>449700</v>
      </c>
      <c r="BL119" s="22">
        <v>494600</v>
      </c>
    </row>
    <row r="120" spans="1:64" ht="15.95" customHeight="1">
      <c r="A120" s="433" t="s">
        <v>377</v>
      </c>
      <c r="B120" s="49" t="s">
        <v>181</v>
      </c>
      <c r="C120" s="53">
        <f>_xll.RssMarket("6744","出来高")</f>
        <v>65600</v>
      </c>
      <c r="D120" s="220">
        <f t="shared" si="1"/>
        <v>0</v>
      </c>
      <c r="E120" s="218">
        <v>65600</v>
      </c>
      <c r="F120" s="22">
        <v>41800</v>
      </c>
      <c r="G120" s="22">
        <v>81500</v>
      </c>
      <c r="H120" s="22">
        <v>88200</v>
      </c>
      <c r="I120" s="22">
        <v>71300</v>
      </c>
      <c r="J120" s="22">
        <v>104200</v>
      </c>
      <c r="K120" s="22">
        <v>54600</v>
      </c>
      <c r="L120" s="22">
        <v>69000</v>
      </c>
      <c r="M120" s="22">
        <v>121700</v>
      </c>
      <c r="N120" s="22">
        <v>154000</v>
      </c>
      <c r="O120" s="22">
        <v>155900</v>
      </c>
      <c r="P120" s="22">
        <v>126400</v>
      </c>
      <c r="Q120" s="22">
        <v>137100</v>
      </c>
      <c r="R120" s="22">
        <v>162900</v>
      </c>
      <c r="S120" s="22">
        <v>113400</v>
      </c>
      <c r="T120" s="22">
        <v>104400</v>
      </c>
      <c r="U120" s="22">
        <v>141500</v>
      </c>
      <c r="V120" s="22">
        <v>168400</v>
      </c>
      <c r="W120" s="22">
        <v>173300</v>
      </c>
      <c r="X120" s="22">
        <v>215500</v>
      </c>
      <c r="Y120" s="22">
        <v>206500</v>
      </c>
      <c r="Z120" s="22">
        <v>138400</v>
      </c>
      <c r="AA120" s="22">
        <v>187500</v>
      </c>
      <c r="AB120" s="22">
        <v>167000</v>
      </c>
      <c r="AC120" s="22">
        <v>167000</v>
      </c>
      <c r="AD120" s="22">
        <v>116400</v>
      </c>
      <c r="AE120" s="22">
        <v>134700</v>
      </c>
      <c r="AF120" s="22">
        <v>213900</v>
      </c>
      <c r="AG120" s="22">
        <v>142400</v>
      </c>
      <c r="AH120" s="22">
        <v>162800</v>
      </c>
      <c r="AI120" s="22">
        <v>75400</v>
      </c>
      <c r="AJ120" s="22">
        <v>54900</v>
      </c>
      <c r="AK120" s="22">
        <v>61400</v>
      </c>
      <c r="AL120" s="22">
        <v>63800</v>
      </c>
      <c r="AM120" s="22">
        <v>87100</v>
      </c>
      <c r="AN120" s="22">
        <v>77700</v>
      </c>
      <c r="AO120" s="22">
        <v>91800</v>
      </c>
      <c r="AP120" s="22">
        <v>71800</v>
      </c>
      <c r="AQ120" s="22">
        <v>94300</v>
      </c>
      <c r="AR120" s="22">
        <v>60700</v>
      </c>
      <c r="AS120" s="22">
        <v>49800</v>
      </c>
      <c r="AT120" s="22">
        <v>55600</v>
      </c>
      <c r="AU120" s="22">
        <v>61900</v>
      </c>
      <c r="AV120" s="22">
        <v>83400</v>
      </c>
      <c r="AW120" s="22">
        <v>37900</v>
      </c>
      <c r="AX120" s="22">
        <v>36600</v>
      </c>
      <c r="AY120" s="22">
        <v>122600</v>
      </c>
      <c r="AZ120" s="22">
        <v>149100</v>
      </c>
      <c r="BA120" s="22">
        <v>111500</v>
      </c>
      <c r="BB120" s="22">
        <v>145300</v>
      </c>
      <c r="BC120" s="22">
        <v>141700</v>
      </c>
      <c r="BD120" s="22">
        <v>67500</v>
      </c>
      <c r="BE120" s="22">
        <v>99100</v>
      </c>
      <c r="BF120" s="22">
        <v>86700</v>
      </c>
      <c r="BG120" s="22">
        <v>98300</v>
      </c>
      <c r="BH120" s="22">
        <v>92700</v>
      </c>
      <c r="BI120" s="22">
        <v>207600</v>
      </c>
      <c r="BJ120" s="22">
        <v>166400</v>
      </c>
      <c r="BK120" s="22">
        <v>64300</v>
      </c>
      <c r="BL120" s="22">
        <v>91900</v>
      </c>
    </row>
    <row r="121" spans="1:64" ht="15.95" customHeight="1">
      <c r="A121" s="433" t="s">
        <v>378</v>
      </c>
      <c r="B121" s="49" t="s">
        <v>182</v>
      </c>
      <c r="C121" s="53">
        <f>_xll.RssMarket("7685","出来高")</f>
        <v>236400</v>
      </c>
      <c r="D121" s="220">
        <f t="shared" si="1"/>
        <v>0</v>
      </c>
      <c r="E121" s="218">
        <v>236400</v>
      </c>
      <c r="F121" s="22">
        <v>288700</v>
      </c>
      <c r="G121" s="22">
        <v>299300</v>
      </c>
      <c r="H121" s="22">
        <v>278000</v>
      </c>
      <c r="I121" s="22">
        <v>449700</v>
      </c>
      <c r="J121" s="22">
        <v>405100</v>
      </c>
      <c r="K121" s="22">
        <v>171700</v>
      </c>
      <c r="L121" s="22">
        <v>276800</v>
      </c>
      <c r="M121" s="22">
        <v>202100</v>
      </c>
      <c r="N121" s="22">
        <v>280700</v>
      </c>
      <c r="O121" s="22">
        <v>357400</v>
      </c>
      <c r="P121" s="22">
        <v>376600</v>
      </c>
      <c r="Q121" s="22">
        <v>403300</v>
      </c>
      <c r="R121" s="22">
        <v>261400</v>
      </c>
      <c r="S121" s="22">
        <v>254300</v>
      </c>
      <c r="T121" s="22">
        <v>359000</v>
      </c>
      <c r="U121" s="22">
        <v>373200</v>
      </c>
      <c r="V121" s="22">
        <v>639000</v>
      </c>
      <c r="W121" s="22">
        <v>660800</v>
      </c>
      <c r="X121" s="22">
        <v>1530000</v>
      </c>
      <c r="Y121" s="22">
        <v>681300</v>
      </c>
      <c r="Z121" s="22">
        <v>588700</v>
      </c>
      <c r="AA121" s="22">
        <v>398900</v>
      </c>
      <c r="AB121" s="22">
        <v>268000</v>
      </c>
      <c r="AC121" s="22">
        <v>268000</v>
      </c>
      <c r="AD121" s="22">
        <v>205600</v>
      </c>
      <c r="AE121" s="22">
        <v>278700</v>
      </c>
      <c r="AF121" s="22">
        <v>294600</v>
      </c>
      <c r="AG121" s="22">
        <v>410400</v>
      </c>
      <c r="AH121" s="22">
        <v>317800</v>
      </c>
      <c r="AI121" s="22">
        <v>272100</v>
      </c>
      <c r="AJ121" s="22">
        <v>362300</v>
      </c>
      <c r="AK121" s="22">
        <v>202100</v>
      </c>
      <c r="AL121" s="22">
        <v>423900</v>
      </c>
      <c r="AM121" s="22">
        <v>337900</v>
      </c>
      <c r="AN121" s="22">
        <v>408500</v>
      </c>
      <c r="AO121" s="22">
        <v>162600</v>
      </c>
      <c r="AP121" s="22">
        <v>180900</v>
      </c>
      <c r="AQ121" s="22">
        <v>365200</v>
      </c>
      <c r="AR121" s="22">
        <v>312500</v>
      </c>
      <c r="AS121" s="22">
        <v>440100</v>
      </c>
      <c r="AT121" s="22">
        <v>252500</v>
      </c>
      <c r="AU121" s="22">
        <v>254500</v>
      </c>
      <c r="AV121" s="22">
        <v>258000</v>
      </c>
      <c r="AW121" s="22">
        <v>228900</v>
      </c>
      <c r="AX121" s="22">
        <v>206600</v>
      </c>
      <c r="AY121" s="22">
        <v>197600</v>
      </c>
      <c r="AZ121" s="22">
        <v>270300</v>
      </c>
      <c r="BA121" s="22">
        <v>339800</v>
      </c>
      <c r="BB121" s="22">
        <v>252600</v>
      </c>
      <c r="BC121" s="22">
        <v>101000</v>
      </c>
      <c r="BD121" s="22">
        <v>85100</v>
      </c>
      <c r="BE121" s="22">
        <v>123300</v>
      </c>
      <c r="BF121" s="22">
        <v>279600</v>
      </c>
      <c r="BG121" s="22">
        <v>234000</v>
      </c>
      <c r="BH121" s="22">
        <v>113500</v>
      </c>
      <c r="BI121" s="22">
        <v>106800</v>
      </c>
      <c r="BJ121" s="22">
        <v>258500</v>
      </c>
      <c r="BK121" s="22">
        <v>161500</v>
      </c>
      <c r="BL121" s="22">
        <v>212800</v>
      </c>
    </row>
    <row r="122" spans="1:64" ht="15.95" customHeight="1">
      <c r="A122" s="433" t="s">
        <v>379</v>
      </c>
      <c r="B122" s="49" t="s">
        <v>183</v>
      </c>
      <c r="C122" s="53">
        <f>_xll.RssMarket("8334","出来高")</f>
        <v>881500</v>
      </c>
      <c r="D122" s="220">
        <f t="shared" si="1"/>
        <v>0</v>
      </c>
      <c r="E122" s="218">
        <v>881500</v>
      </c>
      <c r="F122" s="22">
        <v>1076500</v>
      </c>
      <c r="G122" s="22">
        <v>1022700</v>
      </c>
      <c r="H122" s="22">
        <v>1288200</v>
      </c>
      <c r="I122" s="22">
        <v>740700</v>
      </c>
      <c r="J122" s="22">
        <v>1216500</v>
      </c>
      <c r="K122" s="22">
        <v>893000</v>
      </c>
      <c r="L122" s="22">
        <v>817600</v>
      </c>
      <c r="M122" s="22">
        <v>829500</v>
      </c>
      <c r="N122" s="22">
        <v>715400</v>
      </c>
      <c r="O122" s="22">
        <v>941000</v>
      </c>
      <c r="P122" s="22">
        <v>1152600</v>
      </c>
      <c r="Q122" s="22">
        <v>1029300</v>
      </c>
      <c r="R122" s="22">
        <v>1015700</v>
      </c>
      <c r="S122" s="22">
        <v>848400</v>
      </c>
      <c r="T122" s="22">
        <v>873400</v>
      </c>
      <c r="U122" s="22">
        <v>1365600</v>
      </c>
      <c r="V122" s="22">
        <v>1242000</v>
      </c>
      <c r="W122" s="22">
        <v>1163800</v>
      </c>
      <c r="X122" s="22">
        <v>1052800</v>
      </c>
      <c r="Y122" s="22">
        <v>1025100</v>
      </c>
      <c r="Z122" s="22">
        <v>869400</v>
      </c>
      <c r="AA122" s="22">
        <v>1202700</v>
      </c>
      <c r="AB122" s="22">
        <v>1674400</v>
      </c>
      <c r="AC122" s="22">
        <v>1971300</v>
      </c>
      <c r="AD122" s="22">
        <v>1971300</v>
      </c>
      <c r="AE122" s="22">
        <v>1276700</v>
      </c>
      <c r="AF122" s="22">
        <v>1331300</v>
      </c>
      <c r="AG122" s="22">
        <v>859800</v>
      </c>
      <c r="AH122" s="22">
        <v>1440900</v>
      </c>
      <c r="AI122" s="22">
        <v>2104300</v>
      </c>
      <c r="AJ122" s="22">
        <v>1564000</v>
      </c>
      <c r="AK122" s="22">
        <v>724500</v>
      </c>
      <c r="AL122" s="22">
        <v>1684300</v>
      </c>
      <c r="AM122" s="22">
        <v>2170400</v>
      </c>
      <c r="AN122" s="22">
        <v>1178100</v>
      </c>
      <c r="AO122" s="22">
        <v>977500</v>
      </c>
      <c r="AP122" s="22">
        <v>1006700</v>
      </c>
      <c r="AQ122" s="22">
        <v>699500</v>
      </c>
      <c r="AR122" s="22">
        <v>847200</v>
      </c>
      <c r="AS122" s="22">
        <v>770300</v>
      </c>
      <c r="AT122" s="22">
        <v>910600</v>
      </c>
      <c r="AU122" s="22">
        <v>998400</v>
      </c>
      <c r="AV122" s="22">
        <v>942600</v>
      </c>
      <c r="AW122" s="22">
        <v>1479700</v>
      </c>
      <c r="AX122" s="22">
        <v>946000</v>
      </c>
      <c r="AY122" s="22">
        <v>933800</v>
      </c>
      <c r="AZ122" s="22">
        <v>945400</v>
      </c>
      <c r="BA122" s="22">
        <v>1702100</v>
      </c>
      <c r="BB122" s="22">
        <v>1987300</v>
      </c>
      <c r="BC122" s="22">
        <v>1911100</v>
      </c>
      <c r="BD122" s="22">
        <v>4471700</v>
      </c>
      <c r="BE122" s="22">
        <v>819800</v>
      </c>
      <c r="BF122" s="22">
        <v>1093100</v>
      </c>
      <c r="BG122" s="22">
        <v>985500</v>
      </c>
      <c r="BH122" s="22">
        <v>1240700</v>
      </c>
      <c r="BI122" s="22">
        <v>1463900</v>
      </c>
      <c r="BJ122" s="22">
        <v>1184100</v>
      </c>
      <c r="BK122" s="22">
        <v>1097000</v>
      </c>
      <c r="BL122" s="22">
        <v>1157800</v>
      </c>
    </row>
    <row r="123" spans="1:64" ht="15.95" customHeight="1">
      <c r="A123" s="433" t="s">
        <v>380</v>
      </c>
      <c r="B123" s="49" t="s">
        <v>184</v>
      </c>
      <c r="C123" s="53">
        <f>_xll.RssMarket("8359","出来高")</f>
        <v>1905900</v>
      </c>
      <c r="D123" s="220">
        <f t="shared" si="1"/>
        <v>0</v>
      </c>
      <c r="E123" s="218">
        <v>1905900</v>
      </c>
      <c r="F123" s="22">
        <v>1498000</v>
      </c>
      <c r="G123" s="22">
        <v>1879700</v>
      </c>
      <c r="H123" s="22">
        <v>1406600</v>
      </c>
      <c r="I123" s="22">
        <v>1861500</v>
      </c>
      <c r="J123" s="22">
        <v>1330700</v>
      </c>
      <c r="K123" s="22">
        <v>1636900</v>
      </c>
      <c r="L123" s="22">
        <v>1304300</v>
      </c>
      <c r="M123" s="22">
        <v>1428400</v>
      </c>
      <c r="N123" s="22">
        <v>1337600</v>
      </c>
      <c r="O123" s="22">
        <v>2196000</v>
      </c>
      <c r="P123" s="22">
        <v>1116600</v>
      </c>
      <c r="Q123" s="22">
        <v>974000</v>
      </c>
      <c r="R123" s="22">
        <v>1134000</v>
      </c>
      <c r="S123" s="22">
        <v>1241600</v>
      </c>
      <c r="T123" s="22">
        <v>1384900</v>
      </c>
      <c r="U123" s="22">
        <v>1463800</v>
      </c>
      <c r="V123" s="22">
        <v>1422900</v>
      </c>
      <c r="W123" s="22">
        <v>2370100</v>
      </c>
      <c r="X123" s="22">
        <v>1960900</v>
      </c>
      <c r="Y123" s="22">
        <v>1445200</v>
      </c>
      <c r="Z123" s="22">
        <v>1821500</v>
      </c>
      <c r="AA123" s="22">
        <v>1412900</v>
      </c>
      <c r="AB123" s="22">
        <v>1802400</v>
      </c>
      <c r="AC123" s="22">
        <v>1802400</v>
      </c>
      <c r="AD123" s="22">
        <v>2525200</v>
      </c>
      <c r="AE123" s="22">
        <v>3119400</v>
      </c>
      <c r="AF123" s="22">
        <v>967000</v>
      </c>
      <c r="AG123" s="22">
        <v>1250200</v>
      </c>
      <c r="AH123" s="22">
        <v>1709000</v>
      </c>
      <c r="AI123" s="22">
        <v>1064200</v>
      </c>
      <c r="AJ123" s="22">
        <v>932400</v>
      </c>
      <c r="AK123" s="22">
        <v>1606200</v>
      </c>
      <c r="AL123" s="22">
        <v>1743200</v>
      </c>
      <c r="AM123" s="22">
        <v>1295300</v>
      </c>
      <c r="AN123" s="22">
        <v>986900</v>
      </c>
      <c r="AO123" s="22">
        <v>937700</v>
      </c>
      <c r="AP123" s="22">
        <v>954200</v>
      </c>
      <c r="AQ123" s="22">
        <v>1343700</v>
      </c>
      <c r="AR123" s="22">
        <v>1576900</v>
      </c>
      <c r="AS123" s="22">
        <v>1222300</v>
      </c>
      <c r="AT123" s="22">
        <v>967800</v>
      </c>
      <c r="AU123" s="22">
        <v>987300</v>
      </c>
      <c r="AV123" s="22">
        <v>1136300</v>
      </c>
      <c r="AW123" s="22">
        <v>678100</v>
      </c>
      <c r="AX123" s="22">
        <v>747700</v>
      </c>
      <c r="AY123" s="22">
        <v>777800</v>
      </c>
      <c r="AZ123" s="22">
        <v>1121500</v>
      </c>
      <c r="BA123" s="22">
        <v>1452400</v>
      </c>
      <c r="BB123" s="22">
        <v>1672100</v>
      </c>
      <c r="BC123" s="22">
        <v>1863700</v>
      </c>
      <c r="BD123" s="22">
        <v>1268000</v>
      </c>
      <c r="BE123" s="22">
        <v>1079200</v>
      </c>
      <c r="BF123" s="22">
        <v>1560900</v>
      </c>
      <c r="BG123" s="22">
        <v>1795400</v>
      </c>
      <c r="BH123" s="22">
        <v>1644500</v>
      </c>
      <c r="BI123" s="22">
        <v>1114900</v>
      </c>
      <c r="BJ123" s="22">
        <v>775300</v>
      </c>
      <c r="BK123" s="22">
        <v>927000</v>
      </c>
      <c r="BL123" s="22">
        <v>2081000</v>
      </c>
    </row>
    <row r="124" spans="1:64" ht="15.95" customHeight="1">
      <c r="A124" s="433" t="s">
        <v>381</v>
      </c>
      <c r="B124" s="49" t="s">
        <v>185</v>
      </c>
      <c r="C124" s="53">
        <f>_xll.RssMarket("8801","出来高")</f>
        <v>9010400</v>
      </c>
      <c r="D124" s="220">
        <f t="shared" si="1"/>
        <v>0</v>
      </c>
      <c r="E124" s="218">
        <v>9010400</v>
      </c>
      <c r="F124" s="22">
        <v>9741600</v>
      </c>
      <c r="G124" s="22">
        <v>13173200</v>
      </c>
      <c r="H124" s="22">
        <v>18916700</v>
      </c>
      <c r="I124" s="22">
        <v>14131200</v>
      </c>
      <c r="J124" s="22">
        <v>11385300</v>
      </c>
      <c r="K124" s="22">
        <v>8640800</v>
      </c>
      <c r="L124" s="22">
        <v>10006200</v>
      </c>
      <c r="M124" s="22">
        <v>8128100</v>
      </c>
      <c r="N124" s="22">
        <v>14964600</v>
      </c>
      <c r="O124" s="22">
        <v>23942000</v>
      </c>
      <c r="P124" s="22">
        <v>8693900</v>
      </c>
      <c r="Q124" s="22">
        <v>15297600</v>
      </c>
      <c r="R124" s="22">
        <v>12823100</v>
      </c>
      <c r="S124" s="22">
        <v>16564400</v>
      </c>
      <c r="T124" s="22">
        <v>13420100</v>
      </c>
      <c r="U124" s="22">
        <v>14973800</v>
      </c>
      <c r="V124" s="22">
        <v>16575000</v>
      </c>
      <c r="W124" s="22">
        <v>15163200</v>
      </c>
      <c r="X124" s="22">
        <v>17988500</v>
      </c>
      <c r="Y124" s="22">
        <v>21882500</v>
      </c>
      <c r="Z124" s="22">
        <v>7973500</v>
      </c>
      <c r="AA124" s="22">
        <v>7657000</v>
      </c>
      <c r="AB124" s="22">
        <v>6435200</v>
      </c>
      <c r="AC124" s="22">
        <v>6435200</v>
      </c>
      <c r="AD124" s="22">
        <v>11016900</v>
      </c>
      <c r="AE124" s="22">
        <v>11882300</v>
      </c>
      <c r="AF124" s="22">
        <v>5387600</v>
      </c>
      <c r="AG124" s="22">
        <v>12002700</v>
      </c>
      <c r="AH124" s="22">
        <v>7913300</v>
      </c>
      <c r="AI124" s="22">
        <v>6371000</v>
      </c>
      <c r="AJ124" s="22">
        <v>5470500</v>
      </c>
      <c r="AK124" s="22">
        <v>7328800</v>
      </c>
      <c r="AL124" s="22">
        <v>6632900</v>
      </c>
      <c r="AM124" s="22">
        <v>6538700</v>
      </c>
      <c r="AN124" s="22">
        <v>8780400</v>
      </c>
      <c r="AO124" s="22">
        <v>8041900</v>
      </c>
      <c r="AP124" s="22">
        <v>9612200</v>
      </c>
      <c r="AQ124" s="22">
        <v>10788400</v>
      </c>
      <c r="AR124" s="22">
        <v>12977400</v>
      </c>
      <c r="AS124" s="22">
        <v>8041700</v>
      </c>
      <c r="AT124" s="22">
        <v>7395500</v>
      </c>
      <c r="AU124" s="22">
        <v>10173300</v>
      </c>
      <c r="AV124" s="22">
        <v>13374900</v>
      </c>
      <c r="AW124" s="22">
        <v>7103600</v>
      </c>
      <c r="AX124" s="22">
        <v>8043100</v>
      </c>
      <c r="AY124" s="22">
        <v>5324900</v>
      </c>
      <c r="AZ124" s="22">
        <v>8081500</v>
      </c>
      <c r="BA124" s="22">
        <v>8475700</v>
      </c>
      <c r="BB124" s="22">
        <v>10991600</v>
      </c>
      <c r="BC124" s="22">
        <v>13280600</v>
      </c>
      <c r="BD124" s="22">
        <v>7658700</v>
      </c>
      <c r="BE124" s="22">
        <v>7635300</v>
      </c>
      <c r="BF124" s="22">
        <v>7451400</v>
      </c>
      <c r="BG124" s="22">
        <v>13636900</v>
      </c>
      <c r="BH124" s="22">
        <v>10932900</v>
      </c>
      <c r="BI124" s="22">
        <v>6113600</v>
      </c>
      <c r="BJ124" s="22">
        <v>5797000</v>
      </c>
      <c r="BK124" s="22">
        <v>7921100</v>
      </c>
      <c r="BL124" s="22">
        <v>15547500</v>
      </c>
    </row>
    <row r="125" spans="1:64" ht="15.95" customHeight="1">
      <c r="A125" s="433" t="s">
        <v>382</v>
      </c>
      <c r="B125" s="49" t="s">
        <v>186</v>
      </c>
      <c r="C125" s="53">
        <f>_xll.RssMarket("8934","出来高")</f>
        <v>100500</v>
      </c>
      <c r="D125" s="220">
        <f t="shared" si="1"/>
        <v>0</v>
      </c>
      <c r="E125" s="218">
        <v>100500</v>
      </c>
      <c r="F125" s="22">
        <v>139700</v>
      </c>
      <c r="G125" s="22">
        <v>134300</v>
      </c>
      <c r="H125" s="22">
        <v>150900</v>
      </c>
      <c r="I125" s="22">
        <v>125100</v>
      </c>
      <c r="J125" s="22">
        <v>112100</v>
      </c>
      <c r="K125" s="22">
        <v>163200</v>
      </c>
      <c r="L125" s="22">
        <v>192200</v>
      </c>
      <c r="M125" s="22">
        <v>129800</v>
      </c>
      <c r="N125" s="22">
        <v>164100</v>
      </c>
      <c r="O125" s="22">
        <v>244800</v>
      </c>
      <c r="P125" s="22">
        <v>145800</v>
      </c>
      <c r="Q125" s="22">
        <v>129200</v>
      </c>
      <c r="R125" s="22">
        <v>105300</v>
      </c>
      <c r="S125" s="22">
        <v>206100</v>
      </c>
      <c r="T125" s="22">
        <v>141600</v>
      </c>
      <c r="U125" s="22">
        <v>185300</v>
      </c>
      <c r="V125" s="22">
        <v>129000</v>
      </c>
      <c r="W125" s="22">
        <v>197200</v>
      </c>
      <c r="X125" s="22">
        <v>175700</v>
      </c>
      <c r="Y125" s="22">
        <v>180000</v>
      </c>
      <c r="Z125" s="22">
        <v>209700</v>
      </c>
      <c r="AA125" s="22">
        <v>411900</v>
      </c>
      <c r="AB125" s="22">
        <v>253500</v>
      </c>
      <c r="AC125" s="22">
        <v>253500</v>
      </c>
      <c r="AD125" s="22">
        <v>170900</v>
      </c>
      <c r="AE125" s="22">
        <v>183700</v>
      </c>
      <c r="AF125" s="22">
        <v>130300</v>
      </c>
      <c r="AG125" s="22">
        <v>194200</v>
      </c>
      <c r="AH125" s="22">
        <v>266600</v>
      </c>
      <c r="AI125" s="22">
        <v>132500</v>
      </c>
      <c r="AJ125" s="22">
        <v>186200</v>
      </c>
      <c r="AK125" s="22">
        <v>246800</v>
      </c>
      <c r="AL125" s="22">
        <v>161300</v>
      </c>
      <c r="AM125" s="22">
        <v>181800</v>
      </c>
      <c r="AN125" s="22">
        <v>190900</v>
      </c>
      <c r="AO125" s="22">
        <v>164300</v>
      </c>
      <c r="AP125" s="22">
        <v>212200</v>
      </c>
      <c r="AQ125" s="22">
        <v>208000</v>
      </c>
      <c r="AR125" s="22">
        <v>222100</v>
      </c>
      <c r="AS125" s="22">
        <v>326700</v>
      </c>
      <c r="AT125" s="22">
        <v>124800</v>
      </c>
      <c r="AU125" s="22">
        <v>445600</v>
      </c>
      <c r="AV125" s="22">
        <v>274200</v>
      </c>
      <c r="AW125" s="22">
        <v>246700</v>
      </c>
      <c r="AX125" s="22">
        <v>156600</v>
      </c>
      <c r="AY125" s="22">
        <v>162900</v>
      </c>
      <c r="AZ125" s="22">
        <v>147000</v>
      </c>
      <c r="BA125" s="22">
        <v>218700</v>
      </c>
      <c r="BB125" s="22">
        <v>262900</v>
      </c>
      <c r="BC125" s="22">
        <v>238800</v>
      </c>
      <c r="BD125" s="22">
        <v>163800</v>
      </c>
      <c r="BE125" s="22">
        <v>185600</v>
      </c>
      <c r="BF125" s="22">
        <v>205600</v>
      </c>
      <c r="BG125" s="22">
        <v>279600</v>
      </c>
      <c r="BH125" s="22">
        <v>146900</v>
      </c>
      <c r="BI125" s="22">
        <v>101700</v>
      </c>
      <c r="BJ125" s="22">
        <v>119100</v>
      </c>
      <c r="BK125" s="22">
        <v>198100</v>
      </c>
      <c r="BL125" s="22">
        <v>213400</v>
      </c>
    </row>
    <row r="126" spans="1:64" ht="15.95" customHeight="1">
      <c r="A126" s="433" t="s">
        <v>383</v>
      </c>
      <c r="B126" s="49" t="s">
        <v>187</v>
      </c>
      <c r="C126" s="53">
        <f>_xll.RssMarket("9416","出来高")</f>
        <v>504700</v>
      </c>
      <c r="D126" s="220">
        <f t="shared" si="1"/>
        <v>0</v>
      </c>
      <c r="E126" s="218">
        <v>504700</v>
      </c>
      <c r="F126" s="22">
        <v>333200</v>
      </c>
      <c r="G126" s="22">
        <v>412900</v>
      </c>
      <c r="H126" s="22">
        <v>415200</v>
      </c>
      <c r="I126" s="22">
        <v>337200</v>
      </c>
      <c r="J126" s="22">
        <v>318100</v>
      </c>
      <c r="K126" s="22">
        <v>352000</v>
      </c>
      <c r="L126" s="22">
        <v>463900</v>
      </c>
      <c r="M126" s="22">
        <v>353500</v>
      </c>
      <c r="N126" s="22">
        <v>368400</v>
      </c>
      <c r="O126" s="22">
        <v>345100</v>
      </c>
      <c r="P126" s="22">
        <v>336400</v>
      </c>
      <c r="Q126" s="22">
        <v>402700</v>
      </c>
      <c r="R126" s="22">
        <v>1019500</v>
      </c>
      <c r="S126" s="22">
        <v>454100</v>
      </c>
      <c r="T126" s="22">
        <v>284600</v>
      </c>
      <c r="U126" s="22">
        <v>464500</v>
      </c>
      <c r="V126" s="22">
        <v>422100</v>
      </c>
      <c r="W126" s="22">
        <v>659600</v>
      </c>
      <c r="X126" s="22">
        <v>961800</v>
      </c>
      <c r="Y126" s="22">
        <v>255000</v>
      </c>
      <c r="Z126" s="22">
        <v>198500</v>
      </c>
      <c r="AA126" s="22">
        <v>148500</v>
      </c>
      <c r="AB126" s="22">
        <v>153800</v>
      </c>
      <c r="AC126" s="22">
        <v>153800</v>
      </c>
      <c r="AD126" s="22">
        <v>151700</v>
      </c>
      <c r="AE126" s="22">
        <v>173300</v>
      </c>
      <c r="AF126" s="22">
        <v>150900</v>
      </c>
      <c r="AG126" s="22">
        <v>219500</v>
      </c>
      <c r="AH126" s="22">
        <v>181800</v>
      </c>
      <c r="AI126" s="22">
        <v>206700</v>
      </c>
      <c r="AJ126" s="22">
        <v>339200</v>
      </c>
      <c r="AK126" s="22">
        <v>339300</v>
      </c>
      <c r="AL126" s="22">
        <v>300600</v>
      </c>
      <c r="AM126" s="22">
        <v>337200</v>
      </c>
      <c r="AN126" s="22">
        <v>255600</v>
      </c>
      <c r="AO126" s="22">
        <v>188700</v>
      </c>
      <c r="AP126" s="22">
        <v>183900</v>
      </c>
      <c r="AQ126" s="22">
        <v>214800</v>
      </c>
      <c r="AR126" s="22">
        <v>142500</v>
      </c>
      <c r="AS126" s="22">
        <v>227900</v>
      </c>
      <c r="AT126" s="22">
        <v>258800</v>
      </c>
      <c r="AU126" s="22">
        <v>231400</v>
      </c>
      <c r="AV126" s="22">
        <v>224300</v>
      </c>
      <c r="AW126" s="22">
        <v>213400</v>
      </c>
      <c r="AX126" s="22">
        <v>119400</v>
      </c>
      <c r="AY126" s="22">
        <v>122800</v>
      </c>
      <c r="AZ126" s="22">
        <v>193000</v>
      </c>
      <c r="BA126" s="22">
        <v>278300</v>
      </c>
      <c r="BB126" s="22">
        <v>300900</v>
      </c>
      <c r="BC126" s="22">
        <v>296100</v>
      </c>
      <c r="BD126" s="22">
        <v>185200</v>
      </c>
      <c r="BE126" s="22">
        <v>306700</v>
      </c>
      <c r="BF126" s="22">
        <v>524000</v>
      </c>
      <c r="BG126" s="22">
        <v>373800</v>
      </c>
      <c r="BH126" s="22">
        <v>488400</v>
      </c>
      <c r="BI126" s="22">
        <v>265200</v>
      </c>
      <c r="BJ126" s="22">
        <v>256000</v>
      </c>
      <c r="BK126" s="22">
        <v>290200</v>
      </c>
      <c r="BL126" s="22">
        <v>267600</v>
      </c>
    </row>
    <row r="127" spans="1:64" ht="15.95" customHeight="1">
      <c r="A127" s="433" t="s">
        <v>384</v>
      </c>
      <c r="B127" s="49" t="s">
        <v>188</v>
      </c>
      <c r="C127" s="53">
        <f>_xll.RssMarket("9532","出来高")</f>
        <v>723500</v>
      </c>
      <c r="D127" s="220">
        <f t="shared" si="1"/>
        <v>0</v>
      </c>
      <c r="E127" s="218">
        <v>723500</v>
      </c>
      <c r="F127" s="22">
        <v>832500</v>
      </c>
      <c r="G127" s="22">
        <v>1453600</v>
      </c>
      <c r="H127" s="22">
        <v>1226400</v>
      </c>
      <c r="I127" s="22">
        <v>1014400</v>
      </c>
      <c r="J127" s="22">
        <v>905300</v>
      </c>
      <c r="K127" s="22">
        <v>937400</v>
      </c>
      <c r="L127" s="22">
        <v>932500</v>
      </c>
      <c r="M127" s="22">
        <v>1413400</v>
      </c>
      <c r="N127" s="22">
        <v>1277500</v>
      </c>
      <c r="O127" s="22">
        <v>4161400</v>
      </c>
      <c r="P127" s="22">
        <v>1339000</v>
      </c>
      <c r="Q127" s="22">
        <v>1454500</v>
      </c>
      <c r="R127" s="22">
        <v>874800</v>
      </c>
      <c r="S127" s="22">
        <v>748600</v>
      </c>
      <c r="T127" s="22">
        <v>932400</v>
      </c>
      <c r="U127" s="22">
        <v>813400</v>
      </c>
      <c r="V127" s="22">
        <v>983600</v>
      </c>
      <c r="W127" s="22">
        <v>956900</v>
      </c>
      <c r="X127" s="22">
        <v>829800</v>
      </c>
      <c r="Y127" s="22">
        <v>684300</v>
      </c>
      <c r="Z127" s="22">
        <v>861400</v>
      </c>
      <c r="AA127" s="22">
        <v>1699300</v>
      </c>
      <c r="AB127" s="22">
        <v>1649200</v>
      </c>
      <c r="AC127" s="22">
        <v>1649200</v>
      </c>
      <c r="AD127" s="22">
        <v>2354200</v>
      </c>
      <c r="AE127" s="22">
        <v>1479400</v>
      </c>
      <c r="AF127" s="22">
        <v>1004000</v>
      </c>
      <c r="AG127" s="22">
        <v>2041600</v>
      </c>
      <c r="AH127" s="22">
        <v>1121500</v>
      </c>
      <c r="AI127" s="22">
        <v>756600</v>
      </c>
      <c r="AJ127" s="22">
        <v>936500</v>
      </c>
      <c r="AK127" s="22">
        <v>1086600</v>
      </c>
      <c r="AL127" s="22">
        <v>799500</v>
      </c>
      <c r="AM127" s="22">
        <v>1155800</v>
      </c>
      <c r="AN127" s="22">
        <v>1217700</v>
      </c>
      <c r="AO127" s="22">
        <v>1008700</v>
      </c>
      <c r="AP127" s="22">
        <v>832500</v>
      </c>
      <c r="AQ127" s="22">
        <v>825600</v>
      </c>
      <c r="AR127" s="22">
        <v>871200</v>
      </c>
      <c r="AS127" s="22">
        <v>932700</v>
      </c>
      <c r="AT127" s="22">
        <v>1191500</v>
      </c>
      <c r="AU127" s="22">
        <v>876800</v>
      </c>
      <c r="AV127" s="22">
        <v>1402000</v>
      </c>
      <c r="AW127" s="22">
        <v>860200</v>
      </c>
      <c r="AX127" s="22">
        <v>522300</v>
      </c>
      <c r="AY127" s="22">
        <v>515000</v>
      </c>
      <c r="AZ127" s="22">
        <v>820800</v>
      </c>
      <c r="BA127" s="22">
        <v>890200</v>
      </c>
      <c r="BB127" s="22">
        <v>1282900</v>
      </c>
      <c r="BC127" s="22">
        <v>1133500</v>
      </c>
      <c r="BD127" s="22">
        <v>689200</v>
      </c>
      <c r="BE127" s="22">
        <v>1139800</v>
      </c>
      <c r="BF127" s="22">
        <v>1246900</v>
      </c>
      <c r="BG127" s="22">
        <v>1600400</v>
      </c>
      <c r="BH127" s="22">
        <v>1992000</v>
      </c>
      <c r="BI127" s="22">
        <v>909600</v>
      </c>
      <c r="BJ127" s="22">
        <v>650200</v>
      </c>
      <c r="BK127" s="22">
        <v>1345500</v>
      </c>
      <c r="BL127" s="22">
        <v>1994800</v>
      </c>
    </row>
    <row r="128" spans="1:64" ht="15.95" customHeight="1">
      <c r="A128" s="433" t="s">
        <v>385</v>
      </c>
      <c r="B128" s="49" t="s">
        <v>189</v>
      </c>
      <c r="C128" s="53">
        <f>_xll.RssMarket("6330","出来高")</f>
        <v>1837600</v>
      </c>
      <c r="D128" s="220">
        <f t="shared" si="1"/>
        <v>0</v>
      </c>
      <c r="E128" s="218">
        <v>1837600</v>
      </c>
      <c r="F128" s="22">
        <v>1268200</v>
      </c>
      <c r="G128" s="22">
        <v>949100</v>
      </c>
      <c r="H128" s="22">
        <v>1203900</v>
      </c>
      <c r="I128" s="22">
        <v>1040300</v>
      </c>
      <c r="J128" s="22">
        <v>1183700</v>
      </c>
      <c r="K128" s="22">
        <v>1427900</v>
      </c>
      <c r="L128" s="22">
        <v>780600</v>
      </c>
      <c r="M128" s="22">
        <v>1792600</v>
      </c>
      <c r="N128" s="22">
        <v>1533200</v>
      </c>
      <c r="O128" s="22">
        <v>1253300</v>
      </c>
      <c r="P128" s="22">
        <v>1341100</v>
      </c>
      <c r="Q128" s="22">
        <v>1312600</v>
      </c>
      <c r="R128" s="22">
        <v>1601100</v>
      </c>
      <c r="S128" s="22">
        <v>1797800</v>
      </c>
      <c r="T128" s="22">
        <v>1007100</v>
      </c>
      <c r="U128" s="22">
        <v>1997300</v>
      </c>
      <c r="V128" s="22">
        <v>1768600</v>
      </c>
      <c r="W128" s="22">
        <v>1519100</v>
      </c>
      <c r="X128" s="22">
        <v>3032800</v>
      </c>
      <c r="Y128" s="22">
        <v>8663900</v>
      </c>
      <c r="Z128" s="22">
        <v>1241700</v>
      </c>
      <c r="AA128" s="22">
        <v>1514900</v>
      </c>
      <c r="AB128" s="22">
        <v>1535900</v>
      </c>
      <c r="AC128" s="22">
        <v>1535900</v>
      </c>
      <c r="AD128" s="22">
        <v>1278200</v>
      </c>
      <c r="AE128" s="22">
        <v>1391600</v>
      </c>
      <c r="AF128" s="22">
        <v>1327900</v>
      </c>
      <c r="AG128" s="22">
        <v>1554600</v>
      </c>
      <c r="AH128" s="22">
        <v>1799200</v>
      </c>
      <c r="AI128" s="22">
        <v>1393200</v>
      </c>
      <c r="AJ128" s="22">
        <v>1420500</v>
      </c>
      <c r="AK128" s="22">
        <v>2048800</v>
      </c>
      <c r="AL128" s="22">
        <v>2023100</v>
      </c>
      <c r="AM128" s="22">
        <v>2951600</v>
      </c>
      <c r="AN128" s="22">
        <v>6094400</v>
      </c>
      <c r="AO128" s="22">
        <v>5076900</v>
      </c>
      <c r="AP128" s="22">
        <v>2832800</v>
      </c>
      <c r="AQ128" s="22">
        <v>2740200</v>
      </c>
      <c r="AR128" s="22">
        <v>4463600</v>
      </c>
      <c r="AS128" s="22">
        <v>1779800</v>
      </c>
      <c r="AT128" s="22">
        <v>2625400</v>
      </c>
      <c r="AU128" s="22">
        <v>3078300</v>
      </c>
      <c r="AV128" s="22">
        <v>6663300</v>
      </c>
      <c r="AW128" s="22">
        <v>7965400</v>
      </c>
      <c r="AX128" s="22">
        <v>5732300</v>
      </c>
      <c r="AY128" s="22">
        <v>8149500</v>
      </c>
      <c r="AZ128" s="22">
        <v>2928300</v>
      </c>
      <c r="BA128" s="22">
        <v>3343500</v>
      </c>
      <c r="BB128" s="22">
        <v>3718600</v>
      </c>
      <c r="BC128" s="22">
        <v>2745900</v>
      </c>
      <c r="BD128" s="22">
        <v>4773900</v>
      </c>
      <c r="BE128" s="22">
        <v>13026100</v>
      </c>
      <c r="BF128" s="22">
        <v>10872700</v>
      </c>
      <c r="BG128" s="22">
        <v>6041300</v>
      </c>
      <c r="BH128" s="22">
        <v>5712900</v>
      </c>
      <c r="BI128" s="22">
        <v>7108900</v>
      </c>
      <c r="BJ128" s="22">
        <v>6593900</v>
      </c>
      <c r="BK128" s="22">
        <v>3462800</v>
      </c>
      <c r="BL128" s="22">
        <v>4402400</v>
      </c>
    </row>
    <row r="129" spans="1:64" ht="15.95" customHeight="1">
      <c r="A129" s="433" t="s">
        <v>386</v>
      </c>
      <c r="B129" s="49" t="s">
        <v>190</v>
      </c>
      <c r="C129" s="53">
        <f>_xll.RssMarket("4082","出来高")</f>
        <v>270500</v>
      </c>
      <c r="D129" s="220">
        <f t="shared" si="1"/>
        <v>0</v>
      </c>
      <c r="E129" s="218">
        <v>270500</v>
      </c>
      <c r="F129" s="22">
        <v>251500</v>
      </c>
      <c r="G129" s="22">
        <v>246100</v>
      </c>
      <c r="H129" s="22">
        <v>300800</v>
      </c>
      <c r="I129" s="22">
        <v>378400</v>
      </c>
      <c r="J129" s="22">
        <v>394900</v>
      </c>
      <c r="K129" s="22">
        <v>222900</v>
      </c>
      <c r="L129" s="22">
        <v>271500</v>
      </c>
      <c r="M129" s="22">
        <v>337500</v>
      </c>
      <c r="N129" s="22">
        <v>391600</v>
      </c>
      <c r="O129" s="22">
        <v>902100</v>
      </c>
      <c r="P129" s="22">
        <v>354900</v>
      </c>
      <c r="Q129" s="22">
        <v>486800</v>
      </c>
      <c r="R129" s="22">
        <v>375500</v>
      </c>
      <c r="S129" s="22">
        <v>254200</v>
      </c>
      <c r="T129" s="22">
        <v>313200</v>
      </c>
      <c r="U129" s="22">
        <v>496400</v>
      </c>
      <c r="V129" s="22">
        <v>282500</v>
      </c>
      <c r="W129" s="22">
        <v>394100</v>
      </c>
      <c r="X129" s="22">
        <v>1182400</v>
      </c>
      <c r="Y129" s="22">
        <v>441900</v>
      </c>
      <c r="Z129" s="22">
        <v>654500</v>
      </c>
      <c r="AA129" s="22">
        <v>577300</v>
      </c>
      <c r="AB129" s="22">
        <v>936600</v>
      </c>
      <c r="AC129" s="22">
        <v>936600</v>
      </c>
      <c r="AD129" s="22">
        <v>750000</v>
      </c>
      <c r="AE129" s="22">
        <v>317100</v>
      </c>
      <c r="AF129" s="22">
        <v>192600</v>
      </c>
      <c r="AG129" s="22">
        <v>254500</v>
      </c>
      <c r="AH129" s="22">
        <v>191000</v>
      </c>
      <c r="AI129" s="22">
        <v>301400</v>
      </c>
      <c r="AJ129" s="22">
        <v>841000</v>
      </c>
      <c r="AK129" s="22">
        <v>283300</v>
      </c>
      <c r="AL129" s="22">
        <v>286100</v>
      </c>
      <c r="AM129" s="22">
        <v>1001100</v>
      </c>
      <c r="AN129" s="22">
        <v>1438600</v>
      </c>
      <c r="AO129" s="22">
        <v>723100</v>
      </c>
      <c r="AP129" s="22">
        <v>583600</v>
      </c>
      <c r="AQ129" s="22">
        <v>281800</v>
      </c>
      <c r="AR129" s="22">
        <v>244000</v>
      </c>
      <c r="AS129" s="22">
        <v>170000</v>
      </c>
      <c r="AT129" s="22">
        <v>308000</v>
      </c>
      <c r="AU129" s="22">
        <v>253700</v>
      </c>
      <c r="AV129" s="22">
        <v>431000</v>
      </c>
      <c r="AW129" s="22">
        <v>246700</v>
      </c>
      <c r="AX129" s="22">
        <v>335600</v>
      </c>
      <c r="AY129" s="22">
        <v>1568600</v>
      </c>
      <c r="AZ129" s="22">
        <v>294500</v>
      </c>
      <c r="BA129" s="22">
        <v>203300</v>
      </c>
      <c r="BB129" s="22">
        <v>170200</v>
      </c>
      <c r="BC129" s="22">
        <v>148700</v>
      </c>
      <c r="BD129" s="22">
        <v>191900</v>
      </c>
      <c r="BE129" s="22">
        <v>237700</v>
      </c>
      <c r="BF129" s="22">
        <v>196800</v>
      </c>
      <c r="BG129" s="22">
        <v>333900</v>
      </c>
      <c r="BH129" s="22">
        <v>222300</v>
      </c>
      <c r="BI129" s="22">
        <v>459000</v>
      </c>
      <c r="BJ129" s="22">
        <v>1173400</v>
      </c>
      <c r="BK129" s="22">
        <v>2410000</v>
      </c>
      <c r="BL129" s="22">
        <v>250200</v>
      </c>
    </row>
    <row r="130" spans="1:64" ht="15.95" customHeight="1">
      <c r="A130" s="433" t="s">
        <v>387</v>
      </c>
      <c r="B130" s="49" t="s">
        <v>191</v>
      </c>
      <c r="C130" s="53">
        <f>_xll.RssMarket("4519","出来高")</f>
        <v>1745000</v>
      </c>
      <c r="D130" s="220">
        <f t="shared" si="1"/>
        <v>0</v>
      </c>
      <c r="E130" s="218">
        <v>1745000</v>
      </c>
      <c r="F130" s="22">
        <v>2083200</v>
      </c>
      <c r="G130" s="22">
        <v>2581900</v>
      </c>
      <c r="H130" s="22">
        <v>2164800</v>
      </c>
      <c r="I130" s="22">
        <v>2962000</v>
      </c>
      <c r="J130" s="22">
        <v>2319900</v>
      </c>
      <c r="K130" s="22">
        <v>2116500</v>
      </c>
      <c r="L130" s="22">
        <v>2311000</v>
      </c>
      <c r="M130" s="22">
        <v>2654400</v>
      </c>
      <c r="N130" s="22">
        <v>2597400</v>
      </c>
      <c r="O130" s="22">
        <v>5543000</v>
      </c>
      <c r="P130" s="22">
        <v>1962700</v>
      </c>
      <c r="Q130" s="22">
        <v>3277400</v>
      </c>
      <c r="R130" s="22">
        <v>1670400</v>
      </c>
      <c r="S130" s="22">
        <v>1924300</v>
      </c>
      <c r="T130" s="22">
        <v>2152600</v>
      </c>
      <c r="U130" s="22">
        <v>2507400</v>
      </c>
      <c r="V130" s="22">
        <v>2367900</v>
      </c>
      <c r="W130" s="22">
        <v>1512400</v>
      </c>
      <c r="X130" s="22">
        <v>2260800</v>
      </c>
      <c r="Y130" s="22">
        <v>2811500</v>
      </c>
      <c r="Z130" s="22">
        <v>2385200</v>
      </c>
      <c r="AA130" s="22">
        <v>2123700</v>
      </c>
      <c r="AB130" s="22">
        <v>3038800</v>
      </c>
      <c r="AC130" s="22">
        <v>3038800</v>
      </c>
      <c r="AD130" s="22">
        <v>4228200</v>
      </c>
      <c r="AE130" s="22">
        <v>6790800</v>
      </c>
      <c r="AF130" s="22">
        <v>5927700</v>
      </c>
      <c r="AG130" s="22">
        <v>6603000</v>
      </c>
      <c r="AH130" s="22">
        <v>5707500</v>
      </c>
      <c r="AI130" s="22">
        <v>10085300</v>
      </c>
      <c r="AJ130" s="22">
        <v>4079800</v>
      </c>
      <c r="AK130" s="22">
        <v>2796800</v>
      </c>
      <c r="AL130" s="22">
        <v>2860500</v>
      </c>
      <c r="AM130" s="22">
        <v>2248400</v>
      </c>
      <c r="AN130" s="22">
        <v>3234900</v>
      </c>
      <c r="AO130" s="22">
        <v>2446500</v>
      </c>
      <c r="AP130" s="22">
        <v>2218700</v>
      </c>
      <c r="AQ130" s="22">
        <v>1925400</v>
      </c>
      <c r="AR130" s="22">
        <v>1975400</v>
      </c>
      <c r="AS130" s="22">
        <v>1432700</v>
      </c>
      <c r="AT130" s="22">
        <v>2506100</v>
      </c>
      <c r="AU130" s="22">
        <v>1911600</v>
      </c>
      <c r="AV130" s="22">
        <v>2898900</v>
      </c>
      <c r="AW130" s="22">
        <v>1648400</v>
      </c>
      <c r="AX130" s="22">
        <v>1704600</v>
      </c>
      <c r="AY130" s="22">
        <v>2330600</v>
      </c>
      <c r="AZ130" s="22">
        <v>3947800</v>
      </c>
      <c r="BA130" s="22">
        <v>2175900</v>
      </c>
      <c r="BB130" s="22">
        <v>3399400</v>
      </c>
      <c r="BC130" s="22">
        <v>2409500</v>
      </c>
      <c r="BD130" s="22">
        <v>1570300</v>
      </c>
      <c r="BE130" s="22">
        <v>2197300</v>
      </c>
      <c r="BF130" s="22">
        <v>1698000</v>
      </c>
      <c r="BG130" s="22">
        <v>4261100</v>
      </c>
      <c r="BH130" s="22">
        <v>3153700</v>
      </c>
      <c r="BI130" s="22">
        <v>2529400</v>
      </c>
      <c r="BJ130" s="22">
        <v>1806700</v>
      </c>
      <c r="BK130" s="22">
        <v>1801300</v>
      </c>
      <c r="BL130" s="22">
        <v>2111400</v>
      </c>
    </row>
    <row r="131" spans="1:64" ht="15.95" customHeight="1">
      <c r="A131" s="433" t="s">
        <v>388</v>
      </c>
      <c r="B131" s="49" t="s">
        <v>192</v>
      </c>
      <c r="C131" s="53">
        <f>_xll.RssMarket("2160","出来高")</f>
        <v>850200</v>
      </c>
      <c r="D131" s="220">
        <f t="shared" si="1"/>
        <v>0</v>
      </c>
      <c r="E131" s="218">
        <v>850200</v>
      </c>
      <c r="F131" s="22">
        <v>1242800</v>
      </c>
      <c r="G131" s="22">
        <v>1907600</v>
      </c>
      <c r="H131" s="22">
        <v>1518500</v>
      </c>
      <c r="I131" s="22">
        <v>1407600</v>
      </c>
      <c r="J131" s="22">
        <v>3745100</v>
      </c>
      <c r="K131" s="22">
        <v>1398100</v>
      </c>
      <c r="L131" s="22">
        <v>988600</v>
      </c>
      <c r="M131" s="22">
        <v>1109900</v>
      </c>
      <c r="N131" s="22">
        <v>1177000</v>
      </c>
      <c r="O131" s="22">
        <v>1068600</v>
      </c>
      <c r="P131" s="22">
        <v>1641100</v>
      </c>
      <c r="Q131" s="22">
        <v>1147400</v>
      </c>
      <c r="R131" s="22">
        <v>709500</v>
      </c>
      <c r="S131" s="22">
        <v>827600</v>
      </c>
      <c r="T131" s="22">
        <v>969800</v>
      </c>
      <c r="U131" s="22">
        <v>1241200</v>
      </c>
      <c r="V131" s="22">
        <v>1559900</v>
      </c>
      <c r="W131" s="22">
        <v>2804300</v>
      </c>
      <c r="X131" s="22">
        <v>1188700</v>
      </c>
      <c r="Y131" s="22">
        <v>1266500</v>
      </c>
      <c r="Z131" s="22">
        <v>2154700</v>
      </c>
      <c r="AA131" s="22">
        <v>620100</v>
      </c>
      <c r="AB131" s="22">
        <v>600900</v>
      </c>
      <c r="AC131" s="22">
        <v>600900</v>
      </c>
      <c r="AD131" s="22">
        <v>947300</v>
      </c>
      <c r="AE131" s="22">
        <v>602300</v>
      </c>
      <c r="AF131" s="22">
        <v>938800</v>
      </c>
      <c r="AG131" s="22">
        <v>1695800</v>
      </c>
      <c r="AH131" s="22">
        <v>389100</v>
      </c>
      <c r="AI131" s="22">
        <v>426400</v>
      </c>
      <c r="AJ131" s="22">
        <v>801200</v>
      </c>
      <c r="AK131" s="22">
        <v>1160700</v>
      </c>
      <c r="AL131" s="22">
        <v>880800</v>
      </c>
      <c r="AM131" s="22">
        <v>997500</v>
      </c>
      <c r="AN131" s="22">
        <v>1171300</v>
      </c>
      <c r="AO131" s="22">
        <v>641500</v>
      </c>
      <c r="AP131" s="22">
        <v>714800</v>
      </c>
      <c r="AQ131" s="22">
        <v>1279600</v>
      </c>
      <c r="AR131" s="22">
        <v>623500</v>
      </c>
      <c r="AS131" s="22">
        <v>750900</v>
      </c>
      <c r="AT131" s="22">
        <v>926400</v>
      </c>
      <c r="AU131" s="22">
        <v>845500</v>
      </c>
      <c r="AV131" s="22">
        <v>856100</v>
      </c>
      <c r="AW131" s="22">
        <v>595200</v>
      </c>
      <c r="AX131" s="22">
        <v>747200</v>
      </c>
      <c r="AY131" s="22">
        <v>734400</v>
      </c>
      <c r="AZ131" s="22">
        <v>1311100</v>
      </c>
      <c r="BA131" s="22">
        <v>1101400</v>
      </c>
      <c r="BB131" s="22">
        <v>1072300</v>
      </c>
      <c r="BC131" s="22">
        <v>1369700</v>
      </c>
      <c r="BD131" s="22">
        <v>861300</v>
      </c>
      <c r="BE131" s="22">
        <v>1315800</v>
      </c>
      <c r="BF131" s="22">
        <v>2644700</v>
      </c>
      <c r="BG131" s="22">
        <v>2822200</v>
      </c>
      <c r="BH131" s="22">
        <v>2356200</v>
      </c>
      <c r="BI131" s="22">
        <v>1464900</v>
      </c>
      <c r="BJ131" s="22">
        <v>1070300</v>
      </c>
      <c r="BK131" s="22">
        <v>1300100</v>
      </c>
      <c r="BL131" s="22">
        <v>2591500</v>
      </c>
    </row>
    <row r="132" spans="1:64" ht="15.95" customHeight="1">
      <c r="A132" s="433" t="s">
        <v>389</v>
      </c>
      <c r="B132" s="49" t="s">
        <v>193</v>
      </c>
      <c r="C132" s="53">
        <f>_xll.RssMarket("6227","出来高")</f>
        <v>1363100</v>
      </c>
      <c r="D132" s="220">
        <f t="shared" si="1"/>
        <v>0</v>
      </c>
      <c r="E132" s="218">
        <v>1363100</v>
      </c>
      <c r="F132" s="22">
        <v>1607600</v>
      </c>
      <c r="G132" s="22">
        <v>1744300</v>
      </c>
      <c r="H132" s="22">
        <v>1288600</v>
      </c>
      <c r="I132" s="22">
        <v>1698900</v>
      </c>
      <c r="J132" s="22">
        <v>2869100</v>
      </c>
      <c r="K132" s="22">
        <v>2426200</v>
      </c>
      <c r="L132" s="22">
        <v>1733900</v>
      </c>
      <c r="M132" s="22">
        <v>1304800</v>
      </c>
      <c r="N132" s="22">
        <v>1180700</v>
      </c>
      <c r="O132" s="22">
        <v>771600</v>
      </c>
      <c r="P132" s="22">
        <v>1051000</v>
      </c>
      <c r="Q132" s="22">
        <v>1493600</v>
      </c>
      <c r="R132" s="22">
        <v>1344400</v>
      </c>
      <c r="S132" s="22">
        <v>2369300</v>
      </c>
      <c r="T132" s="22">
        <v>2233700</v>
      </c>
      <c r="U132" s="22">
        <v>1396300</v>
      </c>
      <c r="V132" s="22">
        <v>2189500</v>
      </c>
      <c r="W132" s="22">
        <v>708600</v>
      </c>
      <c r="X132" s="22">
        <v>1208800</v>
      </c>
      <c r="Y132" s="22">
        <v>1163500</v>
      </c>
      <c r="Z132" s="22">
        <v>686300</v>
      </c>
      <c r="AA132" s="22">
        <v>1315800</v>
      </c>
      <c r="AB132" s="22">
        <v>841100</v>
      </c>
      <c r="AC132" s="22">
        <v>841100</v>
      </c>
      <c r="AD132" s="22">
        <v>685500</v>
      </c>
      <c r="AE132" s="22">
        <v>1027000</v>
      </c>
      <c r="AF132" s="22">
        <v>503200</v>
      </c>
      <c r="AG132" s="22">
        <v>1002100</v>
      </c>
      <c r="AH132" s="22">
        <v>796600</v>
      </c>
      <c r="AI132" s="22">
        <v>823500</v>
      </c>
      <c r="AJ132" s="22">
        <v>920000</v>
      </c>
      <c r="AK132" s="22">
        <v>1696400</v>
      </c>
      <c r="AL132" s="22">
        <v>1002700</v>
      </c>
      <c r="AM132" s="22">
        <v>1369500</v>
      </c>
      <c r="AN132" s="22">
        <v>1120200</v>
      </c>
      <c r="AO132" s="22">
        <v>865900</v>
      </c>
      <c r="AP132" s="22">
        <v>1604600</v>
      </c>
      <c r="AQ132" s="22">
        <v>4718900</v>
      </c>
      <c r="AR132" s="22">
        <v>1385400</v>
      </c>
      <c r="AS132" s="22">
        <v>1468000</v>
      </c>
      <c r="AT132" s="22">
        <v>816300</v>
      </c>
      <c r="AU132" s="22">
        <v>885800</v>
      </c>
      <c r="AV132" s="22">
        <v>1611300</v>
      </c>
      <c r="AW132" s="22">
        <v>1252200</v>
      </c>
      <c r="AX132" s="22">
        <v>2023400</v>
      </c>
      <c r="AY132" s="22">
        <v>680500</v>
      </c>
      <c r="AZ132" s="22">
        <v>1943400</v>
      </c>
      <c r="BA132" s="22">
        <v>823400</v>
      </c>
      <c r="BB132" s="22">
        <v>1021200</v>
      </c>
      <c r="BC132" s="22">
        <v>457800</v>
      </c>
      <c r="BD132" s="22">
        <v>490400</v>
      </c>
      <c r="BE132" s="22">
        <v>517000</v>
      </c>
      <c r="BF132" s="22">
        <v>363400</v>
      </c>
      <c r="BG132" s="22">
        <v>480000</v>
      </c>
      <c r="BH132" s="22">
        <v>1003000</v>
      </c>
      <c r="BI132" s="22">
        <v>506800</v>
      </c>
      <c r="BJ132" s="22">
        <v>657500</v>
      </c>
      <c r="BK132" s="22">
        <v>503000</v>
      </c>
      <c r="BL132" s="22">
        <v>800600</v>
      </c>
    </row>
    <row r="133" spans="1:64" ht="15.95" customHeight="1">
      <c r="A133" s="433" t="s">
        <v>390</v>
      </c>
      <c r="B133" s="49" t="s">
        <v>194</v>
      </c>
      <c r="C133" s="53">
        <f>_xll.RssMarket("6327","出来高")</f>
        <v>918200</v>
      </c>
      <c r="D133" s="220">
        <f t="shared" si="1"/>
        <v>0</v>
      </c>
      <c r="E133" s="218">
        <v>918200</v>
      </c>
      <c r="F133" s="22">
        <v>1048100</v>
      </c>
      <c r="G133" s="22">
        <v>610800</v>
      </c>
      <c r="H133" s="22">
        <v>503400</v>
      </c>
      <c r="I133" s="22">
        <v>536400</v>
      </c>
      <c r="J133" s="22">
        <v>834800</v>
      </c>
      <c r="K133" s="22">
        <v>646800</v>
      </c>
      <c r="L133" s="22">
        <v>928100</v>
      </c>
      <c r="M133" s="22">
        <v>1186700</v>
      </c>
      <c r="N133" s="22">
        <v>1239600</v>
      </c>
      <c r="O133" s="22">
        <v>2346700</v>
      </c>
      <c r="P133" s="22">
        <v>1309500</v>
      </c>
      <c r="Q133" s="22">
        <v>1310400</v>
      </c>
      <c r="R133" s="22">
        <v>867700</v>
      </c>
      <c r="S133" s="22">
        <v>592400</v>
      </c>
      <c r="T133" s="22">
        <v>254100</v>
      </c>
      <c r="U133" s="22">
        <v>182800</v>
      </c>
      <c r="V133" s="22">
        <v>209200</v>
      </c>
      <c r="W133" s="22">
        <v>210800</v>
      </c>
      <c r="X133" s="22">
        <v>193900</v>
      </c>
      <c r="Y133" s="22">
        <v>653300</v>
      </c>
      <c r="Z133" s="22">
        <v>686900</v>
      </c>
      <c r="AA133" s="22">
        <v>718800</v>
      </c>
      <c r="AB133" s="22">
        <v>778400</v>
      </c>
      <c r="AC133" s="22">
        <v>778400</v>
      </c>
      <c r="AD133" s="22">
        <v>853700</v>
      </c>
      <c r="AE133" s="22">
        <v>953500</v>
      </c>
      <c r="AF133" s="22">
        <v>584300</v>
      </c>
      <c r="AG133" s="22">
        <v>1570100</v>
      </c>
      <c r="AH133" s="22">
        <v>1523500</v>
      </c>
      <c r="AI133" s="22">
        <v>205800</v>
      </c>
      <c r="AJ133" s="22">
        <v>142300</v>
      </c>
      <c r="AK133" s="22">
        <v>175400</v>
      </c>
      <c r="AL133" s="22">
        <v>281100</v>
      </c>
      <c r="AM133" s="22">
        <v>452300</v>
      </c>
      <c r="AN133" s="22">
        <v>207800</v>
      </c>
      <c r="AO133" s="22">
        <v>250200</v>
      </c>
      <c r="AP133" s="22">
        <v>221700</v>
      </c>
      <c r="AQ133" s="22">
        <v>439500</v>
      </c>
      <c r="AR133" s="22">
        <v>446900</v>
      </c>
      <c r="AS133" s="22">
        <v>376200</v>
      </c>
      <c r="AT133" s="22">
        <v>777300</v>
      </c>
      <c r="AU133" s="22">
        <v>579900</v>
      </c>
      <c r="AV133" s="22">
        <v>650100</v>
      </c>
      <c r="AW133" s="22">
        <v>191800</v>
      </c>
      <c r="AX133" s="22">
        <v>272300</v>
      </c>
      <c r="AY133" s="22">
        <v>138900</v>
      </c>
      <c r="AZ133" s="22">
        <v>222900</v>
      </c>
      <c r="BA133" s="22">
        <v>363300</v>
      </c>
      <c r="BB133" s="22">
        <v>283400</v>
      </c>
      <c r="BC133" s="22">
        <v>249800</v>
      </c>
      <c r="BD133" s="22">
        <v>271900</v>
      </c>
      <c r="BE133" s="22">
        <v>248000</v>
      </c>
      <c r="BF133" s="22">
        <v>280000</v>
      </c>
      <c r="BG133" s="22">
        <v>405700</v>
      </c>
      <c r="BH133" s="22">
        <v>417900</v>
      </c>
      <c r="BI133" s="22">
        <v>604500</v>
      </c>
      <c r="BJ133" s="22">
        <v>574600</v>
      </c>
      <c r="BK133" s="22">
        <v>301500</v>
      </c>
      <c r="BL133" s="22">
        <v>478600</v>
      </c>
    </row>
    <row r="134" spans="1:64" ht="15.95" customHeight="1">
      <c r="A134" s="433" t="s">
        <v>391</v>
      </c>
      <c r="B134" s="49" t="s">
        <v>195</v>
      </c>
      <c r="C134" s="53">
        <f>_xll.RssMarket("3110","出来高")</f>
        <v>1745900</v>
      </c>
      <c r="D134" s="220">
        <f t="shared" ref="D134:D197" si="2">C134-E134</f>
        <v>0</v>
      </c>
      <c r="E134" s="218">
        <v>1745900</v>
      </c>
      <c r="F134" s="22">
        <v>3687800</v>
      </c>
      <c r="G134" s="22">
        <v>2241600</v>
      </c>
      <c r="H134" s="22">
        <v>1725900</v>
      </c>
      <c r="I134" s="22">
        <v>1957300</v>
      </c>
      <c r="J134" s="22">
        <v>3112600</v>
      </c>
      <c r="K134" s="22">
        <v>2065000</v>
      </c>
      <c r="L134" s="22">
        <v>2696500</v>
      </c>
      <c r="M134" s="22">
        <v>2106900</v>
      </c>
      <c r="N134" s="22">
        <v>2636100</v>
      </c>
      <c r="O134" s="22">
        <v>2443100</v>
      </c>
      <c r="P134" s="22">
        <v>2229900</v>
      </c>
      <c r="Q134" s="22">
        <v>3200300</v>
      </c>
      <c r="R134" s="22">
        <v>3233700</v>
      </c>
      <c r="S134" s="22">
        <v>3594700</v>
      </c>
      <c r="T134" s="22">
        <v>1696600</v>
      </c>
      <c r="U134" s="22">
        <v>1580000</v>
      </c>
      <c r="V134" s="22">
        <v>1969700</v>
      </c>
      <c r="W134" s="22">
        <v>1982700</v>
      </c>
      <c r="X134" s="22">
        <v>2240100</v>
      </c>
      <c r="Y134" s="22">
        <v>2389100</v>
      </c>
      <c r="Z134" s="22">
        <v>3827200</v>
      </c>
      <c r="AA134" s="22">
        <v>2079800</v>
      </c>
      <c r="AB134" s="22">
        <v>2418000</v>
      </c>
      <c r="AC134" s="22">
        <v>2418000</v>
      </c>
      <c r="AD134" s="22">
        <v>1719400</v>
      </c>
      <c r="AE134" s="22">
        <v>2431300</v>
      </c>
      <c r="AF134" s="22">
        <v>1845500</v>
      </c>
      <c r="AG134" s="22">
        <v>2028500</v>
      </c>
      <c r="AH134" s="22">
        <v>1702700</v>
      </c>
      <c r="AI134" s="22">
        <v>1945700</v>
      </c>
      <c r="AJ134" s="22">
        <v>2471700</v>
      </c>
      <c r="AK134" s="22">
        <v>2561400</v>
      </c>
      <c r="AL134" s="22">
        <v>1711000</v>
      </c>
      <c r="AM134" s="22">
        <v>1760500</v>
      </c>
      <c r="AN134" s="22">
        <v>1689500</v>
      </c>
      <c r="AO134" s="22">
        <v>2656700</v>
      </c>
      <c r="AP134" s="22">
        <v>2718100</v>
      </c>
      <c r="AQ134" s="22">
        <v>3420400</v>
      </c>
      <c r="AR134" s="22">
        <v>2458200</v>
      </c>
      <c r="AS134" s="22">
        <v>3743000</v>
      </c>
      <c r="AT134" s="22">
        <v>2926100</v>
      </c>
      <c r="AU134" s="22">
        <v>2836700</v>
      </c>
      <c r="AV134" s="22">
        <v>2678600</v>
      </c>
      <c r="AW134" s="22">
        <v>1866200</v>
      </c>
      <c r="AX134" s="22">
        <v>1342500</v>
      </c>
      <c r="AY134" s="22">
        <v>1170400</v>
      </c>
      <c r="AZ134" s="22">
        <v>1968900</v>
      </c>
      <c r="BA134" s="22">
        <v>1455700</v>
      </c>
      <c r="BB134" s="22">
        <v>1993700</v>
      </c>
      <c r="BC134" s="22">
        <v>1386300</v>
      </c>
      <c r="BD134" s="22">
        <v>1763800</v>
      </c>
      <c r="BE134" s="22">
        <v>1654100</v>
      </c>
      <c r="BF134" s="22">
        <v>1543600</v>
      </c>
      <c r="BG134" s="22">
        <v>1982900</v>
      </c>
      <c r="BH134" s="22">
        <v>1641100</v>
      </c>
      <c r="BI134" s="22">
        <v>1249600</v>
      </c>
      <c r="BJ134" s="22">
        <v>1696300</v>
      </c>
      <c r="BK134" s="22">
        <v>1771700</v>
      </c>
      <c r="BL134" s="22">
        <v>1543200</v>
      </c>
    </row>
    <row r="135" spans="1:64" ht="15.95" customHeight="1">
      <c r="A135" s="433" t="s">
        <v>392</v>
      </c>
      <c r="B135" s="49" t="s">
        <v>196</v>
      </c>
      <c r="C135" s="53">
        <f>_xll.RssMarket("6232","出来高")</f>
        <v>921600</v>
      </c>
      <c r="D135" s="220">
        <f t="shared" si="2"/>
        <v>0</v>
      </c>
      <c r="E135" s="218">
        <v>921600</v>
      </c>
      <c r="F135" s="22">
        <v>991800</v>
      </c>
      <c r="G135" s="22">
        <v>700300</v>
      </c>
      <c r="H135" s="22">
        <v>641600</v>
      </c>
      <c r="I135" s="22">
        <v>953300</v>
      </c>
      <c r="J135" s="22">
        <v>1058500</v>
      </c>
      <c r="K135" s="22">
        <v>1380600</v>
      </c>
      <c r="L135" s="22">
        <v>616300</v>
      </c>
      <c r="M135" s="22">
        <v>958900</v>
      </c>
      <c r="N135" s="22">
        <v>1362800</v>
      </c>
      <c r="O135" s="22">
        <v>1662100</v>
      </c>
      <c r="P135" s="22">
        <v>2307500</v>
      </c>
      <c r="Q135" s="22">
        <v>2114600</v>
      </c>
      <c r="R135" s="22">
        <v>1729600</v>
      </c>
      <c r="S135" s="22">
        <v>1857300</v>
      </c>
      <c r="T135" s="22">
        <v>2016000</v>
      </c>
      <c r="U135" s="22">
        <v>3268000</v>
      </c>
      <c r="V135" s="22">
        <v>3416700</v>
      </c>
      <c r="W135" s="22">
        <v>1907700</v>
      </c>
      <c r="X135" s="22">
        <v>3731300</v>
      </c>
      <c r="Y135" s="22">
        <v>2649800</v>
      </c>
      <c r="Z135" s="22">
        <v>3926300</v>
      </c>
      <c r="AA135" s="22">
        <v>8017800</v>
      </c>
      <c r="AB135" s="22">
        <v>767100</v>
      </c>
      <c r="AC135" s="22">
        <v>767100</v>
      </c>
      <c r="AD135" s="22">
        <v>5287100</v>
      </c>
      <c r="AE135" s="22">
        <v>5564700</v>
      </c>
      <c r="AF135" s="22">
        <v>11766500</v>
      </c>
      <c r="AG135" s="22">
        <v>4527000</v>
      </c>
      <c r="AH135" s="22">
        <v>2891400</v>
      </c>
      <c r="AI135" s="22">
        <v>4855100</v>
      </c>
      <c r="AJ135" s="22">
        <v>18732200</v>
      </c>
      <c r="AK135" s="22">
        <v>11468100</v>
      </c>
      <c r="AL135" s="22">
        <v>5941300</v>
      </c>
      <c r="AM135" s="22">
        <v>997400</v>
      </c>
      <c r="AN135" s="22">
        <v>1237700</v>
      </c>
      <c r="AO135" s="22">
        <v>1169800</v>
      </c>
      <c r="AP135" s="22">
        <v>2020400</v>
      </c>
      <c r="AQ135" s="22">
        <v>2466500</v>
      </c>
      <c r="AR135" s="22">
        <v>3716800</v>
      </c>
      <c r="AS135" s="22">
        <v>2477300</v>
      </c>
      <c r="AT135" s="22">
        <v>1101600</v>
      </c>
      <c r="AU135" s="22">
        <v>951200</v>
      </c>
      <c r="AV135" s="22">
        <v>2833400</v>
      </c>
      <c r="AW135" s="22">
        <v>609000</v>
      </c>
      <c r="AX135" s="22">
        <v>497400</v>
      </c>
      <c r="AY135" s="22">
        <v>1067400</v>
      </c>
      <c r="AZ135" s="22">
        <v>1546400</v>
      </c>
      <c r="BA135" s="22">
        <v>1111000</v>
      </c>
      <c r="BB135" s="22">
        <v>1024000</v>
      </c>
      <c r="BC135" s="22">
        <v>899700</v>
      </c>
      <c r="BD135" s="22">
        <v>1118600</v>
      </c>
      <c r="BE135" s="22">
        <v>2169200</v>
      </c>
      <c r="BF135" s="22">
        <v>1902600</v>
      </c>
      <c r="BG135" s="22">
        <v>1193900</v>
      </c>
      <c r="BH135" s="22">
        <v>886900</v>
      </c>
      <c r="BI135" s="22">
        <v>949300</v>
      </c>
      <c r="BJ135" s="22">
        <v>1746400</v>
      </c>
      <c r="BK135" s="22">
        <v>1586300</v>
      </c>
      <c r="BL135" s="22">
        <v>2027600</v>
      </c>
    </row>
    <row r="136" spans="1:64" ht="15.95" customHeight="1">
      <c r="A136" s="433" t="s">
        <v>393</v>
      </c>
      <c r="B136" s="49" t="s">
        <v>197</v>
      </c>
      <c r="C136" s="53">
        <f>_xll.RssMarket("7794","出来高")</f>
        <v>237400</v>
      </c>
      <c r="D136" s="220">
        <f t="shared" si="2"/>
        <v>0</v>
      </c>
      <c r="E136" s="218">
        <v>237400</v>
      </c>
      <c r="F136" s="22">
        <v>154800</v>
      </c>
      <c r="G136" s="22">
        <v>191400</v>
      </c>
      <c r="H136" s="22">
        <v>216800</v>
      </c>
      <c r="I136" s="22">
        <v>252200</v>
      </c>
      <c r="J136" s="22">
        <v>672800</v>
      </c>
      <c r="K136" s="22">
        <v>537700</v>
      </c>
      <c r="L136" s="22">
        <v>718500</v>
      </c>
      <c r="M136" s="22">
        <v>559200</v>
      </c>
      <c r="N136" s="22">
        <v>600500</v>
      </c>
      <c r="O136" s="22">
        <v>1514100</v>
      </c>
      <c r="P136" s="22">
        <v>5140300</v>
      </c>
      <c r="Q136" s="22">
        <v>168400</v>
      </c>
      <c r="R136" s="22">
        <v>268000</v>
      </c>
      <c r="S136" s="22">
        <v>191500</v>
      </c>
      <c r="T136" s="22">
        <v>208500</v>
      </c>
      <c r="U136" s="22">
        <v>280700</v>
      </c>
      <c r="V136" s="22">
        <v>231200</v>
      </c>
      <c r="W136" s="22">
        <v>316000</v>
      </c>
      <c r="X136" s="22">
        <v>386400</v>
      </c>
      <c r="Y136" s="22">
        <v>1142100</v>
      </c>
      <c r="Z136" s="22">
        <v>320900</v>
      </c>
      <c r="AA136" s="22">
        <v>401100</v>
      </c>
      <c r="AB136" s="22">
        <v>549300</v>
      </c>
      <c r="AC136" s="22">
        <v>549300</v>
      </c>
      <c r="AD136" s="22">
        <v>597200</v>
      </c>
      <c r="AE136" s="22">
        <v>317600</v>
      </c>
      <c r="AF136" s="22">
        <v>446300</v>
      </c>
      <c r="AG136" s="22">
        <v>441500</v>
      </c>
      <c r="AH136" s="22">
        <v>255000</v>
      </c>
      <c r="AI136" s="22">
        <v>578400</v>
      </c>
      <c r="AJ136" s="22">
        <v>715700</v>
      </c>
      <c r="AK136" s="22">
        <v>884300</v>
      </c>
      <c r="AL136" s="22">
        <v>2651800</v>
      </c>
      <c r="AM136" s="22">
        <v>3163100</v>
      </c>
      <c r="AN136" s="22">
        <v>1875100</v>
      </c>
      <c r="AO136" s="22">
        <v>728700</v>
      </c>
      <c r="AP136" s="22">
        <v>481800</v>
      </c>
      <c r="AQ136" s="22">
        <v>366300</v>
      </c>
      <c r="AR136" s="22">
        <v>303600</v>
      </c>
      <c r="AS136" s="22">
        <v>214200</v>
      </c>
      <c r="AT136" s="22">
        <v>348800</v>
      </c>
      <c r="AU136" s="22">
        <v>294600</v>
      </c>
      <c r="AV136" s="22">
        <v>433100</v>
      </c>
      <c r="AW136" s="22">
        <v>314400</v>
      </c>
      <c r="AX136" s="22">
        <v>273300</v>
      </c>
      <c r="AY136" s="22">
        <v>266300</v>
      </c>
      <c r="AZ136" s="22">
        <v>565800</v>
      </c>
      <c r="BA136" s="22">
        <v>623300</v>
      </c>
      <c r="BB136" s="22">
        <v>5588600</v>
      </c>
      <c r="BC136" s="22">
        <v>313800</v>
      </c>
      <c r="BD136" s="22">
        <v>663500</v>
      </c>
      <c r="BE136" s="22">
        <v>353000</v>
      </c>
      <c r="BF136" s="22">
        <v>398600</v>
      </c>
      <c r="BG136" s="22">
        <v>509400</v>
      </c>
      <c r="BH136" s="22">
        <v>666100</v>
      </c>
      <c r="BI136" s="22">
        <v>452100</v>
      </c>
      <c r="BJ136" s="22">
        <v>1458600</v>
      </c>
      <c r="BK136" s="22">
        <v>756200</v>
      </c>
      <c r="BL136" s="22">
        <v>1163600</v>
      </c>
    </row>
    <row r="137" spans="1:64" ht="15.95" customHeight="1">
      <c r="A137" s="433" t="s">
        <v>394</v>
      </c>
      <c r="B137" s="49" t="s">
        <v>198</v>
      </c>
      <c r="C137" s="53">
        <f>_xll.RssMarket("6085","出来高")</f>
        <v>1747900</v>
      </c>
      <c r="D137" s="220">
        <f t="shared" si="2"/>
        <v>0</v>
      </c>
      <c r="E137" s="218">
        <v>1747900</v>
      </c>
      <c r="F137" s="22">
        <v>2216900</v>
      </c>
      <c r="G137" s="22">
        <v>6084900</v>
      </c>
      <c r="H137" s="22">
        <v>2333800</v>
      </c>
      <c r="I137" s="22">
        <v>8186700</v>
      </c>
      <c r="J137" s="22">
        <v>3742700</v>
      </c>
      <c r="K137" s="22">
        <v>5772500</v>
      </c>
      <c r="L137" s="22">
        <v>3686000</v>
      </c>
      <c r="M137" s="22">
        <v>6303200</v>
      </c>
      <c r="N137" s="22">
        <v>7411900</v>
      </c>
      <c r="O137" s="22">
        <v>4206200</v>
      </c>
      <c r="P137" s="22">
        <v>6103400</v>
      </c>
      <c r="Q137" s="22">
        <v>6345100</v>
      </c>
      <c r="R137" s="22">
        <v>3575200</v>
      </c>
      <c r="S137" s="22">
        <v>2850800</v>
      </c>
      <c r="T137" s="22">
        <v>3262400</v>
      </c>
      <c r="U137" s="22">
        <v>3479500</v>
      </c>
      <c r="V137" s="22">
        <v>9027300</v>
      </c>
      <c r="W137" s="22">
        <v>6048100</v>
      </c>
      <c r="X137" s="22">
        <v>3280400</v>
      </c>
      <c r="Y137" s="22">
        <v>4924100</v>
      </c>
      <c r="Z137" s="22">
        <v>3642000</v>
      </c>
      <c r="AA137" s="22">
        <v>2040500</v>
      </c>
      <c r="AB137" s="22">
        <v>6384100</v>
      </c>
      <c r="AC137" s="22">
        <v>6384100</v>
      </c>
      <c r="AD137" s="22">
        <v>7590600</v>
      </c>
      <c r="AE137" s="22">
        <v>11750600</v>
      </c>
      <c r="AF137" s="22">
        <v>9487800</v>
      </c>
      <c r="AG137" s="22">
        <v>15236600</v>
      </c>
      <c r="AH137" s="22">
        <v>12643700</v>
      </c>
      <c r="AI137" s="22">
        <v>14044400</v>
      </c>
      <c r="AJ137" s="22">
        <v>11925200</v>
      </c>
      <c r="AK137" s="22">
        <v>6019600</v>
      </c>
      <c r="AL137" s="22">
        <v>8562600</v>
      </c>
      <c r="AM137" s="22">
        <v>380600</v>
      </c>
      <c r="AN137" s="22">
        <v>730000</v>
      </c>
      <c r="AO137" s="22">
        <v>769500</v>
      </c>
      <c r="AP137" s="22">
        <v>693800</v>
      </c>
      <c r="AQ137" s="22">
        <v>143700</v>
      </c>
      <c r="AR137" s="22">
        <v>338100</v>
      </c>
      <c r="AS137" s="22">
        <v>487200</v>
      </c>
      <c r="AT137" s="22">
        <v>191400</v>
      </c>
      <c r="AU137" s="22">
        <v>123500</v>
      </c>
      <c r="AV137" s="22">
        <v>275200</v>
      </c>
      <c r="AW137" s="22">
        <v>277800</v>
      </c>
      <c r="AX137" s="22">
        <v>229800</v>
      </c>
      <c r="AY137" s="22">
        <v>116600</v>
      </c>
      <c r="AZ137" s="22">
        <v>248300</v>
      </c>
      <c r="BA137" s="22">
        <v>240300</v>
      </c>
      <c r="BB137" s="22">
        <v>509200</v>
      </c>
      <c r="BC137" s="22">
        <v>809300</v>
      </c>
      <c r="BD137" s="22">
        <v>828600</v>
      </c>
      <c r="BE137" s="22">
        <v>970800</v>
      </c>
      <c r="BF137" s="22">
        <v>562300</v>
      </c>
      <c r="BG137" s="22">
        <v>2013000</v>
      </c>
      <c r="BH137" s="22">
        <v>46900</v>
      </c>
      <c r="BI137" s="22">
        <v>60400</v>
      </c>
      <c r="BJ137" s="22">
        <v>357600</v>
      </c>
      <c r="BK137" s="22">
        <v>676200</v>
      </c>
      <c r="BL137" s="22">
        <v>1020800</v>
      </c>
    </row>
    <row r="138" spans="1:64" ht="15.95" customHeight="1">
      <c r="A138" s="433" t="s">
        <v>395</v>
      </c>
      <c r="B138" s="49" t="s">
        <v>199</v>
      </c>
      <c r="C138" s="53">
        <f>_xll.RssMarket("3103","出来高")</f>
        <v>6382500</v>
      </c>
      <c r="D138" s="220">
        <f t="shared" si="2"/>
        <v>0</v>
      </c>
      <c r="E138" s="218">
        <v>6382500</v>
      </c>
      <c r="F138" s="22">
        <v>2951600</v>
      </c>
      <c r="G138" s="22">
        <v>7665500</v>
      </c>
      <c r="H138" s="22">
        <v>3294400</v>
      </c>
      <c r="I138" s="22">
        <v>2638100</v>
      </c>
      <c r="J138" s="22">
        <v>3395900</v>
      </c>
      <c r="K138" s="22">
        <v>3851200</v>
      </c>
      <c r="L138" s="22">
        <v>3632100</v>
      </c>
      <c r="M138" s="22">
        <v>5666600</v>
      </c>
      <c r="N138" s="22">
        <v>4078200</v>
      </c>
      <c r="O138" s="22">
        <v>5487000</v>
      </c>
      <c r="P138" s="22">
        <v>4299900</v>
      </c>
      <c r="Q138" s="22">
        <v>9322600</v>
      </c>
      <c r="R138" s="22">
        <v>15160400</v>
      </c>
      <c r="S138" s="22">
        <v>10056900</v>
      </c>
      <c r="T138" s="22">
        <v>6802800</v>
      </c>
      <c r="U138" s="22">
        <v>5444200</v>
      </c>
      <c r="V138" s="22">
        <v>10701100</v>
      </c>
      <c r="W138" s="22">
        <v>23615800</v>
      </c>
      <c r="X138" s="22">
        <v>635700</v>
      </c>
      <c r="Y138" s="22">
        <v>4604100</v>
      </c>
      <c r="Z138" s="22">
        <v>6142400</v>
      </c>
      <c r="AA138" s="22">
        <v>4007100</v>
      </c>
      <c r="AB138" s="22">
        <v>8345300</v>
      </c>
      <c r="AC138" s="22">
        <v>8345300</v>
      </c>
      <c r="AD138" s="22">
        <v>12981500</v>
      </c>
      <c r="AE138" s="22">
        <v>16543800</v>
      </c>
      <c r="AF138" s="22">
        <v>10667900</v>
      </c>
      <c r="AG138" s="22">
        <v>17314000</v>
      </c>
      <c r="AH138" s="22">
        <v>15773900</v>
      </c>
      <c r="AI138" s="22">
        <v>14220200</v>
      </c>
      <c r="AJ138" s="22">
        <v>15986000</v>
      </c>
      <c r="AK138" s="22">
        <v>22597900</v>
      </c>
      <c r="AL138" s="22">
        <v>29411100</v>
      </c>
      <c r="AM138" s="22">
        <v>3514600</v>
      </c>
      <c r="AN138" s="22">
        <v>14402100</v>
      </c>
      <c r="AO138" s="22">
        <v>38468100</v>
      </c>
      <c r="AP138" s="22">
        <v>22762100</v>
      </c>
      <c r="AQ138" s="22">
        <v>56226400</v>
      </c>
      <c r="AR138" s="22">
        <v>19606200</v>
      </c>
      <c r="AS138" s="22">
        <v>39395300</v>
      </c>
      <c r="AT138" s="22">
        <v>23843100</v>
      </c>
      <c r="AU138" s="22">
        <v>5549400</v>
      </c>
      <c r="AV138" s="22">
        <v>7808400</v>
      </c>
      <c r="AW138" s="22">
        <v>5534800</v>
      </c>
      <c r="AX138" s="22">
        <v>4666900</v>
      </c>
      <c r="AY138" s="22">
        <v>6533100</v>
      </c>
      <c r="AZ138" s="22">
        <v>8209200</v>
      </c>
      <c r="BA138" s="22">
        <v>5390800</v>
      </c>
      <c r="BB138" s="22">
        <v>4652000</v>
      </c>
      <c r="BC138" s="22">
        <v>7769000</v>
      </c>
      <c r="BD138" s="22">
        <v>12402800</v>
      </c>
      <c r="BE138" s="22">
        <v>6343100</v>
      </c>
      <c r="BF138" s="22">
        <v>4266800</v>
      </c>
      <c r="BG138" s="22">
        <v>5811900</v>
      </c>
      <c r="BH138" s="22">
        <v>7204000</v>
      </c>
      <c r="BI138" s="22">
        <v>11400100</v>
      </c>
      <c r="BJ138" s="22">
        <v>5332400</v>
      </c>
      <c r="BK138" s="22">
        <v>3832500</v>
      </c>
      <c r="BL138" s="22">
        <v>8178800</v>
      </c>
    </row>
    <row r="139" spans="1:64" ht="15.95" customHeight="1">
      <c r="A139" s="433" t="s">
        <v>396</v>
      </c>
      <c r="B139" s="49" t="s">
        <v>200</v>
      </c>
      <c r="C139" s="53">
        <f>_xll.RssMarket("4422","出来高")</f>
        <v>243000</v>
      </c>
      <c r="D139" s="220">
        <f t="shared" si="2"/>
        <v>0</v>
      </c>
      <c r="E139" s="218">
        <v>243000</v>
      </c>
      <c r="F139" s="22">
        <v>158400</v>
      </c>
      <c r="G139" s="22">
        <v>647000</v>
      </c>
      <c r="H139" s="22">
        <v>641000</v>
      </c>
      <c r="I139" s="22">
        <v>408100</v>
      </c>
      <c r="J139" s="22">
        <v>1285400</v>
      </c>
      <c r="K139" s="22">
        <v>185500</v>
      </c>
      <c r="L139" s="22">
        <v>75200</v>
      </c>
      <c r="M139" s="22">
        <v>73100</v>
      </c>
      <c r="N139" s="22">
        <v>78500</v>
      </c>
      <c r="O139" s="22">
        <v>114300</v>
      </c>
      <c r="P139" s="22">
        <v>112700</v>
      </c>
      <c r="Q139" s="22">
        <v>158700</v>
      </c>
      <c r="R139" s="22">
        <v>266100</v>
      </c>
      <c r="S139" s="22">
        <v>139400</v>
      </c>
      <c r="T139" s="22">
        <v>297300</v>
      </c>
      <c r="U139" s="22">
        <v>225500</v>
      </c>
      <c r="V139" s="22">
        <v>161700</v>
      </c>
      <c r="W139" s="22">
        <v>169000</v>
      </c>
      <c r="X139" s="22">
        <v>233700</v>
      </c>
      <c r="Y139" s="22">
        <v>293300</v>
      </c>
      <c r="Z139" s="22">
        <v>578400</v>
      </c>
      <c r="AA139" s="22">
        <v>343000</v>
      </c>
      <c r="AB139" s="22">
        <v>429800</v>
      </c>
      <c r="AC139" s="22">
        <v>429800</v>
      </c>
      <c r="AD139" s="22">
        <v>293200</v>
      </c>
      <c r="AE139" s="22">
        <v>434700</v>
      </c>
      <c r="AF139" s="22">
        <v>598700</v>
      </c>
      <c r="AG139" s="22">
        <v>371300</v>
      </c>
      <c r="AH139" s="22">
        <v>534500</v>
      </c>
      <c r="AI139" s="22">
        <v>1336300</v>
      </c>
      <c r="AJ139" s="22">
        <v>4025000</v>
      </c>
      <c r="AK139" s="22">
        <v>2677000</v>
      </c>
      <c r="AL139" s="22">
        <v>1272300</v>
      </c>
      <c r="AM139" s="22">
        <v>2627000</v>
      </c>
      <c r="AN139" s="22">
        <v>4029000</v>
      </c>
      <c r="AO139" s="22">
        <v>3731800</v>
      </c>
      <c r="AP139" s="22">
        <v>572000</v>
      </c>
      <c r="AQ139" s="22">
        <v>1949600</v>
      </c>
      <c r="AR139" s="22">
        <v>3452900</v>
      </c>
      <c r="AS139" s="22">
        <v>208800</v>
      </c>
      <c r="AT139" s="22">
        <v>2974500</v>
      </c>
      <c r="AU139" s="22">
        <v>840000</v>
      </c>
      <c r="AV139" s="22">
        <v>1289700</v>
      </c>
      <c r="AW139" s="22">
        <v>22300</v>
      </c>
      <c r="AX139" s="22">
        <v>270300</v>
      </c>
      <c r="AY139" s="22">
        <v>434500</v>
      </c>
      <c r="AZ139" s="22">
        <v>241500</v>
      </c>
      <c r="BA139" s="22">
        <v>229800</v>
      </c>
      <c r="BB139" s="22">
        <v>690700</v>
      </c>
      <c r="BC139" s="22">
        <v>657500</v>
      </c>
      <c r="BD139" s="22">
        <v>1894800</v>
      </c>
      <c r="BE139" s="22">
        <v>2768800</v>
      </c>
      <c r="BF139" s="22">
        <v>1202800</v>
      </c>
      <c r="BG139" s="22">
        <v>463400</v>
      </c>
      <c r="BH139" s="22">
        <v>1288400</v>
      </c>
      <c r="BI139" s="22">
        <v>938400</v>
      </c>
      <c r="BJ139" s="22">
        <v>828500</v>
      </c>
      <c r="BK139" s="22">
        <v>257200</v>
      </c>
      <c r="BL139" s="22">
        <v>21000</v>
      </c>
    </row>
    <row r="140" spans="1:64" ht="15.95" customHeight="1">
      <c r="A140" s="433" t="s">
        <v>397</v>
      </c>
      <c r="B140" s="49" t="s">
        <v>201</v>
      </c>
      <c r="C140" s="53">
        <f>_xll.RssMarket("6740","出来高")</f>
        <v>38359900</v>
      </c>
      <c r="D140" s="220">
        <f t="shared" si="2"/>
        <v>0</v>
      </c>
      <c r="E140" s="218">
        <v>38359900</v>
      </c>
      <c r="F140" s="22">
        <v>81570400</v>
      </c>
      <c r="G140" s="22">
        <v>83888000</v>
      </c>
      <c r="H140" s="22">
        <v>21777300</v>
      </c>
      <c r="I140" s="22">
        <v>81595000</v>
      </c>
      <c r="J140" s="22">
        <v>70580100</v>
      </c>
      <c r="K140" s="22">
        <v>88068300</v>
      </c>
      <c r="L140" s="22">
        <v>71927400</v>
      </c>
      <c r="M140" s="22">
        <v>73229600</v>
      </c>
      <c r="N140" s="22">
        <v>30508500</v>
      </c>
      <c r="O140" s="22">
        <v>85703300</v>
      </c>
      <c r="P140" s="22">
        <v>71762100</v>
      </c>
      <c r="Q140" s="22">
        <v>29733900</v>
      </c>
      <c r="R140" s="22">
        <v>59768300</v>
      </c>
      <c r="S140" s="22">
        <v>72733800</v>
      </c>
      <c r="T140" s="22">
        <v>74578500</v>
      </c>
      <c r="U140" s="22">
        <v>65535900</v>
      </c>
      <c r="V140" s="22">
        <v>56814500</v>
      </c>
      <c r="W140" s="22">
        <v>60043300</v>
      </c>
      <c r="X140" s="22">
        <v>105673800</v>
      </c>
      <c r="Y140" s="22">
        <v>58783800</v>
      </c>
      <c r="Z140" s="22">
        <v>59422600</v>
      </c>
      <c r="AA140" s="22">
        <v>49363400</v>
      </c>
      <c r="AB140" s="22">
        <v>31333900</v>
      </c>
      <c r="AC140" s="22">
        <v>31333900</v>
      </c>
      <c r="AD140" s="22">
        <v>64516200</v>
      </c>
      <c r="AE140" s="22">
        <v>35449100</v>
      </c>
      <c r="AF140" s="22">
        <v>120637600</v>
      </c>
      <c r="AG140" s="22">
        <v>286306400</v>
      </c>
      <c r="AH140" s="22">
        <v>42542100</v>
      </c>
      <c r="AI140" s="22">
        <v>57519300</v>
      </c>
      <c r="AJ140" s="22">
        <v>54684500</v>
      </c>
      <c r="AK140" s="22">
        <v>60890200</v>
      </c>
      <c r="AL140" s="22">
        <v>51605500</v>
      </c>
      <c r="AM140" s="22">
        <v>101220300</v>
      </c>
      <c r="AN140" s="22">
        <v>117693100</v>
      </c>
      <c r="AO140" s="22">
        <v>113528900</v>
      </c>
      <c r="AP140" s="22">
        <v>139485900</v>
      </c>
      <c r="AQ140" s="22">
        <v>89688100</v>
      </c>
      <c r="AR140" s="22">
        <v>92525400</v>
      </c>
      <c r="AS140" s="22">
        <v>65724300</v>
      </c>
      <c r="AT140" s="22">
        <v>90051300</v>
      </c>
      <c r="AU140" s="22">
        <v>71728900</v>
      </c>
      <c r="AV140" s="22">
        <v>85258300</v>
      </c>
      <c r="AW140" s="22">
        <v>46067600</v>
      </c>
      <c r="AX140" s="22">
        <v>76783400</v>
      </c>
      <c r="AY140" s="22">
        <v>148211400</v>
      </c>
      <c r="AZ140" s="22">
        <v>275840000</v>
      </c>
      <c r="BA140" s="22">
        <v>160066100</v>
      </c>
      <c r="BB140" s="22">
        <v>62239900</v>
      </c>
      <c r="BC140" s="22">
        <v>63505800</v>
      </c>
      <c r="BD140" s="22">
        <v>189722000</v>
      </c>
      <c r="BE140" s="22">
        <v>134971000</v>
      </c>
      <c r="BF140" s="22">
        <v>146736200</v>
      </c>
      <c r="BG140" s="22">
        <v>6978900</v>
      </c>
      <c r="BH140" s="22">
        <v>185127100</v>
      </c>
      <c r="BI140" s="22">
        <v>250079200</v>
      </c>
      <c r="BJ140" s="22">
        <v>372489700</v>
      </c>
      <c r="BK140" s="22">
        <v>236881100</v>
      </c>
      <c r="BL140" s="22">
        <v>192399800</v>
      </c>
    </row>
    <row r="141" spans="1:64" ht="15.95" customHeight="1">
      <c r="A141" s="433" t="s">
        <v>398</v>
      </c>
      <c r="B141" s="49" t="s">
        <v>202</v>
      </c>
      <c r="C141" s="53">
        <f>_xll.RssMarket("6613","出来高")</f>
        <v>4464000</v>
      </c>
      <c r="D141" s="220">
        <f t="shared" si="2"/>
        <v>0</v>
      </c>
      <c r="E141" s="218">
        <v>4464000</v>
      </c>
      <c r="F141" s="22">
        <v>3641400</v>
      </c>
      <c r="G141" s="22">
        <v>7206800</v>
      </c>
      <c r="H141" s="22">
        <v>5654700</v>
      </c>
      <c r="I141" s="22">
        <v>4275000</v>
      </c>
      <c r="J141" s="22">
        <v>3703900</v>
      </c>
      <c r="K141" s="22">
        <v>2707400</v>
      </c>
      <c r="L141" s="22">
        <v>2977900</v>
      </c>
      <c r="M141" s="22">
        <v>5276300</v>
      </c>
      <c r="N141" s="22">
        <v>9333700</v>
      </c>
      <c r="O141" s="22">
        <v>6206100</v>
      </c>
      <c r="P141" s="22">
        <v>10123800</v>
      </c>
      <c r="Q141" s="22">
        <v>8264500</v>
      </c>
      <c r="R141" s="22">
        <v>10945800</v>
      </c>
      <c r="S141" s="22">
        <v>22249700</v>
      </c>
      <c r="T141" s="22">
        <v>28238900</v>
      </c>
      <c r="U141" s="22">
        <v>28690800</v>
      </c>
      <c r="V141" s="22">
        <v>31866100</v>
      </c>
      <c r="W141" s="22">
        <v>14634700</v>
      </c>
      <c r="X141" s="22">
        <v>13178900</v>
      </c>
      <c r="Y141" s="22">
        <v>3773000</v>
      </c>
      <c r="Z141" s="22">
        <v>3198400</v>
      </c>
      <c r="AA141" s="22">
        <v>7128600</v>
      </c>
      <c r="AB141" s="22">
        <v>12306600</v>
      </c>
      <c r="AC141" s="22">
        <v>21634400</v>
      </c>
      <c r="AD141" s="22">
        <v>6866100</v>
      </c>
      <c r="AE141" s="22">
        <v>6150200</v>
      </c>
      <c r="AF141" s="22">
        <v>4011900</v>
      </c>
      <c r="AG141" s="22">
        <v>4160600</v>
      </c>
      <c r="AH141" s="22">
        <v>9398000</v>
      </c>
      <c r="AI141" s="22">
        <v>5229600</v>
      </c>
      <c r="AJ141" s="22">
        <v>15724700</v>
      </c>
      <c r="AK141" s="22">
        <v>10711900</v>
      </c>
      <c r="AL141" s="22">
        <v>23584500</v>
      </c>
      <c r="AM141" s="22">
        <v>10246600</v>
      </c>
      <c r="AN141" s="22">
        <v>5674400</v>
      </c>
      <c r="AO141" s="22">
        <v>12719600</v>
      </c>
      <c r="AP141" s="22">
        <v>12781300</v>
      </c>
      <c r="AQ141" s="22">
        <v>27264300</v>
      </c>
      <c r="AR141" s="22">
        <v>10198100</v>
      </c>
      <c r="AS141" s="22">
        <v>7010600</v>
      </c>
      <c r="AT141" s="22">
        <v>3332200</v>
      </c>
      <c r="AU141" s="22">
        <v>5049900</v>
      </c>
      <c r="AV141" s="22">
        <v>3281300</v>
      </c>
      <c r="AW141" s="22">
        <v>5145400</v>
      </c>
      <c r="AX141" s="22">
        <v>4347000</v>
      </c>
      <c r="AY141" s="22">
        <v>6232600</v>
      </c>
      <c r="AZ141" s="22">
        <v>6677600</v>
      </c>
      <c r="BA141" s="22">
        <v>9110900</v>
      </c>
      <c r="BB141" s="22">
        <v>10056300</v>
      </c>
      <c r="BC141" s="22">
        <v>10874200</v>
      </c>
      <c r="BD141" s="22">
        <v>9585600</v>
      </c>
      <c r="BE141" s="22">
        <v>10809600</v>
      </c>
      <c r="BF141" s="22">
        <v>10931600</v>
      </c>
      <c r="BG141" s="22">
        <v>11264200</v>
      </c>
      <c r="BH141" s="22">
        <v>15979900</v>
      </c>
      <c r="BI141" s="22">
        <v>24986800</v>
      </c>
      <c r="BJ141" s="22">
        <v>32272500</v>
      </c>
      <c r="BK141" s="22">
        <v>15285300</v>
      </c>
      <c r="BL141" s="22">
        <v>28227500</v>
      </c>
    </row>
    <row r="142" spans="1:64" ht="15.95" customHeight="1">
      <c r="A142" s="433" t="s">
        <v>487</v>
      </c>
      <c r="B142" s="49" t="str">
        <f>銘柄管理!C142</f>
        <v>第一三共</v>
      </c>
      <c r="C142" s="53">
        <f>_xll.RssMarket("4568","出来高")</f>
        <v>7992100</v>
      </c>
      <c r="D142" s="220">
        <f t="shared" si="2"/>
        <v>0</v>
      </c>
      <c r="E142" s="22">
        <v>7992100</v>
      </c>
      <c r="F142" s="22">
        <v>5513800</v>
      </c>
      <c r="G142" s="22">
        <v>7587700</v>
      </c>
      <c r="H142" s="22">
        <v>6121800</v>
      </c>
      <c r="I142" s="22">
        <v>8162700</v>
      </c>
      <c r="J142" s="22">
        <v>7893600</v>
      </c>
      <c r="K142" s="22">
        <v>12276100</v>
      </c>
      <c r="L142" s="22">
        <v>13801100</v>
      </c>
      <c r="M142" s="22">
        <v>7367200</v>
      </c>
      <c r="N142" s="22">
        <v>7108300</v>
      </c>
      <c r="O142" s="22">
        <v>19725400</v>
      </c>
      <c r="P142" s="22">
        <v>6353800</v>
      </c>
      <c r="Q142" s="22">
        <v>6112300</v>
      </c>
      <c r="R142" s="22">
        <v>7149800</v>
      </c>
      <c r="S142" s="22">
        <v>5618500</v>
      </c>
      <c r="T142" s="22">
        <v>6512900</v>
      </c>
      <c r="U142" s="22">
        <v>8039200</v>
      </c>
      <c r="V142" s="22">
        <v>8106600</v>
      </c>
      <c r="W142" s="22">
        <v>5616100</v>
      </c>
      <c r="X142" s="22">
        <v>8793800</v>
      </c>
      <c r="Y142" s="22">
        <v>10516700</v>
      </c>
      <c r="Z142" s="22">
        <v>7061800</v>
      </c>
      <c r="AA142" s="22">
        <v>13241500</v>
      </c>
      <c r="AB142" s="22">
        <v>11532500</v>
      </c>
      <c r="AC142" s="22">
        <v>12477400</v>
      </c>
      <c r="AD142" s="22">
        <v>14251700</v>
      </c>
      <c r="AE142" s="22">
        <v>7940900</v>
      </c>
      <c r="AF142" s="22">
        <v>10441900</v>
      </c>
      <c r="AG142" s="22">
        <v>13321300</v>
      </c>
      <c r="AH142" s="22">
        <v>16617200</v>
      </c>
      <c r="AI142" s="22">
        <v>25238300</v>
      </c>
      <c r="AJ142" s="22">
        <v>6290000</v>
      </c>
      <c r="AK142" s="22">
        <v>6375400</v>
      </c>
      <c r="AL142" s="22">
        <v>5436700</v>
      </c>
      <c r="AM142" s="22">
        <v>7280300</v>
      </c>
      <c r="AN142" s="22">
        <v>7592100</v>
      </c>
      <c r="AO142" s="22">
        <v>11121300</v>
      </c>
      <c r="AP142" s="22">
        <v>13364600</v>
      </c>
      <c r="AQ142" s="22">
        <v>7573500</v>
      </c>
      <c r="AR142" s="22">
        <v>6100000</v>
      </c>
      <c r="AS142" s="22">
        <v>8133100</v>
      </c>
      <c r="AT142" s="22">
        <v>7428200</v>
      </c>
      <c r="AU142" s="22">
        <v>8203000</v>
      </c>
      <c r="AV142" s="22">
        <v>3104200</v>
      </c>
      <c r="AW142" s="22">
        <v>2815100</v>
      </c>
      <c r="AX142" s="22">
        <v>2745100</v>
      </c>
      <c r="AY142" s="22">
        <v>5624900</v>
      </c>
      <c r="AZ142" s="22">
        <v>7217100</v>
      </c>
      <c r="BA142" s="22">
        <v>7626700</v>
      </c>
      <c r="BB142" s="22">
        <v>8812900</v>
      </c>
      <c r="BC142" s="22">
        <v>7712900</v>
      </c>
      <c r="BD142" s="22">
        <v>10791200</v>
      </c>
      <c r="BE142" s="22">
        <v>6406300</v>
      </c>
      <c r="BF142" s="22">
        <v>8083400</v>
      </c>
      <c r="BG142" s="22">
        <v>10834800</v>
      </c>
      <c r="BH142" s="22">
        <v>10668400</v>
      </c>
      <c r="BI142" s="22">
        <v>6739200</v>
      </c>
      <c r="BJ142" s="22">
        <v>12131300</v>
      </c>
      <c r="BK142" s="22">
        <v>9665800</v>
      </c>
      <c r="BL142" s="22">
        <v>11552000</v>
      </c>
    </row>
    <row r="143" spans="1:64" ht="15.95" customHeight="1">
      <c r="A143" s="433" t="s">
        <v>399</v>
      </c>
      <c r="B143" s="49" t="s">
        <v>203</v>
      </c>
      <c r="C143" s="53">
        <f>_xll.RssMarket("6522","出来高")</f>
        <v>95600</v>
      </c>
      <c r="D143" s="16">
        <f t="shared" si="2"/>
        <v>0</v>
      </c>
      <c r="E143" s="22">
        <v>95600</v>
      </c>
      <c r="F143" s="22">
        <v>98600</v>
      </c>
      <c r="G143" s="22">
        <v>292100</v>
      </c>
      <c r="H143" s="22">
        <v>117000</v>
      </c>
      <c r="I143" s="22">
        <v>132300</v>
      </c>
      <c r="J143" s="22">
        <v>184600</v>
      </c>
      <c r="K143" s="22">
        <v>237200</v>
      </c>
      <c r="L143" s="22">
        <v>259100</v>
      </c>
      <c r="M143" s="22">
        <v>392400</v>
      </c>
      <c r="N143" s="22">
        <v>1195400</v>
      </c>
      <c r="O143" s="22">
        <v>368200</v>
      </c>
      <c r="P143" s="22">
        <v>493700</v>
      </c>
      <c r="Q143" s="22">
        <v>648400</v>
      </c>
      <c r="R143" s="22">
        <v>236400</v>
      </c>
      <c r="S143" s="22">
        <v>262800</v>
      </c>
      <c r="T143" s="22">
        <v>340800</v>
      </c>
      <c r="U143" s="22">
        <v>267100</v>
      </c>
      <c r="V143" s="22">
        <v>271800</v>
      </c>
      <c r="W143" s="22">
        <v>332700</v>
      </c>
      <c r="X143" s="22">
        <v>278800</v>
      </c>
      <c r="Y143" s="22">
        <v>353200</v>
      </c>
      <c r="Z143" s="22">
        <v>387200</v>
      </c>
      <c r="AA143" s="22">
        <v>475500</v>
      </c>
      <c r="AB143" s="22">
        <v>466900</v>
      </c>
      <c r="AC143" s="22">
        <v>466900</v>
      </c>
      <c r="AD143" s="22">
        <v>503500</v>
      </c>
      <c r="AE143" s="22">
        <v>661200</v>
      </c>
      <c r="AF143" s="22">
        <v>982300</v>
      </c>
      <c r="AG143" s="22">
        <v>649500</v>
      </c>
      <c r="AH143" s="22">
        <v>715400</v>
      </c>
      <c r="AI143" s="22">
        <v>1380800</v>
      </c>
      <c r="AJ143" s="22">
        <v>2718900</v>
      </c>
      <c r="AK143" s="22">
        <v>1585600</v>
      </c>
      <c r="AL143" s="22">
        <v>6125400</v>
      </c>
      <c r="AM143" s="22">
        <v>6645200</v>
      </c>
      <c r="AN143" s="22">
        <v>1375000</v>
      </c>
      <c r="AO143" s="22">
        <v>1326200</v>
      </c>
      <c r="AP143" s="22">
        <v>1251800</v>
      </c>
      <c r="AQ143" s="22">
        <v>2360100</v>
      </c>
      <c r="AR143" s="22">
        <v>524600</v>
      </c>
      <c r="AS143" s="22">
        <v>523000</v>
      </c>
      <c r="AT143" s="22">
        <v>739000</v>
      </c>
      <c r="AU143" s="22">
        <v>1104300</v>
      </c>
      <c r="AV143" s="22">
        <v>1066500</v>
      </c>
      <c r="AW143" s="22">
        <v>1141200</v>
      </c>
      <c r="AX143" s="22">
        <v>1210900</v>
      </c>
      <c r="AY143" s="22">
        <v>3439200</v>
      </c>
      <c r="AZ143" s="22">
        <v>2721800</v>
      </c>
      <c r="BA143" s="22">
        <v>3289600</v>
      </c>
      <c r="BB143" s="22">
        <v>3980300</v>
      </c>
      <c r="BC143" s="22">
        <v>10605900</v>
      </c>
      <c r="BD143" s="22">
        <v>14817300</v>
      </c>
      <c r="BE143" s="22">
        <v>8787700</v>
      </c>
      <c r="BF143" s="22">
        <v>15131900</v>
      </c>
      <c r="BG143" s="22">
        <v>146100</v>
      </c>
      <c r="BH143" s="22">
        <v>17281300</v>
      </c>
      <c r="BI143" s="22">
        <v>44400</v>
      </c>
      <c r="BJ143" s="22">
        <v>37000</v>
      </c>
      <c r="BK143" s="22">
        <v>7400</v>
      </c>
      <c r="BL143" s="22">
        <v>9700</v>
      </c>
    </row>
    <row r="144" spans="1:64" ht="15.95" customHeight="1">
      <c r="A144" s="433" t="s">
        <v>400</v>
      </c>
      <c r="B144" s="49" t="s">
        <v>204</v>
      </c>
      <c r="C144" s="53">
        <f>_xll.RssMarket("6777","出来高")</f>
        <v>118600</v>
      </c>
      <c r="D144" s="16">
        <f t="shared" si="2"/>
        <v>0</v>
      </c>
      <c r="E144" s="22">
        <v>118600</v>
      </c>
      <c r="F144" s="22">
        <v>196200</v>
      </c>
      <c r="G144" s="22">
        <v>164700</v>
      </c>
      <c r="H144" s="22">
        <v>104700</v>
      </c>
      <c r="I144" s="22">
        <v>171500</v>
      </c>
      <c r="J144" s="22">
        <v>208400</v>
      </c>
      <c r="K144" s="22">
        <v>90900</v>
      </c>
      <c r="L144" s="22">
        <v>119300</v>
      </c>
      <c r="M144" s="22">
        <v>276300</v>
      </c>
      <c r="N144" s="22">
        <v>175000</v>
      </c>
      <c r="O144" s="22">
        <v>344300</v>
      </c>
      <c r="P144" s="22">
        <v>158900</v>
      </c>
      <c r="Q144" s="22">
        <v>223200</v>
      </c>
      <c r="R144" s="22">
        <v>217500</v>
      </c>
      <c r="S144" s="22">
        <v>153800</v>
      </c>
      <c r="T144" s="22">
        <v>210200</v>
      </c>
      <c r="U144" s="22">
        <v>205600</v>
      </c>
      <c r="V144" s="22">
        <v>338700</v>
      </c>
      <c r="W144" s="22">
        <v>478000</v>
      </c>
      <c r="X144" s="22">
        <v>231900</v>
      </c>
      <c r="Y144" s="22">
        <v>274700</v>
      </c>
      <c r="Z144" s="22">
        <v>266800</v>
      </c>
      <c r="AA144" s="22">
        <v>503200</v>
      </c>
      <c r="AB144" s="22">
        <v>177700</v>
      </c>
      <c r="AC144" s="22">
        <v>177700</v>
      </c>
      <c r="AD144" s="22">
        <v>220700</v>
      </c>
      <c r="AE144" s="22">
        <v>265500</v>
      </c>
      <c r="AF144" s="22">
        <v>128100</v>
      </c>
      <c r="AG144" s="22">
        <v>138700</v>
      </c>
      <c r="AH144" s="22">
        <v>168700</v>
      </c>
      <c r="AI144" s="22">
        <v>276800</v>
      </c>
      <c r="AJ144" s="22">
        <v>442400</v>
      </c>
      <c r="AK144" s="22">
        <v>676100</v>
      </c>
      <c r="AL144" s="22">
        <v>297500</v>
      </c>
      <c r="AM144" s="22">
        <v>358200</v>
      </c>
      <c r="AN144" s="22">
        <v>614900</v>
      </c>
      <c r="AO144" s="22">
        <v>321500</v>
      </c>
      <c r="AP144" s="22">
        <v>203700</v>
      </c>
      <c r="AQ144" s="22">
        <v>303100</v>
      </c>
      <c r="AR144" s="22">
        <v>254200</v>
      </c>
      <c r="AS144" s="22">
        <v>368000</v>
      </c>
      <c r="AT144" s="22">
        <v>182100</v>
      </c>
      <c r="AU144" s="22">
        <v>104700</v>
      </c>
      <c r="AV144" s="22">
        <v>138700</v>
      </c>
      <c r="AW144" s="22">
        <v>91800</v>
      </c>
      <c r="AX144" s="22">
        <v>141700</v>
      </c>
      <c r="AY144" s="22">
        <v>136400</v>
      </c>
      <c r="AZ144" s="22">
        <v>148900</v>
      </c>
      <c r="BA144" s="22">
        <v>196100</v>
      </c>
      <c r="BB144" s="22">
        <v>126900</v>
      </c>
      <c r="BC144" s="22">
        <v>130100</v>
      </c>
      <c r="BD144" s="22">
        <v>84500</v>
      </c>
      <c r="BE144" s="22">
        <v>155000</v>
      </c>
      <c r="BF144" s="22">
        <v>139300</v>
      </c>
      <c r="BG144" s="22">
        <v>221300</v>
      </c>
      <c r="BH144" s="22">
        <v>221800</v>
      </c>
      <c r="BI144" s="22">
        <v>286600</v>
      </c>
      <c r="BJ144" s="22">
        <v>351600</v>
      </c>
      <c r="BK144" s="22">
        <v>179300</v>
      </c>
      <c r="BL144" s="22">
        <v>172200</v>
      </c>
    </row>
    <row r="145" spans="1:64" ht="15.95" customHeight="1">
      <c r="A145" s="433" t="s">
        <v>401</v>
      </c>
      <c r="B145" s="49" t="s">
        <v>205</v>
      </c>
      <c r="C145" s="53">
        <f>_xll.RssMarket("6787","出来高")</f>
        <v>512700</v>
      </c>
      <c r="D145" s="16">
        <f t="shared" si="2"/>
        <v>0</v>
      </c>
      <c r="E145" s="22">
        <v>512700</v>
      </c>
      <c r="F145" s="22">
        <v>1004800</v>
      </c>
      <c r="G145" s="22">
        <v>525400</v>
      </c>
      <c r="H145" s="22">
        <v>614900</v>
      </c>
      <c r="I145" s="22">
        <v>392400</v>
      </c>
      <c r="J145" s="22">
        <v>347600</v>
      </c>
      <c r="K145" s="22">
        <v>418600</v>
      </c>
      <c r="L145" s="22">
        <v>423200</v>
      </c>
      <c r="M145" s="22">
        <v>370800</v>
      </c>
      <c r="N145" s="22">
        <v>539200</v>
      </c>
      <c r="O145" s="22">
        <v>660800</v>
      </c>
      <c r="P145" s="22">
        <v>469000</v>
      </c>
      <c r="Q145" s="22">
        <v>573300</v>
      </c>
      <c r="R145" s="22">
        <v>922200</v>
      </c>
      <c r="S145" s="22">
        <v>560800</v>
      </c>
      <c r="T145" s="22">
        <v>717600</v>
      </c>
      <c r="U145" s="22">
        <v>412700</v>
      </c>
      <c r="V145" s="22">
        <v>462800</v>
      </c>
      <c r="W145" s="22">
        <v>713300</v>
      </c>
      <c r="X145" s="22">
        <v>1154400</v>
      </c>
      <c r="Y145" s="22">
        <v>154600</v>
      </c>
      <c r="Z145" s="22">
        <v>438300</v>
      </c>
      <c r="AA145" s="22">
        <v>467100</v>
      </c>
      <c r="AB145" s="22">
        <v>368600</v>
      </c>
      <c r="AC145" s="22">
        <v>368600</v>
      </c>
      <c r="AD145" s="22">
        <v>443300</v>
      </c>
      <c r="AE145" s="22">
        <v>473700</v>
      </c>
      <c r="AF145" s="22">
        <v>310500</v>
      </c>
      <c r="AG145" s="22">
        <v>359900</v>
      </c>
      <c r="AH145" s="22">
        <v>604600</v>
      </c>
      <c r="AI145" s="22">
        <v>461300</v>
      </c>
      <c r="AJ145" s="22">
        <v>399800</v>
      </c>
      <c r="AK145" s="22">
        <v>419300</v>
      </c>
      <c r="AL145" s="22">
        <v>499100</v>
      </c>
      <c r="AM145" s="22">
        <v>401700</v>
      </c>
      <c r="AN145" s="22">
        <v>472600</v>
      </c>
      <c r="AO145" s="22">
        <v>347000</v>
      </c>
      <c r="AP145" s="22">
        <v>348500</v>
      </c>
      <c r="AQ145" s="22">
        <v>497700</v>
      </c>
      <c r="AR145" s="22">
        <v>820600</v>
      </c>
      <c r="AS145" s="22">
        <v>715800</v>
      </c>
      <c r="AT145" s="22">
        <v>462900</v>
      </c>
      <c r="AU145" s="22">
        <v>522900</v>
      </c>
      <c r="AV145" s="22">
        <v>698300</v>
      </c>
      <c r="AW145" s="22">
        <v>732600</v>
      </c>
      <c r="AX145" s="22">
        <v>478200</v>
      </c>
      <c r="AY145" s="22">
        <v>505600</v>
      </c>
      <c r="AZ145" s="22">
        <v>857000</v>
      </c>
      <c r="BA145" s="22">
        <v>780000</v>
      </c>
      <c r="BB145" s="22">
        <v>650200</v>
      </c>
      <c r="BC145" s="22">
        <v>580400</v>
      </c>
      <c r="BD145" s="22">
        <v>809400</v>
      </c>
      <c r="BE145" s="22">
        <v>610800</v>
      </c>
      <c r="BF145" s="22">
        <v>402200</v>
      </c>
      <c r="BG145" s="22">
        <v>703200</v>
      </c>
      <c r="BH145" s="22">
        <v>505200</v>
      </c>
      <c r="BI145" s="22">
        <v>424600</v>
      </c>
      <c r="BJ145" s="22">
        <v>446400</v>
      </c>
      <c r="BK145" s="22">
        <v>608500</v>
      </c>
      <c r="BL145" s="22">
        <v>384100</v>
      </c>
    </row>
    <row r="146" spans="1:64" ht="15.95" customHeight="1">
      <c r="A146" s="433" t="s">
        <v>402</v>
      </c>
      <c r="B146" s="49" t="s">
        <v>206</v>
      </c>
      <c r="C146" s="53">
        <f>_xll.RssMarket("4888","出来高")</f>
        <v>331200</v>
      </c>
      <c r="D146" s="16">
        <f t="shared" si="2"/>
        <v>0</v>
      </c>
      <c r="E146" s="22">
        <v>331200</v>
      </c>
      <c r="F146" s="22">
        <v>211100</v>
      </c>
      <c r="G146" s="22">
        <v>270500</v>
      </c>
      <c r="H146" s="22">
        <v>382100</v>
      </c>
      <c r="I146" s="22">
        <v>336500</v>
      </c>
      <c r="J146" s="22">
        <v>839500</v>
      </c>
      <c r="K146" s="22">
        <v>180600</v>
      </c>
      <c r="L146" s="22">
        <v>222100</v>
      </c>
      <c r="M146" s="22">
        <v>307700</v>
      </c>
      <c r="N146" s="22">
        <v>423000</v>
      </c>
      <c r="O146" s="22">
        <v>749300</v>
      </c>
      <c r="P146" s="22">
        <v>303800</v>
      </c>
      <c r="Q146" s="22">
        <v>1469800</v>
      </c>
      <c r="R146" s="22">
        <v>395600</v>
      </c>
      <c r="S146" s="22">
        <v>673200</v>
      </c>
      <c r="T146" s="22">
        <v>822600</v>
      </c>
      <c r="U146" s="22">
        <v>581600</v>
      </c>
      <c r="V146" s="22">
        <v>751400</v>
      </c>
      <c r="W146" s="22">
        <v>2726100</v>
      </c>
      <c r="X146" s="22">
        <v>860100</v>
      </c>
      <c r="Y146" s="22">
        <v>2031100</v>
      </c>
      <c r="Z146" s="22">
        <v>521800</v>
      </c>
      <c r="AA146" s="22">
        <v>602900</v>
      </c>
      <c r="AB146" s="22">
        <v>1100100</v>
      </c>
      <c r="AC146" s="22">
        <v>1100100</v>
      </c>
      <c r="AD146" s="22">
        <v>345600</v>
      </c>
      <c r="AE146" s="22">
        <v>616700</v>
      </c>
      <c r="AF146" s="22">
        <v>631800</v>
      </c>
      <c r="AG146" s="22">
        <v>423800</v>
      </c>
      <c r="AH146" s="22">
        <v>754500</v>
      </c>
      <c r="AI146" s="22">
        <v>663000</v>
      </c>
      <c r="AJ146" s="22">
        <v>1486000</v>
      </c>
      <c r="AK146" s="22">
        <v>1805200</v>
      </c>
      <c r="AL146" s="22">
        <v>2214400</v>
      </c>
      <c r="AM146" s="22">
        <v>2130400</v>
      </c>
      <c r="AN146" s="22">
        <v>1277500</v>
      </c>
      <c r="AO146" s="22">
        <v>2219600</v>
      </c>
      <c r="AP146" s="22">
        <v>2740000</v>
      </c>
      <c r="AQ146" s="22">
        <v>1390700</v>
      </c>
      <c r="AR146" s="22">
        <v>1327800</v>
      </c>
      <c r="AS146" s="22">
        <v>1494900</v>
      </c>
      <c r="AT146" s="22">
        <v>4120500</v>
      </c>
      <c r="AU146" s="22">
        <v>1107200</v>
      </c>
      <c r="AV146" s="22">
        <v>2074800</v>
      </c>
      <c r="AW146" s="22">
        <v>2642300</v>
      </c>
      <c r="AX146" s="22">
        <v>2451200</v>
      </c>
      <c r="AY146" s="22">
        <v>2092000</v>
      </c>
      <c r="AZ146" s="22">
        <v>1528300</v>
      </c>
      <c r="BA146" s="22">
        <v>3005600</v>
      </c>
      <c r="BB146" s="22">
        <v>3323700</v>
      </c>
      <c r="BC146" s="22">
        <v>7314000</v>
      </c>
      <c r="BD146" s="22">
        <v>6676500</v>
      </c>
      <c r="BE146" s="22">
        <v>13906700</v>
      </c>
      <c r="BF146" s="22">
        <v>14221100</v>
      </c>
      <c r="BG146" s="22">
        <v>5168500</v>
      </c>
      <c r="BH146" s="22">
        <v>8573300</v>
      </c>
      <c r="BI146" s="22">
        <v>5861100</v>
      </c>
      <c r="BJ146" s="22">
        <v>15105900</v>
      </c>
      <c r="BK146" s="22">
        <v>862200</v>
      </c>
      <c r="BL146" s="22">
        <v>983100</v>
      </c>
    </row>
    <row r="147" spans="1:64" ht="15.95" customHeight="1">
      <c r="A147" s="433" t="s">
        <v>403</v>
      </c>
      <c r="B147" s="49" t="s">
        <v>207</v>
      </c>
      <c r="C147" s="53">
        <f>_xll.RssMarket("6387","出来高")</f>
        <v>321300</v>
      </c>
      <c r="D147" s="16">
        <f t="shared" si="2"/>
        <v>0</v>
      </c>
      <c r="E147" s="22">
        <v>321300</v>
      </c>
      <c r="F147" s="22">
        <v>381200</v>
      </c>
      <c r="G147" s="22">
        <v>151900</v>
      </c>
      <c r="H147" s="22">
        <v>158900</v>
      </c>
      <c r="I147" s="22">
        <v>84700</v>
      </c>
      <c r="J147" s="22">
        <v>137700</v>
      </c>
      <c r="K147" s="22">
        <v>97900</v>
      </c>
      <c r="L147" s="22">
        <v>129100</v>
      </c>
      <c r="M147" s="22">
        <v>228700</v>
      </c>
      <c r="N147" s="22">
        <v>222000</v>
      </c>
      <c r="O147" s="22">
        <v>74200</v>
      </c>
      <c r="P147" s="22">
        <v>88300</v>
      </c>
      <c r="Q147" s="22">
        <v>129800</v>
      </c>
      <c r="R147" s="22">
        <v>144700</v>
      </c>
      <c r="S147" s="22">
        <v>143100</v>
      </c>
      <c r="T147" s="22">
        <v>133100</v>
      </c>
      <c r="U147" s="22">
        <v>118100</v>
      </c>
      <c r="V147" s="22">
        <v>132500</v>
      </c>
      <c r="W147" s="22">
        <v>88000</v>
      </c>
      <c r="X147" s="22">
        <v>130200</v>
      </c>
      <c r="Y147" s="22">
        <v>163300</v>
      </c>
      <c r="Z147" s="22">
        <v>111400</v>
      </c>
      <c r="AA147" s="22">
        <v>159300</v>
      </c>
      <c r="AB147" s="22">
        <v>150600</v>
      </c>
      <c r="AC147" s="22">
        <v>150600</v>
      </c>
      <c r="AD147" s="22">
        <v>274200</v>
      </c>
      <c r="AE147" s="22">
        <v>327900</v>
      </c>
      <c r="AF147" s="22">
        <v>134500</v>
      </c>
      <c r="AG147" s="22">
        <v>152100</v>
      </c>
      <c r="AH147" s="22">
        <v>165100</v>
      </c>
      <c r="AI147" s="22">
        <v>217900</v>
      </c>
      <c r="AJ147" s="22">
        <v>339700</v>
      </c>
      <c r="AK147" s="22">
        <v>371200</v>
      </c>
      <c r="AL147" s="22">
        <v>224900</v>
      </c>
      <c r="AM147" s="22">
        <v>98500</v>
      </c>
      <c r="AN147" s="22">
        <v>111100</v>
      </c>
      <c r="AO147" s="22">
        <v>142500</v>
      </c>
      <c r="AP147" s="22">
        <v>230100</v>
      </c>
      <c r="AQ147" s="22">
        <v>200700</v>
      </c>
      <c r="AR147" s="22">
        <v>284600</v>
      </c>
      <c r="AS147" s="22">
        <v>279200</v>
      </c>
      <c r="AT147" s="22">
        <v>226700</v>
      </c>
      <c r="AU147" s="22">
        <v>163700</v>
      </c>
      <c r="AV147" s="22">
        <v>224800</v>
      </c>
      <c r="AW147" s="22">
        <v>78000</v>
      </c>
      <c r="AX147" s="22">
        <v>115200</v>
      </c>
      <c r="AY147" s="22">
        <v>170100</v>
      </c>
      <c r="AZ147" s="22">
        <v>288700</v>
      </c>
      <c r="BA147" s="22">
        <v>242800</v>
      </c>
      <c r="BB147" s="22">
        <v>159600</v>
      </c>
      <c r="BC147" s="22">
        <v>248700</v>
      </c>
      <c r="BD147" s="22">
        <v>457900</v>
      </c>
      <c r="BE147" s="22">
        <v>229100</v>
      </c>
      <c r="BF147" s="22">
        <v>276000</v>
      </c>
      <c r="BG147" s="22">
        <v>210300</v>
      </c>
      <c r="BH147" s="22">
        <v>327000</v>
      </c>
      <c r="BI147" s="22">
        <v>228600</v>
      </c>
      <c r="BJ147" s="22">
        <v>480700</v>
      </c>
      <c r="BK147" s="22">
        <v>633400</v>
      </c>
      <c r="BL147" s="22">
        <v>139400</v>
      </c>
    </row>
    <row r="148" spans="1:64" ht="15.95" customHeight="1">
      <c r="A148" s="433" t="s">
        <v>404</v>
      </c>
      <c r="B148" s="49" t="s">
        <v>208</v>
      </c>
      <c r="C148" s="53">
        <f>_xll.RssMarket("6838","出来高")</f>
        <v>1705200</v>
      </c>
      <c r="D148" s="16">
        <f t="shared" si="2"/>
        <v>0</v>
      </c>
      <c r="E148" s="22">
        <v>1705200</v>
      </c>
      <c r="F148" s="22">
        <v>27400</v>
      </c>
      <c r="G148" s="22">
        <v>311400</v>
      </c>
      <c r="H148" s="22">
        <v>437400</v>
      </c>
      <c r="I148" s="22">
        <v>574900</v>
      </c>
      <c r="J148" s="22">
        <v>588300</v>
      </c>
      <c r="K148" s="22">
        <v>292700</v>
      </c>
      <c r="L148" s="22">
        <v>333000</v>
      </c>
      <c r="M148" s="22">
        <v>379500</v>
      </c>
      <c r="N148" s="22">
        <v>478800</v>
      </c>
      <c r="O148" s="22">
        <v>331600</v>
      </c>
      <c r="P148" s="22">
        <v>268000</v>
      </c>
      <c r="Q148" s="22">
        <v>486600</v>
      </c>
      <c r="R148" s="22">
        <v>468300</v>
      </c>
      <c r="S148" s="22">
        <v>383300</v>
      </c>
      <c r="T148" s="22">
        <v>485100</v>
      </c>
      <c r="U148" s="22">
        <v>497500</v>
      </c>
      <c r="V148" s="22">
        <v>817000</v>
      </c>
      <c r="W148" s="22">
        <v>600600</v>
      </c>
      <c r="X148" s="22">
        <v>438700</v>
      </c>
      <c r="Y148" s="22">
        <v>406800</v>
      </c>
      <c r="Z148" s="22">
        <v>474400</v>
      </c>
      <c r="AA148" s="22">
        <v>640700</v>
      </c>
      <c r="AB148" s="22">
        <v>1706600</v>
      </c>
      <c r="AC148" s="22">
        <v>1706600</v>
      </c>
      <c r="AD148" s="22">
        <v>485200</v>
      </c>
      <c r="AE148" s="22">
        <v>379100</v>
      </c>
      <c r="AF148" s="22">
        <v>186100</v>
      </c>
      <c r="AG148" s="22">
        <v>334600</v>
      </c>
      <c r="AH148" s="22">
        <v>232100</v>
      </c>
      <c r="AI148" s="22">
        <v>546200</v>
      </c>
      <c r="AJ148" s="22">
        <v>466500</v>
      </c>
      <c r="AK148" s="22">
        <v>813500</v>
      </c>
      <c r="AL148" s="22">
        <v>483800</v>
      </c>
      <c r="AM148" s="22">
        <v>1369200</v>
      </c>
      <c r="AN148" s="22">
        <v>2102000</v>
      </c>
      <c r="AO148" s="22">
        <v>1228500</v>
      </c>
      <c r="AP148" s="22">
        <v>485200</v>
      </c>
      <c r="AQ148" s="22">
        <v>302900</v>
      </c>
      <c r="AR148" s="22">
        <v>249600</v>
      </c>
      <c r="AS148" s="22">
        <v>210500</v>
      </c>
      <c r="AT148" s="22">
        <v>565500</v>
      </c>
      <c r="AU148" s="22">
        <v>277700</v>
      </c>
      <c r="AV148" s="22">
        <v>296100</v>
      </c>
      <c r="AW148" s="22">
        <v>325800</v>
      </c>
      <c r="AX148" s="22">
        <v>498800</v>
      </c>
      <c r="AY148" s="22">
        <v>1080900</v>
      </c>
      <c r="AZ148" s="22">
        <v>569300</v>
      </c>
      <c r="BA148" s="22">
        <v>703000</v>
      </c>
      <c r="BB148" s="22">
        <v>371400</v>
      </c>
      <c r="BC148" s="22">
        <v>364200</v>
      </c>
      <c r="BD148" s="22">
        <v>704400</v>
      </c>
      <c r="BE148" s="22">
        <v>553500</v>
      </c>
      <c r="BF148" s="22">
        <v>933200</v>
      </c>
      <c r="BG148" s="22">
        <v>936300</v>
      </c>
      <c r="BH148" s="22">
        <v>1204200</v>
      </c>
      <c r="BI148" s="22">
        <v>3999400</v>
      </c>
      <c r="BJ148" s="22">
        <v>57500</v>
      </c>
      <c r="BK148" s="22">
        <v>434700</v>
      </c>
      <c r="BL148" s="22">
        <v>371400</v>
      </c>
    </row>
    <row r="149" spans="1:64" ht="15.95" customHeight="1">
      <c r="A149" s="433" t="s">
        <v>405</v>
      </c>
      <c r="B149" s="49" t="s">
        <v>209</v>
      </c>
      <c r="C149" s="53">
        <f>_xll.RssMarket("7375","出来高")</f>
        <v>59600</v>
      </c>
      <c r="D149" s="16">
        <f t="shared" si="2"/>
        <v>0</v>
      </c>
      <c r="E149" s="22">
        <v>59600</v>
      </c>
      <c r="F149" s="22">
        <v>73800</v>
      </c>
      <c r="G149" s="22">
        <v>86000</v>
      </c>
      <c r="H149" s="22">
        <v>119700</v>
      </c>
      <c r="I149" s="22">
        <v>82600</v>
      </c>
      <c r="J149" s="22">
        <v>66300</v>
      </c>
      <c r="K149" s="22">
        <v>54800</v>
      </c>
      <c r="L149" s="22">
        <v>101800</v>
      </c>
      <c r="M149" s="22">
        <v>158900</v>
      </c>
      <c r="N149" s="22">
        <v>201200</v>
      </c>
      <c r="O149" s="22">
        <v>204300</v>
      </c>
      <c r="P149" s="22">
        <v>318700</v>
      </c>
      <c r="Q149" s="22">
        <v>152800</v>
      </c>
      <c r="R149" s="22">
        <v>293400</v>
      </c>
      <c r="S149" s="22">
        <v>768300</v>
      </c>
      <c r="T149" s="22">
        <v>184600</v>
      </c>
      <c r="U149" s="22">
        <v>204400</v>
      </c>
      <c r="V149" s="22">
        <v>663800</v>
      </c>
      <c r="W149" s="22">
        <v>296000</v>
      </c>
      <c r="X149" s="22">
        <v>137900</v>
      </c>
      <c r="Y149" s="22">
        <v>195900</v>
      </c>
      <c r="Z149" s="22">
        <v>327100</v>
      </c>
      <c r="AA149" s="22">
        <v>186200</v>
      </c>
      <c r="AB149" s="22">
        <v>173000</v>
      </c>
      <c r="AC149" s="22">
        <v>173000</v>
      </c>
      <c r="AD149" s="22">
        <v>199900</v>
      </c>
      <c r="AE149" s="22">
        <v>430700</v>
      </c>
      <c r="AF149" s="22">
        <v>520100</v>
      </c>
      <c r="AG149" s="22">
        <v>1026600</v>
      </c>
      <c r="AH149" s="22">
        <v>1349600</v>
      </c>
      <c r="AI149" s="22">
        <v>302700</v>
      </c>
      <c r="AJ149" s="22">
        <v>497400</v>
      </c>
      <c r="AK149" s="22">
        <v>1285800</v>
      </c>
      <c r="AL149" s="22">
        <v>2531700</v>
      </c>
      <c r="AM149" s="22">
        <v>713500</v>
      </c>
      <c r="AN149" s="22">
        <v>1109600</v>
      </c>
      <c r="AO149" s="22">
        <v>2444400</v>
      </c>
      <c r="AP149" s="22">
        <v>5027500</v>
      </c>
      <c r="AQ149" s="22">
        <v>3095500</v>
      </c>
      <c r="AR149" s="22">
        <v>3845000</v>
      </c>
      <c r="AS149" s="22">
        <v>3213200</v>
      </c>
      <c r="AT149" s="22">
        <v>1704000</v>
      </c>
      <c r="AU149" s="22">
        <v>5662100</v>
      </c>
      <c r="AV149" s="22">
        <v>1325400</v>
      </c>
      <c r="AW149" s="22">
        <v>7407200</v>
      </c>
      <c r="AX149" s="22">
        <v>8154200</v>
      </c>
      <c r="AY149" s="22">
        <v>8197000</v>
      </c>
      <c r="AZ149" s="22">
        <v>3928200</v>
      </c>
      <c r="BA149" s="22">
        <v>4543400</v>
      </c>
      <c r="BB149" s="22">
        <v>2085800</v>
      </c>
      <c r="BC149" s="22">
        <v>1674600</v>
      </c>
      <c r="BD149" s="22">
        <v>967800</v>
      </c>
      <c r="BE149" s="22">
        <v>104400</v>
      </c>
      <c r="BF149" s="22">
        <v>245300</v>
      </c>
      <c r="BG149" s="22">
        <v>544900</v>
      </c>
      <c r="BH149" s="22">
        <v>873600</v>
      </c>
      <c r="BI149" s="22">
        <v>104500</v>
      </c>
      <c r="BJ149" s="22">
        <v>126700</v>
      </c>
      <c r="BK149" s="22">
        <v>138500</v>
      </c>
      <c r="BL149" s="22">
        <v>96600</v>
      </c>
    </row>
    <row r="150" spans="1:64" ht="15.95" customHeight="1">
      <c r="A150" s="433" t="s">
        <v>406</v>
      </c>
      <c r="B150" s="49" t="s">
        <v>210</v>
      </c>
      <c r="C150" s="53">
        <f>_xll.RssMarket("4307","出来高")</f>
        <v>1885500</v>
      </c>
      <c r="D150" s="16">
        <f t="shared" si="2"/>
        <v>0</v>
      </c>
      <c r="E150" s="22">
        <v>1885500</v>
      </c>
      <c r="F150" s="22">
        <v>2822700</v>
      </c>
      <c r="G150" s="22">
        <v>2122200</v>
      </c>
      <c r="H150" s="22">
        <v>1775500</v>
      </c>
      <c r="I150" s="22">
        <v>2062200</v>
      </c>
      <c r="J150" s="22">
        <v>1982800</v>
      </c>
      <c r="K150" s="22">
        <v>1948500</v>
      </c>
      <c r="L150" s="22">
        <v>2554500</v>
      </c>
      <c r="M150" s="22">
        <v>2766400</v>
      </c>
      <c r="N150" s="22">
        <v>3778000</v>
      </c>
      <c r="O150" s="22">
        <v>8861600</v>
      </c>
      <c r="P150" s="22">
        <v>4128500</v>
      </c>
      <c r="Q150" s="22">
        <v>3351800</v>
      </c>
      <c r="R150" s="22">
        <v>2705400</v>
      </c>
      <c r="S150" s="22">
        <v>3120600</v>
      </c>
      <c r="T150" s="22">
        <v>2921100</v>
      </c>
      <c r="U150" s="22">
        <v>4761400</v>
      </c>
      <c r="V150" s="22">
        <v>5627600</v>
      </c>
      <c r="W150" s="22">
        <v>5692100</v>
      </c>
      <c r="X150" s="22">
        <v>4777000</v>
      </c>
      <c r="Y150" s="22">
        <v>3878000</v>
      </c>
      <c r="Z150" s="22">
        <v>2250600</v>
      </c>
      <c r="AA150" s="22">
        <v>3870100</v>
      </c>
      <c r="AB150" s="22">
        <v>4311900</v>
      </c>
      <c r="AC150" s="22">
        <v>4311900</v>
      </c>
      <c r="AD150" s="22">
        <v>4184000</v>
      </c>
      <c r="AE150" s="22">
        <v>5056300</v>
      </c>
      <c r="AF150" s="22">
        <v>3854800</v>
      </c>
      <c r="AG150" s="22">
        <v>6816100</v>
      </c>
      <c r="AH150" s="22">
        <v>8727100</v>
      </c>
      <c r="AI150" s="22">
        <v>9837700</v>
      </c>
      <c r="AJ150" s="22">
        <v>7613500</v>
      </c>
      <c r="AK150" s="22">
        <v>5256500</v>
      </c>
      <c r="AL150" s="22">
        <v>3795500</v>
      </c>
      <c r="AM150" s="22">
        <v>3355300</v>
      </c>
      <c r="AN150" s="22">
        <v>2862800</v>
      </c>
      <c r="AO150" s="22">
        <v>3725400</v>
      </c>
      <c r="AP150" s="22">
        <v>4892600</v>
      </c>
      <c r="AQ150" s="22">
        <v>4884100</v>
      </c>
      <c r="AR150" s="22">
        <v>3775900</v>
      </c>
      <c r="AS150" s="22">
        <v>3492500</v>
      </c>
      <c r="AT150" s="22">
        <v>3333600</v>
      </c>
      <c r="AU150" s="22">
        <v>3507000</v>
      </c>
      <c r="AV150" s="22">
        <v>2290000</v>
      </c>
      <c r="AW150" s="22">
        <v>1638100</v>
      </c>
      <c r="AX150" s="22">
        <v>1009600</v>
      </c>
      <c r="AY150" s="22">
        <v>1254800</v>
      </c>
      <c r="AZ150" s="22">
        <v>3917700</v>
      </c>
      <c r="BA150" s="22">
        <v>5720900</v>
      </c>
      <c r="BB150" s="22">
        <v>3301700</v>
      </c>
      <c r="BC150" s="22">
        <v>1928600</v>
      </c>
      <c r="BD150" s="22">
        <v>1810300</v>
      </c>
      <c r="BE150" s="22">
        <v>3414100</v>
      </c>
      <c r="BF150" s="22">
        <v>2237100</v>
      </c>
      <c r="BG150" s="22">
        <v>2355600</v>
      </c>
      <c r="BH150" s="22">
        <v>3911600</v>
      </c>
      <c r="BI150" s="22">
        <v>1860000</v>
      </c>
      <c r="BJ150" s="22">
        <v>2455700</v>
      </c>
      <c r="BK150" s="22">
        <v>1694300</v>
      </c>
      <c r="BL150" s="22">
        <v>2471300</v>
      </c>
    </row>
    <row r="151" spans="1:64" ht="15.95" customHeight="1">
      <c r="A151" s="433" t="s">
        <v>407</v>
      </c>
      <c r="B151" s="49" t="s">
        <v>211</v>
      </c>
      <c r="C151" s="53">
        <f>_xll.RssMarket("6516","出来高")</f>
        <v>107700</v>
      </c>
      <c r="D151" s="16">
        <f t="shared" si="2"/>
        <v>0</v>
      </c>
      <c r="E151" s="22">
        <v>107700</v>
      </c>
      <c r="F151" s="22">
        <v>103500</v>
      </c>
      <c r="G151" s="22">
        <v>123000</v>
      </c>
      <c r="H151" s="22">
        <v>118400</v>
      </c>
      <c r="I151" s="22">
        <v>119300</v>
      </c>
      <c r="J151" s="22">
        <v>136500</v>
      </c>
      <c r="K151" s="22">
        <v>112700</v>
      </c>
      <c r="L151" s="22">
        <v>160100</v>
      </c>
      <c r="M151" s="22">
        <v>257900</v>
      </c>
      <c r="N151" s="22">
        <v>331500</v>
      </c>
      <c r="O151" s="22">
        <v>209900</v>
      </c>
      <c r="P151" s="22">
        <v>126600</v>
      </c>
      <c r="Q151" s="22">
        <v>142000</v>
      </c>
      <c r="R151" s="22">
        <v>181300</v>
      </c>
      <c r="S151" s="22">
        <v>130800</v>
      </c>
      <c r="T151" s="22">
        <v>187400</v>
      </c>
      <c r="U151" s="22">
        <v>159500</v>
      </c>
      <c r="V151" s="22">
        <v>219400</v>
      </c>
      <c r="W151" s="22">
        <v>133000</v>
      </c>
      <c r="X151" s="22">
        <v>185400</v>
      </c>
      <c r="Y151" s="22">
        <v>150200</v>
      </c>
      <c r="Z151" s="22">
        <v>100100</v>
      </c>
      <c r="AA151" s="22">
        <v>214000</v>
      </c>
      <c r="AB151" s="22">
        <v>229500</v>
      </c>
      <c r="AC151" s="22">
        <v>229500</v>
      </c>
      <c r="AD151" s="22">
        <v>184000</v>
      </c>
      <c r="AE151" s="22">
        <v>233700</v>
      </c>
      <c r="AF151" s="22">
        <v>169100</v>
      </c>
      <c r="AG151" s="22">
        <v>255300</v>
      </c>
      <c r="AH151" s="22">
        <v>801500</v>
      </c>
      <c r="AI151" s="22">
        <v>437500</v>
      </c>
      <c r="AJ151" s="22">
        <v>288200</v>
      </c>
      <c r="AK151" s="22">
        <v>150200</v>
      </c>
      <c r="AL151" s="22">
        <v>126900</v>
      </c>
      <c r="AM151" s="22">
        <v>54700</v>
      </c>
      <c r="AN151" s="22">
        <v>37200</v>
      </c>
      <c r="AO151" s="22">
        <v>49500</v>
      </c>
      <c r="AP151" s="22">
        <v>61400</v>
      </c>
      <c r="AQ151" s="22">
        <v>72400</v>
      </c>
      <c r="AR151" s="22">
        <v>110600</v>
      </c>
      <c r="AS151" s="22">
        <v>58600</v>
      </c>
      <c r="AT151" s="22">
        <v>98400</v>
      </c>
      <c r="AU151" s="22">
        <v>41400</v>
      </c>
      <c r="AV151" s="22">
        <v>69900</v>
      </c>
      <c r="AW151" s="22">
        <v>29700</v>
      </c>
      <c r="AX151" s="22">
        <v>30400</v>
      </c>
      <c r="AY151" s="22">
        <v>38700</v>
      </c>
      <c r="AZ151" s="22">
        <v>64300</v>
      </c>
      <c r="BA151" s="22">
        <v>76100</v>
      </c>
      <c r="BB151" s="22">
        <v>100700</v>
      </c>
      <c r="BC151" s="22">
        <v>73900</v>
      </c>
      <c r="BD151" s="22">
        <v>78400</v>
      </c>
      <c r="BE151" s="22">
        <v>87200</v>
      </c>
      <c r="BF151" s="22">
        <v>96600</v>
      </c>
      <c r="BG151" s="22">
        <v>150500</v>
      </c>
      <c r="BH151" s="22">
        <v>101700</v>
      </c>
      <c r="BI151" s="22">
        <v>58700</v>
      </c>
      <c r="BJ151" s="22">
        <v>61700</v>
      </c>
      <c r="BK151" s="22">
        <v>63200</v>
      </c>
      <c r="BL151" s="22">
        <v>86100</v>
      </c>
    </row>
    <row r="152" spans="1:64" ht="15.95" customHeight="1">
      <c r="A152" s="433" t="s">
        <v>408</v>
      </c>
      <c r="B152" s="49" t="s">
        <v>212</v>
      </c>
      <c r="C152" s="53">
        <f>_xll.RssMarket("7381","出来高")</f>
        <v>444200</v>
      </c>
      <c r="D152" s="16">
        <f t="shared" si="2"/>
        <v>0</v>
      </c>
      <c r="E152" s="22">
        <v>444200</v>
      </c>
      <c r="F152" s="22">
        <v>413400</v>
      </c>
      <c r="G152" s="22">
        <v>823600</v>
      </c>
      <c r="H152" s="22">
        <v>527000</v>
      </c>
      <c r="I152" s="22">
        <v>659400</v>
      </c>
      <c r="J152" s="22">
        <v>781900</v>
      </c>
      <c r="K152" s="22">
        <v>356100</v>
      </c>
      <c r="L152" s="22">
        <v>429300</v>
      </c>
      <c r="M152" s="22">
        <v>822300</v>
      </c>
      <c r="N152" s="22">
        <v>632000</v>
      </c>
      <c r="O152" s="22">
        <v>513300</v>
      </c>
      <c r="P152" s="22">
        <v>619200</v>
      </c>
      <c r="Q152" s="22">
        <v>497400</v>
      </c>
      <c r="R152" s="22">
        <v>436200</v>
      </c>
      <c r="S152" s="22">
        <v>452400</v>
      </c>
      <c r="T152" s="22">
        <v>898600</v>
      </c>
      <c r="U152" s="22">
        <v>467800</v>
      </c>
      <c r="V152" s="22">
        <v>758600</v>
      </c>
      <c r="W152" s="22">
        <v>650700</v>
      </c>
      <c r="X152" s="22">
        <v>826100</v>
      </c>
      <c r="Y152" s="22">
        <v>531000</v>
      </c>
      <c r="Z152" s="22">
        <v>391200</v>
      </c>
      <c r="AA152" s="22">
        <v>479100</v>
      </c>
      <c r="AB152" s="22">
        <v>890100</v>
      </c>
      <c r="AC152" s="22">
        <v>890100</v>
      </c>
      <c r="AD152" s="22">
        <v>947100</v>
      </c>
      <c r="AE152" s="22">
        <v>1553800</v>
      </c>
      <c r="AF152" s="22">
        <v>849900</v>
      </c>
      <c r="AG152" s="22">
        <v>937700</v>
      </c>
      <c r="AH152" s="22">
        <v>1000900</v>
      </c>
      <c r="AI152" s="22">
        <v>443900</v>
      </c>
      <c r="AJ152" s="22">
        <v>391300</v>
      </c>
      <c r="AK152" s="22">
        <v>441400</v>
      </c>
      <c r="AL152" s="22">
        <v>546100</v>
      </c>
      <c r="AM152" s="22">
        <v>485800</v>
      </c>
      <c r="AN152" s="22">
        <v>308200</v>
      </c>
      <c r="AO152" s="22">
        <v>433500</v>
      </c>
      <c r="AP152" s="22">
        <v>321900</v>
      </c>
      <c r="AQ152" s="22">
        <v>337000</v>
      </c>
      <c r="AR152" s="22">
        <v>256400</v>
      </c>
      <c r="AS152" s="22">
        <v>309300</v>
      </c>
      <c r="AT152" s="22">
        <v>444500</v>
      </c>
      <c r="AU152" s="22">
        <v>472900</v>
      </c>
      <c r="AV152" s="22">
        <v>590000</v>
      </c>
      <c r="AW152" s="22">
        <v>272000</v>
      </c>
      <c r="AX152" s="22">
        <v>279900</v>
      </c>
      <c r="AY152" s="22">
        <v>261000</v>
      </c>
      <c r="AZ152" s="22">
        <v>530900</v>
      </c>
      <c r="BA152" s="22">
        <v>754900</v>
      </c>
      <c r="BB152" s="22">
        <v>660500</v>
      </c>
      <c r="BC152" s="22">
        <v>663500</v>
      </c>
      <c r="BD152" s="22">
        <v>458000</v>
      </c>
      <c r="BE152" s="22">
        <v>431500</v>
      </c>
      <c r="BF152" s="22">
        <v>433100</v>
      </c>
      <c r="BG152" s="22">
        <v>592500</v>
      </c>
      <c r="BH152" s="22">
        <v>436600</v>
      </c>
      <c r="BI152" s="22">
        <v>453100</v>
      </c>
      <c r="BJ152" s="22">
        <v>352200</v>
      </c>
      <c r="BK152" s="22">
        <v>391800</v>
      </c>
      <c r="BL152" s="22">
        <v>560900</v>
      </c>
    </row>
    <row r="153" spans="1:64" ht="15.95" customHeight="1">
      <c r="A153" s="433" t="s">
        <v>409</v>
      </c>
      <c r="B153" s="49" t="s">
        <v>213</v>
      </c>
      <c r="C153" s="53">
        <f>_xll.RssMarket("4417","出来高")</f>
        <v>49100</v>
      </c>
      <c r="D153" s="16">
        <f t="shared" si="2"/>
        <v>0</v>
      </c>
      <c r="E153" s="22">
        <v>49100</v>
      </c>
      <c r="F153" s="22">
        <v>34600</v>
      </c>
      <c r="G153" s="22">
        <v>41600</v>
      </c>
      <c r="H153" s="22">
        <v>46300</v>
      </c>
      <c r="I153" s="22">
        <v>37300</v>
      </c>
      <c r="J153" s="22">
        <v>99100</v>
      </c>
      <c r="K153" s="22">
        <v>63500</v>
      </c>
      <c r="L153" s="22">
        <v>65800</v>
      </c>
      <c r="M153" s="22">
        <v>116400</v>
      </c>
      <c r="N153" s="22">
        <v>91900</v>
      </c>
      <c r="O153" s="22">
        <v>169100</v>
      </c>
      <c r="P153" s="22">
        <v>74100</v>
      </c>
      <c r="Q153" s="22">
        <v>82900</v>
      </c>
      <c r="R153" s="22">
        <v>118100</v>
      </c>
      <c r="S153" s="22">
        <v>131000</v>
      </c>
      <c r="T153" s="22">
        <v>158700</v>
      </c>
      <c r="U153" s="22">
        <v>82900</v>
      </c>
      <c r="V153" s="22">
        <v>68200</v>
      </c>
      <c r="W153" s="22">
        <v>41200</v>
      </c>
      <c r="X153" s="22">
        <v>63100</v>
      </c>
      <c r="Y153" s="22">
        <v>107000</v>
      </c>
      <c r="Z153" s="22">
        <v>85800</v>
      </c>
      <c r="AA153" s="22">
        <v>157500</v>
      </c>
      <c r="AB153" s="22">
        <v>94100</v>
      </c>
      <c r="AC153" s="22">
        <v>94100</v>
      </c>
      <c r="AD153" s="22">
        <v>171000</v>
      </c>
      <c r="AE153" s="22">
        <v>182400</v>
      </c>
      <c r="AF153" s="22">
        <v>450100</v>
      </c>
      <c r="AG153" s="22">
        <v>118600</v>
      </c>
      <c r="AH153" s="22">
        <v>75200</v>
      </c>
      <c r="AI153" s="22">
        <v>57500</v>
      </c>
      <c r="AJ153" s="22">
        <v>49100</v>
      </c>
      <c r="AK153" s="22">
        <v>59100</v>
      </c>
      <c r="AL153" s="22">
        <v>54600</v>
      </c>
      <c r="AM153" s="22">
        <v>62700</v>
      </c>
      <c r="AN153" s="22">
        <v>37700</v>
      </c>
      <c r="AO153" s="22">
        <v>67100</v>
      </c>
      <c r="AP153" s="22">
        <v>115500</v>
      </c>
      <c r="AQ153" s="22">
        <v>101600</v>
      </c>
      <c r="AR153" s="22">
        <v>116200</v>
      </c>
      <c r="AS153" s="22">
        <v>170800</v>
      </c>
      <c r="AT153" s="22">
        <v>47800</v>
      </c>
      <c r="AU153" s="22">
        <v>39700</v>
      </c>
      <c r="AV153" s="22">
        <v>75100</v>
      </c>
      <c r="AW153" s="22">
        <v>27200</v>
      </c>
      <c r="AX153" s="22">
        <v>28900</v>
      </c>
      <c r="AY153" s="22">
        <v>22000</v>
      </c>
      <c r="AZ153" s="22">
        <v>64300</v>
      </c>
      <c r="BA153" s="22">
        <v>68700</v>
      </c>
      <c r="BB153" s="22">
        <v>97600</v>
      </c>
      <c r="BC153" s="22">
        <v>46200</v>
      </c>
      <c r="BD153" s="22">
        <v>32700</v>
      </c>
      <c r="BE153" s="22">
        <v>37100</v>
      </c>
      <c r="BF153" s="22">
        <v>57300</v>
      </c>
      <c r="BG153" s="22">
        <v>96500</v>
      </c>
      <c r="BH153" s="22">
        <v>80800</v>
      </c>
      <c r="BI153" s="22">
        <v>80000</v>
      </c>
      <c r="BJ153" s="22">
        <v>85700</v>
      </c>
      <c r="BK153" s="22">
        <v>86700</v>
      </c>
      <c r="BL153" s="22">
        <v>38000</v>
      </c>
    </row>
    <row r="154" spans="1:64" ht="15.95" customHeight="1">
      <c r="A154" s="433" t="s">
        <v>410</v>
      </c>
      <c r="B154" s="49" t="s">
        <v>214</v>
      </c>
      <c r="C154" s="53">
        <f>_xll.RssMarket("6981","出来高")</f>
        <v>31784100</v>
      </c>
      <c r="D154" s="16">
        <f t="shared" si="2"/>
        <v>0</v>
      </c>
      <c r="E154" s="22">
        <v>31784100</v>
      </c>
      <c r="F154" s="22">
        <v>37241100</v>
      </c>
      <c r="G154" s="22">
        <v>59245900</v>
      </c>
      <c r="H154" s="22">
        <v>42888400</v>
      </c>
      <c r="I154" s="22">
        <v>53014000</v>
      </c>
      <c r="J154" s="22">
        <v>47646200</v>
      </c>
      <c r="K154" s="22">
        <v>34362300</v>
      </c>
      <c r="L154" s="22">
        <v>25651100</v>
      </c>
      <c r="M154" s="22">
        <v>40139600</v>
      </c>
      <c r="N154" s="22">
        <v>50853300</v>
      </c>
      <c r="O154" s="22">
        <v>75663400</v>
      </c>
      <c r="P154" s="22">
        <v>46383100</v>
      </c>
      <c r="Q154" s="22">
        <v>24621300</v>
      </c>
      <c r="R154" s="22">
        <v>36000700</v>
      </c>
      <c r="S154" s="22">
        <v>20915700</v>
      </c>
      <c r="T154" s="22">
        <v>15850200</v>
      </c>
      <c r="U154" s="22">
        <v>11512000</v>
      </c>
      <c r="V154" s="22">
        <v>10166800</v>
      </c>
      <c r="W154" s="22">
        <v>11319900</v>
      </c>
      <c r="X154" s="22">
        <v>13040900</v>
      </c>
      <c r="Y154" s="22">
        <v>11802500</v>
      </c>
      <c r="Z154" s="22">
        <v>12340800</v>
      </c>
      <c r="AA154" s="22">
        <v>12364000</v>
      </c>
      <c r="AB154" s="22">
        <v>14052700</v>
      </c>
      <c r="AC154" s="22">
        <v>14052700</v>
      </c>
      <c r="AD154" s="22">
        <v>15418500</v>
      </c>
      <c r="AE154" s="22">
        <v>24938000</v>
      </c>
      <c r="AF154" s="22">
        <v>18404600</v>
      </c>
      <c r="AG154" s="22">
        <v>30704800</v>
      </c>
      <c r="AH154" s="22">
        <v>10341000</v>
      </c>
      <c r="AI154" s="22">
        <v>8040200</v>
      </c>
      <c r="AJ154" s="22">
        <v>8895700</v>
      </c>
      <c r="AK154" s="22">
        <v>10948000</v>
      </c>
      <c r="AL154" s="22">
        <v>7750500</v>
      </c>
      <c r="AM154" s="22">
        <v>7758000</v>
      </c>
      <c r="AN154" s="22">
        <v>10084000</v>
      </c>
      <c r="AO154" s="22">
        <v>13592000</v>
      </c>
      <c r="AP154" s="22">
        <v>15342100</v>
      </c>
      <c r="AQ154" s="22">
        <v>13431600</v>
      </c>
      <c r="AR154" s="22">
        <v>9262400</v>
      </c>
      <c r="AS154" s="22">
        <v>7510600</v>
      </c>
      <c r="AT154" s="22">
        <v>10407400</v>
      </c>
      <c r="AU154" s="22">
        <v>8314100</v>
      </c>
      <c r="AV154" s="22">
        <v>9611500</v>
      </c>
      <c r="AW154" s="22">
        <v>5421900</v>
      </c>
      <c r="AX154" s="22">
        <v>6097300</v>
      </c>
      <c r="AY154" s="22">
        <v>9021300</v>
      </c>
      <c r="AZ154" s="22">
        <v>7093500</v>
      </c>
      <c r="BA154" s="22">
        <v>6385000</v>
      </c>
      <c r="BB154" s="22">
        <v>8669100</v>
      </c>
      <c r="BC154" s="22">
        <v>8163200</v>
      </c>
      <c r="BD154" s="22">
        <v>6618400</v>
      </c>
      <c r="BE154" s="22">
        <v>7462600</v>
      </c>
      <c r="BF154" s="22">
        <v>6076700</v>
      </c>
      <c r="BG154" s="22">
        <v>8421100</v>
      </c>
      <c r="BH154" s="22">
        <v>8104300</v>
      </c>
      <c r="BI154" s="22">
        <v>7146700</v>
      </c>
      <c r="BJ154" s="22">
        <v>11897000</v>
      </c>
      <c r="BK154" s="22">
        <v>4983400</v>
      </c>
      <c r="BL154" s="22">
        <v>6545200</v>
      </c>
    </row>
    <row r="155" spans="1:64" ht="15.95" customHeight="1">
      <c r="A155" s="433" t="s">
        <v>411</v>
      </c>
      <c r="B155" s="49" t="s">
        <v>215</v>
      </c>
      <c r="C155" s="53">
        <f>_xll.RssMarket("6754","出来高")</f>
        <v>1091000</v>
      </c>
      <c r="D155" s="16">
        <f t="shared" si="2"/>
        <v>0</v>
      </c>
      <c r="E155" s="22">
        <v>1091000</v>
      </c>
      <c r="F155" s="22">
        <v>1671600</v>
      </c>
      <c r="G155" s="22">
        <v>1649300</v>
      </c>
      <c r="H155" s="22">
        <v>1695500</v>
      </c>
      <c r="I155" s="22">
        <v>3653900</v>
      </c>
      <c r="J155" s="22">
        <v>2565500</v>
      </c>
      <c r="K155" s="22">
        <v>1745400</v>
      </c>
      <c r="L155" s="22">
        <v>1128900</v>
      </c>
      <c r="M155" s="22">
        <v>1890400</v>
      </c>
      <c r="N155" s="22">
        <v>1520800</v>
      </c>
      <c r="O155" s="22">
        <v>1644800</v>
      </c>
      <c r="P155" s="22">
        <v>1358700</v>
      </c>
      <c r="Q155" s="22">
        <v>1749500</v>
      </c>
      <c r="R155" s="22">
        <v>2323900</v>
      </c>
      <c r="S155" s="22">
        <v>1844300</v>
      </c>
      <c r="T155" s="22">
        <v>2474600</v>
      </c>
      <c r="U155" s="22">
        <v>3148600</v>
      </c>
      <c r="V155" s="22">
        <v>1429900</v>
      </c>
      <c r="W155" s="22">
        <v>1634700</v>
      </c>
      <c r="X155" s="22">
        <v>2351200</v>
      </c>
      <c r="Y155" s="22">
        <v>1471700</v>
      </c>
      <c r="Z155" s="22">
        <v>1283300</v>
      </c>
      <c r="AA155" s="22">
        <v>2888600</v>
      </c>
      <c r="AB155" s="22">
        <v>1779800</v>
      </c>
      <c r="AC155" s="22">
        <v>1779800</v>
      </c>
      <c r="AD155" s="22">
        <v>1709900</v>
      </c>
      <c r="AE155" s="22">
        <v>3034800</v>
      </c>
      <c r="AF155" s="22">
        <v>2390200</v>
      </c>
      <c r="AG155" s="22">
        <v>3721200</v>
      </c>
      <c r="AH155" s="22">
        <v>7904000</v>
      </c>
      <c r="AI155" s="22">
        <v>3154400</v>
      </c>
      <c r="AJ155" s="22">
        <v>1272900</v>
      </c>
      <c r="AK155" s="22">
        <v>1155400</v>
      </c>
      <c r="AL155" s="22">
        <v>1462400</v>
      </c>
      <c r="AM155" s="22">
        <v>2052500</v>
      </c>
      <c r="AN155" s="22">
        <v>1078400</v>
      </c>
      <c r="AO155" s="22">
        <v>1136300</v>
      </c>
      <c r="AP155" s="22">
        <v>1050800</v>
      </c>
      <c r="AQ155" s="22">
        <v>1286200</v>
      </c>
      <c r="AR155" s="22">
        <v>867900</v>
      </c>
      <c r="AS155" s="22">
        <v>1417400</v>
      </c>
      <c r="AT155" s="22">
        <v>2130600</v>
      </c>
      <c r="AU155" s="22">
        <v>907800</v>
      </c>
      <c r="AV155" s="22">
        <v>1544000</v>
      </c>
      <c r="AW155" s="22">
        <v>913700</v>
      </c>
      <c r="AX155" s="22">
        <v>1016700</v>
      </c>
      <c r="AY155" s="22">
        <v>884000</v>
      </c>
      <c r="AZ155" s="22">
        <v>1286200</v>
      </c>
      <c r="BA155" s="22">
        <v>1269600</v>
      </c>
      <c r="BB155" s="22">
        <v>1570700</v>
      </c>
      <c r="BC155" s="22">
        <v>1142200</v>
      </c>
      <c r="BD155" s="22">
        <v>1502900</v>
      </c>
      <c r="BE155" s="22">
        <v>1290900</v>
      </c>
      <c r="BF155" s="22">
        <v>1924800</v>
      </c>
      <c r="BG155" s="22">
        <v>2124700</v>
      </c>
      <c r="BH155" s="22">
        <v>1149900</v>
      </c>
      <c r="BI155" s="22">
        <v>688900</v>
      </c>
      <c r="BJ155" s="22">
        <v>1687200</v>
      </c>
      <c r="BK155" s="22">
        <v>1296400</v>
      </c>
      <c r="BL155" s="22">
        <v>988100</v>
      </c>
    </row>
    <row r="156" spans="1:64" ht="15.95" customHeight="1">
      <c r="A156" s="433" t="s">
        <v>412</v>
      </c>
      <c r="B156" s="49" t="s">
        <v>216</v>
      </c>
      <c r="C156" s="53">
        <f>_xll.RssMarket("4088","出来高")</f>
        <v>546500</v>
      </c>
      <c r="D156" s="16">
        <f t="shared" si="2"/>
        <v>0</v>
      </c>
      <c r="E156" s="22">
        <v>546500</v>
      </c>
      <c r="F156" s="22">
        <v>1084200</v>
      </c>
      <c r="G156" s="22">
        <v>964600</v>
      </c>
      <c r="H156" s="22">
        <v>829200</v>
      </c>
      <c r="I156" s="22">
        <v>980100</v>
      </c>
      <c r="J156" s="22">
        <v>947500</v>
      </c>
      <c r="K156" s="22">
        <v>473500</v>
      </c>
      <c r="L156" s="22">
        <v>907400</v>
      </c>
      <c r="M156" s="22">
        <v>1205200</v>
      </c>
      <c r="N156" s="22">
        <v>1213000</v>
      </c>
      <c r="O156" s="22">
        <v>2391200</v>
      </c>
      <c r="P156" s="22">
        <v>1683400</v>
      </c>
      <c r="Q156" s="22">
        <v>2133200</v>
      </c>
      <c r="R156" s="22">
        <v>1614600</v>
      </c>
      <c r="S156" s="22">
        <v>1914400</v>
      </c>
      <c r="T156" s="22">
        <v>1948500</v>
      </c>
      <c r="U156" s="22">
        <v>3429800</v>
      </c>
      <c r="V156" s="22">
        <v>6991900</v>
      </c>
      <c r="W156" s="22">
        <v>3109400</v>
      </c>
      <c r="X156" s="22">
        <v>3475800</v>
      </c>
      <c r="Y156" s="22">
        <v>2152400</v>
      </c>
      <c r="Z156" s="22">
        <v>2406600</v>
      </c>
      <c r="AA156" s="22">
        <v>3269100</v>
      </c>
      <c r="AB156" s="22">
        <v>21611100</v>
      </c>
      <c r="AC156" s="22">
        <v>21611100</v>
      </c>
      <c r="AD156" s="22">
        <v>3841500</v>
      </c>
      <c r="AE156" s="22">
        <v>7184000</v>
      </c>
      <c r="AF156" s="22">
        <v>19920400</v>
      </c>
      <c r="AG156" s="22">
        <v>738100</v>
      </c>
      <c r="AH156" s="22">
        <v>501300</v>
      </c>
      <c r="AI156" s="22">
        <v>517500</v>
      </c>
      <c r="AJ156" s="22">
        <v>523000</v>
      </c>
      <c r="AK156" s="22">
        <v>592400</v>
      </c>
      <c r="AL156" s="22">
        <v>524800</v>
      </c>
      <c r="AM156" s="22">
        <v>572800</v>
      </c>
      <c r="AN156" s="22">
        <v>644500</v>
      </c>
      <c r="AO156" s="22">
        <v>621500</v>
      </c>
      <c r="AP156" s="22">
        <v>815500</v>
      </c>
      <c r="AQ156" s="22">
        <v>1298000</v>
      </c>
      <c r="AR156" s="22">
        <v>950200</v>
      </c>
      <c r="AS156" s="22">
        <v>435300</v>
      </c>
      <c r="AT156" s="22">
        <v>906500</v>
      </c>
      <c r="AU156" s="22">
        <v>538500</v>
      </c>
      <c r="AV156" s="22">
        <v>788900</v>
      </c>
      <c r="AW156" s="22">
        <v>938900</v>
      </c>
      <c r="AX156" s="22">
        <v>639800</v>
      </c>
      <c r="AY156" s="22">
        <v>718200</v>
      </c>
      <c r="AZ156" s="22">
        <v>705500</v>
      </c>
      <c r="BA156" s="22">
        <v>873900</v>
      </c>
      <c r="BB156" s="22">
        <v>1282300</v>
      </c>
      <c r="BC156" s="22">
        <v>1522100</v>
      </c>
      <c r="BD156" s="22">
        <v>740300</v>
      </c>
      <c r="BE156" s="22">
        <v>810900</v>
      </c>
      <c r="BF156" s="22">
        <v>1118100</v>
      </c>
      <c r="BG156" s="22">
        <v>1334200</v>
      </c>
      <c r="BH156" s="22">
        <v>1173100</v>
      </c>
      <c r="BI156" s="22">
        <v>984800</v>
      </c>
      <c r="BJ156" s="22">
        <v>1160100</v>
      </c>
      <c r="BK156" s="22">
        <v>1196100</v>
      </c>
      <c r="BL156" s="22">
        <v>1988700</v>
      </c>
    </row>
    <row r="157" spans="1:64" ht="15.95" customHeight="1">
      <c r="A157" s="433" t="s">
        <v>413</v>
      </c>
      <c r="B157" s="49" t="s">
        <v>217</v>
      </c>
      <c r="C157" s="53">
        <f>_xll.RssMarket("4091","出来高")</f>
        <v>375300</v>
      </c>
      <c r="D157" s="16">
        <f t="shared" si="2"/>
        <v>0</v>
      </c>
      <c r="E157" s="22">
        <v>375300</v>
      </c>
      <c r="F157" s="22">
        <v>474400</v>
      </c>
      <c r="G157" s="22">
        <v>858200</v>
      </c>
      <c r="H157" s="22">
        <v>400400</v>
      </c>
      <c r="I157" s="22">
        <v>511900</v>
      </c>
      <c r="J157" s="22">
        <v>599300</v>
      </c>
      <c r="K157" s="22">
        <v>483500</v>
      </c>
      <c r="L157" s="22">
        <v>462800</v>
      </c>
      <c r="M157" s="22">
        <v>653900</v>
      </c>
      <c r="N157" s="22">
        <v>688000</v>
      </c>
      <c r="O157" s="22">
        <v>1490700</v>
      </c>
      <c r="P157" s="22">
        <v>633100</v>
      </c>
      <c r="Q157" s="22">
        <v>517800</v>
      </c>
      <c r="R157" s="22">
        <v>917300</v>
      </c>
      <c r="S157" s="22">
        <v>975900</v>
      </c>
      <c r="T157" s="22">
        <v>462000</v>
      </c>
      <c r="U157" s="22">
        <v>605300</v>
      </c>
      <c r="V157" s="22">
        <v>507300</v>
      </c>
      <c r="W157" s="22">
        <v>776800</v>
      </c>
      <c r="X157" s="22">
        <v>875100</v>
      </c>
      <c r="Y157" s="22">
        <v>865200</v>
      </c>
      <c r="Z157" s="22">
        <v>1059800</v>
      </c>
      <c r="AA157" s="22">
        <v>2298400</v>
      </c>
      <c r="AB157" s="22">
        <v>2340700</v>
      </c>
      <c r="AC157" s="22">
        <v>2340700</v>
      </c>
      <c r="AD157" s="22">
        <v>895500</v>
      </c>
      <c r="AE157" s="22">
        <v>1653600</v>
      </c>
      <c r="AF157" s="22">
        <v>588800</v>
      </c>
      <c r="AG157" s="22">
        <v>892900</v>
      </c>
      <c r="AH157" s="22">
        <v>598700</v>
      </c>
      <c r="AI157" s="22">
        <v>539400</v>
      </c>
      <c r="AJ157" s="22">
        <v>711600</v>
      </c>
      <c r="AK157" s="22">
        <v>944000</v>
      </c>
      <c r="AL157" s="22">
        <v>535300</v>
      </c>
      <c r="AM157" s="22">
        <v>616600</v>
      </c>
      <c r="AN157" s="22">
        <v>499000</v>
      </c>
      <c r="AO157" s="22">
        <v>497600</v>
      </c>
      <c r="AP157" s="22">
        <v>537300</v>
      </c>
      <c r="AQ157" s="22">
        <v>745000</v>
      </c>
      <c r="AR157" s="22">
        <v>636600</v>
      </c>
      <c r="AS157" s="22">
        <v>487000</v>
      </c>
      <c r="AT157" s="22">
        <v>585000</v>
      </c>
      <c r="AU157" s="22">
        <v>671200</v>
      </c>
      <c r="AV157" s="22">
        <v>885000</v>
      </c>
      <c r="AW157" s="22">
        <v>472600</v>
      </c>
      <c r="AX157" s="22">
        <v>304100</v>
      </c>
      <c r="AY157" s="22">
        <v>425300</v>
      </c>
      <c r="AZ157" s="22">
        <v>622800</v>
      </c>
      <c r="BA157" s="22">
        <v>714100</v>
      </c>
      <c r="BB157" s="22">
        <v>800800</v>
      </c>
      <c r="BC157" s="22">
        <v>960400</v>
      </c>
      <c r="BD157" s="22">
        <v>488000</v>
      </c>
      <c r="BE157" s="22">
        <v>696300</v>
      </c>
      <c r="BF157" s="22">
        <v>936000</v>
      </c>
      <c r="BG157" s="22">
        <v>1024600</v>
      </c>
      <c r="BH157" s="22">
        <v>896400</v>
      </c>
      <c r="BI157" s="22">
        <v>846400</v>
      </c>
      <c r="BJ157" s="22">
        <v>916500</v>
      </c>
      <c r="BK157" s="22">
        <v>1810500</v>
      </c>
      <c r="BL157" s="22">
        <v>1146600</v>
      </c>
    </row>
    <row r="158" spans="1:64" ht="15.95" customHeight="1">
      <c r="A158" s="433" t="s">
        <v>414</v>
      </c>
      <c r="B158" s="49" t="s">
        <v>218</v>
      </c>
      <c r="C158" s="53">
        <f>_xll.RssMarket("6857","出来高")</f>
        <v>7837500</v>
      </c>
      <c r="D158" s="16">
        <f t="shared" si="2"/>
        <v>0</v>
      </c>
      <c r="E158" s="22">
        <v>7837500</v>
      </c>
      <c r="F158" s="22">
        <v>12037500</v>
      </c>
      <c r="G158" s="22">
        <v>10241000</v>
      </c>
      <c r="H158" s="22">
        <v>7237400</v>
      </c>
      <c r="I158" s="22">
        <v>8322300</v>
      </c>
      <c r="J158" s="22">
        <v>10067400</v>
      </c>
      <c r="K158" s="22">
        <v>7157600</v>
      </c>
      <c r="L158" s="22">
        <v>7606900</v>
      </c>
      <c r="M158" s="22">
        <v>8806800</v>
      </c>
      <c r="N158" s="22">
        <v>8218300</v>
      </c>
      <c r="O158" s="22">
        <v>9408700</v>
      </c>
      <c r="P158" s="22">
        <v>7244100</v>
      </c>
      <c r="Q158" s="22">
        <v>9423800</v>
      </c>
      <c r="R158" s="22">
        <v>7936500</v>
      </c>
      <c r="S158" s="22">
        <v>7253600</v>
      </c>
      <c r="T158" s="22">
        <v>9851300</v>
      </c>
      <c r="U158" s="22">
        <v>8881700</v>
      </c>
      <c r="V158" s="22">
        <v>9174200</v>
      </c>
      <c r="W158" s="22">
        <v>8750700</v>
      </c>
      <c r="X158" s="22">
        <v>9938400</v>
      </c>
      <c r="Y158" s="22">
        <v>9547900</v>
      </c>
      <c r="Z158" s="22">
        <v>5799400</v>
      </c>
      <c r="AA158" s="22">
        <v>7971200</v>
      </c>
      <c r="AB158" s="22">
        <v>8727700</v>
      </c>
      <c r="AC158" s="22">
        <v>8727700</v>
      </c>
      <c r="AD158" s="22">
        <v>8963400</v>
      </c>
      <c r="AE158" s="22">
        <v>11005100</v>
      </c>
      <c r="AF158" s="22">
        <v>7144100</v>
      </c>
      <c r="AG158" s="22">
        <v>13127400</v>
      </c>
      <c r="AH158" s="22">
        <v>19894900</v>
      </c>
      <c r="AI158" s="22">
        <v>18594000</v>
      </c>
      <c r="AJ158" s="22">
        <v>15405700</v>
      </c>
      <c r="AK158" s="22">
        <v>10679900</v>
      </c>
      <c r="AL158" s="22">
        <v>9077500</v>
      </c>
      <c r="AM158" s="22">
        <v>6400300</v>
      </c>
      <c r="AN158" s="22">
        <v>7633600</v>
      </c>
      <c r="AO158" s="22">
        <v>9985300</v>
      </c>
      <c r="AP158" s="22">
        <v>10852600</v>
      </c>
      <c r="AQ158" s="22">
        <v>12810000</v>
      </c>
      <c r="AR158" s="22">
        <v>11460300</v>
      </c>
      <c r="AS158" s="22">
        <v>6508500</v>
      </c>
      <c r="AT158" s="22">
        <v>10849800</v>
      </c>
      <c r="AU158" s="22">
        <v>8706000</v>
      </c>
      <c r="AV158" s="22">
        <v>13848700</v>
      </c>
      <c r="AW158" s="22">
        <v>6973500</v>
      </c>
      <c r="AX158" s="22">
        <v>6851400</v>
      </c>
      <c r="AY158" s="22">
        <v>5670900</v>
      </c>
      <c r="AZ158" s="22">
        <v>13378000</v>
      </c>
      <c r="BA158" s="22">
        <v>11328200</v>
      </c>
      <c r="BB158" s="22">
        <v>12880400</v>
      </c>
      <c r="BC158" s="22">
        <v>8761700</v>
      </c>
      <c r="BD158" s="22">
        <v>7478300</v>
      </c>
      <c r="BE158" s="22">
        <v>10638400</v>
      </c>
      <c r="BF158" s="22">
        <v>9506400</v>
      </c>
      <c r="BG158" s="22">
        <v>8209900</v>
      </c>
      <c r="BH158" s="22">
        <v>8793000</v>
      </c>
      <c r="BI158" s="22">
        <v>7535700</v>
      </c>
      <c r="BJ158" s="22">
        <v>6461000</v>
      </c>
      <c r="BK158" s="22">
        <v>6268800</v>
      </c>
      <c r="BL158" s="22">
        <v>8421000</v>
      </c>
    </row>
    <row r="159" spans="1:64" ht="15.95" customHeight="1">
      <c r="A159" s="433" t="s">
        <v>415</v>
      </c>
      <c r="B159" s="49" t="s">
        <v>219</v>
      </c>
      <c r="C159" s="53">
        <f>_xll.RssMarket("3891","出来高")</f>
        <v>456000</v>
      </c>
      <c r="D159" s="16">
        <f t="shared" si="2"/>
        <v>0</v>
      </c>
      <c r="E159" s="22">
        <v>456000</v>
      </c>
      <c r="F159" s="22">
        <v>189000</v>
      </c>
      <c r="G159" s="22">
        <v>438800</v>
      </c>
      <c r="H159" s="22">
        <v>475900</v>
      </c>
      <c r="I159" s="22">
        <v>640400</v>
      </c>
      <c r="J159" s="22">
        <v>433600</v>
      </c>
      <c r="K159" s="22">
        <v>372500</v>
      </c>
      <c r="L159" s="22">
        <v>192700</v>
      </c>
      <c r="M159" s="22">
        <v>394200</v>
      </c>
      <c r="N159" s="22">
        <v>359800</v>
      </c>
      <c r="O159" s="22">
        <v>206700</v>
      </c>
      <c r="P159" s="22">
        <v>192300</v>
      </c>
      <c r="Q159" s="22">
        <v>184700</v>
      </c>
      <c r="R159" s="22">
        <v>249700</v>
      </c>
      <c r="S159" s="22">
        <v>235500</v>
      </c>
      <c r="T159" s="22">
        <v>161200</v>
      </c>
      <c r="U159" s="22">
        <v>208200</v>
      </c>
      <c r="V159" s="22">
        <v>148700</v>
      </c>
      <c r="W159" s="22">
        <v>164600</v>
      </c>
      <c r="X159" s="22">
        <v>118600</v>
      </c>
      <c r="Y159" s="22">
        <v>99100</v>
      </c>
      <c r="Z159" s="22">
        <v>108600</v>
      </c>
      <c r="AA159" s="22">
        <v>97600</v>
      </c>
      <c r="AB159" s="22">
        <v>119000</v>
      </c>
      <c r="AC159" s="22">
        <v>119000</v>
      </c>
      <c r="AD159" s="22">
        <v>160400</v>
      </c>
      <c r="AE159" s="22">
        <v>197500</v>
      </c>
      <c r="AF159" s="22">
        <v>169200</v>
      </c>
      <c r="AG159" s="22">
        <v>242400</v>
      </c>
      <c r="AH159" s="22">
        <v>605400</v>
      </c>
      <c r="AI159" s="22">
        <v>484000</v>
      </c>
      <c r="AJ159" s="22">
        <v>333700</v>
      </c>
      <c r="AK159" s="22">
        <v>127500</v>
      </c>
      <c r="AL159" s="22">
        <v>156400</v>
      </c>
      <c r="AM159" s="22">
        <v>182500</v>
      </c>
      <c r="AN159" s="22">
        <v>117200</v>
      </c>
      <c r="AO159" s="22">
        <v>54600</v>
      </c>
      <c r="AP159" s="22">
        <v>98100</v>
      </c>
      <c r="AQ159" s="22">
        <v>143900</v>
      </c>
      <c r="AR159" s="22">
        <v>86400</v>
      </c>
      <c r="AS159" s="22">
        <v>71300</v>
      </c>
      <c r="AT159" s="22">
        <v>65100</v>
      </c>
      <c r="AU159" s="22">
        <v>71500</v>
      </c>
      <c r="AV159" s="22">
        <v>148000</v>
      </c>
      <c r="AW159" s="22">
        <v>46300</v>
      </c>
      <c r="AX159" s="22">
        <v>40200</v>
      </c>
      <c r="AY159" s="22">
        <v>31800</v>
      </c>
      <c r="AZ159" s="22">
        <v>73500</v>
      </c>
      <c r="BA159" s="22">
        <v>60900</v>
      </c>
      <c r="BB159" s="22">
        <v>98400</v>
      </c>
      <c r="BC159" s="22">
        <v>76400</v>
      </c>
      <c r="BD159" s="22">
        <v>83100</v>
      </c>
      <c r="BE159" s="22">
        <v>62400</v>
      </c>
      <c r="BF159" s="22">
        <v>103900</v>
      </c>
      <c r="BG159" s="22">
        <v>117200</v>
      </c>
      <c r="BH159" s="22">
        <v>108600</v>
      </c>
      <c r="BI159" s="22">
        <v>48200</v>
      </c>
      <c r="BJ159" s="22">
        <v>44800</v>
      </c>
      <c r="BK159" s="22">
        <v>64400</v>
      </c>
      <c r="BL159" s="22">
        <v>71900</v>
      </c>
    </row>
    <row r="160" spans="1:64" ht="15.95" customHeight="1">
      <c r="A160" s="433" t="s">
        <v>416</v>
      </c>
      <c r="B160" s="49" t="s">
        <v>220</v>
      </c>
      <c r="C160" s="53">
        <f>_xll.RssMarket("4373","出来高")</f>
        <v>621300</v>
      </c>
      <c r="D160" s="16">
        <f t="shared" si="2"/>
        <v>0</v>
      </c>
      <c r="E160" s="22">
        <v>621300</v>
      </c>
      <c r="F160" s="22">
        <v>829400</v>
      </c>
      <c r="G160" s="22">
        <v>1476300</v>
      </c>
      <c r="H160" s="22">
        <v>763400</v>
      </c>
      <c r="I160" s="22">
        <v>912900</v>
      </c>
      <c r="J160" s="22">
        <v>494900</v>
      </c>
      <c r="K160" s="22">
        <v>656700</v>
      </c>
      <c r="L160" s="22">
        <v>1032700</v>
      </c>
      <c r="M160" s="22">
        <v>1030100</v>
      </c>
      <c r="N160" s="22">
        <v>1269400</v>
      </c>
      <c r="O160" s="22">
        <v>1583600</v>
      </c>
      <c r="P160" s="22">
        <v>1088100</v>
      </c>
      <c r="Q160" s="22">
        <v>1056800</v>
      </c>
      <c r="R160" s="22">
        <v>1059800</v>
      </c>
      <c r="S160" s="22">
        <v>1295100</v>
      </c>
      <c r="T160" s="22">
        <v>1180500</v>
      </c>
      <c r="U160" s="22">
        <v>1409700</v>
      </c>
      <c r="V160" s="22">
        <v>1908400</v>
      </c>
      <c r="W160" s="22">
        <v>523300</v>
      </c>
      <c r="X160" s="22">
        <v>752200</v>
      </c>
      <c r="Y160" s="22">
        <v>666900</v>
      </c>
      <c r="Z160" s="22">
        <v>735600</v>
      </c>
      <c r="AA160" s="22">
        <v>888600</v>
      </c>
      <c r="AB160" s="22">
        <v>870200</v>
      </c>
      <c r="AC160" s="22">
        <v>870200</v>
      </c>
      <c r="AD160" s="22">
        <v>855200</v>
      </c>
      <c r="AE160" s="22">
        <v>1354000</v>
      </c>
      <c r="AF160" s="22">
        <v>2461000</v>
      </c>
      <c r="AG160" s="22">
        <v>1172800</v>
      </c>
      <c r="AH160" s="22">
        <v>624100</v>
      </c>
      <c r="AI160" s="22">
        <v>1467300</v>
      </c>
      <c r="AJ160" s="22">
        <v>480400</v>
      </c>
      <c r="AK160" s="22">
        <v>656600</v>
      </c>
      <c r="AL160" s="22">
        <v>802600</v>
      </c>
      <c r="AM160" s="22">
        <v>650400</v>
      </c>
      <c r="AN160" s="22">
        <v>813200</v>
      </c>
      <c r="AO160" s="22">
        <v>1412700</v>
      </c>
      <c r="AP160" s="22">
        <v>770500</v>
      </c>
      <c r="AQ160" s="22">
        <v>1466100</v>
      </c>
      <c r="AR160" s="22">
        <v>574800</v>
      </c>
      <c r="AS160" s="22">
        <v>389800</v>
      </c>
      <c r="AT160" s="22">
        <v>820300</v>
      </c>
      <c r="AU160" s="22">
        <v>377000</v>
      </c>
      <c r="AV160" s="22">
        <v>439200</v>
      </c>
      <c r="AW160" s="22">
        <v>521700</v>
      </c>
      <c r="AX160" s="22">
        <v>373600</v>
      </c>
      <c r="AY160" s="22">
        <v>369800</v>
      </c>
      <c r="AZ160" s="22">
        <v>706900</v>
      </c>
      <c r="BA160" s="22">
        <v>393000</v>
      </c>
      <c r="BB160" s="22">
        <v>838400</v>
      </c>
      <c r="BC160" s="22">
        <v>647200</v>
      </c>
      <c r="BD160" s="22">
        <v>371000</v>
      </c>
      <c r="BE160" s="22">
        <v>490800</v>
      </c>
      <c r="BF160" s="22">
        <v>419200</v>
      </c>
      <c r="BG160" s="22">
        <v>558000</v>
      </c>
      <c r="BH160" s="22">
        <v>896400</v>
      </c>
      <c r="BI160" s="22">
        <v>888000</v>
      </c>
      <c r="BJ160" s="22">
        <v>402000</v>
      </c>
      <c r="BK160" s="22">
        <v>653400</v>
      </c>
      <c r="BL160" s="22">
        <v>976500</v>
      </c>
    </row>
    <row r="161" spans="1:64" ht="15.95" customHeight="1">
      <c r="A161" s="433" t="s">
        <v>417</v>
      </c>
      <c r="B161" s="49" t="s">
        <v>221</v>
      </c>
      <c r="C161" s="53">
        <f>_xll.RssMarket("8892","出来高")</f>
        <v>181300</v>
      </c>
      <c r="D161" s="16">
        <f t="shared" si="2"/>
        <v>0</v>
      </c>
      <c r="E161" s="22">
        <v>181300</v>
      </c>
      <c r="F161" s="22">
        <v>168800</v>
      </c>
      <c r="G161" s="22">
        <v>231200</v>
      </c>
      <c r="H161" s="22">
        <v>144500</v>
      </c>
      <c r="I161" s="22">
        <v>148900</v>
      </c>
      <c r="J161" s="22">
        <v>165000</v>
      </c>
      <c r="K161" s="22">
        <v>153800</v>
      </c>
      <c r="L161" s="22">
        <v>157900</v>
      </c>
      <c r="M161" s="22">
        <v>159400</v>
      </c>
      <c r="N161" s="22">
        <v>164100</v>
      </c>
      <c r="O161" s="22">
        <v>286700</v>
      </c>
      <c r="P161" s="22">
        <v>216400</v>
      </c>
      <c r="Q161" s="22">
        <v>157100</v>
      </c>
      <c r="R161" s="22">
        <v>207500</v>
      </c>
      <c r="S161" s="22">
        <v>209200</v>
      </c>
      <c r="T161" s="22">
        <v>216700</v>
      </c>
      <c r="U161" s="22">
        <v>310200</v>
      </c>
      <c r="V161" s="22">
        <v>295700</v>
      </c>
      <c r="W161" s="22">
        <v>338200</v>
      </c>
      <c r="X161" s="22">
        <v>246400</v>
      </c>
      <c r="Y161" s="22">
        <v>220200</v>
      </c>
      <c r="Z161" s="22">
        <v>172500</v>
      </c>
      <c r="AA161" s="22">
        <v>194800</v>
      </c>
      <c r="AB161" s="22">
        <v>168500</v>
      </c>
      <c r="AC161" s="22">
        <v>168500</v>
      </c>
      <c r="AD161" s="22">
        <v>170200</v>
      </c>
      <c r="AE161" s="22">
        <v>253100</v>
      </c>
      <c r="AF161" s="22">
        <v>277400</v>
      </c>
      <c r="AG161" s="22">
        <v>292800</v>
      </c>
      <c r="AH161" s="22">
        <v>397900</v>
      </c>
      <c r="AI161" s="22">
        <v>1087000</v>
      </c>
      <c r="AJ161" s="22">
        <v>241900</v>
      </c>
      <c r="AK161" s="22">
        <v>144100</v>
      </c>
      <c r="AL161" s="22">
        <v>164900</v>
      </c>
      <c r="AM161" s="22">
        <v>283000</v>
      </c>
      <c r="AN161" s="22">
        <v>219700</v>
      </c>
      <c r="AO161" s="22">
        <v>121200</v>
      </c>
      <c r="AP161" s="22">
        <v>135100</v>
      </c>
      <c r="AQ161" s="22">
        <v>162000</v>
      </c>
      <c r="AR161" s="22">
        <v>192700</v>
      </c>
      <c r="AS161" s="22">
        <v>180500</v>
      </c>
      <c r="AT161" s="22">
        <v>163000</v>
      </c>
      <c r="AU161" s="22">
        <v>120600</v>
      </c>
      <c r="AV161" s="22">
        <v>185400</v>
      </c>
      <c r="AW161" s="22">
        <v>127300</v>
      </c>
      <c r="AX161" s="22">
        <v>148600</v>
      </c>
      <c r="AY161" s="22">
        <v>245100</v>
      </c>
      <c r="AZ161" s="22">
        <v>539200</v>
      </c>
      <c r="BA161" s="22">
        <v>351400</v>
      </c>
      <c r="BB161" s="22">
        <v>561100</v>
      </c>
      <c r="BC161" s="22">
        <v>451400</v>
      </c>
      <c r="BD161" s="22">
        <v>230100</v>
      </c>
      <c r="BE161" s="22">
        <v>160100</v>
      </c>
      <c r="BF161" s="22">
        <v>151000</v>
      </c>
      <c r="BG161" s="22">
        <v>288000</v>
      </c>
      <c r="BH161" s="22">
        <v>295900</v>
      </c>
      <c r="BI161" s="22">
        <v>235100</v>
      </c>
      <c r="BJ161" s="22">
        <v>199200</v>
      </c>
      <c r="BK161" s="22">
        <v>217100</v>
      </c>
      <c r="BL161" s="22">
        <v>326500</v>
      </c>
    </row>
    <row r="162" spans="1:64" ht="15.95" customHeight="1">
      <c r="A162" s="433" t="s">
        <v>418</v>
      </c>
      <c r="B162" s="49" t="s">
        <v>222</v>
      </c>
      <c r="C162" s="53">
        <f>_xll.RssMarket("9687","出来高")</f>
        <v>1700</v>
      </c>
      <c r="D162" s="16">
        <f t="shared" si="2"/>
        <v>0</v>
      </c>
      <c r="E162" s="22">
        <v>1700</v>
      </c>
      <c r="F162" s="22">
        <v>3800</v>
      </c>
      <c r="G162" s="22">
        <v>600</v>
      </c>
      <c r="H162" s="22">
        <v>800</v>
      </c>
      <c r="I162" s="22">
        <v>600</v>
      </c>
      <c r="J162" s="22">
        <v>1800</v>
      </c>
      <c r="K162" s="22">
        <v>300</v>
      </c>
      <c r="L162" s="22">
        <v>700</v>
      </c>
      <c r="M162" s="22">
        <v>300</v>
      </c>
      <c r="N162" s="22">
        <v>1200</v>
      </c>
      <c r="O162" s="22">
        <v>2100</v>
      </c>
      <c r="P162" s="22">
        <v>3400</v>
      </c>
      <c r="Q162" s="22">
        <v>1900</v>
      </c>
      <c r="R162" s="22">
        <v>3100</v>
      </c>
      <c r="S162" s="22">
        <v>1600</v>
      </c>
      <c r="T162" s="22">
        <v>2800</v>
      </c>
      <c r="U162" s="22">
        <v>1900</v>
      </c>
      <c r="V162" s="22">
        <v>1600</v>
      </c>
      <c r="W162" s="22">
        <v>2200</v>
      </c>
      <c r="X162" s="22">
        <v>2500</v>
      </c>
      <c r="Y162" s="22">
        <v>1700</v>
      </c>
      <c r="Z162" s="22">
        <v>1100</v>
      </c>
      <c r="AA162" s="22">
        <v>1000</v>
      </c>
      <c r="AB162" s="22">
        <v>1500</v>
      </c>
      <c r="AC162" s="22">
        <v>1500</v>
      </c>
      <c r="AD162" s="22">
        <v>1700</v>
      </c>
      <c r="AE162" s="22">
        <v>2100</v>
      </c>
      <c r="AF162" s="22">
        <v>8000</v>
      </c>
      <c r="AG162" s="22">
        <v>17200</v>
      </c>
      <c r="AH162" s="22">
        <v>1500</v>
      </c>
      <c r="AI162" s="22">
        <v>1900</v>
      </c>
      <c r="AJ162" s="22">
        <v>4200</v>
      </c>
      <c r="AK162" s="22">
        <v>1600</v>
      </c>
      <c r="AL162" s="22">
        <v>1900</v>
      </c>
      <c r="AM162" s="22">
        <v>900</v>
      </c>
      <c r="AN162" s="22">
        <v>700</v>
      </c>
      <c r="AO162" s="22">
        <v>300</v>
      </c>
      <c r="AP162" s="22">
        <v>1200</v>
      </c>
      <c r="AQ162" s="22">
        <v>4900</v>
      </c>
      <c r="AR162" s="22">
        <v>4500</v>
      </c>
      <c r="AS162" s="22">
        <v>2300</v>
      </c>
      <c r="AT162" s="22">
        <v>1700</v>
      </c>
      <c r="AU162" s="22">
        <v>1300</v>
      </c>
      <c r="AV162" s="22">
        <v>6900</v>
      </c>
      <c r="AW162" s="22">
        <v>1800</v>
      </c>
      <c r="AX162" s="22">
        <v>1300</v>
      </c>
      <c r="AY162" s="22">
        <v>600</v>
      </c>
      <c r="AZ162" s="22">
        <v>7300</v>
      </c>
      <c r="BA162" s="22">
        <v>7700</v>
      </c>
      <c r="BB162" s="22">
        <v>10400</v>
      </c>
      <c r="BC162" s="22">
        <v>14600</v>
      </c>
      <c r="BD162" s="22">
        <v>4000</v>
      </c>
      <c r="BE162" s="22">
        <v>4200</v>
      </c>
      <c r="BF162" s="22">
        <v>3100</v>
      </c>
      <c r="BG162" s="22">
        <v>4700</v>
      </c>
      <c r="BH162" s="22">
        <v>4500</v>
      </c>
      <c r="BI162" s="22">
        <v>8500</v>
      </c>
      <c r="BJ162" s="22">
        <v>9400</v>
      </c>
      <c r="BK162" s="22">
        <v>3800</v>
      </c>
      <c r="BL162" s="22">
        <v>2700</v>
      </c>
    </row>
    <row r="163" spans="1:64" ht="15.95" customHeight="1">
      <c r="A163" s="433" t="s">
        <v>419</v>
      </c>
      <c r="B163" s="49" t="s">
        <v>223</v>
      </c>
      <c r="C163" s="53">
        <f>_xll.RssMarket("1930","出来高")</f>
        <v>65400</v>
      </c>
      <c r="D163" s="16">
        <f t="shared" si="2"/>
        <v>0</v>
      </c>
      <c r="E163" s="22">
        <v>65400</v>
      </c>
      <c r="F163" s="22">
        <v>52700</v>
      </c>
      <c r="G163" s="22">
        <v>89200</v>
      </c>
      <c r="H163" s="22">
        <v>68400</v>
      </c>
      <c r="I163" s="22">
        <v>44000</v>
      </c>
      <c r="J163" s="22">
        <v>65000</v>
      </c>
      <c r="K163" s="22">
        <v>75100</v>
      </c>
      <c r="L163" s="22">
        <v>40900</v>
      </c>
      <c r="M163" s="22">
        <v>56600</v>
      </c>
      <c r="N163" s="22">
        <v>111100</v>
      </c>
      <c r="O163" s="22">
        <v>53400</v>
      </c>
      <c r="P163" s="22">
        <v>60000</v>
      </c>
      <c r="Q163" s="22">
        <v>67300</v>
      </c>
      <c r="R163" s="22">
        <v>86000</v>
      </c>
      <c r="S163" s="22">
        <v>36200</v>
      </c>
      <c r="T163" s="22">
        <v>46500</v>
      </c>
      <c r="U163" s="22">
        <v>89600</v>
      </c>
      <c r="V163" s="22">
        <v>81200</v>
      </c>
      <c r="W163" s="22">
        <v>94500</v>
      </c>
      <c r="X163" s="22">
        <v>48800</v>
      </c>
      <c r="Y163" s="22">
        <v>51000</v>
      </c>
      <c r="Z163" s="22">
        <v>62100</v>
      </c>
      <c r="AA163" s="22">
        <v>119500</v>
      </c>
      <c r="AB163" s="22">
        <v>95500</v>
      </c>
      <c r="AC163" s="22">
        <v>95500</v>
      </c>
      <c r="AD163" s="22">
        <v>84300</v>
      </c>
      <c r="AE163" s="22">
        <v>164500</v>
      </c>
      <c r="AF163" s="22">
        <v>265700</v>
      </c>
      <c r="AG163" s="22">
        <v>1081300</v>
      </c>
      <c r="AH163" s="22">
        <v>401700</v>
      </c>
      <c r="AI163" s="22">
        <v>90000</v>
      </c>
      <c r="AJ163" s="22">
        <v>62100</v>
      </c>
      <c r="AK163" s="22">
        <v>45900</v>
      </c>
      <c r="AL163" s="22">
        <v>60400</v>
      </c>
      <c r="AM163" s="22">
        <v>52900</v>
      </c>
      <c r="AN163" s="22">
        <v>29700</v>
      </c>
      <c r="AO163" s="22">
        <v>27600</v>
      </c>
      <c r="AP163" s="22">
        <v>44700</v>
      </c>
      <c r="AQ163" s="22">
        <v>68700</v>
      </c>
      <c r="AR163" s="22">
        <v>46000</v>
      </c>
      <c r="AS163" s="22">
        <v>40800</v>
      </c>
      <c r="AT163" s="22">
        <v>36600</v>
      </c>
      <c r="AU163" s="22">
        <v>33600</v>
      </c>
      <c r="AV163" s="22">
        <v>48700</v>
      </c>
      <c r="AW163" s="22">
        <v>36400</v>
      </c>
      <c r="AX163" s="22">
        <v>26500</v>
      </c>
      <c r="AY163" s="22">
        <v>23100</v>
      </c>
      <c r="AZ163" s="22">
        <v>45800</v>
      </c>
      <c r="BA163" s="22">
        <v>46900</v>
      </c>
      <c r="BB163" s="22">
        <v>69000</v>
      </c>
      <c r="BC163" s="22">
        <v>56800</v>
      </c>
      <c r="BD163" s="22">
        <v>43600</v>
      </c>
      <c r="BE163" s="22">
        <v>65100</v>
      </c>
      <c r="BF163" s="22">
        <v>46200</v>
      </c>
      <c r="BG163" s="22">
        <v>119600</v>
      </c>
      <c r="BH163" s="22">
        <v>89200</v>
      </c>
      <c r="BI163" s="22">
        <v>64300</v>
      </c>
      <c r="BJ163" s="22">
        <v>37200</v>
      </c>
      <c r="BK163" s="22">
        <v>42100</v>
      </c>
      <c r="BL163" s="22">
        <v>50400</v>
      </c>
    </row>
    <row r="164" spans="1:64" ht="15.95" customHeight="1">
      <c r="A164" s="433" t="s">
        <v>420</v>
      </c>
      <c r="B164" s="49" t="s">
        <v>224</v>
      </c>
      <c r="C164" s="53">
        <f>_xll.RssMarket("8704","出来高")</f>
        <v>87800</v>
      </c>
      <c r="D164" s="16">
        <f t="shared" si="2"/>
        <v>0</v>
      </c>
      <c r="E164" s="22">
        <v>87800</v>
      </c>
      <c r="F164" s="22">
        <v>69200</v>
      </c>
      <c r="G164" s="22">
        <v>124700</v>
      </c>
      <c r="H164" s="22">
        <v>144700</v>
      </c>
      <c r="I164" s="22">
        <v>107300</v>
      </c>
      <c r="J164" s="22">
        <v>97100</v>
      </c>
      <c r="K164" s="22">
        <v>111300</v>
      </c>
      <c r="L164" s="22">
        <v>132100</v>
      </c>
      <c r="M164" s="22">
        <v>69100</v>
      </c>
      <c r="N164" s="22">
        <v>99800</v>
      </c>
      <c r="O164" s="22">
        <v>121400</v>
      </c>
      <c r="P164" s="22">
        <v>50100</v>
      </c>
      <c r="Q164" s="22">
        <v>80000</v>
      </c>
      <c r="R164" s="22">
        <v>47300</v>
      </c>
      <c r="S164" s="22">
        <v>52300</v>
      </c>
      <c r="T164" s="22">
        <v>76000</v>
      </c>
      <c r="U164" s="22">
        <v>123000</v>
      </c>
      <c r="V164" s="22">
        <v>76200</v>
      </c>
      <c r="W164" s="22">
        <v>97700</v>
      </c>
      <c r="X164" s="22">
        <v>139200</v>
      </c>
      <c r="Y164" s="22">
        <v>114500</v>
      </c>
      <c r="Z164" s="22">
        <v>160400</v>
      </c>
      <c r="AA164" s="22">
        <v>110700</v>
      </c>
      <c r="AB164" s="22">
        <v>213000</v>
      </c>
      <c r="AC164" s="22">
        <v>213000</v>
      </c>
      <c r="AD164" s="22">
        <v>359300</v>
      </c>
      <c r="AE164" s="22">
        <v>243200</v>
      </c>
      <c r="AF164" s="22">
        <v>801800</v>
      </c>
      <c r="AG164" s="22">
        <v>117800</v>
      </c>
      <c r="AH164" s="22">
        <v>96800</v>
      </c>
      <c r="AI164" s="22">
        <v>89100</v>
      </c>
      <c r="AJ164" s="22">
        <v>68700</v>
      </c>
      <c r="AK164" s="22">
        <v>46700</v>
      </c>
      <c r="AL164" s="22">
        <v>76400</v>
      </c>
      <c r="AM164" s="22">
        <v>115700</v>
      </c>
      <c r="AN164" s="22">
        <v>82500</v>
      </c>
      <c r="AO164" s="22">
        <v>26800</v>
      </c>
      <c r="AP164" s="22">
        <v>67500</v>
      </c>
      <c r="AQ164" s="22">
        <v>44700</v>
      </c>
      <c r="AR164" s="22">
        <v>67600</v>
      </c>
      <c r="AS164" s="22">
        <v>70600</v>
      </c>
      <c r="AT164" s="22">
        <v>57900</v>
      </c>
      <c r="AU164" s="22">
        <v>41400</v>
      </c>
      <c r="AV164" s="22">
        <v>99800</v>
      </c>
      <c r="AW164" s="22">
        <v>44900</v>
      </c>
      <c r="AX164" s="22">
        <v>34300</v>
      </c>
      <c r="AY164" s="22">
        <v>55500</v>
      </c>
      <c r="AZ164" s="22">
        <v>99400</v>
      </c>
      <c r="BA164" s="22">
        <v>61100</v>
      </c>
      <c r="BB164" s="22">
        <v>108000</v>
      </c>
      <c r="BC164" s="22">
        <v>125000</v>
      </c>
      <c r="BD164" s="22">
        <v>35100</v>
      </c>
      <c r="BE164" s="22">
        <v>79400</v>
      </c>
      <c r="BF164" s="22">
        <v>69600</v>
      </c>
      <c r="BG164" s="22">
        <v>155000</v>
      </c>
      <c r="BH164" s="22">
        <v>65300</v>
      </c>
      <c r="BI164" s="22">
        <v>69800</v>
      </c>
      <c r="BJ164" s="22">
        <v>46600</v>
      </c>
      <c r="BK164" s="22">
        <v>48300</v>
      </c>
      <c r="BL164" s="22">
        <v>57400</v>
      </c>
    </row>
    <row r="165" spans="1:64" ht="15.95" customHeight="1">
      <c r="A165" s="433" t="s">
        <v>421</v>
      </c>
      <c r="B165" s="49" t="s">
        <v>225</v>
      </c>
      <c r="C165" s="53">
        <f>_xll.RssMarket("4733","出来高")</f>
        <v>292500</v>
      </c>
      <c r="D165" s="16">
        <f t="shared" si="2"/>
        <v>0</v>
      </c>
      <c r="E165" s="22">
        <v>292500</v>
      </c>
      <c r="F165" s="22">
        <v>200700</v>
      </c>
      <c r="G165" s="22">
        <v>272800</v>
      </c>
      <c r="H165" s="22">
        <v>241900</v>
      </c>
      <c r="I165" s="22">
        <v>210200</v>
      </c>
      <c r="J165" s="22">
        <v>162200</v>
      </c>
      <c r="K165" s="22">
        <v>177900</v>
      </c>
      <c r="L165" s="22">
        <v>239700</v>
      </c>
      <c r="M165" s="22">
        <v>197500</v>
      </c>
      <c r="N165" s="22">
        <v>243400</v>
      </c>
      <c r="O165" s="22">
        <v>271900</v>
      </c>
      <c r="P165" s="22">
        <v>178200</v>
      </c>
      <c r="Q165" s="22">
        <v>180700</v>
      </c>
      <c r="R165" s="22">
        <v>187400</v>
      </c>
      <c r="S165" s="22">
        <v>233000</v>
      </c>
      <c r="T165" s="22">
        <v>166600</v>
      </c>
      <c r="U165" s="22">
        <v>123600</v>
      </c>
      <c r="V165" s="22">
        <v>271700</v>
      </c>
      <c r="W165" s="22">
        <v>234600</v>
      </c>
      <c r="X165" s="22">
        <v>275100</v>
      </c>
      <c r="Y165" s="22">
        <v>403500</v>
      </c>
      <c r="Z165" s="22">
        <v>192200</v>
      </c>
      <c r="AA165" s="22">
        <v>315800</v>
      </c>
      <c r="AB165" s="22">
        <v>262600</v>
      </c>
      <c r="AC165" s="22">
        <v>262600</v>
      </c>
      <c r="AD165" s="22">
        <v>309700</v>
      </c>
      <c r="AE165" s="22">
        <v>470900</v>
      </c>
      <c r="AF165" s="22">
        <v>383000</v>
      </c>
      <c r="AG165" s="22">
        <v>498100</v>
      </c>
      <c r="AH165" s="22">
        <v>256600</v>
      </c>
      <c r="AI165" s="22">
        <v>501100</v>
      </c>
      <c r="AJ165" s="22">
        <v>411800</v>
      </c>
      <c r="AK165" s="22">
        <v>618900</v>
      </c>
      <c r="AL165" s="22">
        <v>660200</v>
      </c>
      <c r="AM165" s="22">
        <v>1498900</v>
      </c>
      <c r="AN165" s="22">
        <v>355400</v>
      </c>
      <c r="AO165" s="22">
        <v>435500</v>
      </c>
      <c r="AP165" s="22">
        <v>380900</v>
      </c>
      <c r="AQ165" s="22">
        <v>323100</v>
      </c>
      <c r="AR165" s="22">
        <v>290000</v>
      </c>
      <c r="AS165" s="22">
        <v>338500</v>
      </c>
      <c r="AT165" s="22">
        <v>345100</v>
      </c>
      <c r="AU165" s="22">
        <v>216200</v>
      </c>
      <c r="AV165" s="22">
        <v>183000</v>
      </c>
      <c r="AW165" s="22">
        <v>124200</v>
      </c>
      <c r="AX165" s="22">
        <v>87400</v>
      </c>
      <c r="AY165" s="22">
        <v>85700</v>
      </c>
      <c r="AZ165" s="22">
        <v>196200</v>
      </c>
      <c r="BA165" s="22">
        <v>139900</v>
      </c>
      <c r="BB165" s="22">
        <v>328600</v>
      </c>
      <c r="BC165" s="22">
        <v>371600</v>
      </c>
      <c r="BD165" s="22">
        <v>348200</v>
      </c>
      <c r="BE165" s="22">
        <v>263000</v>
      </c>
      <c r="BF165" s="22">
        <v>245200</v>
      </c>
      <c r="BG165" s="22">
        <v>409600</v>
      </c>
      <c r="BH165" s="22">
        <v>338800</v>
      </c>
      <c r="BI165" s="22">
        <v>307800</v>
      </c>
      <c r="BJ165" s="22">
        <v>230100</v>
      </c>
      <c r="BK165" s="22">
        <v>219400</v>
      </c>
      <c r="BL165" s="22">
        <v>300200</v>
      </c>
    </row>
    <row r="166" spans="1:64" ht="15.95" customHeight="1">
      <c r="A166" s="433" t="s">
        <v>422</v>
      </c>
      <c r="B166" s="49" t="s">
        <v>226</v>
      </c>
      <c r="C166" s="53">
        <f>_xll.RssMarket("9733","出来高")</f>
        <v>27000</v>
      </c>
      <c r="D166" s="16">
        <f t="shared" si="2"/>
        <v>0</v>
      </c>
      <c r="E166" s="22">
        <v>27000</v>
      </c>
      <c r="F166" s="22">
        <v>25900</v>
      </c>
      <c r="G166" s="22">
        <v>16300</v>
      </c>
      <c r="H166" s="22">
        <v>30600</v>
      </c>
      <c r="I166" s="22">
        <v>20400</v>
      </c>
      <c r="J166" s="22">
        <v>23700</v>
      </c>
      <c r="K166" s="22">
        <v>13700</v>
      </c>
      <c r="L166" s="22">
        <v>21400</v>
      </c>
      <c r="M166" s="22">
        <v>25700</v>
      </c>
      <c r="N166" s="22">
        <v>27000</v>
      </c>
      <c r="O166" s="22">
        <v>17500</v>
      </c>
      <c r="P166" s="22">
        <v>9700</v>
      </c>
      <c r="Q166" s="22">
        <v>20600</v>
      </c>
      <c r="R166" s="22">
        <v>28500</v>
      </c>
      <c r="S166" s="22">
        <v>15700</v>
      </c>
      <c r="T166" s="22">
        <v>23100</v>
      </c>
      <c r="U166" s="22">
        <v>25200</v>
      </c>
      <c r="V166" s="22">
        <v>35500</v>
      </c>
      <c r="W166" s="22">
        <v>25300</v>
      </c>
      <c r="X166" s="22">
        <v>30200</v>
      </c>
      <c r="Y166" s="22">
        <v>37800</v>
      </c>
      <c r="Z166" s="22">
        <v>18700</v>
      </c>
      <c r="AA166" s="22">
        <v>29500</v>
      </c>
      <c r="AB166" s="22">
        <v>19000</v>
      </c>
      <c r="AC166" s="22">
        <v>19000</v>
      </c>
      <c r="AD166" s="22">
        <v>27800</v>
      </c>
      <c r="AE166" s="22">
        <v>43600</v>
      </c>
      <c r="AF166" s="22">
        <v>73400</v>
      </c>
      <c r="AG166" s="22">
        <v>44500</v>
      </c>
      <c r="AH166" s="22">
        <v>23200</v>
      </c>
      <c r="AI166" s="22">
        <v>43000</v>
      </c>
      <c r="AJ166" s="22">
        <v>24900</v>
      </c>
      <c r="AK166" s="22">
        <v>24300</v>
      </c>
      <c r="AL166" s="22">
        <v>25400</v>
      </c>
      <c r="AM166" s="22">
        <v>36500</v>
      </c>
      <c r="AN166" s="22">
        <v>30600</v>
      </c>
      <c r="AO166" s="22">
        <v>18200</v>
      </c>
      <c r="AP166" s="22">
        <v>28800</v>
      </c>
      <c r="AQ166" s="22">
        <v>40700</v>
      </c>
      <c r="AR166" s="22">
        <v>18800</v>
      </c>
      <c r="AS166" s="22">
        <v>32600</v>
      </c>
      <c r="AT166" s="22">
        <v>68200</v>
      </c>
      <c r="AU166" s="22">
        <v>41200</v>
      </c>
      <c r="AV166" s="22">
        <v>51500</v>
      </c>
      <c r="AW166" s="22">
        <v>33000</v>
      </c>
      <c r="AX166" s="22">
        <v>64600</v>
      </c>
      <c r="AY166" s="22">
        <v>39400</v>
      </c>
      <c r="AZ166" s="22">
        <v>74900</v>
      </c>
      <c r="BA166" s="22">
        <v>138200</v>
      </c>
      <c r="BB166" s="22">
        <v>176100</v>
      </c>
      <c r="BC166" s="22">
        <v>107700</v>
      </c>
      <c r="BD166" s="22">
        <v>84200</v>
      </c>
      <c r="BE166" s="22">
        <v>142100</v>
      </c>
      <c r="BF166" s="22">
        <v>52700</v>
      </c>
      <c r="BG166" s="22">
        <v>79900</v>
      </c>
      <c r="BH166" s="22">
        <v>104500</v>
      </c>
      <c r="BI166" s="22">
        <v>53800</v>
      </c>
      <c r="BJ166" s="22">
        <v>40100</v>
      </c>
      <c r="BK166" s="22">
        <v>62000</v>
      </c>
      <c r="BL166" s="22">
        <v>50000</v>
      </c>
    </row>
    <row r="167" spans="1:64" ht="15.95" customHeight="1">
      <c r="A167" s="433" t="s">
        <v>423</v>
      </c>
      <c r="B167" s="49" t="s">
        <v>227</v>
      </c>
      <c r="C167" s="53">
        <f>_xll.RssMarket("9551","出来高")</f>
        <v>90900</v>
      </c>
      <c r="D167" s="16">
        <f t="shared" si="2"/>
        <v>0</v>
      </c>
      <c r="E167" s="22">
        <v>90900</v>
      </c>
      <c r="F167" s="22">
        <v>69800</v>
      </c>
      <c r="G167" s="22">
        <v>118400</v>
      </c>
      <c r="H167" s="22">
        <v>105300</v>
      </c>
      <c r="I167" s="22">
        <v>162000</v>
      </c>
      <c r="J167" s="22">
        <v>139600</v>
      </c>
      <c r="K167" s="22">
        <v>65400</v>
      </c>
      <c r="L167" s="22">
        <v>71200</v>
      </c>
      <c r="M167" s="22">
        <v>89800</v>
      </c>
      <c r="N167" s="22">
        <v>216800</v>
      </c>
      <c r="O167" s="22">
        <v>376000</v>
      </c>
      <c r="P167" s="22">
        <v>128000</v>
      </c>
      <c r="Q167" s="22">
        <v>79000</v>
      </c>
      <c r="R167" s="22">
        <v>107500</v>
      </c>
      <c r="S167" s="22">
        <v>109700</v>
      </c>
      <c r="T167" s="22">
        <v>80700</v>
      </c>
      <c r="U167" s="22">
        <v>157300</v>
      </c>
      <c r="V167" s="22">
        <v>152200</v>
      </c>
      <c r="W167" s="22">
        <v>137800</v>
      </c>
      <c r="X167" s="22">
        <v>152600</v>
      </c>
      <c r="Y167" s="22">
        <v>81000</v>
      </c>
      <c r="Z167" s="22">
        <v>113900</v>
      </c>
      <c r="AA167" s="22">
        <v>204500</v>
      </c>
      <c r="AB167" s="22">
        <v>146800</v>
      </c>
      <c r="AC167" s="22">
        <v>146800</v>
      </c>
      <c r="AD167" s="22">
        <v>186900</v>
      </c>
      <c r="AE167" s="22">
        <v>166200</v>
      </c>
      <c r="AF167" s="22">
        <v>261100</v>
      </c>
      <c r="AG167" s="22">
        <v>216900</v>
      </c>
      <c r="AH167" s="22">
        <v>296300</v>
      </c>
      <c r="AI167" s="22">
        <v>601500</v>
      </c>
      <c r="AJ167" s="22">
        <v>223400</v>
      </c>
      <c r="AK167" s="22">
        <v>109500</v>
      </c>
      <c r="AL167" s="22">
        <v>84800</v>
      </c>
      <c r="AM167" s="22">
        <v>87700</v>
      </c>
      <c r="AN167" s="22">
        <v>85800</v>
      </c>
      <c r="AO167" s="22">
        <v>104900</v>
      </c>
      <c r="AP167" s="22">
        <v>125800</v>
      </c>
      <c r="AQ167" s="22">
        <v>133100</v>
      </c>
      <c r="AR167" s="22">
        <v>93400</v>
      </c>
      <c r="AS167" s="22">
        <v>69800</v>
      </c>
      <c r="AT167" s="22">
        <v>85900</v>
      </c>
      <c r="AU167" s="22">
        <v>95900</v>
      </c>
      <c r="AV167" s="22">
        <v>122200</v>
      </c>
      <c r="AW167" s="22">
        <v>73500</v>
      </c>
      <c r="AX167" s="22">
        <v>67000</v>
      </c>
      <c r="AY167" s="22">
        <v>107500</v>
      </c>
      <c r="AZ167" s="22">
        <v>203700</v>
      </c>
      <c r="BA167" s="22">
        <v>163000</v>
      </c>
      <c r="BB167" s="22">
        <v>131800</v>
      </c>
      <c r="BC167" s="22">
        <v>145900</v>
      </c>
      <c r="BD167" s="22">
        <v>110600</v>
      </c>
      <c r="BE167" s="22">
        <v>92300</v>
      </c>
      <c r="BF167" s="22">
        <v>128000</v>
      </c>
      <c r="BG167" s="22">
        <v>433100</v>
      </c>
      <c r="BH167" s="22">
        <v>199600</v>
      </c>
      <c r="BI167" s="22">
        <v>77900</v>
      </c>
      <c r="BJ167" s="22">
        <v>85000</v>
      </c>
      <c r="BK167" s="22">
        <v>117500</v>
      </c>
      <c r="BL167" s="22">
        <v>148500</v>
      </c>
    </row>
    <row r="168" spans="1:64" ht="15.95" customHeight="1">
      <c r="A168" s="433" t="s">
        <v>424</v>
      </c>
      <c r="B168" s="49" t="s">
        <v>228</v>
      </c>
      <c r="C168" s="53">
        <f>_xll.RssMarket("2359","出来高")</f>
        <v>13800</v>
      </c>
      <c r="D168" s="16">
        <f t="shared" si="2"/>
        <v>0</v>
      </c>
      <c r="E168" s="22">
        <v>13800</v>
      </c>
      <c r="F168" s="22">
        <v>28500</v>
      </c>
      <c r="G168" s="22">
        <v>23100</v>
      </c>
      <c r="H168" s="22">
        <v>15000</v>
      </c>
      <c r="I168" s="22">
        <v>15500</v>
      </c>
      <c r="J168" s="22">
        <v>22800</v>
      </c>
      <c r="K168" s="22">
        <v>13900</v>
      </c>
      <c r="L168" s="22">
        <v>40900</v>
      </c>
      <c r="M168" s="22">
        <v>14800</v>
      </c>
      <c r="N168" s="22">
        <v>20100</v>
      </c>
      <c r="O168" s="22">
        <v>28100</v>
      </c>
      <c r="P168" s="22">
        <v>34200</v>
      </c>
      <c r="Q168" s="22">
        <v>44000</v>
      </c>
      <c r="R168" s="22">
        <v>52800</v>
      </c>
      <c r="S168" s="22">
        <v>21300</v>
      </c>
      <c r="T168" s="22">
        <v>11600</v>
      </c>
      <c r="U168" s="22">
        <v>31400</v>
      </c>
      <c r="V168" s="22">
        <v>29100</v>
      </c>
      <c r="W168" s="22">
        <v>18100</v>
      </c>
      <c r="X168" s="22">
        <v>18600</v>
      </c>
      <c r="Y168" s="22">
        <v>20400</v>
      </c>
      <c r="Z168" s="22">
        <v>26900</v>
      </c>
      <c r="AA168" s="22">
        <v>19400</v>
      </c>
      <c r="AB168" s="22">
        <v>26400</v>
      </c>
      <c r="AC168" s="22">
        <v>26400</v>
      </c>
      <c r="AD168" s="22">
        <v>46200</v>
      </c>
      <c r="AE168" s="22">
        <v>52200</v>
      </c>
      <c r="AF168" s="22">
        <v>66800</v>
      </c>
      <c r="AG168" s="22">
        <v>158000</v>
      </c>
      <c r="AH168" s="22">
        <v>53200</v>
      </c>
      <c r="AI168" s="22">
        <v>63800</v>
      </c>
      <c r="AJ168" s="22">
        <v>12600</v>
      </c>
      <c r="AK168" s="22">
        <v>19500</v>
      </c>
      <c r="AL168" s="22">
        <v>14300</v>
      </c>
      <c r="AM168" s="22">
        <v>14100</v>
      </c>
      <c r="AN168" s="22">
        <v>12400</v>
      </c>
      <c r="AO168" s="22">
        <v>9900</v>
      </c>
      <c r="AP168" s="22">
        <v>6900</v>
      </c>
      <c r="AQ168" s="22">
        <v>17300</v>
      </c>
      <c r="AR168" s="22">
        <v>15300</v>
      </c>
      <c r="AS168" s="22">
        <v>14900</v>
      </c>
      <c r="AT168" s="22">
        <v>12800</v>
      </c>
      <c r="AU168" s="22">
        <v>25500</v>
      </c>
      <c r="AV168" s="22">
        <v>27500</v>
      </c>
      <c r="AW168" s="22">
        <v>15400</v>
      </c>
      <c r="AX168" s="22">
        <v>9100</v>
      </c>
      <c r="AY168" s="22">
        <v>21700</v>
      </c>
      <c r="AZ168" s="22">
        <v>26600</v>
      </c>
      <c r="BA168" s="22">
        <v>25100</v>
      </c>
      <c r="BB168" s="22">
        <v>98400</v>
      </c>
      <c r="BC168" s="22">
        <v>133900</v>
      </c>
      <c r="BD168" s="22">
        <v>89900</v>
      </c>
      <c r="BE168" s="22">
        <v>80000</v>
      </c>
      <c r="BF168" s="22">
        <v>38000</v>
      </c>
      <c r="BG168" s="22">
        <v>73800</v>
      </c>
      <c r="BH168" s="22">
        <v>37000</v>
      </c>
      <c r="BI168" s="22">
        <v>38600</v>
      </c>
      <c r="BJ168" s="22">
        <v>23300</v>
      </c>
      <c r="BK168" s="22">
        <v>29200</v>
      </c>
      <c r="BL168" s="22">
        <v>27100</v>
      </c>
    </row>
    <row r="169" spans="1:64" ht="15.95" customHeight="1">
      <c r="A169" s="433" t="s">
        <v>425</v>
      </c>
      <c r="B169" s="49" t="s">
        <v>229</v>
      </c>
      <c r="C169" s="53">
        <f>_xll.RssMarket("8103","出来高")</f>
        <v>141300</v>
      </c>
      <c r="D169" s="16">
        <f t="shared" si="2"/>
        <v>0</v>
      </c>
      <c r="E169" s="22">
        <v>141300</v>
      </c>
      <c r="F169" s="22">
        <v>200300</v>
      </c>
      <c r="G169" s="22">
        <v>241000</v>
      </c>
      <c r="H169" s="22">
        <v>268000</v>
      </c>
      <c r="I169" s="22">
        <v>400800</v>
      </c>
      <c r="J169" s="22">
        <v>392700</v>
      </c>
      <c r="K169" s="22">
        <v>191500</v>
      </c>
      <c r="L169" s="22">
        <v>197700</v>
      </c>
      <c r="M169" s="22">
        <v>238800</v>
      </c>
      <c r="N169" s="22">
        <v>343100</v>
      </c>
      <c r="O169" s="22">
        <v>227000</v>
      </c>
      <c r="P169" s="22">
        <v>231800</v>
      </c>
      <c r="Q169" s="22">
        <v>315800</v>
      </c>
      <c r="R169" s="22">
        <v>216500</v>
      </c>
      <c r="S169" s="22">
        <v>302500</v>
      </c>
      <c r="T169" s="22">
        <v>256200</v>
      </c>
      <c r="U169" s="22">
        <v>372900</v>
      </c>
      <c r="V169" s="22">
        <v>298300</v>
      </c>
      <c r="W169" s="22">
        <v>257000</v>
      </c>
      <c r="X169" s="22">
        <v>394400</v>
      </c>
      <c r="Y169" s="22">
        <v>531600</v>
      </c>
      <c r="Z169" s="22">
        <v>439400</v>
      </c>
      <c r="AA169" s="22">
        <v>230200</v>
      </c>
      <c r="AB169" s="22">
        <v>368100</v>
      </c>
      <c r="AC169" s="22">
        <v>368100</v>
      </c>
      <c r="AD169" s="22">
        <v>604600</v>
      </c>
      <c r="AE169" s="22">
        <v>1317300</v>
      </c>
      <c r="AF169" s="22">
        <v>1503800</v>
      </c>
      <c r="AG169" s="22">
        <v>1894300</v>
      </c>
      <c r="AH169" s="22">
        <v>202800</v>
      </c>
      <c r="AI169" s="22">
        <v>251600</v>
      </c>
      <c r="AJ169" s="22">
        <v>296300</v>
      </c>
      <c r="AK169" s="22">
        <v>279600</v>
      </c>
      <c r="AL169" s="22">
        <v>293400</v>
      </c>
      <c r="AM169" s="22">
        <v>230700</v>
      </c>
      <c r="AN169" s="22">
        <v>181500</v>
      </c>
      <c r="AO169" s="22">
        <v>193200</v>
      </c>
      <c r="AP169" s="22">
        <v>320200</v>
      </c>
      <c r="AQ169" s="22">
        <v>403700</v>
      </c>
      <c r="AR169" s="22">
        <v>356400</v>
      </c>
      <c r="AS169" s="22">
        <v>248400</v>
      </c>
      <c r="AT169" s="22">
        <v>211500</v>
      </c>
      <c r="AU169" s="22">
        <v>403300</v>
      </c>
      <c r="AV169" s="22">
        <v>282000</v>
      </c>
      <c r="AW169" s="22">
        <v>211800</v>
      </c>
      <c r="AX169" s="22">
        <v>288900</v>
      </c>
      <c r="AY169" s="22">
        <v>281300</v>
      </c>
      <c r="AZ169" s="22">
        <v>509500</v>
      </c>
      <c r="BA169" s="22">
        <v>458900</v>
      </c>
      <c r="BB169" s="22">
        <v>876900</v>
      </c>
      <c r="BC169" s="22">
        <v>892400</v>
      </c>
      <c r="BD169" s="22">
        <v>273400</v>
      </c>
      <c r="BE169" s="22">
        <v>337900</v>
      </c>
      <c r="BF169" s="22">
        <v>191600</v>
      </c>
      <c r="BG169" s="22">
        <v>463900</v>
      </c>
      <c r="BH169" s="22">
        <v>593800</v>
      </c>
      <c r="BI169" s="22">
        <v>518000</v>
      </c>
      <c r="BJ169" s="22">
        <v>392700</v>
      </c>
      <c r="BK169" s="22">
        <v>541400</v>
      </c>
      <c r="BL169" s="22">
        <v>406200</v>
      </c>
    </row>
    <row r="170" spans="1:64" ht="15.95" customHeight="1">
      <c r="A170" s="433" t="s">
        <v>426</v>
      </c>
      <c r="B170" s="49" t="s">
        <v>230</v>
      </c>
      <c r="C170" s="53">
        <f>_xll.RssMarket("4709","出来高")</f>
        <v>132900</v>
      </c>
      <c r="D170" s="16">
        <f t="shared" si="2"/>
        <v>0</v>
      </c>
      <c r="E170" s="22">
        <v>132900</v>
      </c>
      <c r="F170" s="22">
        <v>140900</v>
      </c>
      <c r="G170" s="22">
        <v>99900</v>
      </c>
      <c r="H170" s="22">
        <v>99800</v>
      </c>
      <c r="I170" s="22">
        <v>150800</v>
      </c>
      <c r="J170" s="22">
        <v>112200</v>
      </c>
      <c r="K170" s="22">
        <v>34600</v>
      </c>
      <c r="L170" s="22">
        <v>72000</v>
      </c>
      <c r="M170" s="22">
        <v>83300</v>
      </c>
      <c r="N170" s="22">
        <v>44400</v>
      </c>
      <c r="O170" s="22">
        <v>88700</v>
      </c>
      <c r="P170" s="22">
        <v>94800</v>
      </c>
      <c r="Q170" s="22">
        <v>73600</v>
      </c>
      <c r="R170" s="22">
        <v>68200</v>
      </c>
      <c r="S170" s="22">
        <v>45100</v>
      </c>
      <c r="T170" s="22">
        <v>63800</v>
      </c>
      <c r="U170" s="22">
        <v>87500</v>
      </c>
      <c r="V170" s="22">
        <v>106000</v>
      </c>
      <c r="W170" s="22">
        <v>89600</v>
      </c>
      <c r="X170" s="22">
        <v>79800</v>
      </c>
      <c r="Y170" s="22">
        <v>131900</v>
      </c>
      <c r="Z170" s="22">
        <v>144400</v>
      </c>
      <c r="AA170" s="22">
        <v>82000</v>
      </c>
      <c r="AB170" s="22">
        <v>173800</v>
      </c>
      <c r="AC170" s="22">
        <v>173800</v>
      </c>
      <c r="AD170" s="22">
        <v>89000</v>
      </c>
      <c r="AE170" s="22">
        <v>131300</v>
      </c>
      <c r="AF170" s="22">
        <v>409100</v>
      </c>
      <c r="AG170" s="22">
        <v>433600</v>
      </c>
      <c r="AH170" s="22">
        <v>73000</v>
      </c>
      <c r="AI170" s="22">
        <v>86000</v>
      </c>
      <c r="AJ170" s="22">
        <v>81000</v>
      </c>
      <c r="AK170" s="22">
        <v>150900</v>
      </c>
      <c r="AL170" s="22">
        <v>65900</v>
      </c>
      <c r="AM170" s="22">
        <v>48700</v>
      </c>
      <c r="AN170" s="22">
        <v>47800</v>
      </c>
      <c r="AO170" s="22">
        <v>40900</v>
      </c>
      <c r="AP170" s="22">
        <v>55900</v>
      </c>
      <c r="AQ170" s="22">
        <v>48000</v>
      </c>
      <c r="AR170" s="22">
        <v>35500</v>
      </c>
      <c r="AS170" s="22">
        <v>63700</v>
      </c>
      <c r="AT170" s="22">
        <v>51700</v>
      </c>
      <c r="AU170" s="22">
        <v>49600</v>
      </c>
      <c r="AV170" s="22">
        <v>55000</v>
      </c>
      <c r="AW170" s="22">
        <v>37900</v>
      </c>
      <c r="AX170" s="22">
        <v>25600</v>
      </c>
      <c r="AY170" s="22">
        <v>36300</v>
      </c>
      <c r="AZ170" s="22">
        <v>65300</v>
      </c>
      <c r="BA170" s="22">
        <v>74000</v>
      </c>
      <c r="BB170" s="22">
        <v>140400</v>
      </c>
      <c r="BC170" s="22">
        <v>56800</v>
      </c>
      <c r="BD170" s="22">
        <v>62800</v>
      </c>
      <c r="BE170" s="22">
        <v>28900</v>
      </c>
      <c r="BF170" s="22">
        <v>18000</v>
      </c>
      <c r="BG170" s="22">
        <v>41300</v>
      </c>
      <c r="BH170" s="22">
        <v>43100</v>
      </c>
      <c r="BI170" s="22">
        <v>16900</v>
      </c>
      <c r="BJ170" s="22">
        <v>25000</v>
      </c>
      <c r="BK170" s="22">
        <v>22700</v>
      </c>
      <c r="BL170" s="22">
        <v>26900</v>
      </c>
    </row>
    <row r="171" spans="1:64" ht="15.95" customHeight="1">
      <c r="A171" s="433" t="s">
        <v>427</v>
      </c>
      <c r="B171" s="49" t="s">
        <v>231</v>
      </c>
      <c r="C171" s="53">
        <f>_xll.RssMarket("7981","出来高")</f>
        <v>47900</v>
      </c>
      <c r="D171" s="16">
        <f t="shared" si="2"/>
        <v>0</v>
      </c>
      <c r="E171" s="22">
        <v>47900</v>
      </c>
      <c r="F171" s="22">
        <v>83900</v>
      </c>
      <c r="G171" s="22">
        <v>124400</v>
      </c>
      <c r="H171" s="22">
        <v>102500</v>
      </c>
      <c r="I171" s="22">
        <v>112600</v>
      </c>
      <c r="J171" s="22">
        <v>85900</v>
      </c>
      <c r="K171" s="22">
        <v>75200</v>
      </c>
      <c r="L171" s="22">
        <v>92200</v>
      </c>
      <c r="M171" s="22">
        <v>107100</v>
      </c>
      <c r="N171" s="22">
        <v>123300</v>
      </c>
      <c r="O171" s="22">
        <v>139800</v>
      </c>
      <c r="P171" s="22">
        <v>90800</v>
      </c>
      <c r="Q171" s="22">
        <v>132500</v>
      </c>
      <c r="R171" s="22">
        <v>171200</v>
      </c>
      <c r="S171" s="22">
        <v>85900</v>
      </c>
      <c r="T171" s="22">
        <v>92500</v>
      </c>
      <c r="U171" s="22">
        <v>123600</v>
      </c>
      <c r="V171" s="22">
        <v>96500</v>
      </c>
      <c r="W171" s="22">
        <v>143700</v>
      </c>
      <c r="X171" s="22">
        <v>89400</v>
      </c>
      <c r="Y171" s="22">
        <v>124100</v>
      </c>
      <c r="Z171" s="22">
        <v>150700</v>
      </c>
      <c r="AA171" s="22">
        <v>148900</v>
      </c>
      <c r="AB171" s="22">
        <v>144700</v>
      </c>
      <c r="AC171" s="22">
        <v>144700</v>
      </c>
      <c r="AD171" s="22">
        <v>239600</v>
      </c>
      <c r="AE171" s="22">
        <v>337500</v>
      </c>
      <c r="AF171" s="22">
        <v>349200</v>
      </c>
      <c r="AG171" s="22">
        <v>889200</v>
      </c>
      <c r="AH171" s="22">
        <v>378600</v>
      </c>
      <c r="AI171" s="22">
        <v>204400</v>
      </c>
      <c r="AJ171" s="22">
        <v>109600</v>
      </c>
      <c r="AK171" s="22">
        <v>140800</v>
      </c>
      <c r="AL171" s="22">
        <v>80500</v>
      </c>
      <c r="AM171" s="22">
        <v>98600</v>
      </c>
      <c r="AN171" s="22">
        <v>61600</v>
      </c>
      <c r="AO171" s="22">
        <v>127100</v>
      </c>
      <c r="AP171" s="22">
        <v>139800</v>
      </c>
      <c r="AQ171" s="22">
        <v>185300</v>
      </c>
      <c r="AR171" s="22">
        <v>298000</v>
      </c>
      <c r="AS171" s="22">
        <v>348300</v>
      </c>
      <c r="AT171" s="22">
        <v>81100</v>
      </c>
      <c r="AU171" s="22">
        <v>102400</v>
      </c>
      <c r="AV171" s="22">
        <v>136100</v>
      </c>
      <c r="AW171" s="22">
        <v>85700</v>
      </c>
      <c r="AX171" s="22">
        <v>51400</v>
      </c>
      <c r="AY171" s="22">
        <v>83600</v>
      </c>
      <c r="AZ171" s="22">
        <v>88000</v>
      </c>
      <c r="BA171" s="22">
        <v>101400</v>
      </c>
      <c r="BB171" s="22">
        <v>134300</v>
      </c>
      <c r="BC171" s="22">
        <v>121400</v>
      </c>
      <c r="BD171" s="22">
        <v>84600</v>
      </c>
      <c r="BE171" s="22">
        <v>109400</v>
      </c>
      <c r="BF171" s="22">
        <v>100300</v>
      </c>
      <c r="BG171" s="22">
        <v>156300</v>
      </c>
      <c r="BH171" s="22">
        <v>134900</v>
      </c>
      <c r="BI171" s="22">
        <v>125900</v>
      </c>
      <c r="BJ171" s="22">
        <v>56200</v>
      </c>
      <c r="BK171" s="22">
        <v>75400</v>
      </c>
      <c r="BL171" s="22">
        <v>109600</v>
      </c>
    </row>
    <row r="172" spans="1:64" ht="15.95" customHeight="1">
      <c r="A172" s="433" t="s">
        <v>428</v>
      </c>
      <c r="B172" s="49" t="s">
        <v>232</v>
      </c>
      <c r="C172" s="53">
        <f>_xll.RssMarket("8303","出来高")</f>
        <v>5468800</v>
      </c>
      <c r="D172" s="16">
        <f t="shared" si="2"/>
        <v>0</v>
      </c>
      <c r="E172" s="22">
        <v>5468800</v>
      </c>
      <c r="F172" s="22">
        <v>6082500</v>
      </c>
      <c r="G172" s="22">
        <v>9096100</v>
      </c>
      <c r="H172" s="22">
        <v>3807000</v>
      </c>
      <c r="I172" s="22">
        <v>10033100</v>
      </c>
      <c r="J172" s="22">
        <v>3729700</v>
      </c>
      <c r="K172" s="22">
        <v>6477200</v>
      </c>
      <c r="L172" s="22">
        <v>7740300</v>
      </c>
      <c r="M172" s="22">
        <v>7833600</v>
      </c>
      <c r="N172" s="22">
        <v>5477600</v>
      </c>
      <c r="O172" s="22">
        <v>8612300</v>
      </c>
      <c r="P172" s="22">
        <v>7493700</v>
      </c>
      <c r="Q172" s="22">
        <v>11956600</v>
      </c>
      <c r="R172" s="22">
        <v>5735300</v>
      </c>
      <c r="S172" s="22">
        <v>7995000</v>
      </c>
      <c r="T172" s="22">
        <v>12444200</v>
      </c>
      <c r="U172" s="22">
        <v>7575100</v>
      </c>
      <c r="V172" s="22">
        <v>6968400</v>
      </c>
      <c r="W172" s="22">
        <v>3089000</v>
      </c>
      <c r="X172" s="22">
        <v>3415400</v>
      </c>
      <c r="Y172" s="22">
        <v>5926200</v>
      </c>
      <c r="Z172" s="22">
        <v>2505100</v>
      </c>
      <c r="AA172" s="22">
        <v>3521600</v>
      </c>
      <c r="AB172" s="22">
        <v>5132100</v>
      </c>
      <c r="AC172" s="22">
        <v>5132100</v>
      </c>
      <c r="AD172" s="22">
        <v>3737800</v>
      </c>
      <c r="AE172" s="22">
        <v>7619800</v>
      </c>
      <c r="AF172" s="22">
        <v>12861000</v>
      </c>
      <c r="AG172" s="22">
        <v>5059200</v>
      </c>
      <c r="AH172" s="22">
        <v>17287000</v>
      </c>
      <c r="AI172" s="22">
        <v>3559000</v>
      </c>
      <c r="AJ172" s="22">
        <v>4957700</v>
      </c>
      <c r="AK172" s="22">
        <v>11445100</v>
      </c>
      <c r="AL172" s="22">
        <v>5367000</v>
      </c>
      <c r="AM172" s="22">
        <v>2986500</v>
      </c>
      <c r="AN172" s="22">
        <v>2053700</v>
      </c>
      <c r="AO172" s="22">
        <v>2152900</v>
      </c>
      <c r="AP172" s="22">
        <v>2438100</v>
      </c>
      <c r="AQ172" s="22">
        <v>2736000</v>
      </c>
      <c r="AR172" s="22">
        <v>2690300</v>
      </c>
      <c r="AS172" s="22">
        <v>3364500</v>
      </c>
      <c r="AT172" s="22">
        <v>3617400</v>
      </c>
      <c r="AU172" s="22">
        <v>3149000</v>
      </c>
      <c r="AV172" s="22">
        <v>5891200</v>
      </c>
      <c r="AW172" s="22">
        <v>2531900</v>
      </c>
      <c r="AX172" s="22">
        <v>3451800</v>
      </c>
      <c r="AY172" s="22">
        <v>1964900</v>
      </c>
      <c r="AZ172" s="22">
        <v>3514800</v>
      </c>
      <c r="BA172" s="22">
        <v>3920000</v>
      </c>
      <c r="BB172" s="22">
        <v>3205300</v>
      </c>
      <c r="BC172" s="22">
        <v>3879900</v>
      </c>
      <c r="BD172" s="22">
        <v>6566000</v>
      </c>
      <c r="BE172" s="22">
        <v>5379600</v>
      </c>
      <c r="BF172" s="22">
        <v>3582400</v>
      </c>
      <c r="BG172" s="22">
        <v>5333100</v>
      </c>
      <c r="BH172" s="22">
        <v>4130200</v>
      </c>
      <c r="BI172" s="22">
        <v>2898900</v>
      </c>
      <c r="BJ172" s="22">
        <v>3228900</v>
      </c>
      <c r="BK172" s="22">
        <v>2635200</v>
      </c>
      <c r="BL172" s="22">
        <v>4304200</v>
      </c>
    </row>
    <row r="173" spans="1:64" ht="15.95" customHeight="1">
      <c r="A173" s="433" t="s">
        <v>429</v>
      </c>
      <c r="B173" s="49" t="s">
        <v>233</v>
      </c>
      <c r="C173" s="53">
        <f>_xll.RssMarket("4382","出来高")</f>
        <v>27300</v>
      </c>
      <c r="D173" s="16">
        <f t="shared" si="2"/>
        <v>0</v>
      </c>
      <c r="E173" s="22">
        <v>27300</v>
      </c>
      <c r="F173" s="22">
        <v>52800</v>
      </c>
      <c r="G173" s="22">
        <v>105200</v>
      </c>
      <c r="H173" s="22">
        <v>40200</v>
      </c>
      <c r="I173" s="22">
        <v>106200</v>
      </c>
      <c r="J173" s="22">
        <v>31100</v>
      </c>
      <c r="K173" s="22">
        <v>18700</v>
      </c>
      <c r="L173" s="22">
        <v>51700</v>
      </c>
      <c r="M173" s="22">
        <v>36500</v>
      </c>
      <c r="N173" s="22">
        <v>26200</v>
      </c>
      <c r="O173" s="22">
        <v>62300</v>
      </c>
      <c r="P173" s="22">
        <v>75500</v>
      </c>
      <c r="Q173" s="22">
        <v>41500</v>
      </c>
      <c r="R173" s="22">
        <v>46800</v>
      </c>
      <c r="S173" s="22">
        <v>26300</v>
      </c>
      <c r="T173" s="22">
        <v>23700</v>
      </c>
      <c r="U173" s="22">
        <v>19500</v>
      </c>
      <c r="V173" s="22">
        <v>28300</v>
      </c>
      <c r="W173" s="22">
        <v>35000</v>
      </c>
      <c r="X173" s="22">
        <v>37600</v>
      </c>
      <c r="Y173" s="22">
        <v>47900</v>
      </c>
      <c r="Z173" s="22">
        <v>21500</v>
      </c>
      <c r="AA173" s="22">
        <v>26300</v>
      </c>
      <c r="AB173" s="22">
        <v>79600</v>
      </c>
      <c r="AC173" s="22">
        <v>79600</v>
      </c>
      <c r="AD173" s="22">
        <v>36600</v>
      </c>
      <c r="AE173" s="22">
        <v>31500</v>
      </c>
      <c r="AF173" s="22">
        <v>22600</v>
      </c>
      <c r="AG173" s="22">
        <v>46300</v>
      </c>
      <c r="AH173" s="22">
        <v>74600</v>
      </c>
      <c r="AI173" s="22">
        <v>61800</v>
      </c>
      <c r="AJ173" s="22">
        <v>53300</v>
      </c>
      <c r="AK173" s="22">
        <v>25800</v>
      </c>
      <c r="AL173" s="22">
        <v>12100</v>
      </c>
      <c r="AM173" s="22">
        <v>31000</v>
      </c>
      <c r="AN173" s="22">
        <v>20700</v>
      </c>
      <c r="AO173" s="22">
        <v>36000</v>
      </c>
      <c r="AP173" s="22">
        <v>54700</v>
      </c>
      <c r="AQ173" s="22">
        <v>79900</v>
      </c>
      <c r="AR173" s="22">
        <v>25400</v>
      </c>
      <c r="AS173" s="22">
        <v>20800</v>
      </c>
      <c r="AT173" s="22">
        <v>27600</v>
      </c>
      <c r="AU173" s="22">
        <v>26200</v>
      </c>
      <c r="AV173" s="22">
        <v>54700</v>
      </c>
      <c r="AW173" s="22">
        <v>31800</v>
      </c>
      <c r="AX173" s="22">
        <v>32100</v>
      </c>
      <c r="AY173" s="22">
        <v>38500</v>
      </c>
      <c r="AZ173" s="22">
        <v>31800</v>
      </c>
      <c r="BA173" s="22">
        <v>23900</v>
      </c>
      <c r="BB173" s="22">
        <v>52100</v>
      </c>
      <c r="BC173" s="22">
        <v>47600</v>
      </c>
      <c r="BD173" s="22">
        <v>27800</v>
      </c>
      <c r="BE173" s="22">
        <v>24300</v>
      </c>
      <c r="BF173" s="22">
        <v>44200</v>
      </c>
      <c r="BG173" s="22">
        <v>151000</v>
      </c>
      <c r="BH173" s="22">
        <v>95200</v>
      </c>
      <c r="BI173" s="22">
        <v>71600</v>
      </c>
      <c r="BJ173" s="22">
        <v>92700</v>
      </c>
      <c r="BK173" s="22">
        <v>129500</v>
      </c>
      <c r="BL173" s="22">
        <v>140600</v>
      </c>
    </row>
    <row r="174" spans="1:64" ht="15.95" customHeight="1">
      <c r="A174" s="433" t="s">
        <v>430</v>
      </c>
      <c r="B174" s="49" t="s">
        <v>234</v>
      </c>
      <c r="C174" s="53">
        <f>_xll.RssMarket("2327","出来高")</f>
        <v>325900</v>
      </c>
      <c r="D174" s="16">
        <f t="shared" si="2"/>
        <v>0</v>
      </c>
      <c r="E174" s="22">
        <v>325900</v>
      </c>
      <c r="F174" s="22">
        <v>379700</v>
      </c>
      <c r="G174" s="22">
        <v>253000</v>
      </c>
      <c r="H174" s="22">
        <v>191100</v>
      </c>
      <c r="I174" s="22">
        <v>190700</v>
      </c>
      <c r="J174" s="22">
        <v>134800</v>
      </c>
      <c r="K174" s="22">
        <v>178700</v>
      </c>
      <c r="L174" s="22">
        <v>246700</v>
      </c>
      <c r="M174" s="22">
        <v>352900</v>
      </c>
      <c r="N174" s="22">
        <v>210500</v>
      </c>
      <c r="O174" s="22">
        <v>281800</v>
      </c>
      <c r="P174" s="22">
        <v>247100</v>
      </c>
      <c r="Q174" s="22">
        <v>242200</v>
      </c>
      <c r="R174" s="22">
        <v>245600</v>
      </c>
      <c r="S174" s="22">
        <v>158600</v>
      </c>
      <c r="T174" s="22">
        <v>107700</v>
      </c>
      <c r="U174" s="22">
        <v>168400</v>
      </c>
      <c r="V174" s="22">
        <v>295500</v>
      </c>
      <c r="W174" s="22">
        <v>366900</v>
      </c>
      <c r="X174" s="22">
        <v>294500</v>
      </c>
      <c r="Y174" s="22">
        <v>257700</v>
      </c>
      <c r="Z174" s="22">
        <v>340700</v>
      </c>
      <c r="AA174" s="22">
        <v>296500</v>
      </c>
      <c r="AB174" s="22">
        <v>241900</v>
      </c>
      <c r="AC174" s="22">
        <v>241900</v>
      </c>
      <c r="AD174" s="22">
        <v>353500</v>
      </c>
      <c r="AE174" s="22">
        <v>323900</v>
      </c>
      <c r="AF174" s="22">
        <v>382500</v>
      </c>
      <c r="AG174" s="22">
        <v>361700</v>
      </c>
      <c r="AH174" s="22">
        <v>529800</v>
      </c>
      <c r="AI174" s="22">
        <v>365100</v>
      </c>
      <c r="AJ174" s="22">
        <v>218800</v>
      </c>
      <c r="AK174" s="22">
        <v>235900</v>
      </c>
      <c r="AL174" s="22">
        <v>167600</v>
      </c>
      <c r="AM174" s="22">
        <v>133000</v>
      </c>
      <c r="AN174" s="22">
        <v>128800</v>
      </c>
      <c r="AO174" s="22">
        <v>270900</v>
      </c>
      <c r="AP174" s="22">
        <v>183600</v>
      </c>
      <c r="AQ174" s="22">
        <v>217400</v>
      </c>
      <c r="AR174" s="22">
        <v>190800</v>
      </c>
      <c r="AS174" s="22">
        <v>227200</v>
      </c>
      <c r="AT174" s="22">
        <v>198300</v>
      </c>
      <c r="AU174" s="22">
        <v>225100</v>
      </c>
      <c r="AV174" s="22">
        <v>253300</v>
      </c>
      <c r="AW174" s="22">
        <v>227100</v>
      </c>
      <c r="AX174" s="22">
        <v>158600</v>
      </c>
      <c r="AY174" s="22">
        <v>319200</v>
      </c>
      <c r="AZ174" s="22">
        <v>344100</v>
      </c>
      <c r="BA174" s="22">
        <v>252200</v>
      </c>
      <c r="BB174" s="22">
        <v>241500</v>
      </c>
      <c r="BC174" s="22">
        <v>226900</v>
      </c>
      <c r="BD174" s="22">
        <v>157900</v>
      </c>
      <c r="BE174" s="22">
        <v>184600</v>
      </c>
      <c r="BF174" s="22">
        <v>276200</v>
      </c>
      <c r="BG174" s="22">
        <v>318100</v>
      </c>
      <c r="BH174" s="22">
        <v>418200</v>
      </c>
      <c r="BI174" s="22">
        <v>141300</v>
      </c>
      <c r="BJ174" s="22">
        <v>191400</v>
      </c>
      <c r="BK174" s="22">
        <v>226400</v>
      </c>
      <c r="BL174" s="22">
        <v>337700</v>
      </c>
    </row>
    <row r="175" spans="1:64" ht="15.95" customHeight="1">
      <c r="A175" s="433" t="s">
        <v>431</v>
      </c>
      <c r="B175" s="49" t="s">
        <v>235</v>
      </c>
      <c r="C175" s="53">
        <f>_xll.RssMarket("1942","出来高")</f>
        <v>836500</v>
      </c>
      <c r="D175" s="16">
        <f t="shared" si="2"/>
        <v>0</v>
      </c>
      <c r="E175" s="22">
        <v>836500</v>
      </c>
      <c r="F175" s="22">
        <v>920800</v>
      </c>
      <c r="G175" s="22">
        <v>1376000</v>
      </c>
      <c r="H175" s="22">
        <v>778200</v>
      </c>
      <c r="I175" s="22">
        <v>969800</v>
      </c>
      <c r="J175" s="22">
        <v>889300</v>
      </c>
      <c r="K175" s="22">
        <v>747600</v>
      </c>
      <c r="L175" s="22">
        <v>1104600</v>
      </c>
      <c r="M175" s="22">
        <v>2413900</v>
      </c>
      <c r="N175" s="22">
        <v>958800</v>
      </c>
      <c r="O175" s="22">
        <v>1430500</v>
      </c>
      <c r="P175" s="22">
        <v>782800</v>
      </c>
      <c r="Q175" s="22">
        <v>783000</v>
      </c>
      <c r="R175" s="22">
        <v>1278200</v>
      </c>
      <c r="S175" s="22">
        <v>1276300</v>
      </c>
      <c r="T175" s="22">
        <v>1103700</v>
      </c>
      <c r="U175" s="22">
        <v>1166500</v>
      </c>
      <c r="V175" s="22">
        <v>1076500</v>
      </c>
      <c r="W175" s="22">
        <v>1318600</v>
      </c>
      <c r="X175" s="22">
        <v>999100</v>
      </c>
      <c r="Y175" s="22">
        <v>1185500</v>
      </c>
      <c r="Z175" s="22">
        <v>898200</v>
      </c>
      <c r="AA175" s="22">
        <v>1450100</v>
      </c>
      <c r="AB175" s="22">
        <v>1230500</v>
      </c>
      <c r="AC175" s="22">
        <v>1230500</v>
      </c>
      <c r="AD175" s="22">
        <v>1397700</v>
      </c>
      <c r="AE175" s="22">
        <v>1967000</v>
      </c>
      <c r="AF175" s="22">
        <v>1585800</v>
      </c>
      <c r="AG175" s="22">
        <v>2659900</v>
      </c>
      <c r="AH175" s="22">
        <v>9927100</v>
      </c>
      <c r="AI175" s="22">
        <v>1078500</v>
      </c>
      <c r="AJ175" s="22">
        <v>738400</v>
      </c>
      <c r="AK175" s="22">
        <v>1031900</v>
      </c>
      <c r="AL175" s="22">
        <v>808400</v>
      </c>
      <c r="AM175" s="22">
        <v>709200</v>
      </c>
      <c r="AN175" s="22">
        <v>372400</v>
      </c>
      <c r="AO175" s="22">
        <v>499600</v>
      </c>
      <c r="AP175" s="22">
        <v>918500</v>
      </c>
      <c r="AQ175" s="22">
        <v>849500</v>
      </c>
      <c r="AR175" s="22">
        <v>591700</v>
      </c>
      <c r="AS175" s="22">
        <v>502000</v>
      </c>
      <c r="AT175" s="22">
        <v>655500</v>
      </c>
      <c r="AU175" s="22">
        <v>921400</v>
      </c>
      <c r="AV175" s="22">
        <v>784700</v>
      </c>
      <c r="AW175" s="22">
        <v>439900</v>
      </c>
      <c r="AX175" s="22">
        <v>474500</v>
      </c>
      <c r="AY175" s="22">
        <v>361200</v>
      </c>
      <c r="AZ175" s="22">
        <v>717700</v>
      </c>
      <c r="BA175" s="22">
        <v>918500</v>
      </c>
      <c r="BB175" s="22">
        <v>1011100</v>
      </c>
      <c r="BC175" s="22">
        <v>814700</v>
      </c>
      <c r="BD175" s="22">
        <v>577100</v>
      </c>
      <c r="BE175" s="22">
        <v>927900</v>
      </c>
      <c r="BF175" s="22">
        <v>622700</v>
      </c>
      <c r="BG175" s="22">
        <v>1264800</v>
      </c>
      <c r="BH175" s="22">
        <v>1381600</v>
      </c>
      <c r="BI175" s="22">
        <v>834100</v>
      </c>
      <c r="BJ175" s="22">
        <v>897900</v>
      </c>
      <c r="BK175" s="22">
        <v>808600</v>
      </c>
      <c r="BL175" s="22">
        <v>1057400</v>
      </c>
    </row>
    <row r="176" spans="1:64" ht="15.95" customHeight="1">
      <c r="A176" s="433" t="s">
        <v>432</v>
      </c>
      <c r="B176" s="49" t="s">
        <v>236</v>
      </c>
      <c r="C176" s="53">
        <f>_xll.RssMarket("1938","出来高")</f>
        <v>67700</v>
      </c>
      <c r="D176" s="16">
        <f t="shared" si="2"/>
        <v>0</v>
      </c>
      <c r="E176" s="22">
        <v>67700</v>
      </c>
      <c r="F176" s="22">
        <v>48000</v>
      </c>
      <c r="G176" s="22">
        <v>88800</v>
      </c>
      <c r="H176" s="22">
        <v>95000</v>
      </c>
      <c r="I176" s="22">
        <v>72900</v>
      </c>
      <c r="J176" s="22">
        <v>98000</v>
      </c>
      <c r="K176" s="22">
        <v>74100</v>
      </c>
      <c r="L176" s="22">
        <v>149700</v>
      </c>
      <c r="M176" s="22">
        <v>99400</v>
      </c>
      <c r="N176" s="22">
        <v>117100</v>
      </c>
      <c r="O176" s="22">
        <v>84300</v>
      </c>
      <c r="P176" s="22">
        <v>96000</v>
      </c>
      <c r="Q176" s="22">
        <v>110200</v>
      </c>
      <c r="R176" s="22">
        <v>127900</v>
      </c>
      <c r="S176" s="22">
        <v>116300</v>
      </c>
      <c r="T176" s="22">
        <v>146800</v>
      </c>
      <c r="U176" s="22">
        <v>130100</v>
      </c>
      <c r="V176" s="22">
        <v>107600</v>
      </c>
      <c r="W176" s="22">
        <v>184900</v>
      </c>
      <c r="X176" s="22">
        <v>203000</v>
      </c>
      <c r="Y176" s="22">
        <v>158000</v>
      </c>
      <c r="Z176" s="22">
        <v>265400</v>
      </c>
      <c r="AA176" s="22">
        <v>403100</v>
      </c>
      <c r="AB176" s="22">
        <v>245800</v>
      </c>
      <c r="AC176" s="22">
        <v>245800</v>
      </c>
      <c r="AD176" s="22">
        <v>156500</v>
      </c>
      <c r="AE176" s="22">
        <v>152000</v>
      </c>
      <c r="AF176" s="22">
        <v>170300</v>
      </c>
      <c r="AG176" s="22">
        <v>98600</v>
      </c>
      <c r="AH176" s="22">
        <v>189900</v>
      </c>
      <c r="AI176" s="22">
        <v>95100</v>
      </c>
      <c r="AJ176" s="22">
        <v>98600</v>
      </c>
      <c r="AK176" s="22">
        <v>99900</v>
      </c>
      <c r="AL176" s="22">
        <v>106700</v>
      </c>
      <c r="AM176" s="22">
        <v>108500</v>
      </c>
      <c r="AN176" s="22">
        <v>96800</v>
      </c>
      <c r="AO176" s="22">
        <v>76800</v>
      </c>
      <c r="AP176" s="22">
        <v>94200</v>
      </c>
      <c r="AQ176" s="22">
        <v>80000</v>
      </c>
      <c r="AR176" s="22">
        <v>99500</v>
      </c>
      <c r="AS176" s="22">
        <v>91400</v>
      </c>
      <c r="AT176" s="22">
        <v>78500</v>
      </c>
      <c r="AU176" s="22">
        <v>119900</v>
      </c>
      <c r="AV176" s="22">
        <v>86600</v>
      </c>
      <c r="AW176" s="22">
        <v>67700</v>
      </c>
      <c r="AX176" s="22">
        <v>52300</v>
      </c>
      <c r="AY176" s="22">
        <v>74200</v>
      </c>
      <c r="AZ176" s="22">
        <v>77700</v>
      </c>
      <c r="BA176" s="22">
        <v>92000</v>
      </c>
      <c r="BB176" s="22">
        <v>119100</v>
      </c>
      <c r="BC176" s="22">
        <v>110500</v>
      </c>
      <c r="BD176" s="22">
        <v>75000</v>
      </c>
      <c r="BE176" s="22">
        <v>113000</v>
      </c>
      <c r="BF176" s="22">
        <v>64800</v>
      </c>
      <c r="BG176" s="22">
        <v>155100</v>
      </c>
      <c r="BH176" s="22">
        <v>134300</v>
      </c>
      <c r="BI176" s="22">
        <v>87300</v>
      </c>
      <c r="BJ176" s="22">
        <v>66400</v>
      </c>
      <c r="BK176" s="22">
        <v>88400</v>
      </c>
      <c r="BL176" s="22">
        <v>97200</v>
      </c>
    </row>
    <row r="177" spans="1:64" ht="15.95" customHeight="1">
      <c r="A177" s="433" t="s">
        <v>433</v>
      </c>
      <c r="B177" s="49" t="s">
        <v>237</v>
      </c>
      <c r="C177" s="53">
        <f>_xll.RssMarket("7236","出来高")</f>
        <v>27800</v>
      </c>
      <c r="D177" s="16">
        <f t="shared" si="2"/>
        <v>0</v>
      </c>
      <c r="E177" s="22">
        <v>27800</v>
      </c>
      <c r="F177" s="22">
        <v>20200</v>
      </c>
      <c r="G177" s="22">
        <v>27000</v>
      </c>
      <c r="H177" s="22">
        <v>48100</v>
      </c>
      <c r="I177" s="22">
        <v>41100</v>
      </c>
      <c r="J177" s="22">
        <v>44000</v>
      </c>
      <c r="K177" s="22">
        <v>25000</v>
      </c>
      <c r="L177" s="22">
        <v>43500</v>
      </c>
      <c r="M177" s="22">
        <v>41100</v>
      </c>
      <c r="N177" s="22">
        <v>45900</v>
      </c>
      <c r="O177" s="22">
        <v>31600</v>
      </c>
      <c r="P177" s="22">
        <v>48700</v>
      </c>
      <c r="Q177" s="22">
        <v>42500</v>
      </c>
      <c r="R177" s="22">
        <v>71300</v>
      </c>
      <c r="S177" s="22">
        <v>54700</v>
      </c>
      <c r="T177" s="22">
        <v>72600</v>
      </c>
      <c r="U177" s="22">
        <v>57700</v>
      </c>
      <c r="V177" s="22">
        <v>61700</v>
      </c>
      <c r="W177" s="22">
        <v>48500</v>
      </c>
      <c r="X177" s="22">
        <v>42400</v>
      </c>
      <c r="Y177" s="22">
        <v>19100</v>
      </c>
      <c r="Z177" s="22">
        <v>33300</v>
      </c>
      <c r="AA177" s="22">
        <v>31700</v>
      </c>
      <c r="AB177" s="22">
        <v>62400</v>
      </c>
      <c r="AC177" s="22">
        <v>62400</v>
      </c>
      <c r="AD177" s="22">
        <v>107700</v>
      </c>
      <c r="AE177" s="22">
        <v>172200</v>
      </c>
      <c r="AF177" s="22">
        <v>626300</v>
      </c>
      <c r="AG177" s="22">
        <v>6900</v>
      </c>
      <c r="AH177" s="22">
        <v>8400</v>
      </c>
      <c r="AI177" s="22">
        <v>45500</v>
      </c>
      <c r="AJ177" s="22">
        <v>34200</v>
      </c>
      <c r="AK177" s="22">
        <v>25100</v>
      </c>
      <c r="AL177" s="22">
        <v>21800</v>
      </c>
      <c r="AM177" s="22">
        <v>33800</v>
      </c>
      <c r="AN177" s="22">
        <v>40500</v>
      </c>
      <c r="AO177" s="22">
        <v>33300</v>
      </c>
      <c r="AP177" s="22">
        <v>29300</v>
      </c>
      <c r="AQ177" s="22">
        <v>20200</v>
      </c>
      <c r="AR177" s="22">
        <v>17600</v>
      </c>
      <c r="AS177" s="22">
        <v>30500</v>
      </c>
      <c r="AT177" s="22">
        <v>6700</v>
      </c>
      <c r="AU177" s="22">
        <v>16100</v>
      </c>
      <c r="AV177" s="22">
        <v>15300</v>
      </c>
      <c r="AW177" s="22">
        <v>5700</v>
      </c>
      <c r="AX177" s="22">
        <v>11600</v>
      </c>
      <c r="AY177" s="22">
        <v>9100</v>
      </c>
      <c r="AZ177" s="22">
        <v>10700</v>
      </c>
      <c r="BA177" s="22">
        <v>17900</v>
      </c>
      <c r="BB177" s="22">
        <v>30900</v>
      </c>
      <c r="BC177" s="22">
        <v>21900</v>
      </c>
      <c r="BD177" s="22">
        <v>11300</v>
      </c>
      <c r="BE177" s="22">
        <v>18900</v>
      </c>
      <c r="BF177" s="22">
        <v>14900</v>
      </c>
      <c r="BG177" s="22">
        <v>32400</v>
      </c>
      <c r="BH177" s="22">
        <v>29700</v>
      </c>
      <c r="BI177" s="22">
        <v>12600</v>
      </c>
      <c r="BJ177" s="22">
        <v>12000</v>
      </c>
      <c r="BK177" s="22">
        <v>25300</v>
      </c>
      <c r="BL177" s="22">
        <v>23900</v>
      </c>
    </row>
    <row r="178" spans="1:64" ht="15.95" customHeight="1">
      <c r="A178" s="433" t="s">
        <v>434</v>
      </c>
      <c r="B178" s="49" t="s">
        <v>238</v>
      </c>
      <c r="C178" s="53">
        <f>_xll.RssMarket("6436","出来高")</f>
        <v>212400</v>
      </c>
      <c r="D178" s="16">
        <f t="shared" si="2"/>
        <v>0</v>
      </c>
      <c r="E178" s="22">
        <v>212400</v>
      </c>
      <c r="F178" s="22">
        <v>214200</v>
      </c>
      <c r="G178" s="22">
        <v>213300</v>
      </c>
      <c r="H178" s="22">
        <v>170200</v>
      </c>
      <c r="I178" s="22">
        <v>229400</v>
      </c>
      <c r="J178" s="22">
        <v>313200</v>
      </c>
      <c r="K178" s="22">
        <v>165700</v>
      </c>
      <c r="L178" s="22">
        <v>217300</v>
      </c>
      <c r="M178" s="22">
        <v>168400</v>
      </c>
      <c r="N178" s="22">
        <v>246900</v>
      </c>
      <c r="O178" s="22">
        <v>280400</v>
      </c>
      <c r="P178" s="22">
        <v>206900</v>
      </c>
      <c r="Q178" s="22">
        <v>217600</v>
      </c>
      <c r="R178" s="22">
        <v>205200</v>
      </c>
      <c r="S178" s="22">
        <v>204200</v>
      </c>
      <c r="T178" s="22">
        <v>156900</v>
      </c>
      <c r="U178" s="22">
        <v>286600</v>
      </c>
      <c r="V178" s="22">
        <v>234600</v>
      </c>
      <c r="W178" s="22">
        <v>209900</v>
      </c>
      <c r="X178" s="22">
        <v>287100</v>
      </c>
      <c r="Y178" s="22">
        <v>293400</v>
      </c>
      <c r="Z178" s="22">
        <v>231500</v>
      </c>
      <c r="AA178" s="22">
        <v>269000</v>
      </c>
      <c r="AB178" s="22">
        <v>313000</v>
      </c>
      <c r="AC178" s="22">
        <v>313000</v>
      </c>
      <c r="AD178" s="22">
        <v>346300</v>
      </c>
      <c r="AE178" s="22">
        <v>507600</v>
      </c>
      <c r="AF178" s="22">
        <v>401500</v>
      </c>
      <c r="AG178" s="22">
        <v>572800</v>
      </c>
      <c r="AH178" s="22">
        <v>727700</v>
      </c>
      <c r="AI178" s="22">
        <v>780400</v>
      </c>
      <c r="AJ178" s="22">
        <v>226600</v>
      </c>
      <c r="AK178" s="22">
        <v>302400</v>
      </c>
      <c r="AL178" s="22">
        <v>283900</v>
      </c>
      <c r="AM178" s="22">
        <v>237400</v>
      </c>
      <c r="AN178" s="22">
        <v>133800</v>
      </c>
      <c r="AO178" s="22">
        <v>548200</v>
      </c>
      <c r="AP178" s="22">
        <v>211900</v>
      </c>
      <c r="AQ178" s="22">
        <v>136200</v>
      </c>
      <c r="AR178" s="22">
        <v>176300</v>
      </c>
      <c r="AS178" s="22">
        <v>146400</v>
      </c>
      <c r="AT178" s="22">
        <v>267600</v>
      </c>
      <c r="AU178" s="22">
        <v>325300</v>
      </c>
      <c r="AV178" s="22">
        <v>308200</v>
      </c>
      <c r="AW178" s="22">
        <v>182000</v>
      </c>
      <c r="AX178" s="22">
        <v>174400</v>
      </c>
      <c r="AY178" s="22">
        <v>221500</v>
      </c>
      <c r="AZ178" s="22">
        <v>193000</v>
      </c>
      <c r="BA178" s="22">
        <v>338500</v>
      </c>
      <c r="BB178" s="22">
        <v>306900</v>
      </c>
      <c r="BC178" s="22">
        <v>323200</v>
      </c>
      <c r="BD178" s="22">
        <v>208600</v>
      </c>
      <c r="BE178" s="22">
        <v>214400</v>
      </c>
      <c r="BF178" s="22">
        <v>229100</v>
      </c>
      <c r="BG178" s="22">
        <v>286900</v>
      </c>
      <c r="BH178" s="22">
        <v>303600</v>
      </c>
      <c r="BI178" s="22">
        <v>273300</v>
      </c>
      <c r="BJ178" s="22">
        <v>253400</v>
      </c>
      <c r="BK178" s="22">
        <v>378500</v>
      </c>
      <c r="BL178" s="22">
        <v>377300</v>
      </c>
    </row>
    <row r="179" spans="1:64" ht="15.95" customHeight="1">
      <c r="A179" s="433" t="s">
        <v>435</v>
      </c>
      <c r="B179" s="49" t="s">
        <v>239</v>
      </c>
      <c r="C179" s="53">
        <f>_xll.RssMarket("5410","出来高")</f>
        <v>101300</v>
      </c>
      <c r="D179" s="16">
        <f t="shared" si="2"/>
        <v>0</v>
      </c>
      <c r="E179" s="22">
        <v>101300</v>
      </c>
      <c r="F179" s="22">
        <v>82100</v>
      </c>
      <c r="G179" s="22">
        <v>100900</v>
      </c>
      <c r="H179" s="22">
        <v>98900</v>
      </c>
      <c r="I179" s="22">
        <v>164900</v>
      </c>
      <c r="J179" s="22">
        <v>157900</v>
      </c>
      <c r="K179" s="22">
        <v>112600</v>
      </c>
      <c r="L179" s="22">
        <v>128900</v>
      </c>
      <c r="M179" s="22">
        <v>206700</v>
      </c>
      <c r="N179" s="22">
        <v>164200</v>
      </c>
      <c r="O179" s="22">
        <v>130000</v>
      </c>
      <c r="P179" s="22">
        <v>210300</v>
      </c>
      <c r="Q179" s="22">
        <v>210700</v>
      </c>
      <c r="R179" s="22">
        <v>156400</v>
      </c>
      <c r="S179" s="22">
        <v>147300</v>
      </c>
      <c r="T179" s="22">
        <v>174700</v>
      </c>
      <c r="U179" s="22">
        <v>241400</v>
      </c>
      <c r="V179" s="22">
        <v>115800</v>
      </c>
      <c r="W179" s="22">
        <v>166600</v>
      </c>
      <c r="X179" s="22">
        <v>120200</v>
      </c>
      <c r="Y179" s="22">
        <v>125900</v>
      </c>
      <c r="Z179" s="22">
        <v>134700</v>
      </c>
      <c r="AA179" s="22">
        <v>129500</v>
      </c>
      <c r="AB179" s="22">
        <v>120200</v>
      </c>
      <c r="AC179" s="22">
        <v>120200</v>
      </c>
      <c r="AD179" s="22">
        <v>189100</v>
      </c>
      <c r="AE179" s="22">
        <v>201300</v>
      </c>
      <c r="AF179" s="22">
        <v>238900</v>
      </c>
      <c r="AG179" s="22">
        <v>353200</v>
      </c>
      <c r="AH179" s="22">
        <v>473700</v>
      </c>
      <c r="AI179" s="22">
        <v>779300</v>
      </c>
      <c r="AJ179" s="22">
        <v>76500</v>
      </c>
      <c r="AK179" s="22">
        <v>86400</v>
      </c>
      <c r="AL179" s="22">
        <v>105800</v>
      </c>
      <c r="AM179" s="22">
        <v>60300</v>
      </c>
      <c r="AN179" s="22">
        <v>53700</v>
      </c>
      <c r="AO179" s="22">
        <v>76100</v>
      </c>
      <c r="AP179" s="22">
        <v>57500</v>
      </c>
      <c r="AQ179" s="22">
        <v>65000</v>
      </c>
      <c r="AR179" s="22">
        <v>51200</v>
      </c>
      <c r="AS179" s="22">
        <v>74900</v>
      </c>
      <c r="AT179" s="22">
        <v>112700</v>
      </c>
      <c r="AU179" s="22">
        <v>61400</v>
      </c>
      <c r="AV179" s="22">
        <v>55300</v>
      </c>
      <c r="AW179" s="22">
        <v>33300</v>
      </c>
      <c r="AX179" s="22">
        <v>26400</v>
      </c>
      <c r="AY179" s="22">
        <v>22000</v>
      </c>
      <c r="AZ179" s="22">
        <v>45700</v>
      </c>
      <c r="BA179" s="22">
        <v>46000</v>
      </c>
      <c r="BB179" s="22">
        <v>101200</v>
      </c>
      <c r="BC179" s="22">
        <v>90600</v>
      </c>
      <c r="BD179" s="22">
        <v>61100</v>
      </c>
      <c r="BE179" s="22">
        <v>74100</v>
      </c>
      <c r="BF179" s="22">
        <v>74800</v>
      </c>
      <c r="BG179" s="22">
        <v>123800</v>
      </c>
      <c r="BH179" s="22">
        <v>74300</v>
      </c>
      <c r="BI179" s="22">
        <v>58400</v>
      </c>
      <c r="BJ179" s="22">
        <v>41200</v>
      </c>
      <c r="BK179" s="22">
        <v>65500</v>
      </c>
      <c r="BL179" s="22">
        <v>75200</v>
      </c>
    </row>
    <row r="180" spans="1:64" ht="15.95" customHeight="1">
      <c r="A180" s="433" t="s">
        <v>436</v>
      </c>
      <c r="B180" s="49" t="s">
        <v>240</v>
      </c>
      <c r="C180" s="53">
        <f>_xll.RssMarket("5440","出来高")</f>
        <v>113000</v>
      </c>
      <c r="D180" s="16">
        <f t="shared" si="2"/>
        <v>0</v>
      </c>
      <c r="E180" s="22">
        <v>113000</v>
      </c>
      <c r="F180" s="22">
        <v>109200</v>
      </c>
      <c r="G180" s="22">
        <v>98400</v>
      </c>
      <c r="H180" s="22">
        <v>103600</v>
      </c>
      <c r="I180" s="22">
        <v>120200</v>
      </c>
      <c r="J180" s="22">
        <v>128300</v>
      </c>
      <c r="K180" s="22">
        <v>84100</v>
      </c>
      <c r="L180" s="22">
        <v>92800</v>
      </c>
      <c r="M180" s="22">
        <v>169900</v>
      </c>
      <c r="N180" s="22">
        <v>159800</v>
      </c>
      <c r="O180" s="22">
        <v>185600</v>
      </c>
      <c r="P180" s="22">
        <v>102100</v>
      </c>
      <c r="Q180" s="22">
        <v>122500</v>
      </c>
      <c r="R180" s="22">
        <v>203900</v>
      </c>
      <c r="S180" s="22">
        <v>113400</v>
      </c>
      <c r="T180" s="22">
        <v>178600</v>
      </c>
      <c r="U180" s="22">
        <v>185600</v>
      </c>
      <c r="V180" s="22">
        <v>158000</v>
      </c>
      <c r="W180" s="22">
        <v>135400</v>
      </c>
      <c r="X180" s="22">
        <v>136600</v>
      </c>
      <c r="Y180" s="22">
        <v>238300</v>
      </c>
      <c r="Z180" s="22">
        <v>190300</v>
      </c>
      <c r="AA180" s="22">
        <v>133300</v>
      </c>
      <c r="AB180" s="22">
        <v>220300</v>
      </c>
      <c r="AC180" s="22">
        <v>220300</v>
      </c>
      <c r="AD180" s="22">
        <v>264300</v>
      </c>
      <c r="AE180" s="22">
        <v>348300</v>
      </c>
      <c r="AF180" s="22">
        <v>365100</v>
      </c>
      <c r="AG180" s="22">
        <v>608300</v>
      </c>
      <c r="AH180" s="22">
        <v>137300</v>
      </c>
      <c r="AI180" s="22">
        <v>148900</v>
      </c>
      <c r="AJ180" s="22">
        <v>99000</v>
      </c>
      <c r="AK180" s="22">
        <v>90500</v>
      </c>
      <c r="AL180" s="22">
        <v>87000</v>
      </c>
      <c r="AM180" s="22">
        <v>99600</v>
      </c>
      <c r="AN180" s="22">
        <v>122200</v>
      </c>
      <c r="AO180" s="22">
        <v>56700</v>
      </c>
      <c r="AP180" s="22">
        <v>68600</v>
      </c>
      <c r="AQ180" s="22">
        <v>69600</v>
      </c>
      <c r="AR180" s="22">
        <v>73500</v>
      </c>
      <c r="AS180" s="22">
        <v>69300</v>
      </c>
      <c r="AT180" s="22">
        <v>62000</v>
      </c>
      <c r="AU180" s="22">
        <v>42800</v>
      </c>
      <c r="AV180" s="22">
        <v>63900</v>
      </c>
      <c r="AW180" s="22">
        <v>45300</v>
      </c>
      <c r="AX180" s="22">
        <v>41200</v>
      </c>
      <c r="AY180" s="22">
        <v>45500</v>
      </c>
      <c r="AZ180" s="22">
        <v>68200</v>
      </c>
      <c r="BA180" s="22">
        <v>92700</v>
      </c>
      <c r="BB180" s="22">
        <v>150500</v>
      </c>
      <c r="BC180" s="22">
        <v>293700</v>
      </c>
      <c r="BD180" s="22">
        <v>201600</v>
      </c>
      <c r="BE180" s="22">
        <v>147500</v>
      </c>
      <c r="BF180" s="22">
        <v>100400</v>
      </c>
      <c r="BG180" s="22">
        <v>141500</v>
      </c>
      <c r="BH180" s="22">
        <v>105900</v>
      </c>
      <c r="BI180" s="22">
        <v>106000</v>
      </c>
      <c r="BJ180" s="22">
        <v>81200</v>
      </c>
      <c r="BK180" s="22">
        <v>122600</v>
      </c>
      <c r="BL180" s="22">
        <v>115100</v>
      </c>
    </row>
    <row r="181" spans="1:64" ht="15.95" customHeight="1">
      <c r="A181" s="433" t="s">
        <v>437</v>
      </c>
      <c r="B181" s="49" t="s">
        <v>241</v>
      </c>
      <c r="C181" s="53">
        <f>_xll.RssMarket("9505","出来高")</f>
        <v>883400</v>
      </c>
      <c r="D181" s="16">
        <f t="shared" si="2"/>
        <v>0</v>
      </c>
      <c r="E181" s="22">
        <v>883400</v>
      </c>
      <c r="F181" s="22">
        <v>914900</v>
      </c>
      <c r="G181" s="22">
        <v>990500</v>
      </c>
      <c r="H181" s="22">
        <v>1134800</v>
      </c>
      <c r="I181" s="22">
        <v>800900</v>
      </c>
      <c r="J181" s="22">
        <v>1386100</v>
      </c>
      <c r="K181" s="22">
        <v>885500</v>
      </c>
      <c r="L181" s="22">
        <v>945900</v>
      </c>
      <c r="M181" s="22">
        <v>940400</v>
      </c>
      <c r="N181" s="22">
        <v>1213200</v>
      </c>
      <c r="O181" s="22">
        <v>1473600</v>
      </c>
      <c r="P181" s="22">
        <v>1557100</v>
      </c>
      <c r="Q181" s="22">
        <v>691100</v>
      </c>
      <c r="R181" s="22">
        <v>728000</v>
      </c>
      <c r="S181" s="22">
        <v>780900</v>
      </c>
      <c r="T181" s="22">
        <v>743100</v>
      </c>
      <c r="U181" s="22">
        <v>709700</v>
      </c>
      <c r="V181" s="22">
        <v>868000</v>
      </c>
      <c r="W181" s="22">
        <v>1159800</v>
      </c>
      <c r="X181" s="22">
        <v>721500</v>
      </c>
      <c r="Y181" s="22">
        <v>654100</v>
      </c>
      <c r="Z181" s="22">
        <v>947400</v>
      </c>
      <c r="AA181" s="22">
        <v>954700</v>
      </c>
      <c r="AB181" s="22">
        <v>1513200</v>
      </c>
      <c r="AC181" s="22">
        <v>1513200</v>
      </c>
      <c r="AD181" s="22">
        <v>1633000</v>
      </c>
      <c r="AE181" s="22">
        <v>3913800</v>
      </c>
      <c r="AF181" s="22">
        <v>2544600</v>
      </c>
      <c r="AG181" s="22">
        <v>5515700</v>
      </c>
      <c r="AH181" s="22">
        <v>737700</v>
      </c>
      <c r="AI181" s="22">
        <v>1273900</v>
      </c>
      <c r="AJ181" s="22">
        <v>712500</v>
      </c>
      <c r="AK181" s="22">
        <v>1085700</v>
      </c>
      <c r="AL181" s="22">
        <v>795200</v>
      </c>
      <c r="AM181" s="22">
        <v>676300</v>
      </c>
      <c r="AN181" s="22">
        <v>668100</v>
      </c>
      <c r="AO181" s="22">
        <v>570200</v>
      </c>
      <c r="AP181" s="22">
        <v>615400</v>
      </c>
      <c r="AQ181" s="22">
        <v>704600</v>
      </c>
      <c r="AR181" s="22">
        <v>587800</v>
      </c>
      <c r="AS181" s="22">
        <v>636000</v>
      </c>
      <c r="AT181" s="22">
        <v>632000</v>
      </c>
      <c r="AU181" s="22">
        <v>543000</v>
      </c>
      <c r="AV181" s="22">
        <v>825700</v>
      </c>
      <c r="AW181" s="22">
        <v>636700</v>
      </c>
      <c r="AX181" s="22">
        <v>657700</v>
      </c>
      <c r="AY181" s="22">
        <v>722600</v>
      </c>
      <c r="AZ181" s="22">
        <v>795800</v>
      </c>
      <c r="BA181" s="22">
        <v>1134800</v>
      </c>
      <c r="BB181" s="22">
        <v>921300</v>
      </c>
      <c r="BC181" s="22">
        <v>1087800</v>
      </c>
      <c r="BD181" s="22">
        <v>691000</v>
      </c>
      <c r="BE181" s="22">
        <v>993600</v>
      </c>
      <c r="BF181" s="22">
        <v>769300</v>
      </c>
      <c r="BG181" s="22">
        <v>1178900</v>
      </c>
      <c r="BH181" s="22">
        <v>1456400</v>
      </c>
      <c r="BI181" s="22">
        <v>1211100</v>
      </c>
      <c r="BJ181" s="22">
        <v>715600</v>
      </c>
      <c r="BK181" s="22">
        <v>927500</v>
      </c>
      <c r="BL181" s="22">
        <v>1068200</v>
      </c>
    </row>
    <row r="182" spans="1:64" ht="15.95" customHeight="1">
      <c r="A182" s="433" t="s">
        <v>438</v>
      </c>
      <c r="B182" s="49" t="s">
        <v>242</v>
      </c>
      <c r="C182" s="53">
        <f>_xll.RssMarket("8091","出来高")</f>
        <v>13300</v>
      </c>
      <c r="D182" s="16">
        <f t="shared" si="2"/>
        <v>0</v>
      </c>
      <c r="E182" s="22">
        <v>13300</v>
      </c>
      <c r="F182" s="22">
        <v>9700</v>
      </c>
      <c r="G182" s="22">
        <v>18900</v>
      </c>
      <c r="H182" s="22">
        <v>14400</v>
      </c>
      <c r="I182" s="22">
        <v>8100</v>
      </c>
      <c r="J182" s="22">
        <v>24600</v>
      </c>
      <c r="K182" s="22">
        <v>27400</v>
      </c>
      <c r="L182" s="22">
        <v>30000</v>
      </c>
      <c r="M182" s="22">
        <v>41800</v>
      </c>
      <c r="N182" s="22">
        <v>26200</v>
      </c>
      <c r="O182" s="22">
        <v>18700</v>
      </c>
      <c r="P182" s="22">
        <v>16300</v>
      </c>
      <c r="Q182" s="22">
        <v>13200</v>
      </c>
      <c r="R182" s="22">
        <v>36800</v>
      </c>
      <c r="S182" s="22">
        <v>37800</v>
      </c>
      <c r="T182" s="22">
        <v>25700</v>
      </c>
      <c r="U182" s="22">
        <v>40900</v>
      </c>
      <c r="V182" s="22">
        <v>48700</v>
      </c>
      <c r="W182" s="22">
        <v>134600</v>
      </c>
      <c r="X182" s="22">
        <v>34600</v>
      </c>
      <c r="Y182" s="22">
        <v>13800</v>
      </c>
      <c r="Z182" s="22">
        <v>15700</v>
      </c>
      <c r="AA182" s="22">
        <v>16600</v>
      </c>
      <c r="AB182" s="22">
        <v>25300</v>
      </c>
      <c r="AC182" s="22">
        <v>25300</v>
      </c>
      <c r="AD182" s="22">
        <v>31100</v>
      </c>
      <c r="AE182" s="22">
        <v>32300</v>
      </c>
      <c r="AF182" s="22">
        <v>44100</v>
      </c>
      <c r="AG182" s="22">
        <v>48500</v>
      </c>
      <c r="AH182" s="22">
        <v>37300</v>
      </c>
      <c r="AI182" s="22">
        <v>132800</v>
      </c>
      <c r="AJ182" s="22">
        <v>11300</v>
      </c>
      <c r="AK182" s="22">
        <v>15300</v>
      </c>
      <c r="AL182" s="22">
        <v>15100</v>
      </c>
      <c r="AM182" s="22">
        <v>10700</v>
      </c>
      <c r="AN182" s="22">
        <v>9300</v>
      </c>
      <c r="AO182" s="22">
        <v>7300</v>
      </c>
      <c r="AP182" s="22">
        <v>7000</v>
      </c>
      <c r="AQ182" s="22">
        <v>8200</v>
      </c>
      <c r="AR182" s="22">
        <v>14700</v>
      </c>
      <c r="AS182" s="22">
        <v>14700</v>
      </c>
      <c r="AT182" s="22">
        <v>9800</v>
      </c>
      <c r="AU182" s="22">
        <v>16200</v>
      </c>
      <c r="AV182" s="22">
        <v>9300</v>
      </c>
      <c r="AW182" s="22">
        <v>5300</v>
      </c>
      <c r="AX182" s="22">
        <v>21000</v>
      </c>
      <c r="AY182" s="22">
        <v>14100</v>
      </c>
      <c r="AZ182" s="22">
        <v>13500</v>
      </c>
      <c r="BA182" s="22">
        <v>13600</v>
      </c>
      <c r="BB182" s="22">
        <v>36300</v>
      </c>
      <c r="BC182" s="22">
        <v>25200</v>
      </c>
      <c r="BD182" s="22">
        <v>9900</v>
      </c>
      <c r="BE182" s="22">
        <v>19500</v>
      </c>
      <c r="BF182" s="22">
        <v>13500</v>
      </c>
      <c r="BG182" s="22">
        <v>26900</v>
      </c>
      <c r="BH182" s="22">
        <v>11300</v>
      </c>
      <c r="BI182" s="22">
        <v>9300</v>
      </c>
      <c r="BJ182" s="22">
        <v>14800</v>
      </c>
      <c r="BK182" s="22">
        <v>9300</v>
      </c>
      <c r="BL182" s="22">
        <v>10900</v>
      </c>
    </row>
    <row r="183" spans="1:64" ht="15.95" customHeight="1">
      <c r="A183" s="433" t="s">
        <v>439</v>
      </c>
      <c r="B183" s="49" t="s">
        <v>243</v>
      </c>
      <c r="C183" s="53">
        <f>_xll.RssMarket("6507","出来高")</f>
        <v>248900</v>
      </c>
      <c r="D183" s="16">
        <f t="shared" si="2"/>
        <v>0</v>
      </c>
      <c r="E183" s="22">
        <v>248900</v>
      </c>
      <c r="F183" s="22">
        <v>176200</v>
      </c>
      <c r="G183" s="22">
        <v>187400</v>
      </c>
      <c r="H183" s="22">
        <v>217200</v>
      </c>
      <c r="I183" s="22">
        <v>154500</v>
      </c>
      <c r="J183" s="22">
        <v>209900</v>
      </c>
      <c r="K183" s="22">
        <v>218000</v>
      </c>
      <c r="L183" s="22">
        <v>340900</v>
      </c>
      <c r="M183" s="22">
        <v>204200</v>
      </c>
      <c r="N183" s="22">
        <v>370200</v>
      </c>
      <c r="O183" s="22">
        <v>317700</v>
      </c>
      <c r="P183" s="22">
        <v>231400</v>
      </c>
      <c r="Q183" s="22">
        <v>154200</v>
      </c>
      <c r="R183" s="22">
        <v>174900</v>
      </c>
      <c r="S183" s="22">
        <v>155800</v>
      </c>
      <c r="T183" s="22">
        <v>205600</v>
      </c>
      <c r="U183" s="22">
        <v>311700</v>
      </c>
      <c r="V183" s="22">
        <v>295100</v>
      </c>
      <c r="W183" s="22">
        <v>143100</v>
      </c>
      <c r="X183" s="22">
        <v>303100</v>
      </c>
      <c r="Y183" s="22">
        <v>649600</v>
      </c>
      <c r="Z183" s="22">
        <v>165100</v>
      </c>
      <c r="AA183" s="22">
        <v>163400</v>
      </c>
      <c r="AB183" s="22">
        <v>174600</v>
      </c>
      <c r="AC183" s="22">
        <v>174600</v>
      </c>
      <c r="AD183" s="22">
        <v>150400</v>
      </c>
      <c r="AE183" s="22">
        <v>291400</v>
      </c>
      <c r="AF183" s="22">
        <v>198200</v>
      </c>
      <c r="AG183" s="22">
        <v>175600</v>
      </c>
      <c r="AH183" s="22">
        <v>165100</v>
      </c>
      <c r="AI183" s="22">
        <v>98300</v>
      </c>
      <c r="AJ183" s="22">
        <v>77100</v>
      </c>
      <c r="AK183" s="22">
        <v>140600</v>
      </c>
      <c r="AL183" s="22">
        <v>174700</v>
      </c>
      <c r="AM183" s="22">
        <v>114000</v>
      </c>
      <c r="AN183" s="22">
        <v>114300</v>
      </c>
      <c r="AO183" s="22">
        <v>122900</v>
      </c>
      <c r="AP183" s="22">
        <v>260100</v>
      </c>
      <c r="AQ183" s="22">
        <v>195900</v>
      </c>
      <c r="AR183" s="22">
        <v>121800</v>
      </c>
      <c r="AS183" s="22">
        <v>140800</v>
      </c>
      <c r="AT183" s="22">
        <v>219000</v>
      </c>
      <c r="AU183" s="22">
        <v>188300</v>
      </c>
      <c r="AV183" s="22">
        <v>185500</v>
      </c>
      <c r="AW183" s="22">
        <v>166600</v>
      </c>
      <c r="AX183" s="22">
        <v>125000</v>
      </c>
      <c r="AY183" s="22">
        <v>176800</v>
      </c>
      <c r="AZ183" s="22">
        <v>539400</v>
      </c>
      <c r="BA183" s="22">
        <v>163100</v>
      </c>
      <c r="BB183" s="22">
        <v>181000</v>
      </c>
      <c r="BC183" s="22">
        <v>167200</v>
      </c>
      <c r="BD183" s="22">
        <v>95600</v>
      </c>
      <c r="BE183" s="22">
        <v>141400</v>
      </c>
      <c r="BF183" s="22">
        <v>153400</v>
      </c>
      <c r="BG183" s="22">
        <v>241700</v>
      </c>
      <c r="BH183" s="22">
        <v>170000</v>
      </c>
      <c r="BI183" s="22">
        <v>147300</v>
      </c>
      <c r="BJ183" s="22">
        <v>272200</v>
      </c>
      <c r="BK183" s="22">
        <v>282100</v>
      </c>
      <c r="BL183" s="22">
        <v>387600</v>
      </c>
    </row>
    <row r="184" spans="1:64" ht="15.95" customHeight="1">
      <c r="A184" s="433" t="s">
        <v>440</v>
      </c>
      <c r="B184" s="49" t="s">
        <v>244</v>
      </c>
      <c r="C184" s="53">
        <f>_xll.RssMarket("9022","出来高")</f>
        <v>3410000</v>
      </c>
      <c r="D184" s="16">
        <f t="shared" si="2"/>
        <v>0</v>
      </c>
      <c r="E184" s="22">
        <v>3410000</v>
      </c>
      <c r="F184" s="22">
        <v>4201800</v>
      </c>
      <c r="G184" s="22">
        <v>3929200</v>
      </c>
      <c r="H184" s="22">
        <v>3340700</v>
      </c>
      <c r="I184" s="22">
        <v>3640600</v>
      </c>
      <c r="J184" s="22">
        <v>3521100</v>
      </c>
      <c r="K184" s="22">
        <v>2342400</v>
      </c>
      <c r="L184" s="22">
        <v>2570600</v>
      </c>
      <c r="M184" s="22">
        <v>2842000</v>
      </c>
      <c r="N184" s="22">
        <v>2876100</v>
      </c>
      <c r="O184" s="22">
        <v>5172400</v>
      </c>
      <c r="P184" s="22">
        <v>2430400</v>
      </c>
      <c r="Q184" s="22">
        <v>2385200</v>
      </c>
      <c r="R184" s="22">
        <v>2264600</v>
      </c>
      <c r="S184" s="22">
        <v>2768700</v>
      </c>
      <c r="T184" s="22">
        <v>2349300</v>
      </c>
      <c r="U184" s="22">
        <v>2895400</v>
      </c>
      <c r="V184" s="22">
        <v>2568200</v>
      </c>
      <c r="W184" s="22">
        <v>2609100</v>
      </c>
      <c r="X184" s="22">
        <v>3211200</v>
      </c>
      <c r="Y184" s="22">
        <v>2469100</v>
      </c>
      <c r="Z184" s="22">
        <v>2442600</v>
      </c>
      <c r="AA184" s="22">
        <v>2408300</v>
      </c>
      <c r="AB184" s="22">
        <v>3195300</v>
      </c>
      <c r="AC184" s="22">
        <v>3195300</v>
      </c>
      <c r="AD184" s="22">
        <v>3953200</v>
      </c>
      <c r="AE184" s="22">
        <v>4824200</v>
      </c>
      <c r="AF184" s="22">
        <v>5579600</v>
      </c>
      <c r="AG184" s="22">
        <v>7976700</v>
      </c>
      <c r="AH184" s="22">
        <v>5280800</v>
      </c>
      <c r="AI184" s="22">
        <v>2248900</v>
      </c>
      <c r="AJ184" s="22">
        <v>1967900</v>
      </c>
      <c r="AK184" s="22">
        <v>2725400</v>
      </c>
      <c r="AL184" s="22">
        <v>2063800</v>
      </c>
      <c r="AM184" s="22">
        <v>2349200</v>
      </c>
      <c r="AN184" s="22">
        <v>1851300</v>
      </c>
      <c r="AO184" s="22">
        <v>2082300</v>
      </c>
      <c r="AP184" s="22">
        <v>2481900</v>
      </c>
      <c r="AQ184" s="22">
        <v>3961900</v>
      </c>
      <c r="AR184" s="22">
        <v>2643700</v>
      </c>
      <c r="AS184" s="22">
        <v>1816700</v>
      </c>
      <c r="AT184" s="22">
        <v>2276300</v>
      </c>
      <c r="AU184" s="22">
        <v>3722700</v>
      </c>
      <c r="AV184" s="22">
        <v>3671000</v>
      </c>
      <c r="AW184" s="22">
        <v>1596600</v>
      </c>
      <c r="AX184" s="22">
        <v>1281000</v>
      </c>
      <c r="AY184" s="22">
        <v>1661300</v>
      </c>
      <c r="AZ184" s="22">
        <v>2214900</v>
      </c>
      <c r="BA184" s="22">
        <v>3024800</v>
      </c>
      <c r="BB184" s="22">
        <v>5753100</v>
      </c>
      <c r="BC184" s="22">
        <v>2516000</v>
      </c>
      <c r="BD184" s="22">
        <v>1714600</v>
      </c>
      <c r="BE184" s="22">
        <v>2827600</v>
      </c>
      <c r="BF184" s="22">
        <v>1896800</v>
      </c>
      <c r="BG184" s="22">
        <v>2230200</v>
      </c>
      <c r="BH184" s="22">
        <v>2919900</v>
      </c>
      <c r="BI184" s="22">
        <v>1622200</v>
      </c>
      <c r="BJ184" s="22">
        <v>1628500</v>
      </c>
      <c r="BK184" s="22">
        <v>1744500</v>
      </c>
      <c r="BL184" s="22">
        <v>2276400</v>
      </c>
    </row>
    <row r="185" spans="1:64" ht="15.95" customHeight="1">
      <c r="A185" s="433" t="s">
        <v>441</v>
      </c>
      <c r="B185" s="49" t="s">
        <v>245</v>
      </c>
      <c r="C185" s="53">
        <f>_xll.RssMarket("9536","出来高")</f>
        <v>55900</v>
      </c>
      <c r="D185" s="16">
        <f t="shared" si="2"/>
        <v>0</v>
      </c>
      <c r="E185" s="22">
        <v>55900</v>
      </c>
      <c r="F185" s="22">
        <v>62500</v>
      </c>
      <c r="G185" s="22">
        <v>77100</v>
      </c>
      <c r="H185" s="22">
        <v>56200</v>
      </c>
      <c r="I185" s="22">
        <v>68900</v>
      </c>
      <c r="J185" s="22">
        <v>73100</v>
      </c>
      <c r="K185" s="22">
        <v>56200</v>
      </c>
      <c r="L185" s="22">
        <v>67600</v>
      </c>
      <c r="M185" s="22">
        <v>71000</v>
      </c>
      <c r="N185" s="22">
        <v>111600</v>
      </c>
      <c r="O185" s="22">
        <v>88700</v>
      </c>
      <c r="P185" s="22">
        <v>99600</v>
      </c>
      <c r="Q185" s="22">
        <v>70500</v>
      </c>
      <c r="R185" s="22">
        <v>67700</v>
      </c>
      <c r="S185" s="22">
        <v>53800</v>
      </c>
      <c r="T185" s="22">
        <v>43500</v>
      </c>
      <c r="U185" s="22">
        <v>61700</v>
      </c>
      <c r="V185" s="22">
        <v>60100</v>
      </c>
      <c r="W185" s="22">
        <v>96400</v>
      </c>
      <c r="X185" s="22">
        <v>41400</v>
      </c>
      <c r="Y185" s="22">
        <v>45300</v>
      </c>
      <c r="Z185" s="22">
        <v>58700</v>
      </c>
      <c r="AA185" s="22">
        <v>66700</v>
      </c>
      <c r="AB185" s="22">
        <v>79500</v>
      </c>
      <c r="AC185" s="22">
        <v>79500</v>
      </c>
      <c r="AD185" s="22">
        <v>85000</v>
      </c>
      <c r="AE185" s="22">
        <v>112400</v>
      </c>
      <c r="AF185" s="22">
        <v>183300</v>
      </c>
      <c r="AG185" s="22">
        <v>311300</v>
      </c>
      <c r="AH185" s="22">
        <v>64400</v>
      </c>
      <c r="AI185" s="22">
        <v>59400</v>
      </c>
      <c r="AJ185" s="22">
        <v>44600</v>
      </c>
      <c r="AK185" s="22">
        <v>64100</v>
      </c>
      <c r="AL185" s="22">
        <v>66000</v>
      </c>
      <c r="AM185" s="22">
        <v>69100</v>
      </c>
      <c r="AN185" s="22">
        <v>61300</v>
      </c>
      <c r="AO185" s="22">
        <v>41900</v>
      </c>
      <c r="AP185" s="22">
        <v>49500</v>
      </c>
      <c r="AQ185" s="22">
        <v>53500</v>
      </c>
      <c r="AR185" s="22">
        <v>44400</v>
      </c>
      <c r="AS185" s="22">
        <v>63000</v>
      </c>
      <c r="AT185" s="22">
        <v>74100</v>
      </c>
      <c r="AU185" s="22">
        <v>61600</v>
      </c>
      <c r="AV185" s="22">
        <v>82500</v>
      </c>
      <c r="AW185" s="22">
        <v>42500</v>
      </c>
      <c r="AX185" s="22">
        <v>50800</v>
      </c>
      <c r="AY185" s="22">
        <v>34400</v>
      </c>
      <c r="AZ185" s="22">
        <v>84600</v>
      </c>
      <c r="BA185" s="22">
        <v>61600</v>
      </c>
      <c r="BB185" s="22">
        <v>344500</v>
      </c>
      <c r="BC185" s="22">
        <v>401500</v>
      </c>
      <c r="BD185" s="22">
        <v>113100</v>
      </c>
      <c r="BE185" s="22">
        <v>109100</v>
      </c>
      <c r="BF185" s="22">
        <v>151000</v>
      </c>
      <c r="BG185" s="22">
        <v>226900</v>
      </c>
      <c r="BH185" s="22">
        <v>181300</v>
      </c>
      <c r="BI185" s="22">
        <v>136900</v>
      </c>
      <c r="BJ185" s="22">
        <v>128900</v>
      </c>
      <c r="BK185" s="22">
        <v>241300</v>
      </c>
      <c r="BL185" s="22">
        <v>252100</v>
      </c>
    </row>
    <row r="186" spans="1:64" ht="15.95" customHeight="1">
      <c r="A186" s="433" t="s">
        <v>442</v>
      </c>
      <c r="B186" s="49" t="s">
        <v>246</v>
      </c>
      <c r="C186" s="53">
        <f>_xll.RssMarket("9506","出来高")</f>
        <v>1967700</v>
      </c>
      <c r="D186" s="16">
        <f t="shared" si="2"/>
        <v>0</v>
      </c>
      <c r="E186" s="22">
        <v>1967700</v>
      </c>
      <c r="F186" s="22">
        <v>1926100</v>
      </c>
      <c r="G186" s="22">
        <v>2277600</v>
      </c>
      <c r="H186" s="22">
        <v>2742000</v>
      </c>
      <c r="I186" s="22">
        <v>1721000</v>
      </c>
      <c r="J186" s="22">
        <v>2547900</v>
      </c>
      <c r="K186" s="22">
        <v>1860900</v>
      </c>
      <c r="L186" s="22">
        <v>2763700</v>
      </c>
      <c r="M186" s="22">
        <v>2761800</v>
      </c>
      <c r="N186" s="22">
        <v>2757600</v>
      </c>
      <c r="O186" s="22">
        <v>6022300</v>
      </c>
      <c r="P186" s="22">
        <v>3141000</v>
      </c>
      <c r="Q186" s="22">
        <v>3922300</v>
      </c>
      <c r="R186" s="22">
        <v>2098600</v>
      </c>
      <c r="S186" s="22">
        <v>2775300</v>
      </c>
      <c r="T186" s="22">
        <v>2738300</v>
      </c>
      <c r="U186" s="22">
        <v>2807400</v>
      </c>
      <c r="V186" s="22">
        <v>1942700</v>
      </c>
      <c r="W186" s="22">
        <v>2835400</v>
      </c>
      <c r="X186" s="22">
        <v>2067300</v>
      </c>
      <c r="Y186" s="22">
        <v>1797900</v>
      </c>
      <c r="Z186" s="22">
        <v>2202200</v>
      </c>
      <c r="AA186" s="22">
        <v>1681900</v>
      </c>
      <c r="AB186" s="22">
        <v>3031000</v>
      </c>
      <c r="AC186" s="22">
        <v>3031000</v>
      </c>
      <c r="AD186" s="22">
        <v>3157800</v>
      </c>
      <c r="AE186" s="22">
        <v>4570100</v>
      </c>
      <c r="AF186" s="22">
        <v>5321900</v>
      </c>
      <c r="AG186" s="22">
        <v>4600700</v>
      </c>
      <c r="AH186" s="22">
        <v>2428600</v>
      </c>
      <c r="AI186" s="22">
        <v>1406900</v>
      </c>
      <c r="AJ186" s="22">
        <v>1505400</v>
      </c>
      <c r="AK186" s="22">
        <v>1706800</v>
      </c>
      <c r="AL186" s="22">
        <v>1772400</v>
      </c>
      <c r="AM186" s="22">
        <v>2511800</v>
      </c>
      <c r="AN186" s="22">
        <v>2524400</v>
      </c>
      <c r="AO186" s="22">
        <v>1683300</v>
      </c>
      <c r="AP186" s="22">
        <v>1406600</v>
      </c>
      <c r="AQ186" s="22">
        <v>1844300</v>
      </c>
      <c r="AR186" s="22">
        <v>2277300</v>
      </c>
      <c r="AS186" s="22">
        <v>2823100</v>
      </c>
      <c r="AT186" s="22">
        <v>1871900</v>
      </c>
      <c r="AU186" s="22">
        <v>2322600</v>
      </c>
      <c r="AV186" s="22">
        <v>3384800</v>
      </c>
      <c r="AW186" s="22">
        <v>1601700</v>
      </c>
      <c r="AX186" s="22">
        <v>1964600</v>
      </c>
      <c r="AY186" s="22">
        <v>1827100</v>
      </c>
      <c r="AZ186" s="22">
        <v>2436400</v>
      </c>
      <c r="BA186" s="22">
        <v>3714800</v>
      </c>
      <c r="BB186" s="22">
        <v>3014500</v>
      </c>
      <c r="BC186" s="22">
        <v>3305900</v>
      </c>
      <c r="BD186" s="22">
        <v>3407200</v>
      </c>
      <c r="BE186" s="22">
        <v>2547100</v>
      </c>
      <c r="BF186" s="22">
        <v>2552800</v>
      </c>
      <c r="BG186" s="22">
        <v>3511900</v>
      </c>
      <c r="BH186" s="22">
        <v>2958800</v>
      </c>
      <c r="BI186" s="22">
        <v>1896700</v>
      </c>
      <c r="BJ186" s="22">
        <v>1432500</v>
      </c>
      <c r="BK186" s="22">
        <v>1937000</v>
      </c>
      <c r="BL186" s="22">
        <v>3311200</v>
      </c>
    </row>
    <row r="187" spans="1:64" ht="15.95" customHeight="1">
      <c r="A187" s="433" t="s">
        <v>443</v>
      </c>
      <c r="B187" s="49" t="s">
        <v>247</v>
      </c>
      <c r="C187" s="53">
        <f>_xll.RssMarket("2127","出来高")</f>
        <v>1269200</v>
      </c>
      <c r="D187" s="16">
        <f t="shared" si="2"/>
        <v>0</v>
      </c>
      <c r="E187" s="22">
        <v>1269200</v>
      </c>
      <c r="F187" s="22">
        <v>1153100</v>
      </c>
      <c r="G187" s="22">
        <v>1965600</v>
      </c>
      <c r="H187" s="22">
        <v>1298900</v>
      </c>
      <c r="I187" s="22">
        <v>1527700</v>
      </c>
      <c r="J187" s="22">
        <v>1386600</v>
      </c>
      <c r="K187" s="22">
        <v>1599000</v>
      </c>
      <c r="L187" s="22">
        <v>1686900</v>
      </c>
      <c r="M187" s="22">
        <v>1802800</v>
      </c>
      <c r="N187" s="22">
        <v>1659800</v>
      </c>
      <c r="O187" s="22">
        <v>1496400</v>
      </c>
      <c r="P187" s="22">
        <v>2011200</v>
      </c>
      <c r="Q187" s="22">
        <v>2472200</v>
      </c>
      <c r="R187" s="22">
        <v>1361300</v>
      </c>
      <c r="S187" s="22">
        <v>1227400</v>
      </c>
      <c r="T187" s="22">
        <v>1292200</v>
      </c>
      <c r="U187" s="22">
        <v>1998300</v>
      </c>
      <c r="V187" s="22">
        <v>1661400</v>
      </c>
      <c r="W187" s="22">
        <v>1625600</v>
      </c>
      <c r="X187" s="22">
        <v>1420700</v>
      </c>
      <c r="Y187" s="22">
        <v>1645400</v>
      </c>
      <c r="Z187" s="22">
        <v>1222100</v>
      </c>
      <c r="AA187" s="22">
        <v>1989600</v>
      </c>
      <c r="AB187" s="22">
        <v>1906700</v>
      </c>
      <c r="AC187" s="22">
        <v>1906700</v>
      </c>
      <c r="AD187" s="22">
        <v>2950000</v>
      </c>
      <c r="AE187" s="22">
        <v>5176300</v>
      </c>
      <c r="AF187" s="22">
        <v>4926900</v>
      </c>
      <c r="AG187" s="22">
        <v>3770800</v>
      </c>
      <c r="AH187" s="22">
        <v>2614600</v>
      </c>
      <c r="AI187" s="22">
        <v>1776000</v>
      </c>
      <c r="AJ187" s="22">
        <v>2430000</v>
      </c>
      <c r="AK187" s="22">
        <v>2039000</v>
      </c>
      <c r="AL187" s="22">
        <v>1680900</v>
      </c>
      <c r="AM187" s="22">
        <v>2328800</v>
      </c>
      <c r="AN187" s="22">
        <v>1519500</v>
      </c>
      <c r="AO187" s="22">
        <v>1577200</v>
      </c>
      <c r="AP187" s="22">
        <v>1950300</v>
      </c>
      <c r="AQ187" s="22">
        <v>1380400</v>
      </c>
      <c r="AR187" s="22">
        <v>945900</v>
      </c>
      <c r="AS187" s="22">
        <v>1537200</v>
      </c>
      <c r="AT187" s="22">
        <v>1646500</v>
      </c>
      <c r="AU187" s="22">
        <v>1629100</v>
      </c>
      <c r="AV187" s="22">
        <v>2099600</v>
      </c>
      <c r="AW187" s="22">
        <v>1681900</v>
      </c>
      <c r="AX187" s="22">
        <v>1168500</v>
      </c>
      <c r="AY187" s="22">
        <v>1153200</v>
      </c>
      <c r="AZ187" s="22">
        <v>1852600</v>
      </c>
      <c r="BA187" s="22">
        <v>1927700</v>
      </c>
      <c r="BB187" s="22">
        <v>2344100</v>
      </c>
      <c r="BC187" s="22">
        <v>2378000</v>
      </c>
      <c r="BD187" s="22">
        <v>2214400</v>
      </c>
      <c r="BE187" s="22">
        <v>1934600</v>
      </c>
      <c r="BF187" s="22">
        <v>2527400</v>
      </c>
      <c r="BG187" s="22">
        <v>3161500</v>
      </c>
      <c r="BH187" s="22">
        <v>5813200</v>
      </c>
      <c r="BI187" s="22">
        <v>1922400</v>
      </c>
      <c r="BJ187" s="22">
        <v>1410800</v>
      </c>
      <c r="BK187" s="22">
        <v>2799500</v>
      </c>
      <c r="BL187" s="22">
        <v>2301700</v>
      </c>
    </row>
    <row r="188" spans="1:64" ht="15.95" customHeight="1">
      <c r="A188" s="433" t="s">
        <v>444</v>
      </c>
      <c r="B188" s="49" t="s">
        <v>248</v>
      </c>
      <c r="C188" s="53">
        <f>_xll.RssMarket("6753","出来高")</f>
        <v>2353100</v>
      </c>
      <c r="D188" s="16">
        <f t="shared" si="2"/>
        <v>0</v>
      </c>
      <c r="E188" s="22">
        <v>2353100</v>
      </c>
      <c r="F188" s="22">
        <v>3151400</v>
      </c>
      <c r="G188" s="22">
        <v>3103900</v>
      </c>
      <c r="H188" s="22">
        <v>3530400</v>
      </c>
      <c r="I188" s="22">
        <v>4039500</v>
      </c>
      <c r="J188" s="22">
        <v>4816400</v>
      </c>
      <c r="K188" s="22">
        <v>3247900</v>
      </c>
      <c r="L188" s="22">
        <v>3776300</v>
      </c>
      <c r="M188" s="22">
        <v>4830400</v>
      </c>
      <c r="N188" s="22">
        <v>5366700</v>
      </c>
      <c r="O188" s="22">
        <v>4595800</v>
      </c>
      <c r="P188" s="22">
        <v>3081600</v>
      </c>
      <c r="Q188" s="22">
        <v>4278300</v>
      </c>
      <c r="R188" s="22">
        <v>4749400</v>
      </c>
      <c r="S188" s="22">
        <v>6306800</v>
      </c>
      <c r="T188" s="22">
        <v>3614800</v>
      </c>
      <c r="U188" s="22">
        <v>4040300</v>
      </c>
      <c r="V188" s="22">
        <v>6038400</v>
      </c>
      <c r="W188" s="22">
        <v>5034400</v>
      </c>
      <c r="X188" s="22">
        <v>5889300</v>
      </c>
      <c r="Y188" s="22">
        <v>5881100</v>
      </c>
      <c r="Z188" s="22">
        <v>10113200</v>
      </c>
      <c r="AA188" s="22">
        <v>5895900</v>
      </c>
      <c r="AB188" s="22">
        <v>4612500</v>
      </c>
      <c r="AC188" s="22">
        <v>4612500</v>
      </c>
      <c r="AD188" s="22">
        <v>5707400</v>
      </c>
      <c r="AE188" s="22">
        <v>7741400</v>
      </c>
      <c r="AF188" s="22">
        <v>3565100</v>
      </c>
      <c r="AG188" s="22">
        <v>2632800</v>
      </c>
      <c r="AH188" s="22">
        <v>2650300</v>
      </c>
      <c r="AI188" s="22">
        <v>5150100</v>
      </c>
      <c r="AJ188" s="22">
        <v>5950000</v>
      </c>
      <c r="AK188" s="22">
        <v>2865800</v>
      </c>
      <c r="AL188" s="22">
        <v>1688700</v>
      </c>
      <c r="AM188" s="22">
        <v>2007300</v>
      </c>
      <c r="AN188" s="22">
        <v>1775400</v>
      </c>
      <c r="AO188" s="22">
        <v>3268300</v>
      </c>
      <c r="AP188" s="22">
        <v>3007600</v>
      </c>
      <c r="AQ188" s="22">
        <v>2633200</v>
      </c>
      <c r="AR188" s="22">
        <v>2979200</v>
      </c>
      <c r="AS188" s="22">
        <v>2646600</v>
      </c>
      <c r="AT188" s="22">
        <v>2670300</v>
      </c>
      <c r="AU188" s="22">
        <v>3584200</v>
      </c>
      <c r="AV188" s="22">
        <v>3958600</v>
      </c>
      <c r="AW188" s="22">
        <v>2885200</v>
      </c>
      <c r="AX188" s="22">
        <v>5745000</v>
      </c>
      <c r="AY188" s="22">
        <v>5337200</v>
      </c>
      <c r="AZ188" s="22">
        <v>2538500</v>
      </c>
      <c r="BA188" s="22">
        <v>3415000</v>
      </c>
      <c r="BB188" s="22">
        <v>2324700</v>
      </c>
      <c r="BC188" s="22">
        <v>2121900</v>
      </c>
      <c r="BD188" s="22">
        <v>2860600</v>
      </c>
      <c r="BE188" s="22">
        <v>2633200</v>
      </c>
      <c r="BF188" s="22">
        <v>2698500</v>
      </c>
      <c r="BG188" s="22">
        <v>3850300</v>
      </c>
      <c r="BH188" s="22">
        <v>3873300</v>
      </c>
      <c r="BI188" s="22">
        <v>2170300</v>
      </c>
      <c r="BJ188" s="22">
        <v>2328700</v>
      </c>
      <c r="BK188" s="22">
        <v>2849500</v>
      </c>
      <c r="BL188" s="22">
        <v>2480300</v>
      </c>
    </row>
    <row r="189" spans="1:64" ht="15.95" customHeight="1">
      <c r="A189" s="433" t="s">
        <v>478</v>
      </c>
      <c r="B189" s="49" t="str">
        <f>銘柄管理!C189</f>
        <v>ヤマトホールディングス</v>
      </c>
      <c r="C189" s="53">
        <f>_xll.RssMarket("9064","出来高")</f>
        <v>830300</v>
      </c>
      <c r="D189" s="16">
        <f t="shared" si="2"/>
        <v>0</v>
      </c>
      <c r="E189" s="22">
        <v>830300</v>
      </c>
      <c r="F189" s="22">
        <v>1237400</v>
      </c>
      <c r="G189" s="22">
        <v>1338400</v>
      </c>
      <c r="H189" s="22">
        <v>1193100</v>
      </c>
      <c r="I189" s="22">
        <v>1015500</v>
      </c>
      <c r="J189" s="22">
        <v>1136900</v>
      </c>
      <c r="K189" s="22">
        <v>811200</v>
      </c>
      <c r="L189" s="22">
        <v>704500</v>
      </c>
      <c r="M189" s="22">
        <v>1110800</v>
      </c>
      <c r="N189" s="22">
        <v>1229400</v>
      </c>
      <c r="O189" s="22">
        <v>2201000</v>
      </c>
      <c r="P189" s="22">
        <v>825300</v>
      </c>
      <c r="Q189" s="22">
        <v>1015700</v>
      </c>
      <c r="R189" s="22">
        <v>1580000</v>
      </c>
      <c r="S189" s="22">
        <v>841100</v>
      </c>
      <c r="T189" s="22">
        <v>1391400</v>
      </c>
      <c r="U189" s="22">
        <v>985200</v>
      </c>
      <c r="V189" s="22">
        <v>1231800</v>
      </c>
      <c r="W189" s="22">
        <v>940700</v>
      </c>
      <c r="X189" s="22">
        <v>1469800</v>
      </c>
      <c r="Y189" s="22">
        <v>954000</v>
      </c>
      <c r="Z189" s="22">
        <v>914400</v>
      </c>
      <c r="AA189" s="22">
        <v>1104800</v>
      </c>
      <c r="AB189" s="22">
        <v>2066200</v>
      </c>
      <c r="AC189" s="22">
        <v>2066200</v>
      </c>
      <c r="AD189" s="22">
        <v>1682800</v>
      </c>
      <c r="AE189" s="22">
        <v>2173800</v>
      </c>
      <c r="AF189" s="22">
        <v>1378800</v>
      </c>
      <c r="AG189" s="22">
        <v>1664900</v>
      </c>
      <c r="AH189" s="22">
        <v>1226400</v>
      </c>
      <c r="AI189" s="22">
        <v>1562800</v>
      </c>
      <c r="AJ189" s="22">
        <v>931700</v>
      </c>
      <c r="AK189" s="22">
        <v>1059600</v>
      </c>
      <c r="AL189" s="22">
        <v>653200</v>
      </c>
      <c r="AM189" s="22">
        <v>713000</v>
      </c>
      <c r="AN189" s="22">
        <v>1070300</v>
      </c>
      <c r="AO189" s="22">
        <v>892800</v>
      </c>
      <c r="AP189" s="22">
        <v>1314800</v>
      </c>
      <c r="AQ189" s="22">
        <v>1145900</v>
      </c>
      <c r="AR189" s="22">
        <v>954800</v>
      </c>
      <c r="AS189" s="22">
        <v>1367000</v>
      </c>
      <c r="AT189" s="22">
        <v>1269500</v>
      </c>
      <c r="AU189" s="22">
        <v>1318300</v>
      </c>
      <c r="AV189" s="22">
        <v>1771500</v>
      </c>
      <c r="AW189" s="22">
        <v>1071200</v>
      </c>
      <c r="AX189" s="22">
        <v>801000</v>
      </c>
      <c r="AY189" s="22">
        <v>1273000</v>
      </c>
      <c r="AZ189" s="22">
        <v>1149800</v>
      </c>
      <c r="BA189" s="22">
        <v>1422900</v>
      </c>
      <c r="BB189" s="22">
        <v>1533000</v>
      </c>
      <c r="BC189" s="22">
        <v>1367900</v>
      </c>
      <c r="BD189" s="22">
        <v>999200</v>
      </c>
      <c r="BE189" s="22">
        <v>2098500</v>
      </c>
      <c r="BF189" s="22">
        <v>1045100</v>
      </c>
      <c r="BG189" s="22">
        <v>1779500</v>
      </c>
      <c r="BH189" s="22">
        <v>2012400</v>
      </c>
      <c r="BI189" s="22">
        <v>907100</v>
      </c>
      <c r="BJ189" s="22">
        <v>842700</v>
      </c>
      <c r="BK189" s="22">
        <v>929400</v>
      </c>
      <c r="BL189" s="22">
        <v>1634300</v>
      </c>
    </row>
    <row r="190" spans="1:64" ht="15.95" customHeight="1">
      <c r="A190" s="433" t="s">
        <v>445</v>
      </c>
      <c r="B190" s="49" t="s">
        <v>480</v>
      </c>
      <c r="C190" s="53">
        <f>_xll.RssMarket("7181","出来高")</f>
        <v>1669300</v>
      </c>
      <c r="D190" s="16">
        <f>C190-E190</f>
        <v>0</v>
      </c>
      <c r="E190" s="22">
        <v>1669300</v>
      </c>
      <c r="F190" s="22">
        <v>1595600</v>
      </c>
      <c r="G190" s="22">
        <v>3388500</v>
      </c>
      <c r="H190" s="22">
        <v>2324000</v>
      </c>
      <c r="I190" s="22">
        <v>4057700</v>
      </c>
      <c r="J190" s="22">
        <v>2788700</v>
      </c>
      <c r="K190" s="22">
        <v>2638600</v>
      </c>
      <c r="L190" s="22">
        <v>1908600</v>
      </c>
      <c r="M190" s="22">
        <v>3246600</v>
      </c>
      <c r="N190" s="22">
        <v>2243900</v>
      </c>
      <c r="O190" s="22">
        <v>6682400</v>
      </c>
      <c r="P190" s="22">
        <v>3211400</v>
      </c>
      <c r="Q190" s="22">
        <v>2426500</v>
      </c>
      <c r="R190" s="22">
        <v>2491400</v>
      </c>
      <c r="S190" s="22">
        <v>2381800</v>
      </c>
      <c r="T190" s="22">
        <v>2416500</v>
      </c>
      <c r="U190" s="22">
        <v>3038800</v>
      </c>
      <c r="V190" s="22">
        <v>3973700</v>
      </c>
      <c r="W190" s="22">
        <v>6689000</v>
      </c>
      <c r="X190" s="22">
        <v>3197800</v>
      </c>
      <c r="Y190" s="22">
        <v>1451800</v>
      </c>
      <c r="Z190" s="22">
        <v>2506300</v>
      </c>
      <c r="AA190" s="22">
        <v>1467900</v>
      </c>
      <c r="AB190" s="22">
        <v>1692900</v>
      </c>
      <c r="AC190" s="22">
        <v>1692900</v>
      </c>
      <c r="AD190" s="22">
        <v>2248300</v>
      </c>
      <c r="AE190" s="22">
        <v>2658100</v>
      </c>
      <c r="AF190" s="22">
        <v>1966200</v>
      </c>
      <c r="AG190" s="22">
        <v>2438600</v>
      </c>
      <c r="AH190" s="22">
        <v>2206100</v>
      </c>
      <c r="AI190" s="22">
        <v>1582000</v>
      </c>
      <c r="AJ190" s="22">
        <v>1562300</v>
      </c>
      <c r="AK190" s="22">
        <v>2535100</v>
      </c>
      <c r="AL190" s="22">
        <v>2303300</v>
      </c>
      <c r="AM190" s="22">
        <v>2341600</v>
      </c>
      <c r="AN190" s="22">
        <v>1268700</v>
      </c>
      <c r="AO190" s="22">
        <v>2388400</v>
      </c>
      <c r="AP190" s="22">
        <v>2005300</v>
      </c>
      <c r="AQ190" s="22">
        <v>2605700</v>
      </c>
      <c r="AR190" s="22">
        <v>2380300</v>
      </c>
      <c r="AS190" s="22">
        <v>1427800</v>
      </c>
      <c r="AT190" s="22">
        <v>1846300</v>
      </c>
      <c r="AU190" s="22">
        <v>2056500</v>
      </c>
      <c r="AV190" s="22">
        <v>2197000</v>
      </c>
      <c r="AW190" s="22">
        <v>1798300</v>
      </c>
      <c r="AX190" s="22">
        <v>2097800</v>
      </c>
      <c r="AY190" s="22">
        <v>1850500</v>
      </c>
      <c r="AZ190" s="22">
        <v>2258700</v>
      </c>
      <c r="BA190" s="22">
        <v>2996600</v>
      </c>
      <c r="BB190" s="22">
        <v>2249000</v>
      </c>
      <c r="BC190" s="22">
        <v>1074600</v>
      </c>
      <c r="BD190" s="22">
        <v>783400</v>
      </c>
      <c r="BE190" s="22">
        <v>838300</v>
      </c>
      <c r="BF190" s="22">
        <v>603900</v>
      </c>
      <c r="BG190" s="22">
        <v>1106200</v>
      </c>
      <c r="BH190" s="22">
        <v>1153500</v>
      </c>
      <c r="BI190" s="22">
        <v>770800</v>
      </c>
      <c r="BJ190" s="22">
        <v>867100</v>
      </c>
      <c r="BK190" s="22">
        <v>722000</v>
      </c>
      <c r="BL190" s="22">
        <v>1036800</v>
      </c>
    </row>
    <row r="191" spans="1:64" ht="15.95" customHeight="1">
      <c r="A191" s="433" t="s">
        <v>481</v>
      </c>
      <c r="B191" s="49" t="str">
        <f>銘柄管理!C191</f>
        <v>前澤給装工業</v>
      </c>
      <c r="C191" s="53">
        <f>_xll.RssMarket("6485","出来高")</f>
        <v>17700</v>
      </c>
      <c r="D191" s="16">
        <f>C191-E191</f>
        <v>0</v>
      </c>
      <c r="E191" s="22">
        <v>17700</v>
      </c>
      <c r="F191" s="22">
        <v>13900</v>
      </c>
      <c r="G191" s="22">
        <v>23400</v>
      </c>
      <c r="H191" s="22">
        <v>15300</v>
      </c>
      <c r="I191" s="22">
        <v>25800</v>
      </c>
      <c r="J191" s="22">
        <v>27400</v>
      </c>
      <c r="K191" s="22">
        <v>11400</v>
      </c>
      <c r="L191" s="22">
        <v>17500</v>
      </c>
      <c r="M191" s="22">
        <v>19300</v>
      </c>
      <c r="N191" s="22">
        <v>47300</v>
      </c>
      <c r="O191" s="22">
        <v>15500</v>
      </c>
      <c r="P191" s="22">
        <v>21800</v>
      </c>
      <c r="Q191" s="22">
        <v>21300</v>
      </c>
      <c r="R191" s="22">
        <v>24400</v>
      </c>
      <c r="S191" s="22">
        <v>17100</v>
      </c>
      <c r="T191" s="22">
        <v>27400</v>
      </c>
      <c r="U191" s="22">
        <v>38600</v>
      </c>
      <c r="V191" s="22">
        <v>21500</v>
      </c>
      <c r="W191" s="22">
        <v>31500</v>
      </c>
      <c r="X191" s="22">
        <v>12800</v>
      </c>
      <c r="Y191" s="22">
        <v>48000</v>
      </c>
      <c r="Z191" s="22">
        <v>29400</v>
      </c>
      <c r="AA191" s="22">
        <v>9400</v>
      </c>
      <c r="AB191" s="22">
        <v>16500</v>
      </c>
      <c r="AC191" s="22">
        <v>16500</v>
      </c>
      <c r="AD191" s="22">
        <v>20700</v>
      </c>
      <c r="AE191" s="22">
        <v>18000</v>
      </c>
      <c r="AF191" s="22">
        <v>17300</v>
      </c>
      <c r="AG191" s="22">
        <v>37400</v>
      </c>
      <c r="AH191" s="22">
        <v>25900</v>
      </c>
      <c r="AI191" s="22">
        <v>39800</v>
      </c>
      <c r="AJ191" s="22">
        <v>31900</v>
      </c>
      <c r="AK191" s="22">
        <v>28700</v>
      </c>
      <c r="AL191" s="22">
        <v>30100</v>
      </c>
      <c r="AM191" s="22">
        <v>14600</v>
      </c>
      <c r="AN191" s="22">
        <v>18000</v>
      </c>
      <c r="AO191" s="22">
        <v>15400</v>
      </c>
      <c r="AP191" s="22">
        <v>14400</v>
      </c>
      <c r="AQ191" s="22">
        <v>25600</v>
      </c>
      <c r="AR191" s="22">
        <v>16900</v>
      </c>
      <c r="AS191" s="22">
        <v>22200</v>
      </c>
      <c r="AT191" s="22">
        <v>14800</v>
      </c>
      <c r="AU191" s="22">
        <v>16300</v>
      </c>
      <c r="AV191" s="22">
        <v>23000</v>
      </c>
      <c r="AW191" s="22">
        <v>12100</v>
      </c>
      <c r="AX191" s="22">
        <v>13300</v>
      </c>
      <c r="AY191" s="22">
        <v>8000</v>
      </c>
      <c r="AZ191" s="22">
        <v>25600</v>
      </c>
      <c r="BA191" s="22">
        <v>23500</v>
      </c>
      <c r="BB191" s="22">
        <v>79900</v>
      </c>
      <c r="BC191" s="22">
        <v>91700</v>
      </c>
      <c r="BD191" s="22">
        <v>38700</v>
      </c>
      <c r="BE191" s="22">
        <v>36700</v>
      </c>
      <c r="BF191" s="22">
        <v>44300</v>
      </c>
      <c r="BG191" s="22">
        <v>73500</v>
      </c>
      <c r="BH191" s="22">
        <v>61800</v>
      </c>
      <c r="BI191" s="22">
        <v>33300</v>
      </c>
      <c r="BJ191" s="22">
        <v>30400</v>
      </c>
      <c r="BK191" s="22">
        <v>38800</v>
      </c>
      <c r="BL191" s="22">
        <v>38800</v>
      </c>
    </row>
    <row r="192" spans="1:64" ht="15.95" customHeight="1">
      <c r="A192" s="433" t="s">
        <v>446</v>
      </c>
      <c r="B192" s="49" t="s">
        <v>249</v>
      </c>
      <c r="C192" s="53">
        <f>_xll.RssMarket("4887","出来高")</f>
        <v>653900</v>
      </c>
      <c r="D192" s="16">
        <f t="shared" si="2"/>
        <v>0</v>
      </c>
      <c r="E192" s="22">
        <v>653900</v>
      </c>
      <c r="F192" s="22">
        <v>644200</v>
      </c>
      <c r="G192" s="22">
        <v>450900</v>
      </c>
      <c r="H192" s="22">
        <v>346200</v>
      </c>
      <c r="I192" s="22">
        <v>302100</v>
      </c>
      <c r="J192" s="22">
        <v>501700</v>
      </c>
      <c r="K192" s="22">
        <v>406500</v>
      </c>
      <c r="L192" s="22">
        <v>476100</v>
      </c>
      <c r="M192" s="22">
        <v>574300</v>
      </c>
      <c r="N192" s="22">
        <v>444500</v>
      </c>
      <c r="O192" s="22">
        <v>569500</v>
      </c>
      <c r="P192" s="22">
        <v>613900</v>
      </c>
      <c r="Q192" s="22">
        <v>499300</v>
      </c>
      <c r="R192" s="22">
        <v>705800</v>
      </c>
      <c r="S192" s="22">
        <v>556600</v>
      </c>
      <c r="T192" s="22">
        <v>466700</v>
      </c>
      <c r="U192" s="22">
        <v>579000</v>
      </c>
      <c r="V192" s="22">
        <v>1102400</v>
      </c>
      <c r="W192" s="22">
        <v>2362900</v>
      </c>
      <c r="X192" s="22">
        <v>908000</v>
      </c>
      <c r="Y192" s="22">
        <v>257900</v>
      </c>
      <c r="Z192" s="22">
        <v>218100</v>
      </c>
      <c r="AA192" s="22">
        <v>397700</v>
      </c>
      <c r="AB192" s="22">
        <v>437300</v>
      </c>
      <c r="AC192" s="22">
        <v>437300</v>
      </c>
      <c r="AD192" s="22">
        <v>586900</v>
      </c>
      <c r="AE192" s="22">
        <v>378800</v>
      </c>
      <c r="AF192" s="22">
        <v>233900</v>
      </c>
      <c r="AG192" s="22">
        <v>421000</v>
      </c>
      <c r="AH192" s="22">
        <v>476700</v>
      </c>
      <c r="AI192" s="22">
        <v>233900</v>
      </c>
      <c r="AJ192" s="22">
        <v>244900</v>
      </c>
      <c r="AK192" s="22">
        <v>380300</v>
      </c>
      <c r="AL192" s="22">
        <v>294800</v>
      </c>
      <c r="AM192" s="22">
        <v>236800</v>
      </c>
      <c r="AN192" s="22">
        <v>174500</v>
      </c>
      <c r="AO192" s="22">
        <v>151400</v>
      </c>
      <c r="AP192" s="22">
        <v>214900</v>
      </c>
      <c r="AQ192" s="22">
        <v>255100</v>
      </c>
      <c r="AR192" s="22">
        <v>201200</v>
      </c>
      <c r="AS192" s="22">
        <v>182200</v>
      </c>
      <c r="AT192" s="22">
        <v>307400</v>
      </c>
      <c r="AU192" s="22">
        <v>255300</v>
      </c>
      <c r="AV192" s="22">
        <v>533200</v>
      </c>
      <c r="AW192" s="22">
        <v>261800</v>
      </c>
      <c r="AX192" s="22">
        <v>178200</v>
      </c>
      <c r="AY192" s="22">
        <v>399800</v>
      </c>
      <c r="AZ192" s="22">
        <v>336500</v>
      </c>
      <c r="BA192" s="22">
        <v>349200</v>
      </c>
      <c r="BB192" s="22">
        <v>327500</v>
      </c>
      <c r="BC192" s="22">
        <v>517900</v>
      </c>
      <c r="BD192" s="22">
        <v>374600</v>
      </c>
      <c r="BE192" s="22">
        <v>329900</v>
      </c>
      <c r="BF192" s="22">
        <v>299500</v>
      </c>
      <c r="BG192" s="22">
        <v>326600</v>
      </c>
      <c r="BH192" s="22">
        <v>436000</v>
      </c>
      <c r="BI192" s="22">
        <v>321900</v>
      </c>
      <c r="BJ192" s="22">
        <v>334100</v>
      </c>
      <c r="BK192" s="22">
        <v>203000</v>
      </c>
      <c r="BL192" s="22">
        <v>306100</v>
      </c>
    </row>
    <row r="193" spans="1:64" ht="15.95" customHeight="1">
      <c r="A193" s="433" t="s">
        <v>447</v>
      </c>
      <c r="B193" s="49" t="s">
        <v>250</v>
      </c>
      <c r="C193" s="53">
        <f>_xll.RssMarket("5243","出来高")</f>
        <v>265800</v>
      </c>
      <c r="D193" s="16">
        <f t="shared" si="2"/>
        <v>0</v>
      </c>
      <c r="E193" s="22">
        <v>265800</v>
      </c>
      <c r="F193" s="22">
        <v>191900</v>
      </c>
      <c r="G193" s="22">
        <v>117800</v>
      </c>
      <c r="H193" s="22">
        <v>161700</v>
      </c>
      <c r="I193" s="22">
        <v>273200</v>
      </c>
      <c r="J193" s="22">
        <v>271400</v>
      </c>
      <c r="K193" s="22">
        <v>155500</v>
      </c>
      <c r="L193" s="22">
        <v>311800</v>
      </c>
      <c r="M193" s="22">
        <v>267200</v>
      </c>
      <c r="N193" s="22">
        <v>542000</v>
      </c>
      <c r="O193" s="22">
        <v>161500</v>
      </c>
      <c r="P193" s="22">
        <v>184800</v>
      </c>
      <c r="Q193" s="22">
        <v>225800</v>
      </c>
      <c r="R193" s="22">
        <v>152100</v>
      </c>
      <c r="S193" s="22">
        <v>137100</v>
      </c>
      <c r="T193" s="22">
        <v>100400</v>
      </c>
      <c r="U193" s="22">
        <v>128000</v>
      </c>
      <c r="V193" s="22">
        <v>236400</v>
      </c>
      <c r="W193" s="22">
        <v>151600</v>
      </c>
      <c r="X193" s="22">
        <v>184600</v>
      </c>
      <c r="Y193" s="22">
        <v>276900</v>
      </c>
      <c r="Z193" s="22">
        <v>326900</v>
      </c>
      <c r="AA193" s="22">
        <v>413400</v>
      </c>
      <c r="AB193" s="22">
        <v>451000</v>
      </c>
      <c r="AC193" s="22">
        <v>451000</v>
      </c>
      <c r="AD193" s="22">
        <v>578500</v>
      </c>
      <c r="AE193" s="22">
        <v>427400</v>
      </c>
      <c r="AF193" s="22">
        <v>204000</v>
      </c>
      <c r="AG193" s="22">
        <v>217500</v>
      </c>
      <c r="AH193" s="22">
        <v>603000</v>
      </c>
      <c r="AI193" s="22">
        <v>900400</v>
      </c>
      <c r="AJ193" s="22">
        <v>630200</v>
      </c>
      <c r="AK193" s="22">
        <v>1607600</v>
      </c>
      <c r="AL193" s="22">
        <v>2203100</v>
      </c>
      <c r="AM193" s="22">
        <v>1699200</v>
      </c>
      <c r="AN193" s="22">
        <v>1218500</v>
      </c>
      <c r="AO193" s="22">
        <v>1295500</v>
      </c>
      <c r="AP193" s="22">
        <v>4575800</v>
      </c>
      <c r="AQ193" s="22">
        <v>6309500</v>
      </c>
      <c r="AR193" s="22">
        <v>1048400</v>
      </c>
      <c r="AS193" s="22">
        <v>671500</v>
      </c>
      <c r="AT193" s="22">
        <v>275600</v>
      </c>
      <c r="AU193" s="22">
        <v>422200</v>
      </c>
      <c r="AV193" s="22">
        <v>482200</v>
      </c>
      <c r="AW193" s="22">
        <v>243000</v>
      </c>
      <c r="AX193" s="22">
        <v>209400</v>
      </c>
      <c r="AY193" s="22">
        <v>348900</v>
      </c>
      <c r="AZ193" s="22">
        <v>417200</v>
      </c>
      <c r="BA193" s="22">
        <v>322300</v>
      </c>
      <c r="BB193" s="22">
        <v>419900</v>
      </c>
      <c r="BC193" s="22">
        <v>463300</v>
      </c>
      <c r="BD193" s="22">
        <v>708000</v>
      </c>
      <c r="BE193" s="22">
        <v>1637800</v>
      </c>
      <c r="BF193" s="22">
        <v>282400</v>
      </c>
      <c r="BG193" s="22">
        <v>450800</v>
      </c>
      <c r="BH193" s="22">
        <v>340800</v>
      </c>
      <c r="BI193" s="22">
        <v>285500</v>
      </c>
      <c r="BJ193" s="22">
        <v>426200</v>
      </c>
      <c r="BK193" s="22">
        <v>370500</v>
      </c>
      <c r="BL193" s="22">
        <v>526600</v>
      </c>
    </row>
    <row r="194" spans="1:64" ht="15.95" customHeight="1">
      <c r="A194" s="433" t="s">
        <v>448</v>
      </c>
      <c r="B194" s="49" t="s">
        <v>251</v>
      </c>
      <c r="C194" s="53">
        <f>_xll.RssMarket("2702","出来高")</f>
        <v>918600</v>
      </c>
      <c r="D194" s="16">
        <f t="shared" si="2"/>
        <v>0</v>
      </c>
      <c r="E194" s="22">
        <v>918600</v>
      </c>
      <c r="F194" s="22">
        <v>885900</v>
      </c>
      <c r="G194" s="22">
        <v>802100</v>
      </c>
      <c r="H194" s="22">
        <v>911200</v>
      </c>
      <c r="I194" s="22">
        <v>728200</v>
      </c>
      <c r="J194" s="22">
        <v>834300</v>
      </c>
      <c r="K194" s="22">
        <v>690000</v>
      </c>
      <c r="L194" s="22">
        <v>1102300</v>
      </c>
      <c r="M194" s="22">
        <v>717800</v>
      </c>
      <c r="N194" s="22">
        <v>729600</v>
      </c>
      <c r="O194" s="22">
        <v>871200</v>
      </c>
      <c r="P194" s="22">
        <v>631800</v>
      </c>
      <c r="Q194" s="22">
        <v>823900</v>
      </c>
      <c r="R194" s="22">
        <v>397000</v>
      </c>
      <c r="S194" s="22">
        <v>251900</v>
      </c>
      <c r="T194" s="22">
        <v>452000</v>
      </c>
      <c r="U194" s="22">
        <v>428000</v>
      </c>
      <c r="V194" s="22">
        <v>659000</v>
      </c>
      <c r="W194" s="22">
        <v>634500</v>
      </c>
      <c r="X194" s="22">
        <v>488500</v>
      </c>
      <c r="Y194" s="22">
        <v>654800</v>
      </c>
      <c r="Z194" s="22">
        <v>1395700</v>
      </c>
      <c r="AA194" s="22">
        <v>651200</v>
      </c>
      <c r="AB194" s="22">
        <v>511900</v>
      </c>
      <c r="AC194" s="22">
        <v>511900</v>
      </c>
      <c r="AD194" s="22">
        <v>440800</v>
      </c>
      <c r="AE194" s="22">
        <v>543800</v>
      </c>
      <c r="AF194" s="22">
        <v>216300</v>
      </c>
      <c r="AG194" s="22">
        <v>290300</v>
      </c>
      <c r="AH194" s="22">
        <v>231200</v>
      </c>
      <c r="AI194" s="22">
        <v>335200</v>
      </c>
      <c r="AJ194" s="22">
        <v>270000</v>
      </c>
      <c r="AK194" s="22">
        <v>371900</v>
      </c>
      <c r="AL194" s="22">
        <v>345700</v>
      </c>
      <c r="AM194" s="22">
        <v>279400</v>
      </c>
      <c r="AN194" s="22">
        <v>314800</v>
      </c>
      <c r="AO194" s="22">
        <v>295200</v>
      </c>
      <c r="AP194" s="22">
        <v>380700</v>
      </c>
      <c r="AQ194" s="22">
        <v>438700</v>
      </c>
      <c r="AR194" s="22">
        <v>456400</v>
      </c>
      <c r="AS194" s="22">
        <v>702100</v>
      </c>
      <c r="AT194" s="22">
        <v>621500</v>
      </c>
      <c r="AU194" s="22">
        <v>441200</v>
      </c>
      <c r="AV194" s="22">
        <v>528400</v>
      </c>
      <c r="AW194" s="22">
        <v>459800</v>
      </c>
      <c r="AX194" s="22">
        <v>315400</v>
      </c>
      <c r="AY194" s="22">
        <v>401200</v>
      </c>
      <c r="AZ194" s="22">
        <v>532300</v>
      </c>
      <c r="BA194" s="22">
        <v>480000</v>
      </c>
      <c r="BB194" s="22">
        <v>510300</v>
      </c>
      <c r="BC194" s="22">
        <v>713300</v>
      </c>
      <c r="BD194" s="22">
        <v>276100</v>
      </c>
      <c r="BE194" s="22">
        <v>399400</v>
      </c>
      <c r="BF194" s="22">
        <v>337100</v>
      </c>
      <c r="BG194" s="22">
        <v>435100</v>
      </c>
      <c r="BH194" s="22">
        <v>357400</v>
      </c>
      <c r="BI194" s="22">
        <v>369700</v>
      </c>
      <c r="BJ194" s="22">
        <v>433400</v>
      </c>
      <c r="BK194" s="22">
        <v>322500</v>
      </c>
      <c r="BL194" s="22">
        <v>422200</v>
      </c>
    </row>
    <row r="195" spans="1:64" ht="15.95" customHeight="1">
      <c r="A195" s="433" t="s">
        <v>449</v>
      </c>
      <c r="B195" s="49" t="s">
        <v>252</v>
      </c>
      <c r="C195" s="53">
        <f>_xll.RssMarket("6890","出来高")</f>
        <v>602200</v>
      </c>
      <c r="D195" s="16">
        <f t="shared" si="2"/>
        <v>0</v>
      </c>
      <c r="E195" s="22">
        <v>602200</v>
      </c>
      <c r="F195" s="22">
        <v>763200</v>
      </c>
      <c r="G195" s="22">
        <v>1510700</v>
      </c>
      <c r="H195" s="22">
        <v>606400</v>
      </c>
      <c r="I195" s="22">
        <v>695300</v>
      </c>
      <c r="J195" s="22">
        <v>904700</v>
      </c>
      <c r="K195" s="22">
        <v>1039600</v>
      </c>
      <c r="L195" s="22">
        <v>1696400</v>
      </c>
      <c r="M195" s="22">
        <v>898800</v>
      </c>
      <c r="N195" s="22">
        <v>928100</v>
      </c>
      <c r="O195" s="22">
        <v>1403300</v>
      </c>
      <c r="P195" s="22">
        <v>531000</v>
      </c>
      <c r="Q195" s="22">
        <v>754500</v>
      </c>
      <c r="R195" s="22">
        <v>801300</v>
      </c>
      <c r="S195" s="22">
        <v>624500</v>
      </c>
      <c r="T195" s="22">
        <v>948500</v>
      </c>
      <c r="U195" s="22">
        <v>1491400</v>
      </c>
      <c r="V195" s="22">
        <v>1181700</v>
      </c>
      <c r="W195" s="22">
        <v>1612500</v>
      </c>
      <c r="X195" s="22">
        <v>2302900</v>
      </c>
      <c r="Y195" s="22">
        <v>1927400</v>
      </c>
      <c r="Z195" s="22">
        <v>1176400</v>
      </c>
      <c r="AA195" s="22">
        <v>1740400</v>
      </c>
      <c r="AB195" s="22">
        <v>1518500</v>
      </c>
      <c r="AC195" s="22">
        <v>1518500</v>
      </c>
      <c r="AD195" s="22">
        <v>1752700</v>
      </c>
      <c r="AE195" s="22">
        <v>2695000</v>
      </c>
      <c r="AF195" s="22">
        <v>1432200</v>
      </c>
      <c r="AG195" s="22">
        <v>1190300</v>
      </c>
      <c r="AH195" s="22">
        <v>1868500</v>
      </c>
      <c r="AI195" s="22">
        <v>804100</v>
      </c>
      <c r="AJ195" s="22">
        <v>1001900</v>
      </c>
      <c r="AK195" s="22">
        <v>1490700</v>
      </c>
      <c r="AL195" s="22">
        <v>681900</v>
      </c>
      <c r="AM195" s="22">
        <v>631600</v>
      </c>
      <c r="AN195" s="22">
        <v>471800</v>
      </c>
      <c r="AO195" s="22">
        <v>483900</v>
      </c>
      <c r="AP195" s="22">
        <v>525100</v>
      </c>
      <c r="AQ195" s="22">
        <v>843600</v>
      </c>
      <c r="AR195" s="22">
        <v>455000</v>
      </c>
      <c r="AS195" s="22">
        <v>509600</v>
      </c>
      <c r="AT195" s="22">
        <v>638500</v>
      </c>
      <c r="AU195" s="22">
        <v>516000</v>
      </c>
      <c r="AV195" s="22">
        <v>549700</v>
      </c>
      <c r="AW195" s="22">
        <v>347400</v>
      </c>
      <c r="AX195" s="22">
        <v>240300</v>
      </c>
      <c r="AY195" s="22">
        <v>382400</v>
      </c>
      <c r="AZ195" s="22">
        <v>601200</v>
      </c>
      <c r="BA195" s="22">
        <v>702500</v>
      </c>
      <c r="BB195" s="22">
        <v>720400</v>
      </c>
      <c r="BC195" s="22">
        <v>801600</v>
      </c>
      <c r="BD195" s="22">
        <v>361100</v>
      </c>
      <c r="BE195" s="22">
        <v>609700</v>
      </c>
      <c r="BF195" s="22">
        <v>257800</v>
      </c>
      <c r="BG195" s="22">
        <v>456900</v>
      </c>
      <c r="BH195" s="22">
        <v>376700</v>
      </c>
      <c r="BI195" s="22">
        <v>383600</v>
      </c>
      <c r="BJ195" s="22">
        <v>375700</v>
      </c>
      <c r="BK195" s="22">
        <v>579200</v>
      </c>
      <c r="BL195" s="22">
        <v>581300</v>
      </c>
    </row>
    <row r="196" spans="1:64" ht="15.95" customHeight="1">
      <c r="A196" s="433" t="s">
        <v>450</v>
      </c>
      <c r="B196" s="49" t="s">
        <v>253</v>
      </c>
      <c r="C196" s="53">
        <f>_xll.RssMarket("4966","出来高")</f>
        <v>32600</v>
      </c>
      <c r="D196" s="16">
        <f t="shared" si="2"/>
        <v>0</v>
      </c>
      <c r="E196" s="22">
        <v>32600</v>
      </c>
      <c r="F196" s="22">
        <v>48800</v>
      </c>
      <c r="G196" s="22">
        <v>47300</v>
      </c>
      <c r="H196" s="22">
        <v>46000</v>
      </c>
      <c r="I196" s="22">
        <v>38600</v>
      </c>
      <c r="J196" s="22">
        <v>98300</v>
      </c>
      <c r="K196" s="22">
        <v>27700</v>
      </c>
      <c r="L196" s="22">
        <v>31200</v>
      </c>
      <c r="M196" s="22">
        <v>42300</v>
      </c>
      <c r="N196" s="22">
        <v>62200</v>
      </c>
      <c r="O196" s="22">
        <v>54600</v>
      </c>
      <c r="P196" s="22">
        <v>30200</v>
      </c>
      <c r="Q196" s="22">
        <v>28300</v>
      </c>
      <c r="R196" s="22">
        <v>47000</v>
      </c>
      <c r="S196" s="22">
        <v>43100</v>
      </c>
      <c r="T196" s="22">
        <v>40500</v>
      </c>
      <c r="U196" s="22">
        <v>73300</v>
      </c>
      <c r="V196" s="22">
        <v>70000</v>
      </c>
      <c r="W196" s="22">
        <v>46200</v>
      </c>
      <c r="X196" s="22">
        <v>73700</v>
      </c>
      <c r="Y196" s="22">
        <v>60700</v>
      </c>
      <c r="Z196" s="22">
        <v>166000</v>
      </c>
      <c r="AA196" s="22">
        <v>81100</v>
      </c>
      <c r="AB196" s="22">
        <v>42100</v>
      </c>
      <c r="AC196" s="22">
        <v>42100</v>
      </c>
      <c r="AD196" s="22">
        <v>52800</v>
      </c>
      <c r="AE196" s="22">
        <v>103000</v>
      </c>
      <c r="AF196" s="22">
        <v>54300</v>
      </c>
      <c r="AG196" s="22">
        <v>48800</v>
      </c>
      <c r="AH196" s="22">
        <v>31100</v>
      </c>
      <c r="AI196" s="22">
        <v>51000</v>
      </c>
      <c r="AJ196" s="22">
        <v>49400</v>
      </c>
      <c r="AK196" s="22">
        <v>39400</v>
      </c>
      <c r="AL196" s="22">
        <v>51600</v>
      </c>
      <c r="AM196" s="22">
        <v>48700</v>
      </c>
      <c r="AN196" s="22">
        <v>51500</v>
      </c>
      <c r="AO196" s="22">
        <v>61500</v>
      </c>
      <c r="AP196" s="22">
        <v>48900</v>
      </c>
      <c r="AQ196" s="22">
        <v>47800</v>
      </c>
      <c r="AR196" s="22">
        <v>57800</v>
      </c>
      <c r="AS196" s="22">
        <v>36300</v>
      </c>
      <c r="AT196" s="22">
        <v>50600</v>
      </c>
      <c r="AU196" s="22">
        <v>42800</v>
      </c>
      <c r="AV196" s="22">
        <v>82100</v>
      </c>
      <c r="AW196" s="22">
        <v>34300</v>
      </c>
      <c r="AX196" s="22">
        <v>66800</v>
      </c>
      <c r="AY196" s="22">
        <v>35600</v>
      </c>
      <c r="AZ196" s="22">
        <v>58400</v>
      </c>
      <c r="BA196" s="22">
        <v>60000</v>
      </c>
      <c r="BB196" s="22">
        <v>52200</v>
      </c>
      <c r="BC196" s="22">
        <v>61600</v>
      </c>
      <c r="BD196" s="22">
        <v>35100</v>
      </c>
      <c r="BE196" s="22">
        <v>54200</v>
      </c>
      <c r="BF196" s="22">
        <v>58800</v>
      </c>
      <c r="BG196" s="22">
        <v>65300</v>
      </c>
      <c r="BH196" s="22">
        <v>62300</v>
      </c>
      <c r="BI196" s="22">
        <v>80400</v>
      </c>
      <c r="BJ196" s="22">
        <v>84300</v>
      </c>
      <c r="BK196" s="22">
        <v>73500</v>
      </c>
      <c r="BL196" s="22">
        <v>68000</v>
      </c>
    </row>
    <row r="197" spans="1:64" ht="15.95" customHeight="1">
      <c r="A197" s="433" t="s">
        <v>451</v>
      </c>
      <c r="B197" s="49" t="s">
        <v>254</v>
      </c>
      <c r="C197" s="53">
        <f>_xll.RssMarket("6146","出来高")</f>
        <v>2169600</v>
      </c>
      <c r="D197" s="16">
        <f t="shared" si="2"/>
        <v>0</v>
      </c>
      <c r="E197" s="22">
        <v>2169600</v>
      </c>
      <c r="F197" s="22">
        <v>2029000</v>
      </c>
      <c r="G197" s="22">
        <v>4361400</v>
      </c>
      <c r="H197" s="22">
        <v>3648100</v>
      </c>
      <c r="I197" s="22">
        <v>1639000</v>
      </c>
      <c r="J197" s="22">
        <v>1496600</v>
      </c>
      <c r="K197" s="22">
        <v>1918000</v>
      </c>
      <c r="L197" s="22">
        <v>2016700</v>
      </c>
      <c r="M197" s="22">
        <v>2278300</v>
      </c>
      <c r="N197" s="22">
        <v>1693800</v>
      </c>
      <c r="O197" s="22">
        <v>1625200</v>
      </c>
      <c r="P197" s="22">
        <v>2123100</v>
      </c>
      <c r="Q197" s="22">
        <v>1452600</v>
      </c>
      <c r="R197" s="22">
        <v>1531900</v>
      </c>
      <c r="S197" s="22">
        <v>1374100</v>
      </c>
      <c r="T197" s="22">
        <v>1537500</v>
      </c>
      <c r="U197" s="22">
        <v>2084200</v>
      </c>
      <c r="V197" s="22">
        <v>1743500</v>
      </c>
      <c r="W197" s="22">
        <v>1517000</v>
      </c>
      <c r="X197" s="22">
        <v>2108200</v>
      </c>
      <c r="Y197" s="22">
        <v>2544600</v>
      </c>
      <c r="Z197" s="22">
        <v>1714400</v>
      </c>
      <c r="AA197" s="22">
        <v>1272800</v>
      </c>
      <c r="AB197" s="22">
        <v>1262500</v>
      </c>
      <c r="AC197" s="22">
        <v>1577900</v>
      </c>
      <c r="AD197" s="22">
        <v>1577900</v>
      </c>
      <c r="AE197" s="22">
        <v>1519200</v>
      </c>
      <c r="AF197" s="22">
        <v>2502700</v>
      </c>
      <c r="AG197" s="22">
        <v>1636400</v>
      </c>
      <c r="AH197" s="22">
        <v>2488500</v>
      </c>
      <c r="AI197" s="22">
        <v>2920700</v>
      </c>
      <c r="AJ197" s="22">
        <v>3125800</v>
      </c>
      <c r="AK197" s="22">
        <v>2782200</v>
      </c>
      <c r="AL197" s="22">
        <v>4570700</v>
      </c>
      <c r="AM197" s="22">
        <v>2794300</v>
      </c>
      <c r="AN197" s="22">
        <v>1848000</v>
      </c>
      <c r="AO197" s="22">
        <v>2600200</v>
      </c>
      <c r="AP197" s="22">
        <v>1807100</v>
      </c>
      <c r="AQ197" s="22">
        <v>2319700</v>
      </c>
      <c r="AR197" s="22">
        <v>2433000</v>
      </c>
      <c r="AS197" s="22">
        <v>2425900</v>
      </c>
      <c r="AT197" s="22">
        <v>1526300</v>
      </c>
      <c r="AU197" s="22">
        <v>2150100</v>
      </c>
      <c r="AV197" s="22">
        <v>2504700</v>
      </c>
      <c r="AW197" s="22">
        <v>3064700</v>
      </c>
      <c r="AX197" s="22">
        <v>2961700</v>
      </c>
      <c r="AY197" s="22">
        <v>1952600</v>
      </c>
      <c r="AZ197" s="22">
        <v>1898500</v>
      </c>
      <c r="BA197" s="22">
        <v>3599300</v>
      </c>
      <c r="BB197" s="22">
        <v>2855500</v>
      </c>
      <c r="BC197" s="22">
        <v>2415900</v>
      </c>
      <c r="BD197" s="22">
        <v>2167300</v>
      </c>
      <c r="BE197" s="22">
        <v>1649000</v>
      </c>
      <c r="BF197" s="22">
        <v>2198600</v>
      </c>
      <c r="BG197" s="22">
        <v>1966200</v>
      </c>
      <c r="BH197" s="22">
        <v>2305300</v>
      </c>
      <c r="BI197" s="22">
        <v>2255700</v>
      </c>
      <c r="BJ197" s="22">
        <v>1726100</v>
      </c>
      <c r="BK197" s="22">
        <v>2139500</v>
      </c>
      <c r="BL197" s="22">
        <v>1518300</v>
      </c>
    </row>
    <row r="198" spans="1:64" ht="15.95" customHeight="1">
      <c r="A198" s="433" t="s">
        <v>452</v>
      </c>
      <c r="B198" s="49" t="s">
        <v>255</v>
      </c>
      <c r="C198" s="53">
        <f>_xll.RssMarket("8035","出来高")</f>
        <v>4608500</v>
      </c>
      <c r="D198" s="16">
        <f t="shared" ref="D198:D217" si="3">C198-E198</f>
        <v>0</v>
      </c>
      <c r="E198" s="22">
        <v>4608500</v>
      </c>
      <c r="F198" s="22">
        <v>4828900</v>
      </c>
      <c r="G198" s="22">
        <v>7102200</v>
      </c>
      <c r="H198" s="22">
        <v>5585800</v>
      </c>
      <c r="I198" s="22">
        <v>7924500</v>
      </c>
      <c r="J198" s="22">
        <v>3961100</v>
      </c>
      <c r="K198" s="22">
        <v>4460100</v>
      </c>
      <c r="L198" s="22">
        <v>4805100</v>
      </c>
      <c r="M198" s="22">
        <v>5433400</v>
      </c>
      <c r="N198" s="22">
        <v>2681900</v>
      </c>
      <c r="O198" s="22">
        <v>3555800</v>
      </c>
      <c r="P198" s="22">
        <v>3146300</v>
      </c>
      <c r="Q198" s="22">
        <v>3857400</v>
      </c>
      <c r="R198" s="22">
        <v>2671900</v>
      </c>
      <c r="S198" s="22">
        <v>2776900</v>
      </c>
      <c r="T198" s="22">
        <v>2745800</v>
      </c>
      <c r="U198" s="22">
        <v>3042100</v>
      </c>
      <c r="V198" s="22">
        <v>2645700</v>
      </c>
      <c r="W198" s="22">
        <v>2434000</v>
      </c>
      <c r="X198" s="22">
        <v>2986000</v>
      </c>
      <c r="Y198" s="22">
        <v>2051400</v>
      </c>
      <c r="Z198" s="22">
        <v>2301000</v>
      </c>
      <c r="AA198" s="22">
        <v>1931800</v>
      </c>
      <c r="AB198" s="22">
        <v>2998700</v>
      </c>
      <c r="AC198" s="22">
        <v>2998700</v>
      </c>
      <c r="AD198" s="22">
        <v>3644900</v>
      </c>
      <c r="AE198" s="22">
        <v>4695700</v>
      </c>
      <c r="AF198" s="22">
        <v>5915900</v>
      </c>
      <c r="AG198" s="22">
        <v>4081000</v>
      </c>
      <c r="AH198" s="22">
        <v>3291600</v>
      </c>
      <c r="AI198" s="22">
        <v>3605000</v>
      </c>
      <c r="AJ198" s="22">
        <v>2312400</v>
      </c>
      <c r="AK198" s="22">
        <v>2968500</v>
      </c>
      <c r="AL198" s="22">
        <v>2047100</v>
      </c>
      <c r="AM198" s="22">
        <v>3182100</v>
      </c>
      <c r="AN198" s="22">
        <v>2017800</v>
      </c>
      <c r="AO198" s="22">
        <v>2974800</v>
      </c>
      <c r="AP198" s="22">
        <v>4808800</v>
      </c>
      <c r="AQ198" s="22">
        <v>3635500</v>
      </c>
      <c r="AR198" s="22">
        <v>3521700</v>
      </c>
      <c r="AS198" s="22">
        <v>3255000</v>
      </c>
      <c r="AT198" s="22">
        <v>4086200</v>
      </c>
      <c r="AU198" s="22">
        <v>2672900</v>
      </c>
      <c r="AV198" s="22">
        <v>3872000</v>
      </c>
      <c r="AW198" s="22">
        <v>1924100</v>
      </c>
      <c r="AX198" s="22">
        <v>2127100</v>
      </c>
      <c r="AY198" s="22">
        <v>1832600</v>
      </c>
      <c r="AZ198" s="22">
        <v>2727000</v>
      </c>
      <c r="BA198" s="22">
        <v>2541800</v>
      </c>
      <c r="BB198" s="22">
        <v>3600000</v>
      </c>
      <c r="BC198" s="22">
        <v>3646500</v>
      </c>
      <c r="BD198" s="22">
        <v>2747200</v>
      </c>
      <c r="BE198" s="22">
        <v>3091900</v>
      </c>
      <c r="BF198" s="22">
        <v>2266000</v>
      </c>
      <c r="BG198" s="22">
        <v>3387800</v>
      </c>
      <c r="BH198" s="22">
        <v>2656600</v>
      </c>
      <c r="BI198" s="22">
        <v>2014800</v>
      </c>
      <c r="BJ198" s="22">
        <v>1930100</v>
      </c>
      <c r="BK198" s="22">
        <v>2906700</v>
      </c>
      <c r="BL198" s="22">
        <v>3230700</v>
      </c>
    </row>
    <row r="199" spans="1:64" ht="15.95" customHeight="1">
      <c r="A199" s="433" t="s">
        <v>453</v>
      </c>
      <c r="B199" s="49" t="s">
        <v>256</v>
      </c>
      <c r="C199" s="53">
        <f>_xll.RssMarket("6920","出来高")</f>
        <v>7716500</v>
      </c>
      <c r="D199" s="16">
        <f t="shared" si="3"/>
        <v>0</v>
      </c>
      <c r="E199" s="22">
        <v>7716500</v>
      </c>
      <c r="F199" s="22">
        <v>3085500</v>
      </c>
      <c r="G199" s="22">
        <v>4483200</v>
      </c>
      <c r="H199" s="22">
        <v>3785800</v>
      </c>
      <c r="I199" s="22">
        <v>2648100</v>
      </c>
      <c r="J199" s="22">
        <v>3439100</v>
      </c>
      <c r="K199" s="22">
        <v>2353600</v>
      </c>
      <c r="L199" s="22">
        <v>2495600</v>
      </c>
      <c r="M199" s="22">
        <v>2772700</v>
      </c>
      <c r="N199" s="22">
        <v>3365400</v>
      </c>
      <c r="O199" s="22">
        <v>2388900</v>
      </c>
      <c r="P199" s="22">
        <v>2244300</v>
      </c>
      <c r="Q199" s="22">
        <v>2900200</v>
      </c>
      <c r="R199" s="22">
        <v>3055900</v>
      </c>
      <c r="S199" s="22">
        <v>4173500</v>
      </c>
      <c r="T199" s="22">
        <v>2685100</v>
      </c>
      <c r="U199" s="22">
        <v>3426700</v>
      </c>
      <c r="V199" s="22">
        <v>3099400</v>
      </c>
      <c r="W199" s="22">
        <v>2762200</v>
      </c>
      <c r="X199" s="22">
        <v>3128200</v>
      </c>
      <c r="Y199" s="22">
        <v>3328000</v>
      </c>
      <c r="Z199" s="22">
        <v>3049700</v>
      </c>
      <c r="AA199" s="22">
        <v>2977300</v>
      </c>
      <c r="AB199" s="22">
        <v>3176900</v>
      </c>
      <c r="AC199" s="22">
        <v>3933100</v>
      </c>
      <c r="AD199" s="22">
        <v>3933100</v>
      </c>
      <c r="AE199" s="22">
        <v>3810400</v>
      </c>
      <c r="AF199" s="22">
        <v>5720200</v>
      </c>
      <c r="AG199" s="22">
        <v>7701500</v>
      </c>
      <c r="AH199" s="22">
        <v>3092200</v>
      </c>
      <c r="AI199" s="22">
        <v>3858100</v>
      </c>
      <c r="AJ199" s="22">
        <v>4078300</v>
      </c>
      <c r="AK199" s="22">
        <v>4801300</v>
      </c>
      <c r="AL199" s="22">
        <v>5153500</v>
      </c>
      <c r="AM199" s="22">
        <v>4291700</v>
      </c>
      <c r="AN199" s="22">
        <v>3987500</v>
      </c>
      <c r="AO199" s="22">
        <v>3647800</v>
      </c>
      <c r="AP199" s="22">
        <v>3765300</v>
      </c>
      <c r="AQ199" s="22">
        <v>5658900</v>
      </c>
      <c r="AR199" s="22">
        <v>9334600</v>
      </c>
      <c r="AS199" s="22">
        <v>4931100</v>
      </c>
      <c r="AT199" s="22">
        <v>3913200</v>
      </c>
      <c r="AU199" s="22">
        <v>6074300</v>
      </c>
      <c r="AV199" s="22">
        <v>4051500</v>
      </c>
      <c r="AW199" s="22">
        <v>7877100</v>
      </c>
      <c r="AX199" s="22">
        <v>3874200</v>
      </c>
      <c r="AY199" s="22">
        <v>5163000</v>
      </c>
      <c r="AZ199" s="22">
        <v>3154900</v>
      </c>
      <c r="BA199" s="22">
        <v>6725700</v>
      </c>
      <c r="BB199" s="22">
        <v>4810900</v>
      </c>
      <c r="BC199" s="22">
        <v>4743400</v>
      </c>
      <c r="BD199" s="22">
        <v>4068100</v>
      </c>
      <c r="BE199" s="22">
        <v>4028500</v>
      </c>
      <c r="BF199" s="22">
        <v>3641600</v>
      </c>
      <c r="BG199" s="22">
        <v>3161400</v>
      </c>
      <c r="BH199" s="22">
        <v>4049800</v>
      </c>
      <c r="BI199" s="22">
        <v>3239200</v>
      </c>
      <c r="BJ199" s="22">
        <v>3849200</v>
      </c>
      <c r="BK199" s="22">
        <v>4370200</v>
      </c>
      <c r="BL199" s="22">
        <v>4629800</v>
      </c>
    </row>
    <row r="200" spans="1:64" ht="15.95" customHeight="1">
      <c r="A200" s="433" t="s">
        <v>454</v>
      </c>
      <c r="B200" s="49" t="s">
        <v>66</v>
      </c>
      <c r="C200" s="53">
        <f>_xll.RssMarket("5801","出来高")</f>
        <v>2674600</v>
      </c>
      <c r="D200" s="16">
        <f t="shared" si="3"/>
        <v>0</v>
      </c>
      <c r="E200" s="22">
        <v>2674600</v>
      </c>
      <c r="F200" s="22">
        <v>4207400</v>
      </c>
      <c r="G200" s="22">
        <v>3507500</v>
      </c>
      <c r="H200" s="22">
        <v>3374700</v>
      </c>
      <c r="I200" s="22">
        <v>4182300</v>
      </c>
      <c r="J200" s="22">
        <v>3207900</v>
      </c>
      <c r="K200" s="22">
        <v>3419500</v>
      </c>
      <c r="L200" s="22">
        <v>3007600</v>
      </c>
      <c r="M200" s="22">
        <v>4785700</v>
      </c>
      <c r="N200" s="22">
        <v>4460000</v>
      </c>
      <c r="O200" s="22">
        <v>8510100</v>
      </c>
      <c r="P200" s="22">
        <v>5229200</v>
      </c>
      <c r="Q200" s="22">
        <v>4660400</v>
      </c>
      <c r="R200" s="22">
        <v>4214900</v>
      </c>
      <c r="S200" s="22">
        <v>4380900</v>
      </c>
      <c r="T200" s="22">
        <v>4704200</v>
      </c>
      <c r="U200" s="22">
        <v>8837900</v>
      </c>
      <c r="V200" s="22">
        <v>5244400</v>
      </c>
      <c r="W200" s="22">
        <v>7286300</v>
      </c>
      <c r="X200" s="22">
        <v>6507600</v>
      </c>
      <c r="Y200" s="22">
        <v>7181700</v>
      </c>
      <c r="Z200" s="22">
        <v>12098100</v>
      </c>
      <c r="AA200" s="22">
        <v>7139800</v>
      </c>
      <c r="AB200" s="22">
        <v>3737100</v>
      </c>
      <c r="AC200" s="22">
        <v>3737100</v>
      </c>
      <c r="AD200" s="22">
        <v>4847500</v>
      </c>
      <c r="AE200" s="22">
        <v>5132900</v>
      </c>
      <c r="AF200" s="22">
        <v>2534500</v>
      </c>
      <c r="AG200" s="22">
        <v>3259100</v>
      </c>
      <c r="AH200" s="22">
        <v>4178900</v>
      </c>
      <c r="AI200" s="22">
        <v>3141200</v>
      </c>
      <c r="AJ200" s="22">
        <v>2946900</v>
      </c>
      <c r="AK200" s="22">
        <v>4730100</v>
      </c>
      <c r="AL200" s="22">
        <v>3642700</v>
      </c>
      <c r="AM200" s="22">
        <v>4770700</v>
      </c>
      <c r="AN200" s="22">
        <v>4669600</v>
      </c>
      <c r="AO200" s="22">
        <v>5629300</v>
      </c>
      <c r="AP200" s="22">
        <v>6181000</v>
      </c>
      <c r="AQ200" s="22">
        <v>6674100</v>
      </c>
      <c r="AR200" s="22">
        <v>7978700</v>
      </c>
      <c r="AS200" s="22">
        <v>10187600</v>
      </c>
      <c r="AT200" s="22">
        <v>10544100</v>
      </c>
      <c r="AU200" s="22">
        <v>13310100</v>
      </c>
      <c r="AV200" s="22">
        <v>10586900</v>
      </c>
      <c r="AW200" s="22">
        <v>8801300</v>
      </c>
      <c r="AX200" s="22">
        <v>9808200</v>
      </c>
      <c r="AY200" s="22">
        <v>12149200</v>
      </c>
      <c r="AZ200" s="22">
        <v>11356700</v>
      </c>
      <c r="BA200" s="22">
        <v>8973300</v>
      </c>
      <c r="BB200" s="22">
        <v>9232600</v>
      </c>
      <c r="BC200" s="22">
        <v>10524900</v>
      </c>
      <c r="BD200" s="22">
        <v>9578100</v>
      </c>
      <c r="BE200" s="22">
        <v>6757600</v>
      </c>
      <c r="BF200" s="22">
        <v>6469100</v>
      </c>
      <c r="BG200" s="22">
        <v>6708100</v>
      </c>
      <c r="BH200" s="22">
        <v>7140000</v>
      </c>
      <c r="BI200" s="22">
        <v>5600800</v>
      </c>
      <c r="BJ200" s="22">
        <v>6942700</v>
      </c>
      <c r="BK200" s="22">
        <v>9034900</v>
      </c>
      <c r="BL200" s="22">
        <v>9522900</v>
      </c>
    </row>
    <row r="201" spans="1:64" ht="15.95" customHeight="1">
      <c r="A201" s="433" t="s">
        <v>455</v>
      </c>
      <c r="B201" s="49" t="s">
        <v>67</v>
      </c>
      <c r="C201" s="53">
        <f>_xll.RssMarket("6506","出来高")</f>
        <v>3737200</v>
      </c>
      <c r="D201" s="16">
        <f t="shared" si="3"/>
        <v>0</v>
      </c>
      <c r="E201" s="22">
        <v>3737200</v>
      </c>
      <c r="F201" s="22">
        <v>3809000</v>
      </c>
      <c r="G201" s="22">
        <v>5692100</v>
      </c>
      <c r="H201" s="22">
        <v>4916300</v>
      </c>
      <c r="I201" s="22">
        <v>5702100</v>
      </c>
      <c r="J201" s="22">
        <v>5556000</v>
      </c>
      <c r="K201" s="22">
        <v>3216000</v>
      </c>
      <c r="L201" s="22">
        <v>3867000</v>
      </c>
      <c r="M201" s="22">
        <v>5348300</v>
      </c>
      <c r="N201" s="22">
        <v>6224500</v>
      </c>
      <c r="O201" s="22">
        <v>5006500</v>
      </c>
      <c r="P201" s="22">
        <v>4257400</v>
      </c>
      <c r="Q201" s="22">
        <v>4518800</v>
      </c>
      <c r="R201" s="22">
        <v>6412300</v>
      </c>
      <c r="S201" s="22">
        <v>5793800</v>
      </c>
      <c r="T201" s="22">
        <v>6346300</v>
      </c>
      <c r="U201" s="22">
        <v>5051900</v>
      </c>
      <c r="V201" s="22">
        <v>5789600</v>
      </c>
      <c r="W201" s="22">
        <v>5649200</v>
      </c>
      <c r="X201" s="22">
        <v>6836600</v>
      </c>
      <c r="Y201" s="22">
        <v>7171200</v>
      </c>
      <c r="Z201" s="22">
        <v>4650800</v>
      </c>
      <c r="AA201" s="22">
        <v>7924400</v>
      </c>
      <c r="AB201" s="22">
        <v>6630500</v>
      </c>
      <c r="AC201" s="22">
        <v>6630500</v>
      </c>
      <c r="AD201" s="22">
        <v>6573200</v>
      </c>
      <c r="AE201" s="22">
        <v>5212500</v>
      </c>
      <c r="AF201" s="22">
        <v>3308100</v>
      </c>
      <c r="AG201" s="22">
        <v>5521200</v>
      </c>
      <c r="AH201" s="22">
        <v>4048200</v>
      </c>
      <c r="AI201" s="22">
        <v>6906800</v>
      </c>
      <c r="AJ201" s="22">
        <v>2579300</v>
      </c>
      <c r="AK201" s="22">
        <v>3738500</v>
      </c>
      <c r="AL201" s="22">
        <v>3711700</v>
      </c>
      <c r="AM201" s="22">
        <v>5182700</v>
      </c>
      <c r="AN201" s="22">
        <v>5490400</v>
      </c>
      <c r="AO201" s="22">
        <v>3829100</v>
      </c>
      <c r="AP201" s="22">
        <v>3929700</v>
      </c>
      <c r="AQ201" s="22">
        <v>4705900</v>
      </c>
      <c r="AR201" s="22">
        <v>5694400</v>
      </c>
      <c r="AS201" s="22">
        <v>14998000</v>
      </c>
      <c r="AT201" s="22">
        <v>5917600</v>
      </c>
      <c r="AU201" s="22">
        <v>3206700</v>
      </c>
      <c r="AV201" s="22">
        <v>4567600</v>
      </c>
      <c r="AW201" s="22">
        <v>2228800</v>
      </c>
      <c r="AX201" s="22">
        <v>2549300</v>
      </c>
      <c r="AY201" s="22">
        <v>1829700</v>
      </c>
      <c r="AZ201" s="22">
        <v>3117400</v>
      </c>
      <c r="BA201" s="22">
        <v>2936000</v>
      </c>
      <c r="BB201" s="22">
        <v>3192200</v>
      </c>
      <c r="BC201" s="22">
        <v>3313900</v>
      </c>
      <c r="BD201" s="22">
        <v>2513800</v>
      </c>
      <c r="BE201" s="22">
        <v>2218400</v>
      </c>
      <c r="BF201" s="22">
        <v>2821700</v>
      </c>
      <c r="BG201" s="22">
        <v>3692500</v>
      </c>
      <c r="BH201" s="22">
        <v>3258300</v>
      </c>
      <c r="BI201" s="22">
        <v>2287600</v>
      </c>
      <c r="BJ201" s="22">
        <v>2319400</v>
      </c>
      <c r="BK201" s="22">
        <v>2336500</v>
      </c>
      <c r="BL201" s="22">
        <v>4187900</v>
      </c>
    </row>
    <row r="202" spans="1:64" ht="15.95" customHeight="1">
      <c r="A202" s="433" t="s">
        <v>456</v>
      </c>
      <c r="B202" s="49" t="s">
        <v>68</v>
      </c>
      <c r="C202" s="53">
        <f>_xll.RssMarket("2768","出来高")</f>
        <v>845400</v>
      </c>
      <c r="D202" s="16">
        <f t="shared" si="3"/>
        <v>0</v>
      </c>
      <c r="E202" s="22">
        <v>845400</v>
      </c>
      <c r="F202" s="22">
        <v>1211900</v>
      </c>
      <c r="G202" s="22">
        <v>1287100</v>
      </c>
      <c r="H202" s="22">
        <v>1453000</v>
      </c>
      <c r="I202" s="22">
        <v>1037600</v>
      </c>
      <c r="J202" s="22">
        <v>1187000</v>
      </c>
      <c r="K202" s="22">
        <v>916900</v>
      </c>
      <c r="L202" s="22">
        <v>1060700</v>
      </c>
      <c r="M202" s="22">
        <v>1413900</v>
      </c>
      <c r="N202" s="22">
        <v>1401900</v>
      </c>
      <c r="O202" s="22">
        <v>1601300</v>
      </c>
      <c r="P202" s="22">
        <v>1528000</v>
      </c>
      <c r="Q202" s="22">
        <v>932400</v>
      </c>
      <c r="R202" s="22">
        <v>1000400</v>
      </c>
      <c r="S202" s="22">
        <v>1130300</v>
      </c>
      <c r="T202" s="22">
        <v>1158300</v>
      </c>
      <c r="U202" s="22">
        <v>1392100</v>
      </c>
      <c r="V202" s="22">
        <v>1117500</v>
      </c>
      <c r="W202" s="22">
        <v>1064200</v>
      </c>
      <c r="X202" s="22">
        <v>1102500</v>
      </c>
      <c r="Y202" s="22">
        <v>1326600</v>
      </c>
      <c r="Z202" s="22">
        <v>1639100</v>
      </c>
      <c r="AA202" s="22">
        <v>1426400</v>
      </c>
      <c r="AB202" s="22">
        <v>1635800</v>
      </c>
      <c r="AC202" s="22">
        <v>1635800</v>
      </c>
      <c r="AD202" s="22">
        <v>3723800</v>
      </c>
      <c r="AE202" s="22">
        <v>5461800</v>
      </c>
      <c r="AF202" s="22">
        <v>9120400</v>
      </c>
      <c r="AG202" s="22">
        <v>1335200</v>
      </c>
      <c r="AH202" s="22">
        <v>1091700</v>
      </c>
      <c r="AI202" s="22">
        <v>1010000</v>
      </c>
      <c r="AJ202" s="22">
        <v>721700</v>
      </c>
      <c r="AK202" s="22">
        <v>1027500</v>
      </c>
      <c r="AL202" s="22">
        <v>1037200</v>
      </c>
      <c r="AM202" s="22">
        <v>744000</v>
      </c>
      <c r="AN202" s="22">
        <v>994000</v>
      </c>
      <c r="AO202" s="22">
        <v>1128400</v>
      </c>
      <c r="AP202" s="22">
        <v>930300</v>
      </c>
      <c r="AQ202" s="22">
        <v>1463700</v>
      </c>
      <c r="AR202" s="22">
        <v>1679800</v>
      </c>
      <c r="AS202" s="22">
        <v>930900</v>
      </c>
      <c r="AT202" s="22">
        <v>1219900</v>
      </c>
      <c r="AU202" s="22">
        <v>1308700</v>
      </c>
      <c r="AV202" s="22">
        <v>1912400</v>
      </c>
      <c r="AW202" s="22">
        <v>843300</v>
      </c>
      <c r="AX202" s="22">
        <v>1031300</v>
      </c>
      <c r="AY202" s="22">
        <v>949000</v>
      </c>
      <c r="AZ202" s="22">
        <v>1582800</v>
      </c>
      <c r="BA202" s="22">
        <v>1359100</v>
      </c>
      <c r="BB202" s="22">
        <v>1514600</v>
      </c>
      <c r="BC202" s="22">
        <v>1707200</v>
      </c>
      <c r="BD202" s="22">
        <v>1258100</v>
      </c>
      <c r="BE202" s="22">
        <v>1392900</v>
      </c>
      <c r="BF202" s="22">
        <v>1330200</v>
      </c>
      <c r="BG202" s="22">
        <v>2080300</v>
      </c>
      <c r="BH202" s="22">
        <v>2492700</v>
      </c>
      <c r="BI202" s="22">
        <v>2063000</v>
      </c>
      <c r="BJ202" s="22">
        <v>2074400</v>
      </c>
      <c r="BK202" s="22">
        <v>2549900</v>
      </c>
      <c r="BL202" s="22">
        <v>1806900</v>
      </c>
    </row>
    <row r="203" spans="1:64" ht="15.95" customHeight="1">
      <c r="A203" s="433" t="s">
        <v>457</v>
      </c>
      <c r="B203" s="49" t="s">
        <v>69</v>
      </c>
      <c r="C203" s="53">
        <f>_xll.RssMarket("6305","出来高")</f>
        <v>1061100</v>
      </c>
      <c r="D203" s="16">
        <f t="shared" si="3"/>
        <v>0</v>
      </c>
      <c r="E203" s="22">
        <v>1061100</v>
      </c>
      <c r="F203" s="22">
        <v>546300</v>
      </c>
      <c r="G203" s="22">
        <v>1125300</v>
      </c>
      <c r="H203" s="22">
        <v>968000</v>
      </c>
      <c r="I203" s="22">
        <v>1117000</v>
      </c>
      <c r="J203" s="22">
        <v>959500</v>
      </c>
      <c r="K203" s="22">
        <v>1076700</v>
      </c>
      <c r="L203" s="22">
        <v>713000</v>
      </c>
      <c r="M203" s="22">
        <v>1194600</v>
      </c>
      <c r="N203" s="22">
        <v>1222500</v>
      </c>
      <c r="O203" s="22">
        <v>1575900</v>
      </c>
      <c r="P203" s="22">
        <v>1163100</v>
      </c>
      <c r="Q203" s="22">
        <v>2016800</v>
      </c>
      <c r="R203" s="22">
        <v>1999200</v>
      </c>
      <c r="S203" s="22">
        <v>1186500</v>
      </c>
      <c r="T203" s="22">
        <v>944400</v>
      </c>
      <c r="U203" s="22">
        <v>1732000</v>
      </c>
      <c r="V203" s="22">
        <v>1085100</v>
      </c>
      <c r="W203" s="22">
        <v>2053400</v>
      </c>
      <c r="X203" s="22">
        <v>1570800</v>
      </c>
      <c r="Y203" s="22">
        <v>2341200</v>
      </c>
      <c r="Z203" s="22">
        <v>4500300</v>
      </c>
      <c r="AA203" s="22">
        <v>1624900</v>
      </c>
      <c r="AB203" s="22">
        <v>940900</v>
      </c>
      <c r="AC203" s="22">
        <v>940900</v>
      </c>
      <c r="AD203" s="22">
        <v>1532800</v>
      </c>
      <c r="AE203" s="22">
        <v>1493800</v>
      </c>
      <c r="AF203" s="22">
        <v>751400</v>
      </c>
      <c r="AG203" s="22">
        <v>1517800</v>
      </c>
      <c r="AH203" s="22">
        <v>1474700</v>
      </c>
      <c r="AI203" s="22">
        <v>1690900</v>
      </c>
      <c r="AJ203" s="22">
        <v>1031600</v>
      </c>
      <c r="AK203" s="22">
        <v>1166000</v>
      </c>
      <c r="AL203" s="22">
        <v>572900</v>
      </c>
      <c r="AM203" s="22">
        <v>690100</v>
      </c>
      <c r="AN203" s="22">
        <v>760600</v>
      </c>
      <c r="AO203" s="22">
        <v>1311700</v>
      </c>
      <c r="AP203" s="22">
        <v>807300</v>
      </c>
      <c r="AQ203" s="22">
        <v>688800</v>
      </c>
      <c r="AR203" s="22">
        <v>730500</v>
      </c>
      <c r="AS203" s="22">
        <v>563400</v>
      </c>
      <c r="AT203" s="22">
        <v>781900</v>
      </c>
      <c r="AU203" s="22">
        <v>621600</v>
      </c>
      <c r="AV203" s="22">
        <v>1319800</v>
      </c>
      <c r="AW203" s="22">
        <v>633100</v>
      </c>
      <c r="AX203" s="22">
        <v>520300</v>
      </c>
      <c r="AY203" s="22">
        <v>429400</v>
      </c>
      <c r="AZ203" s="22">
        <v>724100</v>
      </c>
      <c r="BA203" s="22">
        <v>910000</v>
      </c>
      <c r="BB203" s="22">
        <v>1134700</v>
      </c>
      <c r="BC203" s="22">
        <v>760500</v>
      </c>
      <c r="BD203" s="22">
        <v>730800</v>
      </c>
      <c r="BE203" s="22">
        <v>720100</v>
      </c>
      <c r="BF203" s="22">
        <v>812400</v>
      </c>
      <c r="BG203" s="22">
        <v>922200</v>
      </c>
      <c r="BH203" s="22">
        <v>1061900</v>
      </c>
      <c r="BI203" s="22">
        <v>910000</v>
      </c>
      <c r="BJ203" s="22">
        <v>796800</v>
      </c>
      <c r="BK203" s="22">
        <v>822500</v>
      </c>
      <c r="BL203" s="22">
        <v>833600</v>
      </c>
    </row>
    <row r="204" spans="1:64" ht="15.95" customHeight="1">
      <c r="A204" s="433" t="s">
        <v>458</v>
      </c>
      <c r="B204" s="49" t="s">
        <v>70</v>
      </c>
      <c r="C204" s="53">
        <f>_xll.RssMarket("8015","出来高")</f>
        <v>1409400</v>
      </c>
      <c r="D204" s="16">
        <f t="shared" si="3"/>
        <v>0</v>
      </c>
      <c r="E204" s="22">
        <v>1409400</v>
      </c>
      <c r="F204" s="22">
        <v>1549700</v>
      </c>
      <c r="G204" s="22">
        <v>3366300</v>
      </c>
      <c r="H204" s="22">
        <v>1943300</v>
      </c>
      <c r="I204" s="22">
        <v>2496400</v>
      </c>
      <c r="J204" s="22">
        <v>2198000</v>
      </c>
      <c r="K204" s="22">
        <v>1620600</v>
      </c>
      <c r="L204" s="22">
        <v>1785300</v>
      </c>
      <c r="M204" s="22">
        <v>1733200</v>
      </c>
      <c r="N204" s="22">
        <v>2229200</v>
      </c>
      <c r="O204" s="22">
        <v>8257400</v>
      </c>
      <c r="P204" s="22">
        <v>2614500</v>
      </c>
      <c r="Q204" s="22">
        <v>2807700</v>
      </c>
      <c r="R204" s="22">
        <v>2000800</v>
      </c>
      <c r="S204" s="22">
        <v>2521300</v>
      </c>
      <c r="T204" s="22">
        <v>2172800</v>
      </c>
      <c r="U204" s="22">
        <v>2307500</v>
      </c>
      <c r="V204" s="22">
        <v>2265200</v>
      </c>
      <c r="W204" s="22">
        <v>2132700</v>
      </c>
      <c r="X204" s="22">
        <v>2944300</v>
      </c>
      <c r="Y204" s="22">
        <v>2687000</v>
      </c>
      <c r="Z204" s="22">
        <v>2832700</v>
      </c>
      <c r="AA204" s="22">
        <v>3005900</v>
      </c>
      <c r="AB204" s="22">
        <v>3050300</v>
      </c>
      <c r="AC204" s="22">
        <v>3050300</v>
      </c>
      <c r="AD204" s="22">
        <v>3476600</v>
      </c>
      <c r="AE204" s="22">
        <v>4626500</v>
      </c>
      <c r="AF204" s="22">
        <v>7293200</v>
      </c>
      <c r="AG204" s="22">
        <v>6712000</v>
      </c>
      <c r="AH204" s="22">
        <v>2281700</v>
      </c>
      <c r="AI204" s="22">
        <v>2062800</v>
      </c>
      <c r="AJ204" s="22">
        <v>1419500</v>
      </c>
      <c r="AK204" s="22">
        <v>1791800</v>
      </c>
      <c r="AL204" s="22">
        <v>2524100</v>
      </c>
      <c r="AM204" s="22">
        <v>1322400</v>
      </c>
      <c r="AN204" s="22">
        <v>1530300</v>
      </c>
      <c r="AO204" s="22">
        <v>1847800</v>
      </c>
      <c r="AP204" s="22">
        <v>1756500</v>
      </c>
      <c r="AQ204" s="22">
        <v>2235200</v>
      </c>
      <c r="AR204" s="22">
        <v>1442300</v>
      </c>
      <c r="AS204" s="22">
        <v>1794200</v>
      </c>
      <c r="AT204" s="22">
        <v>2607200</v>
      </c>
      <c r="AU204" s="22">
        <v>3368300</v>
      </c>
      <c r="AV204" s="22">
        <v>3223200</v>
      </c>
      <c r="AW204" s="22">
        <v>1513200</v>
      </c>
      <c r="AX204" s="22">
        <v>1670100</v>
      </c>
      <c r="AY204" s="22">
        <v>1521300</v>
      </c>
      <c r="AZ204" s="22">
        <v>2316500</v>
      </c>
      <c r="BA204" s="22">
        <v>2444000</v>
      </c>
      <c r="BB204" s="22">
        <v>3128300</v>
      </c>
      <c r="BC204" s="22">
        <v>2412500</v>
      </c>
      <c r="BD204" s="22">
        <v>1913300</v>
      </c>
      <c r="BE204" s="22">
        <v>2173000</v>
      </c>
      <c r="BF204" s="22">
        <v>1810100</v>
      </c>
      <c r="BG204" s="22">
        <v>3176400</v>
      </c>
      <c r="BH204" s="22">
        <v>4457900</v>
      </c>
      <c r="BI204" s="22">
        <v>2132000</v>
      </c>
      <c r="BJ204" s="22">
        <v>1269400</v>
      </c>
      <c r="BK204" s="22">
        <v>1612100</v>
      </c>
      <c r="BL204" s="22">
        <v>2590400</v>
      </c>
    </row>
    <row r="205" spans="1:64" ht="19.5">
      <c r="A205" s="433" t="s">
        <v>459</v>
      </c>
      <c r="B205" s="49" t="s">
        <v>71</v>
      </c>
      <c r="C205" s="53">
        <f>_xll.RssMarket("6758","出来高")</f>
        <v>13386100</v>
      </c>
      <c r="D205" s="16">
        <f t="shared" si="3"/>
        <v>0</v>
      </c>
      <c r="E205" s="2">
        <v>13386100</v>
      </c>
      <c r="F205" s="2">
        <v>18017000</v>
      </c>
      <c r="G205" s="2">
        <v>28052300</v>
      </c>
      <c r="H205" s="2">
        <v>14530400</v>
      </c>
      <c r="I205" s="2">
        <v>15986300</v>
      </c>
      <c r="J205" s="2">
        <v>16837100</v>
      </c>
      <c r="K205" s="2">
        <v>13768900</v>
      </c>
      <c r="L205" s="2">
        <v>19404500</v>
      </c>
      <c r="M205" s="2">
        <v>17219400</v>
      </c>
      <c r="N205" s="2">
        <v>24443600</v>
      </c>
      <c r="O205" s="2">
        <v>47099000</v>
      </c>
      <c r="P205" s="2">
        <v>24395600</v>
      </c>
      <c r="Q205" s="2">
        <v>17554500</v>
      </c>
      <c r="R205" s="2">
        <v>16838300</v>
      </c>
      <c r="S205" s="2">
        <v>17093600</v>
      </c>
      <c r="T205" s="2">
        <v>19732200</v>
      </c>
      <c r="U205" s="2">
        <v>21952200</v>
      </c>
      <c r="V205" s="2">
        <v>24762000</v>
      </c>
      <c r="W205" s="2">
        <v>21945800</v>
      </c>
      <c r="X205" s="2">
        <v>31904000</v>
      </c>
      <c r="Y205" s="2">
        <v>39152200</v>
      </c>
      <c r="Z205" s="2">
        <v>52422900</v>
      </c>
      <c r="AA205" s="2">
        <v>39212300</v>
      </c>
      <c r="AB205" s="2">
        <v>57094400</v>
      </c>
      <c r="AC205" s="2">
        <v>57094400</v>
      </c>
      <c r="AD205" s="2">
        <v>3476600</v>
      </c>
      <c r="AE205" s="2">
        <v>4626500</v>
      </c>
      <c r="AF205" s="2">
        <v>7293200</v>
      </c>
      <c r="AG205" s="2">
        <v>6712000</v>
      </c>
      <c r="AH205" s="2">
        <v>2281700</v>
      </c>
      <c r="AI205" s="2">
        <v>2062800</v>
      </c>
      <c r="AJ205" s="2">
        <v>1419500</v>
      </c>
      <c r="AK205" s="2">
        <v>1791800</v>
      </c>
      <c r="AL205" s="2">
        <v>2524100</v>
      </c>
      <c r="AM205" s="2">
        <v>1322400</v>
      </c>
      <c r="AN205" s="2">
        <v>1530300</v>
      </c>
      <c r="AO205" s="2">
        <v>1847800</v>
      </c>
      <c r="AP205" s="2">
        <v>1756500</v>
      </c>
      <c r="AQ205" s="2">
        <v>2235200</v>
      </c>
      <c r="AR205" s="2">
        <v>1442300</v>
      </c>
      <c r="AS205" s="2">
        <v>1794200</v>
      </c>
      <c r="AT205" s="2">
        <v>2607200</v>
      </c>
      <c r="AU205" s="2">
        <v>3368300</v>
      </c>
      <c r="AV205" s="2">
        <v>3223200</v>
      </c>
      <c r="AW205" s="2">
        <v>1513200</v>
      </c>
      <c r="AX205" s="2">
        <v>1670100</v>
      </c>
      <c r="AY205" s="2">
        <v>1521300</v>
      </c>
      <c r="AZ205" s="2">
        <v>2316500</v>
      </c>
      <c r="BA205" s="2">
        <v>2444000</v>
      </c>
      <c r="BB205" s="2">
        <v>3128300</v>
      </c>
      <c r="BC205" s="2">
        <v>2412500</v>
      </c>
      <c r="BD205" s="2">
        <v>1913300</v>
      </c>
      <c r="BE205" s="2">
        <v>2173000</v>
      </c>
      <c r="BF205" s="2">
        <v>1810100</v>
      </c>
      <c r="BG205" s="2">
        <v>3176400</v>
      </c>
      <c r="BH205" s="2">
        <v>4457900</v>
      </c>
      <c r="BI205" s="2">
        <v>2132000</v>
      </c>
      <c r="BJ205" s="2">
        <v>1269400</v>
      </c>
      <c r="BK205" s="2">
        <v>1612100</v>
      </c>
      <c r="BL205" s="2">
        <v>2590400</v>
      </c>
    </row>
    <row r="206" spans="1:64" ht="19.5">
      <c r="A206" s="433" t="s">
        <v>460</v>
      </c>
      <c r="B206" s="49" t="s">
        <v>72</v>
      </c>
      <c r="C206" s="53">
        <f>_xll.RssMarket("9101","出来高")</f>
        <v>3087700</v>
      </c>
      <c r="D206" s="16">
        <f t="shared" si="3"/>
        <v>0</v>
      </c>
      <c r="E206" s="2">
        <v>3087700</v>
      </c>
      <c r="F206" s="2">
        <v>2759500</v>
      </c>
      <c r="G206" s="2">
        <v>2897900</v>
      </c>
      <c r="H206" s="2">
        <v>3087500</v>
      </c>
      <c r="I206" s="2">
        <v>3425200</v>
      </c>
      <c r="J206" s="2">
        <v>3590500</v>
      </c>
      <c r="K206" s="2">
        <v>3669900</v>
      </c>
      <c r="L206" s="2">
        <v>3586500</v>
      </c>
      <c r="M206" s="2">
        <v>2636200</v>
      </c>
      <c r="N206" s="2">
        <v>3293100</v>
      </c>
      <c r="O206" s="2">
        <v>5564400</v>
      </c>
      <c r="P206" s="2">
        <v>3047300</v>
      </c>
      <c r="Q206" s="2">
        <v>2536000</v>
      </c>
      <c r="R206" s="2">
        <v>1536100</v>
      </c>
      <c r="S206" s="2">
        <v>2306300</v>
      </c>
      <c r="T206" s="2">
        <v>2756900</v>
      </c>
      <c r="U206" s="2">
        <v>3547300</v>
      </c>
      <c r="V206" s="2">
        <v>2940400</v>
      </c>
      <c r="W206" s="2">
        <v>3399800</v>
      </c>
      <c r="X206" s="2">
        <v>2941000</v>
      </c>
      <c r="Y206" s="2">
        <v>3425900</v>
      </c>
      <c r="Z206" s="2">
        <v>3088100</v>
      </c>
      <c r="AA206" s="2">
        <v>3697600</v>
      </c>
      <c r="AB206" s="2">
        <v>5919900</v>
      </c>
      <c r="AC206" s="2">
        <v>5919900</v>
      </c>
      <c r="AD206" s="2">
        <v>3219800</v>
      </c>
      <c r="AE206" s="2">
        <v>3463300</v>
      </c>
      <c r="AF206" s="2">
        <v>2028700</v>
      </c>
      <c r="AG206" s="2">
        <v>4249800</v>
      </c>
      <c r="AH206" s="2">
        <v>5034800</v>
      </c>
      <c r="AI206" s="2">
        <v>3251700</v>
      </c>
      <c r="AJ206" s="2">
        <v>2105000</v>
      </c>
      <c r="AK206" s="2">
        <v>2030600</v>
      </c>
      <c r="AL206" s="2">
        <v>1926500</v>
      </c>
      <c r="AM206" s="2">
        <v>2083700</v>
      </c>
      <c r="AN206" s="2">
        <v>2926200</v>
      </c>
      <c r="AO206" s="2">
        <v>2475000</v>
      </c>
      <c r="AP206" s="2">
        <v>2748200</v>
      </c>
      <c r="AQ206" s="2">
        <v>3255600</v>
      </c>
      <c r="AR206" s="2">
        <v>2896500</v>
      </c>
      <c r="AS206" s="2">
        <v>2893600</v>
      </c>
      <c r="AT206" s="2">
        <v>3595000</v>
      </c>
      <c r="AU206" s="2">
        <v>4448200</v>
      </c>
      <c r="AV206" s="2">
        <v>8523800</v>
      </c>
      <c r="AW206" s="2">
        <v>3391300</v>
      </c>
      <c r="AX206" s="2">
        <v>4323600</v>
      </c>
      <c r="AY206" s="2">
        <v>3473900</v>
      </c>
      <c r="AZ206" s="2">
        <v>5748700</v>
      </c>
      <c r="BA206" s="2">
        <v>5859700</v>
      </c>
      <c r="BB206" s="2">
        <v>4709800</v>
      </c>
      <c r="BC206" s="2">
        <v>4586900</v>
      </c>
      <c r="BD206" s="2">
        <v>3604900</v>
      </c>
      <c r="BE206" s="2">
        <v>4216900</v>
      </c>
      <c r="BF206" s="2">
        <v>4213000</v>
      </c>
      <c r="BG206" s="2">
        <v>6504600</v>
      </c>
      <c r="BH206" s="2">
        <v>7944900</v>
      </c>
      <c r="BI206" s="2">
        <v>7812600</v>
      </c>
      <c r="BJ206" s="2">
        <v>6797800</v>
      </c>
      <c r="BK206" s="2">
        <v>3065000</v>
      </c>
      <c r="BL206" s="2">
        <v>4119600</v>
      </c>
    </row>
    <row r="207" spans="1:64" s="83" customFormat="1" ht="18.75" customHeight="1">
      <c r="A207" s="434" t="s">
        <v>461</v>
      </c>
      <c r="B207" s="83" t="s">
        <v>73</v>
      </c>
      <c r="C207" s="84">
        <f>_xll.RssMarket("7011","出来高")</f>
        <v>23776900</v>
      </c>
      <c r="D207" s="85">
        <f t="shared" si="3"/>
        <v>0</v>
      </c>
      <c r="E207" s="84">
        <v>23776900</v>
      </c>
      <c r="F207" s="84">
        <v>27316000</v>
      </c>
      <c r="G207" s="84">
        <v>19580500</v>
      </c>
      <c r="H207" s="84">
        <v>18083000</v>
      </c>
      <c r="I207" s="84">
        <v>17683400</v>
      </c>
      <c r="J207" s="84">
        <v>23310400</v>
      </c>
      <c r="K207" s="84">
        <v>23427800</v>
      </c>
      <c r="L207" s="84">
        <v>28144900</v>
      </c>
      <c r="M207" s="84">
        <v>30658500</v>
      </c>
      <c r="N207" s="84">
        <v>35355900</v>
      </c>
      <c r="O207" s="84">
        <v>34158900</v>
      </c>
      <c r="P207" s="84">
        <v>25450500</v>
      </c>
      <c r="Q207" s="84">
        <v>19574600</v>
      </c>
      <c r="R207" s="84">
        <v>25805000</v>
      </c>
      <c r="S207" s="84">
        <v>22773500</v>
      </c>
      <c r="T207" s="84">
        <v>28538600</v>
      </c>
      <c r="U207" s="84">
        <v>20144300</v>
      </c>
      <c r="V207" s="84">
        <v>20535500</v>
      </c>
      <c r="W207" s="84">
        <v>21740700</v>
      </c>
      <c r="X207" s="84">
        <v>26236100</v>
      </c>
      <c r="Y207" s="84">
        <v>38699900</v>
      </c>
      <c r="Z207" s="84">
        <v>33182600</v>
      </c>
      <c r="AA207" s="84">
        <v>57855600</v>
      </c>
      <c r="AB207" s="84">
        <v>23392400</v>
      </c>
      <c r="AC207" s="84">
        <v>23392400</v>
      </c>
      <c r="AD207" s="84">
        <v>25209200</v>
      </c>
      <c r="AE207" s="84">
        <v>32023200</v>
      </c>
      <c r="AF207" s="84">
        <v>13366800</v>
      </c>
      <c r="AG207" s="84">
        <v>26836400</v>
      </c>
      <c r="AH207" s="84">
        <v>19210500</v>
      </c>
      <c r="AI207" s="84">
        <v>18063900</v>
      </c>
      <c r="AJ207" s="84">
        <v>18264500</v>
      </c>
      <c r="AK207" s="84">
        <v>32997300</v>
      </c>
      <c r="AL207" s="84">
        <v>20727400</v>
      </c>
      <c r="AM207" s="84">
        <v>21954100</v>
      </c>
      <c r="AN207" s="84">
        <v>22506500</v>
      </c>
      <c r="AO207" s="84">
        <v>24317700</v>
      </c>
      <c r="AP207" s="84">
        <v>23321000</v>
      </c>
      <c r="AQ207" s="84">
        <v>27484500</v>
      </c>
      <c r="AR207" s="84">
        <v>16995600</v>
      </c>
      <c r="AS207" s="84">
        <v>16322800</v>
      </c>
      <c r="AT207" s="84">
        <v>17911100</v>
      </c>
      <c r="AU207" s="84">
        <v>20132600</v>
      </c>
      <c r="AV207" s="84">
        <v>33031900</v>
      </c>
      <c r="AW207" s="84">
        <v>18352100</v>
      </c>
      <c r="AX207" s="84">
        <v>17781700</v>
      </c>
      <c r="AY207" s="84">
        <v>17897500</v>
      </c>
      <c r="AZ207" s="84">
        <v>34583700</v>
      </c>
      <c r="BA207" s="84">
        <v>22456000</v>
      </c>
      <c r="BB207" s="84">
        <v>27883300</v>
      </c>
      <c r="BC207" s="84">
        <v>22423400</v>
      </c>
      <c r="BD207" s="84">
        <v>16565600</v>
      </c>
      <c r="BE207" s="84">
        <v>23369500</v>
      </c>
      <c r="BF207" s="84">
        <v>33310900</v>
      </c>
      <c r="BG207" s="84">
        <v>36873600</v>
      </c>
      <c r="BH207" s="84">
        <v>22002700</v>
      </c>
      <c r="BI207" s="84">
        <v>21953400</v>
      </c>
      <c r="BJ207" s="84">
        <v>21835100</v>
      </c>
      <c r="BK207" s="84">
        <v>17307900</v>
      </c>
      <c r="BL207" s="84">
        <v>22271300</v>
      </c>
    </row>
    <row r="208" spans="1:64" s="83" customFormat="1" ht="18.75" customHeight="1">
      <c r="A208" s="434" t="s">
        <v>462</v>
      </c>
      <c r="B208" s="83" t="s">
        <v>74</v>
      </c>
      <c r="C208" s="84">
        <f>_xll.RssMarket("1812","出来高")</f>
        <v>2120900</v>
      </c>
      <c r="D208" s="85">
        <f t="shared" si="3"/>
        <v>0</v>
      </c>
      <c r="E208" s="84">
        <v>2120900</v>
      </c>
      <c r="F208" s="84">
        <v>3189500</v>
      </c>
      <c r="G208" s="84">
        <v>2249700</v>
      </c>
      <c r="H208" s="84">
        <v>1707200</v>
      </c>
      <c r="I208" s="84">
        <v>1766400</v>
      </c>
      <c r="J208" s="84">
        <v>1937100</v>
      </c>
      <c r="K208" s="84">
        <v>1611200</v>
      </c>
      <c r="L208" s="84">
        <v>2037700</v>
      </c>
      <c r="M208" s="84">
        <v>2219400</v>
      </c>
      <c r="N208" s="84">
        <v>2511600</v>
      </c>
      <c r="O208" s="84">
        <v>4340100</v>
      </c>
      <c r="P208" s="84">
        <v>1567000</v>
      </c>
      <c r="Q208" s="84">
        <v>2389000</v>
      </c>
      <c r="R208" s="84">
        <v>2011400</v>
      </c>
      <c r="S208" s="84">
        <v>2021800</v>
      </c>
      <c r="T208" s="84">
        <v>1547000</v>
      </c>
      <c r="U208" s="84">
        <v>2811700</v>
      </c>
      <c r="V208" s="84">
        <v>2571800</v>
      </c>
      <c r="W208" s="84">
        <v>3416400</v>
      </c>
      <c r="X208" s="84">
        <v>3296500</v>
      </c>
      <c r="Y208" s="84">
        <v>4741300</v>
      </c>
      <c r="Z208" s="84">
        <v>3133000</v>
      </c>
      <c r="AA208" s="84">
        <v>4706400</v>
      </c>
      <c r="AB208" s="84">
        <v>2150900</v>
      </c>
      <c r="AC208" s="84">
        <v>2150900</v>
      </c>
      <c r="AD208" s="84">
        <v>2296300</v>
      </c>
      <c r="AE208" s="84">
        <v>2648400</v>
      </c>
      <c r="AF208" s="84">
        <v>1719800</v>
      </c>
      <c r="AG208" s="84">
        <v>3756200</v>
      </c>
      <c r="AH208" s="84">
        <v>3609800</v>
      </c>
      <c r="AI208" s="84">
        <v>1799400</v>
      </c>
      <c r="AJ208" s="84">
        <v>1594000</v>
      </c>
      <c r="AK208" s="84">
        <v>2224800</v>
      </c>
      <c r="AL208" s="84">
        <v>2241400</v>
      </c>
      <c r="AM208" s="84">
        <v>1798800</v>
      </c>
      <c r="AN208" s="84">
        <v>1861100</v>
      </c>
      <c r="AO208" s="84">
        <v>2574400</v>
      </c>
      <c r="AP208" s="84">
        <v>1720600</v>
      </c>
      <c r="AQ208" s="84">
        <v>1275400</v>
      </c>
      <c r="AR208" s="84">
        <v>1198200</v>
      </c>
      <c r="AS208" s="84">
        <v>1441700</v>
      </c>
      <c r="AT208" s="84">
        <v>1461300</v>
      </c>
      <c r="AU208" s="84">
        <v>1919000</v>
      </c>
      <c r="AV208" s="84">
        <v>2285000</v>
      </c>
      <c r="AW208" s="84">
        <v>1384200</v>
      </c>
      <c r="AX208" s="84">
        <v>1173400</v>
      </c>
      <c r="AY208" s="84">
        <v>1060600</v>
      </c>
      <c r="AZ208" s="84">
        <v>1770300</v>
      </c>
      <c r="BA208" s="84">
        <v>2047700</v>
      </c>
      <c r="BB208" s="84">
        <v>2665500</v>
      </c>
      <c r="BC208" s="84">
        <v>1605500</v>
      </c>
      <c r="BD208" s="84">
        <v>1439100</v>
      </c>
      <c r="BE208" s="84">
        <v>2050700</v>
      </c>
      <c r="BF208" s="84">
        <v>1850900</v>
      </c>
      <c r="BG208" s="84">
        <v>2736000</v>
      </c>
      <c r="BH208" s="84">
        <v>3358200</v>
      </c>
      <c r="BI208" s="84">
        <v>1313700</v>
      </c>
      <c r="BJ208" s="84">
        <v>1604700</v>
      </c>
      <c r="BK208" s="84">
        <v>2078200</v>
      </c>
      <c r="BL208" s="84">
        <v>2340600</v>
      </c>
    </row>
    <row r="209" spans="1:64" s="83" customFormat="1" ht="18.75" customHeight="1">
      <c r="A209" s="434" t="s">
        <v>488</v>
      </c>
      <c r="B209" s="83" t="str">
        <f>銘柄管理!C209</f>
        <v>キーエンス</v>
      </c>
      <c r="C209" s="84">
        <f>_xll.RssMarket("6861","出来高")</f>
        <v>659800</v>
      </c>
      <c r="D209" s="85">
        <f t="shared" si="3"/>
        <v>0</v>
      </c>
      <c r="E209" s="84">
        <v>659800</v>
      </c>
      <c r="F209" s="84">
        <v>492400</v>
      </c>
      <c r="G209" s="84">
        <v>836300</v>
      </c>
      <c r="H209" s="84">
        <v>626100</v>
      </c>
      <c r="I209" s="84">
        <v>612800</v>
      </c>
      <c r="J209" s="84">
        <v>727500</v>
      </c>
      <c r="K209" s="84">
        <v>417000</v>
      </c>
      <c r="L209" s="84">
        <v>529600</v>
      </c>
      <c r="M209" s="84">
        <v>546400</v>
      </c>
      <c r="N209" s="84">
        <v>592800</v>
      </c>
      <c r="O209" s="84">
        <v>1485600</v>
      </c>
      <c r="P209" s="84">
        <v>637100</v>
      </c>
      <c r="Q209" s="84">
        <v>766700</v>
      </c>
      <c r="R209" s="84">
        <v>578600</v>
      </c>
      <c r="S209" s="84">
        <v>869400</v>
      </c>
      <c r="T209" s="84">
        <v>783100</v>
      </c>
      <c r="U209" s="84">
        <v>964400</v>
      </c>
      <c r="V209" s="84">
        <v>543000</v>
      </c>
      <c r="W209" s="84">
        <v>612500</v>
      </c>
      <c r="X209" s="84">
        <v>666600</v>
      </c>
      <c r="Y209" s="84">
        <v>866400</v>
      </c>
      <c r="Z209" s="84">
        <v>642400</v>
      </c>
      <c r="AA209" s="84">
        <v>1113700</v>
      </c>
      <c r="AB209" s="84">
        <v>1114000</v>
      </c>
      <c r="AC209" s="84">
        <v>1114000</v>
      </c>
      <c r="AD209" s="84">
        <v>1695500</v>
      </c>
      <c r="AE209" s="84">
        <v>2252600</v>
      </c>
      <c r="AF209" s="84">
        <v>1667000</v>
      </c>
      <c r="AG209" s="84">
        <v>1491600</v>
      </c>
      <c r="AH209" s="84">
        <v>2805500</v>
      </c>
      <c r="AI209" s="84">
        <v>1157900</v>
      </c>
      <c r="AJ209" s="84">
        <v>735200</v>
      </c>
      <c r="AK209" s="84">
        <v>759800</v>
      </c>
      <c r="AL209" s="84">
        <v>746600</v>
      </c>
      <c r="AM209" s="84">
        <v>876300</v>
      </c>
      <c r="AN209" s="84">
        <v>692100</v>
      </c>
      <c r="AO209" s="84">
        <v>525100</v>
      </c>
      <c r="AP209" s="84">
        <v>536900</v>
      </c>
      <c r="AQ209" s="84">
        <v>695500</v>
      </c>
      <c r="AR209" s="84">
        <v>751900</v>
      </c>
      <c r="AS209" s="84">
        <v>957000</v>
      </c>
      <c r="AT209" s="84">
        <v>688500</v>
      </c>
      <c r="AU209" s="84">
        <v>813800</v>
      </c>
      <c r="AV209" s="84">
        <v>861500</v>
      </c>
      <c r="AW209" s="84">
        <v>349700</v>
      </c>
      <c r="AX209" s="84">
        <v>454500</v>
      </c>
      <c r="AY209" s="84">
        <v>314800</v>
      </c>
      <c r="AZ209" s="84">
        <v>504900</v>
      </c>
      <c r="BA209" s="84">
        <v>712800</v>
      </c>
      <c r="BB209" s="84">
        <v>936100</v>
      </c>
      <c r="BC209" s="84">
        <v>796500</v>
      </c>
      <c r="BD209" s="84">
        <v>489800</v>
      </c>
      <c r="BE209" s="84">
        <v>520900</v>
      </c>
      <c r="BF209" s="84">
        <v>510100</v>
      </c>
      <c r="BG209" s="84">
        <v>826900</v>
      </c>
      <c r="BH209" s="84">
        <v>698200</v>
      </c>
      <c r="BI209" s="84">
        <v>442800</v>
      </c>
      <c r="BJ209" s="84">
        <v>496700</v>
      </c>
      <c r="BK209" s="84">
        <v>665200</v>
      </c>
      <c r="BL209" s="84">
        <v>937100</v>
      </c>
    </row>
    <row r="210" spans="1:64" s="83" customFormat="1" ht="18.75" customHeight="1">
      <c r="A210" s="434" t="s">
        <v>463</v>
      </c>
      <c r="B210" s="83" t="s">
        <v>75</v>
      </c>
      <c r="C210" s="84">
        <f>_xll.RssMarket("6324","出来高")</f>
        <v>1930000</v>
      </c>
      <c r="D210" s="85">
        <f t="shared" si="3"/>
        <v>0</v>
      </c>
      <c r="E210" s="84">
        <v>1930000</v>
      </c>
      <c r="F210" s="84">
        <v>1234800</v>
      </c>
      <c r="G210" s="84">
        <v>1375700</v>
      </c>
      <c r="H210" s="84">
        <v>1320000</v>
      </c>
      <c r="I210" s="84">
        <v>2016000</v>
      </c>
      <c r="J210" s="84">
        <v>2627000</v>
      </c>
      <c r="K210" s="84">
        <v>1708900</v>
      </c>
      <c r="L210" s="84">
        <v>1989400</v>
      </c>
      <c r="M210" s="84">
        <v>1616200</v>
      </c>
      <c r="N210" s="84">
        <v>2729400</v>
      </c>
      <c r="O210" s="84">
        <v>1663800</v>
      </c>
      <c r="P210" s="84">
        <v>1654400</v>
      </c>
      <c r="Q210" s="84">
        <v>1817400</v>
      </c>
      <c r="R210" s="84">
        <v>1849300</v>
      </c>
      <c r="S210" s="84">
        <v>1907200</v>
      </c>
      <c r="T210" s="84">
        <v>1534900</v>
      </c>
      <c r="U210" s="84">
        <v>1680400</v>
      </c>
      <c r="V210" s="84">
        <v>3468300</v>
      </c>
      <c r="W210" s="84">
        <v>1684000</v>
      </c>
      <c r="X210" s="84">
        <v>3213500</v>
      </c>
      <c r="Y210" s="84">
        <v>5545500</v>
      </c>
      <c r="Z210" s="84">
        <v>3123000</v>
      </c>
      <c r="AA210" s="84">
        <v>1716200</v>
      </c>
      <c r="AB210" s="84">
        <v>1981700</v>
      </c>
      <c r="AC210" s="84">
        <v>1981700</v>
      </c>
      <c r="AD210" s="84">
        <v>2170200</v>
      </c>
      <c r="AE210" s="84">
        <v>1617200</v>
      </c>
      <c r="AF210" s="84">
        <v>1245100</v>
      </c>
      <c r="AG210" s="84">
        <v>2526800</v>
      </c>
      <c r="AH210" s="84">
        <v>1778700</v>
      </c>
      <c r="AI210" s="84">
        <v>3690800</v>
      </c>
      <c r="AJ210" s="84">
        <v>667900</v>
      </c>
      <c r="AK210" s="84">
        <v>979000</v>
      </c>
      <c r="AL210" s="84">
        <v>972800</v>
      </c>
      <c r="AM210" s="84">
        <v>1114800</v>
      </c>
      <c r="AN210" s="84">
        <v>1151600</v>
      </c>
      <c r="AO210" s="84">
        <v>1368200</v>
      </c>
      <c r="AP210" s="84">
        <v>3199400</v>
      </c>
      <c r="AQ210" s="84">
        <v>1790000</v>
      </c>
      <c r="AR210" s="84">
        <v>1070600</v>
      </c>
      <c r="AS210" s="84">
        <v>1436300</v>
      </c>
      <c r="AT210" s="84">
        <v>1063800</v>
      </c>
      <c r="AU210" s="84">
        <v>1104400</v>
      </c>
      <c r="AV210" s="84">
        <v>1561900</v>
      </c>
      <c r="AW210" s="84">
        <v>744000</v>
      </c>
      <c r="AX210" s="84">
        <v>840300</v>
      </c>
      <c r="AY210" s="84">
        <v>1028000</v>
      </c>
      <c r="AZ210" s="84">
        <v>1602700</v>
      </c>
      <c r="BA210" s="84">
        <v>1399400</v>
      </c>
      <c r="BB210" s="84">
        <v>5838500</v>
      </c>
      <c r="BC210" s="84">
        <v>865000</v>
      </c>
      <c r="BD210" s="84">
        <v>1203200</v>
      </c>
      <c r="BE210" s="84">
        <v>1105500</v>
      </c>
      <c r="BF210" s="84">
        <v>1122900</v>
      </c>
      <c r="BG210" s="84">
        <v>2264000</v>
      </c>
      <c r="BH210" s="84">
        <v>1279400</v>
      </c>
      <c r="BI210" s="84">
        <v>882000</v>
      </c>
      <c r="BJ210" s="84">
        <v>1324800</v>
      </c>
      <c r="BK210" s="84">
        <v>1010500</v>
      </c>
      <c r="BL210" s="84">
        <v>802700</v>
      </c>
    </row>
    <row r="211" spans="1:64" s="83" customFormat="1" ht="18.75" customHeight="1">
      <c r="A211" s="434" t="s">
        <v>464</v>
      </c>
      <c r="B211" s="83" t="s">
        <v>76</v>
      </c>
      <c r="C211" s="84">
        <f>_xll.RssMarket("6273","出来高")</f>
        <v>330200</v>
      </c>
      <c r="D211" s="85">
        <f t="shared" si="3"/>
        <v>0</v>
      </c>
      <c r="E211" s="84">
        <v>330200</v>
      </c>
      <c r="F211" s="84">
        <v>275900</v>
      </c>
      <c r="G211" s="84">
        <v>429200</v>
      </c>
      <c r="H211" s="84">
        <v>362200</v>
      </c>
      <c r="I211" s="84">
        <v>252700</v>
      </c>
      <c r="J211" s="84">
        <v>315700</v>
      </c>
      <c r="K211" s="84">
        <v>253800</v>
      </c>
      <c r="L211" s="84">
        <v>274600</v>
      </c>
      <c r="M211" s="84">
        <v>331900</v>
      </c>
      <c r="N211" s="84">
        <v>300300</v>
      </c>
      <c r="O211" s="84">
        <v>731100</v>
      </c>
      <c r="P211" s="84">
        <v>465100</v>
      </c>
      <c r="Q211" s="84">
        <v>379000</v>
      </c>
      <c r="R211" s="84">
        <v>499800</v>
      </c>
      <c r="S211" s="84">
        <v>510000</v>
      </c>
      <c r="T211" s="84">
        <v>348300</v>
      </c>
      <c r="U211" s="84">
        <v>533300</v>
      </c>
      <c r="V211" s="84">
        <v>434500</v>
      </c>
      <c r="W211" s="84">
        <v>539400</v>
      </c>
      <c r="X211" s="84">
        <v>1165400</v>
      </c>
      <c r="Y211" s="84">
        <v>768900</v>
      </c>
      <c r="Z211" s="84">
        <v>285800</v>
      </c>
      <c r="AA211" s="84">
        <v>333000</v>
      </c>
      <c r="AB211" s="84">
        <v>381900</v>
      </c>
      <c r="AC211" s="84">
        <v>381900</v>
      </c>
      <c r="AD211" s="84">
        <v>491200</v>
      </c>
      <c r="AE211" s="84">
        <v>594200</v>
      </c>
      <c r="AF211" s="84">
        <v>386500</v>
      </c>
      <c r="AG211" s="84">
        <v>595700</v>
      </c>
      <c r="AH211" s="84">
        <v>553000</v>
      </c>
      <c r="AI211" s="84">
        <v>676600</v>
      </c>
      <c r="AJ211" s="84">
        <v>212400</v>
      </c>
      <c r="AK211" s="84">
        <v>222200</v>
      </c>
      <c r="AL211" s="84">
        <v>203200</v>
      </c>
      <c r="AM211" s="84">
        <v>144800</v>
      </c>
      <c r="AN211" s="84">
        <v>192600</v>
      </c>
      <c r="AO211" s="84">
        <v>299600</v>
      </c>
      <c r="AP211" s="84">
        <v>291900</v>
      </c>
      <c r="AQ211" s="84">
        <v>248400</v>
      </c>
      <c r="AR211" s="84">
        <v>223400</v>
      </c>
      <c r="AS211" s="84">
        <v>333300</v>
      </c>
      <c r="AT211" s="84">
        <v>383600</v>
      </c>
      <c r="AU211" s="84">
        <v>456100</v>
      </c>
      <c r="AV211" s="84">
        <v>301700</v>
      </c>
      <c r="AW211" s="84">
        <v>153300</v>
      </c>
      <c r="AX211" s="84">
        <v>144600</v>
      </c>
      <c r="AY211" s="84">
        <v>124400</v>
      </c>
      <c r="AZ211" s="84">
        <v>269200</v>
      </c>
      <c r="BA211" s="84">
        <v>258900</v>
      </c>
      <c r="BB211" s="84">
        <v>373000</v>
      </c>
      <c r="BC211" s="84">
        <v>443800</v>
      </c>
      <c r="BD211" s="84">
        <v>186800</v>
      </c>
      <c r="BE211" s="84">
        <v>205400</v>
      </c>
      <c r="BF211" s="84">
        <v>331800</v>
      </c>
      <c r="BG211" s="84">
        <v>483100</v>
      </c>
      <c r="BH211" s="84">
        <v>328400</v>
      </c>
      <c r="BI211" s="84">
        <v>145800</v>
      </c>
      <c r="BJ211" s="84">
        <v>156600</v>
      </c>
      <c r="BK211" s="84">
        <v>292300</v>
      </c>
      <c r="BL211" s="84">
        <v>331900</v>
      </c>
    </row>
    <row r="212" spans="1:64" s="83" customFormat="1" ht="18.75" customHeight="1">
      <c r="A212" s="434" t="s">
        <v>465</v>
      </c>
      <c r="B212" s="83" t="s">
        <v>77</v>
      </c>
      <c r="C212" s="84">
        <f>_xll.RssMarket("4502","出来高")</f>
        <v>3890400</v>
      </c>
      <c r="D212" s="85">
        <f t="shared" si="3"/>
        <v>0</v>
      </c>
      <c r="E212" s="84">
        <v>3890400</v>
      </c>
      <c r="F212" s="84">
        <v>3072600</v>
      </c>
      <c r="G212" s="84">
        <v>4711800</v>
      </c>
      <c r="H212" s="84">
        <v>2623200</v>
      </c>
      <c r="I212" s="84">
        <v>4145900</v>
      </c>
      <c r="J212" s="84">
        <v>4621900</v>
      </c>
      <c r="K212" s="84">
        <v>4448200</v>
      </c>
      <c r="L212" s="84">
        <v>4360600</v>
      </c>
      <c r="M212" s="84">
        <v>5041600</v>
      </c>
      <c r="N212" s="84">
        <v>5212500</v>
      </c>
      <c r="O212" s="84">
        <v>7712000</v>
      </c>
      <c r="P212" s="84">
        <v>3797500</v>
      </c>
      <c r="Q212" s="84">
        <v>3687000</v>
      </c>
      <c r="R212" s="84">
        <v>3811800</v>
      </c>
      <c r="S212" s="84">
        <v>3742400</v>
      </c>
      <c r="T212" s="84">
        <v>3251600</v>
      </c>
      <c r="U212" s="84">
        <v>4328700</v>
      </c>
      <c r="V212" s="84">
        <v>4414600</v>
      </c>
      <c r="W212" s="84">
        <v>3372900</v>
      </c>
      <c r="X212" s="84">
        <v>5258600</v>
      </c>
      <c r="Y212" s="84">
        <v>5453200</v>
      </c>
      <c r="Z212" s="84">
        <v>3887700</v>
      </c>
      <c r="AA212" s="84">
        <v>3103900</v>
      </c>
      <c r="AB212" s="84">
        <v>4684400</v>
      </c>
      <c r="AC212" s="84">
        <v>4684400</v>
      </c>
      <c r="AD212" s="84">
        <v>5448900</v>
      </c>
      <c r="AE212" s="84">
        <v>6380200</v>
      </c>
      <c r="AF212" s="84">
        <v>2628900</v>
      </c>
      <c r="AG212" s="84">
        <v>5930400</v>
      </c>
      <c r="AH212" s="84">
        <v>3363300</v>
      </c>
      <c r="AI212" s="84">
        <v>3749900</v>
      </c>
      <c r="AJ212" s="84">
        <v>2389900</v>
      </c>
      <c r="AK212" s="84">
        <v>3932200</v>
      </c>
      <c r="AL212" s="84">
        <v>4930100</v>
      </c>
      <c r="AM212" s="84">
        <v>3375600</v>
      </c>
      <c r="AN212" s="84">
        <v>3105300</v>
      </c>
      <c r="AO212" s="84">
        <v>5111600</v>
      </c>
      <c r="AP212" s="84">
        <v>3812900</v>
      </c>
      <c r="AQ212" s="84">
        <v>3779900</v>
      </c>
      <c r="AR212" s="84">
        <v>3179400</v>
      </c>
      <c r="AS212" s="84">
        <v>4180100</v>
      </c>
      <c r="AT212" s="84">
        <v>4293400</v>
      </c>
      <c r="AU212" s="84">
        <v>5222200</v>
      </c>
      <c r="AV212" s="84">
        <v>5197100</v>
      </c>
      <c r="AW212" s="84">
        <v>3898700</v>
      </c>
      <c r="AX212" s="84">
        <v>2326500</v>
      </c>
      <c r="AY212" s="84">
        <v>2269900</v>
      </c>
      <c r="AZ212" s="84">
        <v>4584000</v>
      </c>
      <c r="BA212" s="84">
        <v>6100500</v>
      </c>
      <c r="BB212" s="84">
        <v>6439900</v>
      </c>
      <c r="BC212" s="84">
        <v>5940800</v>
      </c>
      <c r="BD212" s="84">
        <v>3651500</v>
      </c>
      <c r="BE212" s="84">
        <v>4521900</v>
      </c>
      <c r="BF212" s="84">
        <v>3192300</v>
      </c>
      <c r="BG212" s="84">
        <v>5922600</v>
      </c>
      <c r="BH212" s="84">
        <v>7029100</v>
      </c>
      <c r="BI212" s="84">
        <v>3873700</v>
      </c>
      <c r="BJ212" s="84">
        <v>3854600</v>
      </c>
      <c r="BK212" s="84">
        <v>5565800</v>
      </c>
      <c r="BL212" s="84">
        <v>4109300</v>
      </c>
    </row>
    <row r="213" spans="1:64" s="83" customFormat="1" ht="18.75" customHeight="1">
      <c r="A213" s="434" t="s">
        <v>466</v>
      </c>
      <c r="B213" s="83" t="s">
        <v>78</v>
      </c>
      <c r="C213" s="84">
        <f>_xll.RssMarket("4004","出来高")</f>
        <v>2611900</v>
      </c>
      <c r="D213" s="85">
        <f t="shared" si="3"/>
        <v>0</v>
      </c>
      <c r="E213" s="84">
        <v>2611900</v>
      </c>
      <c r="F213" s="84">
        <v>4365600</v>
      </c>
      <c r="G213" s="84">
        <v>4261100</v>
      </c>
      <c r="H213" s="84">
        <v>3786500</v>
      </c>
      <c r="I213" s="84">
        <v>2931600</v>
      </c>
      <c r="J213" s="84">
        <v>3666000</v>
      </c>
      <c r="K213" s="84">
        <v>2100000</v>
      </c>
      <c r="L213" s="84">
        <v>2720300</v>
      </c>
      <c r="M213" s="84">
        <v>3537100</v>
      </c>
      <c r="N213" s="84">
        <v>3219800</v>
      </c>
      <c r="O213" s="84">
        <v>14244600</v>
      </c>
      <c r="P213" s="84">
        <v>4344800</v>
      </c>
      <c r="Q213" s="84">
        <v>3310100</v>
      </c>
      <c r="R213" s="84">
        <v>4334200</v>
      </c>
      <c r="S213" s="84">
        <v>4156900</v>
      </c>
      <c r="T213" s="84">
        <v>4153300</v>
      </c>
      <c r="U213" s="84">
        <v>2929800</v>
      </c>
      <c r="V213" s="84">
        <v>3039700</v>
      </c>
      <c r="W213" s="84">
        <v>3620100</v>
      </c>
      <c r="X213" s="84">
        <v>4930400</v>
      </c>
      <c r="Y213" s="84">
        <v>7539400</v>
      </c>
      <c r="Z213" s="84">
        <v>4870500</v>
      </c>
      <c r="AA213" s="84">
        <v>4272400</v>
      </c>
      <c r="AB213" s="84">
        <v>3987800</v>
      </c>
      <c r="AC213" s="84">
        <v>3987800</v>
      </c>
      <c r="AD213" s="84">
        <v>2827400</v>
      </c>
      <c r="AE213" s="84">
        <v>4158600</v>
      </c>
      <c r="AF213" s="84">
        <v>1771800</v>
      </c>
      <c r="AG213" s="84">
        <v>2221600</v>
      </c>
      <c r="AH213" s="84">
        <v>2085700</v>
      </c>
      <c r="AI213" s="84">
        <v>2354700</v>
      </c>
      <c r="AJ213" s="84">
        <v>3952800</v>
      </c>
      <c r="AK213" s="84">
        <v>3961500</v>
      </c>
      <c r="AL213" s="84">
        <v>5223800</v>
      </c>
      <c r="AM213" s="84">
        <v>2825800</v>
      </c>
      <c r="AN213" s="84">
        <v>1539300</v>
      </c>
      <c r="AO213" s="84">
        <v>2094100</v>
      </c>
      <c r="AP213" s="84">
        <v>1422700</v>
      </c>
      <c r="AQ213" s="84">
        <v>2680600</v>
      </c>
      <c r="AR213" s="84">
        <v>2121800</v>
      </c>
      <c r="AS213" s="84">
        <v>2217900</v>
      </c>
      <c r="AT213" s="84">
        <v>2357200</v>
      </c>
      <c r="AU213" s="84">
        <v>3320100</v>
      </c>
      <c r="AV213" s="84">
        <v>3556800</v>
      </c>
      <c r="AW213" s="84">
        <v>2394500</v>
      </c>
      <c r="AX213" s="84">
        <v>3355700</v>
      </c>
      <c r="AY213" s="84">
        <v>2668500</v>
      </c>
      <c r="AZ213" s="84">
        <v>3143700</v>
      </c>
      <c r="BA213" s="84">
        <v>2542400</v>
      </c>
      <c r="BB213" s="84">
        <v>2618400</v>
      </c>
      <c r="BC213" s="84">
        <v>2260600</v>
      </c>
      <c r="BD213" s="84">
        <v>2405000</v>
      </c>
      <c r="BE213" s="84">
        <v>2672700</v>
      </c>
      <c r="BF213" s="84">
        <v>3588900</v>
      </c>
      <c r="BG213" s="84">
        <v>2874900</v>
      </c>
      <c r="BH213" s="84">
        <v>2994600</v>
      </c>
      <c r="BI213" s="84">
        <v>2642300</v>
      </c>
      <c r="BJ213" s="84">
        <v>2659300</v>
      </c>
      <c r="BK213" s="84">
        <v>2273500</v>
      </c>
      <c r="BL213" s="84">
        <v>2811300</v>
      </c>
    </row>
    <row r="214" spans="1:64" s="83" customFormat="1" ht="18.75" customHeight="1">
      <c r="A214" s="434" t="s">
        <v>467</v>
      </c>
      <c r="B214" s="83" t="s">
        <v>79</v>
      </c>
      <c r="C214" s="84">
        <f>_xll.RssMarket("9519","出来高")</f>
        <v>787600</v>
      </c>
      <c r="D214" s="85">
        <f t="shared" si="3"/>
        <v>0</v>
      </c>
      <c r="E214" s="84">
        <v>787600</v>
      </c>
      <c r="F214" s="84">
        <v>692700</v>
      </c>
      <c r="G214" s="84">
        <v>573300</v>
      </c>
      <c r="H214" s="84">
        <v>821600</v>
      </c>
      <c r="I214" s="84">
        <v>1269200</v>
      </c>
      <c r="J214" s="84">
        <v>1475800</v>
      </c>
      <c r="K214" s="84">
        <v>1880600</v>
      </c>
      <c r="L214" s="84">
        <v>1440100</v>
      </c>
      <c r="M214" s="84">
        <v>1713400</v>
      </c>
      <c r="N214" s="84">
        <v>1749500</v>
      </c>
      <c r="O214" s="84">
        <v>1557800</v>
      </c>
      <c r="P214" s="84">
        <v>1330100</v>
      </c>
      <c r="Q214" s="84">
        <v>996700</v>
      </c>
      <c r="R214" s="84">
        <v>1204700</v>
      </c>
      <c r="S214" s="84">
        <v>1344500</v>
      </c>
      <c r="T214" s="84">
        <v>1505700</v>
      </c>
      <c r="U214" s="84">
        <v>1943400</v>
      </c>
      <c r="V214" s="84">
        <v>2372800</v>
      </c>
      <c r="W214" s="84">
        <v>1436000</v>
      </c>
      <c r="X214" s="84">
        <v>1571100</v>
      </c>
      <c r="Y214" s="84">
        <v>3271700</v>
      </c>
      <c r="Z214" s="84">
        <v>1402800</v>
      </c>
      <c r="AA214" s="84">
        <v>1475100</v>
      </c>
      <c r="AB214" s="84">
        <v>1555200</v>
      </c>
      <c r="AC214" s="84">
        <v>1555200</v>
      </c>
      <c r="AD214" s="84">
        <v>1523600</v>
      </c>
      <c r="AE214" s="84">
        <v>1249500</v>
      </c>
      <c r="AF214" s="84">
        <v>1396500</v>
      </c>
      <c r="AG214" s="84">
        <v>1578200</v>
      </c>
      <c r="AH214" s="84">
        <v>1958200</v>
      </c>
      <c r="AI214" s="84">
        <v>1730500</v>
      </c>
      <c r="AJ214" s="84">
        <v>2671100</v>
      </c>
      <c r="AK214" s="84">
        <v>1792400</v>
      </c>
      <c r="AL214" s="84">
        <v>1174700</v>
      </c>
      <c r="AM214" s="84">
        <v>1252800</v>
      </c>
      <c r="AN214" s="84">
        <v>2028900</v>
      </c>
      <c r="AO214" s="84">
        <v>2816500</v>
      </c>
      <c r="AP214" s="84">
        <v>2176400</v>
      </c>
      <c r="AQ214" s="84">
        <v>1621300</v>
      </c>
      <c r="AR214" s="84">
        <v>1829200</v>
      </c>
      <c r="AS214" s="84">
        <v>2196200</v>
      </c>
      <c r="AT214" s="84">
        <v>2138600</v>
      </c>
      <c r="AU214" s="84">
        <v>1953700</v>
      </c>
      <c r="AV214" s="84">
        <v>1876600</v>
      </c>
      <c r="AW214" s="84">
        <v>1723600</v>
      </c>
      <c r="AX214" s="84">
        <v>1002200</v>
      </c>
      <c r="AY214" s="84">
        <v>2482800</v>
      </c>
      <c r="AZ214" s="84">
        <v>1475700</v>
      </c>
      <c r="BA214" s="84">
        <v>1746800</v>
      </c>
      <c r="BB214" s="84">
        <v>4193200</v>
      </c>
      <c r="BC214" s="84">
        <v>1214900</v>
      </c>
      <c r="BD214" s="84">
        <v>690400</v>
      </c>
      <c r="BE214" s="84">
        <v>1056400</v>
      </c>
      <c r="BF214" s="84">
        <v>910700</v>
      </c>
      <c r="BG214" s="84">
        <v>2349400</v>
      </c>
      <c r="BH214" s="84">
        <v>1651600</v>
      </c>
      <c r="BI214" s="84">
        <v>1253400</v>
      </c>
      <c r="BJ214" s="84">
        <v>1633900</v>
      </c>
      <c r="BK214" s="84">
        <v>3015200</v>
      </c>
      <c r="BL214" s="84">
        <v>2039500</v>
      </c>
    </row>
    <row r="215" spans="1:64" s="83" customFormat="1" ht="18.75" customHeight="1">
      <c r="A215" s="434" t="s">
        <v>468</v>
      </c>
      <c r="B215" s="83" t="s">
        <v>80</v>
      </c>
      <c r="C215" s="84">
        <f>_xll.RssMarket("6752","出来高")</f>
        <v>12296100</v>
      </c>
      <c r="D215" s="85">
        <f t="shared" si="3"/>
        <v>0</v>
      </c>
      <c r="E215" s="84">
        <v>12296100</v>
      </c>
      <c r="F215" s="84">
        <v>12023600</v>
      </c>
      <c r="G215" s="84">
        <v>16282100</v>
      </c>
      <c r="H215" s="84">
        <v>9323500</v>
      </c>
      <c r="I215" s="84">
        <v>14321600</v>
      </c>
      <c r="J215" s="84">
        <v>13293300</v>
      </c>
      <c r="K215" s="84">
        <v>10487900</v>
      </c>
      <c r="L215" s="84">
        <v>13402400</v>
      </c>
      <c r="M215" s="84">
        <v>16005500</v>
      </c>
      <c r="N215" s="84">
        <v>11490500</v>
      </c>
      <c r="O215" s="84">
        <v>22141600</v>
      </c>
      <c r="P215" s="84">
        <v>10582200</v>
      </c>
      <c r="Q215" s="84">
        <v>10089200</v>
      </c>
      <c r="R215" s="84">
        <v>11042100</v>
      </c>
      <c r="S215" s="84">
        <v>10734700</v>
      </c>
      <c r="T215" s="84">
        <v>9240900</v>
      </c>
      <c r="U215" s="84">
        <v>8845800</v>
      </c>
      <c r="V215" s="84">
        <v>6087000</v>
      </c>
      <c r="W215" s="84">
        <v>7607300</v>
      </c>
      <c r="X215" s="84">
        <v>14918100</v>
      </c>
      <c r="Y215" s="84">
        <v>13884900</v>
      </c>
      <c r="Z215" s="84">
        <v>14747200</v>
      </c>
      <c r="AA215" s="84">
        <v>11139600</v>
      </c>
      <c r="AB215" s="84">
        <v>11236300</v>
      </c>
      <c r="AC215" s="84">
        <v>11236300</v>
      </c>
      <c r="AD215" s="84">
        <v>11707600</v>
      </c>
      <c r="AE215" s="84">
        <v>17088700</v>
      </c>
      <c r="AF215" s="84">
        <v>12213500</v>
      </c>
      <c r="AG215" s="84">
        <v>14720800</v>
      </c>
      <c r="AH215" s="84">
        <v>7892400</v>
      </c>
      <c r="AI215" s="84">
        <v>13460700</v>
      </c>
      <c r="AJ215" s="84">
        <v>8440700</v>
      </c>
      <c r="AK215" s="84">
        <v>9092000</v>
      </c>
      <c r="AL215" s="84">
        <v>6724200</v>
      </c>
      <c r="AM215" s="84">
        <v>9019000</v>
      </c>
      <c r="AN215" s="84">
        <v>8048600</v>
      </c>
      <c r="AO215" s="84">
        <v>8182500</v>
      </c>
      <c r="AP215" s="84">
        <v>8106200</v>
      </c>
      <c r="AQ215" s="84">
        <v>7239700</v>
      </c>
      <c r="AR215" s="84">
        <v>8035400</v>
      </c>
      <c r="AS215" s="84">
        <v>5818900</v>
      </c>
      <c r="AT215" s="84">
        <v>9024600</v>
      </c>
      <c r="AU215" s="84">
        <v>11551100</v>
      </c>
      <c r="AV215" s="84">
        <v>12023300</v>
      </c>
      <c r="AW215" s="84">
        <v>8029600</v>
      </c>
      <c r="AX215" s="84">
        <v>5743100</v>
      </c>
      <c r="AY215" s="84">
        <v>5918600</v>
      </c>
      <c r="AZ215" s="84">
        <v>9531200</v>
      </c>
      <c r="BA215" s="84">
        <v>11963200</v>
      </c>
      <c r="BB215" s="84">
        <v>10835700</v>
      </c>
      <c r="BC215" s="84">
        <v>9725700</v>
      </c>
      <c r="BD215" s="84">
        <v>9350500</v>
      </c>
      <c r="BE215" s="84">
        <v>9213600</v>
      </c>
      <c r="BF215" s="84">
        <v>7120100</v>
      </c>
      <c r="BG215" s="84">
        <v>8440400</v>
      </c>
      <c r="BH215" s="84">
        <v>12098400</v>
      </c>
      <c r="BI215" s="84">
        <v>8246900</v>
      </c>
      <c r="BJ215" s="84">
        <v>8265700</v>
      </c>
      <c r="BK215" s="84">
        <v>7090800</v>
      </c>
      <c r="BL215" s="84">
        <v>7357600</v>
      </c>
    </row>
    <row r="216" spans="1:64" s="83" customFormat="1" ht="18.75" customHeight="1">
      <c r="A216" s="434" t="s">
        <v>469</v>
      </c>
      <c r="B216" s="83" t="s">
        <v>81</v>
      </c>
      <c r="C216" s="84">
        <f>_xll.RssMarket("6622","出来高")</f>
        <v>210700</v>
      </c>
      <c r="D216" s="85">
        <f t="shared" si="3"/>
        <v>0</v>
      </c>
      <c r="E216" s="84">
        <v>210700</v>
      </c>
      <c r="F216" s="84">
        <v>185400</v>
      </c>
      <c r="G216" s="84">
        <v>193400</v>
      </c>
      <c r="H216" s="84">
        <v>221800</v>
      </c>
      <c r="I216" s="84">
        <v>229700</v>
      </c>
      <c r="J216" s="84">
        <v>395800</v>
      </c>
      <c r="K216" s="84">
        <v>267200</v>
      </c>
      <c r="L216" s="84">
        <v>186700</v>
      </c>
      <c r="M216" s="84">
        <v>183800</v>
      </c>
      <c r="N216" s="84">
        <v>245500</v>
      </c>
      <c r="O216" s="84">
        <v>240800</v>
      </c>
      <c r="P216" s="84">
        <v>170400</v>
      </c>
      <c r="Q216" s="84">
        <v>172000</v>
      </c>
      <c r="R216" s="84">
        <v>222600</v>
      </c>
      <c r="S216" s="84">
        <v>198000</v>
      </c>
      <c r="T216" s="84">
        <v>207100</v>
      </c>
      <c r="U216" s="84">
        <v>275100</v>
      </c>
      <c r="V216" s="84">
        <v>231000</v>
      </c>
      <c r="W216" s="84">
        <v>154600</v>
      </c>
      <c r="X216" s="84">
        <v>237300</v>
      </c>
      <c r="Y216" s="84">
        <v>264100</v>
      </c>
      <c r="Z216" s="84">
        <v>268300</v>
      </c>
      <c r="AA216" s="84">
        <v>587900</v>
      </c>
      <c r="AB216" s="84">
        <v>423200</v>
      </c>
      <c r="AC216" s="84">
        <v>423200</v>
      </c>
      <c r="AD216" s="84">
        <v>272100</v>
      </c>
      <c r="AE216" s="84">
        <v>423200</v>
      </c>
      <c r="AF216" s="84">
        <v>366200</v>
      </c>
      <c r="AG216" s="84">
        <v>378400</v>
      </c>
      <c r="AH216" s="84">
        <v>188900</v>
      </c>
      <c r="AI216" s="84">
        <v>314200</v>
      </c>
      <c r="AJ216" s="84">
        <v>117300</v>
      </c>
      <c r="AK216" s="84">
        <v>152200</v>
      </c>
      <c r="AL216" s="84">
        <v>104600</v>
      </c>
      <c r="AM216" s="84">
        <v>76400</v>
      </c>
      <c r="AN216" s="84">
        <v>69900</v>
      </c>
      <c r="AO216" s="84">
        <v>97100</v>
      </c>
      <c r="AP216" s="84">
        <v>141500</v>
      </c>
      <c r="AQ216" s="84">
        <v>160200</v>
      </c>
      <c r="AR216" s="84">
        <v>160800</v>
      </c>
      <c r="AS216" s="84">
        <v>187300</v>
      </c>
      <c r="AT216" s="84">
        <v>234800</v>
      </c>
      <c r="AU216" s="84">
        <v>231000</v>
      </c>
      <c r="AV216" s="84">
        <v>329000</v>
      </c>
      <c r="AW216" s="84">
        <v>114700</v>
      </c>
      <c r="AX216" s="84">
        <v>193200</v>
      </c>
      <c r="AY216" s="84">
        <v>95200</v>
      </c>
      <c r="AZ216" s="84">
        <v>158300</v>
      </c>
      <c r="BA216" s="84">
        <v>222000</v>
      </c>
      <c r="BB216" s="84">
        <v>194300</v>
      </c>
      <c r="BC216" s="84">
        <v>208100</v>
      </c>
      <c r="BD216" s="84">
        <v>121300</v>
      </c>
      <c r="BE216" s="84">
        <v>109400</v>
      </c>
      <c r="BF216" s="84">
        <v>121800</v>
      </c>
      <c r="BG216" s="84">
        <v>232200</v>
      </c>
      <c r="BH216" s="84">
        <v>284000</v>
      </c>
      <c r="BI216" s="84">
        <v>160600</v>
      </c>
      <c r="BJ216" s="84">
        <v>87500</v>
      </c>
      <c r="BK216" s="84">
        <v>110100</v>
      </c>
      <c r="BL216" s="84">
        <v>183600</v>
      </c>
    </row>
    <row r="217" spans="1:64" s="83" customFormat="1" ht="18.75" customHeight="1">
      <c r="A217" s="434" t="s">
        <v>470</v>
      </c>
      <c r="B217" s="83" t="s">
        <v>82</v>
      </c>
      <c r="C217" s="84">
        <f>_xll.RssMarket("1407","出来高")</f>
        <v>332800</v>
      </c>
      <c r="D217" s="85">
        <f t="shared" si="3"/>
        <v>0</v>
      </c>
      <c r="E217" s="84">
        <v>332800</v>
      </c>
      <c r="F217" s="84">
        <v>408800</v>
      </c>
      <c r="G217" s="84">
        <v>450200</v>
      </c>
      <c r="H217" s="84">
        <v>663600</v>
      </c>
      <c r="I217" s="84">
        <v>639900</v>
      </c>
      <c r="J217" s="84">
        <v>458000</v>
      </c>
      <c r="K217" s="84">
        <v>735100</v>
      </c>
      <c r="L217" s="84">
        <v>596600</v>
      </c>
      <c r="M217" s="84">
        <v>632200</v>
      </c>
      <c r="N217" s="84">
        <v>857000</v>
      </c>
      <c r="O217" s="84">
        <v>1122600</v>
      </c>
      <c r="P217" s="84">
        <v>644200</v>
      </c>
      <c r="Q217" s="84">
        <v>661300</v>
      </c>
      <c r="R217" s="84">
        <v>511800</v>
      </c>
      <c r="S217" s="84">
        <v>733800</v>
      </c>
      <c r="T217" s="84">
        <v>907200</v>
      </c>
      <c r="U217" s="84">
        <v>794500</v>
      </c>
      <c r="V217" s="84">
        <v>684400</v>
      </c>
      <c r="W217" s="84">
        <v>467800</v>
      </c>
      <c r="X217" s="84">
        <v>609400</v>
      </c>
      <c r="Y217" s="84">
        <v>714300</v>
      </c>
      <c r="Z217" s="84">
        <v>694600</v>
      </c>
      <c r="AA217" s="84">
        <v>1153700</v>
      </c>
      <c r="AB217" s="84">
        <v>746600</v>
      </c>
      <c r="AC217" s="84">
        <v>746600</v>
      </c>
      <c r="AD217" s="84">
        <v>708400</v>
      </c>
      <c r="AE217" s="84">
        <v>1297000</v>
      </c>
      <c r="AF217" s="84">
        <v>1520300</v>
      </c>
      <c r="AG217" s="84">
        <v>1548900</v>
      </c>
      <c r="AH217" s="84">
        <v>885400</v>
      </c>
      <c r="AI217" s="84">
        <v>1610400</v>
      </c>
      <c r="AJ217" s="84">
        <v>1391900</v>
      </c>
      <c r="AK217" s="84">
        <v>1043700</v>
      </c>
      <c r="AL217" s="84">
        <v>549000</v>
      </c>
      <c r="AM217" s="84">
        <v>923400</v>
      </c>
      <c r="AN217" s="84">
        <v>996600</v>
      </c>
      <c r="AO217" s="84">
        <v>1357400</v>
      </c>
      <c r="AP217" s="84">
        <v>1902000</v>
      </c>
      <c r="AQ217" s="84">
        <v>2113400</v>
      </c>
      <c r="AR217" s="84">
        <v>1755400</v>
      </c>
      <c r="AS217" s="84">
        <v>750200</v>
      </c>
      <c r="AT217" s="84">
        <v>669900</v>
      </c>
      <c r="AU217" s="84">
        <v>395700</v>
      </c>
      <c r="AV217" s="84">
        <v>434700</v>
      </c>
      <c r="AW217" s="84">
        <v>393000</v>
      </c>
      <c r="AX217" s="84">
        <v>354600</v>
      </c>
      <c r="AY217" s="84">
        <v>451100</v>
      </c>
      <c r="AZ217" s="84">
        <v>371600</v>
      </c>
      <c r="BA217" s="84">
        <v>421400</v>
      </c>
      <c r="BB217" s="84">
        <v>979000</v>
      </c>
      <c r="BC217" s="84">
        <v>294800</v>
      </c>
      <c r="BD217" s="84">
        <v>376800</v>
      </c>
      <c r="BE217" s="84">
        <v>367700</v>
      </c>
      <c r="BF217" s="84">
        <v>566000</v>
      </c>
      <c r="BG217" s="84">
        <v>910300</v>
      </c>
      <c r="BH217" s="84">
        <v>910600</v>
      </c>
      <c r="BI217" s="84">
        <v>688600</v>
      </c>
      <c r="BJ217" s="84">
        <v>1429800</v>
      </c>
      <c r="BK217" s="84">
        <v>1586700</v>
      </c>
      <c r="BL217" s="84">
        <v>1492900</v>
      </c>
    </row>
    <row r="218" spans="1:64" s="83" customFormat="1" ht="18.75" customHeight="1">
      <c r="A218" s="434" t="s">
        <v>260</v>
      </c>
      <c r="B218" s="83" t="s">
        <v>259</v>
      </c>
      <c r="C218" s="84">
        <f>_xll.RssMarket("285A","出来高")</f>
        <v>28043300</v>
      </c>
      <c r="D218" s="85">
        <f t="shared" ref="D218:D281" si="4">C218-E218</f>
        <v>0</v>
      </c>
      <c r="E218" s="84">
        <v>28043300</v>
      </c>
      <c r="F218" s="84">
        <v>36218300</v>
      </c>
      <c r="G218" s="84">
        <v>38142700</v>
      </c>
      <c r="H218" s="84">
        <v>50578100</v>
      </c>
      <c r="I218" s="84">
        <v>39377200</v>
      </c>
      <c r="J218" s="84">
        <v>44666500</v>
      </c>
      <c r="K218" s="84">
        <v>36522900</v>
      </c>
      <c r="L218" s="84">
        <v>34757400</v>
      </c>
      <c r="M218" s="84">
        <v>43609900</v>
      </c>
      <c r="N218" s="84">
        <v>43759900</v>
      </c>
      <c r="O218" s="84">
        <v>42526500</v>
      </c>
      <c r="P218" s="84">
        <v>41659000</v>
      </c>
      <c r="Q218" s="84">
        <v>44939300</v>
      </c>
      <c r="R218" s="84">
        <v>38801400</v>
      </c>
      <c r="S218" s="84">
        <v>25359700</v>
      </c>
      <c r="T218" s="84">
        <v>55514600</v>
      </c>
      <c r="U218" s="84">
        <v>31479300</v>
      </c>
      <c r="V218" s="84">
        <v>50094200</v>
      </c>
      <c r="W218" s="84">
        <v>822500</v>
      </c>
      <c r="X218" s="84">
        <v>37961800</v>
      </c>
      <c r="Y218" s="84">
        <v>47858500</v>
      </c>
      <c r="Z218" s="84">
        <v>29747400</v>
      </c>
      <c r="AA218" s="84">
        <v>28465500</v>
      </c>
      <c r="AB218" s="84">
        <v>38790300</v>
      </c>
      <c r="AC218" s="84">
        <v>38790300</v>
      </c>
      <c r="AD218" s="84">
        <v>41407500</v>
      </c>
      <c r="AE218" s="84">
        <v>1272600</v>
      </c>
      <c r="AF218" s="84">
        <v>19165800</v>
      </c>
      <c r="AG218" s="84">
        <v>29168400</v>
      </c>
      <c r="AH218" s="84">
        <v>25822100</v>
      </c>
      <c r="AI218" s="84">
        <v>23623700</v>
      </c>
      <c r="AJ218" s="84">
        <v>26027500</v>
      </c>
      <c r="AK218" s="84">
        <v>37506500</v>
      </c>
      <c r="AL218" s="84">
        <v>33385900</v>
      </c>
      <c r="AM218" s="84">
        <v>25308700</v>
      </c>
      <c r="AN218" s="84">
        <v>34333100</v>
      </c>
      <c r="AO218" s="84">
        <v>43942400</v>
      </c>
      <c r="AP218" s="84">
        <v>46786500</v>
      </c>
      <c r="AQ218" s="84">
        <v>40950200</v>
      </c>
      <c r="AR218" s="84">
        <v>46069600</v>
      </c>
      <c r="AS218" s="84">
        <v>34739200</v>
      </c>
      <c r="AT218" s="84">
        <v>46551200</v>
      </c>
      <c r="AU218" s="84">
        <v>46924600</v>
      </c>
      <c r="AV218" s="84">
        <v>50405200</v>
      </c>
      <c r="AW218" s="84">
        <v>38777800</v>
      </c>
      <c r="AX218" s="84">
        <v>27927400</v>
      </c>
      <c r="AY218" s="84">
        <v>28862600</v>
      </c>
      <c r="AZ218" s="84">
        <v>45516500</v>
      </c>
      <c r="BA218" s="84">
        <v>34610900</v>
      </c>
      <c r="BB218" s="84">
        <v>30911800</v>
      </c>
      <c r="BC218" s="84">
        <v>37035800</v>
      </c>
      <c r="BD218" s="84">
        <v>34436500</v>
      </c>
      <c r="BE218" s="84">
        <v>34892500</v>
      </c>
      <c r="BF218" s="84">
        <v>51140900</v>
      </c>
      <c r="BG218" s="84">
        <v>37435300</v>
      </c>
      <c r="BH218" s="84">
        <v>37245300</v>
      </c>
      <c r="BI218" s="84">
        <v>40719000</v>
      </c>
      <c r="BJ218" s="84">
        <v>37429100</v>
      </c>
      <c r="BK218" s="84">
        <v>34598000</v>
      </c>
      <c r="BL218" s="84">
        <v>24786100</v>
      </c>
    </row>
    <row r="219" spans="1:64" s="83" customFormat="1" ht="18.75" customHeight="1">
      <c r="A219" s="434" t="s">
        <v>261</v>
      </c>
      <c r="B219" s="83" t="s">
        <v>471</v>
      </c>
      <c r="C219" s="84">
        <f>_xll.RssMarket("141A","出来高")</f>
        <v>725000</v>
      </c>
      <c r="D219" s="85">
        <f t="shared" si="4"/>
        <v>0</v>
      </c>
      <c r="E219" s="84">
        <v>725000</v>
      </c>
      <c r="F219" s="84">
        <v>708300</v>
      </c>
      <c r="G219" s="84">
        <v>789200</v>
      </c>
      <c r="H219" s="84">
        <v>1139800</v>
      </c>
      <c r="I219" s="84">
        <v>716100</v>
      </c>
      <c r="J219" s="84">
        <v>948300</v>
      </c>
      <c r="K219" s="84">
        <v>1158000</v>
      </c>
      <c r="L219" s="84">
        <v>1114100</v>
      </c>
      <c r="M219" s="84">
        <v>2080500</v>
      </c>
      <c r="N219" s="84">
        <v>1351600</v>
      </c>
      <c r="O219" s="84">
        <v>1052700</v>
      </c>
      <c r="P219" s="84">
        <v>2342800</v>
      </c>
      <c r="Q219" s="84">
        <v>3547100</v>
      </c>
      <c r="R219" s="84">
        <v>2116700</v>
      </c>
      <c r="S219" s="84">
        <v>1224100</v>
      </c>
      <c r="T219" s="84">
        <v>2077000</v>
      </c>
      <c r="U219" s="84">
        <v>2380200</v>
      </c>
      <c r="V219" s="84">
        <v>3530000</v>
      </c>
      <c r="W219" s="84">
        <v>6921200</v>
      </c>
      <c r="X219" s="84">
        <v>2195000</v>
      </c>
      <c r="Y219" s="84">
        <v>1118900</v>
      </c>
      <c r="Z219" s="84">
        <v>768600</v>
      </c>
      <c r="AA219" s="84">
        <v>863800</v>
      </c>
      <c r="AB219" s="84">
        <v>616500</v>
      </c>
      <c r="AC219" s="84">
        <v>715300</v>
      </c>
      <c r="AD219" s="84">
        <v>1285300</v>
      </c>
      <c r="AE219" s="84">
        <v>658800</v>
      </c>
      <c r="AF219" s="84">
        <v>876900</v>
      </c>
      <c r="AG219" s="84">
        <v>861200</v>
      </c>
      <c r="AH219" s="84">
        <v>975700</v>
      </c>
      <c r="AI219" s="84">
        <v>1418800</v>
      </c>
      <c r="AJ219" s="84">
        <v>1583300</v>
      </c>
      <c r="AK219" s="84">
        <v>742700</v>
      </c>
      <c r="AL219" s="84">
        <v>805400</v>
      </c>
      <c r="AM219" s="84">
        <v>696400</v>
      </c>
      <c r="AN219" s="84">
        <v>517800</v>
      </c>
      <c r="AO219" s="84">
        <v>723500</v>
      </c>
      <c r="AP219" s="84">
        <v>703400</v>
      </c>
      <c r="AQ219" s="84">
        <v>802600</v>
      </c>
      <c r="AR219" s="84">
        <v>1808700</v>
      </c>
      <c r="AS219" s="84">
        <v>1710600</v>
      </c>
      <c r="AT219" s="84">
        <v>1292200</v>
      </c>
      <c r="AU219" s="84">
        <v>1441400</v>
      </c>
      <c r="AV219" s="84">
        <v>837700</v>
      </c>
      <c r="AW219" s="84">
        <v>643500</v>
      </c>
      <c r="AX219" s="84">
        <v>600700</v>
      </c>
      <c r="AY219" s="84">
        <v>1189400</v>
      </c>
      <c r="AZ219" s="84">
        <v>774400</v>
      </c>
      <c r="BA219" s="84">
        <v>588500</v>
      </c>
      <c r="BB219" s="84">
        <v>687900</v>
      </c>
      <c r="BC219" s="84">
        <v>639900</v>
      </c>
      <c r="BD219" s="84">
        <v>511200</v>
      </c>
      <c r="BE219" s="84">
        <v>511800</v>
      </c>
      <c r="BF219" s="84">
        <v>628000</v>
      </c>
      <c r="BG219" s="84">
        <v>940400</v>
      </c>
      <c r="BH219" s="84">
        <v>1451900</v>
      </c>
      <c r="BI219" s="84">
        <v>1250400</v>
      </c>
      <c r="BJ219" s="84">
        <v>1082400</v>
      </c>
      <c r="BK219" s="84">
        <v>827900</v>
      </c>
      <c r="BL219" s="84">
        <v>1256200</v>
      </c>
    </row>
    <row r="220" spans="1:64" s="83" customFormat="1" ht="18.75" customHeight="1">
      <c r="A220" s="434" t="s">
        <v>262</v>
      </c>
      <c r="B220" s="83" t="s">
        <v>475</v>
      </c>
      <c r="C220" s="84">
        <f>_xll.RssMarket("464A","出来高")</f>
        <v>2611600</v>
      </c>
      <c r="D220" s="85">
        <f t="shared" si="4"/>
        <v>0</v>
      </c>
      <c r="E220" s="84">
        <v>2611600</v>
      </c>
      <c r="F220" s="84">
        <v>2807700</v>
      </c>
      <c r="G220" s="84">
        <v>2837500</v>
      </c>
      <c r="H220" s="84">
        <v>2251600</v>
      </c>
      <c r="I220" s="84">
        <v>2352800</v>
      </c>
      <c r="J220" s="84">
        <v>2974500</v>
      </c>
      <c r="K220" s="84">
        <v>3751100</v>
      </c>
      <c r="L220" s="84">
        <v>3895500</v>
      </c>
      <c r="M220" s="84">
        <v>2733500</v>
      </c>
      <c r="N220" s="84">
        <v>4760900</v>
      </c>
      <c r="O220" s="84">
        <v>4229900</v>
      </c>
      <c r="P220" s="84">
        <v>3051500</v>
      </c>
      <c r="Q220" s="84">
        <v>3649100</v>
      </c>
      <c r="R220" s="84">
        <v>3788800</v>
      </c>
      <c r="S220" s="84">
        <v>3413500</v>
      </c>
      <c r="T220" s="84">
        <v>1954800</v>
      </c>
      <c r="U220" s="84">
        <v>2315600</v>
      </c>
      <c r="V220" s="84">
        <v>3505600</v>
      </c>
      <c r="W220" s="84">
        <v>1295100</v>
      </c>
      <c r="X220" s="84">
        <v>2389500</v>
      </c>
      <c r="Y220" s="84">
        <v>3181800</v>
      </c>
      <c r="Z220" s="84">
        <v>1943400</v>
      </c>
      <c r="AA220" s="84">
        <v>2640800</v>
      </c>
      <c r="AB220" s="84">
        <v>2663400</v>
      </c>
      <c r="AC220" s="84">
        <v>2663400</v>
      </c>
      <c r="AD220" s="84">
        <v>2611600</v>
      </c>
      <c r="AE220" s="84">
        <v>1827800</v>
      </c>
      <c r="AF220" s="84">
        <v>1381400</v>
      </c>
      <c r="AG220" s="84">
        <v>1937800</v>
      </c>
      <c r="AH220" s="84">
        <v>1767500</v>
      </c>
      <c r="AI220" s="84">
        <v>1962000</v>
      </c>
      <c r="AJ220" s="84">
        <v>2251800</v>
      </c>
      <c r="AK220" s="84">
        <v>2098400</v>
      </c>
      <c r="AL220" s="84">
        <v>2316600</v>
      </c>
      <c r="AM220" s="84">
        <v>2367700</v>
      </c>
      <c r="AN220" s="84">
        <v>2674500</v>
      </c>
      <c r="AO220" s="84">
        <v>2059500</v>
      </c>
      <c r="AP220" s="84">
        <v>2197200</v>
      </c>
      <c r="AQ220" s="84">
        <v>3758500</v>
      </c>
      <c r="AR220" s="84">
        <v>5579800</v>
      </c>
      <c r="AS220" s="84">
        <v>2936400</v>
      </c>
      <c r="AT220" s="84">
        <v>5242000</v>
      </c>
      <c r="AU220" s="84">
        <v>2572600</v>
      </c>
      <c r="AV220" s="84">
        <v>3994200</v>
      </c>
      <c r="AW220" s="84">
        <v>2155700</v>
      </c>
      <c r="AX220" s="84">
        <v>1995200</v>
      </c>
      <c r="AY220" s="84">
        <v>2165500</v>
      </c>
      <c r="AZ220" s="84">
        <v>4100700</v>
      </c>
      <c r="BA220" s="84">
        <v>1582600</v>
      </c>
      <c r="BB220" s="84">
        <v>2411400</v>
      </c>
      <c r="BC220" s="84">
        <v>1653900</v>
      </c>
      <c r="BD220" s="84">
        <v>1898900</v>
      </c>
      <c r="BE220" s="84">
        <v>2293000</v>
      </c>
      <c r="BF220" s="84">
        <v>1849600</v>
      </c>
      <c r="BG220" s="84">
        <v>2703800</v>
      </c>
      <c r="BH220" s="84">
        <v>4454200</v>
      </c>
      <c r="BI220" s="84">
        <v>5297200</v>
      </c>
      <c r="BJ220" s="84">
        <v>1903500</v>
      </c>
      <c r="BK220" s="84">
        <v>1762100</v>
      </c>
      <c r="BL220" s="84">
        <v>2624200</v>
      </c>
    </row>
    <row r="221" spans="1:64" s="83" customFormat="1" ht="18.75" customHeight="1">
      <c r="A221" s="434" t="s">
        <v>473</v>
      </c>
      <c r="B221" s="83" t="s">
        <v>474</v>
      </c>
      <c r="C221" s="84">
        <f>_xll.RssMarket("485A","出来高")</f>
        <v>4976500</v>
      </c>
      <c r="D221" s="85">
        <f t="shared" si="4"/>
        <v>0</v>
      </c>
      <c r="E221" s="84">
        <v>4976500</v>
      </c>
      <c r="F221" s="84">
        <v>7038100</v>
      </c>
      <c r="G221" s="84">
        <v>4709800</v>
      </c>
      <c r="H221" s="84">
        <v>8061400</v>
      </c>
      <c r="I221" s="84">
        <v>3233100</v>
      </c>
      <c r="J221" s="84">
        <v>2515500</v>
      </c>
      <c r="K221" s="84">
        <v>3931300</v>
      </c>
      <c r="L221" s="84">
        <v>7197800</v>
      </c>
      <c r="M221" s="84">
        <v>2356600</v>
      </c>
      <c r="N221" s="84">
        <v>3070600</v>
      </c>
      <c r="O221" s="84">
        <v>3773900</v>
      </c>
      <c r="P221" s="84">
        <v>2114400</v>
      </c>
      <c r="Q221" s="84">
        <v>519400</v>
      </c>
      <c r="R221" s="84">
        <v>1235600</v>
      </c>
      <c r="S221" s="84">
        <v>810100</v>
      </c>
      <c r="T221" s="84">
        <v>1091000</v>
      </c>
      <c r="U221" s="84">
        <v>1194100</v>
      </c>
      <c r="V221" s="84">
        <v>2322600</v>
      </c>
      <c r="W221" s="84">
        <v>2731700</v>
      </c>
      <c r="X221" s="84">
        <v>1745900</v>
      </c>
      <c r="Y221" s="84">
        <v>1423000</v>
      </c>
      <c r="Z221" s="84">
        <v>2313300</v>
      </c>
      <c r="AA221" s="84">
        <v>3988500</v>
      </c>
      <c r="AB221" s="84">
        <v>5217300</v>
      </c>
      <c r="AC221" s="84">
        <v>5217300</v>
      </c>
      <c r="AD221" s="84">
        <v>3054000</v>
      </c>
      <c r="AE221" s="84">
        <v>2114400</v>
      </c>
      <c r="AF221" s="84">
        <v>3726000</v>
      </c>
      <c r="AG221" s="84">
        <v>2659200</v>
      </c>
      <c r="AH221" s="84">
        <v>2630500</v>
      </c>
      <c r="AI221" s="84">
        <v>2730800</v>
      </c>
      <c r="AJ221" s="84">
        <v>2050900</v>
      </c>
      <c r="AK221" s="84">
        <v>1223800</v>
      </c>
      <c r="AL221" s="84">
        <v>1184800</v>
      </c>
      <c r="AM221" s="84">
        <v>956200</v>
      </c>
      <c r="AN221" s="84">
        <v>729500</v>
      </c>
      <c r="AO221" s="84">
        <v>1457800</v>
      </c>
      <c r="AP221" s="84">
        <v>1565700</v>
      </c>
      <c r="AQ221" s="84">
        <v>1090400</v>
      </c>
      <c r="AR221" s="84">
        <v>2159400</v>
      </c>
      <c r="AS221" s="84">
        <v>2708400</v>
      </c>
      <c r="AT221" s="84">
        <v>4614400</v>
      </c>
      <c r="AU221" s="84">
        <v>3903600</v>
      </c>
      <c r="AV221" s="84">
        <v>3182200</v>
      </c>
      <c r="AW221" s="84">
        <v>1766100</v>
      </c>
      <c r="AX221" s="84">
        <v>3432500</v>
      </c>
      <c r="AY221" s="84">
        <v>3102200</v>
      </c>
      <c r="AZ221" s="84">
        <v>1907800</v>
      </c>
      <c r="BA221" s="84">
        <v>1985100</v>
      </c>
      <c r="BB221" s="84">
        <v>2151900</v>
      </c>
      <c r="BC221" s="84">
        <v>1741800</v>
      </c>
      <c r="BD221" s="84">
        <v>1635700</v>
      </c>
      <c r="BE221" s="84">
        <v>2249000</v>
      </c>
      <c r="BF221" s="84">
        <v>2112400</v>
      </c>
      <c r="BG221" s="84">
        <v>1232200</v>
      </c>
      <c r="BH221" s="84">
        <v>1790800</v>
      </c>
      <c r="BI221" s="84">
        <v>1291300</v>
      </c>
      <c r="BJ221" s="84">
        <v>1992900</v>
      </c>
      <c r="BK221" s="84">
        <v>3041700</v>
      </c>
      <c r="BL221" s="84">
        <v>3934600</v>
      </c>
    </row>
    <row r="222" spans="1:64" s="83" customFormat="1" ht="18.75" customHeight="1">
      <c r="A222" s="434" t="s">
        <v>490</v>
      </c>
      <c r="B222" s="83" t="str">
        <f>銘柄管理!C222</f>
        <v>ＮＦ日経レバ</v>
      </c>
      <c r="C222" s="84">
        <f>_xll.RssMarket("1570","出来高")</f>
        <v>3531747</v>
      </c>
      <c r="D222" s="85">
        <f t="shared" si="4"/>
        <v>0</v>
      </c>
      <c r="E222" s="84">
        <v>3531747</v>
      </c>
      <c r="F222" s="84">
        <v>3727403</v>
      </c>
      <c r="G222" s="84">
        <v>4334803</v>
      </c>
      <c r="H222" s="84">
        <v>3628212</v>
      </c>
      <c r="I222" s="84">
        <v>3611391</v>
      </c>
      <c r="J222" s="84">
        <v>5626645</v>
      </c>
      <c r="K222" s="84">
        <v>3457954</v>
      </c>
      <c r="L222" s="84">
        <v>3110829</v>
      </c>
      <c r="M222" s="84">
        <v>4783958</v>
      </c>
      <c r="N222" s="84">
        <v>3756634</v>
      </c>
      <c r="O222" s="84">
        <v>3451225</v>
      </c>
      <c r="P222" s="84">
        <v>3466505</v>
      </c>
      <c r="Q222" s="84">
        <v>3259131</v>
      </c>
      <c r="R222" s="84">
        <v>4388850</v>
      </c>
      <c r="S222" s="84">
        <v>3558512</v>
      </c>
      <c r="T222" s="84">
        <v>3343225</v>
      </c>
      <c r="U222" s="84">
        <v>4064774</v>
      </c>
      <c r="V222" s="84">
        <v>2741343</v>
      </c>
      <c r="W222" s="84">
        <v>3636380</v>
      </c>
      <c r="X222" s="84">
        <v>3845451</v>
      </c>
      <c r="Y222" s="84">
        <v>3399824</v>
      </c>
      <c r="Z222" s="84">
        <v>3004232</v>
      </c>
      <c r="AA222" s="84">
        <v>3193001</v>
      </c>
      <c r="AB222" s="84">
        <v>2909766</v>
      </c>
      <c r="AC222" s="84">
        <v>2909766</v>
      </c>
      <c r="AD222" s="84">
        <v>3474800</v>
      </c>
      <c r="AE222" s="84">
        <v>5277286</v>
      </c>
      <c r="AF222" s="84">
        <v>2557450</v>
      </c>
      <c r="AG222" s="84">
        <v>3686395</v>
      </c>
      <c r="AH222" s="84">
        <v>3421994</v>
      </c>
      <c r="AI222" s="84">
        <v>4911486</v>
      </c>
      <c r="AJ222" s="84">
        <v>3329257</v>
      </c>
      <c r="AK222" s="84">
        <v>4975193</v>
      </c>
      <c r="AL222" s="84">
        <v>3203745</v>
      </c>
      <c r="AM222" s="84">
        <v>3306574</v>
      </c>
      <c r="AN222" s="84">
        <v>2502653</v>
      </c>
      <c r="AO222" s="84">
        <v>2842084</v>
      </c>
      <c r="AP222" s="84">
        <v>5218611</v>
      </c>
      <c r="AQ222" s="84">
        <v>3257142</v>
      </c>
      <c r="AR222" s="84">
        <v>3780037</v>
      </c>
      <c r="AS222" s="84">
        <v>3041129</v>
      </c>
      <c r="AT222" s="84">
        <v>3912672</v>
      </c>
      <c r="AU222" s="84">
        <v>3622808</v>
      </c>
      <c r="AV222" s="84">
        <v>5349973</v>
      </c>
      <c r="AW222" s="84">
        <v>3254926</v>
      </c>
      <c r="AX222" s="84">
        <v>3583191</v>
      </c>
      <c r="AY222" s="84">
        <v>2446160</v>
      </c>
      <c r="AZ222" s="84">
        <v>5570954</v>
      </c>
      <c r="BA222" s="84">
        <v>3961609</v>
      </c>
      <c r="BB222" s="84">
        <v>4677366</v>
      </c>
      <c r="BC222" s="84">
        <v>3506007</v>
      </c>
      <c r="BD222" s="84">
        <v>3021805</v>
      </c>
      <c r="BE222" s="84">
        <v>3767772</v>
      </c>
      <c r="BF222" s="84">
        <v>3400359</v>
      </c>
      <c r="BG222" s="84">
        <v>5221885</v>
      </c>
      <c r="BH222" s="84">
        <v>4496876</v>
      </c>
      <c r="BI222" s="84">
        <v>3190019</v>
      </c>
      <c r="BJ222" s="84">
        <v>2703936</v>
      </c>
      <c r="BK222" s="84">
        <v>3638214</v>
      </c>
      <c r="BL222" s="84">
        <v>3513069</v>
      </c>
    </row>
    <row r="223" spans="1:64" s="83" customFormat="1" ht="18.75" customHeight="1">
      <c r="A223" s="434" t="s">
        <v>541</v>
      </c>
      <c r="B223" s="83" t="str">
        <f>銘柄管理!C223</f>
        <v>牧野フライス</v>
      </c>
      <c r="C223" s="84">
        <f>_xll.RssMarket("6135","出来高")</f>
        <v>117000</v>
      </c>
      <c r="D223" s="85">
        <f t="shared" si="4"/>
        <v>0</v>
      </c>
      <c r="E223" s="84">
        <v>117000</v>
      </c>
      <c r="F223" s="83">
        <v>136300</v>
      </c>
      <c r="G223" s="83">
        <v>190200</v>
      </c>
      <c r="H223" s="83">
        <v>190000</v>
      </c>
      <c r="I223" s="83">
        <v>267000</v>
      </c>
      <c r="J223" s="83">
        <v>255500</v>
      </c>
      <c r="K223" s="83">
        <v>313900</v>
      </c>
      <c r="L223" s="83">
        <v>200400</v>
      </c>
      <c r="M223" s="83">
        <v>141400</v>
      </c>
      <c r="N223" s="83">
        <v>273100</v>
      </c>
      <c r="O223" s="83">
        <v>139700</v>
      </c>
      <c r="P223" s="83">
        <v>209500</v>
      </c>
      <c r="Q223" s="83">
        <v>149500</v>
      </c>
      <c r="R223" s="83">
        <v>187300</v>
      </c>
      <c r="S223" s="83">
        <v>202600</v>
      </c>
      <c r="T223" s="83">
        <v>164200</v>
      </c>
      <c r="U223" s="83">
        <v>280800</v>
      </c>
      <c r="V223" s="83">
        <v>375700</v>
      </c>
      <c r="W223" s="83">
        <v>219500</v>
      </c>
      <c r="X223" s="83">
        <v>226400</v>
      </c>
      <c r="Y223" s="83">
        <v>597000</v>
      </c>
      <c r="Z223" s="83">
        <v>154700</v>
      </c>
      <c r="AA223" s="83">
        <v>196200</v>
      </c>
      <c r="AB223" s="83">
        <v>658600</v>
      </c>
      <c r="AC223" s="83">
        <v>745300</v>
      </c>
      <c r="AD223" s="83">
        <v>1015100</v>
      </c>
      <c r="AE223" s="83">
        <v>671600</v>
      </c>
      <c r="AF223" s="83">
        <v>182700</v>
      </c>
      <c r="AG223" s="83">
        <v>231300</v>
      </c>
      <c r="AH223" s="83">
        <v>301100</v>
      </c>
      <c r="AI223" s="83">
        <v>982900</v>
      </c>
      <c r="AJ223" s="83">
        <v>1918400</v>
      </c>
      <c r="AK223" s="83">
        <v>37200</v>
      </c>
      <c r="AL223" s="83">
        <v>58600</v>
      </c>
      <c r="AM223" s="83">
        <v>104900</v>
      </c>
      <c r="AN223" s="83">
        <v>87600</v>
      </c>
      <c r="AO223" s="83">
        <v>43000</v>
      </c>
      <c r="AP223" s="83">
        <v>166700</v>
      </c>
      <c r="AQ223" s="83">
        <v>81600</v>
      </c>
      <c r="AR223" s="83">
        <v>118000</v>
      </c>
      <c r="AS223" s="83">
        <v>126700</v>
      </c>
      <c r="AT223" s="83">
        <v>110800</v>
      </c>
      <c r="AU223" s="83">
        <v>108000</v>
      </c>
      <c r="AV223" s="83">
        <v>87200</v>
      </c>
      <c r="AW223" s="83">
        <v>38300</v>
      </c>
      <c r="AX223" s="83">
        <v>132900</v>
      </c>
      <c r="AY223" s="83">
        <v>117400</v>
      </c>
      <c r="AZ223" s="83">
        <v>85800</v>
      </c>
      <c r="BA223" s="83">
        <v>96500</v>
      </c>
      <c r="BB223" s="83">
        <v>134700</v>
      </c>
      <c r="BC223" s="83">
        <v>142100</v>
      </c>
      <c r="BD223" s="83">
        <v>120000</v>
      </c>
      <c r="BE223" s="83">
        <v>74100</v>
      </c>
      <c r="BF223" s="83">
        <v>55400</v>
      </c>
      <c r="BG223" s="83">
        <v>107300</v>
      </c>
      <c r="BH223" s="83">
        <v>79400</v>
      </c>
      <c r="BI223" s="83">
        <v>61800</v>
      </c>
      <c r="BJ223" s="83">
        <v>55400</v>
      </c>
      <c r="BK223" s="83">
        <v>95800</v>
      </c>
      <c r="BL223" s="83">
        <v>125700</v>
      </c>
    </row>
    <row r="224" spans="1:64" s="83" customFormat="1" ht="18.75" customHeight="1">
      <c r="A224" s="434" t="s">
        <v>546</v>
      </c>
      <c r="B224" s="83" t="str">
        <f>銘柄管理!C224</f>
        <v>ジャパンマテリアル</v>
      </c>
      <c r="C224" s="84">
        <f>_xll.RssMarket("6055","出来高")</f>
        <v>721200</v>
      </c>
      <c r="D224" s="85">
        <f t="shared" si="4"/>
        <v>0</v>
      </c>
      <c r="E224" s="84">
        <v>721200</v>
      </c>
      <c r="F224" s="83">
        <v>1154700</v>
      </c>
      <c r="G224" s="83">
        <v>937500</v>
      </c>
      <c r="H224" s="83">
        <v>669700</v>
      </c>
      <c r="I224" s="83">
        <v>935100</v>
      </c>
      <c r="J224" s="83">
        <v>1110700</v>
      </c>
      <c r="K224" s="83">
        <v>2016900</v>
      </c>
      <c r="L224" s="83">
        <v>2493100</v>
      </c>
      <c r="M224" s="83">
        <v>1079200</v>
      </c>
      <c r="N224" s="83">
        <v>855600</v>
      </c>
      <c r="O224" s="83">
        <v>662600</v>
      </c>
      <c r="P224" s="83">
        <v>655200</v>
      </c>
      <c r="Q224" s="83">
        <v>780400</v>
      </c>
      <c r="R224" s="83">
        <v>939200</v>
      </c>
      <c r="S224" s="83">
        <v>625300</v>
      </c>
      <c r="T224" s="83">
        <v>715300</v>
      </c>
      <c r="U224" s="83">
        <v>689100</v>
      </c>
      <c r="V224" s="83">
        <v>1158900</v>
      </c>
      <c r="W224" s="83">
        <v>1183600</v>
      </c>
      <c r="X224" s="83">
        <v>948300</v>
      </c>
      <c r="Y224" s="83">
        <v>1529800</v>
      </c>
      <c r="Z224" s="83">
        <v>1436600</v>
      </c>
      <c r="AA224" s="83">
        <v>1565800</v>
      </c>
      <c r="AB224" s="83">
        <v>1322900</v>
      </c>
      <c r="AC224" s="83">
        <v>841900</v>
      </c>
      <c r="AD224" s="83">
        <v>1164800</v>
      </c>
      <c r="AE224" s="83">
        <v>467000</v>
      </c>
      <c r="AF224" s="83">
        <v>543900</v>
      </c>
      <c r="AG224" s="83">
        <v>630200</v>
      </c>
      <c r="AH224" s="83">
        <v>522900</v>
      </c>
      <c r="AI224" s="83">
        <v>449300</v>
      </c>
      <c r="AJ224" s="83">
        <v>817600</v>
      </c>
      <c r="AK224" s="83">
        <v>359500</v>
      </c>
      <c r="AL224" s="83">
        <v>302500</v>
      </c>
      <c r="AM224" s="83">
        <v>402600</v>
      </c>
      <c r="AN224" s="83">
        <v>374100</v>
      </c>
      <c r="AO224" s="83">
        <v>497500</v>
      </c>
      <c r="AP224" s="83">
        <v>677100</v>
      </c>
      <c r="AQ224" s="83">
        <v>1025700</v>
      </c>
      <c r="AR224" s="83">
        <v>729900</v>
      </c>
      <c r="AS224" s="83">
        <v>712700</v>
      </c>
      <c r="AT224" s="83">
        <v>718600</v>
      </c>
      <c r="AU224" s="83">
        <v>946100</v>
      </c>
      <c r="AV224" s="83">
        <v>419800</v>
      </c>
      <c r="AW224" s="83">
        <v>307400</v>
      </c>
      <c r="AX224" s="83">
        <v>361500</v>
      </c>
      <c r="AY224" s="83">
        <v>638100</v>
      </c>
      <c r="AZ224" s="83">
        <v>692600</v>
      </c>
      <c r="BA224" s="83">
        <v>756200</v>
      </c>
      <c r="BB224" s="83">
        <v>1262200</v>
      </c>
      <c r="BC224" s="83">
        <v>822200</v>
      </c>
      <c r="BD224" s="83">
        <v>947600</v>
      </c>
      <c r="BE224" s="83">
        <v>919700</v>
      </c>
      <c r="BF224" s="83">
        <v>530900</v>
      </c>
      <c r="BG224" s="83">
        <v>916400</v>
      </c>
      <c r="BH224" s="83">
        <v>702100</v>
      </c>
      <c r="BI224" s="83">
        <v>368400</v>
      </c>
      <c r="BJ224" s="83">
        <v>653600</v>
      </c>
      <c r="BK224" s="83">
        <v>477100</v>
      </c>
      <c r="BL224" s="83">
        <v>532300</v>
      </c>
    </row>
    <row r="225" spans="1:64" s="83" customFormat="1" ht="18.75" customHeight="1">
      <c r="A225" s="434" t="s">
        <v>476</v>
      </c>
      <c r="B225" s="83" t="str">
        <f>銘柄管理!C225</f>
        <v>ミナトホールディングス</v>
      </c>
      <c r="C225" s="83">
        <f>_xll.RssMarket("6862","出来高")</f>
        <v>393000</v>
      </c>
      <c r="D225" s="85">
        <f t="shared" si="4"/>
        <v>0</v>
      </c>
      <c r="E225" s="84">
        <v>393000</v>
      </c>
      <c r="F225" s="83">
        <v>347400</v>
      </c>
      <c r="G225" s="83">
        <v>215100</v>
      </c>
      <c r="H225" s="83">
        <v>332900</v>
      </c>
      <c r="I225" s="83">
        <v>508300</v>
      </c>
      <c r="J225" s="83">
        <v>416000</v>
      </c>
      <c r="K225" s="83">
        <v>273500</v>
      </c>
      <c r="L225" s="83">
        <v>327400</v>
      </c>
      <c r="M225" s="83">
        <v>399300</v>
      </c>
      <c r="N225" s="83">
        <v>487400</v>
      </c>
      <c r="O225" s="83">
        <v>385200</v>
      </c>
      <c r="P225" s="83">
        <v>551700</v>
      </c>
      <c r="Q225" s="83">
        <v>661900</v>
      </c>
      <c r="R225" s="83">
        <v>534100</v>
      </c>
      <c r="S225" s="83">
        <v>386300</v>
      </c>
      <c r="T225" s="83">
        <v>607900</v>
      </c>
      <c r="U225" s="83">
        <v>566000</v>
      </c>
      <c r="V225" s="83">
        <v>659200</v>
      </c>
      <c r="W225" s="83">
        <v>671100</v>
      </c>
      <c r="X225" s="83">
        <v>952900</v>
      </c>
      <c r="Y225" s="83">
        <v>2008500</v>
      </c>
      <c r="Z225" s="83">
        <v>45200</v>
      </c>
      <c r="AA225" s="83">
        <v>992200</v>
      </c>
      <c r="AB225" s="83">
        <v>1432200</v>
      </c>
      <c r="AC225" s="83">
        <v>914500</v>
      </c>
      <c r="AD225" s="83">
        <v>1237800</v>
      </c>
      <c r="AE225" s="83">
        <v>825100</v>
      </c>
      <c r="AF225" s="83">
        <v>879400</v>
      </c>
      <c r="AG225" s="83">
        <v>321900</v>
      </c>
      <c r="AH225" s="83">
        <v>784400</v>
      </c>
      <c r="AI225" s="83">
        <v>441100</v>
      </c>
      <c r="AJ225" s="83">
        <v>268500</v>
      </c>
      <c r="AK225" s="83">
        <v>267700</v>
      </c>
      <c r="AL225" s="83">
        <v>210100</v>
      </c>
      <c r="AM225" s="83">
        <v>491200</v>
      </c>
      <c r="AN225" s="83">
        <v>213700</v>
      </c>
      <c r="AO225" s="83">
        <v>291500</v>
      </c>
      <c r="AP225" s="83">
        <v>714200</v>
      </c>
      <c r="AQ225" s="83">
        <v>817000</v>
      </c>
      <c r="AR225" s="83">
        <v>464700</v>
      </c>
      <c r="AS225" s="83">
        <v>491400</v>
      </c>
      <c r="AT225" s="83">
        <v>643000</v>
      </c>
      <c r="AU225" s="83">
        <v>551600</v>
      </c>
      <c r="AV225" s="83">
        <v>240800</v>
      </c>
      <c r="AW225" s="83">
        <v>240600</v>
      </c>
      <c r="AX225" s="83">
        <v>253200</v>
      </c>
      <c r="AY225" s="83">
        <v>475200</v>
      </c>
      <c r="AZ225" s="83">
        <v>411200</v>
      </c>
      <c r="BA225" s="83">
        <v>613300</v>
      </c>
      <c r="BB225" s="83">
        <v>410400</v>
      </c>
      <c r="BC225" s="83">
        <v>574400</v>
      </c>
      <c r="BD225" s="83">
        <v>1583000</v>
      </c>
      <c r="BE225" s="83">
        <v>181900</v>
      </c>
      <c r="BF225" s="83">
        <v>231100</v>
      </c>
      <c r="BG225" s="83">
        <v>410100</v>
      </c>
      <c r="BH225" s="83">
        <v>270300</v>
      </c>
      <c r="BI225" s="83">
        <v>240300</v>
      </c>
      <c r="BJ225" s="83">
        <v>398100</v>
      </c>
      <c r="BK225" s="83">
        <v>349100</v>
      </c>
      <c r="BL225" s="83">
        <v>252400</v>
      </c>
    </row>
    <row r="226" spans="1:64" s="83" customFormat="1" ht="18.75" customHeight="1">
      <c r="A226" s="434" t="s">
        <v>491</v>
      </c>
      <c r="B226" s="83" t="str">
        <f>銘柄管理!C226</f>
        <v>ヤクルト</v>
      </c>
      <c r="C226" s="83">
        <f>_xll.RssMarket("2267","出来高")</f>
        <v>1082900</v>
      </c>
      <c r="D226" s="85">
        <f t="shared" si="4"/>
        <v>0</v>
      </c>
      <c r="E226" s="84">
        <v>1082900</v>
      </c>
      <c r="F226" s="83">
        <v>889300</v>
      </c>
      <c r="G226" s="83">
        <v>1450200</v>
      </c>
      <c r="H226" s="83">
        <v>778400</v>
      </c>
      <c r="I226" s="83">
        <v>1324200</v>
      </c>
      <c r="J226" s="83">
        <v>1104100</v>
      </c>
      <c r="K226" s="83">
        <v>1123400</v>
      </c>
      <c r="L226" s="83">
        <v>1102200</v>
      </c>
      <c r="M226" s="83">
        <v>800300</v>
      </c>
      <c r="N226" s="83">
        <v>1387900</v>
      </c>
      <c r="O226" s="83">
        <v>1532600</v>
      </c>
      <c r="P226" s="83">
        <v>1153700</v>
      </c>
      <c r="Q226" s="83">
        <v>1150600</v>
      </c>
      <c r="R226" s="83">
        <v>1175800</v>
      </c>
      <c r="S226" s="83">
        <v>1293600</v>
      </c>
      <c r="T226" s="83">
        <v>831800</v>
      </c>
      <c r="U226" s="83">
        <v>978600</v>
      </c>
      <c r="V226" s="83">
        <v>1137500</v>
      </c>
      <c r="W226" s="83">
        <v>1387100</v>
      </c>
      <c r="X226" s="83">
        <v>1514400</v>
      </c>
      <c r="Y226" s="83">
        <v>1391500</v>
      </c>
      <c r="Z226" s="83">
        <v>2639800</v>
      </c>
      <c r="AA226" s="83">
        <v>4652000</v>
      </c>
      <c r="AB226" s="83">
        <v>1974000</v>
      </c>
      <c r="AC226" s="83">
        <v>2212000</v>
      </c>
      <c r="AD226" s="83">
        <v>3267500</v>
      </c>
      <c r="AE226" s="83">
        <v>9656600</v>
      </c>
      <c r="AF226" s="83">
        <v>1359900</v>
      </c>
      <c r="AG226" s="83">
        <v>1032200</v>
      </c>
      <c r="AH226" s="83">
        <v>1699000</v>
      </c>
      <c r="AI226" s="83">
        <v>10606000</v>
      </c>
      <c r="AJ226" s="83">
        <v>1277800</v>
      </c>
      <c r="AK226" s="83">
        <v>1065000</v>
      </c>
      <c r="AL226" s="83">
        <v>811600</v>
      </c>
      <c r="AM226" s="83">
        <v>1165000</v>
      </c>
      <c r="AN226" s="83">
        <v>1042000</v>
      </c>
      <c r="AO226" s="83">
        <v>1106400</v>
      </c>
      <c r="AP226" s="83">
        <v>1062100</v>
      </c>
      <c r="AQ226" s="83">
        <v>837400</v>
      </c>
      <c r="AR226" s="83">
        <v>742700</v>
      </c>
      <c r="AS226" s="83">
        <v>1053100</v>
      </c>
      <c r="AT226" s="83">
        <v>1192500</v>
      </c>
      <c r="AU226" s="83">
        <v>2145800</v>
      </c>
      <c r="AV226" s="83">
        <v>1010200</v>
      </c>
      <c r="AW226" s="83">
        <v>744400</v>
      </c>
      <c r="AX226" s="83">
        <v>1001000</v>
      </c>
      <c r="AY226" s="83">
        <v>887100</v>
      </c>
      <c r="AZ226" s="83">
        <v>1090300</v>
      </c>
      <c r="BA226" s="83">
        <v>1251900</v>
      </c>
      <c r="BB226" s="83">
        <v>3285100</v>
      </c>
      <c r="BC226" s="83">
        <v>1566500</v>
      </c>
      <c r="BD226" s="83">
        <v>1142100</v>
      </c>
      <c r="BE226" s="83">
        <v>882700</v>
      </c>
      <c r="BF226" s="83">
        <v>1244500</v>
      </c>
      <c r="BG226" s="83">
        <v>1859700</v>
      </c>
      <c r="BH226" s="83">
        <v>1680300</v>
      </c>
      <c r="BI226" s="83">
        <v>825300</v>
      </c>
      <c r="BJ226" s="83">
        <v>839200</v>
      </c>
      <c r="BK226" s="83">
        <v>889300</v>
      </c>
      <c r="BL226" s="83">
        <v>1207700</v>
      </c>
    </row>
    <row r="227" spans="1:64" s="83" customFormat="1" ht="18.75" customHeight="1">
      <c r="A227" s="434" t="s">
        <v>492</v>
      </c>
      <c r="B227" s="83" t="str">
        <f>銘柄管理!C227</f>
        <v>ＮＦエネ資源Ｔ１７</v>
      </c>
      <c r="C227" s="83">
        <f>_xll.RssMarket("1618","出来高")</f>
        <v>968</v>
      </c>
      <c r="D227" s="85">
        <f t="shared" si="4"/>
        <v>0</v>
      </c>
      <c r="E227" s="84">
        <v>968</v>
      </c>
      <c r="F227" s="83">
        <v>2516</v>
      </c>
      <c r="G227" s="83">
        <v>2989</v>
      </c>
      <c r="H227" s="83">
        <v>1228</v>
      </c>
      <c r="I227" s="83">
        <v>871</v>
      </c>
      <c r="J227" s="83">
        <v>580</v>
      </c>
      <c r="K227" s="83">
        <v>445</v>
      </c>
      <c r="L227" s="83">
        <v>390</v>
      </c>
      <c r="M227" s="83">
        <v>1200</v>
      </c>
      <c r="N227" s="83">
        <v>1162</v>
      </c>
      <c r="O227" s="83">
        <v>1622</v>
      </c>
      <c r="P227" s="83">
        <v>879</v>
      </c>
      <c r="Q227" s="83">
        <v>700</v>
      </c>
      <c r="R227" s="83">
        <v>1831</v>
      </c>
      <c r="S227" s="83">
        <v>685</v>
      </c>
      <c r="T227" s="83">
        <v>2047</v>
      </c>
      <c r="U227" s="83">
        <v>987</v>
      </c>
      <c r="V227" s="83">
        <v>1465</v>
      </c>
      <c r="W227" s="83">
        <v>1336</v>
      </c>
      <c r="X227" s="83">
        <v>1892</v>
      </c>
      <c r="Y227" s="83">
        <v>3278</v>
      </c>
      <c r="Z227" s="83">
        <v>3590</v>
      </c>
      <c r="AA227" s="83">
        <v>2844</v>
      </c>
      <c r="AB227" s="83">
        <v>2228</v>
      </c>
      <c r="AC227" s="83">
        <v>1558</v>
      </c>
      <c r="AD227" s="83">
        <v>4479</v>
      </c>
      <c r="AE227" s="83">
        <v>1259</v>
      </c>
      <c r="AF227" s="83">
        <v>2215</v>
      </c>
      <c r="AG227" s="83">
        <v>2442</v>
      </c>
      <c r="AH227" s="83">
        <v>3201</v>
      </c>
      <c r="AI227" s="83">
        <v>2376</v>
      </c>
      <c r="AJ227" s="83">
        <v>4246</v>
      </c>
      <c r="AK227" s="83">
        <v>2099</v>
      </c>
      <c r="AL227" s="83">
        <v>2321</v>
      </c>
      <c r="AM227" s="83">
        <v>3096</v>
      </c>
      <c r="AN227" s="83">
        <v>1987</v>
      </c>
      <c r="AO227" s="83">
        <v>1577</v>
      </c>
      <c r="AP227" s="83">
        <v>1982</v>
      </c>
      <c r="AQ227" s="83">
        <v>3528</v>
      </c>
      <c r="AR227" s="83">
        <v>6594</v>
      </c>
      <c r="AS227" s="83">
        <v>3631</v>
      </c>
      <c r="AT227" s="83">
        <v>5519</v>
      </c>
      <c r="AU227" s="83">
        <v>14348</v>
      </c>
      <c r="AV227" s="83">
        <v>1621</v>
      </c>
      <c r="AW227" s="83">
        <v>2354</v>
      </c>
      <c r="AX227" s="83">
        <v>2567</v>
      </c>
      <c r="AY227" s="83">
        <v>9354</v>
      </c>
      <c r="AZ227" s="83">
        <v>4699</v>
      </c>
      <c r="BA227" s="83">
        <v>3229</v>
      </c>
      <c r="BB227" s="83">
        <v>7737</v>
      </c>
      <c r="BC227" s="83">
        <v>5336</v>
      </c>
      <c r="BD227" s="83">
        <v>3999</v>
      </c>
      <c r="BE227" s="83">
        <v>2343</v>
      </c>
      <c r="BF227" s="83">
        <v>4186</v>
      </c>
      <c r="BG227" s="83">
        <v>7275</v>
      </c>
      <c r="BH227" s="83">
        <v>6113</v>
      </c>
      <c r="BI227" s="83">
        <v>5268</v>
      </c>
      <c r="BJ227" s="83">
        <v>3087</v>
      </c>
      <c r="BK227" s="83">
        <v>3047</v>
      </c>
      <c r="BL227" s="83">
        <v>6719</v>
      </c>
    </row>
    <row r="228" spans="1:64" s="83" customFormat="1" ht="18.75" customHeight="1">
      <c r="A228" s="434" t="s">
        <v>493</v>
      </c>
      <c r="B228" s="83" t="str">
        <f>銘柄管理!C228</f>
        <v>セレス</v>
      </c>
      <c r="C228" s="83">
        <f>_xll.RssMarket("3696","出来高")</f>
        <v>80300</v>
      </c>
      <c r="D228" s="85">
        <f t="shared" si="4"/>
        <v>0</v>
      </c>
      <c r="E228" s="84">
        <v>80300</v>
      </c>
      <c r="F228" s="83">
        <v>131400</v>
      </c>
      <c r="G228" s="83">
        <v>167700</v>
      </c>
      <c r="H228" s="83">
        <v>160500</v>
      </c>
      <c r="I228" s="83">
        <v>148200</v>
      </c>
      <c r="J228" s="83">
        <v>153700</v>
      </c>
      <c r="K228" s="83">
        <v>155200</v>
      </c>
      <c r="L228" s="83">
        <v>222100</v>
      </c>
      <c r="M228" s="83">
        <v>261100</v>
      </c>
      <c r="N228" s="83">
        <v>222500</v>
      </c>
      <c r="O228" s="83">
        <v>208300</v>
      </c>
      <c r="P228" s="83">
        <v>205900</v>
      </c>
      <c r="Q228" s="83">
        <v>401500</v>
      </c>
      <c r="R228" s="83">
        <v>210800</v>
      </c>
      <c r="S228" s="83">
        <v>156000</v>
      </c>
      <c r="T228" s="83">
        <v>123800</v>
      </c>
      <c r="U228" s="83">
        <v>231600</v>
      </c>
      <c r="V228" s="83">
        <v>99800</v>
      </c>
      <c r="W228" s="83">
        <v>184500</v>
      </c>
      <c r="X228" s="83">
        <v>161100</v>
      </c>
      <c r="Y228" s="83">
        <v>139800</v>
      </c>
      <c r="Z228" s="83">
        <v>183300</v>
      </c>
      <c r="AA228" s="83">
        <v>863800</v>
      </c>
      <c r="AB228" s="83">
        <v>616500</v>
      </c>
      <c r="AC228" s="83">
        <v>715300</v>
      </c>
      <c r="AD228" s="83">
        <v>1285300</v>
      </c>
      <c r="AE228" s="83">
        <v>658800</v>
      </c>
      <c r="AF228" s="83">
        <v>876900</v>
      </c>
      <c r="AG228" s="83">
        <v>861200</v>
      </c>
      <c r="AH228" s="83">
        <v>975700</v>
      </c>
      <c r="AI228" s="83">
        <v>1418800</v>
      </c>
      <c r="AJ228" s="83">
        <v>1583300</v>
      </c>
      <c r="AK228" s="83">
        <v>742700</v>
      </c>
      <c r="AL228" s="83">
        <v>805400</v>
      </c>
      <c r="AM228" s="83">
        <v>696400</v>
      </c>
      <c r="AN228" s="83">
        <v>517800</v>
      </c>
      <c r="AO228" s="83">
        <v>723500</v>
      </c>
      <c r="AP228" s="83">
        <v>703400</v>
      </c>
      <c r="AQ228" s="83">
        <v>802600</v>
      </c>
      <c r="AR228" s="83">
        <v>1808700</v>
      </c>
      <c r="AS228" s="83">
        <v>1710600</v>
      </c>
      <c r="AT228" s="83">
        <v>1292200</v>
      </c>
      <c r="AU228" s="83">
        <v>1441400</v>
      </c>
      <c r="AV228" s="83">
        <v>837700</v>
      </c>
      <c r="AW228" s="83">
        <v>643500</v>
      </c>
      <c r="AX228" s="83">
        <v>600700</v>
      </c>
      <c r="AY228" s="83">
        <v>1189400</v>
      </c>
      <c r="AZ228" s="83">
        <v>774400</v>
      </c>
      <c r="BA228" s="83">
        <v>588500</v>
      </c>
      <c r="BB228" s="83">
        <v>687900</v>
      </c>
      <c r="BC228" s="83">
        <v>639900</v>
      </c>
      <c r="BD228" s="83">
        <v>511200</v>
      </c>
      <c r="BE228" s="83">
        <v>511800</v>
      </c>
      <c r="BF228" s="83">
        <v>628000</v>
      </c>
      <c r="BG228" s="83">
        <v>940400</v>
      </c>
      <c r="BH228" s="83">
        <v>1451900</v>
      </c>
      <c r="BI228" s="83">
        <v>1250400</v>
      </c>
      <c r="BJ228" s="83">
        <v>1082400</v>
      </c>
      <c r="BK228" s="83">
        <v>827900</v>
      </c>
      <c r="BL228" s="83">
        <v>1256200</v>
      </c>
    </row>
    <row r="229" spans="1:64" s="83" customFormat="1" ht="18.75" customHeight="1">
      <c r="A229" s="434" t="s">
        <v>494</v>
      </c>
      <c r="B229" s="83" t="str">
        <f>銘柄管理!C229</f>
        <v>児玉化学</v>
      </c>
      <c r="C229" s="83">
        <f>_xll.RssMarket("4222","出来高")</f>
        <v>197200</v>
      </c>
      <c r="D229" s="85">
        <f t="shared" si="4"/>
        <v>0</v>
      </c>
      <c r="E229" s="84">
        <v>197200</v>
      </c>
      <c r="F229" s="83">
        <v>198200</v>
      </c>
      <c r="G229" s="83">
        <v>231600</v>
      </c>
      <c r="H229" s="83">
        <v>298300</v>
      </c>
      <c r="I229" s="83">
        <v>383600</v>
      </c>
      <c r="J229" s="83">
        <v>255800</v>
      </c>
      <c r="K229" s="83">
        <v>140800</v>
      </c>
      <c r="L229" s="83">
        <v>153800</v>
      </c>
      <c r="M229" s="83">
        <v>221400</v>
      </c>
      <c r="N229" s="83">
        <v>356700</v>
      </c>
      <c r="O229" s="83">
        <v>147700</v>
      </c>
      <c r="P229" s="83">
        <v>174100</v>
      </c>
      <c r="Q229" s="83">
        <v>248600</v>
      </c>
      <c r="R229" s="83">
        <v>204600</v>
      </c>
      <c r="S229" s="83">
        <v>309800</v>
      </c>
      <c r="T229" s="83">
        <v>232500</v>
      </c>
      <c r="U229" s="83">
        <v>535800</v>
      </c>
      <c r="V229" s="83">
        <v>502700</v>
      </c>
      <c r="W229" s="83">
        <v>977600</v>
      </c>
      <c r="X229" s="83">
        <v>1565300</v>
      </c>
      <c r="Y229" s="83">
        <v>501500</v>
      </c>
      <c r="Z229" s="83">
        <v>359500</v>
      </c>
      <c r="AA229" s="83">
        <v>1022100</v>
      </c>
      <c r="AB229" s="83">
        <v>466800</v>
      </c>
      <c r="AC229" s="83">
        <v>175000</v>
      </c>
      <c r="AD229" s="83">
        <v>217400</v>
      </c>
      <c r="AE229" s="83">
        <v>213800</v>
      </c>
      <c r="AF229" s="83">
        <v>144800</v>
      </c>
      <c r="AG229" s="83">
        <v>195600</v>
      </c>
      <c r="AH229" s="83">
        <v>185400</v>
      </c>
      <c r="AI229" s="83">
        <v>280400</v>
      </c>
      <c r="AJ229" s="83">
        <v>210000</v>
      </c>
      <c r="AK229" s="83">
        <v>271400</v>
      </c>
      <c r="AL229" s="83">
        <v>245900</v>
      </c>
      <c r="AM229" s="83">
        <v>364700</v>
      </c>
      <c r="AN229" s="83">
        <v>261400</v>
      </c>
      <c r="AO229" s="83">
        <v>242300</v>
      </c>
      <c r="AP229" s="83">
        <v>349700</v>
      </c>
      <c r="AQ229" s="83">
        <v>293000</v>
      </c>
      <c r="AR229" s="83">
        <v>160400</v>
      </c>
      <c r="AS229" s="83">
        <v>309300</v>
      </c>
      <c r="AT229" s="83">
        <v>339900</v>
      </c>
      <c r="AU229" s="83">
        <v>508500</v>
      </c>
      <c r="AV229" s="83">
        <v>174100</v>
      </c>
      <c r="AW229" s="83">
        <v>192000</v>
      </c>
      <c r="AX229" s="83">
        <v>214800</v>
      </c>
      <c r="AY229" s="83">
        <v>310600</v>
      </c>
      <c r="AZ229" s="83">
        <v>323300</v>
      </c>
      <c r="BA229" s="83">
        <v>284400</v>
      </c>
      <c r="BB229" s="83">
        <v>351200</v>
      </c>
      <c r="BC229" s="83">
        <v>662300</v>
      </c>
      <c r="BD229" s="83">
        <v>1798000</v>
      </c>
      <c r="BE229" s="83">
        <v>310200</v>
      </c>
      <c r="BF229" s="83">
        <v>430900</v>
      </c>
      <c r="BG229" s="83">
        <v>585200</v>
      </c>
      <c r="BH229" s="83">
        <v>518300</v>
      </c>
      <c r="BI229" s="83">
        <v>176700</v>
      </c>
      <c r="BJ229" s="83">
        <v>254000</v>
      </c>
      <c r="BK229" s="83">
        <v>395100</v>
      </c>
      <c r="BL229" s="83">
        <v>329900</v>
      </c>
    </row>
    <row r="230" spans="1:64" s="83" customFormat="1" ht="18.75" customHeight="1">
      <c r="A230" s="434" t="s">
        <v>512</v>
      </c>
      <c r="B230" s="83" t="str">
        <f>銘柄管理!C230</f>
        <v>ＦＯＯＤ＆ＬＩＦＥＣＯＭＰＡＮ</v>
      </c>
      <c r="C230" s="83">
        <f>_xll.RssMarket("3563","出来高")</f>
        <v>1649700</v>
      </c>
      <c r="D230" s="85">
        <f t="shared" si="4"/>
        <v>0</v>
      </c>
      <c r="E230" s="83">
        <v>1649700</v>
      </c>
      <c r="F230" s="83">
        <v>1042900</v>
      </c>
      <c r="G230" s="83">
        <v>846100</v>
      </c>
      <c r="H230" s="83">
        <v>929800</v>
      </c>
      <c r="I230" s="83">
        <v>770400</v>
      </c>
      <c r="J230" s="83">
        <v>778600</v>
      </c>
      <c r="K230" s="83">
        <v>1120500</v>
      </c>
      <c r="L230" s="83">
        <v>2370200</v>
      </c>
      <c r="M230" s="83">
        <v>651000</v>
      </c>
      <c r="N230" s="83">
        <v>660500</v>
      </c>
      <c r="O230" s="83">
        <v>936700</v>
      </c>
      <c r="P230" s="83">
        <v>750200</v>
      </c>
      <c r="Q230" s="83">
        <v>887900</v>
      </c>
      <c r="R230" s="83">
        <v>1536000</v>
      </c>
      <c r="S230" s="83">
        <v>689200</v>
      </c>
      <c r="T230" s="83">
        <v>967200</v>
      </c>
      <c r="U230" s="83">
        <v>738300</v>
      </c>
      <c r="V230" s="83">
        <v>1062000</v>
      </c>
      <c r="W230" s="83">
        <v>659200</v>
      </c>
      <c r="X230" s="83">
        <v>1007400</v>
      </c>
      <c r="Y230" s="83">
        <v>1263900</v>
      </c>
      <c r="Z230" s="83">
        <v>1268700</v>
      </c>
      <c r="AA230" s="83">
        <v>1427700</v>
      </c>
      <c r="AB230" s="83">
        <v>1794000</v>
      </c>
      <c r="AC230" s="83">
        <v>7912400</v>
      </c>
      <c r="AD230" s="83">
        <v>1914900</v>
      </c>
      <c r="AE230" s="83">
        <v>795100</v>
      </c>
      <c r="AF230" s="83">
        <v>1044000</v>
      </c>
      <c r="AG230" s="83">
        <v>838100</v>
      </c>
      <c r="AH230" s="83">
        <v>700900</v>
      </c>
      <c r="AI230" s="83">
        <v>544300</v>
      </c>
      <c r="AJ230" s="83">
        <v>593600</v>
      </c>
      <c r="AK230" s="83">
        <v>622100</v>
      </c>
      <c r="AL230" s="83">
        <v>592500</v>
      </c>
      <c r="AM230" s="83">
        <v>650300</v>
      </c>
      <c r="AN230" s="83">
        <v>821600</v>
      </c>
      <c r="AO230" s="83">
        <v>499500</v>
      </c>
      <c r="AP230" s="83">
        <v>498500</v>
      </c>
      <c r="AQ230" s="83">
        <v>517800</v>
      </c>
      <c r="AR230" s="83">
        <v>435300</v>
      </c>
      <c r="AS230" s="83">
        <v>796600</v>
      </c>
      <c r="AT230" s="83">
        <v>754700</v>
      </c>
      <c r="AU230" s="83">
        <v>793700</v>
      </c>
      <c r="AV230" s="83">
        <v>492000</v>
      </c>
      <c r="AW230" s="83">
        <v>523500</v>
      </c>
      <c r="AX230" s="83">
        <v>664600</v>
      </c>
      <c r="AY230" s="83">
        <v>869600</v>
      </c>
      <c r="AZ230" s="83">
        <v>1401600</v>
      </c>
      <c r="BA230" s="83">
        <v>1029900</v>
      </c>
      <c r="BB230" s="83">
        <v>1375500</v>
      </c>
      <c r="BC230" s="83">
        <v>1297500</v>
      </c>
      <c r="BD230" s="83">
        <v>770700</v>
      </c>
      <c r="BE230" s="83">
        <v>971600</v>
      </c>
      <c r="BF230" s="83">
        <v>1157800</v>
      </c>
      <c r="BG230" s="83">
        <v>1014700</v>
      </c>
      <c r="BH230" s="83">
        <v>774500</v>
      </c>
      <c r="BI230" s="83">
        <v>533700</v>
      </c>
      <c r="BJ230" s="83">
        <v>631300</v>
      </c>
      <c r="BK230" s="83">
        <v>994800</v>
      </c>
      <c r="BL230" s="83">
        <v>1370500</v>
      </c>
    </row>
    <row r="231" spans="1:64" s="83" customFormat="1" ht="18.75" customHeight="1">
      <c r="A231" s="434" t="s">
        <v>513</v>
      </c>
      <c r="B231" s="83" t="str">
        <f>銘柄管理!C231</f>
        <v>ＩＨＩ</v>
      </c>
      <c r="C231" s="83">
        <f>_xll.RssMarket("7013","出来高")</f>
        <v>19151000</v>
      </c>
      <c r="D231" s="85">
        <f t="shared" si="4"/>
        <v>0</v>
      </c>
      <c r="E231" s="83">
        <v>19151000</v>
      </c>
      <c r="F231" s="83">
        <v>22736900</v>
      </c>
      <c r="G231" s="83">
        <v>15452000</v>
      </c>
      <c r="H231" s="83">
        <v>16053100</v>
      </c>
      <c r="I231" s="83">
        <v>16867900</v>
      </c>
      <c r="J231" s="83">
        <v>13512700</v>
      </c>
      <c r="K231" s="83">
        <v>11346800</v>
      </c>
      <c r="L231" s="83">
        <v>17891400</v>
      </c>
      <c r="M231" s="83">
        <v>30379200</v>
      </c>
      <c r="N231" s="83">
        <v>15719200</v>
      </c>
      <c r="O231" s="83">
        <v>15591900</v>
      </c>
      <c r="P231" s="83">
        <v>15132300</v>
      </c>
      <c r="Q231" s="83">
        <v>17678100</v>
      </c>
      <c r="R231" s="83">
        <v>14069300</v>
      </c>
      <c r="S231" s="83">
        <v>19705900</v>
      </c>
      <c r="T231" s="83">
        <v>21342900</v>
      </c>
      <c r="U231" s="83">
        <v>19995200</v>
      </c>
      <c r="V231" s="83">
        <v>20962200</v>
      </c>
      <c r="W231" s="83">
        <v>16221200</v>
      </c>
      <c r="X231" s="83">
        <v>21303400</v>
      </c>
      <c r="Y231" s="83">
        <v>26350700</v>
      </c>
      <c r="Z231" s="83">
        <v>20584400</v>
      </c>
      <c r="AA231" s="83">
        <v>28393100</v>
      </c>
      <c r="AB231" s="83">
        <v>42420100</v>
      </c>
      <c r="AC231" s="83">
        <v>69373000</v>
      </c>
      <c r="AD231" s="83">
        <v>25106600</v>
      </c>
      <c r="AE231" s="83">
        <v>15600000</v>
      </c>
      <c r="AF231" s="83">
        <v>21212200</v>
      </c>
      <c r="AG231" s="83">
        <v>18091200</v>
      </c>
      <c r="AH231" s="83">
        <v>21920300</v>
      </c>
      <c r="AI231" s="83">
        <v>14535100</v>
      </c>
      <c r="AJ231" s="83">
        <v>16998300</v>
      </c>
      <c r="AK231" s="83">
        <v>21936800</v>
      </c>
      <c r="AL231" s="83">
        <v>15800100</v>
      </c>
      <c r="AM231" s="83">
        <v>12843400</v>
      </c>
      <c r="AN231" s="83">
        <v>15677700</v>
      </c>
      <c r="AO231" s="83">
        <v>16676300</v>
      </c>
      <c r="AP231" s="83">
        <v>22129800</v>
      </c>
      <c r="AQ231" s="83">
        <v>13505200</v>
      </c>
      <c r="AR231" s="83">
        <v>17170500</v>
      </c>
      <c r="AS231" s="83">
        <v>17523100</v>
      </c>
      <c r="AT231" s="83">
        <v>12722400</v>
      </c>
      <c r="AU231" s="83">
        <v>20673000</v>
      </c>
      <c r="AV231" s="83">
        <v>14382000</v>
      </c>
      <c r="AW231" s="83">
        <v>12900600</v>
      </c>
      <c r="AX231" s="83">
        <v>9182100</v>
      </c>
      <c r="AY231" s="83">
        <v>19946300</v>
      </c>
      <c r="AZ231" s="83">
        <v>20471000</v>
      </c>
      <c r="BA231" s="83">
        <v>15685000</v>
      </c>
      <c r="BB231" s="83">
        <v>13829500</v>
      </c>
      <c r="BC231" s="83">
        <v>10433600</v>
      </c>
      <c r="BD231" s="83">
        <v>11214000</v>
      </c>
      <c r="BE231" s="83">
        <v>13676600</v>
      </c>
      <c r="BF231" s="83">
        <v>16531000</v>
      </c>
      <c r="BG231" s="83">
        <v>18015100</v>
      </c>
      <c r="BH231" s="83">
        <v>13628000</v>
      </c>
      <c r="BI231" s="83">
        <v>11733900</v>
      </c>
      <c r="BJ231" s="83">
        <v>12352900</v>
      </c>
      <c r="BK231" s="83">
        <v>12738800</v>
      </c>
      <c r="BL231" s="83">
        <v>16674300</v>
      </c>
    </row>
    <row r="232" spans="1:64" s="83" customFormat="1" ht="18.75" customHeight="1">
      <c r="A232" s="434" t="s">
        <v>516</v>
      </c>
      <c r="B232" s="83" t="str">
        <f>銘柄管理!C232</f>
        <v>ＮＥＣキャピタルソリューション</v>
      </c>
      <c r="C232" s="83">
        <f>_xll.RssMarket("8793","出来高")</f>
        <v>14000</v>
      </c>
      <c r="D232" s="85">
        <f t="shared" si="4"/>
        <v>0</v>
      </c>
      <c r="E232" s="83">
        <v>14000</v>
      </c>
      <c r="F232" s="83">
        <v>19600</v>
      </c>
      <c r="G232" s="83">
        <v>39500</v>
      </c>
      <c r="H232" s="83">
        <v>23300</v>
      </c>
      <c r="I232" s="83">
        <v>38100</v>
      </c>
      <c r="J232" s="83">
        <v>42400</v>
      </c>
      <c r="K232" s="83">
        <v>31100</v>
      </c>
      <c r="L232" s="83">
        <v>36600</v>
      </c>
      <c r="M232" s="83">
        <v>26100</v>
      </c>
      <c r="N232" s="83">
        <v>42900</v>
      </c>
      <c r="O232" s="83">
        <v>22400</v>
      </c>
      <c r="P232" s="83">
        <v>34300</v>
      </c>
      <c r="Q232" s="83">
        <v>20600</v>
      </c>
      <c r="R232" s="83">
        <v>26900</v>
      </c>
      <c r="S232" s="83">
        <v>26400</v>
      </c>
      <c r="T232" s="83">
        <v>39400</v>
      </c>
      <c r="U232" s="83">
        <v>33700</v>
      </c>
      <c r="V232" s="83">
        <v>29500</v>
      </c>
      <c r="W232" s="83">
        <v>36000</v>
      </c>
      <c r="X232" s="83">
        <v>33700</v>
      </c>
      <c r="Y232" s="83">
        <v>27800</v>
      </c>
      <c r="Z232" s="83">
        <v>19400</v>
      </c>
      <c r="AA232" s="83">
        <v>21100</v>
      </c>
      <c r="AB232" s="83">
        <v>28000</v>
      </c>
      <c r="AC232" s="83">
        <v>26700</v>
      </c>
      <c r="AD232" s="83">
        <v>51500</v>
      </c>
      <c r="AE232" s="83">
        <v>57700</v>
      </c>
      <c r="AF232" s="83">
        <v>116000</v>
      </c>
      <c r="AG232" s="83">
        <v>50300</v>
      </c>
      <c r="AH232" s="83">
        <v>25500</v>
      </c>
      <c r="AI232" s="83">
        <v>33300</v>
      </c>
      <c r="AJ232" s="83">
        <v>18300</v>
      </c>
      <c r="AK232" s="83">
        <v>19100</v>
      </c>
      <c r="AL232" s="83">
        <v>21400</v>
      </c>
      <c r="AM232" s="83">
        <v>16300</v>
      </c>
      <c r="AN232" s="83">
        <v>17200</v>
      </c>
      <c r="AO232" s="83">
        <v>26300</v>
      </c>
      <c r="AP232" s="83">
        <v>26400</v>
      </c>
      <c r="AQ232" s="83">
        <v>20700</v>
      </c>
      <c r="AR232" s="83">
        <v>16700</v>
      </c>
      <c r="AS232" s="83">
        <v>21000</v>
      </c>
      <c r="AT232" s="83">
        <v>21200</v>
      </c>
      <c r="AU232" s="83">
        <v>23300</v>
      </c>
      <c r="AV232" s="83">
        <v>19100</v>
      </c>
      <c r="AW232" s="83">
        <v>14600</v>
      </c>
      <c r="AX232" s="83">
        <v>12100</v>
      </c>
      <c r="AY232" s="83">
        <v>31600</v>
      </c>
      <c r="AZ232" s="83">
        <v>22400</v>
      </c>
      <c r="BA232" s="83">
        <v>27300</v>
      </c>
      <c r="BB232" s="83">
        <v>51700</v>
      </c>
      <c r="BC232" s="83">
        <v>100800</v>
      </c>
      <c r="BD232" s="83">
        <v>43600</v>
      </c>
      <c r="BE232" s="83">
        <v>37100</v>
      </c>
      <c r="BF232" s="83">
        <v>24100</v>
      </c>
      <c r="BG232" s="83">
        <v>37200</v>
      </c>
      <c r="BH232" s="83">
        <v>28500</v>
      </c>
      <c r="BI232" s="83">
        <v>14000</v>
      </c>
      <c r="BJ232" s="83">
        <v>27400</v>
      </c>
      <c r="BK232" s="83">
        <v>34900</v>
      </c>
      <c r="BL232" s="83">
        <v>32700</v>
      </c>
    </row>
    <row r="233" spans="1:64">
      <c r="A233" s="434" t="s">
        <v>517</v>
      </c>
      <c r="B233" s="1" t="str">
        <f>銘柄管理!C233</f>
        <v>ミスミグループ本社</v>
      </c>
      <c r="C233" s="1">
        <f>_xll.RssMarket("9962","出来高")</f>
        <v>969900</v>
      </c>
      <c r="D233" s="85">
        <f t="shared" si="4"/>
        <v>0</v>
      </c>
      <c r="E233" s="1">
        <v>969900</v>
      </c>
      <c r="F233" s="1">
        <v>1520200</v>
      </c>
      <c r="G233" s="1">
        <v>2025400</v>
      </c>
      <c r="H233" s="1">
        <v>1165700</v>
      </c>
      <c r="I233" s="1">
        <v>1682000</v>
      </c>
      <c r="J233" s="1">
        <v>1667500</v>
      </c>
      <c r="K233" s="1">
        <v>911300</v>
      </c>
      <c r="L233" s="1">
        <v>1113100</v>
      </c>
      <c r="M233" s="1">
        <v>1634000</v>
      </c>
      <c r="N233" s="1">
        <v>1597000</v>
      </c>
      <c r="O233" s="1">
        <v>1677900</v>
      </c>
      <c r="P233" s="1">
        <v>1603600</v>
      </c>
      <c r="Q233" s="1">
        <v>1484100</v>
      </c>
      <c r="R233" s="1">
        <v>1260400</v>
      </c>
      <c r="S233" s="1">
        <v>1692800</v>
      </c>
      <c r="T233" s="1">
        <v>958000</v>
      </c>
      <c r="U233" s="1">
        <v>1271300</v>
      </c>
      <c r="V233" s="1">
        <v>960500</v>
      </c>
      <c r="W233" s="1">
        <v>1357400</v>
      </c>
      <c r="X233" s="1">
        <v>1634000</v>
      </c>
      <c r="Y233" s="1">
        <v>1507500</v>
      </c>
      <c r="Z233" s="1">
        <v>1800900</v>
      </c>
      <c r="AA233" s="1">
        <v>1816000</v>
      </c>
      <c r="AB233" s="1">
        <v>2169000</v>
      </c>
      <c r="AC233" s="1">
        <v>2019000</v>
      </c>
      <c r="AD233" s="1">
        <v>3730100</v>
      </c>
      <c r="AE233" s="1">
        <v>2736400</v>
      </c>
      <c r="AF233" s="1">
        <v>4346700</v>
      </c>
      <c r="AG233" s="1">
        <v>2452300</v>
      </c>
      <c r="AH233" s="1">
        <v>2863900</v>
      </c>
      <c r="AI233" s="1">
        <v>776100</v>
      </c>
      <c r="AJ233" s="1">
        <v>1106400</v>
      </c>
      <c r="AK233" s="1">
        <v>927300</v>
      </c>
      <c r="AL233" s="1">
        <v>769300</v>
      </c>
      <c r="AM233" s="1">
        <v>1124200</v>
      </c>
      <c r="AN233" s="1">
        <v>1075300</v>
      </c>
      <c r="AO233" s="1">
        <v>975700</v>
      </c>
      <c r="AP233" s="1">
        <v>1014100</v>
      </c>
      <c r="AQ233" s="1">
        <v>776900</v>
      </c>
      <c r="AR233" s="1">
        <v>1125900</v>
      </c>
      <c r="AS233" s="1">
        <v>784000</v>
      </c>
      <c r="AT233" s="1">
        <v>1257800</v>
      </c>
      <c r="AU233" s="1">
        <v>1404600</v>
      </c>
      <c r="AV233" s="1">
        <v>541700</v>
      </c>
      <c r="AW233" s="1">
        <v>744700</v>
      </c>
      <c r="AX233" s="1">
        <v>596000</v>
      </c>
      <c r="AY233" s="1">
        <v>938600</v>
      </c>
      <c r="AZ233" s="1">
        <v>1068800</v>
      </c>
      <c r="BA233" s="1">
        <v>1236600</v>
      </c>
      <c r="BB233" s="1">
        <v>1301000</v>
      </c>
      <c r="BC233" s="1">
        <v>1466000</v>
      </c>
      <c r="BD233" s="1">
        <v>746000</v>
      </c>
      <c r="BE233" s="1">
        <v>881900</v>
      </c>
      <c r="BF233" s="1">
        <v>1232100</v>
      </c>
      <c r="BG233" s="1">
        <v>1062500</v>
      </c>
      <c r="BH233" s="1">
        <v>1694600</v>
      </c>
      <c r="BI233" s="1">
        <v>1321300</v>
      </c>
      <c r="BJ233" s="1">
        <v>1211900</v>
      </c>
      <c r="BK233" s="1">
        <v>957100</v>
      </c>
      <c r="BL233" s="1">
        <v>1309000</v>
      </c>
    </row>
    <row r="234" spans="1:64">
      <c r="A234" s="434" t="s">
        <v>518</v>
      </c>
      <c r="B234" s="1" t="str">
        <f>銘柄管理!C234</f>
        <v>ＴＤＫ</v>
      </c>
      <c r="C234" s="1">
        <f>_xll.RssMarket("6762","出来高")</f>
        <v>11642300</v>
      </c>
      <c r="D234" s="85">
        <f t="shared" si="4"/>
        <v>0</v>
      </c>
      <c r="E234" s="1">
        <v>11642300</v>
      </c>
      <c r="F234" s="1">
        <v>17479000</v>
      </c>
      <c r="G234" s="1">
        <v>19550000</v>
      </c>
      <c r="H234" s="1">
        <v>14430600</v>
      </c>
      <c r="I234" s="1">
        <v>15871800</v>
      </c>
      <c r="J234" s="1">
        <v>17890100</v>
      </c>
      <c r="K234" s="1">
        <v>18532200</v>
      </c>
      <c r="L234" s="1">
        <v>12099400</v>
      </c>
      <c r="M234" s="1">
        <v>17825900</v>
      </c>
      <c r="N234" s="1">
        <v>23686700</v>
      </c>
      <c r="O234" s="1">
        <v>28286900</v>
      </c>
      <c r="P234" s="1">
        <v>24725800</v>
      </c>
      <c r="Q234" s="1">
        <v>15673600</v>
      </c>
      <c r="R234" s="1">
        <v>20639200</v>
      </c>
      <c r="S234" s="1">
        <v>14032900</v>
      </c>
      <c r="T234" s="1">
        <v>11989200</v>
      </c>
      <c r="U234" s="1">
        <v>11053200</v>
      </c>
      <c r="V234" s="1">
        <v>10503400</v>
      </c>
      <c r="W234" s="1">
        <v>8178800</v>
      </c>
      <c r="X234" s="1">
        <v>13723700</v>
      </c>
      <c r="Y234" s="1">
        <v>13646200</v>
      </c>
      <c r="Z234" s="1">
        <v>9120600</v>
      </c>
      <c r="AA234" s="1">
        <v>10967100</v>
      </c>
      <c r="AB234" s="1">
        <v>10494200</v>
      </c>
      <c r="AC234" s="1">
        <v>14299700</v>
      </c>
      <c r="AD234" s="1">
        <v>20251700</v>
      </c>
      <c r="AE234" s="1">
        <v>14435800</v>
      </c>
      <c r="AF234" s="1">
        <v>33512200</v>
      </c>
      <c r="AG234" s="1">
        <v>14100800</v>
      </c>
      <c r="AH234" s="1">
        <v>14080800</v>
      </c>
      <c r="AI234" s="1">
        <v>13275300</v>
      </c>
      <c r="AJ234" s="1">
        <v>12840800</v>
      </c>
      <c r="AK234" s="1">
        <v>17013700</v>
      </c>
      <c r="AL234" s="1">
        <v>10460000</v>
      </c>
      <c r="AM234" s="1">
        <v>14363800</v>
      </c>
      <c r="AN234" s="1">
        <v>21676400</v>
      </c>
      <c r="AO234" s="1">
        <v>23937900</v>
      </c>
      <c r="AP234" s="1">
        <v>12784200</v>
      </c>
      <c r="AQ234" s="1">
        <v>7334800</v>
      </c>
      <c r="AR234" s="1">
        <v>9500600</v>
      </c>
      <c r="AS234" s="1">
        <v>14723300</v>
      </c>
      <c r="AT234" s="1">
        <v>11463800</v>
      </c>
      <c r="AU234" s="1">
        <v>12947000</v>
      </c>
      <c r="AV234" s="1">
        <v>7377100</v>
      </c>
      <c r="AW234" s="1">
        <v>7958300</v>
      </c>
      <c r="AX234" s="1">
        <v>13470000</v>
      </c>
      <c r="AY234" s="1">
        <v>16626000</v>
      </c>
      <c r="AZ234" s="1">
        <v>10442300</v>
      </c>
      <c r="BA234" s="1">
        <v>12772200</v>
      </c>
      <c r="BB234" s="1">
        <v>12783300</v>
      </c>
      <c r="BC234" s="1">
        <v>9860700</v>
      </c>
      <c r="BD234" s="1">
        <v>6885500</v>
      </c>
      <c r="BE234" s="1">
        <v>7848500</v>
      </c>
      <c r="BF234" s="1">
        <v>8990600</v>
      </c>
      <c r="BG234" s="1">
        <v>10668000</v>
      </c>
      <c r="BH234" s="1">
        <v>12468800</v>
      </c>
      <c r="BI234" s="1">
        <v>9550500</v>
      </c>
      <c r="BJ234" s="1">
        <v>12161600</v>
      </c>
      <c r="BK234" s="1">
        <v>11801000</v>
      </c>
      <c r="BL234" s="1">
        <v>12496600</v>
      </c>
    </row>
    <row r="235" spans="1:64">
      <c r="A235" s="434" t="s">
        <v>519</v>
      </c>
      <c r="B235" s="1" t="str">
        <f>銘柄管理!C235</f>
        <v>ＦＩＧ</v>
      </c>
      <c r="C235" s="1">
        <f>_xll.RssMarket("4392","出来高")</f>
        <v>2463300</v>
      </c>
      <c r="D235" s="85">
        <f t="shared" si="4"/>
        <v>0</v>
      </c>
      <c r="E235" s="1">
        <v>2463300</v>
      </c>
      <c r="F235" s="1">
        <v>2611900</v>
      </c>
      <c r="G235" s="1">
        <v>4106700</v>
      </c>
      <c r="H235" s="1">
        <v>9416900</v>
      </c>
      <c r="I235" s="1">
        <v>7369800</v>
      </c>
      <c r="J235" s="1">
        <v>9059000</v>
      </c>
      <c r="K235" s="1">
        <v>8577400</v>
      </c>
      <c r="L235" s="1">
        <v>5238300</v>
      </c>
      <c r="M235" s="1">
        <v>6133500</v>
      </c>
      <c r="N235" s="1">
        <v>5097100</v>
      </c>
      <c r="O235" s="1">
        <v>12995800</v>
      </c>
      <c r="P235" s="1">
        <v>15066400</v>
      </c>
      <c r="Q235" s="1">
        <v>30141100</v>
      </c>
      <c r="R235" s="1">
        <v>2155600</v>
      </c>
      <c r="S235" s="1">
        <v>16191700</v>
      </c>
      <c r="T235" s="1">
        <v>10311300</v>
      </c>
      <c r="U235" s="1">
        <v>40920100</v>
      </c>
      <c r="V235" s="1">
        <v>216000</v>
      </c>
      <c r="W235" s="1">
        <v>155200</v>
      </c>
      <c r="X235" s="1">
        <v>1215800</v>
      </c>
      <c r="Y235" s="1">
        <v>20723200</v>
      </c>
      <c r="Z235" s="1">
        <v>15030000</v>
      </c>
      <c r="AA235" s="1">
        <v>28146000</v>
      </c>
      <c r="AB235" s="1">
        <v>182900</v>
      </c>
      <c r="AC235" s="1">
        <v>263500</v>
      </c>
      <c r="AD235" s="1">
        <v>127800</v>
      </c>
      <c r="AE235" s="1">
        <v>147800</v>
      </c>
      <c r="AF235" s="1">
        <v>251600</v>
      </c>
      <c r="AG235" s="1">
        <v>313500</v>
      </c>
      <c r="AH235" s="1">
        <v>386700</v>
      </c>
      <c r="AI235" s="1">
        <v>288200</v>
      </c>
      <c r="AJ235" s="1">
        <v>560900</v>
      </c>
      <c r="AK235" s="1">
        <v>510000</v>
      </c>
      <c r="AL235" s="1">
        <v>617600</v>
      </c>
      <c r="AM235" s="1">
        <v>330300</v>
      </c>
      <c r="AN235" s="1">
        <v>64600</v>
      </c>
      <c r="AO235" s="1">
        <v>120100</v>
      </c>
      <c r="AP235" s="1">
        <v>125300</v>
      </c>
      <c r="AQ235" s="1">
        <v>88900</v>
      </c>
      <c r="AR235" s="1">
        <v>108200</v>
      </c>
      <c r="AS235" s="1">
        <v>114900</v>
      </c>
      <c r="AT235" s="1">
        <v>127400</v>
      </c>
      <c r="AU235" s="1">
        <v>182000</v>
      </c>
      <c r="AV235" s="1">
        <v>97400</v>
      </c>
      <c r="AW235" s="1">
        <v>87100</v>
      </c>
      <c r="AX235" s="1">
        <v>100600</v>
      </c>
      <c r="AY235" s="1">
        <v>164400</v>
      </c>
      <c r="AZ235" s="1">
        <v>153800</v>
      </c>
      <c r="BA235" s="1">
        <v>162400</v>
      </c>
      <c r="BB235" s="1">
        <v>212900</v>
      </c>
      <c r="BC235" s="1">
        <v>141200</v>
      </c>
      <c r="BD235" s="1">
        <v>197800</v>
      </c>
      <c r="BE235" s="1">
        <v>247500</v>
      </c>
      <c r="BF235" s="1">
        <v>182400</v>
      </c>
      <c r="BG235" s="1">
        <v>349700</v>
      </c>
      <c r="BH235" s="1">
        <v>194700</v>
      </c>
      <c r="BI235" s="1">
        <v>110000</v>
      </c>
      <c r="BJ235" s="1">
        <v>95500</v>
      </c>
      <c r="BK235" s="1">
        <v>154400</v>
      </c>
      <c r="BL235" s="1">
        <v>119100</v>
      </c>
    </row>
    <row r="236" spans="1:64">
      <c r="A236" s="434" t="s">
        <v>520</v>
      </c>
      <c r="B236" s="1" t="str">
        <f>銘柄管理!C236</f>
        <v>スクロール</v>
      </c>
      <c r="C236" s="1">
        <f>_xll.RssMarket("8005","出来高")</f>
        <v>199300</v>
      </c>
      <c r="D236" s="85">
        <f t="shared" si="4"/>
        <v>0</v>
      </c>
      <c r="E236" s="1">
        <v>199300</v>
      </c>
      <c r="F236" s="1">
        <v>216400</v>
      </c>
      <c r="G236" s="1">
        <v>222700</v>
      </c>
      <c r="H236" s="1">
        <v>168300</v>
      </c>
      <c r="I236" s="1">
        <v>288200</v>
      </c>
      <c r="J236" s="1">
        <v>217500</v>
      </c>
      <c r="K236" s="1">
        <v>152600</v>
      </c>
      <c r="L236" s="1">
        <v>180300</v>
      </c>
      <c r="M236" s="1">
        <v>203800</v>
      </c>
      <c r="N236" s="1">
        <v>297000</v>
      </c>
      <c r="O236" s="1">
        <v>267400</v>
      </c>
      <c r="P236" s="1">
        <v>198700</v>
      </c>
      <c r="Q236" s="1">
        <v>172800</v>
      </c>
      <c r="R236" s="1">
        <v>199100</v>
      </c>
      <c r="S236" s="1">
        <v>135600</v>
      </c>
      <c r="T236" s="1">
        <v>187200</v>
      </c>
      <c r="U236" s="1">
        <v>318400</v>
      </c>
      <c r="V236" s="1">
        <v>285900</v>
      </c>
      <c r="W236" s="1">
        <v>402300</v>
      </c>
      <c r="X236" s="1">
        <v>337000</v>
      </c>
      <c r="Y236" s="1">
        <v>263000</v>
      </c>
      <c r="Z236" s="1">
        <v>425400</v>
      </c>
      <c r="AA236" s="1">
        <v>677500</v>
      </c>
      <c r="AB236" s="1">
        <v>1515500</v>
      </c>
      <c r="AC236" s="1">
        <v>106100</v>
      </c>
      <c r="AD236" s="1">
        <v>182500</v>
      </c>
      <c r="AE236" s="1">
        <v>150600</v>
      </c>
      <c r="AF236" s="1">
        <v>96900</v>
      </c>
      <c r="AG236" s="1">
        <v>135500</v>
      </c>
      <c r="AH236" s="1">
        <v>75700</v>
      </c>
      <c r="AI236" s="1">
        <v>72600</v>
      </c>
      <c r="AJ236" s="1">
        <v>76800</v>
      </c>
      <c r="AK236" s="1">
        <v>70100</v>
      </c>
      <c r="AL236" s="1">
        <v>78800</v>
      </c>
      <c r="AM236" s="1">
        <v>64800</v>
      </c>
      <c r="AN236" s="1">
        <v>66100</v>
      </c>
      <c r="AO236" s="1">
        <v>105100</v>
      </c>
      <c r="AP236" s="1">
        <v>102300</v>
      </c>
      <c r="AQ236" s="1">
        <v>88800</v>
      </c>
      <c r="AR236" s="1">
        <v>82100</v>
      </c>
      <c r="AS236" s="1">
        <v>109200</v>
      </c>
      <c r="AT236" s="1">
        <v>84300</v>
      </c>
      <c r="AU236" s="1">
        <v>79400</v>
      </c>
      <c r="AV236" s="1">
        <v>49600</v>
      </c>
      <c r="AW236" s="1">
        <v>51900</v>
      </c>
      <c r="AX236" s="1">
        <v>70100</v>
      </c>
      <c r="AY236" s="1">
        <v>89300</v>
      </c>
      <c r="AZ236" s="1">
        <v>96300</v>
      </c>
      <c r="BA236" s="1">
        <v>132300</v>
      </c>
      <c r="BB236" s="1">
        <v>327200</v>
      </c>
      <c r="BC236" s="1">
        <v>457100</v>
      </c>
      <c r="BD236" s="1">
        <v>215400</v>
      </c>
      <c r="BE236" s="1">
        <v>175600</v>
      </c>
      <c r="BF236" s="1">
        <v>140200</v>
      </c>
      <c r="BG236" s="1">
        <v>239900</v>
      </c>
      <c r="BH236" s="1">
        <v>159400</v>
      </c>
      <c r="BI236" s="1">
        <v>83800</v>
      </c>
      <c r="BJ236" s="1">
        <v>105700</v>
      </c>
      <c r="BK236" s="1">
        <v>111800</v>
      </c>
      <c r="BL236" s="1">
        <v>171000</v>
      </c>
    </row>
    <row r="237" spans="1:64">
      <c r="A237" s="434" t="s">
        <v>521</v>
      </c>
      <c r="B237" s="1" t="str">
        <f>銘柄管理!C237</f>
        <v>デジタルアーツ</v>
      </c>
      <c r="C237" s="1">
        <f>_xll.RssMarket("2326","出来高")</f>
        <v>139200</v>
      </c>
      <c r="D237" s="85">
        <f t="shared" si="4"/>
        <v>0</v>
      </c>
      <c r="E237" s="1">
        <v>139200</v>
      </c>
      <c r="F237" s="1">
        <v>143900</v>
      </c>
      <c r="G237" s="1">
        <v>206000</v>
      </c>
      <c r="H237" s="1">
        <v>136600</v>
      </c>
      <c r="I237" s="1">
        <v>195000</v>
      </c>
      <c r="J237" s="1">
        <v>168400</v>
      </c>
      <c r="K237" s="1">
        <v>190300</v>
      </c>
      <c r="L237" s="1">
        <v>177400</v>
      </c>
      <c r="M237" s="1">
        <v>357900</v>
      </c>
      <c r="N237" s="1">
        <v>362100</v>
      </c>
      <c r="O237" s="1">
        <v>564300</v>
      </c>
      <c r="P237" s="1">
        <v>196100</v>
      </c>
      <c r="Q237" s="1">
        <v>176100</v>
      </c>
      <c r="R237" s="1">
        <v>165900</v>
      </c>
      <c r="S237" s="1">
        <v>234000</v>
      </c>
      <c r="T237" s="1">
        <v>159400</v>
      </c>
      <c r="U237" s="1">
        <v>201000</v>
      </c>
      <c r="V237" s="1">
        <v>260000</v>
      </c>
      <c r="W237" s="1">
        <v>345800</v>
      </c>
      <c r="X237" s="1">
        <v>376800</v>
      </c>
      <c r="Y237" s="1">
        <v>306200</v>
      </c>
      <c r="Z237" s="1">
        <v>343500</v>
      </c>
      <c r="AA237" s="1">
        <v>620400</v>
      </c>
      <c r="AB237" s="1">
        <v>1083200</v>
      </c>
      <c r="AC237" s="1">
        <v>61200</v>
      </c>
      <c r="AD237" s="1">
        <v>317100</v>
      </c>
      <c r="AE237" s="1">
        <v>94100</v>
      </c>
      <c r="AF237" s="1">
        <v>98300</v>
      </c>
      <c r="AG237" s="1">
        <v>73700</v>
      </c>
      <c r="AH237" s="1">
        <v>158400</v>
      </c>
      <c r="AI237" s="1">
        <v>84400</v>
      </c>
      <c r="AJ237" s="1">
        <v>146700</v>
      </c>
      <c r="AK237" s="1">
        <v>141200</v>
      </c>
      <c r="AL237" s="1">
        <v>90800</v>
      </c>
      <c r="AM237" s="1">
        <v>146800</v>
      </c>
      <c r="AN237" s="1">
        <v>157700</v>
      </c>
      <c r="AO237" s="1">
        <v>113100</v>
      </c>
      <c r="AP237" s="1">
        <v>85500</v>
      </c>
      <c r="AQ237" s="1">
        <v>90200</v>
      </c>
      <c r="AR237" s="1">
        <v>106500</v>
      </c>
      <c r="AS237" s="1">
        <v>107900</v>
      </c>
      <c r="AT237" s="1">
        <v>71300</v>
      </c>
      <c r="AU237" s="1">
        <v>108500</v>
      </c>
      <c r="AV237" s="1">
        <v>45700</v>
      </c>
      <c r="AW237" s="1">
        <v>71100</v>
      </c>
      <c r="AX237" s="1">
        <v>50400</v>
      </c>
      <c r="AY237" s="1">
        <v>115500</v>
      </c>
      <c r="AZ237" s="1">
        <v>85200</v>
      </c>
      <c r="BA237" s="1">
        <v>86100</v>
      </c>
      <c r="BB237" s="1">
        <v>148200</v>
      </c>
      <c r="BC237" s="1">
        <v>110100</v>
      </c>
      <c r="BD237" s="1">
        <v>103800</v>
      </c>
      <c r="BE237" s="1">
        <v>110200</v>
      </c>
      <c r="BF237" s="1">
        <v>87300</v>
      </c>
      <c r="BG237" s="1">
        <v>137000</v>
      </c>
      <c r="BH237" s="1">
        <v>69400</v>
      </c>
      <c r="BI237" s="1">
        <v>54200</v>
      </c>
      <c r="BJ237" s="1">
        <v>51000</v>
      </c>
      <c r="BK237" s="1">
        <v>64500</v>
      </c>
      <c r="BL237" s="1">
        <v>124600</v>
      </c>
    </row>
    <row r="238" spans="1:64">
      <c r="A238" s="434" t="s">
        <v>522</v>
      </c>
      <c r="B238" s="1" t="str">
        <f>銘柄管理!C238</f>
        <v>ＴＯＡ</v>
      </c>
      <c r="C238" s="1">
        <f>_xll.RssMarket("6809","出来高")</f>
        <v>78500</v>
      </c>
      <c r="D238" s="85">
        <f t="shared" si="4"/>
        <v>0</v>
      </c>
      <c r="E238" s="1">
        <v>78500</v>
      </c>
      <c r="F238" s="1">
        <v>68400</v>
      </c>
      <c r="G238" s="1">
        <v>90100</v>
      </c>
      <c r="H238" s="1">
        <v>79200</v>
      </c>
      <c r="I238" s="1">
        <v>103700</v>
      </c>
      <c r="J238" s="1">
        <v>112300</v>
      </c>
      <c r="K238" s="1">
        <v>97600</v>
      </c>
      <c r="L238" s="1">
        <v>80500</v>
      </c>
      <c r="M238" s="1">
        <v>134700</v>
      </c>
      <c r="N238" s="1">
        <v>135400</v>
      </c>
      <c r="O238" s="1">
        <v>118100</v>
      </c>
      <c r="P238" s="1">
        <v>183400</v>
      </c>
      <c r="Q238" s="1">
        <v>134700</v>
      </c>
      <c r="R238" s="1">
        <v>118700</v>
      </c>
      <c r="S238" s="1">
        <v>170100</v>
      </c>
      <c r="T238" s="1">
        <v>153500</v>
      </c>
      <c r="U238" s="1">
        <v>295600</v>
      </c>
      <c r="V238" s="1">
        <v>112500</v>
      </c>
      <c r="W238" s="1">
        <v>94500</v>
      </c>
      <c r="X238" s="1">
        <v>155200</v>
      </c>
      <c r="Y238" s="1">
        <v>116400</v>
      </c>
      <c r="Z238" s="1">
        <v>146700</v>
      </c>
      <c r="AA238" s="1">
        <v>228900</v>
      </c>
      <c r="AB238" s="1">
        <v>468800</v>
      </c>
      <c r="AC238" s="1">
        <v>922300</v>
      </c>
      <c r="AD238" s="1">
        <v>349700</v>
      </c>
      <c r="AE238" s="1">
        <v>176200</v>
      </c>
      <c r="AF238" s="1">
        <v>74400</v>
      </c>
      <c r="AG238" s="1">
        <v>142200</v>
      </c>
      <c r="AH238" s="1">
        <v>121000</v>
      </c>
      <c r="AI238" s="1">
        <v>91700</v>
      </c>
      <c r="AJ238" s="1">
        <v>86600</v>
      </c>
      <c r="AK238" s="1">
        <v>66600</v>
      </c>
      <c r="AL238" s="1">
        <v>100800</v>
      </c>
      <c r="AM238" s="1">
        <v>67200</v>
      </c>
      <c r="AN238" s="1">
        <v>99000</v>
      </c>
      <c r="AO238" s="1">
        <v>55500</v>
      </c>
      <c r="AP238" s="1">
        <v>116400</v>
      </c>
      <c r="AQ238" s="1">
        <v>57300</v>
      </c>
      <c r="AR238" s="1">
        <v>64900</v>
      </c>
      <c r="AS238" s="1">
        <v>83900</v>
      </c>
      <c r="AT238" s="1">
        <v>80900</v>
      </c>
      <c r="AU238" s="1">
        <v>101200</v>
      </c>
      <c r="AV238" s="1">
        <v>168400</v>
      </c>
      <c r="AW238" s="1">
        <v>74600</v>
      </c>
      <c r="AX238" s="1">
        <v>69600</v>
      </c>
      <c r="AY238" s="1">
        <v>88500</v>
      </c>
      <c r="AZ238" s="1">
        <v>135300</v>
      </c>
      <c r="BA238" s="1">
        <v>162300</v>
      </c>
      <c r="BB238" s="1">
        <v>192500</v>
      </c>
      <c r="BC238" s="1">
        <v>184200</v>
      </c>
      <c r="BD238" s="1">
        <v>151300</v>
      </c>
      <c r="BE238" s="1">
        <v>171800</v>
      </c>
      <c r="BF238" s="1">
        <v>119700</v>
      </c>
      <c r="BG238" s="1">
        <v>269700</v>
      </c>
      <c r="BH238" s="1">
        <v>470100</v>
      </c>
      <c r="BI238" s="1">
        <v>73000</v>
      </c>
      <c r="BJ238" s="1">
        <v>63000</v>
      </c>
      <c r="BK238" s="1">
        <v>91200</v>
      </c>
      <c r="BL238" s="1">
        <v>88900</v>
      </c>
    </row>
    <row r="239" spans="1:64">
      <c r="A239" s="434" t="s">
        <v>523</v>
      </c>
      <c r="B239" s="1" t="str">
        <f>銘柄管理!C239</f>
        <v>ユーザーローカル</v>
      </c>
      <c r="C239" s="1">
        <f>_xll.RssMarket("3984","出来高")</f>
        <v>73600</v>
      </c>
      <c r="D239" s="85">
        <f t="shared" si="4"/>
        <v>0</v>
      </c>
      <c r="E239" s="1">
        <v>73600</v>
      </c>
      <c r="F239" s="1">
        <v>51300</v>
      </c>
      <c r="G239" s="1">
        <v>117400</v>
      </c>
      <c r="H239" s="1">
        <v>137900</v>
      </c>
      <c r="I239" s="1">
        <v>135900</v>
      </c>
      <c r="J239" s="1">
        <v>282000</v>
      </c>
      <c r="K239" s="1">
        <v>208700</v>
      </c>
      <c r="L239" s="1">
        <v>135000</v>
      </c>
      <c r="M239" s="1">
        <v>175500</v>
      </c>
      <c r="N239" s="1">
        <v>145100</v>
      </c>
      <c r="O239" s="1">
        <v>109200</v>
      </c>
      <c r="P239" s="1">
        <v>104300</v>
      </c>
      <c r="Q239" s="1">
        <v>156300</v>
      </c>
      <c r="R239" s="1">
        <v>128400</v>
      </c>
      <c r="S239" s="1">
        <v>70800</v>
      </c>
      <c r="T239" s="1">
        <v>96400</v>
      </c>
      <c r="U239" s="1">
        <v>156200</v>
      </c>
      <c r="V239" s="1">
        <v>70200</v>
      </c>
      <c r="W239" s="1">
        <v>96000</v>
      </c>
      <c r="X239" s="1">
        <v>96400</v>
      </c>
      <c r="Y239" s="1">
        <v>162900</v>
      </c>
      <c r="Z239" s="1">
        <v>193200</v>
      </c>
      <c r="AA239" s="1">
        <v>227500</v>
      </c>
      <c r="AB239" s="1">
        <v>228700</v>
      </c>
      <c r="AC239" s="1">
        <v>659700</v>
      </c>
      <c r="AD239" s="1">
        <v>141500</v>
      </c>
      <c r="AE239" s="1">
        <v>48700</v>
      </c>
      <c r="AF239" s="1">
        <v>70100</v>
      </c>
      <c r="AG239" s="1">
        <v>63600</v>
      </c>
      <c r="AH239" s="1">
        <v>59600</v>
      </c>
      <c r="AI239" s="1">
        <v>80800</v>
      </c>
      <c r="AJ239" s="1">
        <v>96700</v>
      </c>
      <c r="AK239" s="1">
        <v>74900</v>
      </c>
      <c r="AL239" s="1">
        <v>53500</v>
      </c>
      <c r="AM239" s="1">
        <v>81400</v>
      </c>
      <c r="AN239" s="1">
        <v>73600</v>
      </c>
      <c r="AO239" s="1">
        <v>143100</v>
      </c>
      <c r="AP239" s="1">
        <v>80400</v>
      </c>
      <c r="AQ239" s="1">
        <v>76500</v>
      </c>
      <c r="AR239" s="1">
        <v>84400</v>
      </c>
      <c r="AS239" s="1">
        <v>93000</v>
      </c>
      <c r="AT239" s="1">
        <v>82900</v>
      </c>
      <c r="AU239" s="1">
        <v>88600</v>
      </c>
      <c r="AV239" s="1">
        <v>59700</v>
      </c>
      <c r="AW239" s="1">
        <v>47100</v>
      </c>
      <c r="AX239" s="1">
        <v>59500</v>
      </c>
      <c r="AY239" s="1">
        <v>57900</v>
      </c>
      <c r="AZ239" s="1">
        <v>153300</v>
      </c>
      <c r="BA239" s="1">
        <v>123800</v>
      </c>
      <c r="BB239" s="1">
        <v>253300</v>
      </c>
      <c r="BC239" s="1">
        <v>64400</v>
      </c>
      <c r="BD239" s="1">
        <v>73300</v>
      </c>
      <c r="BE239" s="1">
        <v>54100</v>
      </c>
      <c r="BF239" s="1">
        <v>64700</v>
      </c>
      <c r="BG239" s="1">
        <v>87600</v>
      </c>
      <c r="BH239" s="1">
        <v>131700</v>
      </c>
      <c r="BI239" s="1">
        <v>44700</v>
      </c>
      <c r="BJ239" s="1">
        <v>55800</v>
      </c>
      <c r="BK239" s="1">
        <v>59100</v>
      </c>
      <c r="BL239" s="1">
        <v>59600</v>
      </c>
    </row>
    <row r="240" spans="1:64">
      <c r="A240" s="434" t="s">
        <v>524</v>
      </c>
      <c r="B240" s="1" t="str">
        <f>銘柄管理!C240</f>
        <v>ダイトロン</v>
      </c>
      <c r="C240" s="1">
        <f>_xll.RssMarket("7609","出来高")</f>
        <v>53900</v>
      </c>
      <c r="D240" s="85">
        <f t="shared" si="4"/>
        <v>0</v>
      </c>
      <c r="E240" s="1">
        <v>53900</v>
      </c>
      <c r="F240" s="1">
        <v>42100</v>
      </c>
      <c r="G240" s="1">
        <v>113900</v>
      </c>
      <c r="H240" s="1">
        <v>115400</v>
      </c>
      <c r="I240" s="1">
        <v>149300</v>
      </c>
      <c r="J240" s="1">
        <v>156700</v>
      </c>
      <c r="K240" s="1">
        <v>123500</v>
      </c>
      <c r="L240" s="1">
        <v>82200</v>
      </c>
      <c r="M240" s="1">
        <v>99000</v>
      </c>
      <c r="N240" s="1">
        <v>112300</v>
      </c>
      <c r="O240" s="1">
        <v>86100</v>
      </c>
      <c r="P240" s="1">
        <v>111000</v>
      </c>
      <c r="Q240" s="1">
        <v>142500</v>
      </c>
      <c r="R240" s="1">
        <v>111300</v>
      </c>
      <c r="S240" s="1">
        <v>117000</v>
      </c>
      <c r="T240" s="1">
        <v>130600</v>
      </c>
      <c r="U240" s="1">
        <v>140000</v>
      </c>
      <c r="V240" s="1">
        <v>207100</v>
      </c>
      <c r="W240" s="1">
        <v>106000</v>
      </c>
      <c r="X240" s="1">
        <v>166300</v>
      </c>
      <c r="Y240" s="1">
        <v>120100</v>
      </c>
      <c r="Z240" s="1">
        <v>119000</v>
      </c>
      <c r="AA240" s="1">
        <v>135800</v>
      </c>
      <c r="AB240" s="1">
        <v>266000</v>
      </c>
      <c r="AC240" s="1">
        <v>694400</v>
      </c>
      <c r="AD240" s="1">
        <v>275800</v>
      </c>
      <c r="AE240" s="1">
        <v>263200</v>
      </c>
      <c r="AF240" s="1">
        <v>106200</v>
      </c>
      <c r="AG240" s="1">
        <v>85600</v>
      </c>
      <c r="AH240" s="1">
        <v>98000</v>
      </c>
      <c r="AI240" s="1">
        <v>70400</v>
      </c>
      <c r="AJ240" s="1">
        <v>75900</v>
      </c>
      <c r="AK240" s="1">
        <v>47700</v>
      </c>
      <c r="AL240" s="1">
        <v>57800</v>
      </c>
      <c r="AM240" s="1">
        <v>60300</v>
      </c>
      <c r="AN240" s="1">
        <v>66700</v>
      </c>
      <c r="AO240" s="1">
        <v>154700</v>
      </c>
      <c r="AP240" s="1">
        <v>125500</v>
      </c>
      <c r="AQ240" s="1">
        <v>79300</v>
      </c>
      <c r="AR240" s="1">
        <v>61400</v>
      </c>
      <c r="AS240" s="1">
        <v>84500</v>
      </c>
      <c r="AT240" s="1">
        <v>61000</v>
      </c>
      <c r="AU240" s="1">
        <v>64300</v>
      </c>
      <c r="AV240" s="1">
        <v>40400</v>
      </c>
      <c r="AW240" s="1">
        <v>53600</v>
      </c>
      <c r="AX240" s="1">
        <v>41000</v>
      </c>
      <c r="AY240" s="1">
        <v>67600</v>
      </c>
      <c r="AZ240" s="1">
        <v>73300</v>
      </c>
      <c r="BA240" s="1">
        <v>104800</v>
      </c>
      <c r="BB240" s="1">
        <v>77200</v>
      </c>
      <c r="BC240" s="1">
        <v>125900</v>
      </c>
      <c r="BD240" s="1">
        <v>59600</v>
      </c>
      <c r="BE240" s="1">
        <v>63500</v>
      </c>
      <c r="BF240" s="1">
        <v>65300</v>
      </c>
      <c r="BG240" s="1">
        <v>99300</v>
      </c>
      <c r="BH240" s="1">
        <v>55400</v>
      </c>
      <c r="BI240" s="1">
        <v>36700</v>
      </c>
      <c r="BJ240" s="1">
        <v>49700</v>
      </c>
      <c r="BK240" s="1">
        <v>96500</v>
      </c>
      <c r="BL240" s="1">
        <v>57800</v>
      </c>
    </row>
    <row r="241" spans="1:64">
      <c r="A241" s="434" t="s">
        <v>525</v>
      </c>
      <c r="B241" s="1" t="str">
        <f>銘柄管理!C241</f>
        <v>イトーキ</v>
      </c>
      <c r="C241" s="1">
        <f>_xll.RssMarket("7972","出来高")</f>
        <v>146300</v>
      </c>
      <c r="D241" s="85">
        <f t="shared" si="4"/>
        <v>0</v>
      </c>
      <c r="E241" s="1">
        <v>146300</v>
      </c>
      <c r="F241" s="1">
        <v>203100</v>
      </c>
      <c r="G241" s="1">
        <v>207300</v>
      </c>
      <c r="H241" s="1">
        <v>187200</v>
      </c>
      <c r="I241" s="1">
        <v>154800</v>
      </c>
      <c r="J241" s="1">
        <v>191400</v>
      </c>
      <c r="K241" s="1">
        <v>189300</v>
      </c>
      <c r="L241" s="1">
        <v>339600</v>
      </c>
      <c r="M241" s="1">
        <v>437100</v>
      </c>
      <c r="N241" s="1">
        <v>378200</v>
      </c>
      <c r="O241" s="1">
        <v>447200</v>
      </c>
      <c r="P241" s="1">
        <v>377800</v>
      </c>
      <c r="Q241" s="1">
        <v>384500</v>
      </c>
      <c r="R241" s="1">
        <v>169400</v>
      </c>
      <c r="S241" s="1">
        <v>262100</v>
      </c>
      <c r="T241" s="1">
        <v>241200</v>
      </c>
      <c r="U241" s="1">
        <v>201800</v>
      </c>
      <c r="V241" s="1">
        <v>202400</v>
      </c>
      <c r="W241" s="1">
        <v>212400</v>
      </c>
      <c r="X241" s="1">
        <v>255100</v>
      </c>
      <c r="Y241" s="1">
        <v>222600</v>
      </c>
      <c r="Z241" s="1">
        <v>335100</v>
      </c>
      <c r="AA241" s="1">
        <v>441500</v>
      </c>
      <c r="AB241" s="1">
        <v>487600</v>
      </c>
      <c r="AC241" s="1">
        <v>1111000</v>
      </c>
      <c r="AD241" s="1">
        <v>363000</v>
      </c>
      <c r="AE241" s="1">
        <v>132100</v>
      </c>
      <c r="AF241" s="1">
        <v>277900</v>
      </c>
      <c r="AG241" s="1">
        <v>124400</v>
      </c>
      <c r="AH241" s="1">
        <v>218600</v>
      </c>
      <c r="AI241" s="1">
        <v>135600</v>
      </c>
      <c r="AJ241" s="1">
        <v>108200</v>
      </c>
      <c r="AK241" s="1">
        <v>102300</v>
      </c>
      <c r="AL241" s="1">
        <v>111200</v>
      </c>
      <c r="AM241" s="1">
        <v>176300</v>
      </c>
      <c r="AN241" s="1">
        <v>135500</v>
      </c>
      <c r="AO241" s="1">
        <v>144900</v>
      </c>
      <c r="AP241" s="1">
        <v>199400</v>
      </c>
      <c r="AQ241" s="1">
        <v>132300</v>
      </c>
      <c r="AR241" s="1">
        <v>143600</v>
      </c>
      <c r="AS241" s="1">
        <v>113800</v>
      </c>
      <c r="AT241" s="1">
        <v>152000</v>
      </c>
      <c r="AU241" s="1">
        <v>148800</v>
      </c>
      <c r="AV241" s="1">
        <v>132400</v>
      </c>
      <c r="AW241" s="1">
        <v>106600</v>
      </c>
      <c r="AX241" s="1">
        <v>109200</v>
      </c>
      <c r="AY241" s="1">
        <v>284900</v>
      </c>
      <c r="AZ241" s="1">
        <v>197100</v>
      </c>
      <c r="BA241" s="1">
        <v>172300</v>
      </c>
      <c r="BB241" s="1">
        <v>181300</v>
      </c>
      <c r="BC241" s="1">
        <v>140700</v>
      </c>
      <c r="BD241" s="1">
        <v>192700</v>
      </c>
      <c r="BE241" s="1">
        <v>129700</v>
      </c>
      <c r="BF241" s="1">
        <v>152800</v>
      </c>
      <c r="BG241" s="1">
        <v>183400</v>
      </c>
      <c r="BH241" s="1">
        <v>190300</v>
      </c>
      <c r="BI241" s="1">
        <v>118800</v>
      </c>
      <c r="BJ241" s="1">
        <v>172100</v>
      </c>
      <c r="BK241" s="1">
        <v>201500</v>
      </c>
      <c r="BL241" s="1">
        <v>131800</v>
      </c>
    </row>
    <row r="242" spans="1:64">
      <c r="A242" s="434" t="s">
        <v>526</v>
      </c>
      <c r="B242" s="1" t="str">
        <f>銘柄管理!C242</f>
        <v>オキサイド</v>
      </c>
      <c r="C242" s="1">
        <f>_xll.RssMarket("6521","出来高")</f>
        <v>346300</v>
      </c>
      <c r="D242" s="85">
        <f t="shared" si="4"/>
        <v>0</v>
      </c>
      <c r="E242" s="1">
        <v>346300</v>
      </c>
      <c r="F242" s="1">
        <v>340300</v>
      </c>
      <c r="G242" s="1">
        <v>318600</v>
      </c>
      <c r="H242" s="1">
        <v>340500</v>
      </c>
      <c r="I242" s="1">
        <v>673900</v>
      </c>
      <c r="J242" s="1">
        <v>391000</v>
      </c>
      <c r="K242" s="1">
        <v>317400</v>
      </c>
      <c r="L242" s="1">
        <v>344500</v>
      </c>
      <c r="M242" s="1">
        <v>453300</v>
      </c>
      <c r="N242" s="1">
        <v>548800</v>
      </c>
      <c r="O242" s="1">
        <v>603000</v>
      </c>
      <c r="P242" s="1">
        <v>739900</v>
      </c>
      <c r="Q242" s="1">
        <v>473900</v>
      </c>
      <c r="R242" s="1">
        <v>766100</v>
      </c>
      <c r="S242" s="1">
        <v>738000</v>
      </c>
      <c r="T242" s="1">
        <v>492400</v>
      </c>
      <c r="U242" s="1">
        <v>516300</v>
      </c>
      <c r="V242" s="1">
        <v>1073000</v>
      </c>
      <c r="W242" s="1">
        <v>723000</v>
      </c>
      <c r="X242" s="1">
        <v>649600</v>
      </c>
      <c r="Y242" s="1">
        <v>643500</v>
      </c>
      <c r="Z242" s="1">
        <v>592700</v>
      </c>
      <c r="AA242" s="1">
        <v>1160100</v>
      </c>
      <c r="AB242" s="1">
        <v>1248900</v>
      </c>
      <c r="AC242" s="1">
        <v>1383100</v>
      </c>
      <c r="AD242" s="1">
        <v>802300</v>
      </c>
      <c r="AE242" s="1">
        <v>277900</v>
      </c>
      <c r="AF242" s="1">
        <v>275700</v>
      </c>
      <c r="AG242" s="1">
        <v>308100</v>
      </c>
      <c r="AH242" s="1">
        <v>628700</v>
      </c>
      <c r="AI242" s="1">
        <v>445700</v>
      </c>
      <c r="AJ242" s="1">
        <v>567900</v>
      </c>
      <c r="AK242" s="1">
        <v>969500</v>
      </c>
      <c r="AL242" s="1">
        <v>1835800</v>
      </c>
      <c r="AM242" s="1">
        <v>760800</v>
      </c>
      <c r="AN242" s="1">
        <v>585700</v>
      </c>
      <c r="AO242" s="1">
        <v>729100</v>
      </c>
      <c r="AP242" s="1">
        <v>1782400</v>
      </c>
      <c r="AQ242" s="1">
        <v>2964800</v>
      </c>
      <c r="AR242" s="1">
        <v>866200</v>
      </c>
      <c r="AS242" s="1">
        <v>647400</v>
      </c>
      <c r="AT242" s="1">
        <v>378100</v>
      </c>
      <c r="AU242" s="1">
        <v>535000</v>
      </c>
      <c r="AV242" s="1">
        <v>427900</v>
      </c>
      <c r="AW242" s="1">
        <v>618500</v>
      </c>
      <c r="AX242" s="1">
        <v>407100</v>
      </c>
      <c r="AY242" s="1">
        <v>637000</v>
      </c>
      <c r="AZ242" s="1">
        <v>411900</v>
      </c>
      <c r="BA242" s="1">
        <v>603200</v>
      </c>
      <c r="BB242" s="1">
        <v>437000</v>
      </c>
      <c r="BC242" s="1">
        <v>485900</v>
      </c>
      <c r="BD242" s="1">
        <v>617600</v>
      </c>
      <c r="BE242" s="1">
        <v>1099400</v>
      </c>
      <c r="BF242" s="1">
        <v>768500</v>
      </c>
      <c r="BG242" s="1">
        <v>808200</v>
      </c>
      <c r="BH242" s="1">
        <v>708500</v>
      </c>
      <c r="BI242" s="1">
        <v>828800</v>
      </c>
      <c r="BJ242" s="1">
        <v>1352300</v>
      </c>
      <c r="BK242" s="1">
        <v>1586600</v>
      </c>
      <c r="BL242" s="1">
        <v>1546200</v>
      </c>
    </row>
    <row r="243" spans="1:64">
      <c r="A243" s="434" t="s">
        <v>527</v>
      </c>
      <c r="B243" s="1" t="str">
        <f>銘柄管理!C243</f>
        <v>クオルテック</v>
      </c>
      <c r="C243" s="1">
        <f>_xll.RssMarket("9165","出来高")</f>
        <v>14800</v>
      </c>
      <c r="D243" s="85">
        <f t="shared" si="4"/>
        <v>0</v>
      </c>
      <c r="E243" s="1">
        <v>14800</v>
      </c>
      <c r="F243" s="1">
        <v>12400</v>
      </c>
      <c r="G243" s="1">
        <v>19500</v>
      </c>
      <c r="H243" s="1">
        <v>20700</v>
      </c>
      <c r="I243" s="1">
        <v>35400</v>
      </c>
      <c r="J243" s="1">
        <v>42400</v>
      </c>
      <c r="K243" s="1">
        <v>21000</v>
      </c>
      <c r="L243" s="1">
        <v>45000</v>
      </c>
      <c r="M243" s="1">
        <v>38200</v>
      </c>
      <c r="N243" s="1">
        <v>49700</v>
      </c>
      <c r="O243" s="1">
        <v>41900</v>
      </c>
      <c r="P243" s="1">
        <v>118900</v>
      </c>
      <c r="Q243" s="1">
        <v>93700</v>
      </c>
      <c r="R243" s="1">
        <v>158800</v>
      </c>
      <c r="S243" s="1">
        <v>93000</v>
      </c>
      <c r="T243" s="1">
        <v>25900</v>
      </c>
      <c r="U243" s="1">
        <v>65800</v>
      </c>
      <c r="V243" s="1">
        <v>32100</v>
      </c>
      <c r="W243" s="1">
        <v>41800</v>
      </c>
      <c r="X243" s="1">
        <v>39200</v>
      </c>
      <c r="Y243" s="1">
        <v>18500</v>
      </c>
      <c r="Z243" s="1">
        <v>21700</v>
      </c>
      <c r="AA243" s="1">
        <v>59500</v>
      </c>
      <c r="AB243" s="1">
        <v>97100</v>
      </c>
      <c r="AC243" s="1">
        <v>277100</v>
      </c>
      <c r="AD243" s="1">
        <v>35500</v>
      </c>
      <c r="AE243" s="1">
        <v>9600</v>
      </c>
      <c r="AF243" s="1">
        <v>4000</v>
      </c>
      <c r="AG243" s="1">
        <v>8000</v>
      </c>
      <c r="AH243" s="1">
        <v>8700</v>
      </c>
      <c r="AI243" s="1">
        <v>3100</v>
      </c>
      <c r="AJ243" s="1">
        <v>8800</v>
      </c>
      <c r="AK243" s="1">
        <v>10200</v>
      </c>
      <c r="AL243" s="1">
        <v>3900</v>
      </c>
      <c r="AM243" s="1">
        <v>8500</v>
      </c>
      <c r="AN243" s="1">
        <v>2300</v>
      </c>
      <c r="AO243" s="1">
        <v>12600</v>
      </c>
      <c r="AP243" s="1">
        <v>6100</v>
      </c>
      <c r="AQ243" s="1">
        <v>12300</v>
      </c>
      <c r="AR243" s="1">
        <v>5900</v>
      </c>
      <c r="AS243" s="1">
        <v>8500</v>
      </c>
      <c r="AT243" s="1">
        <v>26000</v>
      </c>
      <c r="AU243" s="1">
        <v>6000</v>
      </c>
      <c r="AV243" s="1">
        <v>1700</v>
      </c>
      <c r="AW243" s="1">
        <v>3800</v>
      </c>
      <c r="AX243" s="1">
        <v>4800</v>
      </c>
      <c r="AY243" s="1">
        <v>5700</v>
      </c>
      <c r="AZ243" s="1">
        <v>2000</v>
      </c>
      <c r="BA243" s="1">
        <v>4400</v>
      </c>
      <c r="BB243" s="1">
        <v>2700</v>
      </c>
      <c r="BC243" s="1">
        <v>2400</v>
      </c>
      <c r="BD243" s="1">
        <v>2200</v>
      </c>
      <c r="BE243" s="1">
        <v>4500</v>
      </c>
      <c r="BF243" s="1">
        <v>800</v>
      </c>
      <c r="BG243" s="1">
        <v>7000</v>
      </c>
      <c r="BH243" s="1">
        <v>10800</v>
      </c>
      <c r="BI243" s="1">
        <v>6400</v>
      </c>
      <c r="BJ243" s="1">
        <v>7900</v>
      </c>
      <c r="BK243" s="1">
        <v>9400</v>
      </c>
      <c r="BL243" s="1">
        <v>9100</v>
      </c>
    </row>
    <row r="244" spans="1:64">
      <c r="A244" s="434" t="s">
        <v>528</v>
      </c>
      <c r="B244" s="1" t="str">
        <f>銘柄管理!C244</f>
        <v>デンソー</v>
      </c>
      <c r="C244" s="1">
        <f>_xll.RssMarket("6902","出来高")</f>
        <v>7011600</v>
      </c>
      <c r="D244" s="85">
        <f t="shared" si="4"/>
        <v>0</v>
      </c>
      <c r="E244" s="1">
        <v>7011600</v>
      </c>
      <c r="F244" s="1">
        <v>4906500</v>
      </c>
      <c r="G244" s="1">
        <v>9110900</v>
      </c>
      <c r="H244" s="1">
        <v>11073000</v>
      </c>
      <c r="I244" s="1">
        <v>7457200</v>
      </c>
      <c r="J244" s="1">
        <v>9215000</v>
      </c>
      <c r="K244" s="1">
        <v>10318600</v>
      </c>
      <c r="L244" s="1">
        <v>6624500</v>
      </c>
      <c r="M244" s="1">
        <v>8136900</v>
      </c>
      <c r="N244" s="1">
        <v>7086000</v>
      </c>
      <c r="O244" s="1">
        <v>15164500</v>
      </c>
      <c r="P244" s="1">
        <v>6752200</v>
      </c>
      <c r="Q244" s="1">
        <v>8515000</v>
      </c>
      <c r="R244" s="1">
        <v>8828900</v>
      </c>
      <c r="S244" s="1">
        <v>7670100</v>
      </c>
      <c r="T244" s="1">
        <v>5200800</v>
      </c>
      <c r="U244" s="1">
        <v>6774500</v>
      </c>
      <c r="V244" s="1">
        <v>6452700</v>
      </c>
      <c r="W244" s="1">
        <v>8048500</v>
      </c>
      <c r="X244" s="1">
        <v>9868300</v>
      </c>
      <c r="Y244" s="1">
        <v>9570500</v>
      </c>
      <c r="Z244" s="1">
        <v>6720900</v>
      </c>
      <c r="AA244" s="1">
        <v>6711000</v>
      </c>
      <c r="AB244" s="1">
        <v>7043400</v>
      </c>
      <c r="AC244" s="1">
        <v>9299300</v>
      </c>
      <c r="AD244" s="1">
        <v>12597500</v>
      </c>
      <c r="AE244" s="1">
        <v>7821900</v>
      </c>
      <c r="AF244" s="1">
        <v>18844900</v>
      </c>
      <c r="AG244" s="1">
        <v>25897700</v>
      </c>
      <c r="AH244" s="1">
        <v>11689500</v>
      </c>
      <c r="AI244" s="1">
        <v>5990900</v>
      </c>
      <c r="AJ244" s="1">
        <v>6515500</v>
      </c>
      <c r="AK244" s="1">
        <v>4384100</v>
      </c>
      <c r="AL244" s="1">
        <v>5127700</v>
      </c>
      <c r="AM244" s="1">
        <v>6926600</v>
      </c>
      <c r="AN244" s="1">
        <v>6138500</v>
      </c>
      <c r="AO244" s="1">
        <v>9172600</v>
      </c>
      <c r="AP244" s="1">
        <v>9168200</v>
      </c>
      <c r="AQ244" s="1">
        <v>5753500</v>
      </c>
      <c r="AR244" s="1">
        <v>5465000</v>
      </c>
      <c r="AS244" s="1">
        <v>6071300</v>
      </c>
      <c r="AT244" s="1">
        <v>6679900</v>
      </c>
      <c r="AU244" s="1">
        <v>10131700</v>
      </c>
      <c r="AV244" s="1">
        <v>5065100</v>
      </c>
      <c r="AW244" s="1">
        <v>3930600</v>
      </c>
      <c r="AX244" s="1">
        <v>4277700</v>
      </c>
      <c r="AY244" s="1">
        <v>7040500</v>
      </c>
      <c r="AZ244" s="1">
        <v>10403600</v>
      </c>
      <c r="BA244" s="1">
        <v>14392900</v>
      </c>
      <c r="BB244" s="1">
        <v>8531100</v>
      </c>
      <c r="BC244" s="1">
        <v>7382700</v>
      </c>
      <c r="BD244" s="1">
        <v>5534100</v>
      </c>
      <c r="BE244" s="1">
        <v>6414000</v>
      </c>
      <c r="BF244" s="1">
        <v>5754000</v>
      </c>
      <c r="BG244" s="1">
        <v>10721100</v>
      </c>
      <c r="BH244" s="1">
        <v>11672500</v>
      </c>
      <c r="BI244" s="1">
        <v>7089000</v>
      </c>
      <c r="BJ244" s="1">
        <v>5143200</v>
      </c>
      <c r="BK244" s="1">
        <v>6565800</v>
      </c>
      <c r="BL244" s="1">
        <v>13667100</v>
      </c>
    </row>
    <row r="245" spans="1:64">
      <c r="A245" s="434" t="s">
        <v>529</v>
      </c>
      <c r="B245" s="1" t="str">
        <f>銘柄管理!C245</f>
        <v>グローバルウェイ</v>
      </c>
      <c r="C245" s="1">
        <f>_xll.RssMarket("3936","出来高")</f>
        <v>687300</v>
      </c>
      <c r="D245" s="85">
        <f t="shared" si="4"/>
        <v>0</v>
      </c>
      <c r="E245" s="1">
        <v>687300</v>
      </c>
      <c r="F245" s="1">
        <v>863100</v>
      </c>
      <c r="G245" s="1">
        <v>596300</v>
      </c>
      <c r="H245" s="1">
        <v>806500</v>
      </c>
      <c r="I245" s="1">
        <v>663400</v>
      </c>
      <c r="J245" s="1">
        <v>964900</v>
      </c>
      <c r="K245" s="1">
        <v>1153900</v>
      </c>
      <c r="L245" s="1">
        <v>781700</v>
      </c>
      <c r="M245" s="1">
        <v>567500</v>
      </c>
      <c r="N245" s="1">
        <v>1141400</v>
      </c>
      <c r="O245" s="1">
        <v>1217600</v>
      </c>
      <c r="P245" s="1">
        <v>2058000</v>
      </c>
      <c r="Q245" s="1">
        <v>11958200</v>
      </c>
      <c r="R245" s="1">
        <v>561200</v>
      </c>
      <c r="S245" s="1">
        <v>1069300</v>
      </c>
      <c r="T245" s="1">
        <v>898700</v>
      </c>
      <c r="U245" s="1">
        <v>1219700</v>
      </c>
      <c r="V245" s="1">
        <v>2458000</v>
      </c>
      <c r="W245" s="1">
        <v>2933600</v>
      </c>
      <c r="X245" s="1">
        <v>4595200</v>
      </c>
      <c r="Y245" s="1">
        <v>10752400</v>
      </c>
      <c r="Z245" s="1">
        <v>340000</v>
      </c>
      <c r="AA245" s="1">
        <v>1771300</v>
      </c>
      <c r="AB245" s="1">
        <v>1379800</v>
      </c>
      <c r="AC245" s="1">
        <v>1373100</v>
      </c>
      <c r="AD245" s="1">
        <v>2538500</v>
      </c>
      <c r="AE245" s="1">
        <v>2088400</v>
      </c>
      <c r="AF245" s="1">
        <v>7290100</v>
      </c>
      <c r="AG245" s="1">
        <v>7621400</v>
      </c>
      <c r="AH245" s="1">
        <v>12909000</v>
      </c>
      <c r="AI245" s="1">
        <v>14291100</v>
      </c>
      <c r="AJ245" s="1">
        <v>30770600</v>
      </c>
      <c r="AK245" s="1">
        <v>20844800</v>
      </c>
      <c r="AL245" s="1">
        <v>38993300</v>
      </c>
      <c r="AM245" s="1">
        <v>18379100</v>
      </c>
      <c r="AN245" s="1">
        <v>2951400</v>
      </c>
      <c r="AO245" s="1">
        <v>200800</v>
      </c>
      <c r="AP245" s="1">
        <v>36500</v>
      </c>
      <c r="AQ245" s="1">
        <v>14000</v>
      </c>
      <c r="AR245" s="1">
        <v>77000</v>
      </c>
      <c r="AS245" s="1">
        <v>112800</v>
      </c>
      <c r="AT245" s="1">
        <v>42500</v>
      </c>
      <c r="AU245" s="1">
        <v>34000</v>
      </c>
      <c r="AV245" s="1">
        <v>98800</v>
      </c>
      <c r="AW245" s="1">
        <v>66500</v>
      </c>
      <c r="AX245" s="1">
        <v>65200</v>
      </c>
      <c r="AY245" s="1">
        <v>256100</v>
      </c>
      <c r="AZ245" s="1">
        <v>105300</v>
      </c>
      <c r="BA245" s="1">
        <v>138000</v>
      </c>
      <c r="BB245" s="1">
        <v>206000</v>
      </c>
      <c r="BC245" s="1">
        <v>64600</v>
      </c>
      <c r="BD245" s="1">
        <v>246500</v>
      </c>
      <c r="BE245" s="1">
        <v>239900</v>
      </c>
      <c r="BF245" s="1">
        <v>117600</v>
      </c>
      <c r="BG245" s="1">
        <v>307900</v>
      </c>
      <c r="BH245" s="1">
        <v>319300</v>
      </c>
      <c r="BI245" s="1">
        <v>306500</v>
      </c>
      <c r="BJ245" s="1">
        <v>182700</v>
      </c>
      <c r="BK245" s="1">
        <v>99600</v>
      </c>
      <c r="BL245" s="1">
        <v>147800</v>
      </c>
    </row>
    <row r="246" spans="1:64">
      <c r="A246" s="434" t="s">
        <v>547</v>
      </c>
      <c r="B246" s="1" t="str">
        <f>銘柄管理!C246</f>
        <v>エノモト</v>
      </c>
      <c r="C246" s="1">
        <f>_xll.RssMarket("6928","出来高")</f>
        <v>15200</v>
      </c>
      <c r="D246" s="85">
        <f t="shared" si="4"/>
        <v>0</v>
      </c>
      <c r="E246" s="1">
        <v>15200</v>
      </c>
      <c r="F246" s="1">
        <v>31200</v>
      </c>
      <c r="G246" s="1">
        <v>55600</v>
      </c>
      <c r="H246" s="1">
        <v>32000</v>
      </c>
      <c r="I246" s="1">
        <v>49600</v>
      </c>
      <c r="J246" s="1">
        <v>45600</v>
      </c>
      <c r="K246" s="1">
        <v>25700</v>
      </c>
      <c r="L246" s="1">
        <v>28400</v>
      </c>
      <c r="M246" s="1">
        <v>33800</v>
      </c>
      <c r="N246" s="1">
        <v>42900</v>
      </c>
      <c r="O246" s="1">
        <v>53400</v>
      </c>
      <c r="P246" s="1">
        <v>52900</v>
      </c>
      <c r="Q246" s="1">
        <v>38800</v>
      </c>
      <c r="R246" s="1">
        <v>30400</v>
      </c>
      <c r="S246" s="1">
        <v>50700</v>
      </c>
      <c r="T246" s="1">
        <v>28800</v>
      </c>
      <c r="U246" s="1">
        <v>65400</v>
      </c>
      <c r="V246" s="1">
        <v>68200</v>
      </c>
      <c r="W246" s="1">
        <v>32300</v>
      </c>
      <c r="X246" s="1">
        <v>47700</v>
      </c>
      <c r="Y246" s="1">
        <v>36400</v>
      </c>
      <c r="Z246" s="1">
        <v>50800</v>
      </c>
      <c r="AA246" s="1">
        <v>115900</v>
      </c>
      <c r="AB246" s="1">
        <v>308400</v>
      </c>
      <c r="AC246" s="1">
        <v>48000</v>
      </c>
      <c r="AD246" s="1">
        <v>57800</v>
      </c>
      <c r="AE246" s="1">
        <v>66100</v>
      </c>
      <c r="AF246" s="1">
        <v>54100</v>
      </c>
      <c r="AG246" s="1">
        <v>22900</v>
      </c>
      <c r="AH246" s="1">
        <v>17800</v>
      </c>
      <c r="AI246" s="1">
        <v>20900</v>
      </c>
      <c r="AJ246" s="1">
        <v>26800</v>
      </c>
      <c r="AK246" s="1">
        <v>22600</v>
      </c>
      <c r="AL246" s="1">
        <v>17600</v>
      </c>
      <c r="AM246" s="1">
        <v>18900</v>
      </c>
      <c r="AN246" s="1">
        <v>24600</v>
      </c>
      <c r="AO246" s="1">
        <v>28200</v>
      </c>
      <c r="AP246" s="1">
        <v>50100</v>
      </c>
      <c r="AQ246" s="1">
        <v>31300</v>
      </c>
      <c r="AR246" s="1">
        <v>14000</v>
      </c>
      <c r="AS246" s="1">
        <v>24500</v>
      </c>
      <c r="AT246" s="1">
        <v>20200</v>
      </c>
      <c r="AU246" s="1">
        <v>34600</v>
      </c>
      <c r="AV246" s="1">
        <v>31200</v>
      </c>
      <c r="AW246" s="1">
        <v>16300</v>
      </c>
      <c r="AX246" s="1">
        <v>61500</v>
      </c>
      <c r="AY246" s="1">
        <v>38700</v>
      </c>
      <c r="AZ246" s="1">
        <v>31800</v>
      </c>
      <c r="BA246" s="1">
        <v>33800</v>
      </c>
      <c r="BB246" s="1">
        <v>90900</v>
      </c>
      <c r="BC246" s="1">
        <v>20300</v>
      </c>
      <c r="BD246" s="1">
        <v>22600</v>
      </c>
      <c r="BE246" s="1">
        <v>15500</v>
      </c>
      <c r="BF246" s="1">
        <v>26300</v>
      </c>
      <c r="BG246" s="1">
        <v>83900</v>
      </c>
      <c r="BH246" s="1">
        <v>81300</v>
      </c>
      <c r="BI246" s="1">
        <v>17500</v>
      </c>
      <c r="BJ246" s="1">
        <v>28800</v>
      </c>
      <c r="BK246" s="1">
        <v>28300</v>
      </c>
      <c r="BL246" s="1">
        <v>31500</v>
      </c>
    </row>
    <row r="247" spans="1:64">
      <c r="A247" s="434" t="s">
        <v>548</v>
      </c>
      <c r="B247" s="1" t="str">
        <f>銘柄管理!C247</f>
        <v>三菱製鋼</v>
      </c>
      <c r="C247" s="1">
        <f>_xll.RssMarket("5632","出来高")</f>
        <v>28900</v>
      </c>
      <c r="D247" s="85">
        <f t="shared" si="4"/>
        <v>0</v>
      </c>
      <c r="E247" s="1">
        <v>28900</v>
      </c>
      <c r="F247" s="1">
        <v>35300</v>
      </c>
      <c r="G247" s="1">
        <v>83400</v>
      </c>
      <c r="H247" s="1">
        <v>58300</v>
      </c>
      <c r="I247" s="1">
        <v>71500</v>
      </c>
      <c r="J247" s="1">
        <v>113000</v>
      </c>
      <c r="K247" s="1">
        <v>77300</v>
      </c>
      <c r="L247" s="1">
        <v>98900</v>
      </c>
      <c r="M247" s="1">
        <v>100300</v>
      </c>
      <c r="N247" s="1">
        <v>100600</v>
      </c>
      <c r="O247" s="1">
        <v>103400</v>
      </c>
      <c r="P247" s="1">
        <v>113800</v>
      </c>
      <c r="Q247" s="1">
        <v>154200</v>
      </c>
      <c r="R247" s="1">
        <v>108500</v>
      </c>
      <c r="S247" s="1">
        <v>101500</v>
      </c>
      <c r="T247" s="1">
        <v>133600</v>
      </c>
      <c r="U247" s="1">
        <v>105200</v>
      </c>
      <c r="V247" s="1">
        <v>118500</v>
      </c>
      <c r="W247" s="1">
        <v>205100</v>
      </c>
      <c r="X247" s="1">
        <v>370700</v>
      </c>
      <c r="Y247" s="1">
        <v>335400</v>
      </c>
      <c r="Z247" s="1">
        <v>252400</v>
      </c>
      <c r="AA247" s="1">
        <v>108000</v>
      </c>
      <c r="AB247" s="1">
        <v>213900</v>
      </c>
      <c r="AC247" s="1">
        <v>67500</v>
      </c>
      <c r="AD247" s="1">
        <v>72200</v>
      </c>
      <c r="AE247" s="1">
        <v>73600</v>
      </c>
      <c r="AF247" s="1">
        <v>80000</v>
      </c>
      <c r="AG247" s="1">
        <v>70600</v>
      </c>
      <c r="AH247" s="1">
        <v>69200</v>
      </c>
      <c r="AI247" s="1">
        <v>72700</v>
      </c>
      <c r="AJ247" s="1">
        <v>62100</v>
      </c>
      <c r="AK247" s="1">
        <v>63700</v>
      </c>
      <c r="AL247" s="1">
        <v>48200</v>
      </c>
      <c r="AM247" s="1">
        <v>54700</v>
      </c>
      <c r="AN247" s="1">
        <v>50000</v>
      </c>
      <c r="AO247" s="1">
        <v>60300</v>
      </c>
      <c r="AP247" s="1">
        <v>68700</v>
      </c>
      <c r="AQ247" s="1">
        <v>63800</v>
      </c>
      <c r="AR247" s="1">
        <v>83100</v>
      </c>
      <c r="AS247" s="1">
        <v>74100</v>
      </c>
      <c r="AT247" s="1">
        <v>105400</v>
      </c>
      <c r="AU247" s="1">
        <v>99800</v>
      </c>
      <c r="AV247" s="1">
        <v>64300</v>
      </c>
      <c r="AW247" s="1">
        <v>76900</v>
      </c>
      <c r="AX247" s="1">
        <v>59400</v>
      </c>
      <c r="AY247" s="1">
        <v>78900</v>
      </c>
      <c r="AZ247" s="1">
        <v>100400</v>
      </c>
      <c r="BA247" s="1">
        <v>91300</v>
      </c>
      <c r="BB247" s="1">
        <v>116700</v>
      </c>
      <c r="BC247" s="1">
        <v>98100</v>
      </c>
      <c r="BD247" s="1">
        <v>75300</v>
      </c>
      <c r="BE247" s="1">
        <v>82700</v>
      </c>
      <c r="BF247" s="1">
        <v>89900</v>
      </c>
      <c r="BG247" s="1">
        <v>176800</v>
      </c>
      <c r="BH247" s="1">
        <v>146000</v>
      </c>
      <c r="BI247" s="1">
        <v>92700</v>
      </c>
      <c r="BJ247" s="1">
        <v>79700</v>
      </c>
      <c r="BK247" s="1">
        <v>118100</v>
      </c>
      <c r="BL247" s="1">
        <v>127200</v>
      </c>
    </row>
    <row r="248" spans="1:64">
      <c r="A248" s="434" t="s">
        <v>549</v>
      </c>
      <c r="B248" s="1" t="str">
        <f>銘柄管理!C248</f>
        <v>リクルートホールディングス</v>
      </c>
      <c r="C248" s="1">
        <f>_xll.RssMarket("6098","出来高")</f>
        <v>3628100</v>
      </c>
      <c r="D248" s="85">
        <f t="shared" si="4"/>
        <v>0</v>
      </c>
      <c r="E248" s="1">
        <v>3628100</v>
      </c>
      <c r="F248" s="1">
        <v>2743600</v>
      </c>
      <c r="G248" s="1">
        <v>7113000</v>
      </c>
      <c r="H248" s="1">
        <v>4717800</v>
      </c>
      <c r="I248" s="1">
        <v>6072500</v>
      </c>
      <c r="J248" s="1">
        <v>4476500</v>
      </c>
      <c r="K248" s="1">
        <v>3111400</v>
      </c>
      <c r="L248" s="1">
        <v>3122600</v>
      </c>
      <c r="M248" s="1">
        <v>4746500</v>
      </c>
      <c r="N248" s="1">
        <v>7506200</v>
      </c>
      <c r="O248" s="1">
        <v>17460900</v>
      </c>
      <c r="P248" s="1">
        <v>7644100</v>
      </c>
      <c r="Q248" s="1">
        <v>5574200</v>
      </c>
      <c r="R248" s="1">
        <v>3397800</v>
      </c>
      <c r="S248" s="1">
        <v>5224200</v>
      </c>
      <c r="T248" s="1">
        <v>4791900</v>
      </c>
      <c r="U248" s="1">
        <v>8907400</v>
      </c>
      <c r="V248" s="1">
        <v>16251100</v>
      </c>
      <c r="W248" s="1">
        <v>21985000</v>
      </c>
      <c r="X248" s="1">
        <v>8557900</v>
      </c>
      <c r="Y248" s="1">
        <v>7107100</v>
      </c>
      <c r="Z248" s="1">
        <v>4579200</v>
      </c>
      <c r="AA248" s="1">
        <v>4143200</v>
      </c>
      <c r="AB248" s="1">
        <v>4240800</v>
      </c>
      <c r="AC248" s="1">
        <v>7525500</v>
      </c>
      <c r="AD248" s="1">
        <v>8411200</v>
      </c>
      <c r="AE248" s="1">
        <v>3535400</v>
      </c>
      <c r="AF248" s="1">
        <v>7038100</v>
      </c>
      <c r="AG248" s="1">
        <v>11715500</v>
      </c>
      <c r="AH248" s="1">
        <v>3826700</v>
      </c>
      <c r="AI248" s="1">
        <v>5591600</v>
      </c>
      <c r="AJ248" s="1">
        <v>8410200</v>
      </c>
      <c r="AK248" s="1">
        <v>6754900</v>
      </c>
      <c r="AL248" s="1">
        <v>5620900</v>
      </c>
      <c r="AM248" s="1">
        <v>4445700</v>
      </c>
      <c r="AN248" s="1">
        <v>6301300</v>
      </c>
      <c r="AO248" s="1">
        <v>3896400</v>
      </c>
      <c r="AP248" s="1">
        <v>4604200</v>
      </c>
      <c r="AQ248" s="1">
        <v>4450500</v>
      </c>
      <c r="AR248" s="1">
        <v>4658000</v>
      </c>
      <c r="AS248" s="1">
        <v>4598700</v>
      </c>
      <c r="AT248" s="1">
        <v>5972300</v>
      </c>
      <c r="AU248" s="1">
        <v>7226300</v>
      </c>
      <c r="AV248" s="1">
        <v>3006200</v>
      </c>
      <c r="AW248" s="1">
        <v>2722200</v>
      </c>
      <c r="AX248" s="1">
        <v>4164100</v>
      </c>
      <c r="AY248" s="1">
        <v>6708200</v>
      </c>
      <c r="AZ248" s="1">
        <v>10341400</v>
      </c>
      <c r="BA248" s="1">
        <v>5989900</v>
      </c>
      <c r="BB248" s="1">
        <v>6078400</v>
      </c>
      <c r="BC248" s="1">
        <v>5746700</v>
      </c>
      <c r="BD248" s="1">
        <v>4099700</v>
      </c>
      <c r="BE248" s="1">
        <v>4694500</v>
      </c>
      <c r="BF248" s="1">
        <v>5149600</v>
      </c>
      <c r="BG248" s="1">
        <v>5830000</v>
      </c>
      <c r="BH248" s="1">
        <v>7249300</v>
      </c>
      <c r="BI248" s="1">
        <v>3958400</v>
      </c>
      <c r="BJ248" s="1">
        <v>3618100</v>
      </c>
      <c r="BK248" s="1">
        <v>4375200</v>
      </c>
      <c r="BL248" s="1">
        <v>5699100</v>
      </c>
    </row>
    <row r="249" spans="1:64">
      <c r="A249" s="434" t="s">
        <v>550</v>
      </c>
      <c r="B249" s="1" t="str">
        <f>銘柄管理!C249</f>
        <v>荏原製作所</v>
      </c>
      <c r="C249" s="1">
        <f>_xll.RssMarket("6361","出来高")</f>
        <v>3437000</v>
      </c>
      <c r="D249" s="85">
        <f t="shared" si="4"/>
        <v>0</v>
      </c>
      <c r="E249" s="1">
        <v>3437000</v>
      </c>
      <c r="F249" s="1">
        <v>3206000</v>
      </c>
      <c r="G249" s="1">
        <v>2920300</v>
      </c>
      <c r="H249" s="1">
        <v>2568200</v>
      </c>
      <c r="I249" s="1">
        <v>3427500</v>
      </c>
      <c r="J249" s="1">
        <v>3192900</v>
      </c>
      <c r="K249" s="1">
        <v>1687900</v>
      </c>
      <c r="L249" s="1">
        <v>2272900</v>
      </c>
      <c r="M249" s="1">
        <v>2891700</v>
      </c>
      <c r="N249" s="1">
        <v>4060800</v>
      </c>
      <c r="O249" s="1">
        <v>4360300</v>
      </c>
      <c r="P249" s="1">
        <v>3110500</v>
      </c>
      <c r="Q249" s="1">
        <v>3544400</v>
      </c>
      <c r="R249" s="1">
        <v>3711800</v>
      </c>
      <c r="S249" s="1">
        <v>4302300</v>
      </c>
      <c r="T249" s="1">
        <v>3248800</v>
      </c>
      <c r="U249" s="1">
        <v>4155100</v>
      </c>
      <c r="V249" s="1">
        <v>3194200</v>
      </c>
      <c r="W249" s="1">
        <v>4428300</v>
      </c>
      <c r="X249" s="1">
        <v>5374800</v>
      </c>
      <c r="Y249" s="1">
        <v>3227300</v>
      </c>
      <c r="Z249" s="1">
        <v>2217500</v>
      </c>
      <c r="AA249" s="1">
        <v>2567100</v>
      </c>
      <c r="AB249" s="1">
        <v>3410800</v>
      </c>
      <c r="AC249" s="1">
        <v>3325300</v>
      </c>
      <c r="AD249" s="1">
        <v>6871600</v>
      </c>
      <c r="AE249" s="1">
        <v>1790600</v>
      </c>
      <c r="AF249" s="1">
        <v>3556400</v>
      </c>
      <c r="AG249" s="1">
        <v>4089500</v>
      </c>
      <c r="AH249" s="1">
        <v>2855200</v>
      </c>
      <c r="AI249" s="1">
        <v>2647100</v>
      </c>
      <c r="AJ249" s="1">
        <v>3450000</v>
      </c>
      <c r="AK249" s="1">
        <v>4481500</v>
      </c>
      <c r="AL249" s="1">
        <v>1813400</v>
      </c>
      <c r="AM249" s="1">
        <v>2190600</v>
      </c>
      <c r="AN249" s="1">
        <v>2076600</v>
      </c>
      <c r="AO249" s="1">
        <v>2920800</v>
      </c>
      <c r="AP249" s="1">
        <v>2891900</v>
      </c>
      <c r="AQ249" s="1">
        <v>2357100</v>
      </c>
      <c r="AR249" s="1">
        <v>2015400</v>
      </c>
      <c r="AS249" s="1">
        <v>3960600</v>
      </c>
      <c r="AT249" s="1">
        <v>4075200</v>
      </c>
      <c r="AU249" s="1">
        <v>4357700</v>
      </c>
      <c r="AV249" s="1">
        <v>2001500</v>
      </c>
      <c r="AW249" s="1">
        <v>1393200</v>
      </c>
      <c r="AX249" s="1">
        <v>1689200</v>
      </c>
      <c r="AY249" s="1">
        <v>3421900</v>
      </c>
      <c r="AZ249" s="1">
        <v>3047300</v>
      </c>
      <c r="BA249" s="1">
        <v>5694300</v>
      </c>
      <c r="BB249" s="1">
        <v>4761700</v>
      </c>
      <c r="BC249" s="1">
        <v>4816600</v>
      </c>
      <c r="BD249" s="1">
        <v>2384300</v>
      </c>
      <c r="BE249" s="1">
        <v>3352000</v>
      </c>
      <c r="BF249" s="1">
        <v>2906500</v>
      </c>
      <c r="BG249" s="1">
        <v>3542000</v>
      </c>
      <c r="BH249" s="1">
        <v>2975200</v>
      </c>
      <c r="BI249" s="1">
        <v>1920500</v>
      </c>
      <c r="BJ249" s="1">
        <v>2262400</v>
      </c>
      <c r="BK249" s="1">
        <v>3561000</v>
      </c>
      <c r="BL249" s="1">
        <v>4798200</v>
      </c>
    </row>
    <row r="250" spans="1:64">
      <c r="A250" s="434" t="s">
        <v>551</v>
      </c>
      <c r="B250" s="1" t="str">
        <f>銘柄管理!C250</f>
        <v>情報戦略テクノロジー</v>
      </c>
      <c r="C250" s="1">
        <f>_xll.RssMarket("155A","出来高")</f>
        <v>58200</v>
      </c>
      <c r="D250" s="85">
        <f t="shared" si="4"/>
        <v>0</v>
      </c>
      <c r="E250" s="1">
        <v>58200</v>
      </c>
      <c r="F250" s="1">
        <v>29200</v>
      </c>
      <c r="G250" s="1">
        <v>35200</v>
      </c>
      <c r="H250" s="1">
        <v>39500</v>
      </c>
      <c r="I250" s="1">
        <v>45900</v>
      </c>
      <c r="J250" s="1">
        <v>84000</v>
      </c>
      <c r="K250" s="1">
        <v>61600</v>
      </c>
      <c r="L250" s="1">
        <v>67600</v>
      </c>
      <c r="M250" s="1">
        <v>115500</v>
      </c>
      <c r="N250" s="1">
        <v>33400</v>
      </c>
      <c r="O250" s="1">
        <v>90300</v>
      </c>
      <c r="P250" s="1">
        <v>40000</v>
      </c>
      <c r="Q250" s="1">
        <v>61700</v>
      </c>
      <c r="R250" s="1">
        <v>47800</v>
      </c>
      <c r="S250" s="1">
        <v>38200</v>
      </c>
      <c r="T250" s="1">
        <v>45800</v>
      </c>
      <c r="U250" s="1">
        <v>106000</v>
      </c>
      <c r="V250" s="1">
        <v>183800</v>
      </c>
      <c r="W250" s="1">
        <v>344400</v>
      </c>
      <c r="X250" s="1">
        <v>217900</v>
      </c>
      <c r="Y250" s="1">
        <v>87900</v>
      </c>
      <c r="Z250" s="1">
        <v>61800</v>
      </c>
      <c r="AA250" s="1">
        <v>28100</v>
      </c>
      <c r="AB250" s="1">
        <v>28400</v>
      </c>
      <c r="AC250" s="1">
        <v>25600</v>
      </c>
      <c r="AD250" s="1">
        <v>22900</v>
      </c>
      <c r="AE250" s="1">
        <v>23100</v>
      </c>
      <c r="AF250" s="1">
        <v>34400</v>
      </c>
      <c r="AG250" s="1">
        <v>30900</v>
      </c>
      <c r="AH250" s="1">
        <v>34100</v>
      </c>
      <c r="AI250" s="1">
        <v>17500</v>
      </c>
      <c r="AJ250" s="1">
        <v>22500</v>
      </c>
      <c r="AK250" s="1">
        <v>25100</v>
      </c>
      <c r="AL250" s="1">
        <v>28700</v>
      </c>
      <c r="AM250" s="1">
        <v>24000</v>
      </c>
      <c r="AN250" s="1">
        <v>25300</v>
      </c>
      <c r="AO250" s="1">
        <v>33100</v>
      </c>
      <c r="AP250" s="1">
        <v>54400</v>
      </c>
      <c r="AQ250" s="1">
        <v>33700</v>
      </c>
      <c r="AR250" s="1">
        <v>110200</v>
      </c>
      <c r="AS250" s="1">
        <v>76500</v>
      </c>
      <c r="AT250" s="1">
        <v>68100</v>
      </c>
      <c r="AU250" s="1">
        <v>45800</v>
      </c>
      <c r="AV250" s="1">
        <v>24300</v>
      </c>
      <c r="AW250" s="1">
        <v>10200</v>
      </c>
      <c r="AX250" s="1">
        <v>21700</v>
      </c>
      <c r="AY250" s="1">
        <v>44500</v>
      </c>
      <c r="AZ250" s="1">
        <v>47000</v>
      </c>
      <c r="BA250" s="1">
        <v>50700</v>
      </c>
      <c r="BB250" s="1">
        <v>49100</v>
      </c>
      <c r="BC250" s="1">
        <v>37600</v>
      </c>
      <c r="BD250" s="1">
        <v>53500</v>
      </c>
      <c r="BE250" s="1">
        <v>64700</v>
      </c>
      <c r="BF250" s="1">
        <v>74800</v>
      </c>
      <c r="BG250" s="1">
        <v>77700</v>
      </c>
      <c r="BH250" s="1">
        <v>60300</v>
      </c>
      <c r="BI250" s="1">
        <v>84700</v>
      </c>
      <c r="BJ250" s="1">
        <v>46400</v>
      </c>
      <c r="BK250" s="1">
        <v>111500</v>
      </c>
      <c r="BL250" s="1">
        <v>47500</v>
      </c>
    </row>
    <row r="251" spans="1:64">
      <c r="A251" s="434" t="s">
        <v>552</v>
      </c>
      <c r="B251" s="1" t="str">
        <f>銘柄管理!C251</f>
        <v>ＴＥＲＲＡＤＲＯＮＥ</v>
      </c>
      <c r="C251" s="1">
        <f>_xll.RssMarket("278A","出来高")</f>
        <v>2099300</v>
      </c>
      <c r="D251" s="85">
        <f t="shared" si="4"/>
        <v>0</v>
      </c>
      <c r="E251" s="1">
        <v>2099300</v>
      </c>
      <c r="F251" s="1">
        <v>689500</v>
      </c>
      <c r="G251" s="1">
        <v>559500</v>
      </c>
      <c r="H251" s="1">
        <v>630800</v>
      </c>
      <c r="I251" s="1">
        <v>1250900</v>
      </c>
      <c r="J251" s="1">
        <v>1781800</v>
      </c>
      <c r="K251" s="1">
        <v>430500</v>
      </c>
      <c r="L251" s="1">
        <v>418800</v>
      </c>
      <c r="M251" s="1">
        <v>391800</v>
      </c>
      <c r="N251" s="1">
        <v>423300</v>
      </c>
      <c r="O251" s="1">
        <v>633600</v>
      </c>
      <c r="P251" s="1">
        <v>1051000</v>
      </c>
      <c r="Q251" s="1">
        <v>956500</v>
      </c>
      <c r="R251" s="1">
        <v>643500</v>
      </c>
      <c r="S251" s="1">
        <v>521900</v>
      </c>
      <c r="T251" s="1">
        <v>720600</v>
      </c>
      <c r="U251" s="1">
        <v>750600</v>
      </c>
      <c r="V251" s="1">
        <v>1680900</v>
      </c>
      <c r="W251" s="1">
        <v>1220200</v>
      </c>
      <c r="X251" s="1">
        <v>2123900</v>
      </c>
      <c r="Y251" s="1">
        <v>1887300</v>
      </c>
      <c r="Z251" s="1">
        <v>4134500</v>
      </c>
      <c r="AA251" s="1">
        <v>1320900</v>
      </c>
      <c r="AB251" s="1">
        <v>1134000</v>
      </c>
      <c r="AC251" s="1">
        <v>2416200</v>
      </c>
      <c r="AD251" s="1">
        <v>2877500</v>
      </c>
      <c r="AE251" s="1">
        <v>1631300</v>
      </c>
      <c r="AF251" s="1">
        <v>2508400</v>
      </c>
      <c r="AG251" s="1">
        <v>927900</v>
      </c>
      <c r="AH251" s="1">
        <v>846600</v>
      </c>
      <c r="AI251" s="1">
        <v>1400400</v>
      </c>
      <c r="AJ251" s="1">
        <v>2371600</v>
      </c>
      <c r="AK251" s="1">
        <v>1257400</v>
      </c>
      <c r="AL251" s="1">
        <v>662900</v>
      </c>
      <c r="AM251" s="1">
        <v>744800</v>
      </c>
      <c r="AN251" s="1">
        <v>904700</v>
      </c>
      <c r="AO251" s="1">
        <v>1875500</v>
      </c>
      <c r="AP251" s="1">
        <v>849100</v>
      </c>
      <c r="AQ251" s="1">
        <v>1877000</v>
      </c>
      <c r="AR251" s="1">
        <v>749300</v>
      </c>
      <c r="AS251" s="1">
        <v>1106800</v>
      </c>
      <c r="AT251" s="1">
        <v>899500</v>
      </c>
      <c r="AU251" s="1">
        <v>535500</v>
      </c>
      <c r="AV251" s="1">
        <v>690300</v>
      </c>
      <c r="AW251" s="1">
        <v>1371100</v>
      </c>
      <c r="AX251" s="1">
        <v>1072700</v>
      </c>
      <c r="AY251" s="1">
        <v>3536300</v>
      </c>
      <c r="AZ251" s="1">
        <v>47800</v>
      </c>
      <c r="BA251" s="1">
        <v>411900</v>
      </c>
      <c r="BB251" s="1">
        <v>816300</v>
      </c>
      <c r="BC251" s="1">
        <v>1522800</v>
      </c>
      <c r="BD251" s="1">
        <v>1714300</v>
      </c>
      <c r="BE251" s="1">
        <v>2229400</v>
      </c>
      <c r="BF251" s="1">
        <v>61800</v>
      </c>
      <c r="BG251" s="1">
        <v>169800</v>
      </c>
      <c r="BH251" s="1">
        <v>891400</v>
      </c>
      <c r="BI251" s="1">
        <v>545300</v>
      </c>
      <c r="BJ251" s="1">
        <v>386000</v>
      </c>
      <c r="BK251" s="1">
        <v>162400</v>
      </c>
      <c r="BL251" s="1">
        <v>194300</v>
      </c>
    </row>
    <row r="252" spans="1:64">
      <c r="A252" s="434" t="s">
        <v>553</v>
      </c>
      <c r="B252" s="1" t="str">
        <f>銘柄管理!C252</f>
        <v>ＭＩＣ</v>
      </c>
      <c r="C252" s="1">
        <f>_xll.RssMarket("300A","出来高")</f>
        <v>5400</v>
      </c>
      <c r="D252" s="85">
        <f t="shared" si="4"/>
        <v>0</v>
      </c>
      <c r="E252" s="1">
        <v>5400</v>
      </c>
      <c r="F252" s="1">
        <v>10000</v>
      </c>
      <c r="G252" s="1">
        <v>22400</v>
      </c>
      <c r="H252" s="1">
        <v>19000</v>
      </c>
      <c r="I252" s="1">
        <v>7000</v>
      </c>
      <c r="J252" s="1">
        <v>12400</v>
      </c>
      <c r="K252" s="1">
        <v>7300</v>
      </c>
      <c r="L252" s="1">
        <v>16000</v>
      </c>
      <c r="M252" s="1">
        <v>9500</v>
      </c>
      <c r="N252" s="1">
        <v>17300</v>
      </c>
      <c r="O252" s="1">
        <v>15900</v>
      </c>
      <c r="P252" s="1">
        <v>6300</v>
      </c>
      <c r="Q252" s="1">
        <v>8200</v>
      </c>
      <c r="R252" s="1">
        <v>13200</v>
      </c>
      <c r="S252" s="1">
        <v>13900</v>
      </c>
      <c r="T252" s="1">
        <v>9900</v>
      </c>
      <c r="U252" s="1">
        <v>17700</v>
      </c>
      <c r="V252" s="1">
        <v>18200</v>
      </c>
      <c r="W252" s="1">
        <v>68300</v>
      </c>
      <c r="X252" s="1">
        <v>101600</v>
      </c>
      <c r="Y252" s="1">
        <v>35800</v>
      </c>
      <c r="Z252" s="1">
        <v>17800</v>
      </c>
      <c r="AA252" s="1">
        <v>24600</v>
      </c>
      <c r="AB252" s="1">
        <v>19300</v>
      </c>
      <c r="AC252" s="1">
        <v>13900</v>
      </c>
      <c r="AD252" s="1">
        <v>26000</v>
      </c>
      <c r="AE252" s="1">
        <v>23600</v>
      </c>
      <c r="AF252" s="1">
        <v>24400</v>
      </c>
      <c r="AG252" s="1">
        <v>15100</v>
      </c>
      <c r="AH252" s="1">
        <v>40400</v>
      </c>
      <c r="AI252" s="1">
        <v>20300</v>
      </c>
      <c r="AJ252" s="1">
        <v>24400</v>
      </c>
      <c r="AK252" s="1">
        <v>20400</v>
      </c>
      <c r="AL252" s="1">
        <v>14000</v>
      </c>
      <c r="AM252" s="1">
        <v>12600</v>
      </c>
      <c r="AN252" s="1">
        <v>19600</v>
      </c>
      <c r="AO252" s="1">
        <v>21000</v>
      </c>
      <c r="AP252" s="1">
        <v>27800</v>
      </c>
      <c r="AQ252" s="1">
        <v>28000</v>
      </c>
      <c r="AR252" s="1">
        <v>29100</v>
      </c>
      <c r="AS252" s="1">
        <v>22100</v>
      </c>
      <c r="AT252" s="1">
        <v>18600</v>
      </c>
      <c r="AU252" s="1">
        <v>38800</v>
      </c>
      <c r="AV252" s="1">
        <v>25600</v>
      </c>
      <c r="AW252" s="1">
        <v>26600</v>
      </c>
      <c r="AX252" s="1">
        <v>25100</v>
      </c>
      <c r="AY252" s="1">
        <v>15500</v>
      </c>
      <c r="AZ252" s="1">
        <v>25400</v>
      </c>
      <c r="BA252" s="1">
        <v>35700</v>
      </c>
      <c r="BB252" s="1">
        <v>20700</v>
      </c>
      <c r="BC252" s="1">
        <v>9400</v>
      </c>
      <c r="BD252" s="1">
        <v>25400</v>
      </c>
      <c r="BE252" s="1">
        <v>14100</v>
      </c>
      <c r="BF252" s="1">
        <v>12300</v>
      </c>
      <c r="BG252" s="1">
        <v>38500</v>
      </c>
      <c r="BH252" s="1">
        <v>13300</v>
      </c>
      <c r="BI252" s="1">
        <v>7700</v>
      </c>
      <c r="BJ252" s="1">
        <v>11400</v>
      </c>
      <c r="BK252" s="1">
        <v>9100</v>
      </c>
      <c r="BL252" s="1">
        <v>9400</v>
      </c>
    </row>
    <row r="253" spans="1:64">
      <c r="A253" s="434" t="s">
        <v>554</v>
      </c>
      <c r="B253" s="1" t="str">
        <f>銘柄管理!C253</f>
        <v>サイボウズ</v>
      </c>
      <c r="C253" s="1">
        <f>_xll.RssMarket("4776","出来高")</f>
        <v>294200</v>
      </c>
      <c r="D253" s="85">
        <f t="shared" si="4"/>
        <v>0</v>
      </c>
      <c r="E253" s="1">
        <v>294200</v>
      </c>
      <c r="F253" s="1">
        <v>327000</v>
      </c>
      <c r="G253" s="1">
        <v>615300</v>
      </c>
      <c r="H253" s="1">
        <v>393900</v>
      </c>
      <c r="I253" s="1">
        <v>282700</v>
      </c>
      <c r="J253" s="1">
        <v>360900</v>
      </c>
      <c r="K253" s="1">
        <v>404600</v>
      </c>
      <c r="L253" s="1">
        <v>486700</v>
      </c>
      <c r="M253" s="1">
        <v>756200</v>
      </c>
      <c r="N253" s="1">
        <v>746600</v>
      </c>
      <c r="O253" s="1">
        <v>586400</v>
      </c>
      <c r="P253" s="1">
        <v>336200</v>
      </c>
      <c r="Q253" s="1">
        <v>332500</v>
      </c>
      <c r="R253" s="1">
        <v>617500</v>
      </c>
      <c r="S253" s="1">
        <v>427400</v>
      </c>
      <c r="T253" s="1">
        <v>727700</v>
      </c>
      <c r="U253" s="1">
        <v>614500</v>
      </c>
      <c r="V253" s="1">
        <v>697500</v>
      </c>
      <c r="W253" s="1">
        <v>774600</v>
      </c>
      <c r="X253" s="1">
        <v>1779700</v>
      </c>
      <c r="Y253" s="1">
        <v>996400</v>
      </c>
      <c r="Z253" s="1">
        <v>555900</v>
      </c>
      <c r="AA253" s="1">
        <v>540800</v>
      </c>
      <c r="AB253" s="1">
        <v>621600</v>
      </c>
      <c r="AC253" s="1">
        <v>721200</v>
      </c>
      <c r="AD253" s="1">
        <v>741200</v>
      </c>
      <c r="AE253" s="1">
        <v>348000</v>
      </c>
      <c r="AF253" s="1">
        <v>1118600</v>
      </c>
      <c r="AG253" s="1">
        <v>598300</v>
      </c>
      <c r="AH253" s="1">
        <v>372700</v>
      </c>
      <c r="AI253" s="1">
        <v>400100</v>
      </c>
      <c r="AJ253" s="1">
        <v>646200</v>
      </c>
      <c r="AK253" s="1">
        <v>300800</v>
      </c>
      <c r="AL253" s="1">
        <v>539700</v>
      </c>
      <c r="AM253" s="1">
        <v>569400</v>
      </c>
      <c r="AN253" s="1">
        <v>1129300</v>
      </c>
      <c r="AO253" s="1">
        <v>782200</v>
      </c>
      <c r="AP253" s="1">
        <v>689800</v>
      </c>
      <c r="AQ253" s="1">
        <v>652800</v>
      </c>
      <c r="AR253" s="1">
        <v>478500</v>
      </c>
      <c r="AS253" s="1">
        <v>779500</v>
      </c>
      <c r="AT253" s="1">
        <v>522800</v>
      </c>
      <c r="AU253" s="1">
        <v>374000</v>
      </c>
      <c r="AV253" s="1">
        <v>375000</v>
      </c>
      <c r="AW253" s="1">
        <v>326800</v>
      </c>
      <c r="AX253" s="1">
        <v>325300</v>
      </c>
      <c r="AY253" s="1">
        <v>483700</v>
      </c>
      <c r="AZ253" s="1">
        <v>381400</v>
      </c>
      <c r="BA253" s="1">
        <v>550700</v>
      </c>
      <c r="BB253" s="1">
        <v>536700</v>
      </c>
      <c r="BC253" s="1">
        <v>439400</v>
      </c>
      <c r="BD253" s="1">
        <v>381200</v>
      </c>
      <c r="BE253" s="1">
        <v>597700</v>
      </c>
      <c r="BF253" s="1">
        <v>693300</v>
      </c>
      <c r="BG253" s="1">
        <v>829700</v>
      </c>
      <c r="BH253" s="1">
        <v>610800</v>
      </c>
      <c r="BI253" s="1">
        <v>391600</v>
      </c>
      <c r="BJ253" s="1">
        <v>362900</v>
      </c>
      <c r="BK253" s="1">
        <v>456500</v>
      </c>
      <c r="BL253" s="1">
        <v>493100</v>
      </c>
    </row>
    <row r="254" spans="1:64">
      <c r="A254" s="434" t="s">
        <v>555</v>
      </c>
      <c r="B254" s="1" t="str">
        <f>銘柄管理!C254</f>
        <v>トレンドマイクロ</v>
      </c>
      <c r="C254" s="1">
        <f>_xll.RssMarket("4704","出来高")</f>
        <v>914000</v>
      </c>
      <c r="D254" s="85">
        <f t="shared" si="4"/>
        <v>0</v>
      </c>
      <c r="E254" s="1">
        <v>914000</v>
      </c>
      <c r="F254" s="1">
        <v>831800</v>
      </c>
      <c r="G254" s="1">
        <v>1214800</v>
      </c>
      <c r="H254" s="1">
        <v>695700</v>
      </c>
      <c r="I254" s="1">
        <v>828400</v>
      </c>
      <c r="J254" s="1">
        <v>1157200</v>
      </c>
      <c r="K254" s="1">
        <v>2647200</v>
      </c>
      <c r="L254" s="1">
        <v>1217300</v>
      </c>
      <c r="M254" s="1">
        <v>1063300</v>
      </c>
      <c r="N254" s="1">
        <v>1131900</v>
      </c>
      <c r="O254" s="1">
        <v>1228900</v>
      </c>
      <c r="P254" s="1">
        <v>842400</v>
      </c>
      <c r="Q254" s="1">
        <v>1074600</v>
      </c>
      <c r="R254" s="1">
        <v>1342600</v>
      </c>
      <c r="S254" s="1">
        <v>1094200</v>
      </c>
      <c r="T254" s="1">
        <v>738700</v>
      </c>
      <c r="U254" s="1">
        <v>1028500</v>
      </c>
      <c r="V254" s="1">
        <v>1367200</v>
      </c>
      <c r="W254" s="1">
        <v>1233800</v>
      </c>
      <c r="X254" s="1">
        <v>1500300</v>
      </c>
      <c r="Y254" s="1">
        <v>757900</v>
      </c>
      <c r="Z254" s="1">
        <v>525800</v>
      </c>
      <c r="AA254" s="1">
        <v>601400</v>
      </c>
      <c r="AB254" s="1">
        <v>686400</v>
      </c>
      <c r="AC254" s="1">
        <v>1374200</v>
      </c>
      <c r="AD254" s="1">
        <v>1178000</v>
      </c>
      <c r="AE254" s="1">
        <v>893500</v>
      </c>
      <c r="AF254" s="1">
        <v>1219300</v>
      </c>
      <c r="AG254" s="1">
        <v>848300</v>
      </c>
      <c r="AH254" s="1">
        <v>1033200</v>
      </c>
      <c r="AI254" s="1">
        <v>959000</v>
      </c>
      <c r="AJ254" s="1">
        <v>1158800</v>
      </c>
      <c r="AK254" s="1">
        <v>1031000</v>
      </c>
      <c r="AL254" s="1">
        <v>1436500</v>
      </c>
      <c r="AM254" s="1">
        <v>1741300</v>
      </c>
      <c r="AN254" s="1">
        <v>2337100</v>
      </c>
      <c r="AO254" s="1">
        <v>5516300</v>
      </c>
      <c r="AP254" s="1">
        <v>1065600</v>
      </c>
      <c r="AQ254" s="1">
        <v>911800</v>
      </c>
      <c r="AR254" s="1">
        <v>913100</v>
      </c>
      <c r="AS254" s="1">
        <v>1431900</v>
      </c>
      <c r="AT254" s="1">
        <v>927800</v>
      </c>
      <c r="AU254" s="1">
        <v>1115400</v>
      </c>
      <c r="AV254" s="1">
        <v>615900</v>
      </c>
      <c r="AW254" s="1">
        <v>401000</v>
      </c>
      <c r="AX254" s="1">
        <v>460300</v>
      </c>
      <c r="AY254" s="1">
        <v>823000</v>
      </c>
      <c r="AZ254" s="1">
        <v>825700</v>
      </c>
      <c r="BA254" s="1">
        <v>1237600</v>
      </c>
      <c r="BB254" s="1">
        <v>1258800</v>
      </c>
      <c r="BC254" s="1">
        <v>1003600</v>
      </c>
      <c r="BD254" s="1">
        <v>908300</v>
      </c>
      <c r="BE254" s="1">
        <v>1063000</v>
      </c>
      <c r="BF254" s="1">
        <v>781900</v>
      </c>
      <c r="BG254" s="1">
        <v>1222700</v>
      </c>
      <c r="BH254" s="1">
        <v>3244200</v>
      </c>
      <c r="BI254" s="1">
        <v>913500</v>
      </c>
      <c r="BJ254" s="1">
        <v>940500</v>
      </c>
      <c r="BK254" s="1">
        <v>975400</v>
      </c>
      <c r="BL254" s="1">
        <v>1349300</v>
      </c>
    </row>
    <row r="255" spans="1:64">
      <c r="A255" s="434" t="s">
        <v>556</v>
      </c>
      <c r="B255" s="1" t="str">
        <f>銘柄管理!C255</f>
        <v>栗田工業</v>
      </c>
      <c r="C255" s="1">
        <f>_xll.RssMarket("6370","出来高")</f>
        <v>701100</v>
      </c>
      <c r="D255" s="85">
        <f t="shared" si="4"/>
        <v>0</v>
      </c>
      <c r="E255" s="1">
        <v>701100</v>
      </c>
      <c r="F255" s="1">
        <v>709000</v>
      </c>
      <c r="G255" s="1">
        <v>561900</v>
      </c>
      <c r="H255" s="1">
        <v>504000</v>
      </c>
      <c r="I255" s="1">
        <v>368600</v>
      </c>
      <c r="J255" s="1">
        <v>725300</v>
      </c>
      <c r="K255" s="1">
        <v>401900</v>
      </c>
      <c r="L255" s="1">
        <v>348100</v>
      </c>
      <c r="M255" s="1">
        <v>502500</v>
      </c>
      <c r="N255" s="1">
        <v>377300</v>
      </c>
      <c r="O255" s="1">
        <v>556400</v>
      </c>
      <c r="P255" s="1">
        <v>493800</v>
      </c>
      <c r="Q255" s="1">
        <v>473600</v>
      </c>
      <c r="R255" s="1">
        <v>489100</v>
      </c>
      <c r="S255" s="1">
        <v>444600</v>
      </c>
      <c r="T255" s="1">
        <v>492500</v>
      </c>
      <c r="U255" s="1">
        <v>791300</v>
      </c>
      <c r="V255" s="1">
        <v>815700</v>
      </c>
      <c r="W255" s="1">
        <v>815800</v>
      </c>
      <c r="X255" s="1">
        <v>1030400</v>
      </c>
      <c r="Y255" s="1">
        <v>845700</v>
      </c>
      <c r="Z255" s="1">
        <v>426700</v>
      </c>
      <c r="AA255" s="1">
        <v>611800</v>
      </c>
      <c r="AB255" s="1">
        <v>837400</v>
      </c>
      <c r="AC255" s="1">
        <v>914000</v>
      </c>
      <c r="AD255" s="1">
        <v>795900</v>
      </c>
      <c r="AE255" s="1">
        <v>653800</v>
      </c>
      <c r="AF255" s="1">
        <v>827500</v>
      </c>
      <c r="AG255" s="1">
        <v>661400</v>
      </c>
      <c r="AH255" s="1">
        <v>766300</v>
      </c>
      <c r="AI255" s="1">
        <v>582900</v>
      </c>
      <c r="AJ255" s="1">
        <v>534400</v>
      </c>
      <c r="AK255" s="1">
        <v>577300</v>
      </c>
      <c r="AL255" s="1">
        <v>421700</v>
      </c>
      <c r="AM255" s="1">
        <v>368500</v>
      </c>
      <c r="AN255" s="1">
        <v>662400</v>
      </c>
      <c r="AO255" s="1">
        <v>566800</v>
      </c>
      <c r="AP255" s="1">
        <v>461700</v>
      </c>
      <c r="AQ255" s="1">
        <v>627200</v>
      </c>
      <c r="AR255" s="1">
        <v>344000</v>
      </c>
      <c r="AS255" s="1">
        <v>404400</v>
      </c>
      <c r="AT255" s="1">
        <v>418600</v>
      </c>
      <c r="AU255" s="1">
        <v>470500</v>
      </c>
      <c r="AV255" s="1">
        <v>117500</v>
      </c>
      <c r="AW255" s="1">
        <v>153700</v>
      </c>
      <c r="AX255" s="1">
        <v>273900</v>
      </c>
      <c r="AY255" s="1">
        <v>474800</v>
      </c>
      <c r="AZ255" s="1">
        <v>458200</v>
      </c>
      <c r="BA255" s="1">
        <v>483500</v>
      </c>
      <c r="BB255" s="1">
        <v>566200</v>
      </c>
      <c r="BC255" s="1">
        <v>459900</v>
      </c>
      <c r="BD255" s="1">
        <v>287000</v>
      </c>
      <c r="BE255" s="1">
        <v>347300</v>
      </c>
      <c r="BF255" s="1">
        <v>454100</v>
      </c>
      <c r="BG255" s="1">
        <v>837200</v>
      </c>
      <c r="BH255" s="1">
        <v>539800</v>
      </c>
      <c r="BI255" s="1">
        <v>367100</v>
      </c>
      <c r="BJ255" s="1">
        <v>379300</v>
      </c>
      <c r="BK255" s="1">
        <v>412300</v>
      </c>
      <c r="BL255" s="1">
        <v>487400</v>
      </c>
    </row>
    <row r="256" spans="1:64">
      <c r="A256" s="434" t="s">
        <v>557</v>
      </c>
      <c r="B256" s="1" t="str">
        <f>銘柄管理!C256</f>
        <v>名村造船所</v>
      </c>
      <c r="C256" s="1">
        <f>_xll.RssMarket("7014","出来高")</f>
        <v>1283000</v>
      </c>
      <c r="D256" s="85">
        <f t="shared" si="4"/>
        <v>0</v>
      </c>
      <c r="E256" s="1">
        <v>1283000</v>
      </c>
      <c r="F256" s="1">
        <v>1306100</v>
      </c>
      <c r="G256" s="1">
        <v>1123200</v>
      </c>
      <c r="H256" s="1">
        <v>1591100</v>
      </c>
      <c r="I256" s="1">
        <v>903000</v>
      </c>
      <c r="J256" s="1">
        <v>1128800</v>
      </c>
      <c r="K256" s="1">
        <v>1314900</v>
      </c>
      <c r="L256" s="1">
        <v>1325000</v>
      </c>
      <c r="M256" s="1">
        <v>1314400</v>
      </c>
      <c r="N256" s="1">
        <v>1615200</v>
      </c>
      <c r="O256" s="1">
        <v>1763900</v>
      </c>
      <c r="P256" s="1">
        <v>1352400</v>
      </c>
      <c r="Q256" s="1">
        <v>903400</v>
      </c>
      <c r="R256" s="1">
        <v>1040400</v>
      </c>
      <c r="S256" s="1">
        <v>999800</v>
      </c>
      <c r="T256" s="1">
        <v>492500</v>
      </c>
      <c r="U256" s="1">
        <v>791300</v>
      </c>
      <c r="V256" s="1">
        <v>815700</v>
      </c>
      <c r="W256" s="1">
        <v>815800</v>
      </c>
      <c r="X256" s="1">
        <v>1030400</v>
      </c>
      <c r="Y256" s="1">
        <v>845700</v>
      </c>
      <c r="Z256" s="1">
        <v>426700</v>
      </c>
      <c r="AA256" s="1">
        <v>611800</v>
      </c>
      <c r="AB256" s="1">
        <v>837400</v>
      </c>
      <c r="AC256" s="1">
        <v>914000</v>
      </c>
      <c r="AD256" s="1">
        <v>795900</v>
      </c>
      <c r="AE256" s="1">
        <v>653800</v>
      </c>
      <c r="AF256" s="1">
        <v>827500</v>
      </c>
      <c r="AG256" s="1">
        <v>661400</v>
      </c>
      <c r="AH256" s="1">
        <v>766300</v>
      </c>
      <c r="AI256" s="1">
        <v>582900</v>
      </c>
      <c r="AJ256" s="1">
        <v>534400</v>
      </c>
      <c r="AK256" s="1">
        <v>577300</v>
      </c>
      <c r="AL256" s="1">
        <v>421700</v>
      </c>
      <c r="AM256" s="1">
        <v>368500</v>
      </c>
      <c r="AN256" s="1">
        <v>662400</v>
      </c>
      <c r="AO256" s="1">
        <v>566800</v>
      </c>
      <c r="AP256" s="1">
        <v>461700</v>
      </c>
      <c r="AQ256" s="1">
        <v>627200</v>
      </c>
      <c r="AR256" s="1">
        <v>344000</v>
      </c>
      <c r="AS256" s="1">
        <v>404400</v>
      </c>
      <c r="AT256" s="1">
        <v>418600</v>
      </c>
      <c r="AU256" s="1">
        <v>470500</v>
      </c>
      <c r="AV256" s="1">
        <v>117500</v>
      </c>
      <c r="AW256" s="1">
        <v>153700</v>
      </c>
      <c r="AX256" s="1">
        <v>273900</v>
      </c>
      <c r="AY256" s="1">
        <v>474800</v>
      </c>
      <c r="AZ256" s="1">
        <v>458200</v>
      </c>
      <c r="BA256" s="1">
        <v>483500</v>
      </c>
      <c r="BB256" s="1">
        <v>566200</v>
      </c>
      <c r="BC256" s="1">
        <v>459900</v>
      </c>
      <c r="BD256" s="1">
        <v>287000</v>
      </c>
      <c r="BE256" s="1">
        <v>347300</v>
      </c>
      <c r="BF256" s="1">
        <v>454100</v>
      </c>
      <c r="BG256" s="1">
        <v>837200</v>
      </c>
      <c r="BH256" s="1">
        <v>539800</v>
      </c>
      <c r="BI256" s="1">
        <v>367100</v>
      </c>
      <c r="BJ256" s="1">
        <v>379300</v>
      </c>
      <c r="BK256" s="1">
        <v>412300</v>
      </c>
      <c r="BL256" s="1">
        <v>487400</v>
      </c>
    </row>
    <row r="257" spans="1:64">
      <c r="A257" s="434" t="s">
        <v>558</v>
      </c>
      <c r="B257" s="1" t="str">
        <f>銘柄管理!C257</f>
        <v>イノテック</v>
      </c>
      <c r="C257" s="1">
        <f>_xll.RssMarket("9880","出来高")</f>
        <v>176800</v>
      </c>
      <c r="D257" s="85">
        <f t="shared" si="4"/>
        <v>0</v>
      </c>
      <c r="E257" s="1">
        <v>176800</v>
      </c>
      <c r="F257" s="1">
        <v>165600</v>
      </c>
      <c r="G257" s="1">
        <v>141400</v>
      </c>
      <c r="H257" s="1">
        <v>134400</v>
      </c>
      <c r="I257" s="1">
        <v>205100</v>
      </c>
      <c r="J257" s="1">
        <v>194400</v>
      </c>
      <c r="K257" s="1">
        <v>192800</v>
      </c>
      <c r="L257" s="1">
        <v>213800</v>
      </c>
      <c r="M257" s="1">
        <v>202100</v>
      </c>
      <c r="N257" s="1">
        <v>181100</v>
      </c>
      <c r="O257" s="1">
        <v>222600</v>
      </c>
      <c r="P257" s="1">
        <v>248200</v>
      </c>
      <c r="Q257" s="1">
        <v>304900</v>
      </c>
      <c r="R257" s="1">
        <v>289800</v>
      </c>
      <c r="S257" s="1">
        <v>370600</v>
      </c>
      <c r="T257" s="1">
        <v>513400</v>
      </c>
      <c r="U257" s="1">
        <v>678700</v>
      </c>
      <c r="V257" s="1">
        <v>575900</v>
      </c>
      <c r="W257" s="1">
        <v>809200</v>
      </c>
      <c r="X257" s="1">
        <v>292500</v>
      </c>
      <c r="Y257" s="1">
        <v>179300</v>
      </c>
      <c r="Z257" s="1">
        <v>310600</v>
      </c>
      <c r="AA257" s="1">
        <v>365800</v>
      </c>
      <c r="AB257" s="1">
        <v>226700</v>
      </c>
      <c r="AC257" s="1">
        <v>578800</v>
      </c>
      <c r="AD257" s="1">
        <v>130600</v>
      </c>
      <c r="AE257" s="1">
        <v>122100</v>
      </c>
      <c r="AF257" s="1">
        <v>105200</v>
      </c>
      <c r="AG257" s="1">
        <v>148200</v>
      </c>
      <c r="AH257" s="1">
        <v>103600</v>
      </c>
      <c r="AI257" s="1">
        <v>86400</v>
      </c>
      <c r="AJ257" s="1">
        <v>113300</v>
      </c>
      <c r="AK257" s="1">
        <v>86300</v>
      </c>
      <c r="AL257" s="1">
        <v>94600</v>
      </c>
      <c r="AM257" s="1">
        <v>89700</v>
      </c>
      <c r="AN257" s="1">
        <v>176900</v>
      </c>
      <c r="AO257" s="1">
        <v>315500</v>
      </c>
      <c r="AP257" s="1">
        <v>128500</v>
      </c>
      <c r="AQ257" s="1">
        <v>81900</v>
      </c>
      <c r="AR257" s="1">
        <v>110600</v>
      </c>
      <c r="AS257" s="1">
        <v>87400</v>
      </c>
      <c r="AT257" s="1">
        <v>134000</v>
      </c>
      <c r="AU257" s="1">
        <v>60700</v>
      </c>
      <c r="AV257" s="1">
        <v>43300</v>
      </c>
      <c r="AW257" s="1">
        <v>71400</v>
      </c>
      <c r="AX257" s="1">
        <v>85300</v>
      </c>
      <c r="AY257" s="1">
        <v>96400</v>
      </c>
      <c r="AZ257" s="1">
        <v>165400</v>
      </c>
      <c r="BA257" s="1">
        <v>166300</v>
      </c>
      <c r="BB257" s="1">
        <v>243400</v>
      </c>
      <c r="BC257" s="1">
        <v>677800</v>
      </c>
      <c r="BD257" s="1">
        <v>86000</v>
      </c>
      <c r="BE257" s="1">
        <v>90700</v>
      </c>
      <c r="BF257" s="1">
        <v>197100</v>
      </c>
      <c r="BG257" s="1">
        <v>145700</v>
      </c>
      <c r="BH257" s="1">
        <v>60100</v>
      </c>
      <c r="BI257" s="1">
        <v>58700</v>
      </c>
      <c r="BJ257" s="1">
        <v>95600</v>
      </c>
      <c r="BK257" s="1">
        <v>140300</v>
      </c>
      <c r="BL257" s="1">
        <v>104300</v>
      </c>
    </row>
    <row r="258" spans="1:64">
      <c r="A258" s="434" t="s">
        <v>559</v>
      </c>
      <c r="B258" s="1" t="str">
        <f>銘柄管理!C258</f>
        <v>カバー</v>
      </c>
      <c r="C258" s="1">
        <f>_xll.RssMarket("5253","出来高")</f>
        <v>639100</v>
      </c>
      <c r="D258" s="85">
        <f t="shared" si="4"/>
        <v>0</v>
      </c>
      <c r="E258" s="1">
        <v>639100</v>
      </c>
      <c r="F258" s="1">
        <v>846500</v>
      </c>
      <c r="G258" s="1">
        <v>1937900</v>
      </c>
      <c r="H258" s="1">
        <v>1688700</v>
      </c>
      <c r="I258" s="1">
        <v>1560300</v>
      </c>
      <c r="J258" s="1">
        <v>913500</v>
      </c>
      <c r="K258" s="1">
        <v>1461700</v>
      </c>
      <c r="L258" s="1">
        <v>842800</v>
      </c>
      <c r="M258" s="1">
        <v>1012000</v>
      </c>
      <c r="N258" s="1">
        <v>1599500</v>
      </c>
      <c r="O258" s="1">
        <v>1198400</v>
      </c>
      <c r="P258" s="1">
        <v>1500000</v>
      </c>
      <c r="Q258" s="1">
        <v>1658700</v>
      </c>
      <c r="R258" s="1">
        <v>1873000</v>
      </c>
      <c r="S258" s="1">
        <v>2190200</v>
      </c>
      <c r="T258" s="1">
        <v>2305900</v>
      </c>
      <c r="U258" s="1">
        <v>1624400</v>
      </c>
      <c r="V258" s="1">
        <v>2444700</v>
      </c>
      <c r="W258" s="1">
        <v>2661900</v>
      </c>
      <c r="X258" s="1">
        <v>6319700</v>
      </c>
      <c r="Y258" s="1">
        <v>1537700</v>
      </c>
      <c r="Z258" s="1">
        <v>1169500</v>
      </c>
      <c r="AA258" s="1">
        <v>764900</v>
      </c>
      <c r="AB258" s="1">
        <v>852700</v>
      </c>
      <c r="AC258" s="1">
        <v>759400</v>
      </c>
      <c r="AD258" s="1">
        <v>1156100</v>
      </c>
      <c r="AE258" s="1">
        <v>712100</v>
      </c>
      <c r="AF258" s="1">
        <v>520000</v>
      </c>
      <c r="AG258" s="1">
        <v>658500</v>
      </c>
      <c r="AH258" s="1">
        <v>666200</v>
      </c>
      <c r="AI258" s="1">
        <v>676100</v>
      </c>
      <c r="AJ258" s="1">
        <v>620100</v>
      </c>
      <c r="AK258" s="1">
        <v>531200</v>
      </c>
      <c r="AL258" s="1">
        <v>373500</v>
      </c>
      <c r="AM258" s="1">
        <v>609600</v>
      </c>
      <c r="AN258" s="1">
        <v>709000</v>
      </c>
      <c r="AO258" s="1">
        <v>872000</v>
      </c>
      <c r="AP258" s="1">
        <v>463700</v>
      </c>
      <c r="AQ258" s="1">
        <v>596000</v>
      </c>
      <c r="AR258" s="1">
        <v>631600</v>
      </c>
      <c r="AS258" s="1">
        <v>1585100</v>
      </c>
      <c r="AT258" s="1">
        <v>1465900</v>
      </c>
      <c r="AU258" s="1">
        <v>1853000</v>
      </c>
      <c r="AV258" s="1">
        <v>944800</v>
      </c>
      <c r="AW258" s="1">
        <v>722200</v>
      </c>
      <c r="AX258" s="1">
        <v>998400</v>
      </c>
      <c r="AY258" s="1">
        <v>1415300</v>
      </c>
      <c r="AZ258" s="1">
        <v>1152500</v>
      </c>
      <c r="BA258" s="1">
        <v>1423700</v>
      </c>
      <c r="BB258" s="1">
        <v>1420400</v>
      </c>
      <c r="BC258" s="1">
        <v>1325300</v>
      </c>
      <c r="BD258" s="1">
        <v>1301800</v>
      </c>
      <c r="BE258" s="1">
        <v>1243200</v>
      </c>
      <c r="BF258" s="1">
        <v>1879900</v>
      </c>
      <c r="BG258" s="1">
        <v>5087700</v>
      </c>
      <c r="BH258" s="1">
        <v>1402700</v>
      </c>
      <c r="BI258" s="1">
        <v>899600</v>
      </c>
      <c r="BJ258" s="1">
        <v>1306800</v>
      </c>
      <c r="BK258" s="1">
        <v>832000</v>
      </c>
      <c r="BL258" s="1">
        <v>979800</v>
      </c>
    </row>
    <row r="259" spans="1:64">
      <c r="A259" s="434" t="s">
        <v>560</v>
      </c>
      <c r="B259" s="1" t="str">
        <f>銘柄管理!C259</f>
        <v>商船三井</v>
      </c>
      <c r="C259" s="1">
        <f>_xll.RssMarket("9104","出来高")</f>
        <v>3724500</v>
      </c>
      <c r="D259" s="85">
        <f t="shared" si="4"/>
        <v>0</v>
      </c>
      <c r="E259" s="1">
        <v>3724500</v>
      </c>
      <c r="F259" s="1">
        <v>3239900</v>
      </c>
      <c r="G259" s="1">
        <v>2554800</v>
      </c>
      <c r="H259" s="1">
        <v>2397100</v>
      </c>
      <c r="I259" s="1">
        <v>2711600</v>
      </c>
      <c r="J259" s="1">
        <v>3257400</v>
      </c>
      <c r="K259" s="1">
        <v>3680300</v>
      </c>
      <c r="L259" s="1">
        <v>2829200</v>
      </c>
      <c r="M259" s="1">
        <v>2569800</v>
      </c>
      <c r="N259" s="1">
        <v>3334700</v>
      </c>
      <c r="O259" s="1">
        <v>4613300</v>
      </c>
      <c r="P259" s="1">
        <v>2584400</v>
      </c>
      <c r="Q259" s="1">
        <v>2733700</v>
      </c>
      <c r="R259" s="1">
        <v>3054400</v>
      </c>
      <c r="S259" s="1">
        <v>2208700</v>
      </c>
      <c r="T259" s="1">
        <v>2182800</v>
      </c>
      <c r="U259" s="1">
        <v>2967900</v>
      </c>
      <c r="V259" s="1">
        <v>2194000</v>
      </c>
      <c r="W259" s="1">
        <v>2312700</v>
      </c>
      <c r="X259" s="1">
        <v>2388400</v>
      </c>
      <c r="Y259" s="1">
        <v>2998100</v>
      </c>
      <c r="Z259" s="1">
        <v>2542200</v>
      </c>
      <c r="AA259" s="1">
        <v>2624200</v>
      </c>
      <c r="AB259" s="1">
        <v>3547900</v>
      </c>
      <c r="AC259" s="1">
        <v>3681700</v>
      </c>
      <c r="AD259" s="1">
        <v>4481600</v>
      </c>
      <c r="AE259" s="1">
        <v>3181100</v>
      </c>
      <c r="AF259" s="1">
        <v>7661200</v>
      </c>
      <c r="AG259" s="1">
        <v>4200100</v>
      </c>
      <c r="AH259" s="1">
        <v>4504600</v>
      </c>
      <c r="AI259" s="1">
        <v>2819100</v>
      </c>
      <c r="AJ259" s="1">
        <v>2752600</v>
      </c>
      <c r="AK259" s="1">
        <v>2322000</v>
      </c>
      <c r="AL259" s="1">
        <v>2305800</v>
      </c>
      <c r="AM259" s="1">
        <v>3467600</v>
      </c>
      <c r="AN259" s="1">
        <v>2317900</v>
      </c>
      <c r="AO259" s="1">
        <v>3442200</v>
      </c>
      <c r="AP259" s="1">
        <v>4716800</v>
      </c>
      <c r="AQ259" s="1">
        <v>3725600</v>
      </c>
      <c r="AR259" s="1">
        <v>4063300</v>
      </c>
      <c r="AS259" s="1">
        <v>5396300</v>
      </c>
      <c r="AT259" s="1">
        <v>5595300</v>
      </c>
      <c r="AU259" s="1">
        <v>10196700</v>
      </c>
      <c r="AV259" s="1">
        <v>4607500</v>
      </c>
      <c r="AW259" s="1">
        <v>5201800</v>
      </c>
      <c r="AX259" s="1">
        <v>4470300</v>
      </c>
      <c r="AY259" s="1">
        <v>7006300</v>
      </c>
      <c r="AZ259" s="1">
        <v>11491900</v>
      </c>
      <c r="BA259" s="1">
        <v>5733700</v>
      </c>
      <c r="BB259" s="1">
        <v>5120000</v>
      </c>
      <c r="BC259" s="1">
        <v>6052600</v>
      </c>
      <c r="BD259" s="1">
        <v>6889100</v>
      </c>
      <c r="BE259" s="1">
        <v>4874700</v>
      </c>
      <c r="BF259" s="1">
        <v>5787300</v>
      </c>
      <c r="BG259" s="1">
        <v>9151800</v>
      </c>
      <c r="BH259" s="1">
        <v>15434800</v>
      </c>
      <c r="BI259" s="1">
        <v>20924500</v>
      </c>
      <c r="BJ259" s="1">
        <v>5739800</v>
      </c>
      <c r="BK259" s="1">
        <v>2957500</v>
      </c>
      <c r="BL259" s="1">
        <v>4121000</v>
      </c>
    </row>
    <row r="260" spans="1:64">
      <c r="A260" s="434" t="s">
        <v>561</v>
      </c>
      <c r="B260" s="1" t="str">
        <f>銘柄管理!C260</f>
        <v>千代田化工建</v>
      </c>
      <c r="C260" s="1">
        <f>_xll.RssMarket("6366","出来高")</f>
        <v>6059600</v>
      </c>
      <c r="D260" s="85">
        <f t="shared" si="4"/>
        <v>0</v>
      </c>
      <c r="E260" s="1">
        <v>6059600</v>
      </c>
      <c r="F260" s="1">
        <v>3773400</v>
      </c>
      <c r="G260" s="1">
        <v>6198200</v>
      </c>
      <c r="H260" s="1">
        <v>3403200</v>
      </c>
      <c r="I260" s="1">
        <v>4588200</v>
      </c>
      <c r="J260" s="1">
        <v>3887800</v>
      </c>
      <c r="K260" s="1">
        <v>3119800</v>
      </c>
      <c r="L260" s="1">
        <v>4870800</v>
      </c>
      <c r="M260" s="1">
        <v>4486900</v>
      </c>
      <c r="N260" s="1">
        <v>3871000</v>
      </c>
      <c r="O260" s="1">
        <v>5356800</v>
      </c>
      <c r="P260" s="1">
        <v>5182000</v>
      </c>
      <c r="Q260" s="1">
        <v>6148200</v>
      </c>
      <c r="R260" s="1">
        <v>8265700</v>
      </c>
      <c r="S260" s="1">
        <v>5960400</v>
      </c>
      <c r="T260" s="1">
        <v>4243700</v>
      </c>
      <c r="U260" s="1">
        <v>6685800</v>
      </c>
      <c r="V260" s="1">
        <v>3519700</v>
      </c>
      <c r="W260" s="1">
        <v>5242400</v>
      </c>
      <c r="X260" s="1">
        <v>4850200</v>
      </c>
      <c r="Y260" s="1">
        <v>9155600</v>
      </c>
      <c r="Z260" s="1">
        <v>7739300</v>
      </c>
      <c r="AA260" s="1">
        <v>23452600</v>
      </c>
      <c r="AB260" s="1">
        <v>7876800</v>
      </c>
      <c r="AC260" s="1">
        <v>5003100</v>
      </c>
      <c r="AD260" s="1">
        <v>4266200</v>
      </c>
      <c r="AE260" s="1">
        <v>2600400</v>
      </c>
      <c r="AF260" s="1">
        <v>3912500</v>
      </c>
      <c r="AG260" s="1">
        <v>3595300</v>
      </c>
      <c r="AH260" s="1">
        <v>5289900</v>
      </c>
      <c r="AI260" s="1">
        <v>3957600</v>
      </c>
      <c r="AJ260" s="1">
        <v>4411800</v>
      </c>
      <c r="AK260" s="1">
        <v>5195100</v>
      </c>
      <c r="AL260" s="1">
        <v>7011400</v>
      </c>
      <c r="AM260" s="1">
        <v>6931500</v>
      </c>
      <c r="AN260" s="1">
        <v>6651200</v>
      </c>
      <c r="AO260" s="1">
        <v>7639800</v>
      </c>
      <c r="AP260" s="1">
        <v>8219100</v>
      </c>
      <c r="AQ260" s="1">
        <v>7141500</v>
      </c>
      <c r="AR260" s="1">
        <v>8580200</v>
      </c>
      <c r="AS260" s="1">
        <v>17029000</v>
      </c>
      <c r="AT260" s="1">
        <v>36283600</v>
      </c>
      <c r="AU260" s="1">
        <v>8507000</v>
      </c>
      <c r="AV260" s="1">
        <v>4050300</v>
      </c>
      <c r="AW260" s="1">
        <v>5724900</v>
      </c>
      <c r="AX260" s="1">
        <v>5013700</v>
      </c>
      <c r="AY260" s="1">
        <v>12643900</v>
      </c>
      <c r="AZ260" s="1">
        <v>12413000</v>
      </c>
      <c r="BA260" s="1">
        <v>7984700</v>
      </c>
      <c r="BB260" s="1">
        <v>12031000</v>
      </c>
      <c r="BC260" s="1">
        <v>12634700</v>
      </c>
      <c r="BD260" s="1">
        <v>14572100</v>
      </c>
      <c r="BE260" s="1">
        <v>8305700</v>
      </c>
      <c r="BF260" s="1">
        <v>7380800</v>
      </c>
      <c r="BG260" s="1">
        <v>10576900</v>
      </c>
      <c r="BH260" s="1">
        <v>13279200</v>
      </c>
      <c r="BI260" s="1">
        <v>15496300</v>
      </c>
      <c r="BJ260" s="1">
        <v>2657900</v>
      </c>
      <c r="BK260" s="1">
        <v>3534700</v>
      </c>
      <c r="BL260" s="1">
        <v>2951800</v>
      </c>
    </row>
    <row r="261" spans="1:64">
      <c r="A261" s="434" t="s">
        <v>562</v>
      </c>
      <c r="B261" s="1" t="str">
        <f>銘柄管理!C261</f>
        <v>旭ダイヤモンド</v>
      </c>
      <c r="C261" s="1">
        <f>_xll.RssMarket("6140","出来高")</f>
        <v>524100</v>
      </c>
      <c r="D261" s="85">
        <f t="shared" si="4"/>
        <v>0</v>
      </c>
      <c r="E261" s="1">
        <v>524100</v>
      </c>
      <c r="F261" s="1">
        <v>500400</v>
      </c>
      <c r="G261" s="1">
        <v>479300</v>
      </c>
      <c r="H261" s="1">
        <v>539100</v>
      </c>
      <c r="I261" s="1">
        <v>640100</v>
      </c>
      <c r="J261" s="1">
        <v>744700</v>
      </c>
      <c r="K261" s="1">
        <v>606900</v>
      </c>
      <c r="L261" s="1">
        <v>413600</v>
      </c>
      <c r="M261" s="1">
        <v>558100</v>
      </c>
      <c r="N261" s="1">
        <v>781500</v>
      </c>
      <c r="O261" s="1">
        <v>653500</v>
      </c>
      <c r="P261" s="1">
        <v>861200</v>
      </c>
      <c r="Q261" s="1">
        <v>1000500</v>
      </c>
      <c r="R261" s="1">
        <v>855800</v>
      </c>
      <c r="S261" s="1">
        <v>1172400</v>
      </c>
      <c r="T261" s="1">
        <v>704400</v>
      </c>
      <c r="U261" s="1">
        <v>848900</v>
      </c>
      <c r="V261" s="1">
        <v>1253300</v>
      </c>
      <c r="W261" s="1">
        <v>1618700</v>
      </c>
      <c r="X261" s="1">
        <v>1384200</v>
      </c>
      <c r="Y261" s="1">
        <v>1036700</v>
      </c>
      <c r="Z261" s="1">
        <v>1266000</v>
      </c>
      <c r="AA261" s="1">
        <v>1239600</v>
      </c>
      <c r="AB261" s="1">
        <v>901200</v>
      </c>
      <c r="AC261" s="1">
        <v>951100</v>
      </c>
      <c r="AD261" s="1">
        <v>963300</v>
      </c>
      <c r="AE261" s="1">
        <v>643700</v>
      </c>
      <c r="AF261" s="1">
        <v>758100</v>
      </c>
      <c r="AG261" s="1">
        <v>725100</v>
      </c>
      <c r="AH261" s="1">
        <v>1009100</v>
      </c>
      <c r="AI261" s="1">
        <v>2147000</v>
      </c>
      <c r="AJ261" s="1">
        <v>1437400</v>
      </c>
      <c r="AK261" s="1">
        <v>1531600</v>
      </c>
      <c r="AL261" s="1">
        <v>2301500</v>
      </c>
      <c r="AM261" s="1">
        <v>6632400</v>
      </c>
      <c r="AN261" s="1">
        <v>6091500</v>
      </c>
      <c r="AO261" s="1">
        <v>714800</v>
      </c>
      <c r="AP261" s="1">
        <v>870000</v>
      </c>
      <c r="AQ261" s="1">
        <v>657200</v>
      </c>
      <c r="AR261" s="1">
        <v>685100</v>
      </c>
      <c r="AS261" s="1">
        <v>1090500</v>
      </c>
      <c r="AT261" s="1">
        <v>849000</v>
      </c>
      <c r="AU261" s="1">
        <v>1314700</v>
      </c>
      <c r="AV261" s="1">
        <v>987100</v>
      </c>
      <c r="AW261" s="1">
        <v>1112900</v>
      </c>
      <c r="AX261" s="1">
        <v>987700</v>
      </c>
      <c r="AY261" s="1">
        <v>793200</v>
      </c>
      <c r="AZ261" s="1">
        <v>768000</v>
      </c>
      <c r="BA261" s="1">
        <v>1029600</v>
      </c>
      <c r="BB261" s="1">
        <v>1202800</v>
      </c>
      <c r="BC261" s="1">
        <v>1313700</v>
      </c>
      <c r="BD261" s="1">
        <v>1150100</v>
      </c>
      <c r="BE261" s="1">
        <v>1044600</v>
      </c>
      <c r="BF261" s="1">
        <v>1307700</v>
      </c>
      <c r="BG261" s="1">
        <v>2223300</v>
      </c>
      <c r="BH261" s="1">
        <v>1314900</v>
      </c>
      <c r="BI261" s="1">
        <v>1459300</v>
      </c>
      <c r="BJ261" s="1">
        <v>3488800</v>
      </c>
      <c r="BK261" s="1">
        <v>3828600</v>
      </c>
      <c r="BL261" s="1">
        <v>2523800</v>
      </c>
    </row>
    <row r="262" spans="1:64">
      <c r="A262" s="434" t="s">
        <v>563</v>
      </c>
      <c r="B262" s="1" t="str">
        <f>銘柄管理!C262</f>
        <v>住石ホールディングス</v>
      </c>
      <c r="C262" s="1">
        <f>_xll.RssMarket("1514","出来高")</f>
        <v>445300</v>
      </c>
      <c r="D262" s="85">
        <f t="shared" si="4"/>
        <v>0</v>
      </c>
      <c r="E262" s="1">
        <v>445300</v>
      </c>
      <c r="F262" s="1">
        <v>202400</v>
      </c>
      <c r="G262" s="1">
        <v>260900</v>
      </c>
      <c r="H262" s="1">
        <v>280000</v>
      </c>
      <c r="I262" s="1">
        <v>316200</v>
      </c>
      <c r="J262" s="1">
        <v>418900</v>
      </c>
      <c r="K262" s="1">
        <v>522600</v>
      </c>
      <c r="L262" s="1">
        <v>441900</v>
      </c>
      <c r="M262" s="1">
        <v>332800</v>
      </c>
      <c r="N262" s="1">
        <v>433500</v>
      </c>
      <c r="O262" s="1">
        <v>394800</v>
      </c>
      <c r="P262" s="1">
        <v>541100</v>
      </c>
      <c r="Q262" s="1">
        <v>658900</v>
      </c>
      <c r="R262" s="1">
        <v>704600</v>
      </c>
      <c r="S262" s="1">
        <v>505600</v>
      </c>
      <c r="T262" s="1">
        <v>598100</v>
      </c>
      <c r="U262" s="1">
        <v>858000</v>
      </c>
      <c r="V262" s="1">
        <v>603000</v>
      </c>
      <c r="W262" s="1">
        <v>1650800</v>
      </c>
      <c r="X262" s="1">
        <v>520300</v>
      </c>
      <c r="Y262" s="1">
        <v>555600</v>
      </c>
      <c r="Z262" s="1">
        <v>376900</v>
      </c>
      <c r="AA262" s="1">
        <v>504600</v>
      </c>
      <c r="AB262" s="1">
        <v>448700</v>
      </c>
      <c r="AC262" s="1">
        <v>428300</v>
      </c>
      <c r="AD262" s="1">
        <v>555600</v>
      </c>
      <c r="AE262" s="1">
        <v>476200</v>
      </c>
      <c r="AF262" s="1">
        <v>530800</v>
      </c>
      <c r="AG262" s="1">
        <v>407500</v>
      </c>
      <c r="AH262" s="1">
        <v>673100</v>
      </c>
      <c r="AI262" s="1">
        <v>796400</v>
      </c>
      <c r="AJ262" s="1">
        <v>1209800</v>
      </c>
      <c r="AK262" s="1">
        <v>994300</v>
      </c>
      <c r="AL262" s="1">
        <v>637900</v>
      </c>
      <c r="AM262" s="1">
        <v>1601200</v>
      </c>
      <c r="AN262" s="1">
        <v>962100</v>
      </c>
      <c r="AO262" s="1">
        <v>2748900</v>
      </c>
      <c r="AP262" s="1">
        <v>708700</v>
      </c>
      <c r="AQ262" s="1">
        <v>837300</v>
      </c>
      <c r="AR262" s="1">
        <v>1528600</v>
      </c>
      <c r="AS262" s="1">
        <v>1787500</v>
      </c>
      <c r="AT262" s="1">
        <v>1320200</v>
      </c>
      <c r="AU262" s="1">
        <v>1838700</v>
      </c>
      <c r="AV262" s="1">
        <v>1221300</v>
      </c>
      <c r="AW262" s="1">
        <v>1368900</v>
      </c>
      <c r="AX262" s="1">
        <v>1962000</v>
      </c>
      <c r="AY262" s="1">
        <v>4453600</v>
      </c>
      <c r="AZ262" s="1">
        <v>1933600</v>
      </c>
      <c r="BA262" s="1">
        <v>5369900</v>
      </c>
      <c r="BB262" s="1">
        <v>8529100</v>
      </c>
      <c r="BC262" s="1">
        <v>990700</v>
      </c>
      <c r="BD262" s="1">
        <v>945200</v>
      </c>
      <c r="BE262" s="1">
        <v>888600</v>
      </c>
      <c r="BF262" s="1">
        <v>1320700</v>
      </c>
      <c r="BG262" s="1">
        <v>2495900</v>
      </c>
      <c r="BH262" s="1">
        <v>2458400</v>
      </c>
      <c r="BI262" s="1">
        <v>2108800</v>
      </c>
      <c r="BJ262" s="1">
        <v>2647900</v>
      </c>
      <c r="BK262" s="1">
        <v>5129400</v>
      </c>
      <c r="BL262" s="1">
        <v>4372600</v>
      </c>
    </row>
    <row r="263" spans="1:64">
      <c r="A263" s="434" t="s">
        <v>564</v>
      </c>
      <c r="B263" s="1" t="str">
        <f>銘柄管理!C263</f>
        <v>日本製鋼所</v>
      </c>
      <c r="C263" s="1">
        <f>_xll.RssMarket("5631","出来高")</f>
        <v>1676600</v>
      </c>
      <c r="D263" s="85">
        <f t="shared" si="4"/>
        <v>0</v>
      </c>
      <c r="E263" s="1">
        <v>1676600</v>
      </c>
      <c r="F263" s="1">
        <v>731700</v>
      </c>
      <c r="G263" s="1">
        <v>1130800</v>
      </c>
      <c r="H263" s="1">
        <v>1364000</v>
      </c>
      <c r="I263" s="1">
        <v>810600</v>
      </c>
      <c r="J263" s="1">
        <v>1267800</v>
      </c>
      <c r="K263" s="1">
        <v>2113400</v>
      </c>
      <c r="L263" s="1">
        <v>787700</v>
      </c>
      <c r="M263" s="1">
        <v>861300</v>
      </c>
      <c r="N263" s="1">
        <v>1142900</v>
      </c>
      <c r="O263" s="1">
        <v>1344900</v>
      </c>
      <c r="P263" s="1">
        <v>1101300</v>
      </c>
      <c r="Q263" s="1">
        <v>1042700</v>
      </c>
      <c r="R263" s="1">
        <v>765800</v>
      </c>
      <c r="S263" s="1">
        <v>1052100</v>
      </c>
      <c r="T263" s="1">
        <v>1611100</v>
      </c>
      <c r="U263" s="1">
        <v>1624600</v>
      </c>
      <c r="V263" s="1">
        <v>1521200</v>
      </c>
      <c r="W263" s="1">
        <v>1217400</v>
      </c>
      <c r="X263" s="1">
        <v>1557000</v>
      </c>
      <c r="Y263" s="1">
        <v>2817500</v>
      </c>
      <c r="Z263" s="1">
        <v>1064500</v>
      </c>
      <c r="AA263" s="1">
        <v>1029200</v>
      </c>
      <c r="AB263" s="1">
        <v>977100</v>
      </c>
      <c r="AC263" s="1">
        <v>1299400</v>
      </c>
      <c r="AD263" s="1">
        <v>888700</v>
      </c>
      <c r="AE263" s="1">
        <v>946400</v>
      </c>
      <c r="AF263" s="1">
        <v>709100</v>
      </c>
      <c r="AG263" s="1">
        <v>554100</v>
      </c>
      <c r="AH263" s="1">
        <v>714100</v>
      </c>
      <c r="AI263" s="1">
        <v>1211600</v>
      </c>
      <c r="AJ263" s="1">
        <v>1134800</v>
      </c>
      <c r="AK263" s="1">
        <v>892700</v>
      </c>
      <c r="AL263" s="1">
        <v>1240800</v>
      </c>
      <c r="AM263" s="1">
        <v>571100</v>
      </c>
      <c r="AN263" s="1">
        <v>686600</v>
      </c>
      <c r="AO263" s="1">
        <v>763500</v>
      </c>
      <c r="AP263" s="1">
        <v>1564600</v>
      </c>
      <c r="AQ263" s="1">
        <v>604400</v>
      </c>
      <c r="AR263" s="1">
        <v>814400</v>
      </c>
      <c r="AS263" s="1">
        <v>1030100</v>
      </c>
      <c r="AT263" s="1">
        <v>1339700</v>
      </c>
      <c r="AU263" s="1">
        <v>1900500</v>
      </c>
      <c r="AV263" s="1">
        <v>822200</v>
      </c>
      <c r="AW263" s="1">
        <v>992300</v>
      </c>
      <c r="AX263" s="1">
        <v>1245400</v>
      </c>
      <c r="AY263" s="1">
        <v>1368600</v>
      </c>
      <c r="AZ263" s="1">
        <v>1466100</v>
      </c>
      <c r="BA263" s="1">
        <v>1364400</v>
      </c>
      <c r="BB263" s="1">
        <v>1087900</v>
      </c>
      <c r="BC263" s="1">
        <v>1218600</v>
      </c>
      <c r="BD263" s="1">
        <v>877800</v>
      </c>
      <c r="BE263" s="1">
        <v>1613900</v>
      </c>
      <c r="BF263" s="1">
        <v>1573400</v>
      </c>
      <c r="BG263" s="1">
        <v>2049200</v>
      </c>
      <c r="BH263" s="1">
        <v>1007900</v>
      </c>
      <c r="BI263" s="1">
        <v>966800</v>
      </c>
      <c r="BJ263" s="1">
        <v>777700</v>
      </c>
      <c r="BK263" s="1">
        <v>1191500</v>
      </c>
      <c r="BL263" s="1">
        <v>1294000</v>
      </c>
    </row>
    <row r="264" spans="1:64">
      <c r="A264" s="434" t="s">
        <v>565</v>
      </c>
      <c r="B264" s="1" t="str">
        <f>銘柄管理!C264</f>
        <v>ジーエス・ユアサコーポ</v>
      </c>
      <c r="C264" s="1">
        <f>_xll.RssMarket("6674","出来高")</f>
        <v>766500</v>
      </c>
      <c r="D264" s="85">
        <f t="shared" si="4"/>
        <v>0</v>
      </c>
      <c r="E264" s="1">
        <v>766500</v>
      </c>
      <c r="F264" s="1">
        <v>802200</v>
      </c>
      <c r="G264" s="1">
        <v>891800</v>
      </c>
      <c r="H264" s="1">
        <v>733900</v>
      </c>
      <c r="I264" s="1">
        <v>979000</v>
      </c>
      <c r="J264" s="1">
        <v>1202100</v>
      </c>
      <c r="K264" s="1">
        <v>981600</v>
      </c>
      <c r="L264" s="1">
        <v>1541300</v>
      </c>
      <c r="M264" s="1">
        <v>1825100</v>
      </c>
      <c r="N264" s="1">
        <v>1817000</v>
      </c>
      <c r="O264" s="1">
        <v>977000</v>
      </c>
      <c r="P264" s="1">
        <v>733700</v>
      </c>
      <c r="Q264" s="1">
        <v>736500</v>
      </c>
      <c r="R264" s="1">
        <v>506600</v>
      </c>
      <c r="S264" s="1">
        <v>738900</v>
      </c>
      <c r="T264" s="1">
        <v>759500</v>
      </c>
      <c r="U264" s="1">
        <v>800700</v>
      </c>
      <c r="V264" s="1">
        <v>787000</v>
      </c>
      <c r="W264" s="1">
        <v>880500</v>
      </c>
      <c r="X264" s="1">
        <v>1301000</v>
      </c>
      <c r="Y264" s="1">
        <v>1883500</v>
      </c>
      <c r="Z264" s="1">
        <v>2288300</v>
      </c>
      <c r="AA264" s="1">
        <v>1017100</v>
      </c>
      <c r="AB264" s="1">
        <v>1039500</v>
      </c>
      <c r="AC264" s="1">
        <v>959200</v>
      </c>
      <c r="AD264" s="1">
        <v>1308400</v>
      </c>
      <c r="AE264" s="1">
        <v>905900</v>
      </c>
      <c r="AF264" s="1">
        <v>1050300</v>
      </c>
      <c r="AG264" s="1">
        <v>963300</v>
      </c>
      <c r="AH264" s="1">
        <v>965100</v>
      </c>
      <c r="AI264" s="1">
        <v>1113900</v>
      </c>
      <c r="AJ264" s="1">
        <v>1317700</v>
      </c>
      <c r="AK264" s="1">
        <v>1334900</v>
      </c>
      <c r="AL264" s="1">
        <v>1483500</v>
      </c>
      <c r="AM264" s="1">
        <v>1012600</v>
      </c>
      <c r="AN264" s="1">
        <v>962700</v>
      </c>
      <c r="AO264" s="1">
        <v>971500</v>
      </c>
      <c r="AP264" s="1">
        <v>1143800</v>
      </c>
      <c r="AQ264" s="1">
        <v>860300</v>
      </c>
      <c r="AR264" s="1">
        <v>760500</v>
      </c>
      <c r="AS264" s="1">
        <v>925800</v>
      </c>
      <c r="AT264" s="1">
        <v>658600</v>
      </c>
      <c r="AU264" s="1">
        <v>1159400</v>
      </c>
      <c r="AV264" s="1">
        <v>920500</v>
      </c>
      <c r="AW264" s="1">
        <v>1169600</v>
      </c>
      <c r="AX264" s="1">
        <v>1261100</v>
      </c>
      <c r="AY264" s="1">
        <v>1256800</v>
      </c>
      <c r="AZ264" s="1">
        <v>1386200</v>
      </c>
      <c r="BA264" s="1">
        <v>4954200</v>
      </c>
      <c r="BB264" s="1">
        <v>1693600</v>
      </c>
      <c r="BC264" s="1">
        <v>1586800</v>
      </c>
      <c r="BD264" s="1">
        <v>668100</v>
      </c>
      <c r="BE264" s="1">
        <v>710800</v>
      </c>
      <c r="BF264" s="1">
        <v>813100</v>
      </c>
      <c r="BG264" s="1">
        <v>1364500</v>
      </c>
      <c r="BH264" s="1">
        <v>1219300</v>
      </c>
      <c r="BI264" s="1">
        <v>951600</v>
      </c>
      <c r="BJ264" s="1">
        <v>2912200</v>
      </c>
      <c r="BK264" s="1">
        <v>864600</v>
      </c>
      <c r="BL264" s="1">
        <v>1399100</v>
      </c>
    </row>
    <row r="265" spans="1:64">
      <c r="A265" s="434" t="s">
        <v>566</v>
      </c>
      <c r="B265" s="1" t="str">
        <f>銘柄管理!C265</f>
        <v>ＦＤＫ</v>
      </c>
      <c r="C265" s="1">
        <f>_xll.RssMarket("6955","出来高")</f>
        <v>397100</v>
      </c>
      <c r="D265" s="85">
        <f t="shared" si="4"/>
        <v>0</v>
      </c>
      <c r="E265" s="1">
        <v>397100</v>
      </c>
      <c r="F265" s="1">
        <v>438000</v>
      </c>
      <c r="G265" s="1">
        <v>391700</v>
      </c>
      <c r="H265" s="1">
        <v>407300</v>
      </c>
      <c r="I265" s="1">
        <v>1225900</v>
      </c>
      <c r="J265" s="1">
        <v>4575900</v>
      </c>
      <c r="K265" s="1">
        <v>979300</v>
      </c>
      <c r="L265" s="1">
        <v>1712300</v>
      </c>
      <c r="M265" s="1">
        <v>1925800</v>
      </c>
      <c r="N265" s="1">
        <v>625300</v>
      </c>
      <c r="O265" s="1">
        <v>133500</v>
      </c>
      <c r="P265" s="1">
        <v>178600</v>
      </c>
      <c r="Q265" s="1">
        <v>95000</v>
      </c>
      <c r="R265" s="1">
        <v>71300</v>
      </c>
      <c r="S265" s="1">
        <v>48000</v>
      </c>
      <c r="T265" s="1">
        <v>46200</v>
      </c>
      <c r="U265" s="1">
        <v>68100</v>
      </c>
      <c r="V265" s="1">
        <v>36300</v>
      </c>
      <c r="W265" s="1">
        <v>40300</v>
      </c>
      <c r="X265" s="1">
        <v>78800</v>
      </c>
      <c r="Y265" s="1">
        <v>60900</v>
      </c>
      <c r="Z265" s="1">
        <v>33100</v>
      </c>
      <c r="AA265" s="1">
        <v>55200</v>
      </c>
      <c r="AB265" s="1">
        <v>186800</v>
      </c>
      <c r="AC265" s="1">
        <v>209000</v>
      </c>
      <c r="AD265" s="1">
        <v>298400</v>
      </c>
      <c r="AE265" s="1">
        <v>45000</v>
      </c>
      <c r="AF265" s="1">
        <v>243900</v>
      </c>
      <c r="AG265" s="1">
        <v>57500</v>
      </c>
      <c r="AH265" s="1">
        <v>69100</v>
      </c>
      <c r="AI265" s="1">
        <v>32900</v>
      </c>
      <c r="AJ265" s="1">
        <v>91500</v>
      </c>
      <c r="AK265" s="1">
        <v>51900</v>
      </c>
      <c r="AL265" s="1">
        <v>77200</v>
      </c>
      <c r="AM265" s="1">
        <v>60700</v>
      </c>
      <c r="AN265" s="1">
        <v>83600</v>
      </c>
      <c r="AO265" s="1">
        <v>77100</v>
      </c>
      <c r="AP265" s="1">
        <v>109700</v>
      </c>
      <c r="AQ265" s="1">
        <v>73800</v>
      </c>
      <c r="AR265" s="1">
        <v>91200</v>
      </c>
      <c r="AS265" s="1">
        <v>138700</v>
      </c>
      <c r="AT265" s="1">
        <v>102500</v>
      </c>
      <c r="AU265" s="1">
        <v>128800</v>
      </c>
      <c r="AV265" s="1">
        <v>56000</v>
      </c>
      <c r="AW265" s="1">
        <v>70400</v>
      </c>
      <c r="AX265" s="1">
        <v>69100</v>
      </c>
      <c r="AY265" s="1">
        <v>97600</v>
      </c>
      <c r="AZ265" s="1">
        <v>62700</v>
      </c>
      <c r="BA265" s="1">
        <v>93100</v>
      </c>
      <c r="BB265" s="1">
        <v>119300</v>
      </c>
      <c r="BC265" s="1">
        <v>59700</v>
      </c>
      <c r="BD265" s="1">
        <v>258200</v>
      </c>
      <c r="BE265" s="1">
        <v>128900</v>
      </c>
      <c r="BF265" s="1">
        <v>158700</v>
      </c>
      <c r="BG265" s="1">
        <v>442500</v>
      </c>
      <c r="BH265" s="1">
        <v>524800</v>
      </c>
      <c r="BI265" s="1">
        <v>1334200</v>
      </c>
      <c r="BJ265" s="1">
        <v>1390100</v>
      </c>
      <c r="BK265" s="1">
        <v>34000</v>
      </c>
      <c r="BL265" s="1">
        <v>64500</v>
      </c>
    </row>
    <row r="266" spans="1:64">
      <c r="A266" s="434" t="s">
        <v>567</v>
      </c>
      <c r="B266" s="1" t="str">
        <f>銘柄管理!C266</f>
        <v>インフォメティス</v>
      </c>
      <c r="C266" s="1">
        <f>_xll.RssMarket("281A","出来高")</f>
        <v>614500</v>
      </c>
      <c r="D266" s="85">
        <f t="shared" si="4"/>
        <v>0</v>
      </c>
      <c r="E266" s="1">
        <v>614500</v>
      </c>
      <c r="F266" s="1">
        <v>3411400</v>
      </c>
      <c r="G266" s="1">
        <v>212900</v>
      </c>
      <c r="H266" s="1">
        <v>227200</v>
      </c>
      <c r="I266" s="1">
        <v>246100</v>
      </c>
      <c r="J266" s="1">
        <v>306400</v>
      </c>
      <c r="K266" s="1">
        <v>437800</v>
      </c>
      <c r="L266" s="1">
        <v>273100</v>
      </c>
      <c r="M266" s="1">
        <v>265100</v>
      </c>
      <c r="N266" s="1">
        <v>519300</v>
      </c>
      <c r="O266" s="1">
        <v>510200</v>
      </c>
      <c r="P266" s="1">
        <v>477700</v>
      </c>
      <c r="Q266" s="1">
        <v>717900</v>
      </c>
      <c r="R266" s="1">
        <v>1158600</v>
      </c>
      <c r="S266" s="1">
        <v>556100</v>
      </c>
      <c r="T266" s="1">
        <v>568900</v>
      </c>
      <c r="U266" s="1">
        <v>662600</v>
      </c>
      <c r="V266" s="1">
        <v>1884700</v>
      </c>
      <c r="W266" s="1">
        <v>933800</v>
      </c>
      <c r="X266" s="1">
        <v>831600</v>
      </c>
      <c r="Y266" s="1">
        <v>354100</v>
      </c>
      <c r="Z266" s="1">
        <v>375600</v>
      </c>
      <c r="AA266" s="1">
        <v>1037400</v>
      </c>
      <c r="AB266" s="1">
        <v>575900</v>
      </c>
      <c r="AC266" s="1">
        <v>614300</v>
      </c>
      <c r="AD266" s="1">
        <v>552000</v>
      </c>
      <c r="AE266" s="1">
        <v>570100</v>
      </c>
      <c r="AF266" s="1">
        <v>350400</v>
      </c>
      <c r="AG266" s="1">
        <v>467900</v>
      </c>
      <c r="AH266" s="1">
        <v>1207800</v>
      </c>
      <c r="AI266" s="1">
        <v>656900</v>
      </c>
      <c r="AJ266" s="1">
        <v>781200</v>
      </c>
      <c r="AK266" s="1">
        <v>1310100</v>
      </c>
      <c r="AL266" s="1">
        <v>2374900</v>
      </c>
      <c r="AM266" s="1">
        <v>2644500</v>
      </c>
      <c r="AN266" s="1">
        <v>3003900</v>
      </c>
      <c r="AO266" s="1">
        <v>3726700</v>
      </c>
      <c r="AP266" s="1">
        <v>6250000</v>
      </c>
      <c r="AQ266" s="1">
        <v>5625300</v>
      </c>
      <c r="AR266" s="1">
        <v>3634800</v>
      </c>
      <c r="AS266" s="1">
        <v>8330400</v>
      </c>
      <c r="AT266" s="1">
        <v>4102300</v>
      </c>
      <c r="AU266" s="1">
        <v>1938300</v>
      </c>
      <c r="AV266" s="1">
        <v>6037000</v>
      </c>
      <c r="AW266" s="1">
        <v>5714300</v>
      </c>
      <c r="AX266" s="1">
        <v>3599500</v>
      </c>
      <c r="AY266" s="1">
        <v>646900</v>
      </c>
      <c r="AZ266" s="1">
        <v>1015400</v>
      </c>
      <c r="BA266" s="1">
        <v>1196100</v>
      </c>
      <c r="BB266" s="1">
        <v>3047300</v>
      </c>
      <c r="BC266" s="1">
        <v>921000</v>
      </c>
      <c r="BD266" s="1">
        <v>2875200</v>
      </c>
      <c r="BE266" s="1">
        <v>3113600</v>
      </c>
      <c r="BF266" s="1">
        <v>1745700</v>
      </c>
      <c r="BG266" s="1">
        <v>7160800</v>
      </c>
      <c r="BH266" s="1">
        <v>5301900</v>
      </c>
      <c r="BI266" s="1">
        <v>1778500</v>
      </c>
      <c r="BJ266" s="1">
        <v>54500</v>
      </c>
      <c r="BK266" s="1">
        <v>1991400</v>
      </c>
      <c r="BL266" s="1">
        <v>31800</v>
      </c>
    </row>
    <row r="267" spans="1:64">
      <c r="A267" s="434" t="s">
        <v>568</v>
      </c>
      <c r="B267" s="1" t="str">
        <f>銘柄管理!C267</f>
        <v>日本ギア工業</v>
      </c>
      <c r="C267" s="1">
        <f>_xll.RssMarket("6356","出来高")</f>
        <v>1265900</v>
      </c>
      <c r="D267" s="85">
        <f t="shared" si="4"/>
        <v>0</v>
      </c>
      <c r="E267" s="1">
        <v>1265900</v>
      </c>
      <c r="F267" s="1">
        <v>198600</v>
      </c>
      <c r="G267" s="1">
        <v>284300</v>
      </c>
      <c r="H267" s="1">
        <v>265400</v>
      </c>
      <c r="I267" s="1">
        <v>288100</v>
      </c>
      <c r="J267" s="1">
        <v>467300</v>
      </c>
      <c r="K267" s="1">
        <v>421800</v>
      </c>
      <c r="L267" s="1">
        <v>167000</v>
      </c>
      <c r="M267" s="1">
        <v>178300</v>
      </c>
      <c r="N267" s="1">
        <v>220600</v>
      </c>
      <c r="O267" s="1">
        <v>232100</v>
      </c>
      <c r="P267" s="1">
        <v>311400</v>
      </c>
      <c r="Q267" s="1">
        <v>516200</v>
      </c>
      <c r="R267" s="1">
        <v>291500</v>
      </c>
      <c r="S267" s="1">
        <v>315300</v>
      </c>
      <c r="T267" s="1">
        <v>153900</v>
      </c>
      <c r="U267" s="1">
        <v>183600</v>
      </c>
      <c r="V267" s="1">
        <v>201800</v>
      </c>
      <c r="W267" s="1">
        <v>369000</v>
      </c>
      <c r="X267" s="1">
        <v>379900</v>
      </c>
      <c r="Y267" s="1">
        <v>572700</v>
      </c>
      <c r="Z267" s="1">
        <v>1067700</v>
      </c>
      <c r="AA267" s="1">
        <v>349200</v>
      </c>
      <c r="AB267" s="1">
        <v>267400</v>
      </c>
      <c r="AC267" s="1">
        <v>338400</v>
      </c>
      <c r="AD267" s="1">
        <v>293000</v>
      </c>
      <c r="AE267" s="1">
        <v>540800</v>
      </c>
      <c r="AF267" s="1">
        <v>714900</v>
      </c>
      <c r="AG267" s="1">
        <v>1184700</v>
      </c>
      <c r="AH267" s="1">
        <v>1159400</v>
      </c>
      <c r="AI267" s="1">
        <v>6561000</v>
      </c>
      <c r="AJ267" s="1">
        <v>3361100</v>
      </c>
      <c r="AK267" s="1">
        <v>292000</v>
      </c>
      <c r="AL267" s="1">
        <v>383900</v>
      </c>
      <c r="AM267" s="1">
        <v>647500</v>
      </c>
      <c r="AN267" s="1">
        <v>495600</v>
      </c>
      <c r="AO267" s="1">
        <v>1331700</v>
      </c>
      <c r="AP267" s="1">
        <v>1287600</v>
      </c>
      <c r="AQ267" s="1">
        <v>787800</v>
      </c>
      <c r="AR267" s="1">
        <v>840500</v>
      </c>
      <c r="AS267" s="1">
        <v>1012500</v>
      </c>
      <c r="AT267" s="1">
        <v>822800</v>
      </c>
      <c r="AU267" s="1">
        <v>1364600</v>
      </c>
      <c r="AV267" s="1">
        <v>627000</v>
      </c>
      <c r="AW267" s="1">
        <v>657400</v>
      </c>
      <c r="AX267" s="1">
        <v>712800</v>
      </c>
      <c r="AY267" s="1">
        <v>1584800</v>
      </c>
      <c r="AZ267" s="1">
        <v>1326400</v>
      </c>
      <c r="BA267" s="1">
        <v>1108000</v>
      </c>
      <c r="BB267" s="1">
        <v>780800</v>
      </c>
      <c r="BC267" s="1">
        <v>1843900</v>
      </c>
      <c r="BD267" s="1">
        <v>2061100</v>
      </c>
      <c r="BE267" s="1">
        <v>3071000</v>
      </c>
      <c r="BF267" s="1">
        <v>5784000</v>
      </c>
      <c r="BG267" s="1">
        <v>12232000</v>
      </c>
      <c r="BH267" s="1">
        <v>8000900</v>
      </c>
      <c r="BI267" s="1">
        <v>15359500</v>
      </c>
      <c r="BJ267" s="1">
        <v>4627900</v>
      </c>
      <c r="BK267" s="1">
        <v>5794000</v>
      </c>
      <c r="BL267" s="1">
        <v>14935300</v>
      </c>
    </row>
    <row r="268" spans="1:64">
      <c r="A268" s="434" t="s">
        <v>569</v>
      </c>
      <c r="B268" s="1" t="str">
        <f>銘柄管理!C268</f>
        <v>助川電気工業</v>
      </c>
      <c r="C268" s="1">
        <f>_xll.RssMarket("7711","出来高")</f>
        <v>121900</v>
      </c>
      <c r="D268" s="85">
        <f t="shared" si="4"/>
        <v>0</v>
      </c>
      <c r="E268" s="1">
        <v>121900</v>
      </c>
      <c r="F268" s="1">
        <v>76600</v>
      </c>
      <c r="G268" s="1">
        <v>74600</v>
      </c>
      <c r="H268" s="1">
        <v>66200</v>
      </c>
      <c r="I268" s="1">
        <v>91100</v>
      </c>
      <c r="J268" s="1">
        <v>90800</v>
      </c>
      <c r="K268" s="1">
        <v>244500</v>
      </c>
      <c r="L268" s="1">
        <v>49500</v>
      </c>
      <c r="M268" s="1">
        <v>64400</v>
      </c>
      <c r="N268" s="1">
        <v>75500</v>
      </c>
      <c r="O268" s="1">
        <v>39500</v>
      </c>
      <c r="P268" s="1">
        <v>73600</v>
      </c>
      <c r="Q268" s="1">
        <v>161900</v>
      </c>
      <c r="R268" s="1">
        <v>102400</v>
      </c>
      <c r="S268" s="1">
        <v>72800</v>
      </c>
      <c r="T268" s="1">
        <v>45200</v>
      </c>
      <c r="U268" s="1">
        <v>115000</v>
      </c>
      <c r="V268" s="1">
        <v>88300</v>
      </c>
      <c r="W268" s="1">
        <v>74800</v>
      </c>
      <c r="X268" s="1">
        <v>65800</v>
      </c>
      <c r="Y268" s="1">
        <v>101300</v>
      </c>
      <c r="Z268" s="1">
        <v>50200</v>
      </c>
      <c r="AA268" s="1">
        <v>88400</v>
      </c>
      <c r="AB268" s="1">
        <v>100800</v>
      </c>
      <c r="AC268" s="1">
        <v>136800</v>
      </c>
      <c r="AD268" s="1">
        <v>857800</v>
      </c>
      <c r="AE268" s="1">
        <v>69800</v>
      </c>
      <c r="AF268" s="1">
        <v>78100</v>
      </c>
      <c r="AG268" s="1">
        <v>59000</v>
      </c>
      <c r="AH268" s="1">
        <v>101200</v>
      </c>
      <c r="AI268" s="1">
        <v>103200</v>
      </c>
      <c r="AJ268" s="1">
        <v>263800</v>
      </c>
      <c r="AK268" s="1">
        <v>142300</v>
      </c>
      <c r="AL268" s="1">
        <v>134800</v>
      </c>
      <c r="AM268" s="1">
        <v>81300</v>
      </c>
      <c r="AN268" s="1">
        <v>43800</v>
      </c>
      <c r="AO268" s="1">
        <v>132700</v>
      </c>
      <c r="AP268" s="1">
        <v>91300</v>
      </c>
      <c r="AQ268" s="1">
        <v>66000</v>
      </c>
      <c r="AR268" s="1">
        <v>77700</v>
      </c>
      <c r="AS268" s="1">
        <v>121400</v>
      </c>
      <c r="AT268" s="1">
        <v>91900</v>
      </c>
      <c r="AU268" s="1">
        <v>136100</v>
      </c>
      <c r="AV268" s="1">
        <v>84700</v>
      </c>
      <c r="AW268" s="1">
        <v>67700</v>
      </c>
      <c r="AX268" s="1">
        <v>48800</v>
      </c>
      <c r="AY268" s="1">
        <v>98100</v>
      </c>
      <c r="AZ268" s="1">
        <v>78900</v>
      </c>
      <c r="BA268" s="1">
        <v>86400</v>
      </c>
      <c r="BB268" s="1">
        <v>71300</v>
      </c>
      <c r="BC268" s="1">
        <v>77500</v>
      </c>
      <c r="BD268" s="1">
        <v>92100</v>
      </c>
      <c r="BE268" s="1">
        <v>106600</v>
      </c>
      <c r="BF268" s="1">
        <v>94400</v>
      </c>
      <c r="BG268" s="1">
        <v>173900</v>
      </c>
      <c r="BH268" s="1">
        <v>128200</v>
      </c>
      <c r="BI268" s="1">
        <v>128100</v>
      </c>
      <c r="BJ268" s="1">
        <v>79300</v>
      </c>
      <c r="BK268" s="1">
        <v>89100</v>
      </c>
      <c r="BL268" s="1">
        <v>105300</v>
      </c>
    </row>
    <row r="269" spans="1:64">
      <c r="A269" s="434" t="s">
        <v>570</v>
      </c>
      <c r="B269" s="1" t="str">
        <f>銘柄管理!C269</f>
        <v>日機装</v>
      </c>
      <c r="C269" s="1">
        <f>_xll.RssMarket("6376","出来高")</f>
        <v>723000</v>
      </c>
      <c r="D269" s="85">
        <f t="shared" si="4"/>
        <v>0</v>
      </c>
      <c r="E269" s="1">
        <v>723000</v>
      </c>
      <c r="F269" s="1">
        <v>704000</v>
      </c>
      <c r="G269" s="1">
        <v>670000</v>
      </c>
      <c r="H269" s="1">
        <v>451200</v>
      </c>
      <c r="I269" s="1">
        <v>828700</v>
      </c>
      <c r="J269" s="1">
        <v>682700</v>
      </c>
      <c r="K269" s="1">
        <v>372400</v>
      </c>
      <c r="L269" s="1">
        <v>382300</v>
      </c>
      <c r="M269" s="1">
        <v>524200</v>
      </c>
      <c r="N269" s="1">
        <v>386900</v>
      </c>
      <c r="O269" s="1">
        <v>1444700</v>
      </c>
      <c r="P269" s="1">
        <v>364400</v>
      </c>
      <c r="Q269" s="1">
        <v>502000</v>
      </c>
      <c r="R269" s="1">
        <v>851000</v>
      </c>
      <c r="S269" s="1">
        <v>506700</v>
      </c>
      <c r="T269" s="1">
        <v>446100</v>
      </c>
      <c r="U269" s="1">
        <v>407700</v>
      </c>
      <c r="V269" s="1">
        <v>514000</v>
      </c>
      <c r="W269" s="1">
        <v>1019800</v>
      </c>
      <c r="X269" s="1">
        <v>677400</v>
      </c>
      <c r="Y269" s="1">
        <v>275500</v>
      </c>
      <c r="Z269" s="1">
        <v>178300</v>
      </c>
      <c r="AA269" s="1">
        <v>253200</v>
      </c>
      <c r="AB269" s="1">
        <v>232700</v>
      </c>
      <c r="AC269" s="1">
        <v>289900</v>
      </c>
      <c r="AD269" s="1">
        <v>344100</v>
      </c>
      <c r="AE269" s="1">
        <v>216900</v>
      </c>
      <c r="AF269" s="1">
        <v>226300</v>
      </c>
      <c r="AG269" s="1">
        <v>307700</v>
      </c>
      <c r="AH269" s="1">
        <v>456600</v>
      </c>
      <c r="AI269" s="1">
        <v>508300</v>
      </c>
      <c r="AJ269" s="1">
        <v>233000</v>
      </c>
      <c r="AK269" s="1">
        <v>562100</v>
      </c>
      <c r="AL269" s="1">
        <v>299500</v>
      </c>
      <c r="AM269" s="1">
        <v>193900</v>
      </c>
      <c r="AN269" s="1">
        <v>282800</v>
      </c>
      <c r="AO269" s="1">
        <v>289500</v>
      </c>
      <c r="AP269" s="1">
        <v>252500</v>
      </c>
      <c r="AQ269" s="1">
        <v>296800</v>
      </c>
      <c r="AR269" s="1">
        <v>221600</v>
      </c>
      <c r="AS269" s="1">
        <v>325100</v>
      </c>
      <c r="AT269" s="1">
        <v>229600</v>
      </c>
      <c r="AU269" s="1">
        <v>332000</v>
      </c>
      <c r="AV269" s="1">
        <v>237500</v>
      </c>
      <c r="AW269" s="1">
        <v>309100</v>
      </c>
      <c r="AX269" s="1">
        <v>230600</v>
      </c>
      <c r="AY269" s="1">
        <v>389600</v>
      </c>
      <c r="AZ269" s="1">
        <v>503000</v>
      </c>
      <c r="BA269" s="1">
        <v>627500</v>
      </c>
      <c r="BB269" s="1">
        <v>732200</v>
      </c>
      <c r="BC269" s="1">
        <v>651400</v>
      </c>
      <c r="BD269" s="1">
        <v>206100</v>
      </c>
      <c r="BE269" s="1">
        <v>199900</v>
      </c>
      <c r="BF269" s="1">
        <v>277600</v>
      </c>
      <c r="BG269" s="1">
        <v>299200</v>
      </c>
      <c r="BH269" s="1">
        <v>227400</v>
      </c>
      <c r="BI269" s="1">
        <v>255400</v>
      </c>
      <c r="BJ269" s="1">
        <v>224400</v>
      </c>
      <c r="BK269" s="1">
        <v>343300</v>
      </c>
      <c r="BL269" s="1">
        <v>223500</v>
      </c>
    </row>
    <row r="270" spans="1:64">
      <c r="A270" s="434" t="s">
        <v>571</v>
      </c>
      <c r="B270" s="1" t="str">
        <f>銘柄管理!C270</f>
        <v>明海グループ</v>
      </c>
      <c r="C270" s="1">
        <f>_xll.RssMarket("9115","出来高")</f>
        <v>49000</v>
      </c>
      <c r="D270" s="85">
        <f t="shared" si="4"/>
        <v>0</v>
      </c>
      <c r="E270" s="1">
        <v>49000</v>
      </c>
      <c r="F270" s="1">
        <v>35400</v>
      </c>
      <c r="G270" s="1">
        <v>55800</v>
      </c>
      <c r="H270" s="1">
        <v>37600</v>
      </c>
      <c r="I270" s="1">
        <v>31000</v>
      </c>
      <c r="J270" s="1">
        <v>30100</v>
      </c>
      <c r="K270" s="1">
        <v>39400</v>
      </c>
      <c r="L270" s="1">
        <v>76800</v>
      </c>
      <c r="M270" s="1">
        <v>33100</v>
      </c>
      <c r="N270" s="1">
        <v>40300</v>
      </c>
      <c r="O270" s="1">
        <v>20700</v>
      </c>
      <c r="P270" s="1">
        <v>31100</v>
      </c>
      <c r="Q270" s="1">
        <v>11000</v>
      </c>
      <c r="R270" s="1">
        <v>29300</v>
      </c>
      <c r="S270" s="1">
        <v>25900</v>
      </c>
      <c r="T270" s="1">
        <v>18100</v>
      </c>
      <c r="U270" s="1">
        <v>20900</v>
      </c>
      <c r="V270" s="1">
        <v>81000</v>
      </c>
      <c r="W270" s="1">
        <v>14100</v>
      </c>
      <c r="X270" s="1">
        <v>45500</v>
      </c>
      <c r="Y270" s="1">
        <v>38400</v>
      </c>
      <c r="Z270" s="1">
        <v>39000</v>
      </c>
      <c r="AA270" s="1">
        <v>20600</v>
      </c>
      <c r="AB270" s="1">
        <v>33100</v>
      </c>
      <c r="AC270" s="1">
        <v>61100</v>
      </c>
      <c r="AD270" s="1">
        <v>111800</v>
      </c>
      <c r="AE270" s="1">
        <v>93600</v>
      </c>
      <c r="AF270" s="1">
        <v>55300</v>
      </c>
      <c r="AG270" s="1">
        <v>159900</v>
      </c>
      <c r="AH270" s="1">
        <v>70100</v>
      </c>
      <c r="AI270" s="1">
        <v>120900</v>
      </c>
      <c r="AJ270" s="1">
        <v>72700</v>
      </c>
      <c r="AK270" s="1">
        <v>56800</v>
      </c>
      <c r="AL270" s="1">
        <v>73300</v>
      </c>
      <c r="AM270" s="1">
        <v>130700</v>
      </c>
      <c r="AN270" s="1">
        <v>66700</v>
      </c>
      <c r="AO270" s="1">
        <v>82800</v>
      </c>
      <c r="AP270" s="1">
        <v>187400</v>
      </c>
      <c r="AQ270" s="1">
        <v>238800</v>
      </c>
      <c r="AR270" s="1">
        <v>359400</v>
      </c>
      <c r="AS270" s="1">
        <v>320300</v>
      </c>
      <c r="AT270" s="1">
        <v>430800</v>
      </c>
      <c r="AU270" s="1">
        <v>211600</v>
      </c>
      <c r="AV270" s="1">
        <v>256900</v>
      </c>
      <c r="AW270" s="1">
        <v>758900</v>
      </c>
      <c r="AX270" s="1">
        <v>305700</v>
      </c>
      <c r="AY270" s="1">
        <v>881600</v>
      </c>
      <c r="AZ270" s="1">
        <v>406100</v>
      </c>
      <c r="BA270" s="1">
        <v>402300</v>
      </c>
      <c r="BB270" s="1">
        <v>941800</v>
      </c>
      <c r="BC270" s="1">
        <v>581600</v>
      </c>
      <c r="BD270" s="1">
        <v>1035600</v>
      </c>
      <c r="BE270" s="1">
        <v>2133100</v>
      </c>
      <c r="BF270" s="1">
        <v>2913600</v>
      </c>
      <c r="BG270" s="1">
        <v>3550900</v>
      </c>
      <c r="BH270" s="1">
        <v>3660200</v>
      </c>
      <c r="BI270" s="1">
        <v>1329300</v>
      </c>
      <c r="BJ270" s="1">
        <v>1198000</v>
      </c>
      <c r="BK270" s="1">
        <v>1960900</v>
      </c>
      <c r="BL270" s="1">
        <v>712700</v>
      </c>
    </row>
    <row r="271" spans="1:64">
      <c r="A271" s="434" t="s">
        <v>572</v>
      </c>
      <c r="B271" s="1" t="str">
        <f>銘柄管理!C271</f>
        <v>三菱製紙</v>
      </c>
      <c r="C271" s="1">
        <f>_xll.RssMarket("3864","出来高")</f>
        <v>126500</v>
      </c>
      <c r="D271" s="85">
        <f t="shared" si="4"/>
        <v>0</v>
      </c>
      <c r="E271" s="1">
        <v>126500</v>
      </c>
      <c r="F271" s="1">
        <v>150500</v>
      </c>
      <c r="G271" s="1">
        <v>129500</v>
      </c>
      <c r="H271" s="1">
        <v>187800</v>
      </c>
      <c r="I271" s="1">
        <v>186900</v>
      </c>
      <c r="J271" s="1">
        <v>239900</v>
      </c>
      <c r="K271" s="1">
        <v>103000</v>
      </c>
      <c r="L271" s="1">
        <v>194100</v>
      </c>
      <c r="M271" s="1">
        <v>197600</v>
      </c>
      <c r="N271" s="1">
        <v>181600</v>
      </c>
      <c r="O271" s="1">
        <v>177600</v>
      </c>
      <c r="P271" s="1">
        <v>203300</v>
      </c>
      <c r="Q271" s="1">
        <v>344200</v>
      </c>
      <c r="R271" s="1">
        <v>402800</v>
      </c>
      <c r="S271" s="1">
        <v>418100</v>
      </c>
      <c r="T271" s="1">
        <v>288500</v>
      </c>
      <c r="U271" s="1">
        <v>165700</v>
      </c>
      <c r="V271" s="1">
        <v>365800</v>
      </c>
      <c r="W271" s="1">
        <v>368900</v>
      </c>
      <c r="X271" s="1">
        <v>730100</v>
      </c>
      <c r="Y271" s="1">
        <v>252700</v>
      </c>
      <c r="Z271" s="1">
        <v>118200</v>
      </c>
      <c r="AA271" s="1">
        <v>216000</v>
      </c>
      <c r="AB271" s="1">
        <v>161300</v>
      </c>
      <c r="AC271" s="1">
        <v>271600</v>
      </c>
      <c r="AD271" s="1">
        <v>208900</v>
      </c>
      <c r="AE271" s="1">
        <v>168200</v>
      </c>
      <c r="AF271" s="1">
        <v>205800</v>
      </c>
      <c r="AG271" s="1">
        <v>221000</v>
      </c>
      <c r="AH271" s="1">
        <v>656700</v>
      </c>
      <c r="AI271" s="1">
        <v>260300</v>
      </c>
      <c r="AJ271" s="1">
        <v>223600</v>
      </c>
      <c r="AK271" s="1">
        <v>245600</v>
      </c>
      <c r="AL271" s="1">
        <v>282800</v>
      </c>
      <c r="AM271" s="1">
        <v>378400</v>
      </c>
      <c r="AN271" s="1">
        <v>351200</v>
      </c>
      <c r="AO271" s="1">
        <v>385600</v>
      </c>
      <c r="AP271" s="1">
        <v>283600</v>
      </c>
      <c r="AQ271" s="1">
        <v>124000</v>
      </c>
      <c r="AR271" s="1">
        <v>287100</v>
      </c>
      <c r="AS271" s="1">
        <v>185600</v>
      </c>
      <c r="AT271" s="1">
        <v>244300</v>
      </c>
      <c r="AU271" s="1">
        <v>201400</v>
      </c>
      <c r="AV271" s="1">
        <v>166300</v>
      </c>
      <c r="AW271" s="1">
        <v>120300</v>
      </c>
      <c r="AX271" s="1">
        <v>149800</v>
      </c>
      <c r="AY271" s="1">
        <v>232600</v>
      </c>
      <c r="AZ271" s="1">
        <v>149600</v>
      </c>
      <c r="BA271" s="1">
        <v>151400</v>
      </c>
      <c r="BB271" s="1">
        <v>270300</v>
      </c>
      <c r="BC271" s="1">
        <v>286100</v>
      </c>
      <c r="BD271" s="1">
        <v>186400</v>
      </c>
      <c r="BE271" s="1">
        <v>240800</v>
      </c>
      <c r="BF271" s="1">
        <v>145000</v>
      </c>
      <c r="BG271" s="1">
        <v>397200</v>
      </c>
      <c r="BH271" s="1">
        <v>321300</v>
      </c>
      <c r="BI271" s="1">
        <v>124900</v>
      </c>
      <c r="BJ271" s="1">
        <v>159200</v>
      </c>
      <c r="BK271" s="1">
        <v>184100</v>
      </c>
      <c r="BL271" s="1">
        <v>290800</v>
      </c>
    </row>
    <row r="272" spans="1:64">
      <c r="A272" s="434" t="s">
        <v>573</v>
      </c>
      <c r="B272" s="1" t="str">
        <f>銘柄管理!C272</f>
        <v>日本ケミコン</v>
      </c>
      <c r="C272" s="1">
        <f>_xll.RssMarket("6997","出来高")</f>
        <v>1138700</v>
      </c>
      <c r="D272" s="85">
        <f t="shared" si="4"/>
        <v>0</v>
      </c>
      <c r="E272" s="1">
        <v>1138700</v>
      </c>
      <c r="F272" s="1">
        <v>1247100</v>
      </c>
      <c r="G272" s="1">
        <v>1795700</v>
      </c>
      <c r="H272" s="1">
        <v>1649100</v>
      </c>
      <c r="I272" s="1">
        <v>1359000</v>
      </c>
      <c r="J272" s="1">
        <v>1804100</v>
      </c>
      <c r="K272" s="1">
        <v>1442800</v>
      </c>
      <c r="L272" s="1">
        <v>1291200</v>
      </c>
      <c r="M272" s="1">
        <v>2333100</v>
      </c>
      <c r="N272" s="1">
        <v>3239900</v>
      </c>
      <c r="O272" s="1">
        <v>2453900</v>
      </c>
      <c r="P272" s="1">
        <v>2223900</v>
      </c>
      <c r="Q272" s="1">
        <v>1714800</v>
      </c>
      <c r="R272" s="1">
        <v>1168700</v>
      </c>
      <c r="S272" s="1">
        <v>2192100</v>
      </c>
      <c r="T272" s="1">
        <v>841800</v>
      </c>
      <c r="U272" s="1">
        <v>717100</v>
      </c>
      <c r="V272" s="1">
        <v>1164000</v>
      </c>
      <c r="W272" s="1">
        <v>1004100</v>
      </c>
      <c r="X272" s="1">
        <v>1608000</v>
      </c>
      <c r="Y272" s="1">
        <v>1043000</v>
      </c>
      <c r="Z272" s="1">
        <v>548800</v>
      </c>
      <c r="AA272" s="1">
        <v>540600</v>
      </c>
      <c r="AB272" s="1">
        <v>970400</v>
      </c>
      <c r="AC272" s="1">
        <v>1252600</v>
      </c>
      <c r="AD272" s="1">
        <v>1097100</v>
      </c>
      <c r="AE272" s="1">
        <v>619700</v>
      </c>
      <c r="AF272" s="1">
        <v>1261600</v>
      </c>
      <c r="AG272" s="1">
        <v>724800</v>
      </c>
      <c r="AH272" s="1">
        <v>996100</v>
      </c>
      <c r="AI272" s="1">
        <v>971400</v>
      </c>
      <c r="AJ272" s="1">
        <v>1177100</v>
      </c>
      <c r="AK272" s="1">
        <v>754500</v>
      </c>
      <c r="AL272" s="1">
        <v>1045000</v>
      </c>
      <c r="AM272" s="1">
        <v>1301900</v>
      </c>
      <c r="AN272" s="1">
        <v>1257900</v>
      </c>
      <c r="AO272" s="1">
        <v>1142300</v>
      </c>
      <c r="AP272" s="1">
        <v>947900</v>
      </c>
      <c r="AQ272" s="1">
        <v>896900</v>
      </c>
      <c r="AR272" s="1">
        <v>498100</v>
      </c>
      <c r="AS272" s="1">
        <v>447100</v>
      </c>
      <c r="AT272" s="1">
        <v>373700</v>
      </c>
      <c r="AU272" s="1">
        <v>572200</v>
      </c>
      <c r="AV272" s="1">
        <v>199000</v>
      </c>
      <c r="AW272" s="1">
        <v>200200</v>
      </c>
      <c r="AX272" s="1">
        <v>190300</v>
      </c>
      <c r="AY272" s="1">
        <v>345600</v>
      </c>
      <c r="AZ272" s="1">
        <v>346500</v>
      </c>
      <c r="BA272" s="1">
        <v>399500</v>
      </c>
      <c r="BB272" s="1">
        <v>1029700</v>
      </c>
      <c r="BC272" s="1">
        <v>201700</v>
      </c>
      <c r="BD272" s="1">
        <v>160500</v>
      </c>
      <c r="BE272" s="1">
        <v>194300</v>
      </c>
      <c r="BF272" s="1">
        <v>289500</v>
      </c>
      <c r="BG272" s="1">
        <v>454600</v>
      </c>
      <c r="BH272" s="1">
        <v>360500</v>
      </c>
      <c r="BI272" s="1">
        <v>258900</v>
      </c>
      <c r="BJ272" s="1">
        <v>266800</v>
      </c>
      <c r="BK272" s="1">
        <v>352100</v>
      </c>
      <c r="BL272" s="1">
        <v>274100</v>
      </c>
    </row>
    <row r="273" spans="1:64">
      <c r="A273" s="434" t="s">
        <v>574</v>
      </c>
      <c r="B273" s="1" t="str">
        <f>銘柄管理!C273</f>
        <v>ＨＵグループＨＤ</v>
      </c>
      <c r="C273" s="1">
        <f>_xll.RssMarket("4544","出来高")</f>
        <v>302800</v>
      </c>
      <c r="D273" s="85">
        <f t="shared" si="4"/>
        <v>0</v>
      </c>
      <c r="E273" s="1">
        <v>302800</v>
      </c>
      <c r="F273" s="1">
        <v>210200</v>
      </c>
      <c r="G273" s="1">
        <v>347900</v>
      </c>
      <c r="H273" s="1">
        <v>221700</v>
      </c>
      <c r="I273" s="1">
        <v>353100</v>
      </c>
      <c r="J273" s="1">
        <v>223600</v>
      </c>
      <c r="K273" s="1">
        <v>240700</v>
      </c>
      <c r="L273" s="1">
        <v>288600</v>
      </c>
      <c r="M273" s="1">
        <v>469100</v>
      </c>
      <c r="N273" s="1">
        <v>278300</v>
      </c>
      <c r="O273" s="1">
        <v>403800</v>
      </c>
      <c r="P273" s="1">
        <v>262300</v>
      </c>
      <c r="Q273" s="1">
        <v>245800</v>
      </c>
      <c r="R273" s="1">
        <v>204300</v>
      </c>
      <c r="S273" s="1">
        <v>185000</v>
      </c>
      <c r="T273" s="1">
        <v>332000</v>
      </c>
      <c r="U273" s="1">
        <v>258400</v>
      </c>
      <c r="V273" s="1">
        <v>307700</v>
      </c>
      <c r="W273" s="1">
        <v>308600</v>
      </c>
      <c r="X273" s="1">
        <v>412500</v>
      </c>
      <c r="Y273" s="1">
        <v>421800</v>
      </c>
      <c r="Z273" s="1">
        <v>276200</v>
      </c>
      <c r="AA273" s="1">
        <v>188900</v>
      </c>
      <c r="AB273" s="1">
        <v>194600</v>
      </c>
      <c r="AC273" s="1">
        <v>263300</v>
      </c>
      <c r="AD273" s="1">
        <v>259300</v>
      </c>
      <c r="AE273" s="1">
        <v>121500</v>
      </c>
      <c r="AF273" s="1">
        <v>246900</v>
      </c>
      <c r="AG273" s="1">
        <v>446500</v>
      </c>
      <c r="AH273" s="1">
        <v>363500</v>
      </c>
      <c r="AI273" s="1">
        <v>305500</v>
      </c>
      <c r="AJ273" s="1">
        <v>309200</v>
      </c>
      <c r="AK273" s="1">
        <v>347900</v>
      </c>
      <c r="AL273" s="1">
        <v>210200</v>
      </c>
      <c r="AM273" s="1">
        <v>97500</v>
      </c>
      <c r="AN273" s="1">
        <v>170100</v>
      </c>
      <c r="AO273" s="1">
        <v>164200</v>
      </c>
      <c r="AP273" s="1">
        <v>190100</v>
      </c>
      <c r="AQ273" s="1">
        <v>212900</v>
      </c>
      <c r="AR273" s="1">
        <v>211600</v>
      </c>
      <c r="AS273" s="1">
        <v>204100</v>
      </c>
      <c r="AT273" s="1">
        <v>183000</v>
      </c>
      <c r="AU273" s="1">
        <v>217900</v>
      </c>
      <c r="AV273" s="1">
        <v>134200</v>
      </c>
      <c r="AW273" s="1">
        <v>150800</v>
      </c>
      <c r="AX273" s="1">
        <v>143300</v>
      </c>
      <c r="AY273" s="1">
        <v>127800</v>
      </c>
      <c r="AZ273" s="1">
        <v>190500</v>
      </c>
      <c r="BA273" s="1">
        <v>220000</v>
      </c>
      <c r="BB273" s="1">
        <v>313900</v>
      </c>
      <c r="BC273" s="1">
        <v>454200</v>
      </c>
      <c r="BD273" s="1">
        <v>380800</v>
      </c>
      <c r="BE273" s="1">
        <v>262300</v>
      </c>
      <c r="BF273" s="1">
        <v>270000</v>
      </c>
      <c r="BG273" s="1">
        <v>436300</v>
      </c>
      <c r="BH273" s="1">
        <v>282400</v>
      </c>
      <c r="BI273" s="1">
        <v>126200</v>
      </c>
      <c r="BJ273" s="1">
        <v>167800</v>
      </c>
      <c r="BK273" s="1">
        <v>450500</v>
      </c>
      <c r="BL273" s="1">
        <v>446800</v>
      </c>
    </row>
    <row r="274" spans="1:64">
      <c r="A274" s="434" t="s">
        <v>575</v>
      </c>
      <c r="B274" s="1" t="str">
        <f>銘柄管理!C274</f>
        <v>東亜ディーケーケー</v>
      </c>
      <c r="C274" s="1">
        <f>_xll.RssMarket("6848","出来高")</f>
        <v>3800</v>
      </c>
      <c r="D274" s="85">
        <f t="shared" si="4"/>
        <v>0</v>
      </c>
      <c r="E274" s="1">
        <v>3800</v>
      </c>
      <c r="F274" s="1">
        <v>2700</v>
      </c>
      <c r="G274" s="1">
        <v>4800</v>
      </c>
      <c r="H274" s="1">
        <v>5500</v>
      </c>
      <c r="I274" s="1">
        <v>11400</v>
      </c>
      <c r="J274" s="1">
        <v>3500</v>
      </c>
      <c r="K274" s="1">
        <v>2800</v>
      </c>
      <c r="L274" s="1">
        <v>5800</v>
      </c>
      <c r="M274" s="1">
        <v>5600</v>
      </c>
      <c r="N274" s="1">
        <v>3800</v>
      </c>
      <c r="O274" s="1">
        <v>2600</v>
      </c>
      <c r="P274" s="1">
        <v>2500</v>
      </c>
      <c r="Q274" s="1">
        <v>2900</v>
      </c>
      <c r="R274" s="1">
        <v>6100</v>
      </c>
      <c r="S274" s="1">
        <v>5500</v>
      </c>
      <c r="T274" s="1">
        <v>4900</v>
      </c>
      <c r="U274" s="1">
        <v>11400</v>
      </c>
      <c r="V274" s="1">
        <v>800</v>
      </c>
      <c r="W274" s="1">
        <v>6600</v>
      </c>
      <c r="X274" s="1">
        <v>7100</v>
      </c>
      <c r="Y274" s="1">
        <v>3600</v>
      </c>
      <c r="Z274" s="1">
        <v>1700</v>
      </c>
      <c r="AA274" s="1">
        <v>4100</v>
      </c>
      <c r="AB274" s="1">
        <v>4300</v>
      </c>
      <c r="AC274" s="1">
        <v>2100</v>
      </c>
      <c r="AD274" s="1">
        <v>3300</v>
      </c>
      <c r="AE274" s="1">
        <v>3100</v>
      </c>
      <c r="AF274" s="1">
        <v>3000</v>
      </c>
      <c r="AG274" s="1">
        <v>1500</v>
      </c>
      <c r="AH274" s="1">
        <v>3000</v>
      </c>
      <c r="AI274" s="1">
        <v>6200</v>
      </c>
      <c r="AJ274" s="1">
        <v>4300</v>
      </c>
      <c r="AK274" s="1">
        <v>2200</v>
      </c>
      <c r="AL274" s="1">
        <v>1700</v>
      </c>
      <c r="AM274" s="1">
        <v>4200</v>
      </c>
      <c r="AN274" s="1">
        <v>1500</v>
      </c>
      <c r="AO274" s="1">
        <v>5200</v>
      </c>
      <c r="AP274" s="1">
        <v>2600</v>
      </c>
      <c r="AQ274" s="1">
        <v>1500</v>
      </c>
      <c r="AR274" s="1">
        <v>1200</v>
      </c>
      <c r="AS274" s="1">
        <v>3900</v>
      </c>
      <c r="AT274" s="1">
        <v>1500</v>
      </c>
      <c r="AU274" s="1">
        <v>3900</v>
      </c>
      <c r="AV274" s="1">
        <v>1900</v>
      </c>
      <c r="AW274" s="1">
        <v>6400</v>
      </c>
      <c r="AX274" s="1">
        <v>1700</v>
      </c>
      <c r="AY274" s="1">
        <v>2600</v>
      </c>
      <c r="AZ274" s="1">
        <v>4500</v>
      </c>
      <c r="BA274" s="1">
        <v>2000</v>
      </c>
      <c r="BB274" s="1">
        <v>6900</v>
      </c>
      <c r="BC274" s="1">
        <v>1600</v>
      </c>
      <c r="BD274" s="1">
        <v>2300</v>
      </c>
      <c r="BE274" s="1">
        <v>3800</v>
      </c>
      <c r="BF274" s="1">
        <v>4400</v>
      </c>
      <c r="BG274" s="1">
        <v>9900</v>
      </c>
      <c r="BH274" s="1">
        <v>5100</v>
      </c>
      <c r="BI274" s="1">
        <v>5100</v>
      </c>
      <c r="BJ274" s="1">
        <v>5200</v>
      </c>
      <c r="BK274" s="1">
        <v>5200</v>
      </c>
      <c r="BL274" s="1">
        <v>3100</v>
      </c>
    </row>
    <row r="275" spans="1:64">
      <c r="A275" s="434" t="s">
        <v>576</v>
      </c>
      <c r="B275" s="1" t="str">
        <f>銘柄管理!C275</f>
        <v>大紀アルミニウム</v>
      </c>
      <c r="C275" s="1">
        <f>_xll.RssMarket("5702","出来高")</f>
        <v>308800</v>
      </c>
      <c r="D275" s="85">
        <f t="shared" si="4"/>
        <v>0</v>
      </c>
      <c r="E275" s="1">
        <v>308800</v>
      </c>
      <c r="F275" s="1">
        <v>341400</v>
      </c>
      <c r="G275" s="1">
        <v>220700</v>
      </c>
      <c r="H275" s="1">
        <v>210500</v>
      </c>
      <c r="I275" s="1">
        <v>290500</v>
      </c>
      <c r="J275" s="1">
        <v>337200</v>
      </c>
      <c r="K275" s="1">
        <v>242300</v>
      </c>
      <c r="L275" s="1">
        <v>234100</v>
      </c>
      <c r="M275" s="1">
        <v>304900</v>
      </c>
      <c r="N275" s="1">
        <v>279200</v>
      </c>
      <c r="O275" s="1">
        <v>262200</v>
      </c>
      <c r="P275" s="1">
        <v>285000</v>
      </c>
      <c r="Q275" s="1">
        <v>347600</v>
      </c>
      <c r="R275" s="1">
        <v>295400</v>
      </c>
      <c r="S275" s="1">
        <v>380200</v>
      </c>
      <c r="T275" s="1">
        <v>320500</v>
      </c>
      <c r="U275" s="1">
        <v>281300</v>
      </c>
      <c r="V275" s="1">
        <v>384800</v>
      </c>
      <c r="W275" s="1">
        <v>410800</v>
      </c>
      <c r="X275" s="1">
        <v>611800</v>
      </c>
      <c r="Y275" s="1">
        <v>1315400</v>
      </c>
      <c r="Z275" s="1">
        <v>208000</v>
      </c>
      <c r="AA275" s="1">
        <v>253300</v>
      </c>
      <c r="AB275" s="1">
        <v>209400</v>
      </c>
      <c r="AC275" s="1">
        <v>396600</v>
      </c>
      <c r="AD275" s="1">
        <v>264500</v>
      </c>
      <c r="AE275" s="1">
        <v>250700</v>
      </c>
      <c r="AF275" s="1">
        <v>350600</v>
      </c>
      <c r="AG275" s="1">
        <v>210600</v>
      </c>
      <c r="AH275" s="1">
        <v>161500</v>
      </c>
      <c r="AI275" s="1">
        <v>164300</v>
      </c>
      <c r="AJ275" s="1">
        <v>200200</v>
      </c>
      <c r="AK275" s="1">
        <v>179400</v>
      </c>
      <c r="AL275" s="1">
        <v>220300</v>
      </c>
      <c r="AM275" s="1">
        <v>152300</v>
      </c>
      <c r="AN275" s="1">
        <v>138500</v>
      </c>
      <c r="AO275" s="1">
        <v>165800</v>
      </c>
      <c r="AP275" s="1">
        <v>238100</v>
      </c>
      <c r="AQ275" s="1">
        <v>435900</v>
      </c>
      <c r="AR275" s="1">
        <v>204600</v>
      </c>
      <c r="AS275" s="1">
        <v>230700</v>
      </c>
      <c r="AT275" s="1">
        <v>204600</v>
      </c>
      <c r="AU275" s="1">
        <v>399600</v>
      </c>
      <c r="AV275" s="1">
        <v>203800</v>
      </c>
      <c r="AW275" s="1">
        <v>271100</v>
      </c>
      <c r="AX275" s="1">
        <v>177500</v>
      </c>
      <c r="AY275" s="1">
        <v>343200</v>
      </c>
      <c r="AZ275" s="1">
        <v>490800</v>
      </c>
      <c r="BA275" s="1">
        <v>1328500</v>
      </c>
      <c r="BB275" s="1">
        <v>711500</v>
      </c>
      <c r="BC275" s="1">
        <v>237000</v>
      </c>
      <c r="BD275" s="1">
        <v>129200</v>
      </c>
      <c r="BE275" s="1">
        <v>142800</v>
      </c>
      <c r="BF275" s="1">
        <v>151500</v>
      </c>
      <c r="BG275" s="1">
        <v>258800</v>
      </c>
      <c r="BH275" s="1">
        <v>156800</v>
      </c>
      <c r="BI275" s="1">
        <v>130600</v>
      </c>
      <c r="BJ275" s="1">
        <v>168500</v>
      </c>
      <c r="BK275" s="1">
        <v>159000</v>
      </c>
      <c r="BL275" s="1">
        <v>165300</v>
      </c>
    </row>
    <row r="276" spans="1:64">
      <c r="A276" s="434" t="s">
        <v>577</v>
      </c>
      <c r="B276" s="1" t="str">
        <f>銘柄管理!C276</f>
        <v>河合楽器</v>
      </c>
      <c r="C276" s="1">
        <f>_xll.RssMarket("7952","出来高")</f>
        <v>38900</v>
      </c>
      <c r="D276" s="85">
        <f t="shared" si="4"/>
        <v>0</v>
      </c>
      <c r="E276" s="1">
        <v>38900</v>
      </c>
      <c r="F276" s="1">
        <v>22600</v>
      </c>
      <c r="G276" s="1">
        <v>13500</v>
      </c>
      <c r="H276" s="1">
        <v>32600</v>
      </c>
      <c r="I276" s="1">
        <v>21000</v>
      </c>
      <c r="J276" s="1">
        <v>60000</v>
      </c>
      <c r="K276" s="1">
        <v>14700</v>
      </c>
      <c r="L276" s="1">
        <v>29700</v>
      </c>
      <c r="M276" s="1">
        <v>10600</v>
      </c>
      <c r="N276" s="1">
        <v>29400</v>
      </c>
      <c r="O276" s="1">
        <v>27800</v>
      </c>
      <c r="P276" s="1">
        <v>44500</v>
      </c>
      <c r="Q276" s="1">
        <v>13500</v>
      </c>
      <c r="R276" s="1">
        <v>17600</v>
      </c>
      <c r="S276" s="1">
        <v>8700</v>
      </c>
      <c r="T276" s="1">
        <v>17900</v>
      </c>
      <c r="U276" s="1">
        <v>39500</v>
      </c>
      <c r="V276" s="1">
        <v>19800</v>
      </c>
      <c r="W276" s="1">
        <v>31000</v>
      </c>
      <c r="X276" s="1">
        <v>77300</v>
      </c>
      <c r="Y276" s="1">
        <v>22500</v>
      </c>
      <c r="Z276" s="1">
        <v>27900</v>
      </c>
      <c r="AA276" s="1">
        <v>42500</v>
      </c>
      <c r="AB276" s="1">
        <v>30700</v>
      </c>
      <c r="AC276" s="1">
        <v>28300</v>
      </c>
      <c r="AD276" s="1">
        <v>9700</v>
      </c>
      <c r="AE276" s="1">
        <v>19300</v>
      </c>
      <c r="AF276" s="1">
        <v>19400</v>
      </c>
      <c r="AG276" s="1">
        <v>7300</v>
      </c>
      <c r="AH276" s="1">
        <v>14200</v>
      </c>
      <c r="AI276" s="1">
        <v>18000</v>
      </c>
      <c r="AJ276" s="1">
        <v>19900</v>
      </c>
      <c r="AK276" s="1">
        <v>15300</v>
      </c>
      <c r="AL276" s="1">
        <v>6800</v>
      </c>
      <c r="AM276" s="1">
        <v>6500</v>
      </c>
      <c r="AN276" s="1">
        <v>17600</v>
      </c>
      <c r="AO276" s="1">
        <v>42700</v>
      </c>
      <c r="AP276" s="1">
        <v>12500</v>
      </c>
      <c r="AQ276" s="1">
        <v>11300</v>
      </c>
      <c r="AR276" s="1">
        <v>11900</v>
      </c>
      <c r="AS276" s="1">
        <v>31900</v>
      </c>
      <c r="AT276" s="1">
        <v>15500</v>
      </c>
      <c r="AU276" s="1">
        <v>14200</v>
      </c>
      <c r="AV276" s="1">
        <v>17700</v>
      </c>
      <c r="AW276" s="1">
        <v>21900</v>
      </c>
      <c r="AX276" s="1">
        <v>39700</v>
      </c>
      <c r="AY276" s="1">
        <v>54100</v>
      </c>
      <c r="AZ276" s="1">
        <v>54600</v>
      </c>
      <c r="BA276" s="1">
        <v>39800</v>
      </c>
      <c r="BB276" s="1">
        <v>51200</v>
      </c>
      <c r="BC276" s="1">
        <v>46700</v>
      </c>
      <c r="BD276" s="1">
        <v>17700</v>
      </c>
      <c r="BE276" s="1">
        <v>17000</v>
      </c>
      <c r="BF276" s="1">
        <v>13100</v>
      </c>
      <c r="BG276" s="1">
        <v>23200</v>
      </c>
      <c r="BH276" s="1">
        <v>21300</v>
      </c>
      <c r="BI276" s="1">
        <v>11700</v>
      </c>
      <c r="BJ276" s="1">
        <v>18800</v>
      </c>
      <c r="BK276" s="1">
        <v>13000</v>
      </c>
      <c r="BL276" s="1">
        <v>13100</v>
      </c>
    </row>
    <row r="277" spans="1:64">
      <c r="A277" s="434" t="s">
        <v>578</v>
      </c>
      <c r="B277" s="1" t="str">
        <f>銘柄管理!C277</f>
        <v>グンゼ</v>
      </c>
      <c r="C277" s="1">
        <f>_xll.RssMarket("3002","出来高")</f>
        <v>150300</v>
      </c>
      <c r="D277" s="85">
        <f t="shared" si="4"/>
        <v>0</v>
      </c>
      <c r="E277" s="1">
        <v>150300</v>
      </c>
      <c r="F277" s="1">
        <v>120900</v>
      </c>
      <c r="G277" s="1">
        <v>394200</v>
      </c>
      <c r="H277" s="1">
        <v>142000</v>
      </c>
      <c r="I277" s="1">
        <v>260200</v>
      </c>
      <c r="J277" s="1">
        <v>199500</v>
      </c>
      <c r="K277" s="1">
        <v>118500</v>
      </c>
      <c r="L277" s="1">
        <v>103100</v>
      </c>
      <c r="M277" s="1">
        <v>128000</v>
      </c>
      <c r="N277" s="1">
        <v>208600</v>
      </c>
      <c r="O277" s="1">
        <v>202700</v>
      </c>
      <c r="P277" s="1">
        <v>192700</v>
      </c>
      <c r="Q277" s="1">
        <v>230500</v>
      </c>
      <c r="R277" s="1">
        <v>146200</v>
      </c>
      <c r="S277" s="1">
        <v>156400</v>
      </c>
      <c r="T277" s="1">
        <v>142000</v>
      </c>
      <c r="U277" s="1">
        <v>251300</v>
      </c>
      <c r="V277" s="1">
        <v>314300</v>
      </c>
      <c r="W277" s="1">
        <v>303500</v>
      </c>
      <c r="X277" s="1">
        <v>347900</v>
      </c>
      <c r="Y277" s="1">
        <v>569600</v>
      </c>
      <c r="Z277" s="1">
        <v>202200</v>
      </c>
      <c r="AA277" s="1">
        <v>218800</v>
      </c>
      <c r="AB277" s="1">
        <v>127400</v>
      </c>
      <c r="AC277" s="1">
        <v>305300</v>
      </c>
      <c r="AD277" s="1">
        <v>234500</v>
      </c>
      <c r="AE277" s="1">
        <v>259100</v>
      </c>
      <c r="AF277" s="1">
        <v>312500</v>
      </c>
      <c r="AG277" s="1">
        <v>361000</v>
      </c>
      <c r="AH277" s="1">
        <v>229100</v>
      </c>
      <c r="AI277" s="1">
        <v>155700</v>
      </c>
      <c r="AJ277" s="1">
        <v>275400</v>
      </c>
      <c r="AK277" s="1">
        <v>265800</v>
      </c>
      <c r="AL277" s="1">
        <v>283500</v>
      </c>
      <c r="AM277" s="1">
        <v>137000</v>
      </c>
      <c r="AN277" s="1">
        <v>196400</v>
      </c>
      <c r="AO277" s="1">
        <v>167500</v>
      </c>
      <c r="AP277" s="1">
        <v>220300</v>
      </c>
      <c r="AQ277" s="1">
        <v>162800</v>
      </c>
      <c r="AR277" s="1">
        <v>185200</v>
      </c>
      <c r="AS277" s="1">
        <v>166100</v>
      </c>
      <c r="AT277" s="1">
        <v>207300</v>
      </c>
      <c r="AU277" s="1">
        <v>216400</v>
      </c>
      <c r="AV277" s="1">
        <v>263900</v>
      </c>
      <c r="AW277" s="1">
        <v>138200</v>
      </c>
      <c r="AX277" s="1">
        <v>194900</v>
      </c>
      <c r="AY277" s="1">
        <v>291600</v>
      </c>
      <c r="AZ277" s="1">
        <v>371200</v>
      </c>
      <c r="BA277" s="1">
        <v>555000</v>
      </c>
      <c r="BB277" s="1">
        <v>894600</v>
      </c>
      <c r="BC277" s="1">
        <v>574900</v>
      </c>
      <c r="BD277" s="1">
        <v>457300</v>
      </c>
      <c r="BE277" s="1">
        <v>524100</v>
      </c>
      <c r="BF277" s="1">
        <v>347300</v>
      </c>
      <c r="BG277" s="1">
        <v>532400</v>
      </c>
      <c r="BH277" s="1">
        <v>457800</v>
      </c>
      <c r="BI277" s="1">
        <v>215300</v>
      </c>
      <c r="BJ277" s="1">
        <v>201400</v>
      </c>
      <c r="BK277" s="1">
        <v>217600</v>
      </c>
      <c r="BL277" s="1">
        <v>268600</v>
      </c>
    </row>
    <row r="278" spans="1:64">
      <c r="A278" s="434" t="s">
        <v>579</v>
      </c>
      <c r="B278" s="1" t="str">
        <f>銘柄管理!C278</f>
        <v>ゴールドクレスト</v>
      </c>
      <c r="C278" s="1">
        <f>_xll.RssMarket("8871","出来高")</f>
        <v>23900</v>
      </c>
      <c r="D278" s="85">
        <f t="shared" si="4"/>
        <v>0</v>
      </c>
      <c r="E278" s="1">
        <v>23900</v>
      </c>
      <c r="F278" s="1">
        <v>33600</v>
      </c>
      <c r="G278" s="1">
        <v>30300</v>
      </c>
      <c r="H278" s="1">
        <v>35300</v>
      </c>
      <c r="I278" s="1">
        <v>32900</v>
      </c>
      <c r="J278" s="1">
        <v>53000</v>
      </c>
      <c r="K278" s="1">
        <v>60500</v>
      </c>
      <c r="L278" s="1">
        <v>52900</v>
      </c>
      <c r="M278" s="1">
        <v>43800</v>
      </c>
      <c r="N278" s="1">
        <v>54200</v>
      </c>
      <c r="O278" s="1">
        <v>54900</v>
      </c>
      <c r="P278" s="1">
        <v>38700</v>
      </c>
      <c r="Q278" s="1">
        <v>43800</v>
      </c>
      <c r="R278" s="1">
        <v>40400</v>
      </c>
      <c r="S278" s="1">
        <v>37700</v>
      </c>
      <c r="T278" s="1">
        <v>56700</v>
      </c>
      <c r="U278" s="1">
        <v>36900</v>
      </c>
      <c r="V278" s="1">
        <v>90400</v>
      </c>
      <c r="W278" s="1">
        <v>86000</v>
      </c>
      <c r="X278" s="1">
        <v>147400</v>
      </c>
      <c r="Y278" s="1">
        <v>46800</v>
      </c>
      <c r="Z278" s="1">
        <v>35600</v>
      </c>
      <c r="AA278" s="1">
        <v>14000</v>
      </c>
      <c r="AB278" s="1">
        <v>14700</v>
      </c>
      <c r="AC278" s="1">
        <v>17600</v>
      </c>
      <c r="AD278" s="1">
        <v>17500</v>
      </c>
      <c r="AE278" s="1">
        <v>20000</v>
      </c>
      <c r="AF278" s="1">
        <v>25900</v>
      </c>
      <c r="AG278" s="1">
        <v>36200</v>
      </c>
      <c r="AH278" s="1">
        <v>66200</v>
      </c>
      <c r="AI278" s="1">
        <v>15800</v>
      </c>
      <c r="AJ278" s="1">
        <v>22600</v>
      </c>
      <c r="AK278" s="1">
        <v>34600</v>
      </c>
      <c r="AL278" s="1">
        <v>13900</v>
      </c>
      <c r="AM278" s="1">
        <v>18800</v>
      </c>
      <c r="AN278" s="1">
        <v>31400</v>
      </c>
      <c r="AO278" s="1">
        <v>22700</v>
      </c>
      <c r="AP278" s="1">
        <v>18100</v>
      </c>
      <c r="AQ278" s="1">
        <v>20600</v>
      </c>
      <c r="AR278" s="1">
        <v>14300</v>
      </c>
      <c r="AS278" s="1">
        <v>30400</v>
      </c>
      <c r="AT278" s="1">
        <v>28800</v>
      </c>
      <c r="AU278" s="1">
        <v>27000</v>
      </c>
      <c r="AV278" s="1">
        <v>23300</v>
      </c>
      <c r="AW278" s="1">
        <v>17400</v>
      </c>
      <c r="AX278" s="1">
        <v>22300</v>
      </c>
      <c r="AY278" s="1">
        <v>34600</v>
      </c>
      <c r="AZ278" s="1">
        <v>19300</v>
      </c>
      <c r="BA278" s="1">
        <v>32300</v>
      </c>
      <c r="BB278" s="1">
        <v>43000</v>
      </c>
      <c r="BC278" s="1">
        <v>40100</v>
      </c>
      <c r="BD278" s="1">
        <v>20700</v>
      </c>
      <c r="BE278" s="1">
        <v>28800</v>
      </c>
      <c r="BF278" s="1">
        <v>17100</v>
      </c>
      <c r="BG278" s="1">
        <v>46800</v>
      </c>
      <c r="BH278" s="1">
        <v>22800</v>
      </c>
      <c r="BI278" s="1">
        <v>10800</v>
      </c>
      <c r="BJ278" s="1">
        <v>14500</v>
      </c>
      <c r="BK278" s="1">
        <v>18700</v>
      </c>
      <c r="BL278" s="1">
        <v>25400</v>
      </c>
    </row>
    <row r="279" spans="1:64">
      <c r="A279" s="434" t="s">
        <v>583</v>
      </c>
      <c r="B279" s="1" t="str">
        <f>銘柄管理!C279</f>
        <v>アバールデータ</v>
      </c>
      <c r="C279" s="1">
        <f>_xll.RssMarket("6918","出来高")</f>
        <v>26700</v>
      </c>
      <c r="D279" s="85">
        <f t="shared" si="4"/>
        <v>0</v>
      </c>
      <c r="E279" s="1">
        <v>26700</v>
      </c>
      <c r="F279" s="1">
        <v>22200</v>
      </c>
      <c r="G279" s="1">
        <v>29800</v>
      </c>
      <c r="H279" s="1">
        <v>27800</v>
      </c>
      <c r="I279" s="1">
        <v>46900</v>
      </c>
      <c r="J279" s="1">
        <v>39500</v>
      </c>
      <c r="K279" s="1">
        <v>25000</v>
      </c>
      <c r="L279" s="1">
        <v>34100</v>
      </c>
      <c r="M279" s="1">
        <v>35200</v>
      </c>
      <c r="N279" s="1">
        <v>25900</v>
      </c>
      <c r="O279" s="1">
        <v>19100</v>
      </c>
      <c r="P279" s="1">
        <v>42800</v>
      </c>
      <c r="Q279" s="1">
        <v>19500</v>
      </c>
      <c r="R279" s="1">
        <v>16300</v>
      </c>
      <c r="S279" s="1">
        <v>29800</v>
      </c>
      <c r="T279" s="1">
        <v>14100</v>
      </c>
      <c r="U279" s="1">
        <v>19700</v>
      </c>
      <c r="V279" s="1">
        <v>45900</v>
      </c>
      <c r="W279" s="1">
        <v>53100</v>
      </c>
      <c r="X279" s="1">
        <v>76800</v>
      </c>
      <c r="Y279" s="1">
        <v>60400</v>
      </c>
      <c r="Z279" s="1">
        <v>24500</v>
      </c>
      <c r="AA279" s="1">
        <v>47800</v>
      </c>
      <c r="AB279" s="1">
        <v>93600</v>
      </c>
      <c r="AC279" s="1">
        <v>23800</v>
      </c>
      <c r="AD279" s="1">
        <v>60400</v>
      </c>
      <c r="AE279" s="1">
        <v>38900</v>
      </c>
      <c r="AF279" s="1">
        <v>12000</v>
      </c>
      <c r="AG279" s="1">
        <v>17200</v>
      </c>
      <c r="AH279" s="1">
        <v>47000</v>
      </c>
      <c r="AI279" s="1">
        <v>18500</v>
      </c>
      <c r="AJ279" s="1">
        <v>20000</v>
      </c>
      <c r="AK279" s="1">
        <v>41600</v>
      </c>
      <c r="AL279" s="1">
        <v>36100</v>
      </c>
      <c r="AM279" s="1">
        <v>30000</v>
      </c>
      <c r="AN279" s="1">
        <v>21600</v>
      </c>
      <c r="AO279" s="1">
        <v>5500</v>
      </c>
      <c r="AP279" s="1">
        <v>19000</v>
      </c>
      <c r="AQ279" s="1">
        <v>26200</v>
      </c>
      <c r="AR279" s="1">
        <v>27700</v>
      </c>
      <c r="AS279" s="1">
        <v>12800</v>
      </c>
      <c r="AT279" s="1">
        <v>17400</v>
      </c>
      <c r="AU279" s="1">
        <v>15700</v>
      </c>
      <c r="AV279" s="1">
        <v>5200</v>
      </c>
      <c r="AW279" s="1">
        <v>6900</v>
      </c>
      <c r="AX279" s="1">
        <v>10300</v>
      </c>
      <c r="AY279" s="1">
        <v>26400</v>
      </c>
      <c r="AZ279" s="1">
        <v>16000</v>
      </c>
      <c r="BA279" s="1">
        <v>14100</v>
      </c>
      <c r="BB279" s="1">
        <v>14200</v>
      </c>
      <c r="BC279" s="1">
        <v>9700</v>
      </c>
      <c r="BD279" s="1">
        <v>15200</v>
      </c>
      <c r="BE279" s="1">
        <v>18600</v>
      </c>
      <c r="BF279" s="1">
        <v>16700</v>
      </c>
      <c r="BG279" s="1">
        <v>25700</v>
      </c>
      <c r="BH279" s="1">
        <v>13300</v>
      </c>
      <c r="BI279" s="1">
        <v>13200</v>
      </c>
      <c r="BJ279" s="1">
        <v>22900</v>
      </c>
      <c r="BK279" s="1">
        <v>32700</v>
      </c>
      <c r="BL279" s="1">
        <v>22000</v>
      </c>
    </row>
    <row r="280" spans="1:64">
      <c r="A280" s="434" t="s">
        <v>580</v>
      </c>
      <c r="B280" s="1" t="str">
        <f>銘柄管理!C280</f>
        <v>ヨシタケ</v>
      </c>
      <c r="C280" s="1">
        <f>_xll.RssMarket("6488","出来高")</f>
        <v>1400</v>
      </c>
      <c r="D280" s="85">
        <f t="shared" si="4"/>
        <v>0</v>
      </c>
      <c r="E280" s="1">
        <v>1400</v>
      </c>
      <c r="F280" s="1">
        <v>4000</v>
      </c>
      <c r="G280" s="1">
        <v>5300</v>
      </c>
      <c r="H280" s="1">
        <v>5400</v>
      </c>
      <c r="I280" s="1">
        <v>9100</v>
      </c>
      <c r="J280" s="1">
        <v>1700</v>
      </c>
      <c r="K280" s="1">
        <v>2900</v>
      </c>
      <c r="L280" s="1">
        <v>3800</v>
      </c>
      <c r="M280" s="1">
        <v>3200</v>
      </c>
      <c r="N280" s="1">
        <v>5600</v>
      </c>
      <c r="O280" s="1">
        <v>3600</v>
      </c>
      <c r="P280" s="1">
        <v>14700</v>
      </c>
      <c r="Q280" s="1">
        <v>2100</v>
      </c>
      <c r="R280" s="1">
        <v>4000</v>
      </c>
      <c r="S280" s="1">
        <v>6700</v>
      </c>
      <c r="T280" s="1">
        <v>3300</v>
      </c>
      <c r="U280" s="1">
        <v>3600</v>
      </c>
      <c r="V280" s="1">
        <v>7100</v>
      </c>
      <c r="W280" s="1">
        <v>13400</v>
      </c>
      <c r="X280" s="1">
        <v>17400</v>
      </c>
      <c r="Y280" s="1">
        <v>12700</v>
      </c>
      <c r="Z280" s="1">
        <v>800</v>
      </c>
      <c r="AA280" s="1">
        <v>1900</v>
      </c>
      <c r="AB280" s="1">
        <v>2900</v>
      </c>
      <c r="AC280" s="1">
        <v>3500</v>
      </c>
      <c r="AD280" s="1">
        <v>4400</v>
      </c>
      <c r="AE280" s="1">
        <v>4600</v>
      </c>
      <c r="AF280" s="1">
        <v>400</v>
      </c>
      <c r="AG280" s="1">
        <v>1200</v>
      </c>
      <c r="AH280" s="1">
        <v>5300</v>
      </c>
      <c r="AI280" s="1">
        <v>2800</v>
      </c>
      <c r="AJ280" s="1">
        <v>600</v>
      </c>
      <c r="AK280" s="1">
        <v>8900</v>
      </c>
      <c r="AL280" s="1">
        <v>800</v>
      </c>
      <c r="AM280" s="1">
        <v>2100</v>
      </c>
      <c r="AN280" s="1">
        <v>3000</v>
      </c>
      <c r="AO280" s="1">
        <v>18600</v>
      </c>
      <c r="AP280" s="1">
        <v>800</v>
      </c>
      <c r="AQ280" s="1">
        <v>2000</v>
      </c>
      <c r="AR280" s="1">
        <v>1900</v>
      </c>
      <c r="AS280" s="1">
        <v>2300</v>
      </c>
      <c r="AT280" s="1">
        <v>1100</v>
      </c>
      <c r="AU280" s="1">
        <v>31200</v>
      </c>
      <c r="AV280" s="1">
        <v>4800</v>
      </c>
      <c r="AW280" s="1">
        <v>5900</v>
      </c>
      <c r="AX280" s="1">
        <v>7100</v>
      </c>
      <c r="AY280" s="1">
        <v>2100</v>
      </c>
      <c r="AZ280" s="1">
        <v>3000</v>
      </c>
      <c r="BA280" s="1">
        <v>1500</v>
      </c>
      <c r="BB280" s="1">
        <v>15500</v>
      </c>
      <c r="BC280" s="1">
        <v>8400</v>
      </c>
      <c r="BD280" s="1">
        <v>2700</v>
      </c>
      <c r="BE280" s="1">
        <v>5600</v>
      </c>
      <c r="BF280" s="1">
        <v>4100</v>
      </c>
      <c r="BG280" s="1">
        <v>17100</v>
      </c>
      <c r="BH280" s="1">
        <v>7400</v>
      </c>
      <c r="BI280" s="1">
        <v>34700</v>
      </c>
      <c r="BJ280" s="1">
        <v>30600</v>
      </c>
      <c r="BK280" s="1">
        <v>4800</v>
      </c>
      <c r="BL280" s="1">
        <v>5400</v>
      </c>
    </row>
    <row r="281" spans="1:64">
      <c r="A281" s="434" t="s">
        <v>581</v>
      </c>
      <c r="B281" s="1" t="str">
        <f>銘柄管理!C281</f>
        <v>高島</v>
      </c>
      <c r="C281" s="1">
        <f>_xll.RssMarket("8007","出来高")</f>
        <v>208400</v>
      </c>
      <c r="D281" s="85">
        <f t="shared" si="4"/>
        <v>0</v>
      </c>
      <c r="E281" s="1">
        <v>208400</v>
      </c>
      <c r="F281" s="1">
        <v>184600</v>
      </c>
      <c r="G281" s="1">
        <v>78500</v>
      </c>
      <c r="H281" s="1">
        <v>94300</v>
      </c>
      <c r="I281" s="1">
        <v>84600</v>
      </c>
      <c r="J281" s="1">
        <v>119100</v>
      </c>
      <c r="K281" s="1">
        <v>110100</v>
      </c>
      <c r="L281" s="1">
        <v>97200</v>
      </c>
      <c r="M281" s="1">
        <v>166700</v>
      </c>
      <c r="N281" s="1">
        <v>213600</v>
      </c>
      <c r="O281" s="1">
        <v>95000</v>
      </c>
      <c r="P281" s="1">
        <v>92400</v>
      </c>
      <c r="Q281" s="1">
        <v>77500</v>
      </c>
      <c r="R281" s="1">
        <v>149800</v>
      </c>
      <c r="S281" s="1">
        <v>93800</v>
      </c>
      <c r="T281" s="1">
        <v>111400</v>
      </c>
      <c r="U281" s="1">
        <v>225900</v>
      </c>
      <c r="V281" s="1">
        <v>253700</v>
      </c>
      <c r="W281" s="1">
        <v>260500</v>
      </c>
      <c r="X281" s="1">
        <v>504500</v>
      </c>
      <c r="Y281" s="1">
        <v>995500</v>
      </c>
      <c r="Z281" s="1">
        <v>670900</v>
      </c>
      <c r="AA281" s="1">
        <v>141100</v>
      </c>
      <c r="AB281" s="1">
        <v>127000</v>
      </c>
      <c r="AC281" s="1">
        <v>79700</v>
      </c>
      <c r="AD281" s="1">
        <v>65800</v>
      </c>
      <c r="AE281" s="1">
        <v>63800</v>
      </c>
      <c r="AF281" s="1">
        <v>86600</v>
      </c>
      <c r="AG281" s="1">
        <v>97500</v>
      </c>
      <c r="AH281" s="1">
        <v>139400</v>
      </c>
      <c r="AI281" s="1">
        <v>110300</v>
      </c>
      <c r="AJ281" s="1">
        <v>130000</v>
      </c>
      <c r="AK281" s="1">
        <v>192000</v>
      </c>
      <c r="AL281" s="1">
        <v>164800</v>
      </c>
      <c r="AM281" s="1">
        <v>214200</v>
      </c>
      <c r="AN281" s="1">
        <v>83900</v>
      </c>
      <c r="AO281" s="1">
        <v>63900</v>
      </c>
      <c r="AP281" s="1">
        <v>72100</v>
      </c>
      <c r="AQ281" s="1">
        <v>79300</v>
      </c>
      <c r="AR281" s="1">
        <v>82100</v>
      </c>
      <c r="AS281" s="1">
        <v>71400</v>
      </c>
      <c r="AT281" s="1">
        <v>68500</v>
      </c>
      <c r="AU281" s="1">
        <v>65100</v>
      </c>
      <c r="AV281" s="1">
        <v>56900</v>
      </c>
      <c r="AW281" s="1">
        <v>40900</v>
      </c>
      <c r="AX281" s="1">
        <v>37400</v>
      </c>
      <c r="AY281" s="1">
        <v>77700</v>
      </c>
      <c r="AZ281" s="1">
        <v>81000</v>
      </c>
      <c r="BA281" s="1">
        <v>151500</v>
      </c>
      <c r="BB281" s="1">
        <v>179600</v>
      </c>
      <c r="BC281" s="1">
        <v>173800</v>
      </c>
      <c r="BD281" s="1">
        <v>146400</v>
      </c>
      <c r="BE281" s="1">
        <v>97000</v>
      </c>
      <c r="BF281" s="1">
        <v>99400</v>
      </c>
      <c r="BG281" s="1">
        <v>246900</v>
      </c>
      <c r="BH281" s="1">
        <v>181400</v>
      </c>
      <c r="BI281" s="1">
        <v>111200</v>
      </c>
      <c r="BJ281" s="1">
        <v>127400</v>
      </c>
      <c r="BK281" s="1">
        <v>158200</v>
      </c>
      <c r="BL281" s="1">
        <v>134000</v>
      </c>
    </row>
    <row r="282" spans="1:64">
      <c r="A282" s="434" t="s">
        <v>582</v>
      </c>
      <c r="B282" s="1" t="str">
        <f>銘柄管理!C282</f>
        <v>ニチバン</v>
      </c>
      <c r="C282" s="1">
        <f>_xll.RssMarket("4218","出来高")</f>
        <v>13500</v>
      </c>
      <c r="D282" s="85">
        <f t="shared" ref="D282:D345" si="5">C282-E282</f>
        <v>0</v>
      </c>
      <c r="E282" s="1">
        <v>13500</v>
      </c>
      <c r="F282" s="1">
        <v>10700</v>
      </c>
      <c r="G282" s="1">
        <v>21200</v>
      </c>
      <c r="H282" s="1">
        <v>18500</v>
      </c>
      <c r="I282" s="1">
        <v>18900</v>
      </c>
      <c r="J282" s="1">
        <v>28700</v>
      </c>
      <c r="K282" s="1">
        <v>10400</v>
      </c>
      <c r="L282" s="1">
        <v>20300</v>
      </c>
      <c r="M282" s="1">
        <v>22500</v>
      </c>
      <c r="N282" s="1">
        <v>33000</v>
      </c>
      <c r="O282" s="1">
        <v>16000</v>
      </c>
      <c r="P282" s="1">
        <v>20800</v>
      </c>
      <c r="Q282" s="1">
        <v>9900</v>
      </c>
      <c r="R282" s="1">
        <v>16200</v>
      </c>
      <c r="S282" s="1">
        <v>9400</v>
      </c>
      <c r="T282" s="1">
        <v>8800</v>
      </c>
      <c r="U282" s="1">
        <v>20700</v>
      </c>
      <c r="V282" s="1">
        <v>32400</v>
      </c>
      <c r="W282" s="1">
        <v>36000</v>
      </c>
      <c r="X282" s="1">
        <v>33000</v>
      </c>
      <c r="Y282" s="1">
        <v>42000</v>
      </c>
      <c r="Z282" s="1">
        <v>12400</v>
      </c>
      <c r="AA282" s="1">
        <v>8700</v>
      </c>
      <c r="AB282" s="1">
        <v>14500</v>
      </c>
      <c r="AC282" s="1">
        <v>25000</v>
      </c>
      <c r="AD282" s="1">
        <v>12200</v>
      </c>
      <c r="AE282" s="1">
        <v>16700</v>
      </c>
      <c r="AF282" s="1">
        <v>21000</v>
      </c>
      <c r="AG282" s="1">
        <v>20500</v>
      </c>
      <c r="AH282" s="1">
        <v>29000</v>
      </c>
      <c r="AI282" s="1">
        <v>29700</v>
      </c>
      <c r="AJ282" s="1">
        <v>27000</v>
      </c>
      <c r="AK282" s="1">
        <v>22600</v>
      </c>
      <c r="AL282" s="1">
        <v>18200</v>
      </c>
      <c r="AM282" s="1">
        <v>13700</v>
      </c>
      <c r="AN282" s="1">
        <v>9700</v>
      </c>
      <c r="AO282" s="1">
        <v>14500</v>
      </c>
      <c r="AP282" s="1">
        <v>14900</v>
      </c>
      <c r="AQ282" s="1">
        <v>17800</v>
      </c>
      <c r="AR282" s="1">
        <v>14200</v>
      </c>
      <c r="AS282" s="1">
        <v>19600</v>
      </c>
      <c r="AT282" s="1">
        <v>26900</v>
      </c>
      <c r="AU282" s="1">
        <v>44300</v>
      </c>
      <c r="AV282" s="1">
        <v>27300</v>
      </c>
      <c r="AW282" s="1">
        <v>12500</v>
      </c>
      <c r="AX282" s="1">
        <v>14300</v>
      </c>
      <c r="AY282" s="1">
        <v>13700</v>
      </c>
      <c r="AZ282" s="1">
        <v>21300</v>
      </c>
      <c r="BA282" s="1">
        <v>23300</v>
      </c>
      <c r="BB282" s="1">
        <v>35200</v>
      </c>
      <c r="BC282" s="1">
        <v>54600</v>
      </c>
      <c r="BD282" s="1">
        <v>22900</v>
      </c>
      <c r="BE282" s="1">
        <v>22700</v>
      </c>
      <c r="BF282" s="1">
        <v>21500</v>
      </c>
      <c r="BG282" s="1">
        <v>54900</v>
      </c>
      <c r="BH282" s="1">
        <v>23500</v>
      </c>
      <c r="BI282" s="1">
        <v>19000</v>
      </c>
      <c r="BJ282" s="1">
        <v>29500</v>
      </c>
      <c r="BK282" s="1">
        <v>28200</v>
      </c>
      <c r="BL282" s="1">
        <v>48800</v>
      </c>
    </row>
    <row r="283" spans="1:64">
      <c r="A283" s="434" t="s">
        <v>584</v>
      </c>
      <c r="B283" s="1" t="str">
        <f>銘柄管理!C283</f>
        <v>ＳＣＲＥＥＮホールディングス</v>
      </c>
      <c r="C283" s="1">
        <f>_xll.RssMarket("7735","出来高")</f>
        <v>2431400</v>
      </c>
      <c r="D283" s="85">
        <f t="shared" si="5"/>
        <v>0</v>
      </c>
      <c r="E283" s="1">
        <v>2431400</v>
      </c>
      <c r="F283" s="1">
        <v>3407300</v>
      </c>
      <c r="G283" s="1">
        <v>3457600</v>
      </c>
      <c r="H283" s="1">
        <v>2463400</v>
      </c>
      <c r="I283" s="1">
        <v>4607000</v>
      </c>
      <c r="J283" s="1">
        <v>2387100</v>
      </c>
      <c r="K283" s="1">
        <v>2322300</v>
      </c>
      <c r="L283" s="1">
        <v>2664200</v>
      </c>
      <c r="M283" s="1">
        <v>4984700</v>
      </c>
      <c r="N283" s="1">
        <v>2562700</v>
      </c>
      <c r="O283" s="1">
        <v>3399100</v>
      </c>
      <c r="P283" s="1">
        <v>1835200</v>
      </c>
      <c r="Q283" s="1">
        <v>3065000</v>
      </c>
      <c r="R283" s="1">
        <v>2190400</v>
      </c>
      <c r="S283" s="1">
        <v>1935200</v>
      </c>
      <c r="T283" s="1">
        <v>2575000</v>
      </c>
      <c r="U283" s="1">
        <v>2035000</v>
      </c>
      <c r="V283" s="1">
        <v>2201300</v>
      </c>
      <c r="W283" s="1">
        <v>2438400</v>
      </c>
      <c r="X283" s="1">
        <v>3181900</v>
      </c>
      <c r="Y283" s="1">
        <v>6055300</v>
      </c>
      <c r="Z283" s="1">
        <v>2359000</v>
      </c>
      <c r="AA283" s="1">
        <v>1566300</v>
      </c>
      <c r="AB283" s="1">
        <v>1802900</v>
      </c>
      <c r="AC283" s="1">
        <v>2098900</v>
      </c>
      <c r="AD283" s="1">
        <v>2915500</v>
      </c>
      <c r="AE283" s="1">
        <v>1902200</v>
      </c>
      <c r="AF283" s="1">
        <v>1565000</v>
      </c>
      <c r="AG283" s="1">
        <v>1906400</v>
      </c>
      <c r="AH283" s="1">
        <v>1991900</v>
      </c>
      <c r="AI283" s="1">
        <v>1634000</v>
      </c>
      <c r="AJ283" s="1">
        <v>2201900</v>
      </c>
      <c r="AK283" s="1">
        <v>2212500</v>
      </c>
      <c r="AL283" s="1">
        <v>1531300</v>
      </c>
      <c r="AM283" s="1">
        <v>1700400</v>
      </c>
      <c r="AN283" s="1">
        <v>2542600</v>
      </c>
      <c r="AO283" s="1">
        <v>2684200</v>
      </c>
      <c r="AP283" s="1">
        <v>2390200</v>
      </c>
      <c r="AQ283" s="1">
        <v>2226400</v>
      </c>
      <c r="AR283" s="1">
        <v>1954700</v>
      </c>
      <c r="AS283" s="1">
        <v>2872200</v>
      </c>
      <c r="AT283" s="1">
        <v>2102900</v>
      </c>
      <c r="AU283" s="1">
        <v>2935400</v>
      </c>
      <c r="AV283" s="1">
        <v>1946100</v>
      </c>
      <c r="AW283" s="1">
        <v>2333000</v>
      </c>
      <c r="AX283" s="1">
        <v>1179500</v>
      </c>
      <c r="AY283" s="1">
        <v>2004800</v>
      </c>
      <c r="AZ283" s="1">
        <v>1955500</v>
      </c>
      <c r="BA283" s="1">
        <v>2247700</v>
      </c>
      <c r="BB283" s="1">
        <v>2135500</v>
      </c>
      <c r="BC283" s="1">
        <v>846500</v>
      </c>
      <c r="BD283" s="1">
        <v>751300</v>
      </c>
      <c r="BE283" s="1">
        <v>1021200</v>
      </c>
      <c r="BF283" s="1">
        <v>804700</v>
      </c>
      <c r="BG283" s="1">
        <v>1071000</v>
      </c>
      <c r="BH283" s="1">
        <v>1526700</v>
      </c>
      <c r="BI283" s="1">
        <v>1069700</v>
      </c>
      <c r="BJ283" s="1">
        <v>1201000</v>
      </c>
      <c r="BK283" s="1">
        <v>1156600</v>
      </c>
      <c r="BL283" s="1">
        <v>1096600</v>
      </c>
    </row>
    <row r="284" spans="1:64">
      <c r="A284" s="434" t="s">
        <v>585</v>
      </c>
      <c r="B284" s="1" t="str">
        <f>銘柄管理!C284</f>
        <v>データセクション</v>
      </c>
      <c r="C284" s="1">
        <f>_xll.RssMarket("3905","出来高")</f>
        <v>1545200</v>
      </c>
      <c r="D284" s="85">
        <f t="shared" si="5"/>
        <v>0</v>
      </c>
      <c r="E284" s="1">
        <v>1545200</v>
      </c>
      <c r="F284" s="1">
        <v>2267300</v>
      </c>
      <c r="G284" s="1">
        <v>1771100</v>
      </c>
      <c r="H284" s="1">
        <v>2285700</v>
      </c>
      <c r="I284" s="1">
        <v>2153700</v>
      </c>
      <c r="J284" s="1">
        <v>4368600</v>
      </c>
      <c r="K284" s="1">
        <v>4374300</v>
      </c>
      <c r="L284" s="1">
        <v>10269200</v>
      </c>
      <c r="M284" s="1">
        <v>810000</v>
      </c>
      <c r="N284" s="1">
        <v>3431100</v>
      </c>
      <c r="O284" s="1">
        <v>3273500</v>
      </c>
      <c r="P284" s="1">
        <v>5679600</v>
      </c>
      <c r="Q284" s="1">
        <v>3305100</v>
      </c>
      <c r="R284" s="1">
        <v>10639300</v>
      </c>
      <c r="S284" s="1">
        <v>5125700</v>
      </c>
      <c r="T284" s="1">
        <v>4489500</v>
      </c>
      <c r="U284" s="1">
        <v>5101700</v>
      </c>
      <c r="V284" s="1">
        <v>1262000</v>
      </c>
      <c r="W284" s="1">
        <v>208200</v>
      </c>
      <c r="X284" s="1">
        <v>2238800</v>
      </c>
      <c r="Y284" s="1">
        <v>1153000</v>
      </c>
      <c r="Z284" s="1">
        <v>1438900</v>
      </c>
      <c r="AA284" s="1">
        <v>3375500</v>
      </c>
      <c r="AB284" s="1">
        <v>10237600</v>
      </c>
      <c r="AC284" s="1">
        <v>4014200</v>
      </c>
      <c r="AD284" s="1">
        <v>1407100</v>
      </c>
      <c r="AE284" s="1">
        <v>414200</v>
      </c>
      <c r="AF284" s="1">
        <v>264200</v>
      </c>
      <c r="AG284" s="1">
        <v>205100</v>
      </c>
      <c r="AH284" s="1">
        <v>317600</v>
      </c>
      <c r="AI284" s="1">
        <v>323900</v>
      </c>
      <c r="AJ284" s="1">
        <v>456700</v>
      </c>
      <c r="AK284" s="1">
        <v>686200</v>
      </c>
      <c r="AL284" s="1">
        <v>1372400</v>
      </c>
      <c r="AM284" s="1">
        <v>1527700</v>
      </c>
      <c r="AN284" s="1">
        <v>1587400</v>
      </c>
      <c r="AO284" s="1">
        <v>4128900</v>
      </c>
      <c r="AP284" s="1">
        <v>534000</v>
      </c>
      <c r="AQ284" s="1">
        <v>488700</v>
      </c>
      <c r="AR284" s="1">
        <v>230100</v>
      </c>
      <c r="AS284" s="1">
        <v>443700</v>
      </c>
      <c r="AT284" s="1">
        <v>359200</v>
      </c>
      <c r="AU284" s="1">
        <v>753800</v>
      </c>
      <c r="AV284" s="1">
        <v>305100</v>
      </c>
      <c r="AW284" s="1">
        <v>302300</v>
      </c>
      <c r="AX284" s="1">
        <v>472700</v>
      </c>
      <c r="AY284" s="1">
        <v>307000</v>
      </c>
      <c r="AZ284" s="1">
        <v>440600</v>
      </c>
      <c r="BA284" s="1">
        <v>459400</v>
      </c>
      <c r="BB284" s="1">
        <v>407500</v>
      </c>
      <c r="BC284" s="1">
        <v>299200</v>
      </c>
      <c r="BD284" s="1">
        <v>357900</v>
      </c>
      <c r="BE284" s="1">
        <v>676800</v>
      </c>
      <c r="BF284" s="1">
        <v>490200</v>
      </c>
      <c r="BG284" s="1">
        <v>1005100</v>
      </c>
      <c r="BH284" s="1">
        <v>370200</v>
      </c>
      <c r="BI284" s="1">
        <v>583200</v>
      </c>
      <c r="BJ284" s="1">
        <v>656200</v>
      </c>
      <c r="BK284" s="1">
        <v>324400</v>
      </c>
      <c r="BL284" s="1">
        <v>299800</v>
      </c>
    </row>
    <row r="285" spans="1:64">
      <c r="A285" s="434" t="s">
        <v>586</v>
      </c>
      <c r="B285" s="1" t="str">
        <f>銘柄管理!C285</f>
        <v>トリドールホールディングス</v>
      </c>
      <c r="C285" s="1">
        <f>_xll.RssMarket("3397","出来高")</f>
        <v>688400</v>
      </c>
      <c r="D285" s="85">
        <f t="shared" si="5"/>
        <v>0</v>
      </c>
      <c r="E285" s="1">
        <v>688400</v>
      </c>
      <c r="F285" s="1">
        <v>358900</v>
      </c>
      <c r="G285" s="1">
        <v>493500</v>
      </c>
      <c r="H285" s="1">
        <v>340900</v>
      </c>
      <c r="I285" s="1">
        <v>315600</v>
      </c>
      <c r="J285" s="1">
        <v>390100</v>
      </c>
      <c r="K285" s="1">
        <v>319700</v>
      </c>
      <c r="L285" s="1">
        <v>302800</v>
      </c>
      <c r="M285" s="1">
        <v>290800</v>
      </c>
      <c r="N285" s="1">
        <v>384800</v>
      </c>
      <c r="O285" s="1">
        <v>386800</v>
      </c>
      <c r="P285" s="1">
        <v>286500</v>
      </c>
      <c r="Q285" s="1">
        <v>497800</v>
      </c>
      <c r="R285" s="1">
        <v>310600</v>
      </c>
      <c r="S285" s="1">
        <v>221100</v>
      </c>
      <c r="T285" s="1">
        <v>358900</v>
      </c>
      <c r="U285" s="1">
        <v>296300</v>
      </c>
      <c r="V285" s="1">
        <v>315700</v>
      </c>
      <c r="W285" s="1">
        <v>484600</v>
      </c>
      <c r="X285" s="1">
        <v>1221800</v>
      </c>
      <c r="Y285" s="1">
        <v>421800</v>
      </c>
      <c r="Z285" s="1">
        <v>261600</v>
      </c>
      <c r="AA285" s="1">
        <v>276400</v>
      </c>
      <c r="AB285" s="1">
        <v>315600</v>
      </c>
      <c r="AC285" s="1">
        <v>315100</v>
      </c>
      <c r="AD285" s="1">
        <v>358800</v>
      </c>
      <c r="AE285" s="1">
        <v>303500</v>
      </c>
      <c r="AF285" s="1">
        <v>371300</v>
      </c>
      <c r="AG285" s="1">
        <v>208200</v>
      </c>
      <c r="AH285" s="1">
        <v>242600</v>
      </c>
      <c r="AI285" s="1">
        <v>262200</v>
      </c>
      <c r="AJ285" s="1">
        <v>220400</v>
      </c>
      <c r="AK285" s="1">
        <v>184400</v>
      </c>
      <c r="AL285" s="1">
        <v>199400</v>
      </c>
      <c r="AM285" s="1">
        <v>165700</v>
      </c>
      <c r="AN285" s="1">
        <v>302400</v>
      </c>
      <c r="AO285" s="1">
        <v>264200</v>
      </c>
      <c r="AP285" s="1">
        <v>225700</v>
      </c>
      <c r="AQ285" s="1">
        <v>258400</v>
      </c>
      <c r="AR285" s="1">
        <v>264400</v>
      </c>
      <c r="AS285" s="1">
        <v>334200</v>
      </c>
      <c r="AT285" s="1">
        <v>307600</v>
      </c>
      <c r="AU285" s="1">
        <v>239500</v>
      </c>
      <c r="AV285" s="1">
        <v>195800</v>
      </c>
      <c r="AW285" s="1">
        <v>219400</v>
      </c>
      <c r="AX285" s="1">
        <v>307200</v>
      </c>
      <c r="AY285" s="1">
        <v>298700</v>
      </c>
      <c r="AZ285" s="1">
        <v>463400</v>
      </c>
      <c r="BA285" s="1">
        <v>328900</v>
      </c>
      <c r="BB285" s="1">
        <v>607000</v>
      </c>
      <c r="BC285" s="1">
        <v>1214200</v>
      </c>
      <c r="BD285" s="1">
        <v>377800</v>
      </c>
      <c r="BE285" s="1">
        <v>352900</v>
      </c>
      <c r="BF285" s="1">
        <v>346900</v>
      </c>
      <c r="BG285" s="1">
        <v>372800</v>
      </c>
      <c r="BH285" s="1">
        <v>248800</v>
      </c>
      <c r="BI285" s="1">
        <v>236900</v>
      </c>
      <c r="BJ285" s="1">
        <v>247800</v>
      </c>
      <c r="BK285" s="1">
        <v>218600</v>
      </c>
      <c r="BL285" s="1">
        <v>230500</v>
      </c>
    </row>
    <row r="286" spans="1:64">
      <c r="A286" s="434" t="s">
        <v>587</v>
      </c>
      <c r="B286" s="1" t="str">
        <f>銘柄管理!C286</f>
        <v>ＳＵＢＡＲＵ</v>
      </c>
      <c r="C286" s="1">
        <f>_xll.RssMarket("7270","出来高")</f>
        <v>4323900</v>
      </c>
      <c r="D286" s="85">
        <f t="shared" si="5"/>
        <v>0</v>
      </c>
      <c r="E286" s="1">
        <v>4323900</v>
      </c>
      <c r="F286" s="1">
        <v>3742900</v>
      </c>
      <c r="G286" s="1">
        <v>4481200</v>
      </c>
      <c r="H286" s="1">
        <v>4194500</v>
      </c>
      <c r="I286" s="1">
        <v>4577600</v>
      </c>
      <c r="J286" s="1">
        <v>5206600</v>
      </c>
      <c r="K286" s="1">
        <v>3541800</v>
      </c>
      <c r="L286" s="1">
        <v>3891200</v>
      </c>
      <c r="M286" s="1">
        <v>4327100</v>
      </c>
      <c r="N286" s="1">
        <v>5157700</v>
      </c>
      <c r="O286" s="1">
        <v>12101700</v>
      </c>
      <c r="P286" s="1">
        <v>4350700</v>
      </c>
      <c r="Q286" s="1">
        <v>4428600</v>
      </c>
      <c r="R286" s="1">
        <v>2865500</v>
      </c>
      <c r="S286" s="1">
        <v>4287200</v>
      </c>
      <c r="T286" s="1">
        <v>4250900</v>
      </c>
      <c r="U286" s="1">
        <v>3676600</v>
      </c>
      <c r="V286" s="1">
        <v>4511300</v>
      </c>
      <c r="W286" s="1">
        <v>7555900</v>
      </c>
      <c r="X286" s="1">
        <v>18708400</v>
      </c>
      <c r="Y286" s="1">
        <v>5088500</v>
      </c>
      <c r="Z286" s="1">
        <v>4376700</v>
      </c>
      <c r="AA286" s="1">
        <v>4789700</v>
      </c>
      <c r="AB286" s="1">
        <v>7079200</v>
      </c>
      <c r="AC286" s="1">
        <v>4523700</v>
      </c>
      <c r="AD286" s="1">
        <v>5656100</v>
      </c>
      <c r="AE286" s="1">
        <v>3566700</v>
      </c>
      <c r="AF286" s="1">
        <v>5538800</v>
      </c>
      <c r="AG286" s="1">
        <v>3912000</v>
      </c>
      <c r="AH286" s="1">
        <v>3259800</v>
      </c>
      <c r="AI286" s="1">
        <v>3520800</v>
      </c>
      <c r="AJ286" s="1">
        <v>3638400</v>
      </c>
      <c r="AK286" s="1">
        <v>2997300</v>
      </c>
      <c r="AL286" s="1">
        <v>3468200</v>
      </c>
      <c r="AM286" s="1">
        <v>3149000</v>
      </c>
      <c r="AN286" s="1">
        <v>2905900</v>
      </c>
      <c r="AO286" s="1">
        <v>3507400</v>
      </c>
      <c r="AP286" s="1">
        <v>3732800</v>
      </c>
      <c r="AQ286" s="1">
        <v>3070700</v>
      </c>
      <c r="AR286" s="1">
        <v>2421000</v>
      </c>
      <c r="AS286" s="1">
        <v>3346600</v>
      </c>
      <c r="AT286" s="1">
        <v>3343600</v>
      </c>
      <c r="AU286" s="1">
        <v>3992500</v>
      </c>
      <c r="AV286" s="1">
        <v>2328600</v>
      </c>
      <c r="AW286" s="1">
        <v>1745900</v>
      </c>
      <c r="AX286" s="1">
        <v>2326500</v>
      </c>
      <c r="AY286" s="1">
        <v>3651600</v>
      </c>
      <c r="AZ286" s="1">
        <v>3223400</v>
      </c>
      <c r="BA286" s="1">
        <v>3833900</v>
      </c>
      <c r="BB286" s="1">
        <v>3982000</v>
      </c>
      <c r="BC286" s="1">
        <v>3910500</v>
      </c>
      <c r="BD286" s="1">
        <v>3262700</v>
      </c>
      <c r="BE286" s="1">
        <v>4096700</v>
      </c>
      <c r="BF286" s="1">
        <v>4394400</v>
      </c>
      <c r="BG286" s="1">
        <v>5143900</v>
      </c>
      <c r="BH286" s="1">
        <v>5491900</v>
      </c>
      <c r="BI286" s="1">
        <v>2896400</v>
      </c>
      <c r="BJ286" s="1">
        <v>4446400</v>
      </c>
      <c r="BK286" s="1">
        <v>4376100</v>
      </c>
      <c r="BL286" s="1">
        <v>4788600</v>
      </c>
    </row>
    <row r="287" spans="1:64">
      <c r="A287" s="434" t="s">
        <v>588</v>
      </c>
      <c r="B287" s="1" t="str">
        <f>銘柄管理!C287</f>
        <v>サン電子</v>
      </c>
      <c r="C287" s="1">
        <f>_xll.RssMarket("6736","出来高")</f>
        <v>15500</v>
      </c>
      <c r="D287" s="85">
        <f t="shared" si="5"/>
        <v>0</v>
      </c>
      <c r="E287" s="1">
        <v>15500</v>
      </c>
      <c r="F287" s="1">
        <v>15900</v>
      </c>
      <c r="G287" s="1">
        <v>16300</v>
      </c>
      <c r="H287" s="1">
        <v>26700</v>
      </c>
      <c r="I287" s="1">
        <v>38300</v>
      </c>
      <c r="J287" s="1">
        <v>22900</v>
      </c>
      <c r="K287" s="1">
        <v>17100</v>
      </c>
      <c r="L287" s="1">
        <v>25000</v>
      </c>
      <c r="M287" s="1">
        <v>16100</v>
      </c>
      <c r="N287" s="1">
        <v>42200</v>
      </c>
      <c r="O287" s="1">
        <v>44000</v>
      </c>
      <c r="P287" s="1">
        <v>36400</v>
      </c>
      <c r="Q287" s="1">
        <v>25900</v>
      </c>
      <c r="R287" s="1">
        <v>20200</v>
      </c>
      <c r="S287" s="1">
        <v>32100</v>
      </c>
      <c r="T287" s="1">
        <v>60800</v>
      </c>
      <c r="U287" s="1">
        <v>52300</v>
      </c>
      <c r="V287" s="1">
        <v>83400</v>
      </c>
      <c r="W287" s="1">
        <v>60000</v>
      </c>
      <c r="X287" s="1">
        <v>26500</v>
      </c>
      <c r="Y287" s="1">
        <v>19400</v>
      </c>
      <c r="Z287" s="1">
        <v>40800</v>
      </c>
      <c r="AA287" s="1">
        <v>63900</v>
      </c>
      <c r="AB287" s="1">
        <v>17200</v>
      </c>
      <c r="AC287" s="1">
        <v>27100</v>
      </c>
      <c r="AD287" s="1">
        <v>14800</v>
      </c>
      <c r="AE287" s="1">
        <v>26400</v>
      </c>
      <c r="AF287" s="1">
        <v>59600</v>
      </c>
      <c r="AG287" s="1">
        <v>31500</v>
      </c>
      <c r="AH287" s="1">
        <v>48100</v>
      </c>
      <c r="AI287" s="1">
        <v>27100</v>
      </c>
      <c r="AJ287" s="1">
        <v>36100</v>
      </c>
      <c r="AK287" s="1">
        <v>70300</v>
      </c>
      <c r="AL287" s="1">
        <v>26500</v>
      </c>
      <c r="AM287" s="1">
        <v>47300</v>
      </c>
      <c r="AN287" s="1">
        <v>91700</v>
      </c>
      <c r="AO287" s="1">
        <v>58300</v>
      </c>
      <c r="AP287" s="1">
        <v>112100</v>
      </c>
      <c r="AQ287" s="1">
        <v>78600</v>
      </c>
      <c r="AR287" s="1">
        <v>109100</v>
      </c>
      <c r="AS287" s="1">
        <v>67700</v>
      </c>
      <c r="AT287" s="1">
        <v>59700</v>
      </c>
      <c r="AU287" s="1">
        <v>87000</v>
      </c>
      <c r="AV287" s="1">
        <v>19200</v>
      </c>
      <c r="AW287" s="1">
        <v>24800</v>
      </c>
      <c r="AX287" s="1">
        <v>35000</v>
      </c>
      <c r="AY287" s="1">
        <v>54700</v>
      </c>
      <c r="AZ287" s="1">
        <v>64100</v>
      </c>
      <c r="BA287" s="1">
        <v>61200</v>
      </c>
      <c r="BB287" s="1">
        <v>58900</v>
      </c>
      <c r="BC287" s="1">
        <v>76500</v>
      </c>
      <c r="BD287" s="1">
        <v>72900</v>
      </c>
      <c r="BE287" s="1">
        <v>95200</v>
      </c>
      <c r="BF287" s="1">
        <v>34600</v>
      </c>
      <c r="BG287" s="1">
        <v>76800</v>
      </c>
      <c r="BH287" s="1">
        <v>44000</v>
      </c>
      <c r="BI287" s="1">
        <v>33000</v>
      </c>
      <c r="BJ287" s="1">
        <v>55000</v>
      </c>
      <c r="BK287" s="1">
        <v>92000</v>
      </c>
      <c r="BL287" s="1">
        <v>82900</v>
      </c>
    </row>
    <row r="288" spans="1:64">
      <c r="A288" s="434" t="s">
        <v>589</v>
      </c>
      <c r="B288" s="1" t="str">
        <f>銘柄管理!C288</f>
        <v>紀文食品</v>
      </c>
      <c r="C288" s="1">
        <f>_xll.RssMarket("2933","出来高")</f>
        <v>24600</v>
      </c>
      <c r="D288" s="85">
        <f t="shared" si="5"/>
        <v>0</v>
      </c>
      <c r="E288" s="1">
        <v>24600</v>
      </c>
      <c r="F288" s="1">
        <v>13400</v>
      </c>
      <c r="G288" s="1">
        <v>35700</v>
      </c>
      <c r="H288" s="1">
        <v>21700</v>
      </c>
      <c r="I288" s="1">
        <v>27300</v>
      </c>
      <c r="J288" s="1">
        <v>33800</v>
      </c>
      <c r="K288" s="1">
        <v>21500</v>
      </c>
      <c r="L288" s="1">
        <v>15700</v>
      </c>
      <c r="M288" s="1">
        <v>29300</v>
      </c>
      <c r="N288" s="1">
        <v>45600</v>
      </c>
      <c r="O288" s="1">
        <v>17400</v>
      </c>
      <c r="P288" s="1">
        <v>26200</v>
      </c>
      <c r="Q288" s="1">
        <v>17900</v>
      </c>
      <c r="R288" s="1">
        <v>23000</v>
      </c>
      <c r="S288" s="1">
        <v>17300</v>
      </c>
      <c r="T288" s="1">
        <v>16800</v>
      </c>
      <c r="U288" s="1">
        <v>22100</v>
      </c>
      <c r="V288" s="1">
        <v>20800</v>
      </c>
      <c r="W288" s="1">
        <v>48000</v>
      </c>
      <c r="X288" s="1">
        <v>23800</v>
      </c>
      <c r="Y288" s="1">
        <v>12400</v>
      </c>
      <c r="Z288" s="1">
        <v>13900</v>
      </c>
      <c r="AA288" s="1">
        <v>12200</v>
      </c>
      <c r="AB288" s="1">
        <v>21500</v>
      </c>
      <c r="AC288" s="1">
        <v>36900</v>
      </c>
      <c r="AD288" s="1">
        <v>14700</v>
      </c>
      <c r="AE288" s="1">
        <v>19700</v>
      </c>
      <c r="AF288" s="1">
        <v>26800</v>
      </c>
      <c r="AG288" s="1">
        <v>27900</v>
      </c>
      <c r="AH288" s="1">
        <v>36200</v>
      </c>
      <c r="AI288" s="1">
        <v>18000</v>
      </c>
      <c r="AJ288" s="1">
        <v>37400</v>
      </c>
      <c r="AK288" s="1">
        <v>29300</v>
      </c>
      <c r="AL288" s="1">
        <v>21400</v>
      </c>
      <c r="AM288" s="1">
        <v>18000</v>
      </c>
      <c r="AN288" s="1">
        <v>16700</v>
      </c>
      <c r="AO288" s="1">
        <v>15700</v>
      </c>
      <c r="AP288" s="1">
        <v>16700</v>
      </c>
      <c r="AQ288" s="1">
        <v>17500</v>
      </c>
      <c r="AR288" s="1">
        <v>18100</v>
      </c>
      <c r="AS288" s="1">
        <v>12700</v>
      </c>
      <c r="AT288" s="1">
        <v>15500</v>
      </c>
      <c r="AU288" s="1">
        <v>23100</v>
      </c>
      <c r="AV288" s="1">
        <v>17400</v>
      </c>
      <c r="AW288" s="1">
        <v>16500</v>
      </c>
      <c r="AX288" s="1">
        <v>17700</v>
      </c>
      <c r="AY288" s="1">
        <v>18400</v>
      </c>
      <c r="AZ288" s="1">
        <v>28100</v>
      </c>
      <c r="BA288" s="1">
        <v>29600</v>
      </c>
      <c r="BB288" s="1">
        <v>46500</v>
      </c>
      <c r="BC288" s="1">
        <v>42900</v>
      </c>
      <c r="BD288" s="1">
        <v>37900</v>
      </c>
      <c r="BE288" s="1">
        <v>25000</v>
      </c>
      <c r="BF288" s="1">
        <v>21200</v>
      </c>
      <c r="BG288" s="1">
        <v>43100</v>
      </c>
      <c r="BH288" s="1">
        <v>23600</v>
      </c>
      <c r="BI288" s="1">
        <v>21500</v>
      </c>
      <c r="BJ288" s="1">
        <v>23700</v>
      </c>
      <c r="BK288" s="1">
        <v>28400</v>
      </c>
      <c r="BL288" s="1">
        <v>55800</v>
      </c>
    </row>
    <row r="289" spans="1:64">
      <c r="A289" s="434" t="s">
        <v>590</v>
      </c>
      <c r="B289" s="1" t="str">
        <f>銘柄管理!C289</f>
        <v>関東電化</v>
      </c>
      <c r="C289" s="1">
        <f>_xll.RssMarket("4047","出来高")</f>
        <v>953400</v>
      </c>
      <c r="D289" s="85">
        <f t="shared" si="5"/>
        <v>0</v>
      </c>
      <c r="E289" s="1">
        <v>953400</v>
      </c>
      <c r="F289" s="1">
        <v>916000</v>
      </c>
      <c r="G289" s="1">
        <v>1633300</v>
      </c>
      <c r="H289" s="1">
        <v>1146900</v>
      </c>
      <c r="I289" s="1">
        <v>1639900</v>
      </c>
      <c r="J289" s="1">
        <v>1629200</v>
      </c>
      <c r="K289" s="1">
        <v>2697600</v>
      </c>
      <c r="L289" s="1">
        <v>1784000</v>
      </c>
      <c r="M289" s="1">
        <v>953900</v>
      </c>
      <c r="N289" s="1">
        <v>836000</v>
      </c>
      <c r="O289" s="1">
        <v>956800</v>
      </c>
      <c r="P289" s="1">
        <v>919400</v>
      </c>
      <c r="Q289" s="1">
        <v>1331700</v>
      </c>
      <c r="R289" s="1">
        <v>1463500</v>
      </c>
      <c r="S289" s="1">
        <v>1172600</v>
      </c>
      <c r="T289" s="1">
        <v>1184100</v>
      </c>
      <c r="U289" s="1">
        <v>1156400</v>
      </c>
      <c r="V289" s="1">
        <v>3289100</v>
      </c>
      <c r="W289" s="1">
        <v>202100</v>
      </c>
      <c r="X289" s="1">
        <v>906100</v>
      </c>
      <c r="Y289" s="1">
        <v>583500</v>
      </c>
      <c r="Z289" s="1">
        <v>721900</v>
      </c>
      <c r="AA289" s="1">
        <v>537800</v>
      </c>
      <c r="AB289" s="1">
        <v>453700</v>
      </c>
      <c r="AC289" s="1">
        <v>380500</v>
      </c>
      <c r="AD289" s="1">
        <v>453300</v>
      </c>
      <c r="AE289" s="1">
        <v>182500</v>
      </c>
      <c r="AF289" s="1">
        <v>164100</v>
      </c>
      <c r="AG289" s="1">
        <v>205200</v>
      </c>
      <c r="AH289" s="1">
        <v>154900</v>
      </c>
      <c r="AI289" s="1">
        <v>129600</v>
      </c>
      <c r="AJ289" s="1">
        <v>260800</v>
      </c>
      <c r="AK289" s="1">
        <v>169100</v>
      </c>
      <c r="AL289" s="1">
        <v>185100</v>
      </c>
      <c r="AM289" s="1">
        <v>160800</v>
      </c>
      <c r="AN289" s="1">
        <v>161200</v>
      </c>
      <c r="AO289" s="1">
        <v>230100</v>
      </c>
      <c r="AP289" s="1">
        <v>371000</v>
      </c>
      <c r="AQ289" s="1">
        <v>445800</v>
      </c>
      <c r="AR289" s="1">
        <v>342400</v>
      </c>
      <c r="AS289" s="1">
        <v>278100</v>
      </c>
      <c r="AT289" s="1">
        <v>510400</v>
      </c>
      <c r="AU289" s="1">
        <v>564300</v>
      </c>
      <c r="AV289" s="1">
        <v>255400</v>
      </c>
      <c r="AW289" s="1">
        <v>379100</v>
      </c>
      <c r="AX289" s="1">
        <v>211300</v>
      </c>
      <c r="AY289" s="1">
        <v>279200</v>
      </c>
      <c r="AZ289" s="1">
        <v>227600</v>
      </c>
      <c r="BA289" s="1">
        <v>255000</v>
      </c>
      <c r="BB289" s="1">
        <v>387800</v>
      </c>
      <c r="BC289" s="1">
        <v>413400</v>
      </c>
      <c r="BD289" s="1">
        <v>545900</v>
      </c>
      <c r="BE289" s="1">
        <v>332400</v>
      </c>
      <c r="BF289" s="1">
        <v>382800</v>
      </c>
      <c r="BG289" s="1">
        <v>548800</v>
      </c>
      <c r="BH289" s="1">
        <v>587800</v>
      </c>
      <c r="BI289" s="1">
        <v>392600</v>
      </c>
      <c r="BJ289" s="1">
        <v>419400</v>
      </c>
      <c r="BK289" s="1">
        <v>222900</v>
      </c>
      <c r="BL289" s="1">
        <v>303100</v>
      </c>
    </row>
    <row r="290" spans="1:64">
      <c r="A290" s="434" t="s">
        <v>591</v>
      </c>
      <c r="B290" s="1" t="str">
        <f>銘柄管理!C290</f>
        <v>ＹＵＳＨＩＮ</v>
      </c>
      <c r="C290" s="1">
        <f>_xll.RssMarket("6482","出来高")</f>
        <v>155300</v>
      </c>
      <c r="D290" s="85">
        <f t="shared" si="5"/>
        <v>0</v>
      </c>
      <c r="E290" s="1">
        <v>155300</v>
      </c>
      <c r="F290" s="1">
        <v>83600</v>
      </c>
      <c r="G290" s="1">
        <v>52000</v>
      </c>
      <c r="H290" s="1">
        <v>64400</v>
      </c>
      <c r="I290" s="1">
        <v>53500</v>
      </c>
      <c r="J290" s="1">
        <v>76000</v>
      </c>
      <c r="K290" s="1">
        <v>54000</v>
      </c>
      <c r="L290" s="1">
        <v>77800</v>
      </c>
      <c r="M290" s="1">
        <v>62800</v>
      </c>
      <c r="N290" s="1">
        <v>118300</v>
      </c>
      <c r="O290" s="1">
        <v>86300</v>
      </c>
      <c r="P290" s="1">
        <v>120700</v>
      </c>
      <c r="Q290" s="1">
        <v>145300</v>
      </c>
      <c r="R290" s="1">
        <v>50700</v>
      </c>
      <c r="S290" s="1">
        <v>94600</v>
      </c>
      <c r="T290" s="1">
        <v>40700</v>
      </c>
      <c r="U290" s="1">
        <v>110300</v>
      </c>
      <c r="V290" s="1">
        <v>99100</v>
      </c>
      <c r="W290" s="1">
        <v>77200</v>
      </c>
      <c r="X290" s="1">
        <v>57900</v>
      </c>
      <c r="Y290" s="1">
        <v>82400</v>
      </c>
      <c r="Z290" s="1">
        <v>50300</v>
      </c>
      <c r="AA290" s="1">
        <v>154200</v>
      </c>
      <c r="AB290" s="1">
        <v>103600</v>
      </c>
      <c r="AC290" s="1">
        <v>47200</v>
      </c>
      <c r="AD290" s="1">
        <v>74100</v>
      </c>
      <c r="AE290" s="1">
        <v>68900</v>
      </c>
      <c r="AF290" s="1">
        <v>53200</v>
      </c>
      <c r="AG290" s="1">
        <v>59500</v>
      </c>
      <c r="AH290" s="1">
        <v>104400</v>
      </c>
      <c r="AI290" s="1">
        <v>40500</v>
      </c>
      <c r="AJ290" s="1">
        <v>65500</v>
      </c>
      <c r="AK290" s="1">
        <v>35500</v>
      </c>
      <c r="AL290" s="1">
        <v>41300</v>
      </c>
      <c r="AM290" s="1">
        <v>28200</v>
      </c>
      <c r="AN290" s="1">
        <v>40200</v>
      </c>
      <c r="AO290" s="1">
        <v>33900</v>
      </c>
      <c r="AP290" s="1">
        <v>32400</v>
      </c>
      <c r="AQ290" s="1">
        <v>41900</v>
      </c>
      <c r="AR290" s="1">
        <v>38200</v>
      </c>
      <c r="AS290" s="1">
        <v>54500</v>
      </c>
      <c r="AT290" s="1">
        <v>55900</v>
      </c>
      <c r="AU290" s="1">
        <v>70200</v>
      </c>
      <c r="AV290" s="1">
        <v>37400</v>
      </c>
      <c r="AW290" s="1">
        <v>39700</v>
      </c>
      <c r="AX290" s="1">
        <v>15800</v>
      </c>
      <c r="AY290" s="1">
        <v>44700</v>
      </c>
      <c r="AZ290" s="1">
        <v>137800</v>
      </c>
      <c r="BA290" s="1">
        <v>111200</v>
      </c>
      <c r="BB290" s="1">
        <v>78500</v>
      </c>
      <c r="BC290" s="1">
        <v>108900</v>
      </c>
      <c r="BD290" s="1">
        <v>62500</v>
      </c>
      <c r="BE290" s="1">
        <v>88800</v>
      </c>
      <c r="BF290" s="1">
        <v>60800</v>
      </c>
      <c r="BG290" s="1">
        <v>239100</v>
      </c>
      <c r="BH290" s="1">
        <v>242600</v>
      </c>
      <c r="BI290" s="1">
        <v>56000</v>
      </c>
      <c r="BJ290" s="1">
        <v>50500</v>
      </c>
      <c r="BK290" s="1">
        <v>70800</v>
      </c>
      <c r="BL290" s="1">
        <v>147500</v>
      </c>
    </row>
    <row r="291" spans="1:64">
      <c r="A291" s="434" t="s">
        <v>592</v>
      </c>
      <c r="B291" s="1" t="str">
        <f>銘柄管理!C291</f>
        <v>電気興業</v>
      </c>
      <c r="C291" s="1">
        <f>_xll.RssMarket("6706","出来高")</f>
        <v>34000</v>
      </c>
      <c r="D291" s="85">
        <f t="shared" si="5"/>
        <v>0</v>
      </c>
      <c r="E291" s="1">
        <v>34000</v>
      </c>
      <c r="F291" s="1">
        <v>30000</v>
      </c>
      <c r="G291" s="1">
        <v>30100</v>
      </c>
      <c r="H291" s="1">
        <v>121100</v>
      </c>
      <c r="I291" s="1">
        <v>58400</v>
      </c>
      <c r="J291" s="1">
        <v>49500</v>
      </c>
      <c r="K291" s="1">
        <v>22900</v>
      </c>
      <c r="L291" s="1">
        <v>19400</v>
      </c>
      <c r="M291" s="1">
        <v>28000</v>
      </c>
      <c r="N291" s="1">
        <v>25900</v>
      </c>
      <c r="O291" s="1">
        <v>25500</v>
      </c>
      <c r="P291" s="1">
        <v>26800</v>
      </c>
      <c r="Q291" s="1">
        <v>18800</v>
      </c>
      <c r="R291" s="1">
        <v>28700</v>
      </c>
      <c r="S291" s="1">
        <v>20700</v>
      </c>
      <c r="T291" s="1">
        <v>16600</v>
      </c>
      <c r="U291" s="1">
        <v>54000</v>
      </c>
      <c r="V291" s="1">
        <v>78600</v>
      </c>
      <c r="W291" s="1">
        <v>68600</v>
      </c>
      <c r="X291" s="1">
        <v>61900</v>
      </c>
      <c r="Y291" s="1">
        <v>28100</v>
      </c>
      <c r="Z291" s="1">
        <v>19400</v>
      </c>
      <c r="AA291" s="1">
        <v>32500</v>
      </c>
      <c r="AB291" s="1">
        <v>31800</v>
      </c>
      <c r="AC291" s="1">
        <v>23900</v>
      </c>
      <c r="AD291" s="1">
        <v>46700</v>
      </c>
      <c r="AE291" s="1">
        <v>51800</v>
      </c>
      <c r="AF291" s="1">
        <v>22900</v>
      </c>
      <c r="AG291" s="1">
        <v>30000</v>
      </c>
      <c r="AH291" s="1">
        <v>15700</v>
      </c>
      <c r="AI291" s="1">
        <v>16900</v>
      </c>
      <c r="AJ291" s="1">
        <v>38700</v>
      </c>
      <c r="AK291" s="1">
        <v>44400</v>
      </c>
      <c r="AL291" s="1">
        <v>31300</v>
      </c>
      <c r="AM291" s="1">
        <v>31400</v>
      </c>
      <c r="AN291" s="1">
        <v>26400</v>
      </c>
      <c r="AO291" s="1">
        <v>22200</v>
      </c>
      <c r="AP291" s="1">
        <v>28900</v>
      </c>
      <c r="AQ291" s="1">
        <v>50300</v>
      </c>
      <c r="AR291" s="1">
        <v>37500</v>
      </c>
      <c r="AS291" s="1">
        <v>21900</v>
      </c>
      <c r="AT291" s="1">
        <v>25200</v>
      </c>
      <c r="AU291" s="1">
        <v>28600</v>
      </c>
      <c r="AV291" s="1">
        <v>16000</v>
      </c>
      <c r="AW291" s="1">
        <v>14300</v>
      </c>
      <c r="AX291" s="1">
        <v>9800</v>
      </c>
      <c r="AY291" s="1">
        <v>20000</v>
      </c>
      <c r="AZ291" s="1">
        <v>21500</v>
      </c>
      <c r="BA291" s="1">
        <v>22900</v>
      </c>
      <c r="BB291" s="1">
        <v>51100</v>
      </c>
      <c r="BC291" s="1">
        <v>34000</v>
      </c>
      <c r="BD291" s="1">
        <v>20000</v>
      </c>
      <c r="BE291" s="1">
        <v>31500</v>
      </c>
      <c r="BF291" s="1">
        <v>21800</v>
      </c>
      <c r="BG291" s="1">
        <v>44400</v>
      </c>
      <c r="BH291" s="1">
        <v>123200</v>
      </c>
      <c r="BI291" s="1">
        <v>31000</v>
      </c>
      <c r="BJ291" s="1">
        <v>26800</v>
      </c>
      <c r="BK291" s="1">
        <v>29300</v>
      </c>
      <c r="BL291" s="1">
        <v>36300</v>
      </c>
    </row>
    <row r="292" spans="1:64">
      <c r="A292" s="434" t="s">
        <v>593</v>
      </c>
      <c r="B292" s="1" t="str">
        <f>銘柄管理!C292</f>
        <v>新光商事</v>
      </c>
      <c r="C292" s="1">
        <f>_xll.RssMarket("8141","出来高")</f>
        <v>280500</v>
      </c>
      <c r="D292" s="85">
        <f t="shared" si="5"/>
        <v>0</v>
      </c>
      <c r="E292" s="1">
        <v>280500</v>
      </c>
      <c r="F292" s="1">
        <v>254200</v>
      </c>
      <c r="G292" s="1">
        <v>233900</v>
      </c>
      <c r="H292" s="1">
        <v>175100</v>
      </c>
      <c r="I292" s="1">
        <v>659800</v>
      </c>
      <c r="J292" s="1">
        <v>485100</v>
      </c>
      <c r="K292" s="1">
        <v>327500</v>
      </c>
      <c r="L292" s="1">
        <v>441900</v>
      </c>
      <c r="M292" s="1">
        <v>722600</v>
      </c>
      <c r="N292" s="1">
        <v>910500</v>
      </c>
      <c r="O292" s="1">
        <v>810400</v>
      </c>
      <c r="P292" s="1">
        <v>923500</v>
      </c>
      <c r="Q292" s="1">
        <v>1593800</v>
      </c>
      <c r="R292" s="1">
        <v>1206200</v>
      </c>
      <c r="S292" s="1">
        <v>747200</v>
      </c>
      <c r="T292" s="1">
        <v>991700</v>
      </c>
      <c r="U292" s="1">
        <v>1032900</v>
      </c>
      <c r="V292" s="1">
        <v>1057000</v>
      </c>
      <c r="W292" s="1">
        <v>2677200</v>
      </c>
      <c r="X292" s="1">
        <v>391000</v>
      </c>
      <c r="Y292" s="1">
        <v>328500</v>
      </c>
      <c r="Z292" s="1">
        <v>929500</v>
      </c>
      <c r="AA292" s="1">
        <v>221400</v>
      </c>
      <c r="AB292" s="1">
        <v>372600</v>
      </c>
      <c r="AC292" s="1">
        <v>289800</v>
      </c>
      <c r="AD292" s="1">
        <v>341500</v>
      </c>
      <c r="AE292" s="1">
        <v>215600</v>
      </c>
      <c r="AF292" s="1">
        <v>397900</v>
      </c>
      <c r="AG292" s="1">
        <v>198200</v>
      </c>
      <c r="AH292" s="1">
        <v>147000</v>
      </c>
      <c r="AI292" s="1">
        <v>152600</v>
      </c>
      <c r="AJ292" s="1">
        <v>283100</v>
      </c>
      <c r="AK292" s="1">
        <v>296700</v>
      </c>
      <c r="AL292" s="1">
        <v>243000</v>
      </c>
      <c r="AM292" s="1">
        <v>444500</v>
      </c>
      <c r="AN292" s="1">
        <v>223800</v>
      </c>
      <c r="AO292" s="1">
        <v>228900</v>
      </c>
      <c r="AP292" s="1">
        <v>271300</v>
      </c>
      <c r="AQ292" s="1">
        <v>432700</v>
      </c>
      <c r="AR292" s="1">
        <v>201600</v>
      </c>
      <c r="AS292" s="1">
        <v>132600</v>
      </c>
      <c r="AT292" s="1">
        <v>126500</v>
      </c>
      <c r="AU292" s="1">
        <v>164900</v>
      </c>
      <c r="AV292" s="1">
        <v>180800</v>
      </c>
      <c r="AW292" s="1">
        <v>95800</v>
      </c>
      <c r="AX292" s="1">
        <v>256100</v>
      </c>
      <c r="AY292" s="1">
        <v>129600</v>
      </c>
      <c r="AZ292" s="1">
        <v>159800</v>
      </c>
      <c r="BA292" s="1">
        <v>241100</v>
      </c>
      <c r="BB292" s="1">
        <v>406600</v>
      </c>
      <c r="BC292" s="1">
        <v>307600</v>
      </c>
      <c r="BD292" s="1">
        <v>706800</v>
      </c>
      <c r="BE292" s="1">
        <v>879500</v>
      </c>
      <c r="BF292" s="1">
        <v>54200</v>
      </c>
      <c r="BG292" s="1">
        <v>122600</v>
      </c>
      <c r="BH292" s="1">
        <v>133100</v>
      </c>
      <c r="BI292" s="1">
        <v>34700</v>
      </c>
      <c r="BJ292" s="1">
        <v>58900</v>
      </c>
      <c r="BK292" s="1">
        <v>86500</v>
      </c>
      <c r="BL292" s="1">
        <v>92300</v>
      </c>
    </row>
    <row r="293" spans="1:64">
      <c r="A293" s="434" t="s">
        <v>594</v>
      </c>
      <c r="B293" s="1" t="str">
        <f>銘柄管理!C293</f>
        <v>山形銀行</v>
      </c>
      <c r="C293" s="1">
        <f>_xll.RssMarket("8344","出来高")</f>
        <v>143900</v>
      </c>
      <c r="D293" s="85">
        <f t="shared" si="5"/>
        <v>0</v>
      </c>
      <c r="E293" s="1">
        <v>143900</v>
      </c>
      <c r="F293" s="1">
        <v>104600</v>
      </c>
      <c r="G293" s="1">
        <v>207100</v>
      </c>
      <c r="H293" s="1">
        <v>146300</v>
      </c>
      <c r="I293" s="1">
        <v>234500</v>
      </c>
      <c r="J293" s="1">
        <v>100100</v>
      </c>
      <c r="K293" s="1">
        <v>60600</v>
      </c>
      <c r="L293" s="1">
        <v>99600</v>
      </c>
      <c r="M293" s="1">
        <v>91700</v>
      </c>
      <c r="N293" s="1">
        <v>102700</v>
      </c>
      <c r="O293" s="1">
        <v>101000</v>
      </c>
      <c r="P293" s="1">
        <v>112100</v>
      </c>
      <c r="Q293" s="1">
        <v>125500</v>
      </c>
      <c r="R293" s="1">
        <v>123600</v>
      </c>
      <c r="S293" s="1">
        <v>124000</v>
      </c>
      <c r="T293" s="1">
        <v>121000</v>
      </c>
      <c r="U293" s="1">
        <v>162600</v>
      </c>
      <c r="V293" s="1">
        <v>216600</v>
      </c>
      <c r="W293" s="1">
        <v>397800</v>
      </c>
      <c r="X293" s="1">
        <v>144000</v>
      </c>
      <c r="Y293" s="1">
        <v>136900</v>
      </c>
      <c r="Z293" s="1">
        <v>105100</v>
      </c>
      <c r="AA293" s="1">
        <v>84500</v>
      </c>
      <c r="AB293" s="1">
        <v>79800</v>
      </c>
      <c r="AC293" s="1">
        <v>142100</v>
      </c>
      <c r="AD293" s="1">
        <v>126500</v>
      </c>
      <c r="AE293" s="1">
        <v>69800</v>
      </c>
      <c r="AF293" s="1">
        <v>96100</v>
      </c>
      <c r="AG293" s="1">
        <v>109400</v>
      </c>
      <c r="AH293" s="1">
        <v>86700</v>
      </c>
      <c r="AI293" s="1">
        <v>81500</v>
      </c>
      <c r="AJ293" s="1">
        <v>91100</v>
      </c>
      <c r="AK293" s="1">
        <v>105400</v>
      </c>
      <c r="AL293" s="1">
        <v>78600</v>
      </c>
      <c r="AM293" s="1">
        <v>121500</v>
      </c>
      <c r="AN293" s="1">
        <v>149300</v>
      </c>
      <c r="AO293" s="1">
        <v>86900</v>
      </c>
      <c r="AP293" s="1">
        <v>97200</v>
      </c>
      <c r="AQ293" s="1">
        <v>69900</v>
      </c>
      <c r="AR293" s="1">
        <v>67400</v>
      </c>
      <c r="AS293" s="1">
        <v>88100</v>
      </c>
      <c r="AT293" s="1">
        <v>71200</v>
      </c>
      <c r="AU293" s="1">
        <v>81900</v>
      </c>
      <c r="AV293" s="1">
        <v>68400</v>
      </c>
      <c r="AW293" s="1">
        <v>52400</v>
      </c>
      <c r="AX293" s="1">
        <v>77600</v>
      </c>
      <c r="AY293" s="1">
        <v>93400</v>
      </c>
      <c r="AZ293" s="1">
        <v>132600</v>
      </c>
      <c r="BA293" s="1">
        <v>99700</v>
      </c>
      <c r="BB293" s="1">
        <v>143100</v>
      </c>
      <c r="BC293" s="1">
        <v>183600</v>
      </c>
      <c r="BD293" s="1">
        <v>90900</v>
      </c>
      <c r="BE293" s="1">
        <v>105500</v>
      </c>
      <c r="BF293" s="1">
        <v>80800</v>
      </c>
      <c r="BG293" s="1">
        <v>126900</v>
      </c>
      <c r="BH293" s="1">
        <v>86500</v>
      </c>
      <c r="BI293" s="1">
        <v>90400</v>
      </c>
      <c r="BJ293" s="1">
        <v>67700</v>
      </c>
      <c r="BK293" s="1">
        <v>80500</v>
      </c>
      <c r="BL293" s="1">
        <v>117500</v>
      </c>
    </row>
    <row r="294" spans="1:64">
      <c r="A294" s="434" t="s">
        <v>595</v>
      </c>
      <c r="B294" s="1" t="str">
        <f>銘柄管理!C294</f>
        <v>小野建</v>
      </c>
      <c r="C294" s="1">
        <f>_xll.RssMarket("7414","出来高")</f>
        <v>49200</v>
      </c>
      <c r="D294" s="85">
        <f t="shared" si="5"/>
        <v>0</v>
      </c>
      <c r="E294" s="1">
        <v>49200</v>
      </c>
      <c r="F294" s="1">
        <v>33100</v>
      </c>
      <c r="G294" s="1">
        <v>79300</v>
      </c>
      <c r="H294" s="1">
        <v>71000</v>
      </c>
      <c r="I294" s="1">
        <v>72100</v>
      </c>
      <c r="J294" s="1">
        <v>49800</v>
      </c>
      <c r="K294" s="1">
        <v>59700</v>
      </c>
      <c r="L294" s="1">
        <v>57000</v>
      </c>
      <c r="M294" s="1">
        <v>108700</v>
      </c>
      <c r="N294" s="1">
        <v>310700</v>
      </c>
      <c r="O294" s="1">
        <v>56000</v>
      </c>
      <c r="P294" s="1">
        <v>62800</v>
      </c>
      <c r="Q294" s="1">
        <v>65000</v>
      </c>
      <c r="R294" s="1">
        <v>108600</v>
      </c>
      <c r="S294" s="1">
        <v>73700</v>
      </c>
      <c r="T294" s="1">
        <v>79000</v>
      </c>
      <c r="U294" s="1">
        <v>117200</v>
      </c>
      <c r="V294" s="1">
        <v>74100</v>
      </c>
      <c r="W294" s="1">
        <v>152300</v>
      </c>
      <c r="X294" s="1">
        <v>158500</v>
      </c>
      <c r="Y294" s="1">
        <v>108800</v>
      </c>
      <c r="Z294" s="1">
        <v>27100</v>
      </c>
      <c r="AA294" s="1">
        <v>55400</v>
      </c>
      <c r="AB294" s="1">
        <v>42600</v>
      </c>
      <c r="AC294" s="1">
        <v>35000</v>
      </c>
      <c r="AD294" s="1">
        <v>67800</v>
      </c>
      <c r="AE294" s="1">
        <v>40600</v>
      </c>
      <c r="AF294" s="1">
        <v>53300</v>
      </c>
      <c r="AG294" s="1">
        <v>54300</v>
      </c>
      <c r="AH294" s="1">
        <v>52600</v>
      </c>
      <c r="AI294" s="1">
        <v>62400</v>
      </c>
      <c r="AJ294" s="1">
        <v>55600</v>
      </c>
      <c r="AK294" s="1">
        <v>31500</v>
      </c>
      <c r="AL294" s="1">
        <v>37000</v>
      </c>
      <c r="AM294" s="1">
        <v>58100</v>
      </c>
      <c r="AN294" s="1">
        <v>29200</v>
      </c>
      <c r="AO294" s="1">
        <v>49800</v>
      </c>
      <c r="AP294" s="1">
        <v>45800</v>
      </c>
      <c r="AQ294" s="1">
        <v>27600</v>
      </c>
      <c r="AR294" s="1">
        <v>63900</v>
      </c>
      <c r="AS294" s="1">
        <v>32500</v>
      </c>
      <c r="AT294" s="1">
        <v>39100</v>
      </c>
      <c r="AU294" s="1">
        <v>52800</v>
      </c>
      <c r="AV294" s="1">
        <v>164400</v>
      </c>
      <c r="AW294" s="1">
        <v>20900</v>
      </c>
      <c r="AX294" s="1">
        <v>20700</v>
      </c>
      <c r="AY294" s="1">
        <v>37600</v>
      </c>
      <c r="AZ294" s="1">
        <v>102200</v>
      </c>
      <c r="BA294" s="1">
        <v>49400</v>
      </c>
      <c r="BB294" s="1">
        <v>91800</v>
      </c>
      <c r="BC294" s="1">
        <v>107500</v>
      </c>
      <c r="BD294" s="1">
        <v>51800</v>
      </c>
      <c r="BE294" s="1">
        <v>45000</v>
      </c>
      <c r="BF294" s="1">
        <v>26100</v>
      </c>
      <c r="BG294" s="1">
        <v>74600</v>
      </c>
      <c r="BH294" s="1">
        <v>53500</v>
      </c>
      <c r="BI294" s="1">
        <v>35700</v>
      </c>
      <c r="BJ294" s="1">
        <v>43400</v>
      </c>
      <c r="BK294" s="1">
        <v>48800</v>
      </c>
      <c r="BL294" s="1">
        <v>47500</v>
      </c>
    </row>
    <row r="295" spans="1:64">
      <c r="A295" s="434" t="s">
        <v>596</v>
      </c>
      <c r="B295" s="1" t="str">
        <f>銘柄管理!C295</f>
        <v>ＣＫＤ</v>
      </c>
      <c r="C295" s="1">
        <f>_xll.RssMarket("6407","出来高")</f>
        <v>460000</v>
      </c>
      <c r="D295" s="85">
        <f t="shared" si="5"/>
        <v>0</v>
      </c>
      <c r="E295" s="1">
        <v>460000</v>
      </c>
      <c r="F295" s="1">
        <v>845300</v>
      </c>
      <c r="G295" s="1">
        <v>1169400</v>
      </c>
      <c r="H295" s="1">
        <v>634400</v>
      </c>
      <c r="I295" s="1">
        <v>891700</v>
      </c>
      <c r="J295" s="1">
        <v>722200</v>
      </c>
      <c r="K295" s="1">
        <v>534600</v>
      </c>
      <c r="L295" s="1">
        <v>550600</v>
      </c>
      <c r="M295" s="1">
        <v>889900</v>
      </c>
      <c r="N295" s="1">
        <v>655200</v>
      </c>
      <c r="O295" s="1">
        <v>951800</v>
      </c>
      <c r="P295" s="1">
        <v>463000</v>
      </c>
      <c r="Q295" s="1">
        <v>432800</v>
      </c>
      <c r="R295" s="1">
        <v>1132100</v>
      </c>
      <c r="S295" s="1">
        <v>1395200</v>
      </c>
      <c r="T295" s="1">
        <v>810100</v>
      </c>
      <c r="U295" s="1">
        <v>1148500</v>
      </c>
      <c r="V295" s="1">
        <v>1125600</v>
      </c>
      <c r="W295" s="1">
        <v>1627400</v>
      </c>
      <c r="X295" s="1">
        <v>1024100</v>
      </c>
      <c r="Y295" s="1">
        <v>778800</v>
      </c>
      <c r="Z295" s="1">
        <v>574900</v>
      </c>
      <c r="AA295" s="1">
        <v>713100</v>
      </c>
      <c r="AB295" s="1">
        <v>619700</v>
      </c>
      <c r="AC295" s="1">
        <v>572000</v>
      </c>
      <c r="AD295" s="1">
        <v>881100</v>
      </c>
      <c r="AE295" s="1">
        <v>226900</v>
      </c>
      <c r="AF295" s="1">
        <v>768200</v>
      </c>
      <c r="AG295" s="1">
        <v>411400</v>
      </c>
      <c r="AH295" s="1">
        <v>587000</v>
      </c>
      <c r="AI295" s="1">
        <v>267200</v>
      </c>
      <c r="AJ295" s="1">
        <v>462900</v>
      </c>
      <c r="AK295" s="1">
        <v>543300</v>
      </c>
      <c r="AL295" s="1">
        <v>355900</v>
      </c>
      <c r="AM295" s="1">
        <v>264300</v>
      </c>
      <c r="AN295" s="1">
        <v>346000</v>
      </c>
      <c r="AO295" s="1">
        <v>534800</v>
      </c>
      <c r="AP295" s="1">
        <v>602200</v>
      </c>
      <c r="AQ295" s="1">
        <v>457300</v>
      </c>
      <c r="AR295" s="1">
        <v>1806000</v>
      </c>
      <c r="AS295" s="1">
        <v>1148200</v>
      </c>
      <c r="AT295" s="1">
        <v>561200</v>
      </c>
      <c r="AU295" s="1">
        <v>786100</v>
      </c>
      <c r="AV295" s="1">
        <v>298400</v>
      </c>
      <c r="AW295" s="1">
        <v>418200</v>
      </c>
      <c r="AX295" s="1">
        <v>800700</v>
      </c>
      <c r="AY295" s="1">
        <v>763100</v>
      </c>
      <c r="AZ295" s="1">
        <v>743800</v>
      </c>
      <c r="BA295" s="1">
        <v>694700</v>
      </c>
      <c r="BB295" s="1">
        <v>602200</v>
      </c>
      <c r="BC295" s="1">
        <v>572400</v>
      </c>
      <c r="BD295" s="1">
        <v>461600</v>
      </c>
      <c r="BE295" s="1">
        <v>737500</v>
      </c>
      <c r="BF295" s="1">
        <v>512700</v>
      </c>
      <c r="BG295" s="1">
        <v>496200</v>
      </c>
      <c r="BH295" s="1">
        <v>507600</v>
      </c>
      <c r="BI295" s="1">
        <v>684000</v>
      </c>
      <c r="BJ295" s="1">
        <v>361200</v>
      </c>
      <c r="BK295" s="1">
        <v>432500</v>
      </c>
      <c r="BL295" s="1">
        <v>730000</v>
      </c>
    </row>
    <row r="296" spans="1:64">
      <c r="A296" s="434" t="s">
        <v>597</v>
      </c>
      <c r="B296" s="1" t="str">
        <f>銘柄管理!C296</f>
        <v>ベルトラ</v>
      </c>
      <c r="C296" s="1">
        <f>_xll.RssMarket("7048","出来高")</f>
        <v>234600</v>
      </c>
      <c r="D296" s="85">
        <f t="shared" si="5"/>
        <v>0</v>
      </c>
      <c r="E296" s="1">
        <v>234600</v>
      </c>
      <c r="F296" s="1">
        <v>674300</v>
      </c>
      <c r="G296" s="1">
        <v>143300</v>
      </c>
      <c r="H296" s="1">
        <v>149100</v>
      </c>
      <c r="I296" s="1">
        <v>262900</v>
      </c>
      <c r="J296" s="1">
        <v>98200</v>
      </c>
      <c r="K296" s="1">
        <v>204600</v>
      </c>
      <c r="L296" s="1">
        <v>162300</v>
      </c>
      <c r="M296" s="1">
        <v>94400</v>
      </c>
      <c r="N296" s="1">
        <v>115000</v>
      </c>
      <c r="O296" s="1">
        <v>94800</v>
      </c>
      <c r="P296" s="1">
        <v>111500</v>
      </c>
      <c r="Q296" s="1">
        <v>144700</v>
      </c>
      <c r="R296" s="1">
        <v>322300</v>
      </c>
      <c r="S296" s="1">
        <v>103900</v>
      </c>
      <c r="T296" s="1">
        <v>59400</v>
      </c>
      <c r="U296" s="1">
        <v>247100</v>
      </c>
      <c r="V296" s="1">
        <v>134500</v>
      </c>
      <c r="W296" s="1">
        <v>226800</v>
      </c>
      <c r="X296" s="1">
        <v>535400</v>
      </c>
      <c r="Y296" s="1">
        <v>131500</v>
      </c>
      <c r="Z296" s="1">
        <v>96700</v>
      </c>
      <c r="AA296" s="1">
        <v>140900</v>
      </c>
      <c r="AB296" s="1">
        <v>112500</v>
      </c>
      <c r="AC296" s="1">
        <v>41100</v>
      </c>
      <c r="AD296" s="1">
        <v>57500</v>
      </c>
      <c r="AE296" s="1">
        <v>75600</v>
      </c>
      <c r="AF296" s="1">
        <v>100200</v>
      </c>
      <c r="AG296" s="1">
        <v>126200</v>
      </c>
      <c r="AH296" s="1">
        <v>150000</v>
      </c>
      <c r="AI296" s="1">
        <v>218600</v>
      </c>
      <c r="AJ296" s="1">
        <v>262300</v>
      </c>
      <c r="AK296" s="1">
        <v>179100</v>
      </c>
      <c r="AL296" s="1">
        <v>168700</v>
      </c>
      <c r="AM296" s="1">
        <v>162200</v>
      </c>
      <c r="AN296" s="1">
        <v>432800</v>
      </c>
      <c r="AO296" s="1">
        <v>93600</v>
      </c>
      <c r="AP296" s="1">
        <v>204500</v>
      </c>
      <c r="AQ296" s="1">
        <v>151000</v>
      </c>
      <c r="AR296" s="1">
        <v>140500</v>
      </c>
      <c r="AS296" s="1">
        <v>276300</v>
      </c>
      <c r="AT296" s="1">
        <v>205100</v>
      </c>
      <c r="AU296" s="1">
        <v>266500</v>
      </c>
      <c r="AV296" s="1">
        <v>101600</v>
      </c>
      <c r="AW296" s="1">
        <v>164700</v>
      </c>
      <c r="AX296" s="1">
        <v>105900</v>
      </c>
      <c r="AY296" s="1">
        <v>223300</v>
      </c>
      <c r="AZ296" s="1">
        <v>248400</v>
      </c>
      <c r="BA296" s="1">
        <v>119500</v>
      </c>
      <c r="BB296" s="1">
        <v>269800</v>
      </c>
      <c r="BC296" s="1">
        <v>267300</v>
      </c>
      <c r="BD296" s="1">
        <v>236500</v>
      </c>
      <c r="BE296" s="1">
        <v>250300</v>
      </c>
      <c r="BF296" s="1">
        <v>174900</v>
      </c>
      <c r="BG296" s="1">
        <v>280400</v>
      </c>
      <c r="BH296" s="1">
        <v>431900</v>
      </c>
      <c r="BI296" s="1">
        <v>86800</v>
      </c>
      <c r="BJ296" s="1">
        <v>181500</v>
      </c>
      <c r="BK296" s="1">
        <v>190800</v>
      </c>
      <c r="BL296" s="1">
        <v>145800</v>
      </c>
    </row>
    <row r="297" spans="1:64">
      <c r="A297" s="434" t="s">
        <v>598</v>
      </c>
      <c r="B297" s="1" t="str">
        <f>銘柄管理!C297</f>
        <v>長谷工コーポレーシヨン</v>
      </c>
      <c r="C297" s="1">
        <f>_xll.RssMarket("1808","出来高")</f>
        <v>1091500</v>
      </c>
      <c r="D297" s="85">
        <f t="shared" si="5"/>
        <v>0</v>
      </c>
      <c r="E297" s="1">
        <v>1091500</v>
      </c>
      <c r="F297" s="1">
        <v>947300</v>
      </c>
      <c r="G297" s="1">
        <v>1777300</v>
      </c>
      <c r="H297" s="1">
        <v>1167600</v>
      </c>
      <c r="I297" s="1">
        <v>1261800</v>
      </c>
      <c r="J297" s="1">
        <v>843500</v>
      </c>
      <c r="K297" s="1">
        <v>710000</v>
      </c>
      <c r="L297" s="1">
        <v>643300</v>
      </c>
      <c r="M297" s="1">
        <v>661400</v>
      </c>
      <c r="N297" s="1">
        <v>868400</v>
      </c>
      <c r="O297" s="1">
        <v>1193600</v>
      </c>
      <c r="P297" s="1">
        <v>653800</v>
      </c>
      <c r="Q297" s="1">
        <v>696200</v>
      </c>
      <c r="R297" s="1">
        <v>1051400</v>
      </c>
      <c r="S297" s="1">
        <v>932100</v>
      </c>
      <c r="T297" s="1">
        <v>1082200</v>
      </c>
      <c r="U297" s="1">
        <v>1708300</v>
      </c>
      <c r="V297" s="1">
        <v>1560500</v>
      </c>
      <c r="W297" s="1">
        <v>2216100</v>
      </c>
      <c r="X297" s="1">
        <v>1224400</v>
      </c>
      <c r="Y297" s="1">
        <v>1122900</v>
      </c>
      <c r="Z297" s="1">
        <v>955400</v>
      </c>
      <c r="AA297" s="1">
        <v>1199500</v>
      </c>
      <c r="AB297" s="1">
        <v>978100</v>
      </c>
      <c r="AC297" s="1">
        <v>864800</v>
      </c>
      <c r="AD297" s="1">
        <v>1639300</v>
      </c>
      <c r="AE297" s="1">
        <v>788300</v>
      </c>
      <c r="AF297" s="1">
        <v>1640200</v>
      </c>
      <c r="AG297" s="1">
        <v>1110300</v>
      </c>
      <c r="AH297" s="1">
        <v>1015100</v>
      </c>
      <c r="AI297" s="1">
        <v>825900</v>
      </c>
      <c r="AJ297" s="1">
        <v>644500</v>
      </c>
      <c r="AK297" s="1">
        <v>966800</v>
      </c>
      <c r="AL297" s="1">
        <v>1241200</v>
      </c>
      <c r="AM297" s="1">
        <v>1160400</v>
      </c>
      <c r="AN297" s="1">
        <v>943300</v>
      </c>
      <c r="AO297" s="1">
        <v>1448700</v>
      </c>
      <c r="AP297" s="1">
        <v>1502500</v>
      </c>
      <c r="AQ297" s="1">
        <v>2441900</v>
      </c>
      <c r="AR297" s="1">
        <v>1032100</v>
      </c>
      <c r="AS297" s="1">
        <v>780500</v>
      </c>
      <c r="AT297" s="1">
        <v>749800</v>
      </c>
      <c r="AU297" s="1">
        <v>816000</v>
      </c>
      <c r="AV297" s="1">
        <v>566700</v>
      </c>
      <c r="AW297" s="1">
        <v>430200</v>
      </c>
      <c r="AX297" s="1">
        <v>668100</v>
      </c>
      <c r="AY297" s="1">
        <v>728800</v>
      </c>
      <c r="AZ297" s="1">
        <v>783000</v>
      </c>
      <c r="BA297" s="1">
        <v>810100</v>
      </c>
      <c r="BB297" s="1">
        <v>843200</v>
      </c>
      <c r="BC297" s="1">
        <v>881300</v>
      </c>
      <c r="BD297" s="1">
        <v>986800</v>
      </c>
      <c r="BE297" s="1">
        <v>1048400</v>
      </c>
      <c r="BF297" s="1">
        <v>696500</v>
      </c>
      <c r="BG297" s="1">
        <v>998600</v>
      </c>
      <c r="BH297" s="1">
        <v>1337700</v>
      </c>
      <c r="BI297" s="1">
        <v>611800</v>
      </c>
      <c r="BJ297" s="1">
        <v>538400</v>
      </c>
      <c r="BK297" s="1">
        <v>660300</v>
      </c>
      <c r="BL297" s="1">
        <v>697500</v>
      </c>
    </row>
    <row r="298" spans="1:64">
      <c r="A298" s="434" t="s">
        <v>770</v>
      </c>
      <c r="B298" s="1" t="str">
        <f>銘柄管理!C298</f>
        <v>ＵＢＥ</v>
      </c>
      <c r="C298" s="1">
        <f>_xll.RssMarket("4208","出来高")</f>
        <v>582200</v>
      </c>
      <c r="D298" s="85">
        <f t="shared" si="5"/>
        <v>0</v>
      </c>
      <c r="E298" s="1">
        <v>582200</v>
      </c>
      <c r="F298" s="1">
        <v>871300</v>
      </c>
      <c r="G298" s="1">
        <v>963600</v>
      </c>
      <c r="H298" s="1">
        <v>858100</v>
      </c>
      <c r="I298" s="1">
        <v>1180000</v>
      </c>
      <c r="J298" s="1">
        <v>1332500</v>
      </c>
      <c r="K298" s="1">
        <v>1015700</v>
      </c>
      <c r="L298" s="1">
        <v>788500</v>
      </c>
      <c r="M298" s="1">
        <v>1035600</v>
      </c>
      <c r="N298" s="1">
        <v>1217200</v>
      </c>
      <c r="O298" s="1">
        <v>1325300</v>
      </c>
      <c r="P298" s="1">
        <v>1572200</v>
      </c>
      <c r="Q298" s="1">
        <v>1298900</v>
      </c>
      <c r="R298" s="1">
        <v>1424500</v>
      </c>
      <c r="S298" s="1">
        <v>1791400</v>
      </c>
      <c r="T298" s="1">
        <v>4846200</v>
      </c>
      <c r="U298" s="1">
        <v>7261500</v>
      </c>
      <c r="V298" s="1">
        <v>1305200</v>
      </c>
      <c r="W298" s="1">
        <v>1224000</v>
      </c>
      <c r="X298" s="1">
        <v>1569300</v>
      </c>
      <c r="Y298" s="1">
        <v>2259100</v>
      </c>
      <c r="Z298" s="1">
        <v>1280900</v>
      </c>
      <c r="AA298" s="1">
        <v>1188600</v>
      </c>
      <c r="AB298" s="1">
        <v>622000</v>
      </c>
      <c r="AC298" s="1">
        <v>767900</v>
      </c>
      <c r="AD298" s="1">
        <v>757500</v>
      </c>
      <c r="AE298" s="1">
        <v>702000</v>
      </c>
      <c r="AF298" s="1">
        <v>827000</v>
      </c>
      <c r="AG298" s="1">
        <v>600000</v>
      </c>
      <c r="AH298" s="1">
        <v>623200</v>
      </c>
      <c r="AI298" s="1">
        <v>671900</v>
      </c>
      <c r="AJ298" s="1">
        <v>1058300</v>
      </c>
      <c r="AK298" s="1">
        <v>798300</v>
      </c>
      <c r="AL298" s="1">
        <v>547300</v>
      </c>
      <c r="AM298" s="1">
        <v>631900</v>
      </c>
      <c r="AN298" s="1">
        <v>540000</v>
      </c>
      <c r="AO298" s="1">
        <v>489000</v>
      </c>
      <c r="AP298" s="1">
        <v>572500</v>
      </c>
      <c r="AQ298" s="1">
        <v>785600</v>
      </c>
      <c r="AR298" s="1">
        <v>913300</v>
      </c>
      <c r="AS298" s="1">
        <v>629400</v>
      </c>
      <c r="AT298" s="1">
        <v>954100</v>
      </c>
      <c r="AU298" s="1">
        <v>1005500</v>
      </c>
      <c r="AV298" s="1">
        <v>722000</v>
      </c>
      <c r="AW298" s="1">
        <v>493100</v>
      </c>
      <c r="AX298" s="1">
        <v>567700</v>
      </c>
      <c r="AY298" s="1">
        <v>618400</v>
      </c>
      <c r="AZ298" s="1">
        <v>794000</v>
      </c>
      <c r="BA298" s="1">
        <v>890000</v>
      </c>
      <c r="BB298" s="1">
        <v>897700</v>
      </c>
      <c r="BC298" s="1">
        <v>915000</v>
      </c>
      <c r="BD298" s="1">
        <v>713000</v>
      </c>
      <c r="BE298" s="1">
        <v>693500</v>
      </c>
      <c r="BF298" s="1">
        <v>603400</v>
      </c>
      <c r="BG298" s="1">
        <v>1253200</v>
      </c>
      <c r="BH298" s="1">
        <v>964400</v>
      </c>
      <c r="BI298" s="1">
        <v>672100</v>
      </c>
      <c r="BJ298" s="1">
        <v>612700</v>
      </c>
      <c r="BK298" s="1">
        <v>552100</v>
      </c>
      <c r="BL298" s="1">
        <v>937600</v>
      </c>
    </row>
    <row r="299" spans="1:64">
      <c r="A299" s="434" t="s">
        <v>772</v>
      </c>
      <c r="B299" s="1" t="str">
        <f>銘柄管理!C299</f>
        <v>アストロスケールホールディンク</v>
      </c>
      <c r="C299" s="1">
        <f>_xll.RssMarket("186A","出来高")</f>
        <v>13573100</v>
      </c>
      <c r="D299" s="85">
        <f t="shared" si="5"/>
        <v>0</v>
      </c>
      <c r="E299" s="1">
        <v>13573100</v>
      </c>
      <c r="F299" s="1">
        <v>20516900</v>
      </c>
      <c r="G299" s="1">
        <v>12034200</v>
      </c>
      <c r="H299" s="1">
        <v>8562000</v>
      </c>
      <c r="I299" s="1">
        <v>11702800</v>
      </c>
      <c r="J299" s="1">
        <v>14903700</v>
      </c>
      <c r="K299" s="1">
        <v>18113200</v>
      </c>
      <c r="L299" s="1">
        <v>15820200</v>
      </c>
      <c r="M299" s="1">
        <v>16856200</v>
      </c>
      <c r="N299" s="1">
        <v>19546400</v>
      </c>
      <c r="O299" s="1">
        <v>26320900</v>
      </c>
      <c r="P299" s="1">
        <v>37132000</v>
      </c>
      <c r="Q299" s="1">
        <v>30912200</v>
      </c>
      <c r="R299" s="1">
        <v>32097300</v>
      </c>
      <c r="S299" s="1">
        <v>13576500</v>
      </c>
      <c r="T299" s="1">
        <v>14630200</v>
      </c>
      <c r="U299" s="1">
        <v>23922500</v>
      </c>
      <c r="V299" s="1">
        <v>18431300</v>
      </c>
      <c r="W299" s="1">
        <v>12315100</v>
      </c>
      <c r="X299" s="1">
        <v>16135100</v>
      </c>
      <c r="Y299" s="1">
        <v>10892700</v>
      </c>
      <c r="Z299" s="1">
        <v>9776600</v>
      </c>
      <c r="AA299" s="1">
        <v>14351300</v>
      </c>
      <c r="AB299" s="1">
        <v>12917900</v>
      </c>
      <c r="AC299" s="1">
        <v>10202200</v>
      </c>
      <c r="AD299" s="1">
        <v>6010300</v>
      </c>
      <c r="AE299" s="1">
        <v>4738600</v>
      </c>
      <c r="AF299" s="1">
        <v>4196300</v>
      </c>
      <c r="AG299" s="1">
        <v>5328400</v>
      </c>
      <c r="AH299" s="1">
        <v>5469400</v>
      </c>
      <c r="AI299" s="1">
        <v>6888600</v>
      </c>
      <c r="AJ299" s="1">
        <v>6121700</v>
      </c>
      <c r="AK299" s="1">
        <v>6547800</v>
      </c>
      <c r="AL299" s="1">
        <v>9052500</v>
      </c>
      <c r="AM299" s="1">
        <v>12110300</v>
      </c>
      <c r="AN299" s="1">
        <v>6477600</v>
      </c>
      <c r="AO299" s="1">
        <v>7380400</v>
      </c>
      <c r="AP299" s="1">
        <v>10235400</v>
      </c>
      <c r="AQ299" s="1">
        <v>14518100</v>
      </c>
      <c r="AR299" s="1">
        <v>10149600</v>
      </c>
      <c r="AS299" s="1">
        <v>23205100</v>
      </c>
      <c r="AT299" s="1">
        <v>11091700</v>
      </c>
      <c r="AU299" s="1">
        <v>8480300</v>
      </c>
      <c r="AV299" s="1">
        <v>6173800</v>
      </c>
      <c r="AW299" s="1">
        <v>8913600</v>
      </c>
      <c r="AX299" s="1">
        <v>7989900</v>
      </c>
      <c r="AY299" s="1">
        <v>16016800</v>
      </c>
      <c r="AZ299" s="1">
        <v>4106600</v>
      </c>
      <c r="BA299" s="1">
        <v>4348500</v>
      </c>
      <c r="BB299" s="1">
        <v>5264500</v>
      </c>
      <c r="BC299" s="1">
        <v>3212300</v>
      </c>
      <c r="BD299" s="1">
        <v>4045100</v>
      </c>
      <c r="BE299" s="1">
        <v>5957600</v>
      </c>
      <c r="BF299" s="1">
        <v>5780600</v>
      </c>
      <c r="BG299" s="1">
        <v>6683900</v>
      </c>
      <c r="BH299" s="1">
        <v>8161400</v>
      </c>
      <c r="BI299" s="1">
        <v>10135700</v>
      </c>
      <c r="BJ299" s="1">
        <v>10813700</v>
      </c>
      <c r="BK299" s="1">
        <v>8469300</v>
      </c>
      <c r="BL299" s="1">
        <v>6510100</v>
      </c>
    </row>
    <row r="300" spans="1:64">
      <c r="A300" s="434" t="s">
        <v>773</v>
      </c>
      <c r="B300" s="1" t="str">
        <f>銘柄管理!C300</f>
        <v>浜松ホトニクス</v>
      </c>
      <c r="C300" s="1">
        <f>_xll.RssMarket("6965","出来高")</f>
        <v>4570500</v>
      </c>
      <c r="D300" s="85">
        <f t="shared" si="5"/>
        <v>0</v>
      </c>
      <c r="E300" s="1">
        <v>4570500</v>
      </c>
      <c r="F300" s="1">
        <v>4325400</v>
      </c>
      <c r="G300" s="1">
        <v>5982700</v>
      </c>
      <c r="H300" s="1">
        <v>5388600</v>
      </c>
      <c r="I300" s="1">
        <v>8846200</v>
      </c>
      <c r="J300" s="1">
        <v>7028700</v>
      </c>
      <c r="K300" s="1">
        <v>4571500</v>
      </c>
      <c r="L300" s="1">
        <v>4202200</v>
      </c>
      <c r="M300" s="1">
        <v>4671500</v>
      </c>
      <c r="N300" s="1">
        <v>6016300</v>
      </c>
      <c r="O300" s="1">
        <v>7291600</v>
      </c>
      <c r="P300" s="1">
        <v>5710400</v>
      </c>
      <c r="Q300" s="1">
        <v>8443200</v>
      </c>
      <c r="R300" s="1">
        <v>6394400</v>
      </c>
      <c r="S300" s="1">
        <v>6305900</v>
      </c>
      <c r="T300" s="1">
        <v>5097200</v>
      </c>
      <c r="U300" s="1">
        <v>5349500</v>
      </c>
      <c r="V300" s="1">
        <v>8911300</v>
      </c>
      <c r="W300" s="1">
        <v>15774000</v>
      </c>
      <c r="X300" s="1">
        <v>7842200</v>
      </c>
      <c r="Y300" s="1">
        <v>4349300</v>
      </c>
      <c r="Z300" s="1">
        <v>4178000</v>
      </c>
      <c r="AA300" s="1">
        <v>3855200</v>
      </c>
      <c r="AB300" s="1">
        <v>3925900</v>
      </c>
      <c r="AC300" s="1">
        <v>4758200</v>
      </c>
      <c r="AD300" s="1">
        <v>6268100</v>
      </c>
      <c r="AE300" s="1">
        <v>1991100</v>
      </c>
      <c r="AF300" s="1">
        <v>2942400</v>
      </c>
      <c r="AG300" s="1">
        <v>5456200</v>
      </c>
      <c r="AH300" s="1">
        <v>5309500</v>
      </c>
      <c r="AI300" s="1">
        <v>1762100</v>
      </c>
      <c r="AJ300" s="1">
        <v>2384500</v>
      </c>
      <c r="AK300" s="1">
        <v>1767900</v>
      </c>
      <c r="AL300" s="1">
        <v>1789000</v>
      </c>
      <c r="AM300" s="1">
        <v>2093700</v>
      </c>
      <c r="AN300" s="1">
        <v>2087400</v>
      </c>
      <c r="AO300" s="1">
        <v>2878300</v>
      </c>
      <c r="AP300" s="1">
        <v>3100100</v>
      </c>
      <c r="AQ300" s="1">
        <v>2515900</v>
      </c>
      <c r="AR300" s="1">
        <v>2687600</v>
      </c>
      <c r="AS300" s="1">
        <v>2423200</v>
      </c>
      <c r="AT300" s="1">
        <v>2620700</v>
      </c>
      <c r="AU300" s="1">
        <v>3251000</v>
      </c>
      <c r="AV300" s="1">
        <v>1643000</v>
      </c>
      <c r="AW300" s="1">
        <v>1864400</v>
      </c>
      <c r="AX300" s="1">
        <v>1665000</v>
      </c>
      <c r="AY300" s="1">
        <v>3115800</v>
      </c>
      <c r="AZ300" s="1">
        <v>2692900</v>
      </c>
      <c r="BA300" s="1">
        <v>3580000</v>
      </c>
      <c r="BB300" s="1">
        <v>2995500</v>
      </c>
      <c r="BC300" s="1">
        <v>3443000</v>
      </c>
      <c r="BD300" s="1">
        <v>4385800</v>
      </c>
      <c r="BE300" s="1">
        <v>4140500</v>
      </c>
      <c r="BF300" s="1">
        <v>4080500</v>
      </c>
      <c r="BG300" s="1">
        <v>6359300</v>
      </c>
      <c r="BH300" s="1">
        <v>5091600</v>
      </c>
      <c r="BI300" s="1">
        <v>4245000</v>
      </c>
      <c r="BJ300" s="1">
        <v>4776800</v>
      </c>
      <c r="BK300" s="1">
        <v>4355000</v>
      </c>
      <c r="BL300" s="1">
        <v>7244900</v>
      </c>
    </row>
    <row r="301" spans="1:64">
      <c r="A301" s="434" t="s">
        <v>793</v>
      </c>
      <c r="B301" s="1" t="str">
        <f>銘柄管理!C301</f>
        <v>三菱化工機</v>
      </c>
      <c r="C301" s="1">
        <f>_xll.RssMarket("6331","出来高")</f>
        <v>266000</v>
      </c>
      <c r="D301" s="85">
        <f t="shared" si="5"/>
        <v>0</v>
      </c>
      <c r="E301" s="1">
        <v>266000</v>
      </c>
      <c r="F301" s="1">
        <v>187500</v>
      </c>
      <c r="G301" s="1">
        <v>180800</v>
      </c>
      <c r="H301" s="1">
        <v>189100</v>
      </c>
      <c r="I301" s="1">
        <v>304700</v>
      </c>
      <c r="J301" s="1">
        <v>189900</v>
      </c>
      <c r="K301" s="1">
        <v>329800</v>
      </c>
      <c r="L301" s="1">
        <v>470800</v>
      </c>
      <c r="M301" s="1">
        <v>498700</v>
      </c>
      <c r="N301" s="1">
        <v>252100</v>
      </c>
      <c r="O301" s="1">
        <v>152200</v>
      </c>
      <c r="P301" s="1">
        <v>282400</v>
      </c>
      <c r="Q301" s="1">
        <v>259000</v>
      </c>
      <c r="R301" s="1">
        <v>198000</v>
      </c>
      <c r="S301" s="1">
        <v>219000</v>
      </c>
      <c r="T301" s="1">
        <v>273600</v>
      </c>
      <c r="U301" s="1">
        <v>357500</v>
      </c>
      <c r="V301" s="1">
        <v>426100</v>
      </c>
      <c r="W301" s="1">
        <v>945300</v>
      </c>
      <c r="X301" s="1">
        <v>816000</v>
      </c>
      <c r="Y301" s="1">
        <v>219700</v>
      </c>
      <c r="Z301" s="1">
        <v>187100</v>
      </c>
      <c r="AA301" s="1">
        <v>239700</v>
      </c>
      <c r="AB301" s="1">
        <v>121700</v>
      </c>
      <c r="AC301" s="1">
        <v>178800</v>
      </c>
      <c r="AD301" s="1">
        <v>197000</v>
      </c>
      <c r="AE301" s="1">
        <v>280000</v>
      </c>
      <c r="AF301" s="1">
        <v>222700</v>
      </c>
      <c r="AG301" s="1">
        <v>205200</v>
      </c>
      <c r="AH301" s="1">
        <v>315400</v>
      </c>
      <c r="AI301" s="1">
        <v>261300</v>
      </c>
      <c r="AJ301" s="1">
        <v>346100</v>
      </c>
      <c r="AK301" s="1">
        <v>205000</v>
      </c>
      <c r="AL301" s="1">
        <v>134600</v>
      </c>
      <c r="AM301" s="1">
        <v>122100</v>
      </c>
      <c r="AN301" s="1">
        <v>146900</v>
      </c>
      <c r="AO301" s="1">
        <v>190200</v>
      </c>
      <c r="AP301" s="1">
        <v>241600</v>
      </c>
      <c r="AQ301" s="1">
        <v>206300</v>
      </c>
      <c r="AR301" s="1">
        <v>243500</v>
      </c>
      <c r="AS301" s="1">
        <v>230800</v>
      </c>
      <c r="AT301" s="1">
        <v>205100</v>
      </c>
      <c r="AU301" s="1">
        <v>253200</v>
      </c>
      <c r="AV301" s="1">
        <v>148300</v>
      </c>
      <c r="AW301" s="1">
        <v>106200</v>
      </c>
      <c r="AX301" s="1">
        <v>134900</v>
      </c>
      <c r="AY301" s="1">
        <v>256400</v>
      </c>
      <c r="AZ301" s="1">
        <v>213900</v>
      </c>
      <c r="BA301" s="1">
        <v>368300</v>
      </c>
      <c r="BB301" s="1">
        <v>307900</v>
      </c>
      <c r="BC301" s="1">
        <v>228100</v>
      </c>
      <c r="BD301" s="1">
        <v>179400</v>
      </c>
      <c r="BE301" s="1">
        <v>208300</v>
      </c>
      <c r="BF301" s="1">
        <v>215500</v>
      </c>
      <c r="BG301" s="1">
        <v>350900</v>
      </c>
      <c r="BH301" s="1">
        <v>283600</v>
      </c>
      <c r="BI301" s="1">
        <v>288500</v>
      </c>
      <c r="BJ301" s="1">
        <v>181600</v>
      </c>
      <c r="BK301" s="1">
        <v>253000</v>
      </c>
      <c r="BL301" s="1">
        <v>220800</v>
      </c>
    </row>
    <row r="302" spans="1:64">
      <c r="A302" s="434" t="s">
        <v>795</v>
      </c>
      <c r="B302" s="1" t="str">
        <f>銘柄管理!C302</f>
        <v>ＨＯＹＡ</v>
      </c>
      <c r="C302" s="1">
        <f>_xll.RssMarket("7741","出来高")</f>
        <v>833200</v>
      </c>
      <c r="D302" s="85"/>
      <c r="E302" s="1">
        <v>833200</v>
      </c>
      <c r="F302" s="1">
        <v>964700</v>
      </c>
      <c r="G302" s="1">
        <v>1790900</v>
      </c>
      <c r="H302" s="1">
        <v>936500</v>
      </c>
      <c r="I302" s="1">
        <v>894600</v>
      </c>
      <c r="J302" s="1">
        <v>936500</v>
      </c>
      <c r="K302" s="1">
        <v>714800</v>
      </c>
      <c r="L302" s="1">
        <v>1078800</v>
      </c>
      <c r="M302" s="1">
        <v>1092900</v>
      </c>
      <c r="N302" s="1">
        <v>894500</v>
      </c>
      <c r="O302" s="1">
        <v>1751300</v>
      </c>
      <c r="P302" s="1">
        <v>930100</v>
      </c>
      <c r="Q302" s="1">
        <v>1399000</v>
      </c>
      <c r="R302" s="1">
        <v>956600</v>
      </c>
      <c r="S302" s="1">
        <v>1071500</v>
      </c>
      <c r="T302" s="1">
        <v>744300</v>
      </c>
      <c r="U302" s="1">
        <v>976100</v>
      </c>
      <c r="V302" s="1">
        <v>1029300</v>
      </c>
      <c r="W302" s="1">
        <v>677600</v>
      </c>
      <c r="X302" s="1">
        <v>1111800</v>
      </c>
      <c r="Y302" s="1">
        <v>934500</v>
      </c>
      <c r="Z302" s="1">
        <v>814400</v>
      </c>
      <c r="AA302" s="1">
        <v>1110000</v>
      </c>
      <c r="AB302" s="1">
        <v>1231300</v>
      </c>
      <c r="AC302" s="1">
        <v>1207200</v>
      </c>
      <c r="AD302" s="1">
        <v>2802900</v>
      </c>
      <c r="AE302" s="1">
        <v>1140500</v>
      </c>
      <c r="AF302" s="1">
        <v>3573900</v>
      </c>
      <c r="AG302" s="1">
        <v>952900</v>
      </c>
      <c r="AH302" s="1">
        <v>950500</v>
      </c>
      <c r="AI302" s="1">
        <v>772600</v>
      </c>
      <c r="AJ302" s="1">
        <v>899100</v>
      </c>
      <c r="AK302" s="1">
        <v>914500</v>
      </c>
      <c r="AL302" s="1">
        <v>1089700</v>
      </c>
      <c r="AM302" s="1">
        <v>897300</v>
      </c>
      <c r="AN302" s="1">
        <v>1161300</v>
      </c>
      <c r="AO302" s="1">
        <v>1130400</v>
      </c>
      <c r="AP302" s="1">
        <v>1094200</v>
      </c>
      <c r="AQ302" s="1">
        <v>733200</v>
      </c>
      <c r="AR302" s="1">
        <v>793200</v>
      </c>
      <c r="AS302" s="1">
        <v>1167400</v>
      </c>
      <c r="AT302" s="1">
        <v>1076500</v>
      </c>
      <c r="AU302" s="1">
        <v>1226500</v>
      </c>
      <c r="AV302" s="1">
        <v>863200</v>
      </c>
      <c r="AW302" s="1">
        <v>688000</v>
      </c>
      <c r="AX302" s="1">
        <v>683900</v>
      </c>
      <c r="AY302" s="1">
        <v>1101700</v>
      </c>
      <c r="AZ302" s="1">
        <v>1107600</v>
      </c>
      <c r="BA302" s="1">
        <v>1037800</v>
      </c>
      <c r="BB302" s="1">
        <v>1241800</v>
      </c>
      <c r="BC302" s="1">
        <v>1324700</v>
      </c>
      <c r="BD302" s="1">
        <v>888900</v>
      </c>
      <c r="BE302" s="1">
        <v>991500</v>
      </c>
      <c r="BF302" s="1">
        <v>1238200</v>
      </c>
      <c r="BG302" s="1">
        <v>994800</v>
      </c>
      <c r="BH302" s="1">
        <v>1333300</v>
      </c>
      <c r="BI302" s="1">
        <v>1057500</v>
      </c>
      <c r="BJ302" s="1">
        <v>657600</v>
      </c>
      <c r="BK302" s="1">
        <v>808400</v>
      </c>
      <c r="BL302" s="1">
        <v>978300</v>
      </c>
    </row>
    <row r="303" spans="1:64">
      <c r="A303" s="436"/>
      <c r="D303" s="85">
        <f t="shared" si="5"/>
        <v>0</v>
      </c>
    </row>
    <row r="304" spans="1:64">
      <c r="A304" s="436"/>
      <c r="D304" s="85">
        <f t="shared" si="5"/>
        <v>0</v>
      </c>
    </row>
    <row r="305" spans="1:4">
      <c r="A305" s="436"/>
      <c r="D305" s="85">
        <f t="shared" si="5"/>
        <v>0</v>
      </c>
    </row>
    <row r="306" spans="1:4">
      <c r="A306" s="436"/>
      <c r="D306" s="85">
        <f t="shared" si="5"/>
        <v>0</v>
      </c>
    </row>
    <row r="307" spans="1:4">
      <c r="A307" s="436"/>
      <c r="D307" s="85">
        <f t="shared" si="5"/>
        <v>0</v>
      </c>
    </row>
    <row r="308" spans="1:4">
      <c r="A308" s="436"/>
      <c r="D308" s="85">
        <f t="shared" si="5"/>
        <v>0</v>
      </c>
    </row>
    <row r="309" spans="1:4">
      <c r="A309" s="436"/>
      <c r="D309" s="85">
        <f t="shared" si="5"/>
        <v>0</v>
      </c>
    </row>
    <row r="310" spans="1:4">
      <c r="A310" s="436"/>
      <c r="D310" s="85">
        <f t="shared" si="5"/>
        <v>0</v>
      </c>
    </row>
    <row r="311" spans="1:4">
      <c r="A311" s="436"/>
      <c r="D311" s="85">
        <f t="shared" si="5"/>
        <v>0</v>
      </c>
    </row>
    <row r="312" spans="1:4">
      <c r="A312" s="436"/>
      <c r="D312" s="85">
        <f t="shared" si="5"/>
        <v>0</v>
      </c>
    </row>
    <row r="313" spans="1:4">
      <c r="A313" s="436"/>
      <c r="D313" s="85">
        <f t="shared" si="5"/>
        <v>0</v>
      </c>
    </row>
    <row r="314" spans="1:4">
      <c r="A314" s="436"/>
      <c r="D314" s="85">
        <f t="shared" si="5"/>
        <v>0</v>
      </c>
    </row>
    <row r="315" spans="1:4">
      <c r="A315" s="436"/>
      <c r="D315" s="85">
        <f t="shared" si="5"/>
        <v>0</v>
      </c>
    </row>
    <row r="316" spans="1:4">
      <c r="A316" s="436"/>
      <c r="D316" s="85">
        <f t="shared" si="5"/>
        <v>0</v>
      </c>
    </row>
    <row r="317" spans="1:4">
      <c r="A317" s="436"/>
      <c r="D317" s="85">
        <f t="shared" si="5"/>
        <v>0</v>
      </c>
    </row>
    <row r="318" spans="1:4">
      <c r="A318" s="436"/>
      <c r="D318" s="85">
        <f t="shared" si="5"/>
        <v>0</v>
      </c>
    </row>
    <row r="319" spans="1:4">
      <c r="A319" s="436"/>
      <c r="D319" s="85">
        <f t="shared" si="5"/>
        <v>0</v>
      </c>
    </row>
    <row r="320" spans="1:4">
      <c r="A320" s="436"/>
      <c r="D320" s="85">
        <f t="shared" si="5"/>
        <v>0</v>
      </c>
    </row>
    <row r="321" spans="1:4">
      <c r="A321" s="436"/>
      <c r="D321" s="85">
        <f t="shared" si="5"/>
        <v>0</v>
      </c>
    </row>
    <row r="322" spans="1:4">
      <c r="A322" s="436"/>
      <c r="D322" s="85">
        <f t="shared" si="5"/>
        <v>0</v>
      </c>
    </row>
    <row r="323" spans="1:4">
      <c r="A323" s="436"/>
      <c r="D323" s="85">
        <f t="shared" si="5"/>
        <v>0</v>
      </c>
    </row>
    <row r="324" spans="1:4">
      <c r="A324" s="436"/>
      <c r="D324" s="85">
        <f t="shared" si="5"/>
        <v>0</v>
      </c>
    </row>
    <row r="325" spans="1:4">
      <c r="A325" s="436"/>
      <c r="D325" s="85">
        <f t="shared" si="5"/>
        <v>0</v>
      </c>
    </row>
    <row r="326" spans="1:4">
      <c r="A326" s="436"/>
      <c r="D326" s="85">
        <f t="shared" si="5"/>
        <v>0</v>
      </c>
    </row>
    <row r="327" spans="1:4">
      <c r="A327" s="436"/>
      <c r="D327" s="85">
        <f t="shared" si="5"/>
        <v>0</v>
      </c>
    </row>
    <row r="328" spans="1:4">
      <c r="A328" s="436"/>
      <c r="D328" s="85">
        <f t="shared" si="5"/>
        <v>0</v>
      </c>
    </row>
    <row r="329" spans="1:4">
      <c r="A329" s="436"/>
      <c r="D329" s="85">
        <f t="shared" si="5"/>
        <v>0</v>
      </c>
    </row>
    <row r="330" spans="1:4">
      <c r="A330" s="436"/>
      <c r="D330" s="85">
        <f t="shared" si="5"/>
        <v>0</v>
      </c>
    </row>
    <row r="331" spans="1:4">
      <c r="A331" s="436"/>
      <c r="D331" s="85">
        <f t="shared" si="5"/>
        <v>0</v>
      </c>
    </row>
    <row r="332" spans="1:4">
      <c r="A332" s="436"/>
      <c r="D332" s="85">
        <f t="shared" si="5"/>
        <v>0</v>
      </c>
    </row>
    <row r="333" spans="1:4">
      <c r="A333" s="436"/>
      <c r="D333" s="85">
        <f t="shared" si="5"/>
        <v>0</v>
      </c>
    </row>
    <row r="334" spans="1:4">
      <c r="A334" s="436"/>
      <c r="D334" s="85">
        <f t="shared" si="5"/>
        <v>0</v>
      </c>
    </row>
    <row r="335" spans="1:4">
      <c r="A335" s="436"/>
      <c r="D335" s="85">
        <f t="shared" si="5"/>
        <v>0</v>
      </c>
    </row>
    <row r="336" spans="1:4">
      <c r="A336" s="436"/>
      <c r="D336" s="85">
        <f t="shared" si="5"/>
        <v>0</v>
      </c>
    </row>
    <row r="337" spans="1:4">
      <c r="A337" s="436"/>
      <c r="D337" s="85">
        <f t="shared" si="5"/>
        <v>0</v>
      </c>
    </row>
    <row r="338" spans="1:4">
      <c r="A338" s="436"/>
      <c r="D338" s="85">
        <f t="shared" si="5"/>
        <v>0</v>
      </c>
    </row>
    <row r="339" spans="1:4">
      <c r="A339" s="436"/>
      <c r="D339" s="85">
        <f t="shared" si="5"/>
        <v>0</v>
      </c>
    </row>
    <row r="340" spans="1:4">
      <c r="A340" s="436"/>
      <c r="D340" s="85">
        <f t="shared" si="5"/>
        <v>0</v>
      </c>
    </row>
    <row r="341" spans="1:4">
      <c r="A341" s="436"/>
      <c r="D341" s="85">
        <f t="shared" si="5"/>
        <v>0</v>
      </c>
    </row>
    <row r="342" spans="1:4">
      <c r="A342" s="436"/>
      <c r="D342" s="85">
        <f t="shared" si="5"/>
        <v>0</v>
      </c>
    </row>
    <row r="343" spans="1:4">
      <c r="A343" s="436"/>
      <c r="D343" s="85">
        <f t="shared" si="5"/>
        <v>0</v>
      </c>
    </row>
    <row r="344" spans="1:4">
      <c r="A344" s="436"/>
      <c r="D344" s="85">
        <f t="shared" si="5"/>
        <v>0</v>
      </c>
    </row>
    <row r="345" spans="1:4">
      <c r="A345" s="436"/>
      <c r="D345" s="85">
        <f t="shared" si="5"/>
        <v>0</v>
      </c>
    </row>
    <row r="346" spans="1:4">
      <c r="A346" s="436"/>
      <c r="D346" s="85">
        <f t="shared" ref="D346:D409" si="6">C346-E346</f>
        <v>0</v>
      </c>
    </row>
    <row r="347" spans="1:4">
      <c r="A347" s="436"/>
      <c r="D347" s="85">
        <f t="shared" si="6"/>
        <v>0</v>
      </c>
    </row>
    <row r="348" spans="1:4">
      <c r="A348" s="436"/>
      <c r="D348" s="85">
        <f t="shared" si="6"/>
        <v>0</v>
      </c>
    </row>
    <row r="349" spans="1:4">
      <c r="A349" s="436"/>
      <c r="D349" s="85">
        <f t="shared" si="6"/>
        <v>0</v>
      </c>
    </row>
    <row r="350" spans="1:4">
      <c r="A350" s="436"/>
      <c r="D350" s="85">
        <f t="shared" si="6"/>
        <v>0</v>
      </c>
    </row>
    <row r="351" spans="1:4">
      <c r="A351" s="436"/>
      <c r="D351" s="85">
        <f t="shared" si="6"/>
        <v>0</v>
      </c>
    </row>
    <row r="352" spans="1:4">
      <c r="A352" s="436"/>
      <c r="D352" s="85">
        <f t="shared" si="6"/>
        <v>0</v>
      </c>
    </row>
    <row r="353" spans="1:4">
      <c r="A353" s="436"/>
      <c r="D353" s="85">
        <f t="shared" si="6"/>
        <v>0</v>
      </c>
    </row>
    <row r="354" spans="1:4">
      <c r="A354" s="436"/>
      <c r="D354" s="85">
        <f t="shared" si="6"/>
        <v>0</v>
      </c>
    </row>
    <row r="355" spans="1:4">
      <c r="A355" s="436"/>
      <c r="D355" s="85">
        <f t="shared" si="6"/>
        <v>0</v>
      </c>
    </row>
    <row r="356" spans="1:4">
      <c r="A356" s="436"/>
      <c r="D356" s="85">
        <f t="shared" si="6"/>
        <v>0</v>
      </c>
    </row>
    <row r="357" spans="1:4">
      <c r="A357" s="436"/>
      <c r="D357" s="85">
        <f t="shared" si="6"/>
        <v>0</v>
      </c>
    </row>
    <row r="358" spans="1:4">
      <c r="A358" s="436"/>
      <c r="D358" s="85">
        <f t="shared" si="6"/>
        <v>0</v>
      </c>
    </row>
    <row r="359" spans="1:4">
      <c r="A359" s="436"/>
      <c r="D359" s="85">
        <f t="shared" si="6"/>
        <v>0</v>
      </c>
    </row>
    <row r="360" spans="1:4">
      <c r="A360" s="436"/>
      <c r="D360" s="85">
        <f t="shared" si="6"/>
        <v>0</v>
      </c>
    </row>
    <row r="361" spans="1:4">
      <c r="A361" s="436"/>
      <c r="D361" s="85">
        <f t="shared" si="6"/>
        <v>0</v>
      </c>
    </row>
    <row r="362" spans="1:4">
      <c r="A362" s="436"/>
      <c r="D362" s="85">
        <f t="shared" si="6"/>
        <v>0</v>
      </c>
    </row>
    <row r="363" spans="1:4">
      <c r="A363" s="436"/>
      <c r="D363" s="85">
        <f t="shared" si="6"/>
        <v>0</v>
      </c>
    </row>
    <row r="364" spans="1:4">
      <c r="A364" s="436"/>
      <c r="D364" s="85">
        <f t="shared" si="6"/>
        <v>0</v>
      </c>
    </row>
    <row r="365" spans="1:4">
      <c r="A365" s="436"/>
      <c r="D365" s="85">
        <f t="shared" si="6"/>
        <v>0</v>
      </c>
    </row>
    <row r="366" spans="1:4">
      <c r="A366" s="436"/>
      <c r="D366" s="85">
        <f t="shared" si="6"/>
        <v>0</v>
      </c>
    </row>
    <row r="367" spans="1:4">
      <c r="A367" s="436"/>
      <c r="D367" s="85">
        <f t="shared" si="6"/>
        <v>0</v>
      </c>
    </row>
    <row r="368" spans="1:4">
      <c r="A368" s="436"/>
      <c r="D368" s="85">
        <f t="shared" si="6"/>
        <v>0</v>
      </c>
    </row>
    <row r="369" spans="1:4">
      <c r="A369" s="436"/>
      <c r="D369" s="85">
        <f t="shared" si="6"/>
        <v>0</v>
      </c>
    </row>
    <row r="370" spans="1:4">
      <c r="A370" s="436"/>
      <c r="D370" s="85">
        <f t="shared" si="6"/>
        <v>0</v>
      </c>
    </row>
    <row r="371" spans="1:4">
      <c r="A371" s="436"/>
      <c r="D371" s="85">
        <f t="shared" si="6"/>
        <v>0</v>
      </c>
    </row>
    <row r="372" spans="1:4">
      <c r="A372" s="436"/>
      <c r="D372" s="85">
        <f t="shared" si="6"/>
        <v>0</v>
      </c>
    </row>
    <row r="373" spans="1:4">
      <c r="A373" s="436"/>
      <c r="D373" s="85">
        <f t="shared" si="6"/>
        <v>0</v>
      </c>
    </row>
    <row r="374" spans="1:4">
      <c r="A374" s="436"/>
      <c r="D374" s="85">
        <f t="shared" si="6"/>
        <v>0</v>
      </c>
    </row>
    <row r="375" spans="1:4">
      <c r="A375" s="436"/>
      <c r="D375" s="85">
        <f t="shared" si="6"/>
        <v>0</v>
      </c>
    </row>
    <row r="376" spans="1:4">
      <c r="A376" s="436"/>
      <c r="D376" s="85">
        <f t="shared" si="6"/>
        <v>0</v>
      </c>
    </row>
    <row r="377" spans="1:4">
      <c r="A377" s="436"/>
      <c r="D377" s="85">
        <f t="shared" si="6"/>
        <v>0</v>
      </c>
    </row>
    <row r="378" spans="1:4">
      <c r="A378" s="436"/>
      <c r="D378" s="85">
        <f t="shared" si="6"/>
        <v>0</v>
      </c>
    </row>
    <row r="379" spans="1:4">
      <c r="A379" s="436"/>
      <c r="D379" s="85">
        <f t="shared" si="6"/>
        <v>0</v>
      </c>
    </row>
    <row r="380" spans="1:4">
      <c r="A380" s="436"/>
      <c r="D380" s="85">
        <f t="shared" si="6"/>
        <v>0</v>
      </c>
    </row>
    <row r="381" spans="1:4">
      <c r="A381" s="436"/>
      <c r="D381" s="85">
        <f t="shared" si="6"/>
        <v>0</v>
      </c>
    </row>
    <row r="382" spans="1:4">
      <c r="A382" s="436"/>
      <c r="D382" s="85">
        <f t="shared" si="6"/>
        <v>0</v>
      </c>
    </row>
    <row r="383" spans="1:4">
      <c r="A383" s="436"/>
      <c r="D383" s="85">
        <f t="shared" si="6"/>
        <v>0</v>
      </c>
    </row>
    <row r="384" spans="1:4">
      <c r="A384" s="436"/>
      <c r="D384" s="85">
        <f t="shared" si="6"/>
        <v>0</v>
      </c>
    </row>
    <row r="385" spans="1:4">
      <c r="A385" s="436"/>
      <c r="D385" s="85">
        <f t="shared" si="6"/>
        <v>0</v>
      </c>
    </row>
    <row r="386" spans="1:4">
      <c r="A386" s="436"/>
      <c r="D386" s="85">
        <f t="shared" si="6"/>
        <v>0</v>
      </c>
    </row>
    <row r="387" spans="1:4">
      <c r="A387" s="436"/>
      <c r="D387" s="85">
        <f t="shared" si="6"/>
        <v>0</v>
      </c>
    </row>
    <row r="388" spans="1:4">
      <c r="A388" s="436"/>
      <c r="D388" s="85">
        <f t="shared" si="6"/>
        <v>0</v>
      </c>
    </row>
    <row r="389" spans="1:4">
      <c r="A389" s="436"/>
      <c r="D389" s="85">
        <f t="shared" si="6"/>
        <v>0</v>
      </c>
    </row>
    <row r="390" spans="1:4">
      <c r="A390" s="436"/>
      <c r="D390" s="85">
        <f t="shared" si="6"/>
        <v>0</v>
      </c>
    </row>
    <row r="391" spans="1:4">
      <c r="A391" s="436"/>
      <c r="D391" s="85">
        <f t="shared" si="6"/>
        <v>0</v>
      </c>
    </row>
    <row r="392" spans="1:4">
      <c r="A392" s="436"/>
      <c r="D392" s="85">
        <f t="shared" si="6"/>
        <v>0</v>
      </c>
    </row>
    <row r="393" spans="1:4">
      <c r="A393" s="436"/>
      <c r="D393" s="85">
        <f t="shared" si="6"/>
        <v>0</v>
      </c>
    </row>
    <row r="394" spans="1:4">
      <c r="A394" s="436"/>
      <c r="D394" s="85">
        <f t="shared" si="6"/>
        <v>0</v>
      </c>
    </row>
    <row r="395" spans="1:4">
      <c r="A395" s="436"/>
      <c r="D395" s="85">
        <f t="shared" si="6"/>
        <v>0</v>
      </c>
    </row>
    <row r="396" spans="1:4">
      <c r="A396" s="436"/>
      <c r="D396" s="85">
        <f t="shared" si="6"/>
        <v>0</v>
      </c>
    </row>
    <row r="397" spans="1:4">
      <c r="A397" s="436"/>
      <c r="D397" s="85">
        <f t="shared" si="6"/>
        <v>0</v>
      </c>
    </row>
    <row r="398" spans="1:4">
      <c r="A398" s="436"/>
      <c r="D398" s="85">
        <f t="shared" si="6"/>
        <v>0</v>
      </c>
    </row>
    <row r="399" spans="1:4">
      <c r="A399" s="436"/>
      <c r="D399" s="85">
        <f t="shared" si="6"/>
        <v>0</v>
      </c>
    </row>
    <row r="400" spans="1:4">
      <c r="A400" s="436"/>
      <c r="D400" s="85">
        <f t="shared" si="6"/>
        <v>0</v>
      </c>
    </row>
    <row r="401" spans="1:4">
      <c r="A401" s="436"/>
      <c r="D401" s="85">
        <f t="shared" si="6"/>
        <v>0</v>
      </c>
    </row>
    <row r="402" spans="1:4">
      <c r="A402" s="436"/>
      <c r="D402" s="85">
        <f t="shared" si="6"/>
        <v>0</v>
      </c>
    </row>
    <row r="403" spans="1:4">
      <c r="A403" s="436"/>
      <c r="D403" s="85">
        <f t="shared" si="6"/>
        <v>0</v>
      </c>
    </row>
    <row r="404" spans="1:4">
      <c r="A404" s="436"/>
      <c r="D404" s="85">
        <f t="shared" si="6"/>
        <v>0</v>
      </c>
    </row>
    <row r="405" spans="1:4">
      <c r="A405" s="436"/>
      <c r="D405" s="85">
        <f t="shared" si="6"/>
        <v>0</v>
      </c>
    </row>
    <row r="406" spans="1:4">
      <c r="A406" s="436"/>
      <c r="D406" s="85">
        <f t="shared" si="6"/>
        <v>0</v>
      </c>
    </row>
    <row r="407" spans="1:4">
      <c r="A407" s="436"/>
      <c r="D407" s="85">
        <f t="shared" si="6"/>
        <v>0</v>
      </c>
    </row>
    <row r="408" spans="1:4">
      <c r="A408" s="436"/>
      <c r="D408" s="85">
        <f t="shared" si="6"/>
        <v>0</v>
      </c>
    </row>
    <row r="409" spans="1:4">
      <c r="A409" s="436"/>
      <c r="D409" s="85">
        <f t="shared" si="6"/>
        <v>0</v>
      </c>
    </row>
    <row r="410" spans="1:4">
      <c r="A410" s="436"/>
      <c r="D410" s="85">
        <f t="shared" ref="D410:D473" si="7">C410-E410</f>
        <v>0</v>
      </c>
    </row>
    <row r="411" spans="1:4">
      <c r="A411" s="436"/>
      <c r="D411" s="85">
        <f t="shared" si="7"/>
        <v>0</v>
      </c>
    </row>
    <row r="412" spans="1:4">
      <c r="A412" s="436"/>
      <c r="D412" s="85">
        <f t="shared" si="7"/>
        <v>0</v>
      </c>
    </row>
    <row r="413" spans="1:4">
      <c r="A413" s="436"/>
      <c r="D413" s="85">
        <f t="shared" si="7"/>
        <v>0</v>
      </c>
    </row>
    <row r="414" spans="1:4">
      <c r="A414" s="436"/>
      <c r="D414" s="85">
        <f t="shared" si="7"/>
        <v>0</v>
      </c>
    </row>
    <row r="415" spans="1:4">
      <c r="A415" s="436"/>
      <c r="D415" s="85">
        <f t="shared" si="7"/>
        <v>0</v>
      </c>
    </row>
    <row r="416" spans="1:4">
      <c r="A416" s="436"/>
      <c r="D416" s="85">
        <f t="shared" si="7"/>
        <v>0</v>
      </c>
    </row>
    <row r="417" spans="1:4">
      <c r="A417" s="436"/>
      <c r="D417" s="85">
        <f t="shared" si="7"/>
        <v>0</v>
      </c>
    </row>
    <row r="418" spans="1:4">
      <c r="A418" s="436"/>
      <c r="D418" s="85">
        <f t="shared" si="7"/>
        <v>0</v>
      </c>
    </row>
    <row r="419" spans="1:4">
      <c r="A419" s="436"/>
      <c r="D419" s="85">
        <f t="shared" si="7"/>
        <v>0</v>
      </c>
    </row>
    <row r="420" spans="1:4">
      <c r="A420" s="436"/>
      <c r="D420" s="85">
        <f t="shared" si="7"/>
        <v>0</v>
      </c>
    </row>
    <row r="421" spans="1:4">
      <c r="A421" s="436"/>
      <c r="D421" s="85">
        <f t="shared" si="7"/>
        <v>0</v>
      </c>
    </row>
    <row r="422" spans="1:4">
      <c r="A422" s="436"/>
      <c r="D422" s="85">
        <f t="shared" si="7"/>
        <v>0</v>
      </c>
    </row>
    <row r="423" spans="1:4">
      <c r="A423" s="436"/>
      <c r="D423" s="85">
        <f t="shared" si="7"/>
        <v>0</v>
      </c>
    </row>
    <row r="424" spans="1:4">
      <c r="A424" s="436"/>
      <c r="D424" s="85">
        <f t="shared" si="7"/>
        <v>0</v>
      </c>
    </row>
    <row r="425" spans="1:4">
      <c r="A425" s="436"/>
      <c r="D425" s="85">
        <f t="shared" si="7"/>
        <v>0</v>
      </c>
    </row>
    <row r="426" spans="1:4">
      <c r="A426" s="436"/>
      <c r="D426" s="85">
        <f t="shared" si="7"/>
        <v>0</v>
      </c>
    </row>
    <row r="427" spans="1:4">
      <c r="A427" s="436"/>
      <c r="D427" s="85">
        <f t="shared" si="7"/>
        <v>0</v>
      </c>
    </row>
    <row r="428" spans="1:4">
      <c r="A428" s="436"/>
      <c r="D428" s="85">
        <f t="shared" si="7"/>
        <v>0</v>
      </c>
    </row>
    <row r="429" spans="1:4">
      <c r="A429" s="436"/>
      <c r="D429" s="85">
        <f t="shared" si="7"/>
        <v>0</v>
      </c>
    </row>
    <row r="430" spans="1:4">
      <c r="A430" s="436"/>
      <c r="D430" s="85">
        <f t="shared" si="7"/>
        <v>0</v>
      </c>
    </row>
    <row r="431" spans="1:4">
      <c r="A431" s="436"/>
      <c r="D431" s="85">
        <f t="shared" si="7"/>
        <v>0</v>
      </c>
    </row>
    <row r="432" spans="1:4">
      <c r="A432" s="436"/>
      <c r="D432" s="85">
        <f t="shared" si="7"/>
        <v>0</v>
      </c>
    </row>
    <row r="433" spans="1:4">
      <c r="A433" s="436"/>
      <c r="D433" s="85">
        <f t="shared" si="7"/>
        <v>0</v>
      </c>
    </row>
    <row r="434" spans="1:4">
      <c r="A434" s="436"/>
      <c r="D434" s="85">
        <f t="shared" si="7"/>
        <v>0</v>
      </c>
    </row>
    <row r="435" spans="1:4">
      <c r="A435" s="436"/>
      <c r="D435" s="85">
        <f t="shared" si="7"/>
        <v>0</v>
      </c>
    </row>
    <row r="436" spans="1:4">
      <c r="A436" s="436"/>
      <c r="D436" s="85">
        <f t="shared" si="7"/>
        <v>0</v>
      </c>
    </row>
    <row r="437" spans="1:4">
      <c r="A437" s="436"/>
      <c r="D437" s="85">
        <f t="shared" si="7"/>
        <v>0</v>
      </c>
    </row>
    <row r="438" spans="1:4">
      <c r="A438" s="436"/>
      <c r="D438" s="85">
        <f t="shared" si="7"/>
        <v>0</v>
      </c>
    </row>
    <row r="439" spans="1:4">
      <c r="A439" s="436"/>
      <c r="D439" s="85">
        <f t="shared" si="7"/>
        <v>0</v>
      </c>
    </row>
    <row r="440" spans="1:4">
      <c r="A440" s="436"/>
      <c r="D440" s="85">
        <f t="shared" si="7"/>
        <v>0</v>
      </c>
    </row>
    <row r="441" spans="1:4">
      <c r="A441" s="436"/>
      <c r="D441" s="85">
        <f t="shared" si="7"/>
        <v>0</v>
      </c>
    </row>
    <row r="442" spans="1:4">
      <c r="A442" s="436"/>
      <c r="D442" s="85">
        <f t="shared" si="7"/>
        <v>0</v>
      </c>
    </row>
    <row r="443" spans="1:4">
      <c r="A443" s="436"/>
      <c r="D443" s="85">
        <f t="shared" si="7"/>
        <v>0</v>
      </c>
    </row>
    <row r="444" spans="1:4">
      <c r="A444" s="436"/>
      <c r="D444" s="85">
        <f t="shared" si="7"/>
        <v>0</v>
      </c>
    </row>
    <row r="445" spans="1:4">
      <c r="A445" s="436"/>
      <c r="D445" s="85">
        <f t="shared" si="7"/>
        <v>0</v>
      </c>
    </row>
    <row r="446" spans="1:4">
      <c r="A446" s="436"/>
      <c r="D446" s="85">
        <f t="shared" si="7"/>
        <v>0</v>
      </c>
    </row>
    <row r="447" spans="1:4">
      <c r="A447" s="436"/>
      <c r="D447" s="85">
        <f t="shared" si="7"/>
        <v>0</v>
      </c>
    </row>
    <row r="448" spans="1:4">
      <c r="A448" s="436"/>
      <c r="D448" s="85">
        <f t="shared" si="7"/>
        <v>0</v>
      </c>
    </row>
    <row r="449" spans="1:4">
      <c r="A449" s="436"/>
      <c r="D449" s="85">
        <f t="shared" si="7"/>
        <v>0</v>
      </c>
    </row>
    <row r="450" spans="1:4">
      <c r="A450" s="436"/>
      <c r="D450" s="85">
        <f t="shared" si="7"/>
        <v>0</v>
      </c>
    </row>
    <row r="451" spans="1:4">
      <c r="A451" s="436"/>
      <c r="D451" s="85">
        <f t="shared" si="7"/>
        <v>0</v>
      </c>
    </row>
    <row r="452" spans="1:4">
      <c r="A452" s="436"/>
      <c r="D452" s="85">
        <f t="shared" si="7"/>
        <v>0</v>
      </c>
    </row>
    <row r="453" spans="1:4">
      <c r="A453" s="436"/>
      <c r="D453" s="85">
        <f t="shared" si="7"/>
        <v>0</v>
      </c>
    </row>
    <row r="454" spans="1:4">
      <c r="A454" s="436"/>
      <c r="D454" s="85">
        <f t="shared" si="7"/>
        <v>0</v>
      </c>
    </row>
    <row r="455" spans="1:4">
      <c r="A455" s="436"/>
      <c r="D455" s="85">
        <f t="shared" si="7"/>
        <v>0</v>
      </c>
    </row>
    <row r="456" spans="1:4">
      <c r="A456" s="436"/>
      <c r="D456" s="85">
        <f t="shared" si="7"/>
        <v>0</v>
      </c>
    </row>
    <row r="457" spans="1:4">
      <c r="A457" s="436"/>
      <c r="D457" s="85">
        <f t="shared" si="7"/>
        <v>0</v>
      </c>
    </row>
    <row r="458" spans="1:4">
      <c r="A458" s="436"/>
      <c r="D458" s="85">
        <f t="shared" si="7"/>
        <v>0</v>
      </c>
    </row>
    <row r="459" spans="1:4">
      <c r="A459" s="436"/>
      <c r="D459" s="85">
        <f t="shared" si="7"/>
        <v>0</v>
      </c>
    </row>
    <row r="460" spans="1:4">
      <c r="A460" s="436"/>
      <c r="D460" s="85">
        <f t="shared" si="7"/>
        <v>0</v>
      </c>
    </row>
    <row r="461" spans="1:4">
      <c r="A461" s="436"/>
      <c r="D461" s="85">
        <f t="shared" si="7"/>
        <v>0</v>
      </c>
    </row>
    <row r="462" spans="1:4">
      <c r="A462" s="436"/>
      <c r="D462" s="85">
        <f t="shared" si="7"/>
        <v>0</v>
      </c>
    </row>
    <row r="463" spans="1:4">
      <c r="A463" s="436"/>
      <c r="D463" s="85">
        <f t="shared" si="7"/>
        <v>0</v>
      </c>
    </row>
    <row r="464" spans="1:4">
      <c r="A464" s="436"/>
      <c r="D464" s="85">
        <f t="shared" si="7"/>
        <v>0</v>
      </c>
    </row>
    <row r="465" spans="1:4">
      <c r="A465" s="436"/>
      <c r="D465" s="85">
        <f t="shared" si="7"/>
        <v>0</v>
      </c>
    </row>
    <row r="466" spans="1:4">
      <c r="A466" s="436"/>
      <c r="D466" s="85">
        <f t="shared" si="7"/>
        <v>0</v>
      </c>
    </row>
    <row r="467" spans="1:4">
      <c r="A467" s="436"/>
      <c r="D467" s="85">
        <f t="shared" si="7"/>
        <v>0</v>
      </c>
    </row>
    <row r="468" spans="1:4">
      <c r="A468" s="436"/>
      <c r="D468" s="85">
        <f t="shared" si="7"/>
        <v>0</v>
      </c>
    </row>
    <row r="469" spans="1:4">
      <c r="A469" s="436"/>
      <c r="D469" s="85">
        <f t="shared" si="7"/>
        <v>0</v>
      </c>
    </row>
    <row r="470" spans="1:4">
      <c r="A470" s="436"/>
      <c r="D470" s="85">
        <f t="shared" si="7"/>
        <v>0</v>
      </c>
    </row>
    <row r="471" spans="1:4">
      <c r="A471" s="436"/>
      <c r="D471" s="85">
        <f t="shared" si="7"/>
        <v>0</v>
      </c>
    </row>
    <row r="472" spans="1:4">
      <c r="A472" s="436"/>
      <c r="D472" s="85">
        <f t="shared" si="7"/>
        <v>0</v>
      </c>
    </row>
    <row r="473" spans="1:4">
      <c r="A473" s="436"/>
      <c r="D473" s="85">
        <f t="shared" si="7"/>
        <v>0</v>
      </c>
    </row>
    <row r="474" spans="1:4">
      <c r="A474" s="436"/>
      <c r="D474" s="85">
        <f t="shared" ref="D474:D506" si="8">C474-E474</f>
        <v>0</v>
      </c>
    </row>
    <row r="475" spans="1:4">
      <c r="A475" s="436"/>
      <c r="D475" s="85">
        <f t="shared" si="8"/>
        <v>0</v>
      </c>
    </row>
    <row r="476" spans="1:4">
      <c r="A476" s="436"/>
      <c r="D476" s="85">
        <f t="shared" si="8"/>
        <v>0</v>
      </c>
    </row>
    <row r="477" spans="1:4">
      <c r="A477" s="436"/>
      <c r="D477" s="85">
        <f t="shared" si="8"/>
        <v>0</v>
      </c>
    </row>
    <row r="478" spans="1:4">
      <c r="A478" s="436"/>
      <c r="D478" s="85">
        <f t="shared" si="8"/>
        <v>0</v>
      </c>
    </row>
    <row r="479" spans="1:4">
      <c r="A479" s="436"/>
      <c r="D479" s="85">
        <f t="shared" si="8"/>
        <v>0</v>
      </c>
    </row>
    <row r="480" spans="1:4">
      <c r="A480" s="436"/>
      <c r="D480" s="85">
        <f t="shared" si="8"/>
        <v>0</v>
      </c>
    </row>
    <row r="481" spans="1:4">
      <c r="A481" s="436"/>
      <c r="D481" s="85">
        <f t="shared" si="8"/>
        <v>0</v>
      </c>
    </row>
    <row r="482" spans="1:4">
      <c r="A482" s="436"/>
      <c r="D482" s="85">
        <f t="shared" si="8"/>
        <v>0</v>
      </c>
    </row>
    <row r="483" spans="1:4">
      <c r="A483" s="436"/>
      <c r="D483" s="85">
        <f t="shared" si="8"/>
        <v>0</v>
      </c>
    </row>
    <row r="484" spans="1:4">
      <c r="A484" s="436"/>
      <c r="D484" s="85">
        <f t="shared" si="8"/>
        <v>0</v>
      </c>
    </row>
    <row r="485" spans="1:4">
      <c r="A485" s="436"/>
      <c r="D485" s="85">
        <f t="shared" si="8"/>
        <v>0</v>
      </c>
    </row>
    <row r="486" spans="1:4">
      <c r="A486" s="436"/>
      <c r="D486" s="85">
        <f t="shared" si="8"/>
        <v>0</v>
      </c>
    </row>
    <row r="487" spans="1:4">
      <c r="A487" s="436"/>
      <c r="D487" s="85">
        <f t="shared" si="8"/>
        <v>0</v>
      </c>
    </row>
    <row r="488" spans="1:4">
      <c r="A488" s="436"/>
      <c r="D488" s="85">
        <f t="shared" si="8"/>
        <v>0</v>
      </c>
    </row>
    <row r="489" spans="1:4">
      <c r="A489" s="436"/>
      <c r="D489" s="85">
        <f t="shared" si="8"/>
        <v>0</v>
      </c>
    </row>
    <row r="490" spans="1:4">
      <c r="A490" s="436"/>
      <c r="D490" s="85">
        <f t="shared" si="8"/>
        <v>0</v>
      </c>
    </row>
    <row r="491" spans="1:4">
      <c r="A491" s="436"/>
      <c r="D491" s="85">
        <f t="shared" si="8"/>
        <v>0</v>
      </c>
    </row>
    <row r="492" spans="1:4">
      <c r="A492" s="436"/>
      <c r="D492" s="85">
        <f t="shared" si="8"/>
        <v>0</v>
      </c>
    </row>
    <row r="493" spans="1:4">
      <c r="A493" s="436"/>
      <c r="D493" s="85">
        <f t="shared" si="8"/>
        <v>0</v>
      </c>
    </row>
    <row r="494" spans="1:4">
      <c r="A494" s="436"/>
      <c r="D494" s="85">
        <f t="shared" si="8"/>
        <v>0</v>
      </c>
    </row>
    <row r="495" spans="1:4">
      <c r="A495" s="436"/>
      <c r="D495" s="85">
        <f t="shared" si="8"/>
        <v>0</v>
      </c>
    </row>
    <row r="496" spans="1:4">
      <c r="A496" s="436"/>
      <c r="D496" s="85">
        <f t="shared" si="8"/>
        <v>0</v>
      </c>
    </row>
    <row r="497" spans="1:4">
      <c r="A497" s="436"/>
      <c r="D497" s="85">
        <f t="shared" si="8"/>
        <v>0</v>
      </c>
    </row>
    <row r="498" spans="1:4">
      <c r="A498" s="436"/>
      <c r="D498" s="85">
        <f t="shared" si="8"/>
        <v>0</v>
      </c>
    </row>
    <row r="499" spans="1:4">
      <c r="A499" s="436"/>
      <c r="D499" s="85">
        <f t="shared" si="8"/>
        <v>0</v>
      </c>
    </row>
    <row r="500" spans="1:4">
      <c r="A500" s="436"/>
      <c r="D500" s="85">
        <f t="shared" si="8"/>
        <v>0</v>
      </c>
    </row>
    <row r="501" spans="1:4">
      <c r="A501" s="436"/>
      <c r="D501" s="85">
        <f t="shared" si="8"/>
        <v>0</v>
      </c>
    </row>
    <row r="502" spans="1:4">
      <c r="A502" s="436"/>
      <c r="D502" s="85">
        <f t="shared" si="8"/>
        <v>0</v>
      </c>
    </row>
    <row r="503" spans="1:4">
      <c r="A503" s="436"/>
      <c r="D503" s="85">
        <f t="shared" si="8"/>
        <v>0</v>
      </c>
    </row>
    <row r="504" spans="1:4">
      <c r="A504" s="436"/>
      <c r="D504" s="85">
        <f t="shared" si="8"/>
        <v>0</v>
      </c>
    </row>
    <row r="505" spans="1:4">
      <c r="A505" s="436"/>
      <c r="D505" s="85">
        <f t="shared" si="8"/>
        <v>0</v>
      </c>
    </row>
    <row r="506" spans="1:4">
      <c r="D506" s="85">
        <f t="shared" si="8"/>
        <v>0</v>
      </c>
    </row>
  </sheetData>
  <sheetProtection algorithmName="SHA-512" hashValue="YyE1HllN8E3J3L1j99vKgTve85w5wNBAeZZtFCEZInnFIAB2EuSTxQ/1jRlgIaPcgKMEdd4DhpXAApOCaqP/fA==" saltValue="x/TY2vgJLdrj7NGT1qaUh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9" tint="-0.249977111117893"/>
  </sheetPr>
  <dimension ref="A1:U204"/>
  <sheetViews>
    <sheetView showGridLines="0" workbookViewId="0">
      <pane ySplit="1" topLeftCell="A2" activePane="bottomLeft" state="frozen"/>
      <selection activeCell="C162" sqref="C162"/>
      <selection pane="bottomLeft" activeCell="P9" sqref="P9"/>
    </sheetView>
  </sheetViews>
  <sheetFormatPr defaultRowHeight="13.5"/>
  <cols>
    <col min="1" max="1" width="12.5" style="1" customWidth="1"/>
    <col min="2" max="2" width="15" style="1" customWidth="1"/>
    <col min="3" max="3" width="19.25" style="1" customWidth="1"/>
    <col min="4" max="4" width="17.625" style="1" customWidth="1"/>
    <col min="5" max="5" width="9.125" style="1" customWidth="1"/>
    <col min="6" max="6" width="18.375" style="1" customWidth="1"/>
    <col min="7" max="10" width="11.625" style="1" customWidth="1"/>
    <col min="11" max="11" width="9.125" style="1" customWidth="1"/>
    <col min="12" max="12" width="15.875" style="1" customWidth="1"/>
    <col min="13" max="13" width="15" style="1" customWidth="1"/>
    <col min="14" max="14" width="10.625" style="1" customWidth="1"/>
    <col min="15" max="15" width="17.5" style="1" customWidth="1"/>
    <col min="16" max="19" width="10.625" style="1" customWidth="1"/>
    <col min="20" max="22" width="11.625" style="1" bestFit="1" customWidth="1"/>
    <col min="23" max="23" width="13" style="1" customWidth="1"/>
    <col min="24" max="24" width="21.25" style="1" customWidth="1"/>
    <col min="25" max="25" width="9" style="1" customWidth="1"/>
    <col min="26" max="26" width="11.5" style="1" bestFit="1" customWidth="1"/>
    <col min="27" max="16384" width="9" style="1"/>
  </cols>
  <sheetData>
    <row r="1" spans="1:21" ht="42" customHeight="1">
      <c r="A1" s="335" t="s">
        <v>533</v>
      </c>
      <c r="B1" s="336" t="s">
        <v>855</v>
      </c>
      <c r="C1" s="339" t="str" cm="1">
        <f t="array" ref="C1">IF(B1="","",_xll.RssMarket(B1,"銘柄名称"))</f>
        <v>ＨＯＹＡ</v>
      </c>
      <c r="D1" s="263" t="s">
        <v>543</v>
      </c>
      <c r="E1" s="230" t="s">
        <v>50</v>
      </c>
      <c r="F1" s="231"/>
      <c r="G1" s="230"/>
      <c r="H1"/>
      <c r="I1"/>
      <c r="J1" s="232" t="s">
        <v>539</v>
      </c>
      <c r="K1" s="233">
        <v>80</v>
      </c>
      <c r="L1" s="234" t="s">
        <v>544</v>
      </c>
      <c r="M1" s="264">
        <v>20260303</v>
      </c>
    </row>
    <row r="2" spans="1:21" customFormat="1" ht="24" customHeight="1">
      <c r="B2" s="338" t="s">
        <v>771</v>
      </c>
      <c r="C2" s="333" t="s">
        <v>534</v>
      </c>
      <c r="D2" s="235" t="s">
        <v>535</v>
      </c>
      <c r="E2" s="235" t="s">
        <v>536</v>
      </c>
      <c r="F2" s="235" t="s">
        <v>12</v>
      </c>
      <c r="G2" s="235" t="s">
        <v>24</v>
      </c>
      <c r="H2" s="235" t="s">
        <v>10</v>
      </c>
      <c r="I2" s="235" t="s">
        <v>11</v>
      </c>
      <c r="J2" s="236" t="s">
        <v>532</v>
      </c>
      <c r="K2" s="225" t="s">
        <v>537</v>
      </c>
      <c r="L2" s="225" t="s">
        <v>538</v>
      </c>
    </row>
    <row r="3" spans="1:21" customFormat="1" ht="17.25" customHeight="1">
      <c r="A3" t="str">
        <f>_xll.RssChartPast(B2:J2,B1,"D",$M$1,$K$1)</f>
        <v>=@RssChartPast(B2:J2,B1,"D",$M$1,$K$1) =&gt; 完了</v>
      </c>
      <c r="B3" s="258" t="s">
        <v>952</v>
      </c>
      <c r="C3" s="334" t="s">
        <v>953</v>
      </c>
      <c r="D3" s="253" t="s">
        <v>954</v>
      </c>
      <c r="E3" s="237" t="s">
        <v>540</v>
      </c>
      <c r="F3" s="237">
        <v>1115000</v>
      </c>
      <c r="G3" s="237">
        <v>27910</v>
      </c>
      <c r="H3" s="237">
        <v>28530</v>
      </c>
      <c r="I3" s="237">
        <v>27730</v>
      </c>
      <c r="J3" s="238">
        <v>28310</v>
      </c>
    </row>
    <row r="4" spans="1:21" customFormat="1" ht="17.25" customHeight="1">
      <c r="A4" s="1"/>
      <c r="B4" s="337"/>
      <c r="C4" s="254"/>
      <c r="D4" s="254" t="s">
        <v>955</v>
      </c>
      <c r="E4" s="239" t="s">
        <v>540</v>
      </c>
      <c r="F4" s="239">
        <v>1248600</v>
      </c>
      <c r="G4" s="239">
        <v>27435</v>
      </c>
      <c r="H4" s="239">
        <v>27990</v>
      </c>
      <c r="I4" s="239">
        <v>27020</v>
      </c>
      <c r="J4" s="240">
        <v>27415</v>
      </c>
    </row>
    <row r="5" spans="1:21" ht="17.25" customHeight="1">
      <c r="A5"/>
      <c r="B5" s="258"/>
      <c r="C5" s="253"/>
      <c r="D5" s="253" t="s">
        <v>956</v>
      </c>
      <c r="E5" s="237" t="s">
        <v>540</v>
      </c>
      <c r="F5" s="237">
        <v>1346500</v>
      </c>
      <c r="G5" s="237">
        <v>28235</v>
      </c>
      <c r="H5" s="237">
        <v>28665</v>
      </c>
      <c r="I5" s="237">
        <v>28035</v>
      </c>
      <c r="J5" s="238">
        <v>28140</v>
      </c>
      <c r="K5"/>
      <c r="L5" s="2"/>
      <c r="M5" s="2"/>
      <c r="N5" s="3"/>
      <c r="O5" s="3"/>
      <c r="P5" s="3"/>
      <c r="Q5" s="3"/>
      <c r="R5" s="3"/>
      <c r="S5" s="2"/>
      <c r="T5" s="2"/>
      <c r="U5" s="2"/>
    </row>
    <row r="6" spans="1:21" ht="17.25" customHeight="1">
      <c r="A6"/>
      <c r="B6" s="259"/>
      <c r="C6" s="254"/>
      <c r="D6" s="254" t="s">
        <v>957</v>
      </c>
      <c r="E6" s="239" t="s">
        <v>540</v>
      </c>
      <c r="F6" s="239">
        <v>955600</v>
      </c>
      <c r="G6" s="239">
        <v>27810</v>
      </c>
      <c r="H6" s="239">
        <v>28510</v>
      </c>
      <c r="I6" s="239">
        <v>27670</v>
      </c>
      <c r="J6" s="240">
        <v>28510</v>
      </c>
      <c r="K6"/>
      <c r="L6" s="2"/>
      <c r="M6" s="2"/>
      <c r="N6" s="3"/>
      <c r="O6" s="3"/>
      <c r="P6" s="3"/>
      <c r="Q6" s="3"/>
      <c r="R6" s="3"/>
      <c r="S6" s="2"/>
      <c r="T6" s="2"/>
      <c r="U6" s="2"/>
    </row>
    <row r="7" spans="1:21" ht="17.25" customHeight="1">
      <c r="A7"/>
      <c r="B7" s="258"/>
      <c r="C7" s="253"/>
      <c r="D7" s="253" t="s">
        <v>958</v>
      </c>
      <c r="E7" s="237" t="s">
        <v>540</v>
      </c>
      <c r="F7" s="237">
        <v>1130900</v>
      </c>
      <c r="G7" s="237">
        <v>26400</v>
      </c>
      <c r="H7" s="237">
        <v>26980</v>
      </c>
      <c r="I7" s="237">
        <v>26335</v>
      </c>
      <c r="J7" s="238">
        <v>26765</v>
      </c>
      <c r="K7"/>
      <c r="L7" s="2"/>
      <c r="M7" s="2"/>
      <c r="N7" s="3"/>
      <c r="O7" s="3"/>
      <c r="P7" s="3"/>
      <c r="Q7" s="3"/>
      <c r="R7" s="3"/>
      <c r="S7" s="2"/>
      <c r="T7" s="2"/>
      <c r="U7" s="2"/>
    </row>
    <row r="8" spans="1:21" ht="17.25" customHeight="1">
      <c r="A8"/>
      <c r="B8" s="259"/>
      <c r="C8" s="254"/>
      <c r="D8" s="254" t="s">
        <v>882</v>
      </c>
      <c r="E8" s="239" t="s">
        <v>540</v>
      </c>
      <c r="F8" s="239">
        <v>1179400</v>
      </c>
      <c r="G8" s="239">
        <v>27265</v>
      </c>
      <c r="H8" s="239">
        <v>27565</v>
      </c>
      <c r="I8" s="239">
        <v>27090</v>
      </c>
      <c r="J8" s="240">
        <v>27445</v>
      </c>
      <c r="K8"/>
      <c r="L8" s="2"/>
      <c r="M8" s="2"/>
      <c r="N8" s="3"/>
      <c r="O8" s="3"/>
      <c r="P8" s="3"/>
      <c r="Q8" s="3"/>
      <c r="R8" s="3"/>
      <c r="S8" s="2"/>
      <c r="T8" s="2"/>
      <c r="U8" s="2"/>
    </row>
    <row r="9" spans="1:21" ht="17.25" customHeight="1">
      <c r="A9"/>
      <c r="B9" s="258"/>
      <c r="C9" s="253"/>
      <c r="D9" s="253" t="s">
        <v>883</v>
      </c>
      <c r="E9" s="237" t="s">
        <v>540</v>
      </c>
      <c r="F9" s="237">
        <v>838000</v>
      </c>
      <c r="G9" s="237">
        <v>27660</v>
      </c>
      <c r="H9" s="237">
        <v>28205</v>
      </c>
      <c r="I9" s="237">
        <v>27580</v>
      </c>
      <c r="J9" s="238">
        <v>27775</v>
      </c>
      <c r="K9"/>
      <c r="L9" s="2"/>
      <c r="M9" s="2"/>
      <c r="N9" s="3"/>
      <c r="O9" s="3"/>
      <c r="P9" s="3"/>
      <c r="Q9" s="3"/>
      <c r="R9" s="3"/>
      <c r="S9" s="2"/>
      <c r="T9" s="2"/>
      <c r="U9" s="2"/>
    </row>
    <row r="10" spans="1:21" ht="17.25" customHeight="1">
      <c r="A10"/>
      <c r="B10" s="259"/>
      <c r="C10" s="254"/>
      <c r="D10" s="254" t="s">
        <v>884</v>
      </c>
      <c r="E10" s="239" t="s">
        <v>540</v>
      </c>
      <c r="F10" s="239">
        <v>912500</v>
      </c>
      <c r="G10" s="239">
        <v>27455</v>
      </c>
      <c r="H10" s="239">
        <v>27845</v>
      </c>
      <c r="I10" s="239">
        <v>27305</v>
      </c>
      <c r="J10" s="240">
        <v>27705</v>
      </c>
      <c r="K10"/>
      <c r="M10" s="3"/>
      <c r="N10" s="3"/>
      <c r="O10" s="3"/>
      <c r="P10" s="3"/>
      <c r="Q10" s="3"/>
      <c r="R10" s="2"/>
      <c r="S10" s="2"/>
      <c r="T10" s="2"/>
      <c r="U10" s="2"/>
    </row>
    <row r="11" spans="1:21" ht="17.25" customHeight="1">
      <c r="A11"/>
      <c r="B11" s="258"/>
      <c r="C11" s="253"/>
      <c r="D11" s="253" t="s">
        <v>885</v>
      </c>
      <c r="E11" s="237" t="s">
        <v>540</v>
      </c>
      <c r="F11" s="237">
        <v>978300</v>
      </c>
      <c r="G11" s="237">
        <v>27105</v>
      </c>
      <c r="H11" s="237">
        <v>27955</v>
      </c>
      <c r="I11" s="237">
        <v>27105</v>
      </c>
      <c r="J11" s="238">
        <v>27765</v>
      </c>
      <c r="K11"/>
      <c r="M11" s="3"/>
      <c r="N11" s="3"/>
      <c r="O11" s="3"/>
      <c r="P11" s="3"/>
      <c r="Q11" s="3"/>
      <c r="R11" s="2"/>
      <c r="S11" s="2"/>
      <c r="T11" s="2"/>
      <c r="U11" s="2"/>
    </row>
    <row r="12" spans="1:21" ht="17.25" customHeight="1">
      <c r="A12"/>
      <c r="B12" s="259"/>
      <c r="C12" s="254"/>
      <c r="D12" s="254" t="s">
        <v>886</v>
      </c>
      <c r="E12" s="239" t="s">
        <v>540</v>
      </c>
      <c r="F12" s="239">
        <v>808400</v>
      </c>
      <c r="G12" s="239">
        <v>27490</v>
      </c>
      <c r="H12" s="239">
        <v>27710</v>
      </c>
      <c r="I12" s="239">
        <v>27045</v>
      </c>
      <c r="J12" s="240">
        <v>27570</v>
      </c>
      <c r="K12"/>
      <c r="M12" s="3"/>
      <c r="N12" s="3"/>
      <c r="O12" s="3"/>
      <c r="P12" s="3"/>
      <c r="Q12" s="3"/>
      <c r="R12" s="2"/>
      <c r="S12" s="2"/>
      <c r="T12" s="2"/>
      <c r="U12" s="2"/>
    </row>
    <row r="13" spans="1:21" ht="17.25" customHeight="1">
      <c r="A13"/>
      <c r="B13" s="258"/>
      <c r="C13" s="253"/>
      <c r="D13" s="253" t="s">
        <v>887</v>
      </c>
      <c r="E13" s="237" t="s">
        <v>540</v>
      </c>
      <c r="F13" s="237">
        <v>657600</v>
      </c>
      <c r="G13" s="237">
        <v>28040</v>
      </c>
      <c r="H13" s="237">
        <v>28200</v>
      </c>
      <c r="I13" s="237">
        <v>27640</v>
      </c>
      <c r="J13" s="238">
        <v>27680</v>
      </c>
      <c r="K13"/>
      <c r="M13" s="3"/>
      <c r="N13" s="3"/>
      <c r="O13" s="3"/>
      <c r="P13" s="3"/>
      <c r="Q13" s="3"/>
      <c r="R13" s="2"/>
      <c r="S13" s="2"/>
      <c r="T13" s="2"/>
      <c r="U13" s="2"/>
    </row>
    <row r="14" spans="1:21" ht="17.25" customHeight="1">
      <c r="A14"/>
      <c r="B14" s="259"/>
      <c r="C14" s="254"/>
      <c r="D14" s="254" t="s">
        <v>888</v>
      </c>
      <c r="E14" s="239" t="s">
        <v>540</v>
      </c>
      <c r="F14" s="239">
        <v>1057500</v>
      </c>
      <c r="G14" s="239">
        <v>27800</v>
      </c>
      <c r="H14" s="239">
        <v>28450</v>
      </c>
      <c r="I14" s="239">
        <v>27730</v>
      </c>
      <c r="J14" s="240">
        <v>28150</v>
      </c>
      <c r="K14"/>
      <c r="M14" s="3"/>
      <c r="N14" s="3"/>
      <c r="O14" s="3"/>
      <c r="P14" s="3"/>
      <c r="Q14" s="3"/>
      <c r="R14" s="2"/>
      <c r="S14" s="2"/>
      <c r="T14" s="2"/>
      <c r="U14" s="2"/>
    </row>
    <row r="15" spans="1:21" ht="17.25" customHeight="1">
      <c r="A15" s="227"/>
      <c r="B15" s="260"/>
      <c r="C15" s="255"/>
      <c r="D15" s="255" t="s">
        <v>889</v>
      </c>
      <c r="E15" s="241" t="s">
        <v>540</v>
      </c>
      <c r="F15" s="241">
        <v>1333300</v>
      </c>
      <c r="G15" s="242">
        <v>27705</v>
      </c>
      <c r="H15" s="242">
        <v>27885</v>
      </c>
      <c r="I15" s="242">
        <v>27520</v>
      </c>
      <c r="J15" s="243">
        <v>27800</v>
      </c>
      <c r="K15" s="229"/>
      <c r="M15" s="3"/>
      <c r="N15" s="3"/>
      <c r="O15" s="3"/>
      <c r="P15" s="3"/>
      <c r="Q15" s="3"/>
      <c r="R15" s="2"/>
      <c r="S15" s="2"/>
      <c r="T15" s="2"/>
      <c r="U15" s="2"/>
    </row>
    <row r="16" spans="1:21" ht="17.25" customHeight="1">
      <c r="A16" s="227"/>
      <c r="B16" s="261"/>
      <c r="C16" s="256"/>
      <c r="D16" s="256" t="s">
        <v>891</v>
      </c>
      <c r="E16" s="244" t="s">
        <v>540</v>
      </c>
      <c r="F16" s="244">
        <v>994800</v>
      </c>
      <c r="G16" s="245">
        <v>27300</v>
      </c>
      <c r="H16" s="245">
        <v>27490</v>
      </c>
      <c r="I16" s="245">
        <v>26870</v>
      </c>
      <c r="J16" s="246">
        <v>27265</v>
      </c>
      <c r="K16" s="228"/>
      <c r="M16" s="3"/>
      <c r="N16" s="3"/>
      <c r="O16" s="3"/>
      <c r="P16" s="3"/>
      <c r="Q16" s="3"/>
      <c r="R16" s="2"/>
      <c r="S16" s="2"/>
      <c r="T16" s="2"/>
      <c r="U16" s="2"/>
    </row>
    <row r="17" spans="1:21" ht="17.25" customHeight="1">
      <c r="A17" s="227"/>
      <c r="B17" s="260"/>
      <c r="C17" s="255"/>
      <c r="D17" s="255" t="s">
        <v>892</v>
      </c>
      <c r="E17" s="241" t="s">
        <v>540</v>
      </c>
      <c r="F17" s="241">
        <v>1238200</v>
      </c>
      <c r="G17" s="242">
        <v>28500</v>
      </c>
      <c r="H17" s="242">
        <v>28540</v>
      </c>
      <c r="I17" s="242">
        <v>27825</v>
      </c>
      <c r="J17" s="243">
        <v>28235</v>
      </c>
      <c r="K17" s="229"/>
      <c r="M17" s="3"/>
      <c r="N17" s="3"/>
      <c r="O17" s="3"/>
      <c r="P17" s="3"/>
      <c r="Q17" s="3"/>
      <c r="R17" s="2"/>
      <c r="S17" s="2"/>
      <c r="T17" s="2"/>
      <c r="U17" s="2"/>
    </row>
    <row r="18" spans="1:21" ht="17.25" customHeight="1">
      <c r="A18" s="71"/>
      <c r="B18" s="261"/>
      <c r="C18" s="256"/>
      <c r="D18" s="256" t="s">
        <v>893</v>
      </c>
      <c r="E18" s="244" t="s">
        <v>540</v>
      </c>
      <c r="F18" s="244">
        <v>991500</v>
      </c>
      <c r="G18" s="245">
        <v>28665</v>
      </c>
      <c r="H18" s="245">
        <v>28720</v>
      </c>
      <c r="I18" s="245">
        <v>28105</v>
      </c>
      <c r="J18" s="246">
        <v>28420</v>
      </c>
      <c r="M18" s="3"/>
      <c r="N18" s="3"/>
      <c r="O18" s="3"/>
      <c r="P18" s="3"/>
      <c r="Q18" s="3"/>
      <c r="R18" s="2"/>
      <c r="S18" s="2"/>
      <c r="T18" s="2"/>
      <c r="U18" s="2"/>
    </row>
    <row r="19" spans="1:21" ht="17.25" customHeight="1">
      <c r="A19" s="71"/>
      <c r="B19" s="260"/>
      <c r="C19" s="255"/>
      <c r="D19" s="255" t="s">
        <v>894</v>
      </c>
      <c r="E19" s="241" t="s">
        <v>540</v>
      </c>
      <c r="F19" s="241">
        <v>888900</v>
      </c>
      <c r="G19" s="242">
        <v>28200</v>
      </c>
      <c r="H19" s="242">
        <v>28280</v>
      </c>
      <c r="I19" s="242">
        <v>27645</v>
      </c>
      <c r="J19" s="243">
        <v>28090</v>
      </c>
      <c r="M19" s="3"/>
      <c r="N19" s="3"/>
      <c r="O19" s="3"/>
      <c r="P19" s="3"/>
      <c r="Q19" s="3"/>
      <c r="R19" s="2"/>
      <c r="S19" s="2"/>
      <c r="T19" s="2"/>
      <c r="U19" s="2"/>
    </row>
    <row r="20" spans="1:21" ht="17.25" customHeight="1">
      <c r="A20" s="71"/>
      <c r="B20" s="261"/>
      <c r="C20" s="256"/>
      <c r="D20" s="256" t="s">
        <v>895</v>
      </c>
      <c r="E20" s="244" t="s">
        <v>540</v>
      </c>
      <c r="F20" s="244">
        <v>1324700</v>
      </c>
      <c r="G20" s="245">
        <v>27600</v>
      </c>
      <c r="H20" s="245">
        <v>27780</v>
      </c>
      <c r="I20" s="245">
        <v>27015</v>
      </c>
      <c r="J20" s="246">
        <v>27280</v>
      </c>
      <c r="M20" s="3"/>
      <c r="N20" s="3"/>
      <c r="O20" s="3"/>
      <c r="P20" s="3"/>
      <c r="Q20" s="3"/>
      <c r="R20" s="2"/>
      <c r="S20" s="2"/>
      <c r="T20" s="2"/>
      <c r="U20" s="2"/>
    </row>
    <row r="21" spans="1:21" ht="17.25" customHeight="1">
      <c r="A21" s="69"/>
      <c r="B21" s="260"/>
      <c r="C21" s="255"/>
      <c r="D21" s="255" t="s">
        <v>896</v>
      </c>
      <c r="E21" s="241" t="s">
        <v>540</v>
      </c>
      <c r="F21" s="241">
        <v>1241800</v>
      </c>
      <c r="G21" s="242">
        <v>26165</v>
      </c>
      <c r="H21" s="242">
        <v>27025</v>
      </c>
      <c r="I21" s="242">
        <v>26000</v>
      </c>
      <c r="J21" s="243">
        <v>27025</v>
      </c>
      <c r="M21" s="3"/>
      <c r="N21" s="3"/>
      <c r="O21" s="3"/>
      <c r="P21" s="3"/>
      <c r="Q21" s="3"/>
      <c r="R21" s="2"/>
      <c r="S21" s="2"/>
      <c r="T21" s="2"/>
      <c r="U21" s="2"/>
    </row>
    <row r="22" spans="1:21" ht="17.25" customHeight="1">
      <c r="A22" s="69"/>
      <c r="B22" s="261"/>
      <c r="C22" s="256"/>
      <c r="D22" s="256" t="s">
        <v>897</v>
      </c>
      <c r="E22" s="244" t="s">
        <v>540</v>
      </c>
      <c r="F22" s="244">
        <v>1037800</v>
      </c>
      <c r="G22" s="245">
        <v>26525</v>
      </c>
      <c r="H22" s="245">
        <v>27215</v>
      </c>
      <c r="I22" s="245">
        <v>26350</v>
      </c>
      <c r="J22" s="246">
        <v>26550</v>
      </c>
      <c r="M22" s="3"/>
      <c r="O22" s="3"/>
      <c r="P22" s="3"/>
      <c r="Q22" s="3"/>
      <c r="R22" s="2"/>
      <c r="S22" s="2"/>
      <c r="T22" s="2"/>
      <c r="U22" s="2"/>
    </row>
    <row r="23" spans="1:21" ht="17.25" customHeight="1">
      <c r="A23" s="69"/>
      <c r="B23" s="260"/>
      <c r="C23" s="255"/>
      <c r="D23" s="255" t="s">
        <v>898</v>
      </c>
      <c r="E23" s="241" t="s">
        <v>540</v>
      </c>
      <c r="F23" s="247">
        <v>1107600</v>
      </c>
      <c r="G23" s="242">
        <v>27310</v>
      </c>
      <c r="H23" s="242">
        <v>27620</v>
      </c>
      <c r="I23" s="242">
        <v>27080</v>
      </c>
      <c r="J23" s="243">
        <v>27600</v>
      </c>
      <c r="M23" s="3"/>
      <c r="N23" s="3"/>
      <c r="O23" s="3"/>
      <c r="P23" s="3"/>
      <c r="Q23" s="3"/>
      <c r="R23" s="2"/>
      <c r="S23" s="2"/>
      <c r="T23" s="2"/>
      <c r="U23" s="2"/>
    </row>
    <row r="24" spans="1:21" ht="17.25" customHeight="1">
      <c r="A24" s="69"/>
      <c r="B24" s="261"/>
      <c r="C24" s="256"/>
      <c r="D24" s="256" t="s">
        <v>899</v>
      </c>
      <c r="E24" s="244" t="s">
        <v>540</v>
      </c>
      <c r="F24" s="248">
        <v>1101700</v>
      </c>
      <c r="G24" s="245">
        <v>27975</v>
      </c>
      <c r="H24" s="245">
        <v>28185</v>
      </c>
      <c r="I24" s="245">
        <v>27215</v>
      </c>
      <c r="J24" s="246">
        <v>27320</v>
      </c>
      <c r="M24" s="3"/>
      <c r="N24" s="3"/>
      <c r="O24" s="3"/>
      <c r="P24" s="3"/>
      <c r="Q24" s="3"/>
      <c r="R24" s="2"/>
      <c r="S24" s="2"/>
      <c r="T24" s="2"/>
      <c r="U24" s="2"/>
    </row>
    <row r="25" spans="1:21" ht="17.25" customHeight="1">
      <c r="A25" s="69"/>
      <c r="B25" s="260"/>
      <c r="C25" s="255"/>
      <c r="D25" s="255" t="s">
        <v>959</v>
      </c>
      <c r="E25" s="241" t="s">
        <v>540</v>
      </c>
      <c r="F25" s="241">
        <v>683900</v>
      </c>
      <c r="G25" s="242">
        <v>27610</v>
      </c>
      <c r="H25" s="242">
        <v>27945</v>
      </c>
      <c r="I25" s="242">
        <v>27485</v>
      </c>
      <c r="J25" s="243">
        <v>27575</v>
      </c>
      <c r="M25" s="3"/>
      <c r="N25" s="3"/>
      <c r="O25" s="3"/>
      <c r="P25" s="3"/>
      <c r="Q25" s="3"/>
      <c r="R25" s="2"/>
      <c r="S25" s="2"/>
      <c r="T25" s="2"/>
      <c r="U25" s="2"/>
    </row>
    <row r="26" spans="1:21" ht="17.25" customHeight="1">
      <c r="A26" s="69"/>
      <c r="B26" s="261"/>
      <c r="C26" s="256"/>
      <c r="D26" s="256" t="s">
        <v>900</v>
      </c>
      <c r="E26" s="244" t="s">
        <v>540</v>
      </c>
      <c r="F26" s="248">
        <v>688000</v>
      </c>
      <c r="G26" s="245">
        <v>27700</v>
      </c>
      <c r="H26" s="245">
        <v>28495</v>
      </c>
      <c r="I26" s="245">
        <v>27700</v>
      </c>
      <c r="J26" s="246">
        <v>27960</v>
      </c>
      <c r="M26" s="3"/>
      <c r="N26" s="3"/>
      <c r="O26" s="226"/>
      <c r="P26" s="3"/>
      <c r="Q26" s="3"/>
      <c r="R26" s="2"/>
      <c r="S26" s="2"/>
      <c r="T26" s="2"/>
      <c r="U26" s="2"/>
    </row>
    <row r="27" spans="1:21" ht="17.25" customHeight="1">
      <c r="A27" s="69"/>
      <c r="B27" s="260"/>
      <c r="C27" s="255"/>
      <c r="D27" s="255" t="s">
        <v>901</v>
      </c>
      <c r="E27" s="241" t="s">
        <v>540</v>
      </c>
      <c r="F27" s="247">
        <v>863200</v>
      </c>
      <c r="G27" s="242">
        <v>28275</v>
      </c>
      <c r="H27" s="242">
        <v>28440</v>
      </c>
      <c r="I27" s="242">
        <v>28005</v>
      </c>
      <c r="J27" s="243">
        <v>28005</v>
      </c>
      <c r="M27" s="3"/>
      <c r="N27" s="3"/>
      <c r="O27" s="3"/>
      <c r="P27" s="3"/>
      <c r="Q27" s="3"/>
      <c r="R27" s="2"/>
      <c r="S27" s="2"/>
      <c r="T27" s="2"/>
      <c r="U27" s="2"/>
    </row>
    <row r="28" spans="1:21" ht="17.25" customHeight="1">
      <c r="A28" s="69"/>
      <c r="B28" s="261"/>
      <c r="C28" s="256"/>
      <c r="D28" s="256" t="s">
        <v>902</v>
      </c>
      <c r="E28" s="244" t="s">
        <v>540</v>
      </c>
      <c r="F28" s="248">
        <v>1226500</v>
      </c>
      <c r="G28" s="245">
        <v>29255</v>
      </c>
      <c r="H28" s="245">
        <v>29400</v>
      </c>
      <c r="I28" s="245">
        <v>28725</v>
      </c>
      <c r="J28" s="246">
        <v>28755</v>
      </c>
      <c r="M28" s="3"/>
      <c r="N28" s="3"/>
      <c r="O28" s="3"/>
      <c r="P28" s="3"/>
      <c r="Q28" s="3"/>
      <c r="R28" s="2"/>
      <c r="S28" s="2"/>
      <c r="T28" s="2"/>
      <c r="U28" s="2"/>
    </row>
    <row r="29" spans="1:21" ht="17.25" customHeight="1">
      <c r="A29" s="69"/>
      <c r="B29" s="260"/>
      <c r="C29" s="255"/>
      <c r="D29" s="255" t="s">
        <v>903</v>
      </c>
      <c r="E29" s="241" t="s">
        <v>540</v>
      </c>
      <c r="F29" s="241">
        <v>1076500</v>
      </c>
      <c r="G29" s="242">
        <v>28955</v>
      </c>
      <c r="H29" s="242">
        <v>29360</v>
      </c>
      <c r="I29" s="242">
        <v>28900</v>
      </c>
      <c r="J29" s="243">
        <v>28985</v>
      </c>
      <c r="M29" s="3"/>
      <c r="N29" s="3"/>
      <c r="O29" s="3"/>
      <c r="P29" s="3"/>
      <c r="Q29" s="3"/>
      <c r="R29" s="2"/>
      <c r="S29" s="2"/>
      <c r="T29" s="2"/>
      <c r="U29" s="2"/>
    </row>
    <row r="30" spans="1:21" ht="17.25" customHeight="1">
      <c r="A30" s="69"/>
      <c r="B30" s="261"/>
      <c r="C30" s="256"/>
      <c r="D30" s="256" t="s">
        <v>904</v>
      </c>
      <c r="E30" s="244" t="s">
        <v>540</v>
      </c>
      <c r="F30" s="244">
        <v>1167400</v>
      </c>
      <c r="G30" s="245">
        <v>28985</v>
      </c>
      <c r="H30" s="245">
        <v>30030</v>
      </c>
      <c r="I30" s="245">
        <v>28925</v>
      </c>
      <c r="J30" s="246">
        <v>29490</v>
      </c>
      <c r="M30" s="3"/>
      <c r="N30" s="3"/>
      <c r="O30" s="3"/>
      <c r="P30" s="3"/>
      <c r="Q30" s="3"/>
      <c r="R30" s="2"/>
      <c r="S30" s="2"/>
      <c r="T30" s="2"/>
      <c r="U30" s="2"/>
    </row>
    <row r="31" spans="1:21" ht="17.25" customHeight="1">
      <c r="A31" s="69"/>
      <c r="B31" s="260"/>
      <c r="C31" s="255"/>
      <c r="D31" s="255" t="s">
        <v>905</v>
      </c>
      <c r="E31" s="241" t="s">
        <v>540</v>
      </c>
      <c r="F31" s="247">
        <v>793200</v>
      </c>
      <c r="G31" s="242">
        <v>29265</v>
      </c>
      <c r="H31" s="242">
        <v>29390</v>
      </c>
      <c r="I31" s="242">
        <v>28965</v>
      </c>
      <c r="J31" s="243">
        <v>29170</v>
      </c>
      <c r="M31" s="3"/>
      <c r="N31" s="3"/>
      <c r="O31" s="3"/>
      <c r="P31" s="3"/>
      <c r="Q31" s="3"/>
      <c r="R31" s="2"/>
      <c r="S31" s="2"/>
      <c r="T31" s="2"/>
      <c r="U31" s="2"/>
    </row>
    <row r="32" spans="1:21" ht="17.25" customHeight="1">
      <c r="A32" s="69"/>
      <c r="B32" s="261"/>
      <c r="C32" s="256"/>
      <c r="D32" s="256" t="s">
        <v>906</v>
      </c>
      <c r="E32" s="244" t="s">
        <v>540</v>
      </c>
      <c r="F32" s="248">
        <v>733200</v>
      </c>
      <c r="G32" s="245">
        <v>29670</v>
      </c>
      <c r="H32" s="245">
        <v>29770</v>
      </c>
      <c r="I32" s="245">
        <v>29205</v>
      </c>
      <c r="J32" s="246">
        <v>29400</v>
      </c>
      <c r="N32" s="3"/>
      <c r="O32" s="3"/>
      <c r="P32" s="3"/>
      <c r="Q32" s="3"/>
      <c r="R32" s="3"/>
      <c r="S32" s="2"/>
      <c r="T32" s="2"/>
      <c r="U32" s="2"/>
    </row>
    <row r="33" spans="1:21" ht="17.25" customHeight="1">
      <c r="A33" s="69"/>
      <c r="B33" s="260"/>
      <c r="C33" s="255"/>
      <c r="D33" s="255" t="s">
        <v>907</v>
      </c>
      <c r="E33" s="241" t="s">
        <v>540</v>
      </c>
      <c r="F33" s="247">
        <v>1094200</v>
      </c>
      <c r="G33" s="242">
        <v>29770</v>
      </c>
      <c r="H33" s="242">
        <v>30400</v>
      </c>
      <c r="I33" s="242">
        <v>29620</v>
      </c>
      <c r="J33" s="243">
        <v>30030</v>
      </c>
      <c r="N33" s="3"/>
      <c r="O33" s="3"/>
      <c r="P33" s="3"/>
      <c r="Q33" s="3"/>
      <c r="R33" s="3"/>
      <c r="S33" s="2"/>
      <c r="T33" s="2"/>
      <c r="U33" s="2"/>
    </row>
    <row r="34" spans="1:21" ht="17.25" customHeight="1">
      <c r="A34" s="69"/>
      <c r="B34" s="261"/>
      <c r="C34" s="256"/>
      <c r="D34" s="256" t="s">
        <v>908</v>
      </c>
      <c r="E34" s="244" t="s">
        <v>540</v>
      </c>
      <c r="F34" s="244">
        <v>1130400</v>
      </c>
      <c r="G34" s="245">
        <v>29770</v>
      </c>
      <c r="H34" s="245">
        <v>30030</v>
      </c>
      <c r="I34" s="245">
        <v>29405</v>
      </c>
      <c r="J34" s="246">
        <v>30000</v>
      </c>
      <c r="N34" s="3"/>
      <c r="O34" s="3"/>
      <c r="P34" s="3"/>
      <c r="Q34" s="3"/>
      <c r="R34" s="3"/>
      <c r="S34" s="2"/>
      <c r="T34" s="2"/>
      <c r="U34" s="2"/>
    </row>
    <row r="35" spans="1:21" ht="17.25" customHeight="1">
      <c r="A35" s="69"/>
      <c r="B35" s="260"/>
      <c r="C35" s="255"/>
      <c r="D35" s="255" t="s">
        <v>909</v>
      </c>
      <c r="E35" s="241" t="s">
        <v>540</v>
      </c>
      <c r="F35" s="241">
        <v>1161300</v>
      </c>
      <c r="G35" s="242">
        <v>29495</v>
      </c>
      <c r="H35" s="242">
        <v>29840</v>
      </c>
      <c r="I35" s="242">
        <v>28995</v>
      </c>
      <c r="J35" s="243">
        <v>28995</v>
      </c>
      <c r="N35" s="3"/>
      <c r="O35" s="3"/>
      <c r="P35" s="3"/>
      <c r="Q35" s="3"/>
      <c r="R35" s="3"/>
      <c r="S35" s="2"/>
      <c r="T35" s="2"/>
      <c r="U35" s="2"/>
    </row>
    <row r="36" spans="1:21" ht="17.25" customHeight="1">
      <c r="A36" s="69"/>
      <c r="B36" s="261"/>
      <c r="C36" s="256"/>
      <c r="D36" s="256" t="s">
        <v>910</v>
      </c>
      <c r="E36" s="244" t="s">
        <v>540</v>
      </c>
      <c r="F36" s="248">
        <v>897300</v>
      </c>
      <c r="G36" s="245">
        <v>29495</v>
      </c>
      <c r="H36" s="245">
        <v>29795</v>
      </c>
      <c r="I36" s="245">
        <v>29290</v>
      </c>
      <c r="J36" s="246">
        <v>29645</v>
      </c>
      <c r="N36" s="3"/>
      <c r="O36" s="3"/>
      <c r="P36" s="3"/>
      <c r="Q36" s="3"/>
      <c r="R36" s="3"/>
      <c r="S36" s="2"/>
      <c r="T36" s="2"/>
      <c r="U36" s="2"/>
    </row>
    <row r="37" spans="1:21" ht="17.25" customHeight="1">
      <c r="A37" s="69"/>
      <c r="B37" s="260"/>
      <c r="C37" s="255"/>
      <c r="D37" s="255" t="s">
        <v>911</v>
      </c>
      <c r="E37" s="241" t="s">
        <v>540</v>
      </c>
      <c r="F37" s="247">
        <v>1089700</v>
      </c>
      <c r="G37" s="242">
        <v>29465</v>
      </c>
      <c r="H37" s="242">
        <v>29555</v>
      </c>
      <c r="I37" s="242">
        <v>28970</v>
      </c>
      <c r="J37" s="243">
        <v>28970</v>
      </c>
      <c r="N37" s="3"/>
      <c r="O37" s="3"/>
      <c r="P37" s="3"/>
      <c r="Q37" s="3"/>
      <c r="R37" s="3"/>
      <c r="S37" s="2"/>
      <c r="T37" s="2"/>
      <c r="U37" s="2"/>
    </row>
    <row r="38" spans="1:21" ht="17.25" customHeight="1">
      <c r="A38" s="69"/>
      <c r="B38" s="261"/>
      <c r="C38" s="256"/>
      <c r="D38" s="256" t="s">
        <v>912</v>
      </c>
      <c r="E38" s="244" t="s">
        <v>540</v>
      </c>
      <c r="F38" s="248">
        <v>914500</v>
      </c>
      <c r="G38" s="245">
        <v>29090</v>
      </c>
      <c r="H38" s="245">
        <v>29185</v>
      </c>
      <c r="I38" s="245">
        <v>28625</v>
      </c>
      <c r="J38" s="246">
        <v>28675</v>
      </c>
      <c r="N38" s="3"/>
      <c r="O38" s="3"/>
      <c r="P38" s="3"/>
      <c r="Q38" s="3"/>
      <c r="R38" s="3"/>
      <c r="S38" s="2"/>
      <c r="T38" s="2"/>
      <c r="U38" s="2"/>
    </row>
    <row r="39" spans="1:21" ht="17.25" customHeight="1">
      <c r="A39" s="69"/>
      <c r="B39" s="260"/>
      <c r="C39" s="255"/>
      <c r="D39" s="255" t="s">
        <v>913</v>
      </c>
      <c r="E39" s="241" t="s">
        <v>540</v>
      </c>
      <c r="F39" s="241">
        <v>899100</v>
      </c>
      <c r="G39" s="242">
        <v>28590</v>
      </c>
      <c r="H39" s="242">
        <v>28700</v>
      </c>
      <c r="I39" s="242">
        <v>28180</v>
      </c>
      <c r="J39" s="243">
        <v>28495</v>
      </c>
      <c r="N39" s="3"/>
      <c r="O39" s="3"/>
      <c r="P39" s="3"/>
      <c r="Q39" s="3"/>
      <c r="R39" s="3"/>
      <c r="S39" s="2"/>
      <c r="T39" s="2"/>
      <c r="U39" s="2"/>
    </row>
    <row r="40" spans="1:21" ht="17.25" customHeight="1">
      <c r="A40" s="69"/>
      <c r="B40" s="261"/>
      <c r="C40" s="256"/>
      <c r="D40" s="256" t="s">
        <v>914</v>
      </c>
      <c r="E40" s="244" t="s">
        <v>540</v>
      </c>
      <c r="F40" s="248">
        <v>772600</v>
      </c>
      <c r="G40" s="245">
        <v>28310</v>
      </c>
      <c r="H40" s="245">
        <v>28670</v>
      </c>
      <c r="I40" s="245">
        <v>28300</v>
      </c>
      <c r="J40" s="246">
        <v>28590</v>
      </c>
      <c r="N40" s="3"/>
      <c r="O40" s="3"/>
      <c r="P40" s="3"/>
      <c r="Q40" s="3"/>
      <c r="R40" s="3"/>
      <c r="S40" s="2"/>
      <c r="T40" s="2"/>
      <c r="U40" s="2"/>
    </row>
    <row r="41" spans="1:21" ht="17.25" customHeight="1">
      <c r="A41" s="69"/>
      <c r="B41" s="260"/>
      <c r="C41" s="255"/>
      <c r="D41" s="255" t="s">
        <v>915</v>
      </c>
      <c r="E41" s="241" t="s">
        <v>540</v>
      </c>
      <c r="F41" s="247">
        <v>950500</v>
      </c>
      <c r="G41" s="242">
        <v>28900</v>
      </c>
      <c r="H41" s="242">
        <v>29260</v>
      </c>
      <c r="I41" s="242">
        <v>28785</v>
      </c>
      <c r="J41" s="243">
        <v>28940</v>
      </c>
      <c r="N41" s="3"/>
      <c r="O41" s="3"/>
      <c r="P41" s="3"/>
      <c r="Q41" s="3"/>
      <c r="R41" s="3"/>
      <c r="S41" s="2"/>
      <c r="T41" s="2"/>
      <c r="U41" s="2"/>
    </row>
    <row r="42" spans="1:21" ht="17.25" customHeight="1">
      <c r="A42" s="69"/>
      <c r="B42" s="261"/>
      <c r="C42" s="256"/>
      <c r="D42" s="256" t="s">
        <v>916</v>
      </c>
      <c r="E42" s="244" t="s">
        <v>540</v>
      </c>
      <c r="F42" s="248">
        <v>952900</v>
      </c>
      <c r="G42" s="245">
        <v>29320</v>
      </c>
      <c r="H42" s="245">
        <v>29380</v>
      </c>
      <c r="I42" s="245">
        <v>28945</v>
      </c>
      <c r="J42" s="246">
        <v>29305</v>
      </c>
      <c r="N42" s="3"/>
      <c r="O42" s="3"/>
      <c r="P42" s="3"/>
      <c r="Q42" s="3"/>
      <c r="R42" s="3"/>
      <c r="S42" s="2"/>
      <c r="T42" s="2"/>
      <c r="U42" s="2"/>
    </row>
    <row r="43" spans="1:21" ht="17.25" customHeight="1">
      <c r="A43" s="69"/>
      <c r="B43" s="260"/>
      <c r="C43" s="255"/>
      <c r="D43" s="255" t="s">
        <v>918</v>
      </c>
      <c r="E43" s="241" t="s">
        <v>540</v>
      </c>
      <c r="F43" s="241">
        <v>3573900</v>
      </c>
      <c r="G43" s="242">
        <v>29130</v>
      </c>
      <c r="H43" s="242">
        <v>29700</v>
      </c>
      <c r="I43" s="242">
        <v>27665</v>
      </c>
      <c r="J43" s="243">
        <v>29100</v>
      </c>
      <c r="N43" s="3"/>
      <c r="O43" s="3"/>
      <c r="P43" s="3"/>
      <c r="Q43" s="3"/>
      <c r="R43" s="3"/>
      <c r="S43" s="2"/>
      <c r="T43" s="2"/>
      <c r="U43" s="2"/>
    </row>
    <row r="44" spans="1:21" ht="17.25" customHeight="1">
      <c r="A44" s="69"/>
      <c r="B44" s="261"/>
      <c r="C44" s="256"/>
      <c r="D44" s="256" t="s">
        <v>919</v>
      </c>
      <c r="E44" s="244" t="s">
        <v>540</v>
      </c>
      <c r="F44" s="244">
        <v>1140500</v>
      </c>
      <c r="G44" s="245">
        <v>29200</v>
      </c>
      <c r="H44" s="245">
        <v>29200</v>
      </c>
      <c r="I44" s="245">
        <v>27750</v>
      </c>
      <c r="J44" s="246">
        <v>27830</v>
      </c>
      <c r="N44" s="3"/>
      <c r="O44" s="3"/>
      <c r="P44" s="3"/>
      <c r="Q44" s="3"/>
      <c r="R44" s="3"/>
      <c r="S44" s="2"/>
      <c r="T44" s="2"/>
      <c r="U44" s="2"/>
    </row>
    <row r="45" spans="1:21" ht="15.75">
      <c r="A45" s="69"/>
      <c r="B45" s="260"/>
      <c r="C45" s="255"/>
      <c r="D45" s="255" t="s">
        <v>923</v>
      </c>
      <c r="E45" s="241" t="s">
        <v>540</v>
      </c>
      <c r="F45" s="247">
        <v>2802900</v>
      </c>
      <c r="G45" s="242">
        <v>28275</v>
      </c>
      <c r="H45" s="242">
        <v>28345</v>
      </c>
      <c r="I45" s="242">
        <v>26805</v>
      </c>
      <c r="J45" s="243">
        <v>27510</v>
      </c>
      <c r="N45" s="3"/>
      <c r="O45" s="3"/>
      <c r="P45" s="3"/>
      <c r="Q45" s="3"/>
      <c r="R45" s="3"/>
      <c r="S45" s="2"/>
      <c r="T45" s="2"/>
      <c r="U45" s="2"/>
    </row>
    <row r="46" spans="1:21" ht="15.75">
      <c r="A46" s="69"/>
      <c r="B46" s="261"/>
      <c r="C46" s="256"/>
      <c r="D46" s="256" t="s">
        <v>924</v>
      </c>
      <c r="E46" s="244" t="s">
        <v>540</v>
      </c>
      <c r="F46" s="248">
        <v>1207200</v>
      </c>
      <c r="G46" s="245">
        <v>27410</v>
      </c>
      <c r="H46" s="245">
        <v>27940</v>
      </c>
      <c r="I46" s="245">
        <v>27405</v>
      </c>
      <c r="J46" s="246">
        <v>27470</v>
      </c>
      <c r="N46" s="3"/>
      <c r="O46" s="3"/>
      <c r="P46" s="3"/>
      <c r="Q46" s="3"/>
      <c r="R46" s="3"/>
      <c r="S46" s="2"/>
      <c r="T46" s="2"/>
      <c r="U46" s="2"/>
    </row>
    <row r="47" spans="1:21" ht="15.75">
      <c r="A47" s="69"/>
      <c r="B47" s="260"/>
      <c r="C47" s="255"/>
      <c r="D47" s="255" t="s">
        <v>925</v>
      </c>
      <c r="E47" s="241" t="s">
        <v>540</v>
      </c>
      <c r="F47" s="247">
        <v>1231300</v>
      </c>
      <c r="G47" s="242">
        <v>27360</v>
      </c>
      <c r="H47" s="242">
        <v>27585</v>
      </c>
      <c r="I47" s="242">
        <v>27050</v>
      </c>
      <c r="J47" s="243">
        <v>27235</v>
      </c>
      <c r="N47" s="3"/>
      <c r="O47" s="3"/>
      <c r="P47" s="3"/>
      <c r="Q47" s="3"/>
      <c r="R47" s="3"/>
      <c r="S47" s="2"/>
      <c r="T47" s="2"/>
      <c r="U47" s="2"/>
    </row>
    <row r="48" spans="1:21" ht="15.75">
      <c r="A48" s="69"/>
      <c r="B48" s="261"/>
      <c r="C48" s="256"/>
      <c r="D48" s="256" t="s">
        <v>926</v>
      </c>
      <c r="E48" s="244" t="s">
        <v>540</v>
      </c>
      <c r="F48" s="244">
        <v>1110000</v>
      </c>
      <c r="G48" s="245">
        <v>27270</v>
      </c>
      <c r="H48" s="245">
        <v>27870</v>
      </c>
      <c r="I48" s="245">
        <v>27220</v>
      </c>
      <c r="J48" s="246">
        <v>27285</v>
      </c>
      <c r="N48" s="3"/>
      <c r="O48" s="3"/>
      <c r="P48" s="3"/>
      <c r="Q48" s="3"/>
      <c r="R48" s="3"/>
      <c r="S48" s="2"/>
      <c r="T48" s="2"/>
      <c r="U48" s="2"/>
    </row>
    <row r="49" spans="1:21" ht="15.75">
      <c r="A49" s="69"/>
      <c r="B49" s="260"/>
      <c r="C49" s="255"/>
      <c r="D49" s="255" t="s">
        <v>927</v>
      </c>
      <c r="E49" s="241" t="s">
        <v>540</v>
      </c>
      <c r="F49" s="247">
        <v>814400</v>
      </c>
      <c r="G49" s="242">
        <v>27370</v>
      </c>
      <c r="H49" s="242">
        <v>27825</v>
      </c>
      <c r="I49" s="242">
        <v>27300</v>
      </c>
      <c r="J49" s="243">
        <v>27680</v>
      </c>
      <c r="N49" s="3"/>
      <c r="O49" s="3"/>
      <c r="P49" s="3"/>
      <c r="Q49" s="3"/>
      <c r="R49" s="3"/>
      <c r="S49" s="2"/>
      <c r="T49" s="2"/>
      <c r="U49" s="2"/>
    </row>
    <row r="50" spans="1:21" ht="15.75">
      <c r="A50" s="69"/>
      <c r="B50" s="261"/>
      <c r="C50" s="256"/>
      <c r="D50" s="256" t="s">
        <v>928</v>
      </c>
      <c r="E50" s="244" t="s">
        <v>540</v>
      </c>
      <c r="F50" s="244">
        <v>934500</v>
      </c>
      <c r="G50" s="245">
        <v>27870</v>
      </c>
      <c r="H50" s="245">
        <v>28135</v>
      </c>
      <c r="I50" s="245">
        <v>27380</v>
      </c>
      <c r="J50" s="246">
        <v>27670</v>
      </c>
      <c r="N50" s="3"/>
      <c r="O50" s="3"/>
      <c r="P50" s="3"/>
      <c r="Q50" s="3"/>
      <c r="R50" s="3"/>
      <c r="S50" s="2"/>
      <c r="T50" s="2"/>
      <c r="U50" s="2"/>
    </row>
    <row r="51" spans="1:21" ht="15.75">
      <c r="A51" s="69"/>
      <c r="B51" s="260"/>
      <c r="C51" s="255"/>
      <c r="D51" s="255" t="s">
        <v>929</v>
      </c>
      <c r="E51" s="241" t="s">
        <v>540</v>
      </c>
      <c r="F51" s="247">
        <v>1111800</v>
      </c>
      <c r="G51" s="242">
        <v>27740</v>
      </c>
      <c r="H51" s="242">
        <v>28465</v>
      </c>
      <c r="I51" s="242">
        <v>27630</v>
      </c>
      <c r="J51" s="243">
        <v>28005</v>
      </c>
      <c r="N51" s="3"/>
      <c r="O51" s="3"/>
      <c r="P51" s="3"/>
      <c r="Q51" s="3"/>
      <c r="R51" s="3"/>
      <c r="S51" s="2"/>
      <c r="T51" s="2"/>
      <c r="U51" s="2"/>
    </row>
    <row r="52" spans="1:21" ht="15.75">
      <c r="A52" s="69"/>
      <c r="B52" s="261"/>
      <c r="C52" s="256"/>
      <c r="D52" s="256" t="s">
        <v>930</v>
      </c>
      <c r="E52" s="244" t="s">
        <v>540</v>
      </c>
      <c r="F52" s="248">
        <v>677600</v>
      </c>
      <c r="G52" s="245">
        <v>27900</v>
      </c>
      <c r="H52" s="245">
        <v>28050</v>
      </c>
      <c r="I52" s="245">
        <v>27255</v>
      </c>
      <c r="J52" s="246">
        <v>27725</v>
      </c>
      <c r="N52" s="3"/>
      <c r="O52" s="3"/>
      <c r="P52" s="3"/>
      <c r="Q52" s="3"/>
      <c r="R52" s="3"/>
      <c r="S52" s="2"/>
      <c r="T52" s="2"/>
      <c r="U52" s="2"/>
    </row>
    <row r="53" spans="1:21" ht="15.75">
      <c r="A53" s="69"/>
      <c r="B53" s="260"/>
      <c r="C53" s="255"/>
      <c r="D53" s="255" t="s">
        <v>931</v>
      </c>
      <c r="E53" s="241" t="s">
        <v>540</v>
      </c>
      <c r="F53" s="247">
        <v>1029300</v>
      </c>
      <c r="G53" s="242">
        <v>27700</v>
      </c>
      <c r="H53" s="242">
        <v>27700</v>
      </c>
      <c r="I53" s="242">
        <v>26705</v>
      </c>
      <c r="J53" s="243">
        <v>26895</v>
      </c>
      <c r="N53" s="3"/>
      <c r="O53" s="3"/>
      <c r="P53" s="3"/>
      <c r="Q53" s="3"/>
      <c r="R53" s="3"/>
      <c r="S53" s="2"/>
      <c r="T53" s="2"/>
      <c r="U53" s="2"/>
    </row>
    <row r="54" spans="1:21" ht="15.75">
      <c r="A54" s="69"/>
      <c r="B54" s="261"/>
      <c r="C54" s="256"/>
      <c r="D54" s="256" t="s">
        <v>932</v>
      </c>
      <c r="E54" s="244" t="s">
        <v>540</v>
      </c>
      <c r="F54" s="248">
        <v>976100</v>
      </c>
      <c r="G54" s="245">
        <v>26945</v>
      </c>
      <c r="H54" s="245">
        <v>26970</v>
      </c>
      <c r="I54" s="245">
        <v>26220</v>
      </c>
      <c r="J54" s="246">
        <v>26500</v>
      </c>
      <c r="N54" s="3"/>
      <c r="O54" s="3"/>
      <c r="P54" s="3"/>
      <c r="Q54" s="3"/>
      <c r="R54" s="3"/>
      <c r="S54" s="2"/>
      <c r="T54" s="2"/>
      <c r="U54" s="2"/>
    </row>
    <row r="55" spans="1:21" ht="15.75">
      <c r="A55" s="69"/>
      <c r="B55" s="260"/>
      <c r="C55" s="255"/>
      <c r="D55" s="255" t="s">
        <v>933</v>
      </c>
      <c r="E55" s="241" t="s">
        <v>540</v>
      </c>
      <c r="F55" s="247">
        <v>744300</v>
      </c>
      <c r="G55" s="242">
        <v>26900</v>
      </c>
      <c r="H55" s="242">
        <v>27130</v>
      </c>
      <c r="I55" s="242">
        <v>26580</v>
      </c>
      <c r="J55" s="243">
        <v>26580</v>
      </c>
      <c r="N55" s="3"/>
      <c r="O55" s="3"/>
      <c r="P55" s="3"/>
      <c r="Q55" s="3"/>
      <c r="R55" s="3"/>
      <c r="S55" s="2"/>
      <c r="T55" s="2"/>
      <c r="U55" s="2"/>
    </row>
    <row r="56" spans="1:21" ht="15.75">
      <c r="A56" s="69"/>
      <c r="B56" s="261"/>
      <c r="C56" s="256"/>
      <c r="D56" s="256" t="s">
        <v>934</v>
      </c>
      <c r="E56" s="244" t="s">
        <v>540</v>
      </c>
      <c r="F56" s="248">
        <v>1071500</v>
      </c>
      <c r="G56" s="245">
        <v>26620</v>
      </c>
      <c r="H56" s="245">
        <v>26885</v>
      </c>
      <c r="I56" s="245">
        <v>26225</v>
      </c>
      <c r="J56" s="246">
        <v>26225</v>
      </c>
      <c r="N56" s="3"/>
      <c r="O56" s="3"/>
      <c r="P56" s="3"/>
      <c r="Q56" s="3"/>
      <c r="R56" s="3"/>
      <c r="S56" s="2"/>
      <c r="T56" s="2"/>
      <c r="U56" s="2"/>
    </row>
    <row r="57" spans="1:21" ht="15.75">
      <c r="A57" s="69"/>
      <c r="B57" s="260"/>
      <c r="C57" s="255"/>
      <c r="D57" s="255" t="s">
        <v>960</v>
      </c>
      <c r="E57" s="241" t="s">
        <v>540</v>
      </c>
      <c r="F57" s="247">
        <v>956600</v>
      </c>
      <c r="G57" s="242">
        <v>26055</v>
      </c>
      <c r="H57" s="242">
        <v>26455</v>
      </c>
      <c r="I57" s="242">
        <v>25870</v>
      </c>
      <c r="J57" s="243">
        <v>26300</v>
      </c>
      <c r="N57" s="3"/>
      <c r="O57" s="3"/>
      <c r="P57" s="3"/>
      <c r="Q57" s="3"/>
      <c r="R57" s="3"/>
      <c r="S57" s="2"/>
      <c r="T57" s="2"/>
      <c r="U57" s="2"/>
    </row>
    <row r="58" spans="1:21" ht="15.75">
      <c r="A58" s="69"/>
      <c r="B58" s="261"/>
      <c r="C58" s="256"/>
      <c r="D58" s="256" t="s">
        <v>935</v>
      </c>
      <c r="E58" s="244" t="s">
        <v>540</v>
      </c>
      <c r="F58" s="248">
        <v>1011500</v>
      </c>
      <c r="G58" s="245">
        <v>26285</v>
      </c>
      <c r="H58" s="245">
        <v>26570</v>
      </c>
      <c r="I58" s="245">
        <v>25970</v>
      </c>
      <c r="J58" s="246">
        <v>25970</v>
      </c>
      <c r="N58" s="3"/>
      <c r="O58" s="3"/>
      <c r="P58" s="3"/>
      <c r="Q58" s="3"/>
      <c r="R58" s="3"/>
      <c r="S58" s="2"/>
      <c r="T58" s="2"/>
      <c r="U58" s="2"/>
    </row>
    <row r="59" spans="1:21" ht="15.75">
      <c r="A59" s="69"/>
      <c r="B59" s="260"/>
      <c r="C59" s="255"/>
      <c r="D59" s="255" t="s">
        <v>936</v>
      </c>
      <c r="E59" s="241" t="s">
        <v>540</v>
      </c>
      <c r="F59" s="247">
        <v>1399000</v>
      </c>
      <c r="G59" s="242">
        <v>27220</v>
      </c>
      <c r="H59" s="242">
        <v>27835</v>
      </c>
      <c r="I59" s="242">
        <v>27025</v>
      </c>
      <c r="J59" s="243">
        <v>27195</v>
      </c>
      <c r="N59" s="3"/>
      <c r="O59" s="3"/>
      <c r="P59" s="3"/>
      <c r="Q59" s="3"/>
      <c r="R59" s="3"/>
      <c r="S59" s="2"/>
      <c r="T59" s="2"/>
      <c r="U59" s="2"/>
    </row>
    <row r="60" spans="1:21" ht="15.75">
      <c r="A60" s="69"/>
      <c r="B60" s="261"/>
      <c r="C60" s="256"/>
      <c r="D60" s="256" t="s">
        <v>937</v>
      </c>
      <c r="E60" s="244" t="s">
        <v>540</v>
      </c>
      <c r="F60" s="248">
        <v>930100</v>
      </c>
      <c r="G60" s="245">
        <v>27080</v>
      </c>
      <c r="H60" s="245">
        <v>27400</v>
      </c>
      <c r="I60" s="245">
        <v>26740</v>
      </c>
      <c r="J60" s="246">
        <v>26970</v>
      </c>
      <c r="N60" s="3"/>
      <c r="O60" s="3"/>
      <c r="P60" s="3"/>
      <c r="Q60" s="3"/>
      <c r="R60" s="3"/>
      <c r="S60" s="2"/>
      <c r="T60" s="2"/>
      <c r="U60" s="2"/>
    </row>
    <row r="61" spans="1:21" ht="15.75">
      <c r="A61" s="69"/>
      <c r="B61" s="260"/>
      <c r="C61" s="255"/>
      <c r="D61" s="255" t="s">
        <v>938</v>
      </c>
      <c r="E61" s="241" t="s">
        <v>540</v>
      </c>
      <c r="F61" s="247">
        <v>1751300</v>
      </c>
      <c r="G61" s="242">
        <v>27020</v>
      </c>
      <c r="H61" s="242">
        <v>27510</v>
      </c>
      <c r="I61" s="242">
        <v>26985</v>
      </c>
      <c r="J61" s="243">
        <v>27080</v>
      </c>
      <c r="N61" s="3"/>
      <c r="O61" s="3"/>
      <c r="P61" s="3"/>
      <c r="Q61" s="3"/>
      <c r="R61" s="3"/>
      <c r="S61" s="2"/>
      <c r="T61" s="2"/>
      <c r="U61" s="2"/>
    </row>
    <row r="62" spans="1:21" ht="15.75">
      <c r="A62" s="69"/>
      <c r="B62" s="261"/>
      <c r="C62" s="256"/>
      <c r="D62" s="256" t="s">
        <v>939</v>
      </c>
      <c r="E62" s="244" t="s">
        <v>540</v>
      </c>
      <c r="F62" s="248">
        <v>841300</v>
      </c>
      <c r="G62" s="245">
        <v>26950</v>
      </c>
      <c r="H62" s="245">
        <v>27150</v>
      </c>
      <c r="I62" s="245">
        <v>26275</v>
      </c>
      <c r="J62" s="246">
        <v>26440</v>
      </c>
      <c r="N62" s="3"/>
      <c r="O62" s="3"/>
      <c r="P62" s="3"/>
      <c r="Q62" s="3"/>
      <c r="R62" s="3"/>
      <c r="S62" s="2"/>
      <c r="T62" s="2"/>
      <c r="U62" s="2"/>
    </row>
    <row r="63" spans="1:21" ht="15.75">
      <c r="A63" s="69"/>
      <c r="B63" s="262"/>
      <c r="C63" s="257"/>
      <c r="D63" s="257" t="s">
        <v>940</v>
      </c>
      <c r="E63" s="249" t="s">
        <v>540</v>
      </c>
      <c r="F63" s="250">
        <v>894500</v>
      </c>
      <c r="G63" s="251">
        <v>26175</v>
      </c>
      <c r="H63" s="251">
        <v>26385</v>
      </c>
      <c r="I63" s="251">
        <v>25990</v>
      </c>
      <c r="J63" s="252">
        <v>26305</v>
      </c>
      <c r="N63" s="3"/>
      <c r="O63" s="3"/>
      <c r="P63" s="3"/>
      <c r="Q63" s="3"/>
      <c r="R63" s="3"/>
      <c r="S63" s="2"/>
      <c r="T63" s="2"/>
      <c r="U63" s="2"/>
    </row>
    <row r="64" spans="1:21">
      <c r="A64" s="69"/>
      <c r="B64" s="3"/>
      <c r="C64" s="3"/>
      <c r="D64" s="3" t="s">
        <v>941</v>
      </c>
      <c r="E64" s="3" t="s">
        <v>540</v>
      </c>
      <c r="F64" s="1">
        <v>1092900</v>
      </c>
      <c r="G64" s="2">
        <v>26500</v>
      </c>
      <c r="H64" s="2">
        <v>27575</v>
      </c>
      <c r="I64" s="2">
        <v>26360</v>
      </c>
      <c r="J64" s="2">
        <v>27495</v>
      </c>
      <c r="N64" s="3"/>
      <c r="O64" s="3"/>
      <c r="P64" s="3"/>
      <c r="Q64" s="3"/>
      <c r="R64" s="3"/>
      <c r="S64" s="2"/>
      <c r="T64" s="2"/>
      <c r="U64" s="2"/>
    </row>
    <row r="65" spans="1:21">
      <c r="A65" s="69"/>
      <c r="B65" s="3"/>
      <c r="C65" s="3"/>
      <c r="D65" s="3" t="s">
        <v>942</v>
      </c>
      <c r="E65" s="3" t="s">
        <v>540</v>
      </c>
      <c r="F65" s="1">
        <v>1078800</v>
      </c>
      <c r="G65" s="2">
        <v>27480</v>
      </c>
      <c r="H65" s="2">
        <v>27495</v>
      </c>
      <c r="I65" s="2">
        <v>26280</v>
      </c>
      <c r="J65" s="2">
        <v>26430</v>
      </c>
      <c r="N65" s="3"/>
      <c r="O65" s="3"/>
      <c r="P65" s="3"/>
      <c r="Q65" s="3"/>
      <c r="R65" s="3"/>
      <c r="S65" s="2"/>
      <c r="T65" s="2"/>
      <c r="U65" s="2"/>
    </row>
    <row r="66" spans="1:21">
      <c r="A66" s="69"/>
      <c r="B66" s="3"/>
      <c r="C66" s="3"/>
      <c r="D66" s="3" t="s">
        <v>943</v>
      </c>
      <c r="E66" s="3" t="s">
        <v>540</v>
      </c>
      <c r="F66" s="1">
        <v>714800</v>
      </c>
      <c r="G66" s="2">
        <v>26290</v>
      </c>
      <c r="H66" s="2">
        <v>26395</v>
      </c>
      <c r="I66" s="2">
        <v>26155</v>
      </c>
      <c r="J66" s="2">
        <v>26340</v>
      </c>
      <c r="N66" s="3"/>
      <c r="O66" s="3"/>
      <c r="P66" s="3"/>
      <c r="Q66" s="3"/>
      <c r="R66" s="3"/>
      <c r="S66" s="2"/>
      <c r="T66" s="2"/>
      <c r="U66" s="2"/>
    </row>
    <row r="67" spans="1:21">
      <c r="A67" s="69"/>
      <c r="B67" s="3"/>
      <c r="C67" s="3"/>
      <c r="D67" s="3" t="s">
        <v>944</v>
      </c>
      <c r="E67" s="3" t="s">
        <v>540</v>
      </c>
      <c r="F67" s="1">
        <v>936500</v>
      </c>
      <c r="G67" s="2">
        <v>25400</v>
      </c>
      <c r="H67" s="2">
        <v>25800</v>
      </c>
      <c r="I67" s="2">
        <v>25100</v>
      </c>
      <c r="J67" s="2">
        <v>25280</v>
      </c>
      <c r="N67" s="3"/>
      <c r="O67" s="3"/>
      <c r="P67" s="3"/>
      <c r="Q67" s="3"/>
      <c r="R67" s="3"/>
      <c r="S67" s="2"/>
      <c r="T67" s="2"/>
      <c r="U67" s="2"/>
    </row>
    <row r="68" spans="1:21">
      <c r="A68" s="69"/>
      <c r="B68" s="3"/>
      <c r="C68" s="3"/>
      <c r="D68" s="3" t="s">
        <v>945</v>
      </c>
      <c r="E68" s="3" t="s">
        <v>540</v>
      </c>
      <c r="F68" s="1">
        <v>971500</v>
      </c>
      <c r="G68" s="2">
        <v>25595</v>
      </c>
      <c r="H68" s="2">
        <v>25895</v>
      </c>
      <c r="I68" s="2">
        <v>25350</v>
      </c>
      <c r="J68" s="2">
        <v>25605</v>
      </c>
      <c r="N68" s="3"/>
      <c r="O68" s="3"/>
      <c r="P68" s="3"/>
      <c r="Q68" s="3"/>
      <c r="R68" s="3"/>
      <c r="S68" s="2"/>
      <c r="T68" s="2"/>
      <c r="U68" s="2"/>
    </row>
    <row r="69" spans="1:21">
      <c r="A69" s="69"/>
      <c r="B69" s="3"/>
      <c r="C69" s="3"/>
      <c r="D69" s="3" t="s">
        <v>946</v>
      </c>
      <c r="E69" s="3" t="s">
        <v>540</v>
      </c>
      <c r="F69" s="1">
        <v>894600</v>
      </c>
      <c r="G69" s="2">
        <v>25420</v>
      </c>
      <c r="H69" s="2">
        <v>25750</v>
      </c>
      <c r="I69" s="2">
        <v>25265</v>
      </c>
      <c r="J69" s="2">
        <v>25710</v>
      </c>
      <c r="N69" s="3"/>
      <c r="O69" s="3"/>
      <c r="P69" s="3"/>
      <c r="Q69" s="3"/>
      <c r="R69" s="3"/>
      <c r="S69" s="2"/>
      <c r="T69" s="2"/>
      <c r="U69" s="2"/>
    </row>
    <row r="70" spans="1:21">
      <c r="A70" s="69"/>
      <c r="B70" s="330"/>
      <c r="C70" s="330"/>
      <c r="D70" s="330" t="s">
        <v>947</v>
      </c>
      <c r="E70" s="330" t="s">
        <v>540</v>
      </c>
      <c r="F70" s="331">
        <v>936500</v>
      </c>
      <c r="G70" s="332">
        <v>25300</v>
      </c>
      <c r="H70" s="332">
        <v>25920</v>
      </c>
      <c r="I70" s="332">
        <v>25165</v>
      </c>
      <c r="J70" s="332">
        <v>25650</v>
      </c>
      <c r="N70" s="3"/>
      <c r="O70" s="3"/>
      <c r="P70" s="3"/>
      <c r="Q70" s="3"/>
      <c r="R70" s="3"/>
      <c r="S70" s="2"/>
      <c r="T70" s="2"/>
      <c r="U70" s="2"/>
    </row>
    <row r="71" spans="1:21">
      <c r="A71" s="69"/>
      <c r="B71" s="330"/>
      <c r="C71" s="330"/>
      <c r="D71" s="330" t="s">
        <v>948</v>
      </c>
      <c r="E71" s="330" t="s">
        <v>540</v>
      </c>
      <c r="F71" s="331">
        <v>1790900</v>
      </c>
      <c r="G71" s="332">
        <v>26420</v>
      </c>
      <c r="H71" s="332">
        <v>26545</v>
      </c>
      <c r="I71" s="332">
        <v>25965</v>
      </c>
      <c r="J71" s="332">
        <v>26420</v>
      </c>
      <c r="N71" s="3"/>
      <c r="O71" s="3"/>
      <c r="P71" s="3"/>
      <c r="Q71" s="3"/>
      <c r="R71" s="3"/>
      <c r="S71" s="2"/>
      <c r="T71" s="2"/>
      <c r="U71" s="2"/>
    </row>
    <row r="72" spans="1:21">
      <c r="A72" s="69"/>
      <c r="B72" s="330"/>
      <c r="C72" s="330"/>
      <c r="D72" s="330" t="s">
        <v>949</v>
      </c>
      <c r="E72" s="330" t="s">
        <v>540</v>
      </c>
      <c r="F72" s="331">
        <v>652900</v>
      </c>
      <c r="G72" s="332">
        <v>26945</v>
      </c>
      <c r="H72" s="332">
        <v>26975</v>
      </c>
      <c r="I72" s="332">
        <v>26445</v>
      </c>
      <c r="J72" s="332">
        <v>26630</v>
      </c>
      <c r="N72" s="3"/>
      <c r="O72" s="3"/>
      <c r="P72" s="3"/>
      <c r="Q72" s="3"/>
      <c r="R72" s="3"/>
      <c r="S72" s="2"/>
      <c r="T72" s="2"/>
      <c r="U72" s="2"/>
    </row>
    <row r="73" spans="1:21">
      <c r="A73" s="69"/>
      <c r="B73" s="330"/>
      <c r="C73" s="330"/>
      <c r="D73" s="330" t="s">
        <v>950</v>
      </c>
      <c r="E73" s="330" t="s">
        <v>540</v>
      </c>
      <c r="F73" s="331">
        <v>964700</v>
      </c>
      <c r="G73" s="332">
        <v>26590</v>
      </c>
      <c r="H73" s="332">
        <v>27255</v>
      </c>
      <c r="I73" s="332">
        <v>26510</v>
      </c>
      <c r="J73" s="332">
        <v>27065</v>
      </c>
      <c r="N73" s="3"/>
      <c r="O73" s="3"/>
      <c r="P73" s="3"/>
      <c r="Q73" s="3"/>
      <c r="R73" s="3"/>
      <c r="S73" s="2"/>
      <c r="T73" s="2"/>
      <c r="U73" s="2"/>
    </row>
    <row r="74" spans="1:21">
      <c r="A74" s="69"/>
      <c r="B74" s="330" t="s">
        <v>951</v>
      </c>
      <c r="C74" s="330" t="s">
        <v>951</v>
      </c>
      <c r="D74" s="330" t="s">
        <v>951</v>
      </c>
      <c r="E74" s="330" t="s">
        <v>951</v>
      </c>
      <c r="F74" s="331" t="s">
        <v>951</v>
      </c>
      <c r="G74" s="332" t="s">
        <v>951</v>
      </c>
      <c r="H74" s="332" t="s">
        <v>951</v>
      </c>
      <c r="I74" s="332" t="s">
        <v>951</v>
      </c>
      <c r="J74" s="332" t="s">
        <v>951</v>
      </c>
      <c r="N74" s="3"/>
      <c r="O74" s="3"/>
      <c r="P74" s="3"/>
      <c r="Q74" s="3"/>
      <c r="R74" s="3"/>
      <c r="S74" s="2"/>
      <c r="T74" s="2"/>
      <c r="U74" s="2"/>
    </row>
    <row r="75" spans="1:21">
      <c r="A75" s="69"/>
      <c r="B75" s="330"/>
      <c r="C75" s="330"/>
      <c r="D75" s="330"/>
      <c r="E75" s="330"/>
      <c r="F75" s="331"/>
      <c r="G75" s="332"/>
      <c r="H75" s="332"/>
      <c r="I75" s="332"/>
      <c r="J75" s="332"/>
      <c r="N75" s="3"/>
      <c r="O75" s="3"/>
      <c r="P75" s="3"/>
      <c r="Q75" s="3"/>
      <c r="R75" s="3"/>
      <c r="S75" s="2"/>
      <c r="T75" s="2"/>
      <c r="U75" s="2"/>
    </row>
    <row r="76" spans="1:21">
      <c r="A76" s="69"/>
      <c r="B76" s="330"/>
      <c r="C76" s="330"/>
      <c r="D76" s="330"/>
      <c r="E76" s="330"/>
      <c r="F76" s="331"/>
      <c r="G76" s="332"/>
      <c r="H76" s="332"/>
      <c r="I76" s="332"/>
      <c r="J76" s="332"/>
      <c r="N76" s="3"/>
      <c r="O76" s="3"/>
      <c r="P76" s="3"/>
      <c r="Q76" s="3"/>
      <c r="R76" s="3"/>
      <c r="S76" s="2"/>
      <c r="T76" s="2"/>
      <c r="U76" s="2"/>
    </row>
    <row r="77" spans="1:21">
      <c r="A77" s="69"/>
      <c r="B77" s="3"/>
      <c r="C77" s="3"/>
      <c r="D77" s="3"/>
      <c r="E77" s="3"/>
      <c r="F77" s="3"/>
      <c r="G77" s="2"/>
      <c r="H77" s="2"/>
      <c r="I77" s="2"/>
      <c r="J77" s="2"/>
      <c r="N77" s="3"/>
      <c r="O77" s="3"/>
      <c r="P77" s="3"/>
      <c r="Q77" s="3"/>
      <c r="R77" s="3"/>
      <c r="S77" s="2"/>
      <c r="T77" s="2"/>
      <c r="U77" s="2"/>
    </row>
    <row r="78" spans="1:21">
      <c r="A78" s="69"/>
      <c r="B78" s="330"/>
      <c r="C78" s="330"/>
      <c r="D78" s="330"/>
      <c r="E78" s="330"/>
      <c r="F78" s="331"/>
      <c r="G78" s="332"/>
      <c r="H78" s="332"/>
      <c r="I78" s="332"/>
      <c r="J78" s="332"/>
      <c r="N78" s="3"/>
      <c r="O78" s="3"/>
      <c r="P78" s="3"/>
      <c r="Q78" s="3"/>
      <c r="R78" s="3"/>
      <c r="S78" s="2"/>
      <c r="T78" s="2"/>
      <c r="U78" s="2"/>
    </row>
    <row r="79" spans="1:21">
      <c r="A79" s="69"/>
      <c r="B79" s="3"/>
      <c r="C79" s="3"/>
      <c r="D79" s="3"/>
      <c r="E79" s="3"/>
      <c r="G79" s="2"/>
      <c r="H79" s="2"/>
      <c r="I79" s="2"/>
      <c r="J79" s="2"/>
      <c r="N79" s="3"/>
      <c r="O79" s="3"/>
      <c r="P79" s="3"/>
      <c r="Q79" s="3"/>
      <c r="R79" s="3"/>
      <c r="S79" s="2"/>
      <c r="T79" s="2"/>
      <c r="U79" s="2"/>
    </row>
    <row r="80" spans="1:21">
      <c r="A80" s="69"/>
      <c r="B80" s="3"/>
      <c r="C80" s="3"/>
      <c r="D80" s="3"/>
      <c r="E80" s="3"/>
      <c r="G80" s="2"/>
      <c r="H80" s="2"/>
      <c r="I80" s="2"/>
      <c r="J80" s="2"/>
      <c r="N80" s="3"/>
      <c r="O80" s="3"/>
      <c r="P80" s="3"/>
      <c r="Q80" s="3"/>
      <c r="R80" s="3"/>
      <c r="S80" s="2"/>
      <c r="T80" s="2"/>
      <c r="U80" s="2"/>
    </row>
    <row r="81" spans="1:21">
      <c r="A81" s="69"/>
      <c r="B81" s="3"/>
      <c r="C81" s="3"/>
      <c r="D81" s="3"/>
      <c r="E81" s="3"/>
      <c r="G81" s="2"/>
      <c r="H81" s="2"/>
      <c r="I81" s="2"/>
      <c r="J81" s="2"/>
      <c r="N81" s="3"/>
      <c r="O81" s="3"/>
      <c r="P81" s="3"/>
      <c r="Q81" s="3"/>
      <c r="R81" s="3"/>
      <c r="S81" s="2"/>
      <c r="T81" s="2"/>
      <c r="U81" s="2"/>
    </row>
    <row r="82" spans="1:21">
      <c r="A82" s="69"/>
      <c r="B82" s="3"/>
      <c r="C82" s="3"/>
      <c r="D82" s="3"/>
      <c r="E82" s="3"/>
      <c r="G82" s="2"/>
      <c r="H82" s="2"/>
      <c r="I82" s="2"/>
      <c r="J82" s="2"/>
      <c r="N82" s="3"/>
      <c r="O82" s="3"/>
      <c r="P82" s="3"/>
      <c r="Q82" s="3"/>
      <c r="R82" s="3"/>
      <c r="S82" s="2"/>
      <c r="T82" s="2"/>
      <c r="U82" s="2"/>
    </row>
    <row r="83" spans="1:21">
      <c r="A83" s="69"/>
      <c r="B83" s="3"/>
      <c r="C83" s="3"/>
      <c r="D83" s="3"/>
      <c r="E83" s="3"/>
      <c r="F83" s="3"/>
      <c r="G83" s="2"/>
      <c r="H83" s="2"/>
      <c r="I83" s="2"/>
      <c r="J83" s="2"/>
      <c r="N83" s="3"/>
      <c r="O83" s="3"/>
      <c r="P83" s="3"/>
      <c r="Q83" s="3"/>
      <c r="R83" s="3"/>
      <c r="S83" s="2"/>
      <c r="T83" s="2"/>
      <c r="U83" s="2"/>
    </row>
    <row r="84" spans="1:21">
      <c r="A84" s="69"/>
      <c r="B84" s="3"/>
      <c r="C84" s="3"/>
      <c r="D84" s="3"/>
      <c r="E84" s="3"/>
      <c r="G84" s="2"/>
      <c r="H84" s="2"/>
      <c r="I84" s="2"/>
      <c r="J84" s="2"/>
      <c r="N84" s="3"/>
      <c r="O84" s="3"/>
      <c r="P84" s="3"/>
      <c r="Q84" s="3"/>
      <c r="R84" s="3"/>
      <c r="S84" s="2"/>
      <c r="T84" s="2"/>
      <c r="U84" s="2"/>
    </row>
    <row r="85" spans="1:21">
      <c r="A85" s="69"/>
      <c r="B85" s="3"/>
      <c r="C85" s="3"/>
      <c r="D85" s="3"/>
      <c r="E85" s="3"/>
      <c r="G85" s="2"/>
      <c r="H85" s="2"/>
      <c r="I85" s="2"/>
      <c r="J85" s="2"/>
      <c r="N85" s="3"/>
      <c r="O85" s="3"/>
      <c r="P85" s="3"/>
      <c r="Q85" s="3"/>
      <c r="R85" s="3"/>
      <c r="S85" s="2"/>
      <c r="T85" s="2"/>
      <c r="U85" s="2"/>
    </row>
    <row r="86" spans="1:21">
      <c r="A86" s="69"/>
      <c r="B86" s="3"/>
      <c r="C86" s="3"/>
      <c r="D86" s="3"/>
      <c r="E86" s="3"/>
      <c r="F86" s="3"/>
      <c r="G86" s="2"/>
      <c r="H86" s="2"/>
      <c r="I86" s="2"/>
      <c r="J86" s="2"/>
      <c r="N86" s="3"/>
      <c r="O86" s="3"/>
      <c r="P86" s="3"/>
      <c r="Q86" s="3"/>
      <c r="R86" s="3"/>
      <c r="S86" s="2"/>
      <c r="T86" s="2"/>
      <c r="U86" s="2"/>
    </row>
    <row r="87" spans="1:21">
      <c r="A87" s="69"/>
      <c r="B87" s="3"/>
      <c r="C87" s="3"/>
      <c r="D87" s="3"/>
      <c r="E87" s="3"/>
      <c r="F87" s="3"/>
      <c r="G87" s="2"/>
      <c r="H87" s="2"/>
      <c r="I87" s="2"/>
      <c r="J87" s="2"/>
      <c r="N87" s="3"/>
      <c r="O87" s="3"/>
      <c r="P87" s="3"/>
      <c r="Q87" s="3"/>
      <c r="R87" s="3"/>
      <c r="S87" s="2"/>
      <c r="T87" s="2"/>
      <c r="U87" s="2"/>
    </row>
    <row r="88" spans="1:21">
      <c r="A88" s="69"/>
      <c r="B88" s="3"/>
      <c r="C88" s="3"/>
      <c r="D88" s="3"/>
      <c r="E88" s="3"/>
      <c r="G88" s="2"/>
      <c r="H88" s="2"/>
      <c r="I88" s="2"/>
      <c r="J88" s="2"/>
      <c r="N88" s="3"/>
      <c r="O88" s="3"/>
      <c r="P88" s="3"/>
      <c r="Q88" s="3"/>
      <c r="R88" s="3"/>
      <c r="S88" s="2"/>
      <c r="T88" s="2"/>
      <c r="U88" s="2"/>
    </row>
    <row r="89" spans="1:21">
      <c r="A89" s="69"/>
      <c r="B89" s="3"/>
      <c r="C89" s="3"/>
      <c r="D89" s="3"/>
      <c r="E89" s="3"/>
      <c r="G89" s="2"/>
      <c r="H89" s="2"/>
      <c r="I89" s="2"/>
      <c r="J89" s="2"/>
      <c r="N89" s="3"/>
      <c r="O89" s="3"/>
      <c r="P89" s="3"/>
      <c r="Q89" s="3"/>
      <c r="R89" s="3"/>
      <c r="S89" s="2"/>
      <c r="T89" s="2"/>
      <c r="U89" s="2"/>
    </row>
    <row r="90" spans="1:21">
      <c r="A90" s="69"/>
      <c r="B90" s="3"/>
      <c r="C90" s="3"/>
      <c r="D90" s="3"/>
      <c r="E90" s="3"/>
      <c r="F90" s="3"/>
      <c r="G90" s="2"/>
      <c r="H90" s="2"/>
      <c r="I90" s="2"/>
      <c r="J90" s="2"/>
      <c r="N90" s="3"/>
      <c r="O90" s="3"/>
      <c r="P90" s="3"/>
      <c r="Q90" s="3"/>
      <c r="R90" s="3"/>
      <c r="S90" s="2"/>
      <c r="T90" s="2"/>
      <c r="U90" s="2"/>
    </row>
    <row r="91" spans="1:21">
      <c r="A91" s="69"/>
      <c r="B91" s="3"/>
      <c r="C91" s="3"/>
      <c r="D91" s="3"/>
      <c r="E91" s="3"/>
      <c r="G91" s="2"/>
      <c r="H91" s="2"/>
      <c r="I91" s="2"/>
      <c r="J91" s="2"/>
      <c r="N91" s="3"/>
      <c r="O91" s="3"/>
      <c r="P91" s="3"/>
      <c r="Q91" s="3"/>
      <c r="R91" s="3"/>
      <c r="S91" s="2"/>
      <c r="T91" s="2"/>
      <c r="U91" s="2"/>
    </row>
    <row r="92" spans="1:21">
      <c r="A92" s="69"/>
      <c r="B92" s="3"/>
      <c r="C92" s="3"/>
      <c r="D92" s="3"/>
      <c r="E92" s="3"/>
      <c r="G92" s="2"/>
      <c r="H92" s="2"/>
      <c r="I92" s="2"/>
      <c r="J92" s="2"/>
      <c r="N92" s="3"/>
      <c r="O92" s="3"/>
      <c r="P92" s="3"/>
      <c r="Q92" s="3"/>
      <c r="R92" s="3"/>
      <c r="S92" s="2"/>
      <c r="T92" s="2"/>
      <c r="U92" s="2"/>
    </row>
    <row r="93" spans="1:21">
      <c r="A93" s="69"/>
      <c r="B93" s="3"/>
      <c r="C93" s="3"/>
      <c r="D93" s="3"/>
      <c r="E93" s="3"/>
      <c r="F93" s="3"/>
      <c r="G93" s="2"/>
      <c r="H93" s="2"/>
      <c r="I93" s="2"/>
      <c r="J93" s="2"/>
      <c r="N93" s="3"/>
      <c r="O93" s="3"/>
      <c r="P93" s="3"/>
      <c r="Q93" s="3"/>
      <c r="R93" s="3"/>
      <c r="S93" s="2"/>
      <c r="T93" s="2"/>
      <c r="U93" s="2"/>
    </row>
    <row r="94" spans="1:21">
      <c r="A94" s="69"/>
      <c r="B94" s="3"/>
      <c r="C94" s="3"/>
      <c r="D94" s="3"/>
      <c r="E94" s="3"/>
      <c r="F94" s="3"/>
      <c r="G94" s="2"/>
      <c r="H94" s="2"/>
      <c r="I94" s="2"/>
      <c r="J94" s="2"/>
      <c r="N94" s="3"/>
      <c r="O94" s="3"/>
      <c r="P94" s="3"/>
      <c r="Q94" s="3"/>
      <c r="R94" s="3"/>
      <c r="S94" s="2"/>
      <c r="T94" s="2"/>
      <c r="U94" s="2"/>
    </row>
    <row r="95" spans="1:21">
      <c r="A95" s="69"/>
      <c r="B95" s="3"/>
      <c r="C95" s="3"/>
      <c r="D95" s="3"/>
      <c r="E95" s="3"/>
      <c r="F95" s="3"/>
      <c r="G95" s="2"/>
      <c r="H95" s="2"/>
      <c r="I95" s="2"/>
      <c r="J95" s="2"/>
      <c r="N95" s="3"/>
      <c r="O95" s="3"/>
      <c r="P95" s="3"/>
      <c r="Q95" s="3"/>
      <c r="R95" s="3"/>
      <c r="S95" s="2"/>
      <c r="T95" s="2"/>
      <c r="U95" s="2"/>
    </row>
    <row r="96" spans="1:21">
      <c r="A96" s="69"/>
      <c r="B96" s="3"/>
      <c r="C96" s="3"/>
      <c r="D96" s="3"/>
      <c r="E96" s="3"/>
      <c r="G96" s="2"/>
      <c r="H96" s="2"/>
      <c r="I96" s="2"/>
      <c r="J96" s="2"/>
      <c r="N96" s="3"/>
      <c r="O96" s="3"/>
      <c r="P96" s="3"/>
      <c r="Q96" s="3"/>
      <c r="R96" s="3"/>
      <c r="S96" s="2"/>
      <c r="T96" s="2"/>
      <c r="U96" s="2"/>
    </row>
    <row r="97" spans="1:21">
      <c r="A97" s="69"/>
      <c r="B97" s="3"/>
      <c r="C97" s="3"/>
      <c r="D97" s="3"/>
      <c r="E97" s="3"/>
      <c r="F97" s="3"/>
      <c r="G97" s="2"/>
      <c r="H97" s="2"/>
      <c r="I97" s="2"/>
      <c r="J97" s="2"/>
      <c r="N97" s="3"/>
      <c r="O97" s="3"/>
      <c r="P97" s="3"/>
      <c r="Q97" s="3"/>
      <c r="R97" s="3"/>
      <c r="S97" s="2"/>
      <c r="T97" s="2"/>
      <c r="U97" s="2"/>
    </row>
    <row r="98" spans="1:21">
      <c r="A98" s="69"/>
      <c r="B98" s="3"/>
      <c r="C98" s="3"/>
      <c r="D98" s="3"/>
      <c r="E98" s="3"/>
      <c r="G98" s="2"/>
      <c r="H98" s="2"/>
      <c r="I98" s="2"/>
      <c r="J98" s="2"/>
      <c r="N98" s="3"/>
      <c r="O98" s="3"/>
      <c r="P98" s="3"/>
      <c r="Q98" s="3"/>
      <c r="R98" s="3"/>
      <c r="S98" s="2"/>
      <c r="T98" s="2"/>
      <c r="U98" s="2"/>
    </row>
    <row r="99" spans="1:21">
      <c r="A99" s="69"/>
      <c r="B99" s="3"/>
      <c r="C99" s="3"/>
      <c r="D99" s="3"/>
      <c r="E99" s="3"/>
      <c r="G99" s="2"/>
      <c r="H99" s="2"/>
      <c r="I99" s="2"/>
      <c r="J99" s="2"/>
      <c r="N99" s="3"/>
      <c r="O99" s="3"/>
      <c r="P99" s="3"/>
      <c r="Q99" s="3"/>
      <c r="R99" s="3"/>
      <c r="S99" s="2"/>
      <c r="T99" s="2"/>
      <c r="U99" s="2"/>
    </row>
    <row r="100" spans="1:21">
      <c r="A100" s="69"/>
      <c r="B100" s="3"/>
      <c r="C100" s="3"/>
      <c r="D100" s="3"/>
      <c r="E100" s="3"/>
      <c r="G100" s="2"/>
      <c r="H100" s="2"/>
      <c r="I100" s="2"/>
      <c r="J100" s="2"/>
      <c r="N100" s="3"/>
      <c r="O100" s="3"/>
      <c r="P100" s="3"/>
      <c r="Q100" s="3"/>
      <c r="R100" s="3"/>
      <c r="S100" s="2"/>
      <c r="T100" s="2"/>
      <c r="U100" s="2"/>
    </row>
    <row r="101" spans="1:21">
      <c r="A101" s="69"/>
      <c r="B101" s="3"/>
      <c r="C101" s="3"/>
      <c r="D101" s="3"/>
      <c r="E101" s="3"/>
      <c r="F101" s="3"/>
      <c r="G101" s="2"/>
      <c r="H101" s="2"/>
      <c r="I101" s="2"/>
      <c r="J101" s="2"/>
      <c r="N101" s="3"/>
      <c r="O101" s="3"/>
      <c r="P101" s="3"/>
      <c r="Q101" s="3"/>
      <c r="R101" s="3"/>
      <c r="S101" s="2"/>
      <c r="T101" s="2"/>
      <c r="U101" s="2"/>
    </row>
    <row r="102" spans="1:21">
      <c r="A102" s="69"/>
      <c r="B102" s="3"/>
      <c r="C102" s="3"/>
      <c r="D102" s="3"/>
      <c r="E102" s="3"/>
      <c r="F102" s="3"/>
      <c r="G102" s="2"/>
      <c r="H102" s="2"/>
      <c r="I102" s="2"/>
      <c r="J102" s="2"/>
      <c r="N102" s="3"/>
      <c r="O102" s="3"/>
      <c r="P102" s="3"/>
      <c r="Q102" s="3"/>
      <c r="R102" s="3"/>
      <c r="S102" s="2"/>
      <c r="T102" s="2"/>
      <c r="U102" s="2"/>
    </row>
    <row r="103" spans="1:21">
      <c r="A103" s="69"/>
      <c r="B103" s="3"/>
      <c r="C103" s="3"/>
      <c r="D103" s="3"/>
      <c r="E103" s="3"/>
      <c r="G103" s="2"/>
      <c r="H103" s="2"/>
      <c r="I103" s="2"/>
      <c r="J103" s="2"/>
      <c r="N103" s="3"/>
      <c r="O103" s="3"/>
      <c r="P103" s="3"/>
      <c r="Q103" s="3"/>
      <c r="R103" s="3"/>
      <c r="S103" s="2"/>
      <c r="T103" s="2"/>
      <c r="U103" s="2"/>
    </row>
    <row r="104" spans="1:21">
      <c r="A104" s="69"/>
      <c r="B104" s="3"/>
      <c r="C104" s="3"/>
      <c r="D104" s="3"/>
      <c r="E104" s="3"/>
      <c r="G104" s="2"/>
      <c r="H104" s="2"/>
      <c r="I104" s="2"/>
      <c r="J104" s="2"/>
      <c r="N104" s="3"/>
      <c r="O104" s="3"/>
      <c r="P104" s="3"/>
      <c r="Q104" s="3"/>
      <c r="R104" s="3"/>
      <c r="S104" s="2"/>
      <c r="T104" s="2"/>
      <c r="U104" s="2"/>
    </row>
    <row r="105" spans="1:21">
      <c r="A105" s="69"/>
      <c r="B105" s="3"/>
      <c r="C105" s="3"/>
      <c r="D105" s="3"/>
      <c r="E105" s="3"/>
      <c r="G105" s="2"/>
      <c r="H105" s="2"/>
      <c r="I105" s="2"/>
      <c r="J105" s="2"/>
      <c r="N105" s="3"/>
      <c r="O105" s="3"/>
      <c r="P105" s="3"/>
      <c r="Q105" s="3"/>
      <c r="R105" s="3"/>
      <c r="S105" s="2"/>
      <c r="T105" s="2"/>
      <c r="U105" s="2"/>
    </row>
    <row r="106" spans="1:21">
      <c r="A106" s="69"/>
      <c r="B106" s="3"/>
      <c r="C106" s="3"/>
      <c r="D106" s="3"/>
      <c r="E106" s="3"/>
      <c r="G106" s="2"/>
      <c r="H106" s="2"/>
      <c r="I106" s="2"/>
      <c r="J106" s="2"/>
      <c r="N106" s="3"/>
      <c r="O106" s="3"/>
      <c r="P106" s="3"/>
      <c r="Q106" s="3"/>
      <c r="R106" s="3"/>
      <c r="S106" s="2"/>
      <c r="T106" s="2"/>
      <c r="U106" s="2"/>
    </row>
    <row r="107" spans="1:21">
      <c r="A107" s="69"/>
      <c r="B107" s="3"/>
      <c r="C107" s="3"/>
      <c r="D107" s="3"/>
      <c r="E107" s="3"/>
      <c r="G107" s="2"/>
      <c r="H107" s="2"/>
      <c r="I107" s="2"/>
      <c r="J107" s="2"/>
      <c r="N107" s="3"/>
      <c r="O107" s="3"/>
      <c r="P107" s="3"/>
      <c r="Q107" s="3"/>
      <c r="R107" s="3"/>
      <c r="S107" s="2"/>
      <c r="T107" s="2"/>
      <c r="U107" s="2"/>
    </row>
    <row r="108" spans="1:21">
      <c r="A108" s="69"/>
      <c r="B108" s="3"/>
      <c r="C108" s="3"/>
      <c r="D108" s="3"/>
      <c r="E108" s="3"/>
      <c r="F108" s="3"/>
      <c r="G108" s="2"/>
      <c r="H108" s="2"/>
      <c r="I108" s="2"/>
      <c r="J108" s="2"/>
      <c r="N108" s="3"/>
      <c r="O108" s="3"/>
      <c r="P108" s="3"/>
      <c r="Q108" s="3"/>
      <c r="R108" s="3"/>
      <c r="S108" s="2"/>
      <c r="T108" s="2"/>
      <c r="U108" s="2"/>
    </row>
    <row r="109" spans="1:21">
      <c r="A109" s="69"/>
      <c r="B109" s="3"/>
      <c r="C109" s="3"/>
      <c r="D109" s="3"/>
      <c r="E109" s="3"/>
      <c r="G109" s="2"/>
      <c r="H109" s="2"/>
      <c r="I109" s="2"/>
      <c r="J109" s="2"/>
      <c r="N109" s="3"/>
      <c r="O109" s="3"/>
      <c r="P109" s="3"/>
      <c r="Q109" s="3"/>
      <c r="R109" s="3"/>
      <c r="S109" s="2"/>
      <c r="T109" s="2"/>
      <c r="U109" s="2"/>
    </row>
    <row r="110" spans="1:21">
      <c r="A110" s="69"/>
      <c r="B110" s="3"/>
      <c r="C110" s="3"/>
      <c r="D110" s="3"/>
      <c r="E110" s="3"/>
      <c r="G110" s="2"/>
      <c r="H110" s="2"/>
      <c r="I110" s="2"/>
      <c r="J110" s="2"/>
      <c r="N110" s="3"/>
      <c r="O110" s="3"/>
      <c r="P110" s="3"/>
      <c r="Q110" s="3"/>
      <c r="R110" s="3"/>
      <c r="S110" s="2"/>
      <c r="T110" s="2"/>
      <c r="U110" s="2"/>
    </row>
    <row r="111" spans="1:21">
      <c r="A111" s="69"/>
      <c r="B111" s="3"/>
      <c r="C111" s="3"/>
      <c r="D111" s="3"/>
      <c r="E111" s="3"/>
      <c r="G111" s="2"/>
      <c r="H111" s="2"/>
      <c r="I111" s="2"/>
      <c r="J111" s="2"/>
      <c r="N111" s="3"/>
      <c r="O111" s="3"/>
      <c r="P111" s="3"/>
      <c r="Q111" s="3"/>
      <c r="R111" s="3"/>
      <c r="S111" s="2"/>
      <c r="T111" s="2"/>
      <c r="U111" s="2"/>
    </row>
    <row r="112" spans="1:21">
      <c r="A112" s="69"/>
      <c r="B112" s="3"/>
      <c r="C112" s="3"/>
      <c r="D112" s="3"/>
      <c r="E112" s="3"/>
      <c r="G112" s="2"/>
      <c r="H112" s="2"/>
      <c r="I112" s="2"/>
      <c r="J112" s="2"/>
      <c r="N112" s="3"/>
      <c r="O112" s="3"/>
      <c r="P112" s="3"/>
      <c r="Q112" s="3"/>
      <c r="R112" s="3"/>
      <c r="S112" s="2"/>
      <c r="T112" s="2"/>
      <c r="U112" s="2"/>
    </row>
    <row r="113" spans="1:21">
      <c r="A113" s="69"/>
      <c r="B113" s="3"/>
      <c r="C113" s="3"/>
      <c r="D113" s="3"/>
      <c r="E113" s="3"/>
      <c r="F113" s="3"/>
      <c r="G113" s="2"/>
      <c r="H113" s="2"/>
      <c r="I113" s="2"/>
      <c r="J113" s="2"/>
      <c r="N113" s="3"/>
      <c r="O113" s="3"/>
      <c r="P113" s="3"/>
      <c r="Q113" s="3"/>
      <c r="R113" s="3"/>
      <c r="S113" s="2"/>
      <c r="T113" s="2"/>
      <c r="U113" s="2"/>
    </row>
    <row r="114" spans="1:21">
      <c r="A114" s="69"/>
      <c r="B114" s="3"/>
      <c r="C114" s="3"/>
      <c r="D114" s="3"/>
      <c r="E114" s="3"/>
      <c r="G114" s="2"/>
      <c r="H114" s="2"/>
      <c r="I114" s="2"/>
      <c r="J114" s="2"/>
      <c r="N114" s="3"/>
      <c r="O114" s="3"/>
      <c r="P114" s="3"/>
      <c r="Q114" s="3"/>
      <c r="R114" s="3"/>
      <c r="S114" s="2"/>
      <c r="T114" s="2"/>
      <c r="U114" s="2"/>
    </row>
    <row r="115" spans="1:21">
      <c r="A115" s="69"/>
      <c r="B115" s="3"/>
      <c r="C115" s="3"/>
      <c r="D115" s="3"/>
      <c r="E115" s="3"/>
      <c r="F115" s="3"/>
      <c r="G115" s="2"/>
      <c r="H115" s="2"/>
      <c r="I115" s="2"/>
      <c r="J115" s="2"/>
      <c r="N115" s="3"/>
      <c r="O115" s="3"/>
      <c r="P115" s="3"/>
      <c r="Q115" s="3"/>
      <c r="R115" s="3"/>
      <c r="S115" s="2"/>
      <c r="T115" s="2"/>
      <c r="U115" s="2"/>
    </row>
    <row r="116" spans="1:21">
      <c r="A116" s="69"/>
      <c r="B116" s="3"/>
      <c r="C116" s="3"/>
      <c r="D116" s="3"/>
      <c r="E116" s="3"/>
      <c r="G116" s="2"/>
      <c r="H116" s="2"/>
      <c r="I116" s="2"/>
      <c r="J116" s="2"/>
      <c r="N116" s="3"/>
      <c r="O116" s="3"/>
      <c r="P116" s="3"/>
      <c r="Q116" s="3"/>
      <c r="R116" s="3"/>
      <c r="S116" s="2"/>
      <c r="T116" s="2"/>
      <c r="U116" s="2"/>
    </row>
    <row r="117" spans="1:21">
      <c r="A117" s="69"/>
      <c r="B117" s="3"/>
      <c r="C117" s="3"/>
      <c r="D117" s="3"/>
      <c r="E117" s="3"/>
      <c r="F117" s="3"/>
      <c r="G117" s="2"/>
      <c r="H117" s="2"/>
      <c r="I117" s="2"/>
      <c r="J117" s="2"/>
      <c r="N117" s="3"/>
      <c r="O117" s="3"/>
      <c r="P117" s="3"/>
      <c r="Q117" s="3"/>
      <c r="R117" s="3"/>
      <c r="S117" s="2"/>
      <c r="T117" s="2"/>
      <c r="U117" s="2"/>
    </row>
    <row r="118" spans="1:21">
      <c r="A118" s="69"/>
      <c r="B118" s="3"/>
      <c r="C118" s="3"/>
      <c r="D118" s="3"/>
      <c r="E118" s="3"/>
      <c r="F118" s="3"/>
      <c r="G118" s="2"/>
      <c r="H118" s="2"/>
      <c r="I118" s="2"/>
      <c r="J118" s="2"/>
      <c r="N118" s="3"/>
      <c r="O118" s="3"/>
      <c r="P118" s="3"/>
      <c r="Q118" s="3"/>
      <c r="R118" s="3"/>
      <c r="S118" s="2"/>
      <c r="T118" s="2"/>
      <c r="U118" s="2"/>
    </row>
    <row r="119" spans="1:21">
      <c r="A119" s="69"/>
      <c r="B119" s="3"/>
      <c r="C119" s="3"/>
      <c r="D119" s="3"/>
      <c r="E119" s="3"/>
      <c r="F119" s="3"/>
      <c r="G119" s="2"/>
      <c r="H119" s="2"/>
      <c r="I119" s="2"/>
      <c r="J119" s="2"/>
      <c r="N119" s="3"/>
      <c r="O119" s="3"/>
      <c r="P119" s="3"/>
      <c r="Q119" s="3"/>
      <c r="R119" s="3"/>
      <c r="S119" s="2"/>
      <c r="T119" s="2"/>
      <c r="U119" s="2"/>
    </row>
    <row r="120" spans="1:21">
      <c r="A120" s="69"/>
      <c r="B120" s="3"/>
      <c r="C120" s="3"/>
      <c r="D120" s="3"/>
      <c r="E120" s="3"/>
      <c r="G120" s="2"/>
      <c r="H120" s="2"/>
      <c r="I120" s="2"/>
      <c r="J120" s="2"/>
      <c r="N120" s="3"/>
      <c r="O120" s="3"/>
      <c r="P120" s="3"/>
      <c r="Q120" s="3"/>
      <c r="R120" s="3"/>
      <c r="S120" s="2"/>
      <c r="T120" s="2"/>
      <c r="U120" s="2"/>
    </row>
    <row r="121" spans="1:21">
      <c r="A121" s="69"/>
      <c r="B121" s="3"/>
      <c r="C121" s="3"/>
      <c r="D121" s="3"/>
      <c r="E121" s="3"/>
      <c r="G121" s="2"/>
      <c r="H121" s="2"/>
      <c r="I121" s="2"/>
      <c r="J121" s="2"/>
      <c r="N121" s="3"/>
      <c r="O121" s="3"/>
      <c r="P121" s="3"/>
      <c r="Q121" s="3"/>
      <c r="R121" s="3"/>
      <c r="S121" s="2"/>
      <c r="T121" s="2"/>
      <c r="U121" s="2"/>
    </row>
    <row r="122" spans="1:21">
      <c r="A122" s="69"/>
      <c r="B122" s="3"/>
      <c r="C122" s="3"/>
      <c r="D122" s="3"/>
      <c r="E122" s="3"/>
      <c r="F122" s="3"/>
      <c r="G122" s="2"/>
      <c r="H122" s="2"/>
      <c r="I122" s="2"/>
      <c r="J122" s="2"/>
      <c r="N122" s="3"/>
      <c r="O122" s="3"/>
      <c r="P122" s="3"/>
      <c r="Q122" s="3"/>
      <c r="R122" s="3"/>
      <c r="S122" s="2"/>
      <c r="T122" s="2"/>
      <c r="U122" s="2"/>
    </row>
    <row r="123" spans="1:21">
      <c r="A123" s="69"/>
      <c r="B123" s="3"/>
      <c r="C123" s="3"/>
      <c r="D123" s="3"/>
      <c r="E123" s="3"/>
      <c r="F123" s="3"/>
      <c r="G123" s="2"/>
      <c r="H123" s="2"/>
      <c r="I123" s="2"/>
      <c r="J123" s="2"/>
      <c r="N123" s="3"/>
      <c r="O123" s="3"/>
      <c r="P123" s="3"/>
      <c r="Q123" s="3"/>
      <c r="R123" s="3"/>
      <c r="S123" s="2"/>
      <c r="T123" s="2"/>
      <c r="U123" s="2"/>
    </row>
    <row r="124" spans="1:21">
      <c r="A124" s="69"/>
      <c r="B124" s="3"/>
      <c r="C124" s="3"/>
      <c r="D124" s="3"/>
      <c r="E124" s="3"/>
      <c r="F124" s="3"/>
      <c r="G124" s="2"/>
      <c r="H124" s="2"/>
      <c r="I124" s="2"/>
      <c r="J124" s="2"/>
      <c r="N124" s="3"/>
      <c r="O124" s="3"/>
      <c r="P124" s="3"/>
      <c r="Q124" s="3"/>
      <c r="R124" s="3"/>
      <c r="S124" s="2"/>
      <c r="T124" s="2"/>
      <c r="U124" s="2"/>
    </row>
    <row r="125" spans="1:21">
      <c r="A125" s="69"/>
      <c r="B125" s="3"/>
      <c r="C125" s="3"/>
      <c r="D125" s="3"/>
      <c r="E125" s="3"/>
      <c r="F125" s="3"/>
      <c r="G125" s="2"/>
      <c r="H125" s="2"/>
      <c r="I125" s="2"/>
      <c r="J125" s="2"/>
      <c r="N125" s="3"/>
      <c r="O125" s="3"/>
      <c r="P125" s="3"/>
      <c r="Q125" s="3"/>
      <c r="R125" s="3"/>
      <c r="S125" s="2"/>
      <c r="T125" s="2"/>
      <c r="U125" s="2"/>
    </row>
    <row r="126" spans="1:21">
      <c r="A126" s="69"/>
      <c r="B126" s="3"/>
      <c r="C126" s="3"/>
      <c r="D126" s="3"/>
      <c r="E126" s="3"/>
      <c r="G126" s="2"/>
      <c r="H126" s="2"/>
      <c r="I126" s="2"/>
      <c r="J126" s="2"/>
      <c r="N126" s="3"/>
      <c r="O126" s="3"/>
      <c r="P126" s="3"/>
      <c r="Q126" s="3"/>
      <c r="R126" s="3"/>
      <c r="S126" s="2"/>
      <c r="T126" s="2"/>
      <c r="U126" s="2"/>
    </row>
    <row r="127" spans="1:21">
      <c r="A127" s="69"/>
      <c r="B127" s="3"/>
      <c r="C127" s="3"/>
      <c r="D127" s="3"/>
      <c r="E127" s="3"/>
      <c r="G127" s="2"/>
      <c r="H127" s="2"/>
      <c r="I127" s="2"/>
      <c r="J127" s="2"/>
      <c r="N127" s="3"/>
      <c r="O127" s="3"/>
      <c r="P127" s="3"/>
      <c r="Q127" s="3"/>
      <c r="R127" s="3"/>
      <c r="S127" s="2"/>
      <c r="T127" s="2"/>
      <c r="U127" s="2"/>
    </row>
    <row r="128" spans="1:21">
      <c r="A128" s="69"/>
      <c r="B128" s="3"/>
      <c r="C128" s="3"/>
      <c r="D128" s="3"/>
      <c r="E128" s="3"/>
      <c r="F128" s="3"/>
      <c r="G128" s="2"/>
      <c r="H128" s="2"/>
      <c r="I128" s="2"/>
      <c r="J128" s="2"/>
      <c r="N128" s="3"/>
      <c r="O128" s="3"/>
      <c r="P128" s="3"/>
      <c r="Q128" s="3"/>
      <c r="R128" s="3"/>
      <c r="S128" s="2"/>
      <c r="T128" s="2"/>
      <c r="U128" s="2"/>
    </row>
    <row r="129" spans="1:21">
      <c r="A129" s="69"/>
      <c r="B129" s="3"/>
      <c r="C129" s="3"/>
      <c r="D129" s="3"/>
      <c r="E129" s="3"/>
      <c r="F129" s="3"/>
      <c r="G129" s="2"/>
      <c r="H129" s="2"/>
      <c r="I129" s="2"/>
      <c r="J129" s="2"/>
      <c r="N129" s="3"/>
      <c r="O129" s="3"/>
      <c r="P129" s="3"/>
      <c r="Q129" s="3"/>
      <c r="R129" s="3"/>
      <c r="S129" s="2"/>
      <c r="T129" s="2"/>
      <c r="U129" s="2"/>
    </row>
    <row r="130" spans="1:21">
      <c r="A130" s="69"/>
      <c r="B130" s="3"/>
      <c r="C130" s="3"/>
      <c r="D130" s="3"/>
      <c r="E130" s="3"/>
      <c r="G130" s="2"/>
      <c r="H130" s="2"/>
      <c r="I130" s="2"/>
      <c r="J130" s="2"/>
      <c r="N130" s="3"/>
      <c r="O130" s="3"/>
      <c r="P130" s="3"/>
      <c r="Q130" s="3"/>
      <c r="R130" s="3"/>
      <c r="S130" s="2"/>
      <c r="T130" s="2"/>
      <c r="U130" s="2"/>
    </row>
    <row r="131" spans="1:21">
      <c r="A131" s="69"/>
      <c r="B131" s="3"/>
      <c r="C131" s="3"/>
      <c r="D131" s="3"/>
      <c r="E131" s="3"/>
      <c r="G131" s="2"/>
      <c r="H131" s="2"/>
      <c r="I131" s="2"/>
      <c r="J131" s="2"/>
      <c r="N131" s="3"/>
      <c r="O131" s="3"/>
      <c r="P131" s="3"/>
      <c r="Q131" s="3"/>
      <c r="R131" s="3"/>
      <c r="S131" s="2"/>
      <c r="T131" s="2"/>
      <c r="U131" s="2"/>
    </row>
    <row r="132" spans="1:21">
      <c r="A132" s="69"/>
      <c r="B132" s="3"/>
      <c r="C132" s="3"/>
      <c r="D132" s="3"/>
      <c r="E132" s="3"/>
      <c r="G132" s="2"/>
      <c r="H132" s="2"/>
      <c r="I132" s="2"/>
      <c r="J132" s="2"/>
      <c r="N132" s="3"/>
      <c r="O132" s="3"/>
      <c r="P132" s="3"/>
      <c r="Q132" s="3"/>
      <c r="R132" s="3"/>
      <c r="S132" s="2"/>
      <c r="T132" s="2"/>
      <c r="U132" s="2"/>
    </row>
    <row r="133" spans="1:21">
      <c r="A133" s="69"/>
      <c r="B133" s="3"/>
      <c r="C133" s="3"/>
      <c r="D133" s="3"/>
      <c r="E133" s="3"/>
      <c r="F133" s="3"/>
      <c r="G133" s="2"/>
      <c r="H133" s="2"/>
      <c r="I133" s="2"/>
      <c r="J133" s="2"/>
      <c r="N133" s="3"/>
      <c r="O133" s="3"/>
      <c r="P133" s="3"/>
      <c r="Q133" s="3"/>
      <c r="R133" s="3"/>
      <c r="S133" s="2"/>
      <c r="T133" s="2"/>
      <c r="U133" s="2"/>
    </row>
    <row r="134" spans="1:21">
      <c r="A134" s="69"/>
      <c r="B134" s="3"/>
      <c r="C134" s="3"/>
      <c r="D134" s="3"/>
      <c r="E134" s="3"/>
      <c r="G134" s="2"/>
      <c r="H134" s="2"/>
      <c r="I134" s="2"/>
      <c r="J134" s="2"/>
      <c r="N134" s="3"/>
      <c r="O134" s="3"/>
      <c r="P134" s="3"/>
      <c r="Q134" s="3"/>
      <c r="R134" s="3"/>
      <c r="S134" s="2"/>
      <c r="T134" s="2"/>
      <c r="U134" s="2"/>
    </row>
    <row r="135" spans="1:21">
      <c r="A135" s="69"/>
      <c r="B135" s="3"/>
      <c r="C135" s="3"/>
      <c r="D135" s="3"/>
      <c r="E135" s="3"/>
      <c r="G135" s="2"/>
      <c r="H135" s="2"/>
      <c r="I135" s="2"/>
      <c r="J135" s="2"/>
      <c r="N135" s="3"/>
      <c r="O135" s="3"/>
      <c r="P135" s="3"/>
      <c r="Q135" s="3"/>
      <c r="R135" s="3"/>
      <c r="S135" s="2"/>
      <c r="T135" s="2"/>
      <c r="U135" s="2"/>
    </row>
    <row r="136" spans="1:21">
      <c r="A136" s="69"/>
      <c r="B136" s="3"/>
      <c r="C136" s="3"/>
      <c r="D136" s="3"/>
      <c r="E136" s="3"/>
      <c r="G136" s="2"/>
      <c r="H136" s="2"/>
      <c r="I136" s="2"/>
      <c r="J136" s="2"/>
      <c r="N136" s="3"/>
      <c r="O136" s="3"/>
      <c r="P136" s="3"/>
      <c r="Q136" s="3"/>
      <c r="R136" s="3"/>
      <c r="S136" s="2"/>
      <c r="T136" s="2"/>
      <c r="U136" s="2"/>
    </row>
    <row r="137" spans="1:21">
      <c r="A137" s="69"/>
      <c r="B137" s="3"/>
      <c r="C137" s="3"/>
      <c r="D137" s="3"/>
      <c r="E137" s="3"/>
      <c r="G137" s="2"/>
      <c r="H137" s="2"/>
      <c r="I137" s="2"/>
      <c r="J137" s="2"/>
      <c r="N137" s="3"/>
      <c r="O137" s="3"/>
      <c r="P137" s="3"/>
      <c r="Q137" s="3"/>
      <c r="R137" s="3"/>
      <c r="S137" s="2"/>
      <c r="T137" s="2"/>
      <c r="U137" s="2"/>
    </row>
    <row r="138" spans="1:21">
      <c r="A138" s="69"/>
      <c r="B138" s="3"/>
      <c r="C138" s="3"/>
      <c r="D138" s="3"/>
      <c r="E138" s="3"/>
      <c r="F138" s="3"/>
      <c r="G138" s="2"/>
      <c r="H138" s="2"/>
      <c r="I138" s="2"/>
      <c r="J138" s="2"/>
      <c r="N138" s="3"/>
      <c r="O138" s="3"/>
      <c r="P138" s="3"/>
      <c r="Q138" s="3"/>
      <c r="R138" s="3"/>
      <c r="S138" s="2"/>
      <c r="T138" s="2"/>
      <c r="U138" s="2"/>
    </row>
    <row r="139" spans="1:21">
      <c r="A139" s="69"/>
      <c r="B139" s="3"/>
      <c r="C139" s="3"/>
      <c r="D139" s="3"/>
      <c r="E139" s="3"/>
      <c r="G139" s="2"/>
      <c r="H139" s="2"/>
      <c r="I139" s="2"/>
      <c r="J139" s="2"/>
      <c r="N139" s="3"/>
      <c r="O139" s="3"/>
      <c r="P139" s="3"/>
      <c r="Q139" s="3"/>
      <c r="R139" s="3"/>
      <c r="S139" s="2"/>
      <c r="T139" s="2"/>
      <c r="U139" s="2"/>
    </row>
    <row r="140" spans="1:21">
      <c r="A140" s="69"/>
      <c r="B140" s="3"/>
      <c r="C140" s="3"/>
      <c r="D140" s="3"/>
      <c r="E140" s="3"/>
      <c r="F140" s="3"/>
      <c r="G140" s="2"/>
      <c r="H140" s="2"/>
      <c r="I140" s="2"/>
      <c r="J140" s="2"/>
      <c r="N140" s="3"/>
      <c r="O140" s="3"/>
      <c r="P140" s="3"/>
      <c r="Q140" s="3"/>
      <c r="R140" s="3"/>
      <c r="S140" s="2"/>
      <c r="T140" s="2"/>
      <c r="U140" s="2"/>
    </row>
    <row r="141" spans="1:21">
      <c r="A141" s="69"/>
      <c r="B141" s="3"/>
      <c r="C141" s="3"/>
      <c r="D141" s="3"/>
      <c r="E141" s="3"/>
      <c r="F141" s="3"/>
      <c r="G141" s="2"/>
      <c r="H141" s="2"/>
      <c r="I141" s="2"/>
      <c r="J141" s="2"/>
      <c r="N141" s="3"/>
      <c r="O141" s="3"/>
      <c r="P141" s="3"/>
      <c r="Q141" s="3"/>
      <c r="R141" s="3"/>
      <c r="S141" s="2"/>
      <c r="T141" s="2"/>
      <c r="U141" s="2"/>
    </row>
    <row r="142" spans="1:21">
      <c r="A142" s="69"/>
      <c r="B142" s="3"/>
      <c r="C142" s="3"/>
      <c r="D142" s="3"/>
      <c r="E142" s="3"/>
      <c r="F142" s="3"/>
      <c r="G142" s="2"/>
      <c r="H142" s="2"/>
      <c r="I142" s="2"/>
      <c r="J142" s="2"/>
      <c r="N142" s="3"/>
      <c r="O142" s="3"/>
      <c r="P142" s="3"/>
      <c r="Q142" s="3"/>
      <c r="R142" s="3"/>
      <c r="S142" s="2"/>
      <c r="T142" s="2"/>
      <c r="U142" s="2"/>
    </row>
    <row r="143" spans="1:21">
      <c r="A143" s="69"/>
      <c r="B143" s="3"/>
      <c r="C143" s="3"/>
      <c r="D143" s="3"/>
      <c r="E143" s="3"/>
      <c r="F143" s="3"/>
      <c r="G143" s="2"/>
      <c r="H143" s="2"/>
      <c r="I143" s="2"/>
      <c r="J143" s="2"/>
      <c r="N143" s="3"/>
      <c r="O143" s="3"/>
      <c r="P143" s="3"/>
      <c r="Q143" s="3"/>
      <c r="R143" s="3"/>
      <c r="S143" s="2"/>
      <c r="T143" s="2"/>
      <c r="U143" s="2"/>
    </row>
    <row r="144" spans="1:21">
      <c r="A144" s="69"/>
      <c r="B144" s="3"/>
      <c r="C144" s="3"/>
      <c r="D144" s="3"/>
      <c r="E144" s="3"/>
      <c r="F144" s="3"/>
      <c r="G144" s="2"/>
      <c r="H144" s="2"/>
      <c r="I144" s="2"/>
      <c r="J144" s="2"/>
      <c r="N144" s="3"/>
      <c r="O144" s="3"/>
      <c r="P144" s="3"/>
      <c r="Q144" s="3"/>
      <c r="R144" s="3"/>
      <c r="S144" s="2"/>
      <c r="T144" s="2"/>
      <c r="U144" s="2"/>
    </row>
    <row r="145" spans="1:21">
      <c r="A145" s="69"/>
      <c r="B145" s="3"/>
      <c r="C145" s="3"/>
      <c r="D145" s="3"/>
      <c r="E145" s="3"/>
      <c r="F145" s="3"/>
      <c r="G145" s="2"/>
      <c r="H145" s="2"/>
      <c r="I145" s="2"/>
      <c r="J145" s="2"/>
      <c r="N145" s="3"/>
      <c r="O145" s="3"/>
      <c r="P145" s="3"/>
      <c r="Q145" s="3"/>
      <c r="R145" s="3"/>
      <c r="S145" s="2"/>
      <c r="T145" s="2"/>
      <c r="U145" s="2"/>
    </row>
    <row r="146" spans="1:21">
      <c r="A146" s="69"/>
      <c r="B146" s="3"/>
      <c r="C146" s="3"/>
      <c r="D146" s="3"/>
      <c r="E146" s="3"/>
      <c r="G146" s="2"/>
      <c r="H146" s="2"/>
      <c r="I146" s="2"/>
      <c r="J146" s="2"/>
      <c r="N146" s="3"/>
      <c r="O146" s="3"/>
      <c r="P146" s="3"/>
      <c r="Q146" s="3"/>
      <c r="R146" s="3"/>
      <c r="S146" s="2"/>
      <c r="T146" s="2"/>
      <c r="U146" s="2"/>
    </row>
    <row r="147" spans="1:21">
      <c r="A147" s="69"/>
      <c r="B147" s="3"/>
      <c r="C147" s="3"/>
      <c r="D147" s="3"/>
      <c r="E147" s="3"/>
      <c r="F147" s="3"/>
      <c r="G147" s="2"/>
      <c r="H147" s="2"/>
      <c r="I147" s="2"/>
      <c r="J147" s="2"/>
      <c r="N147" s="3"/>
      <c r="O147" s="3"/>
      <c r="P147" s="3"/>
      <c r="Q147" s="3"/>
      <c r="R147" s="3"/>
      <c r="S147" s="2"/>
      <c r="T147" s="2"/>
      <c r="U147" s="2"/>
    </row>
    <row r="148" spans="1:21">
      <c r="A148" s="69"/>
      <c r="B148" s="3"/>
      <c r="C148" s="3"/>
      <c r="D148" s="3"/>
      <c r="E148" s="3"/>
      <c r="F148" s="3"/>
      <c r="G148" s="2"/>
      <c r="H148" s="2"/>
      <c r="I148" s="2"/>
      <c r="J148" s="2"/>
      <c r="N148" s="3"/>
      <c r="O148" s="3"/>
      <c r="P148" s="3"/>
      <c r="Q148" s="3"/>
      <c r="R148" s="3"/>
      <c r="S148" s="2"/>
      <c r="T148" s="2"/>
      <c r="U148" s="2"/>
    </row>
    <row r="149" spans="1:21">
      <c r="A149" s="69"/>
      <c r="B149" s="3"/>
      <c r="C149" s="3"/>
      <c r="D149" s="3"/>
      <c r="E149" s="3"/>
      <c r="G149" s="2"/>
      <c r="H149" s="2"/>
      <c r="I149" s="2"/>
      <c r="J149" s="2"/>
      <c r="N149" s="3"/>
      <c r="O149" s="3"/>
      <c r="P149" s="3"/>
      <c r="Q149" s="3"/>
      <c r="R149" s="3"/>
      <c r="S149" s="2"/>
      <c r="T149" s="2"/>
      <c r="U149" s="2"/>
    </row>
    <row r="150" spans="1:21">
      <c r="A150" s="69"/>
      <c r="B150" s="3"/>
      <c r="C150" s="3"/>
      <c r="D150" s="3"/>
      <c r="E150" s="3"/>
      <c r="G150" s="2"/>
      <c r="H150" s="2"/>
      <c r="I150" s="2"/>
      <c r="J150" s="2"/>
      <c r="N150" s="3"/>
      <c r="O150" s="3"/>
      <c r="P150" s="3"/>
      <c r="Q150" s="3"/>
      <c r="R150" s="3"/>
      <c r="S150" s="2"/>
      <c r="T150" s="2"/>
      <c r="U150" s="2"/>
    </row>
    <row r="151" spans="1:21">
      <c r="A151" s="69"/>
      <c r="B151" s="3"/>
      <c r="C151" s="3"/>
      <c r="D151" s="3"/>
      <c r="E151" s="3"/>
      <c r="G151" s="2"/>
      <c r="H151" s="2"/>
      <c r="I151" s="2"/>
      <c r="J151" s="2"/>
      <c r="N151" s="3"/>
      <c r="O151" s="3"/>
      <c r="P151" s="3"/>
      <c r="Q151" s="3"/>
      <c r="R151" s="3"/>
      <c r="S151" s="2"/>
      <c r="T151" s="2"/>
      <c r="U151" s="2"/>
    </row>
    <row r="152" spans="1:21">
      <c r="A152" s="69"/>
      <c r="B152" s="3"/>
      <c r="C152" s="3"/>
      <c r="D152" s="3"/>
      <c r="E152" s="3"/>
      <c r="G152" s="2"/>
      <c r="H152" s="2"/>
      <c r="I152" s="2"/>
      <c r="J152" s="2"/>
      <c r="N152" s="3"/>
      <c r="O152" s="3"/>
      <c r="P152" s="3"/>
      <c r="Q152" s="3"/>
      <c r="R152" s="3"/>
      <c r="S152" s="2"/>
      <c r="T152" s="2"/>
      <c r="U152" s="2"/>
    </row>
    <row r="153" spans="1:21">
      <c r="A153" s="69"/>
      <c r="B153" s="3"/>
      <c r="C153" s="3"/>
      <c r="D153" s="3"/>
      <c r="E153" s="3"/>
      <c r="F153" s="3"/>
      <c r="G153" s="2"/>
      <c r="H153" s="2"/>
      <c r="I153" s="2"/>
      <c r="J153" s="2"/>
      <c r="N153" s="3"/>
      <c r="O153" s="3"/>
      <c r="P153" s="3"/>
      <c r="Q153" s="3"/>
      <c r="R153" s="3"/>
      <c r="S153" s="2"/>
      <c r="T153" s="2"/>
      <c r="U153" s="2"/>
    </row>
    <row r="154" spans="1:21">
      <c r="A154" s="69"/>
      <c r="B154" s="3"/>
      <c r="C154" s="3"/>
      <c r="D154" s="3"/>
      <c r="E154" s="3"/>
      <c r="F154" s="3"/>
      <c r="G154" s="2"/>
      <c r="H154" s="2"/>
      <c r="I154" s="2"/>
      <c r="J154" s="2"/>
      <c r="N154" s="3"/>
      <c r="O154" s="3"/>
      <c r="P154" s="3"/>
      <c r="Q154" s="3"/>
      <c r="R154" s="3"/>
      <c r="S154" s="2"/>
      <c r="T154" s="2"/>
      <c r="U154" s="2"/>
    </row>
    <row r="155" spans="1:21">
      <c r="A155" s="69"/>
      <c r="B155" s="3"/>
      <c r="C155" s="3"/>
      <c r="D155" s="3"/>
      <c r="E155" s="3"/>
      <c r="G155" s="2"/>
      <c r="H155" s="2"/>
      <c r="I155" s="2"/>
      <c r="J155" s="2"/>
      <c r="N155" s="3"/>
      <c r="O155" s="3"/>
      <c r="P155" s="3"/>
      <c r="Q155" s="3"/>
      <c r="R155" s="3"/>
      <c r="S155" s="2"/>
      <c r="T155" s="2"/>
      <c r="U155" s="2"/>
    </row>
    <row r="156" spans="1:21">
      <c r="A156" s="69"/>
      <c r="B156" s="3"/>
      <c r="C156" s="3"/>
      <c r="D156" s="3"/>
      <c r="E156" s="3"/>
      <c r="G156" s="2"/>
      <c r="H156" s="2"/>
      <c r="I156" s="2"/>
      <c r="J156" s="2"/>
      <c r="N156" s="3"/>
      <c r="O156" s="3"/>
      <c r="P156" s="3"/>
      <c r="Q156" s="3"/>
      <c r="R156" s="3"/>
      <c r="S156" s="2"/>
      <c r="T156" s="2"/>
      <c r="U156" s="2"/>
    </row>
    <row r="157" spans="1:21">
      <c r="A157" s="69"/>
      <c r="B157" s="3"/>
      <c r="C157" s="3"/>
      <c r="D157" s="3"/>
      <c r="E157" s="3"/>
      <c r="G157" s="2"/>
      <c r="H157" s="2"/>
      <c r="I157" s="2"/>
      <c r="J157" s="2"/>
      <c r="N157" s="3"/>
      <c r="O157" s="3"/>
      <c r="P157" s="3"/>
      <c r="Q157" s="3"/>
      <c r="R157" s="3"/>
      <c r="S157" s="2"/>
      <c r="T157" s="2"/>
      <c r="U157" s="2"/>
    </row>
    <row r="158" spans="1:21">
      <c r="A158" s="69"/>
      <c r="B158" s="3"/>
      <c r="C158" s="3"/>
      <c r="D158" s="3"/>
      <c r="E158" s="3"/>
      <c r="G158" s="2"/>
      <c r="H158" s="2"/>
      <c r="I158" s="2"/>
      <c r="J158" s="2"/>
      <c r="N158" s="3"/>
      <c r="O158" s="3"/>
      <c r="P158" s="3"/>
      <c r="Q158" s="3"/>
      <c r="R158" s="3"/>
      <c r="S158" s="2"/>
      <c r="T158" s="2"/>
      <c r="U158" s="2"/>
    </row>
    <row r="159" spans="1:21">
      <c r="A159" s="69"/>
      <c r="B159" s="3"/>
      <c r="C159" s="3"/>
      <c r="D159" s="3"/>
      <c r="E159" s="3"/>
      <c r="G159" s="2"/>
      <c r="H159" s="2"/>
      <c r="I159" s="2"/>
      <c r="J159" s="2"/>
      <c r="N159" s="3"/>
      <c r="O159" s="3"/>
      <c r="P159" s="3"/>
      <c r="Q159" s="3"/>
      <c r="R159" s="3"/>
      <c r="S159" s="2"/>
      <c r="T159" s="2"/>
      <c r="U159" s="2"/>
    </row>
    <row r="160" spans="1:21">
      <c r="A160" s="69"/>
      <c r="B160" s="3"/>
      <c r="C160" s="3"/>
      <c r="D160" s="3"/>
      <c r="E160" s="3"/>
      <c r="G160" s="2"/>
      <c r="H160" s="2"/>
      <c r="I160" s="2"/>
      <c r="J160" s="2"/>
      <c r="N160" s="3"/>
      <c r="O160" s="3"/>
      <c r="P160" s="3"/>
      <c r="Q160" s="3"/>
      <c r="R160" s="3"/>
      <c r="S160" s="2"/>
      <c r="T160" s="2"/>
      <c r="U160" s="2"/>
    </row>
    <row r="161" spans="1:21">
      <c r="A161" s="69"/>
      <c r="B161" s="3"/>
      <c r="C161" s="3"/>
      <c r="D161" s="3"/>
      <c r="E161" s="3"/>
      <c r="G161" s="2"/>
      <c r="H161" s="2"/>
      <c r="I161" s="2"/>
      <c r="J161" s="2"/>
      <c r="N161" s="3"/>
      <c r="O161" s="3"/>
      <c r="P161" s="3"/>
      <c r="Q161" s="3"/>
      <c r="R161" s="3"/>
      <c r="S161" s="2"/>
      <c r="T161" s="2"/>
      <c r="U161" s="2"/>
    </row>
    <row r="162" spans="1:21">
      <c r="A162" s="69"/>
      <c r="B162" s="3"/>
      <c r="C162" s="3"/>
      <c r="D162" s="3"/>
      <c r="E162" s="3"/>
      <c r="G162" s="2"/>
      <c r="H162" s="2"/>
      <c r="I162" s="2"/>
      <c r="J162" s="2"/>
      <c r="N162" s="3"/>
      <c r="O162" s="3"/>
      <c r="P162" s="3"/>
      <c r="Q162" s="3"/>
      <c r="R162" s="3"/>
      <c r="S162" s="2"/>
      <c r="T162" s="2"/>
      <c r="U162" s="2"/>
    </row>
    <row r="163" spans="1:21">
      <c r="A163" s="69"/>
      <c r="B163" s="3"/>
      <c r="C163" s="3"/>
      <c r="D163" s="3"/>
      <c r="E163" s="3"/>
      <c r="G163" s="2"/>
      <c r="H163" s="2"/>
      <c r="I163" s="2"/>
      <c r="J163" s="2"/>
      <c r="N163" s="3"/>
      <c r="O163" s="3"/>
      <c r="P163" s="3"/>
      <c r="Q163" s="3"/>
      <c r="R163" s="3"/>
      <c r="S163" s="2"/>
      <c r="T163" s="2"/>
      <c r="U163" s="2"/>
    </row>
    <row r="164" spans="1:21">
      <c r="A164" s="69"/>
      <c r="B164" s="3"/>
      <c r="C164" s="3"/>
      <c r="D164" s="3"/>
      <c r="E164" s="3"/>
      <c r="G164" s="2"/>
      <c r="H164" s="2"/>
      <c r="I164" s="2"/>
      <c r="J164" s="2"/>
      <c r="N164" s="3"/>
      <c r="O164" s="3"/>
      <c r="P164" s="3"/>
      <c r="Q164" s="3"/>
      <c r="R164" s="3"/>
      <c r="S164" s="2"/>
      <c r="T164" s="2"/>
      <c r="U164" s="2"/>
    </row>
    <row r="165" spans="1:21">
      <c r="A165" s="69"/>
      <c r="B165" s="3"/>
      <c r="C165" s="3"/>
      <c r="D165" s="3"/>
      <c r="E165" s="3"/>
      <c r="G165" s="2"/>
      <c r="H165" s="2"/>
      <c r="I165" s="2"/>
      <c r="J165" s="2"/>
      <c r="N165" s="3"/>
      <c r="O165" s="3"/>
      <c r="P165" s="3"/>
      <c r="Q165" s="3"/>
      <c r="R165" s="3"/>
      <c r="S165" s="2"/>
      <c r="T165" s="2"/>
      <c r="U165" s="2"/>
    </row>
    <row r="166" spans="1:21">
      <c r="A166" s="69"/>
      <c r="B166" s="3"/>
      <c r="C166" s="3"/>
      <c r="D166" s="3"/>
      <c r="E166" s="3"/>
      <c r="G166" s="2"/>
      <c r="H166" s="2"/>
      <c r="I166" s="2"/>
      <c r="J166" s="2"/>
      <c r="N166" s="3"/>
      <c r="O166" s="3"/>
      <c r="P166" s="3"/>
      <c r="Q166" s="3"/>
      <c r="R166" s="3"/>
      <c r="S166" s="2"/>
      <c r="T166" s="2"/>
      <c r="U166" s="2"/>
    </row>
    <row r="167" spans="1:21">
      <c r="A167" s="69"/>
      <c r="B167" s="3"/>
      <c r="C167" s="3"/>
      <c r="D167" s="3"/>
      <c r="E167" s="3"/>
      <c r="G167" s="2"/>
      <c r="H167" s="2"/>
      <c r="I167" s="2"/>
      <c r="J167" s="2"/>
      <c r="N167" s="3"/>
      <c r="O167" s="3"/>
      <c r="P167" s="3"/>
      <c r="Q167" s="3"/>
      <c r="R167" s="3"/>
      <c r="S167" s="2"/>
      <c r="T167" s="2"/>
      <c r="U167" s="2"/>
    </row>
    <row r="168" spans="1:21">
      <c r="A168" s="69"/>
      <c r="B168" s="3"/>
      <c r="C168" s="3"/>
      <c r="D168" s="3"/>
      <c r="E168" s="3"/>
      <c r="G168" s="2"/>
      <c r="H168" s="2"/>
      <c r="I168" s="2"/>
      <c r="J168" s="2"/>
      <c r="N168" s="3"/>
      <c r="O168" s="3"/>
      <c r="P168" s="3"/>
      <c r="Q168" s="3"/>
      <c r="R168" s="3"/>
      <c r="S168" s="2"/>
      <c r="T168" s="2"/>
      <c r="U168" s="2"/>
    </row>
    <row r="169" spans="1:21">
      <c r="A169" s="69"/>
      <c r="B169" s="3"/>
      <c r="C169" s="3"/>
      <c r="D169" s="3"/>
      <c r="E169" s="3"/>
      <c r="G169" s="2"/>
      <c r="H169" s="2"/>
      <c r="I169" s="2"/>
      <c r="J169" s="2"/>
      <c r="N169" s="3"/>
      <c r="O169" s="3"/>
      <c r="P169" s="3"/>
      <c r="Q169" s="3"/>
      <c r="R169" s="3"/>
      <c r="S169" s="2"/>
      <c r="T169" s="2"/>
      <c r="U169" s="2"/>
    </row>
    <row r="170" spans="1:21">
      <c r="A170" s="69"/>
      <c r="B170" s="3"/>
      <c r="C170" s="3"/>
      <c r="D170" s="3"/>
      <c r="E170" s="3"/>
      <c r="G170" s="2"/>
      <c r="H170" s="2"/>
      <c r="I170" s="2"/>
      <c r="J170" s="2"/>
      <c r="N170" s="3"/>
      <c r="O170" s="3"/>
      <c r="P170" s="3"/>
      <c r="Q170" s="3"/>
      <c r="R170" s="3"/>
      <c r="S170" s="2"/>
      <c r="T170" s="2"/>
      <c r="U170" s="2"/>
    </row>
    <row r="171" spans="1:21">
      <c r="A171" s="69"/>
      <c r="B171" s="3"/>
      <c r="C171" s="3"/>
      <c r="D171" s="3"/>
      <c r="E171" s="3"/>
      <c r="G171" s="2"/>
      <c r="H171" s="2"/>
      <c r="I171" s="2"/>
      <c r="J171" s="2"/>
      <c r="N171" s="3"/>
      <c r="O171" s="3"/>
      <c r="P171" s="3"/>
      <c r="Q171" s="3"/>
      <c r="R171" s="3"/>
      <c r="S171" s="2"/>
      <c r="T171" s="2"/>
      <c r="U171" s="2"/>
    </row>
    <row r="172" spans="1:21">
      <c r="A172" s="69"/>
      <c r="B172" s="3"/>
      <c r="C172" s="3"/>
      <c r="D172" s="3"/>
      <c r="E172" s="3"/>
      <c r="G172" s="2"/>
      <c r="H172" s="2"/>
      <c r="I172" s="2"/>
      <c r="J172" s="2"/>
      <c r="N172" s="3"/>
      <c r="O172" s="3"/>
      <c r="P172" s="3"/>
      <c r="Q172" s="3"/>
      <c r="R172" s="3"/>
      <c r="S172" s="2"/>
      <c r="T172" s="2"/>
      <c r="U172" s="2"/>
    </row>
    <row r="173" spans="1:21">
      <c r="A173" s="69"/>
      <c r="B173" s="3"/>
      <c r="C173" s="3"/>
      <c r="D173" s="3"/>
      <c r="E173" s="3"/>
      <c r="G173" s="2"/>
      <c r="H173" s="2"/>
      <c r="I173" s="2"/>
      <c r="J173" s="2"/>
      <c r="N173" s="3"/>
      <c r="O173" s="3"/>
      <c r="P173" s="3"/>
      <c r="Q173" s="3"/>
      <c r="R173" s="3"/>
      <c r="S173" s="2"/>
      <c r="T173" s="2"/>
      <c r="U173" s="2"/>
    </row>
    <row r="174" spans="1:21">
      <c r="A174" s="69"/>
      <c r="B174" s="3"/>
      <c r="C174" s="3"/>
      <c r="D174" s="3"/>
      <c r="E174" s="3"/>
      <c r="G174" s="2"/>
      <c r="H174" s="2"/>
      <c r="I174" s="2"/>
      <c r="J174" s="2"/>
      <c r="N174" s="3"/>
      <c r="O174" s="3"/>
      <c r="P174" s="3"/>
      <c r="Q174" s="3"/>
      <c r="R174" s="3"/>
      <c r="S174" s="2"/>
      <c r="T174" s="2"/>
      <c r="U174" s="2"/>
    </row>
    <row r="175" spans="1:21">
      <c r="A175" s="69"/>
      <c r="B175" s="3"/>
      <c r="C175" s="3"/>
      <c r="D175" s="3"/>
      <c r="E175" s="3"/>
      <c r="G175" s="2"/>
      <c r="H175" s="2"/>
      <c r="I175" s="2"/>
      <c r="J175" s="2"/>
      <c r="N175" s="3"/>
      <c r="O175" s="3"/>
      <c r="P175" s="3"/>
      <c r="Q175" s="3"/>
      <c r="R175" s="3"/>
      <c r="S175" s="2"/>
      <c r="T175" s="2"/>
      <c r="U175" s="2"/>
    </row>
    <row r="176" spans="1:21">
      <c r="A176" s="69"/>
      <c r="B176" s="3"/>
      <c r="C176" s="3"/>
      <c r="D176" s="3"/>
      <c r="E176" s="3"/>
      <c r="G176" s="2"/>
      <c r="H176" s="2"/>
      <c r="I176" s="2"/>
      <c r="J176" s="2"/>
      <c r="N176" s="3"/>
      <c r="O176" s="3"/>
      <c r="P176" s="3"/>
      <c r="Q176" s="3"/>
      <c r="R176" s="3"/>
      <c r="S176" s="2"/>
      <c r="T176" s="2"/>
      <c r="U176" s="2"/>
    </row>
    <row r="177" spans="1:21">
      <c r="A177" s="69"/>
      <c r="B177" s="3"/>
      <c r="C177" s="3"/>
      <c r="D177" s="3"/>
      <c r="E177" s="3"/>
      <c r="G177" s="2"/>
      <c r="H177" s="2"/>
      <c r="I177" s="2"/>
      <c r="J177" s="2"/>
      <c r="N177" s="3"/>
      <c r="O177" s="3"/>
      <c r="P177" s="3"/>
      <c r="Q177" s="3"/>
      <c r="R177" s="3"/>
      <c r="S177" s="2"/>
      <c r="T177" s="2"/>
      <c r="U177" s="2"/>
    </row>
    <row r="178" spans="1:21">
      <c r="A178" s="69"/>
      <c r="B178" s="3"/>
      <c r="C178" s="3"/>
      <c r="D178" s="3"/>
      <c r="E178" s="3"/>
      <c r="G178" s="2"/>
      <c r="H178" s="2"/>
      <c r="I178" s="2"/>
      <c r="J178" s="2"/>
      <c r="N178" s="3"/>
      <c r="O178" s="3"/>
      <c r="P178" s="3"/>
      <c r="Q178" s="3"/>
      <c r="R178" s="3"/>
      <c r="S178" s="2"/>
      <c r="T178" s="2"/>
      <c r="U178" s="2"/>
    </row>
    <row r="179" spans="1:21">
      <c r="A179" s="69"/>
      <c r="B179" s="3"/>
      <c r="C179" s="3"/>
      <c r="D179" s="3"/>
      <c r="E179" s="3"/>
      <c r="G179" s="2"/>
      <c r="H179" s="2"/>
      <c r="I179" s="2"/>
      <c r="J179" s="2"/>
      <c r="N179" s="3"/>
      <c r="O179" s="3"/>
      <c r="P179" s="3"/>
      <c r="Q179" s="3"/>
      <c r="R179" s="3"/>
      <c r="S179" s="2"/>
      <c r="T179" s="2"/>
      <c r="U179" s="2"/>
    </row>
    <row r="180" spans="1:21">
      <c r="A180" s="69"/>
      <c r="B180" s="3"/>
      <c r="C180" s="3"/>
      <c r="D180" s="3"/>
      <c r="E180" s="3"/>
      <c r="G180" s="2"/>
      <c r="H180" s="2"/>
      <c r="I180" s="2"/>
      <c r="J180" s="2"/>
      <c r="N180" s="3"/>
      <c r="O180" s="3"/>
      <c r="P180" s="3"/>
      <c r="Q180" s="3"/>
      <c r="R180" s="3"/>
      <c r="S180" s="2"/>
      <c r="T180" s="2"/>
      <c r="U180" s="2"/>
    </row>
    <row r="181" spans="1:21">
      <c r="A181" s="69"/>
      <c r="B181" s="3"/>
      <c r="C181" s="3"/>
      <c r="D181" s="3"/>
      <c r="E181" s="3"/>
      <c r="G181" s="2"/>
      <c r="H181" s="2"/>
      <c r="I181" s="2"/>
      <c r="J181" s="2"/>
      <c r="N181" s="3"/>
      <c r="O181" s="3"/>
      <c r="P181" s="3"/>
      <c r="Q181" s="3"/>
      <c r="R181" s="3"/>
      <c r="S181" s="2"/>
      <c r="T181" s="2"/>
      <c r="U181" s="2"/>
    </row>
    <row r="182" spans="1:21">
      <c r="A182" s="69"/>
      <c r="B182" s="3"/>
      <c r="C182" s="3"/>
      <c r="D182" s="3"/>
      <c r="E182" s="3"/>
      <c r="G182" s="2"/>
      <c r="H182" s="2"/>
      <c r="I182" s="2"/>
      <c r="J182" s="2"/>
      <c r="N182" s="3"/>
      <c r="O182" s="3"/>
      <c r="P182" s="3"/>
      <c r="Q182" s="3"/>
      <c r="R182" s="3"/>
      <c r="S182" s="2"/>
      <c r="T182" s="2"/>
      <c r="U182" s="2"/>
    </row>
    <row r="183" spans="1:21">
      <c r="A183" s="69"/>
      <c r="B183" s="3"/>
      <c r="C183" s="3"/>
      <c r="D183" s="3"/>
      <c r="E183" s="3"/>
      <c r="G183" s="2"/>
      <c r="H183" s="2"/>
      <c r="I183" s="2"/>
      <c r="J183" s="2"/>
      <c r="N183" s="3"/>
      <c r="O183" s="3"/>
      <c r="P183" s="3"/>
      <c r="Q183" s="3"/>
      <c r="R183" s="3"/>
      <c r="S183" s="2"/>
      <c r="T183" s="2"/>
      <c r="U183" s="2"/>
    </row>
    <row r="184" spans="1:21">
      <c r="A184" s="69"/>
      <c r="B184" s="3"/>
      <c r="C184" s="3"/>
      <c r="D184" s="3"/>
      <c r="E184" s="3"/>
      <c r="G184" s="2"/>
      <c r="H184" s="2"/>
      <c r="I184" s="2"/>
      <c r="J184" s="2"/>
      <c r="N184" s="3"/>
      <c r="O184" s="3"/>
      <c r="P184" s="3"/>
      <c r="Q184" s="3"/>
      <c r="R184" s="3"/>
      <c r="S184" s="2"/>
      <c r="T184" s="2"/>
      <c r="U184" s="2"/>
    </row>
    <row r="185" spans="1:21">
      <c r="A185" s="69"/>
      <c r="B185" s="3"/>
      <c r="C185" s="3"/>
      <c r="D185" s="3"/>
      <c r="E185" s="3"/>
      <c r="G185" s="2"/>
      <c r="H185" s="2"/>
      <c r="I185" s="2"/>
      <c r="J185" s="2"/>
      <c r="N185" s="3"/>
      <c r="O185" s="3"/>
      <c r="P185" s="3"/>
      <c r="Q185" s="3"/>
      <c r="R185" s="3"/>
      <c r="S185" s="2"/>
      <c r="T185" s="2"/>
      <c r="U185" s="2"/>
    </row>
    <row r="186" spans="1:21">
      <c r="A186" s="69"/>
      <c r="B186" s="3"/>
      <c r="C186" s="3"/>
      <c r="D186" s="3"/>
      <c r="E186" s="3"/>
      <c r="G186" s="2"/>
      <c r="H186" s="2"/>
      <c r="I186" s="2"/>
      <c r="J186" s="2"/>
      <c r="N186" s="3"/>
      <c r="O186" s="3"/>
      <c r="P186" s="3"/>
      <c r="Q186" s="3"/>
      <c r="R186" s="3"/>
      <c r="S186" s="2"/>
      <c r="T186" s="2"/>
      <c r="U186" s="2"/>
    </row>
    <row r="187" spans="1:21">
      <c r="A187" s="69"/>
      <c r="B187" s="3"/>
      <c r="C187" s="3"/>
      <c r="D187" s="3"/>
      <c r="E187" s="3"/>
      <c r="G187" s="2"/>
      <c r="H187" s="2"/>
      <c r="I187" s="2"/>
      <c r="J187" s="2"/>
      <c r="N187" s="3"/>
      <c r="O187" s="3"/>
      <c r="P187" s="3"/>
      <c r="Q187" s="3"/>
      <c r="R187" s="3"/>
      <c r="S187" s="2"/>
      <c r="T187" s="2"/>
      <c r="U187" s="2"/>
    </row>
    <row r="188" spans="1:21">
      <c r="A188" s="69"/>
      <c r="B188" s="3"/>
      <c r="C188" s="3"/>
      <c r="D188" s="3"/>
      <c r="E188" s="3"/>
      <c r="G188" s="2"/>
      <c r="H188" s="2"/>
      <c r="I188" s="2"/>
      <c r="J188" s="2"/>
      <c r="N188" s="3"/>
      <c r="O188" s="3"/>
      <c r="P188" s="3"/>
      <c r="Q188" s="3"/>
      <c r="R188" s="3"/>
      <c r="S188" s="2"/>
      <c r="T188" s="2"/>
      <c r="U188" s="2"/>
    </row>
    <row r="189" spans="1:21">
      <c r="A189" s="69"/>
      <c r="B189" s="3"/>
      <c r="C189" s="3"/>
      <c r="D189" s="3"/>
      <c r="E189" s="3"/>
      <c r="G189" s="2"/>
      <c r="H189" s="2"/>
      <c r="I189" s="2"/>
      <c r="J189" s="2"/>
      <c r="N189" s="3"/>
      <c r="O189" s="3"/>
      <c r="P189" s="3"/>
      <c r="Q189" s="3"/>
      <c r="R189" s="3"/>
      <c r="S189" s="2"/>
      <c r="T189" s="2"/>
      <c r="U189" s="2"/>
    </row>
    <row r="190" spans="1:21">
      <c r="A190" s="69"/>
      <c r="B190" s="3"/>
      <c r="C190" s="3"/>
      <c r="D190" s="3"/>
      <c r="E190" s="3"/>
      <c r="G190" s="2"/>
      <c r="H190" s="2"/>
      <c r="I190" s="2"/>
      <c r="J190" s="2"/>
      <c r="N190" s="3"/>
      <c r="O190" s="3"/>
      <c r="P190" s="3"/>
      <c r="Q190" s="3"/>
      <c r="R190" s="3"/>
      <c r="S190" s="2"/>
      <c r="T190" s="2"/>
      <c r="U190" s="2"/>
    </row>
    <row r="191" spans="1:21">
      <c r="A191" s="69"/>
      <c r="B191" s="3"/>
      <c r="C191" s="3"/>
      <c r="D191" s="3"/>
      <c r="E191" s="3"/>
      <c r="G191" s="2"/>
      <c r="H191" s="2"/>
      <c r="I191" s="2"/>
      <c r="J191" s="2"/>
      <c r="N191" s="3"/>
      <c r="O191" s="3"/>
      <c r="P191" s="3"/>
      <c r="Q191" s="3"/>
      <c r="R191" s="3"/>
      <c r="S191" s="2"/>
      <c r="T191" s="2"/>
      <c r="U191" s="2"/>
    </row>
    <row r="192" spans="1:21">
      <c r="A192" s="69"/>
      <c r="B192" s="3"/>
      <c r="C192" s="3"/>
      <c r="D192" s="3"/>
      <c r="E192" s="3"/>
      <c r="G192" s="2"/>
      <c r="H192" s="2"/>
      <c r="I192" s="2"/>
      <c r="J192" s="2"/>
      <c r="N192" s="3"/>
      <c r="O192" s="3"/>
      <c r="P192" s="3"/>
      <c r="Q192" s="3"/>
      <c r="R192" s="3"/>
      <c r="S192" s="2"/>
      <c r="T192" s="2"/>
      <c r="U192" s="2"/>
    </row>
    <row r="193" spans="1:21">
      <c r="A193" s="69"/>
      <c r="B193" s="3"/>
      <c r="C193" s="3"/>
      <c r="D193" s="3"/>
      <c r="E193" s="3"/>
      <c r="G193" s="2"/>
      <c r="H193" s="2"/>
      <c r="I193" s="2"/>
      <c r="J193" s="2"/>
      <c r="N193" s="3"/>
      <c r="O193" s="3"/>
      <c r="P193" s="3"/>
      <c r="Q193" s="3"/>
      <c r="R193" s="3"/>
      <c r="S193" s="2"/>
      <c r="T193" s="2"/>
      <c r="U193" s="2"/>
    </row>
    <row r="194" spans="1:21">
      <c r="A194" s="69"/>
      <c r="B194" s="3"/>
      <c r="C194" s="3"/>
      <c r="D194" s="3"/>
      <c r="E194" s="3"/>
      <c r="G194" s="2"/>
      <c r="H194" s="2"/>
      <c r="I194" s="2"/>
      <c r="J194" s="2"/>
      <c r="N194" s="3"/>
      <c r="O194" s="3"/>
      <c r="P194" s="3"/>
      <c r="Q194" s="3"/>
      <c r="R194" s="3"/>
      <c r="S194" s="2"/>
      <c r="T194" s="2"/>
      <c r="U194" s="2"/>
    </row>
    <row r="195" spans="1:21">
      <c r="A195" s="69"/>
      <c r="B195" s="3"/>
      <c r="C195" s="3"/>
      <c r="D195" s="3"/>
      <c r="E195" s="3"/>
      <c r="G195" s="2"/>
      <c r="H195" s="2"/>
      <c r="I195" s="2"/>
      <c r="J195" s="2"/>
      <c r="N195" s="3"/>
      <c r="O195" s="3"/>
      <c r="P195" s="3"/>
      <c r="Q195" s="3"/>
      <c r="R195" s="3"/>
      <c r="S195" s="2"/>
      <c r="T195" s="2"/>
      <c r="U195" s="2"/>
    </row>
    <row r="196" spans="1:21">
      <c r="A196" s="69"/>
      <c r="B196" s="3"/>
      <c r="C196" s="3"/>
      <c r="D196" s="3"/>
      <c r="E196" s="3"/>
      <c r="G196" s="2"/>
      <c r="H196" s="2"/>
      <c r="I196" s="2"/>
      <c r="J196" s="2"/>
      <c r="N196" s="3"/>
      <c r="O196" s="3"/>
      <c r="P196" s="3"/>
      <c r="Q196" s="3"/>
      <c r="R196" s="3"/>
      <c r="S196" s="2"/>
      <c r="T196" s="2"/>
      <c r="U196" s="2"/>
    </row>
    <row r="197" spans="1:21">
      <c r="A197" s="69"/>
      <c r="B197" s="3"/>
      <c r="C197" s="3"/>
      <c r="D197" s="3"/>
      <c r="E197" s="3"/>
      <c r="G197" s="2"/>
      <c r="H197" s="2"/>
      <c r="I197" s="2"/>
      <c r="J197" s="2"/>
      <c r="N197" s="3"/>
      <c r="O197" s="3"/>
      <c r="P197" s="3"/>
      <c r="Q197" s="3"/>
      <c r="R197" s="3"/>
      <c r="S197" s="2"/>
      <c r="T197" s="2"/>
      <c r="U197" s="2"/>
    </row>
    <row r="198" spans="1:21">
      <c r="A198" s="69"/>
      <c r="B198" s="3"/>
      <c r="C198" s="3"/>
      <c r="D198" s="3"/>
      <c r="E198" s="3"/>
      <c r="G198" s="2"/>
      <c r="H198" s="2"/>
      <c r="I198" s="2"/>
      <c r="J198" s="2"/>
      <c r="N198" s="3"/>
      <c r="O198" s="3"/>
      <c r="P198" s="3"/>
      <c r="Q198" s="3"/>
      <c r="R198" s="3"/>
      <c r="S198" s="2"/>
      <c r="T198" s="2"/>
      <c r="U198" s="2"/>
    </row>
    <row r="199" spans="1:21">
      <c r="A199" s="69"/>
      <c r="B199" s="3"/>
      <c r="C199" s="3"/>
      <c r="D199" s="3"/>
      <c r="E199" s="3"/>
      <c r="G199" s="2"/>
      <c r="H199" s="2"/>
      <c r="I199" s="2"/>
      <c r="J199" s="2"/>
      <c r="N199" s="3"/>
      <c r="O199" s="3"/>
      <c r="P199" s="3"/>
      <c r="Q199" s="3"/>
      <c r="R199" s="3"/>
      <c r="S199" s="2"/>
      <c r="T199" s="2"/>
      <c r="U199" s="2"/>
    </row>
    <row r="200" spans="1:21">
      <c r="A200" s="69"/>
      <c r="B200" s="3"/>
      <c r="C200" s="3"/>
      <c r="D200" s="3"/>
      <c r="E200" s="3"/>
      <c r="G200" s="2"/>
      <c r="H200" s="2"/>
      <c r="I200" s="2"/>
      <c r="J200" s="2"/>
      <c r="K200" s="3"/>
      <c r="N200" s="3"/>
      <c r="O200" s="3"/>
      <c r="P200" s="3"/>
      <c r="Q200" s="3"/>
      <c r="R200" s="3"/>
      <c r="S200" s="2"/>
      <c r="T200" s="2"/>
      <c r="U200" s="2"/>
    </row>
    <row r="201" spans="1:21">
      <c r="A201" s="69"/>
      <c r="B201" s="3"/>
      <c r="C201" s="3"/>
      <c r="D201" s="3"/>
      <c r="E201" s="3"/>
      <c r="G201" s="2"/>
      <c r="H201" s="2"/>
      <c r="I201" s="2"/>
      <c r="J201" s="2"/>
      <c r="N201" s="3"/>
      <c r="O201" s="3"/>
      <c r="P201" s="3"/>
      <c r="Q201" s="3"/>
      <c r="R201" s="3"/>
      <c r="S201" s="2"/>
      <c r="T201" s="2"/>
      <c r="U201" s="2"/>
    </row>
    <row r="202" spans="1:21">
      <c r="A202" s="69"/>
      <c r="B202" s="3"/>
      <c r="C202" s="3"/>
      <c r="D202" s="3"/>
      <c r="E202" s="3"/>
      <c r="G202" s="2"/>
      <c r="H202" s="2"/>
      <c r="I202" s="2"/>
      <c r="J202" s="2"/>
      <c r="N202" s="3"/>
      <c r="O202" s="3"/>
      <c r="P202" s="3"/>
      <c r="Q202" s="3"/>
      <c r="R202" s="3"/>
      <c r="S202" s="2"/>
      <c r="T202" s="2"/>
      <c r="U202" s="2"/>
    </row>
    <row r="203" spans="1:21">
      <c r="A203" s="69"/>
      <c r="B203" s="3"/>
      <c r="C203" s="3"/>
      <c r="D203" s="3"/>
      <c r="E203" s="3"/>
      <c r="G203" s="2"/>
      <c r="H203" s="2"/>
      <c r="I203" s="2"/>
      <c r="J203" s="2"/>
      <c r="N203" s="3"/>
      <c r="O203" s="3"/>
      <c r="P203" s="3"/>
      <c r="Q203" s="3"/>
      <c r="R203" s="3"/>
      <c r="S203" s="2"/>
      <c r="T203" s="2"/>
      <c r="U203" s="2"/>
    </row>
    <row r="204" spans="1:21">
      <c r="A204" s="69"/>
      <c r="B204" s="3"/>
      <c r="C204" s="3"/>
      <c r="D204" s="3"/>
      <c r="E204" s="3"/>
      <c r="G204" s="2"/>
      <c r="H204" s="2"/>
      <c r="I204" s="2"/>
      <c r="J204" s="2"/>
      <c r="N204" s="3"/>
      <c r="O204" s="3"/>
      <c r="P204" s="3"/>
      <c r="Q204" s="3"/>
      <c r="R204" s="3"/>
      <c r="S204" s="2"/>
      <c r="T204" s="2"/>
      <c r="U204" s="2"/>
    </row>
  </sheetData>
  <phoneticPr fontId="16"/>
  <pageMargins left="0.7" right="0.7" top="0.75" bottom="0.75" header="0.3" footer="0.3"/>
  <pageSetup paperSize="9" orientation="landscape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49DA-65EA-432C-998B-31E7403CA452}">
  <sheetPr codeName="Sheet9">
    <tabColor rgb="FFC00000"/>
  </sheetPr>
  <dimension ref="A1:S66"/>
  <sheetViews>
    <sheetView showGridLines="0" topLeftCell="B1" workbookViewId="0">
      <selection activeCell="G43" sqref="G43"/>
    </sheetView>
  </sheetViews>
  <sheetFormatPr defaultRowHeight="17.25"/>
  <cols>
    <col min="1" max="1" width="34.125" style="266" bestFit="1" customWidth="1"/>
    <col min="2" max="2" width="44.375" style="266" bestFit="1" customWidth="1"/>
    <col min="3" max="3" width="42.75" style="266" customWidth="1"/>
    <col min="4" max="4" width="103.875" style="266" bestFit="1" customWidth="1"/>
    <col min="5" max="5" width="37.625" style="266" customWidth="1"/>
    <col min="6" max="6" width="12" style="266" customWidth="1"/>
    <col min="7" max="12" width="9" style="266"/>
    <col min="13" max="13" width="11.875" style="266" bestFit="1" customWidth="1"/>
    <col min="14" max="16384" width="9" style="266"/>
  </cols>
  <sheetData>
    <row r="1" spans="1:19" ht="90" customHeight="1" thickBot="1">
      <c r="A1" s="265" t="s">
        <v>599</v>
      </c>
      <c r="B1" s="383" t="s">
        <v>792</v>
      </c>
      <c r="G1" s="367"/>
      <c r="H1" s="267"/>
      <c r="I1" s="267"/>
    </row>
    <row r="2" spans="1:19" ht="18" thickBot="1">
      <c r="B2" s="268" t="s">
        <v>600</v>
      </c>
      <c r="C2" s="268" t="s">
        <v>601</v>
      </c>
      <c r="D2" s="268" t="s">
        <v>602</v>
      </c>
      <c r="E2" s="380" t="s">
        <v>790</v>
      </c>
      <c r="F2" s="266" t="str">
        <f>_xll.RssMarginPositionList($F$3:$N$3)</f>
        <v>=@RssMarginPositionList($F$3:$N$3) =&gt; 配信中</v>
      </c>
    </row>
    <row r="3" spans="1:19">
      <c r="B3" s="269" t="s">
        <v>7</v>
      </c>
      <c r="C3" s="270"/>
      <c r="D3" s="378" t="s">
        <v>603</v>
      </c>
      <c r="E3" s="381">
        <v>1</v>
      </c>
      <c r="F3" s="266" t="s">
        <v>7</v>
      </c>
      <c r="G3" s="266" t="s">
        <v>8</v>
      </c>
      <c r="H3" s="266" t="s">
        <v>756</v>
      </c>
      <c r="I3" s="266" t="s">
        <v>757</v>
      </c>
      <c r="J3" s="266" t="s">
        <v>781</v>
      </c>
      <c r="K3" s="266" t="s">
        <v>612</v>
      </c>
      <c r="L3" s="266" t="s">
        <v>607</v>
      </c>
      <c r="M3" s="266" t="s">
        <v>759</v>
      </c>
      <c r="N3" s="266" t="s">
        <v>758</v>
      </c>
    </row>
    <row r="4" spans="1:19" ht="18" thickBot="1">
      <c r="B4" s="271" t="s">
        <v>604</v>
      </c>
      <c r="C4" s="272" t="str" cm="1">
        <f t="array" ref="C4">_xll.RssMarket(C3,"銘柄名称")</f>
        <v/>
      </c>
      <c r="D4" s="379" t="s">
        <v>605</v>
      </c>
      <c r="E4" s="382" t="s">
        <v>791</v>
      </c>
      <c r="F4" s="328">
        <v>4676</v>
      </c>
      <c r="G4" s="328" t="s">
        <v>828</v>
      </c>
      <c r="H4" s="328">
        <v>100</v>
      </c>
      <c r="I4" s="328">
        <v>4100</v>
      </c>
      <c r="J4" s="328">
        <v>-14</v>
      </c>
      <c r="K4" s="328" t="s">
        <v>835</v>
      </c>
      <c r="L4" s="328" t="s">
        <v>803</v>
      </c>
      <c r="M4" s="328"/>
      <c r="N4" s="328"/>
      <c r="O4" s="328"/>
      <c r="P4" s="328"/>
      <c r="Q4" s="328"/>
      <c r="R4" s="328"/>
      <c r="S4" s="328"/>
    </row>
    <row r="5" spans="1:19">
      <c r="B5" s="271" t="s">
        <v>606</v>
      </c>
      <c r="C5" s="272" t="str" cm="1">
        <f t="array" ref="C5">_xll.RssMarket(C3,"市場部名称")</f>
        <v/>
      </c>
      <c r="D5" s="273" t="s">
        <v>605</v>
      </c>
      <c r="F5" s="328">
        <v>5844</v>
      </c>
      <c r="G5" s="328" t="s">
        <v>824</v>
      </c>
      <c r="H5" s="328">
        <v>100</v>
      </c>
      <c r="I5" s="328">
        <v>4575</v>
      </c>
      <c r="J5" s="328">
        <v>-121</v>
      </c>
      <c r="K5" s="328" t="s">
        <v>825</v>
      </c>
      <c r="L5" s="328" t="s">
        <v>803</v>
      </c>
      <c r="M5" s="328"/>
      <c r="N5" s="328"/>
      <c r="O5" s="328"/>
      <c r="P5" s="328"/>
      <c r="Q5" s="328"/>
      <c r="R5" s="328"/>
      <c r="S5" s="328"/>
    </row>
    <row r="6" spans="1:19">
      <c r="B6" s="271" t="s">
        <v>607</v>
      </c>
      <c r="C6" s="274">
        <v>0</v>
      </c>
      <c r="D6" s="273" t="s">
        <v>608</v>
      </c>
      <c r="F6" s="328">
        <v>6178</v>
      </c>
      <c r="G6" s="328" t="s">
        <v>878</v>
      </c>
      <c r="H6" s="328">
        <v>100</v>
      </c>
      <c r="I6" s="328">
        <v>2256.9</v>
      </c>
      <c r="J6" s="328">
        <v>-68</v>
      </c>
      <c r="K6" s="328" t="s">
        <v>835</v>
      </c>
      <c r="L6" s="328" t="s">
        <v>803</v>
      </c>
      <c r="M6" s="328"/>
      <c r="N6" s="328"/>
      <c r="O6" s="328"/>
      <c r="P6" s="328"/>
      <c r="Q6" s="328"/>
      <c r="R6" s="328"/>
      <c r="S6" s="328"/>
    </row>
    <row r="7" spans="1:19">
      <c r="B7" s="271" t="s">
        <v>609</v>
      </c>
      <c r="C7" s="274">
        <v>100</v>
      </c>
      <c r="D7" s="273" t="s">
        <v>610</v>
      </c>
      <c r="F7" s="328" t="s">
        <v>877</v>
      </c>
      <c r="G7" s="328" t="s">
        <v>877</v>
      </c>
      <c r="H7" s="328" t="s">
        <v>877</v>
      </c>
      <c r="I7" s="328" t="s">
        <v>877</v>
      </c>
      <c r="J7" s="328" t="s">
        <v>877</v>
      </c>
      <c r="K7" s="328" t="s">
        <v>877</v>
      </c>
      <c r="L7" s="328" t="s">
        <v>877</v>
      </c>
      <c r="M7" s="328" t="s">
        <v>877</v>
      </c>
      <c r="N7" s="328" t="s">
        <v>877</v>
      </c>
    </row>
    <row r="8" spans="1:19">
      <c r="B8" s="275" t="s">
        <v>611</v>
      </c>
      <c r="C8" s="276"/>
      <c r="D8" s="277"/>
      <c r="F8" s="328"/>
      <c r="G8" s="328"/>
      <c r="H8" s="328"/>
      <c r="I8" s="328"/>
      <c r="J8" s="328"/>
      <c r="K8" s="328"/>
      <c r="L8" s="328"/>
      <c r="M8" s="328"/>
      <c r="N8" s="328"/>
    </row>
    <row r="9" spans="1:19" ht="18" thickBot="1">
      <c r="B9" s="275" t="s">
        <v>612</v>
      </c>
      <c r="C9" s="274">
        <v>4164</v>
      </c>
      <c r="D9" s="273" t="s">
        <v>762</v>
      </c>
      <c r="F9" s="328"/>
      <c r="G9" s="328"/>
      <c r="H9" s="328"/>
      <c r="I9" s="328"/>
      <c r="J9" s="328"/>
      <c r="K9" s="328"/>
      <c r="L9" s="328"/>
      <c r="M9" s="328"/>
      <c r="N9" s="328"/>
    </row>
    <row r="10" spans="1:19">
      <c r="B10" s="271" t="s">
        <v>614</v>
      </c>
      <c r="C10" s="278" t="str">
        <f>IFERROR(INDEX(I4:I104,MATCH(C3,F4:F104,0)),"")</f>
        <v/>
      </c>
      <c r="D10" s="273" t="s">
        <v>615</v>
      </c>
      <c r="E10" s="368"/>
      <c r="F10" s="369" t="s">
        <v>782</v>
      </c>
      <c r="G10" s="369" t="s">
        <v>783</v>
      </c>
      <c r="H10" s="369"/>
      <c r="I10" s="369"/>
      <c r="J10" s="369"/>
      <c r="K10" s="370"/>
    </row>
    <row r="11" spans="1:19">
      <c r="B11" s="271" t="s">
        <v>616</v>
      </c>
      <c r="C11" s="386">
        <v>46169</v>
      </c>
      <c r="D11" s="273" t="s">
        <v>615</v>
      </c>
      <c r="E11" s="371"/>
      <c r="F11" s="372" t="s">
        <v>784</v>
      </c>
      <c r="G11" s="372" t="s">
        <v>785</v>
      </c>
      <c r="H11" s="372"/>
      <c r="I11" s="372"/>
      <c r="J11" s="372"/>
      <c r="K11" s="373"/>
      <c r="L11" s="328"/>
      <c r="M11" s="328"/>
      <c r="N11" s="328"/>
      <c r="O11" s="328"/>
      <c r="P11" s="328"/>
    </row>
    <row r="12" spans="1:19">
      <c r="B12" s="271" t="s">
        <v>617</v>
      </c>
      <c r="C12" s="279" t="str">
        <f>IFERROR(INDEX(K4:K104,MATCH(C3,F4:F104,0)),"")</f>
        <v/>
      </c>
      <c r="D12" s="273" t="s">
        <v>615</v>
      </c>
      <c r="E12" s="371"/>
      <c r="F12" s="372" t="s">
        <v>786</v>
      </c>
      <c r="G12" s="372" t="s">
        <v>789</v>
      </c>
      <c r="H12" s="372"/>
      <c r="I12" s="372"/>
      <c r="J12" s="372"/>
      <c r="K12" s="374"/>
    </row>
    <row r="13" spans="1:19">
      <c r="B13" s="271" t="s">
        <v>618</v>
      </c>
      <c r="C13" s="279" t="str">
        <f>IFERROR(IF(ISNUMBER(SEARCH("東証",C5)),"1",IF(ISNUMBER(SEARCH("JAX",C5)),"5",IF(ISNUMBER(SEARCH("JNX",C5)),"4",IF(ISNUMBER(SEARCH("Chi",C5)),"6","1")))),"1")</f>
        <v>1</v>
      </c>
      <c r="D13" s="273" t="s">
        <v>619</v>
      </c>
      <c r="E13" s="371"/>
      <c r="F13" s="372" t="s">
        <v>787</v>
      </c>
      <c r="G13" s="372" t="s">
        <v>788</v>
      </c>
      <c r="H13" s="372"/>
      <c r="I13" s="372"/>
      <c r="J13" s="372"/>
      <c r="K13" s="374"/>
    </row>
    <row r="14" spans="1:19" ht="18" thickBot="1">
      <c r="B14" s="271" t="s">
        <v>620</v>
      </c>
      <c r="C14" s="279" t="str">
        <f>IFERROR(INDEX(H4:H104,MATCH(C3,F4:F104,0)),"")</f>
        <v/>
      </c>
      <c r="D14" s="273" t="s">
        <v>615</v>
      </c>
      <c r="E14" s="375"/>
      <c r="F14" s="376"/>
      <c r="G14" s="376"/>
      <c r="H14" s="376"/>
      <c r="I14" s="376"/>
      <c r="J14" s="376"/>
      <c r="K14" s="377"/>
    </row>
    <row r="15" spans="1:19">
      <c r="B15" s="280"/>
      <c r="C15" s="276"/>
      <c r="D15" s="277"/>
    </row>
    <row r="16" spans="1:19">
      <c r="B16" s="281" t="s">
        <v>621</v>
      </c>
      <c r="C16" s="276"/>
      <c r="D16" s="277"/>
    </row>
    <row r="17" spans="2:5">
      <c r="B17" s="271" t="s">
        <v>622</v>
      </c>
      <c r="C17" s="282">
        <v>4</v>
      </c>
      <c r="D17" s="273" t="s">
        <v>623</v>
      </c>
    </row>
    <row r="18" spans="2:5">
      <c r="B18" s="271" t="s">
        <v>624</v>
      </c>
      <c r="C18" s="282">
        <v>6</v>
      </c>
      <c r="D18" s="273" t="s">
        <v>625</v>
      </c>
    </row>
    <row r="19" spans="2:5">
      <c r="B19" s="271" t="s">
        <v>626</v>
      </c>
      <c r="C19" s="282">
        <v>5</v>
      </c>
      <c r="D19" s="273" t="s">
        <v>627</v>
      </c>
    </row>
    <row r="20" spans="2:5">
      <c r="B20" s="271" t="s">
        <v>628</v>
      </c>
      <c r="C20" s="282">
        <v>3</v>
      </c>
      <c r="D20" s="273" t="s">
        <v>629</v>
      </c>
    </row>
    <row r="21" spans="2:5">
      <c r="B21" s="271" t="s">
        <v>630</v>
      </c>
      <c r="C21" s="283">
        <v>10</v>
      </c>
      <c r="D21" s="273" t="s">
        <v>631</v>
      </c>
    </row>
    <row r="22" spans="2:5">
      <c r="B22" s="271" t="s">
        <v>632</v>
      </c>
      <c r="C22" s="282">
        <v>3</v>
      </c>
      <c r="D22" s="273" t="s">
        <v>633</v>
      </c>
    </row>
    <row r="23" spans="2:5">
      <c r="B23" s="271" t="s">
        <v>634</v>
      </c>
      <c r="C23" s="284">
        <v>1</v>
      </c>
      <c r="D23" s="273" t="s">
        <v>763</v>
      </c>
      <c r="E23" s="266" t="s">
        <v>761</v>
      </c>
    </row>
    <row r="24" spans="2:5">
      <c r="B24" s="280"/>
      <c r="C24" s="276"/>
      <c r="D24" s="277"/>
    </row>
    <row r="25" spans="2:5">
      <c r="B25" s="285" t="s">
        <v>635</v>
      </c>
      <c r="C25" s="276"/>
      <c r="D25" s="277"/>
    </row>
    <row r="26" spans="2:5">
      <c r="B26" s="271" t="s">
        <v>9</v>
      </c>
      <c r="C26" s="286" t="str" cm="1">
        <f t="array" ref="C26">IFERROR(_xll.RssMarket(C3,"現在値"),"")</f>
        <v/>
      </c>
      <c r="D26" s="273" t="s">
        <v>636</v>
      </c>
    </row>
    <row r="27" spans="2:5">
      <c r="B27" s="271" t="s">
        <v>509</v>
      </c>
      <c r="C27" s="287">
        <v>0</v>
      </c>
      <c r="D27" s="273" t="s">
        <v>637</v>
      </c>
    </row>
    <row r="28" spans="2:5">
      <c r="B28" s="271" t="s">
        <v>638</v>
      </c>
      <c r="C28" s="288" t="str">
        <f>IFERROR(IF(C10="","",(C26-C10)/C10*100),"")</f>
        <v/>
      </c>
      <c r="D28" s="273" t="s">
        <v>639</v>
      </c>
    </row>
    <row r="29" spans="2:5">
      <c r="B29" s="271" t="s">
        <v>640</v>
      </c>
      <c r="C29" s="289">
        <v>0</v>
      </c>
      <c r="D29" s="273" t="s">
        <v>641</v>
      </c>
    </row>
    <row r="30" spans="2:5">
      <c r="B30" s="271" t="s">
        <v>642</v>
      </c>
      <c r="C30" s="290">
        <v>0</v>
      </c>
      <c r="D30" s="273" t="s">
        <v>643</v>
      </c>
    </row>
    <row r="31" spans="2:5">
      <c r="B31" s="271" t="s">
        <v>24</v>
      </c>
      <c r="C31" s="289" t="str" cm="1">
        <f t="array" ref="C31">_xll.RssMarket(C3,"始値")</f>
        <v/>
      </c>
      <c r="D31" s="273" t="s">
        <v>636</v>
      </c>
    </row>
    <row r="32" spans="2:5">
      <c r="B32" s="271" t="s">
        <v>644</v>
      </c>
      <c r="C32" s="291" cm="1">
        <f t="array" ref="C32">IFERROR(IF(_xll.RssMarket(C3,"前日終値")=0,0,(C31-_xll.RssMarket(C3,"前日終値"))/_xll.RssMarket(C3,"前日終値")*100),0)</f>
        <v>0</v>
      </c>
      <c r="D32" s="273" t="s">
        <v>645</v>
      </c>
    </row>
    <row r="33" spans="2:4">
      <c r="B33" s="271" t="s">
        <v>646</v>
      </c>
      <c r="C33" s="292" t="str" cm="1">
        <f t="array" ref="C33">_xll.RssMarket(C3,"出来高加重平均")</f>
        <v/>
      </c>
      <c r="D33" s="273" t="s">
        <v>636</v>
      </c>
    </row>
    <row r="34" spans="2:4">
      <c r="B34" s="271" t="s">
        <v>31</v>
      </c>
      <c r="C34" s="293" t="str">
        <f>IF(AND(C32&lt;=C22, IF(C23=1, C31&gt;C33, TRUE)), "✓エントリー可", "⚠ 見送り")</f>
        <v>⚠ 見送り</v>
      </c>
      <c r="D34" s="273" t="s">
        <v>647</v>
      </c>
    </row>
    <row r="35" spans="2:4">
      <c r="B35" s="294" t="s">
        <v>648</v>
      </c>
      <c r="C35" s="276"/>
      <c r="D35" s="277"/>
    </row>
    <row r="36" spans="2:4">
      <c r="B36" s="271" t="s">
        <v>649</v>
      </c>
      <c r="C36" s="286" t="str">
        <f>IFERROR(IF(C10="","",ROUNDDOWN(C10*(1-C17*0.01),0)),"")</f>
        <v/>
      </c>
      <c r="D36" s="273" t="s">
        <v>650</v>
      </c>
    </row>
    <row r="37" spans="2:4">
      <c r="B37" s="271" t="s">
        <v>651</v>
      </c>
      <c r="C37" s="286" t="str">
        <f>IFERROR(IF(C10="","",ROUNDDOWN(C10*(1+C18*0.01),0)),"")</f>
        <v/>
      </c>
      <c r="D37" s="273" t="s">
        <v>652</v>
      </c>
    </row>
    <row r="38" spans="2:4">
      <c r="B38" s="271" t="s">
        <v>653</v>
      </c>
      <c r="C38" s="286" t="str">
        <f>IFERROR(IF(C10="","",ROUNDDOWN(C10*(1+C19*0.01),0)),"")</f>
        <v/>
      </c>
      <c r="D38" s="273" t="s">
        <v>654</v>
      </c>
    </row>
    <row r="39" spans="2:4">
      <c r="B39" s="271" t="s">
        <v>655</v>
      </c>
      <c r="C39" s="295">
        <f>IFERROR(IF(C29="","",ROUNDDOWN(C29*(1-C20*0.01),0)),"")</f>
        <v>0</v>
      </c>
      <c r="D39" s="273" t="s">
        <v>656</v>
      </c>
    </row>
    <row r="40" spans="2:4">
      <c r="B40" s="271" t="s">
        <v>657</v>
      </c>
      <c r="C40" s="296">
        <f>IFERROR(IF(C11="","",C11+C21),"")</f>
        <v>46179</v>
      </c>
      <c r="D40" s="273" t="s">
        <v>658</v>
      </c>
    </row>
    <row r="41" spans="2:4">
      <c r="B41" s="280"/>
      <c r="C41" s="276"/>
      <c r="D41" s="277"/>
    </row>
    <row r="42" spans="2:4">
      <c r="B42" s="281" t="s">
        <v>659</v>
      </c>
      <c r="C42" s="276"/>
      <c r="D42" s="277"/>
    </row>
    <row r="43" spans="2:4">
      <c r="B43" s="271" t="s">
        <v>660</v>
      </c>
      <c r="C43" s="297" t="str">
        <f>IF(C30=1,"フェーズ２（トレーリング中）","フェーズ１（通常監視中）")</f>
        <v>フェーズ１（通常監視中）</v>
      </c>
      <c r="D43" s="273" t="s">
        <v>661</v>
      </c>
    </row>
    <row r="44" spans="2:4" ht="18.75">
      <c r="B44" s="271" t="s">
        <v>662</v>
      </c>
      <c r="C44" s="298">
        <v>0</v>
      </c>
      <c r="D44" s="273" t="s">
        <v>663</v>
      </c>
    </row>
    <row r="45" spans="2:4">
      <c r="B45" s="271" t="s">
        <v>664</v>
      </c>
      <c r="C45" s="297"/>
      <c r="D45" s="273" t="s">
        <v>665</v>
      </c>
    </row>
    <row r="46" spans="2:4">
      <c r="B46" s="280"/>
      <c r="C46" s="276"/>
      <c r="D46" s="277"/>
    </row>
    <row r="47" spans="2:4">
      <c r="B47" s="294" t="s">
        <v>666</v>
      </c>
      <c r="C47" s="276"/>
      <c r="D47" s="277"/>
    </row>
    <row r="48" spans="2:4">
      <c r="B48" s="271" t="s">
        <v>667</v>
      </c>
      <c r="C48" s="279" t="str">
        <f>IFERROR(C3&amp;"2"&amp;C13&amp;LEFT(C14,1)&amp;IF(C10=INT(C10),RIGHT(C10,2),RIGHT(C10*10,2))&amp;E3,"")</f>
        <v/>
      </c>
      <c r="D48" s="273" t="s">
        <v>668</v>
      </c>
    </row>
    <row r="49" spans="2:5">
      <c r="B49" s="271" t="s">
        <v>669</v>
      </c>
      <c r="C49" s="297" t="str" cm="1">
        <f t="array" ref="C49">IFERROR(_xll.RssMarginCloseOrder(C48,C44,C3,1,0,1,4,C14,0,,1,,C6,TEXT(C11,"yyyymmdd"),C10,C13),"")</f>
        <v/>
      </c>
      <c r="D49" s="273" t="s">
        <v>670</v>
      </c>
    </row>
    <row r="50" spans="2:5">
      <c r="B50" s="280"/>
      <c r="C50" s="276"/>
      <c r="D50" s="277"/>
    </row>
    <row r="51" spans="2:5">
      <c r="B51" s="275" t="s">
        <v>671</v>
      </c>
      <c r="C51" s="276"/>
      <c r="D51" s="277"/>
    </row>
    <row r="52" spans="2:5">
      <c r="B52" s="271" t="s">
        <v>609</v>
      </c>
      <c r="C52" s="299">
        <f>C7</f>
        <v>100</v>
      </c>
      <c r="D52" s="273" t="s">
        <v>610</v>
      </c>
    </row>
    <row r="53" spans="2:5">
      <c r="B53" s="300" t="s">
        <v>672</v>
      </c>
      <c r="C53" s="329">
        <v>0.3888888888888889</v>
      </c>
      <c r="D53" s="301" t="s">
        <v>673</v>
      </c>
      <c r="E53" s="266" t="s">
        <v>760</v>
      </c>
    </row>
    <row r="54" spans="2:5" ht="18.75">
      <c r="B54" s="271" t="s">
        <v>674</v>
      </c>
      <c r="C54" s="298">
        <v>1</v>
      </c>
      <c r="D54" s="273" t="s">
        <v>675</v>
      </c>
    </row>
    <row r="55" spans="2:5">
      <c r="B55" s="271" t="s">
        <v>676</v>
      </c>
      <c r="C55" s="385" t="str">
        <f ca="1">IFERROR(C3 &amp; TEXT(TODAY(),"mmdd") &amp; E3, "")</f>
        <v>06171</v>
      </c>
      <c r="D55" s="273" t="s">
        <v>764</v>
      </c>
    </row>
    <row r="56" spans="2:5" ht="18" thickBot="1">
      <c r="B56" s="302" t="s">
        <v>677</v>
      </c>
      <c r="C56" s="384" t="str">
        <f ca="1">IFERROR(_xll.RssMarginOpenOrder(C55, C54, C3, 3, 0, 1, C9, C7, 0,, 1,, C6), "")</f>
        <v>=IFERROR(@RssMarginOpenOrder(C55, C54, C3, 3, 0, 1, C9, C7, 0,, 1,, C6), "") =&gt; 入力エラー：銘柄コードは、4桁または5桁で入力してください。</v>
      </c>
      <c r="D56" s="303">
        <v>8142</v>
      </c>
    </row>
    <row r="57" spans="2:5">
      <c r="B57" s="421" t="s">
        <v>811</v>
      </c>
      <c r="C57" s="423">
        <v>4164</v>
      </c>
      <c r="D57" s="422" t="s">
        <v>813</v>
      </c>
    </row>
    <row r="58" spans="2:5">
      <c r="B58" s="417" t="s">
        <v>812</v>
      </c>
      <c r="C58" s="424"/>
      <c r="D58" s="418" t="s">
        <v>814</v>
      </c>
    </row>
    <row r="59" spans="2:5">
      <c r="B59" s="271"/>
      <c r="C59" s="385"/>
      <c r="D59" s="273"/>
    </row>
    <row r="61" spans="2:5">
      <c r="B61" s="419"/>
      <c r="C61" s="420"/>
      <c r="D61" s="316"/>
    </row>
    <row r="62" spans="2:5">
      <c r="B62" s="419"/>
      <c r="C62" s="420"/>
      <c r="D62" s="316"/>
    </row>
    <row r="63" spans="2:5">
      <c r="E63" s="266" t="s">
        <v>765</v>
      </c>
    </row>
    <row r="64" spans="2:5">
      <c r="E64" s="266" t="str">
        <f ca="1">IFERROR(C3 &amp; TEXT(TODAY(),"mmdd") &amp; "1", "")</f>
        <v>06171</v>
      </c>
    </row>
    <row r="65" spans="5:5">
      <c r="E65" s="266" t="s">
        <v>766</v>
      </c>
    </row>
    <row r="66" spans="5:5">
      <c r="E66" s="266" t="s">
        <v>767</v>
      </c>
    </row>
  </sheetData>
  <phoneticPr fontId="16"/>
  <conditionalFormatting sqref="C34">
    <cfRule type="containsText" dxfId="5" priority="1" operator="containsText" text="エントリー可">
      <formula>NOT(ISERROR(SEARCH("エントリー可",C34)))</formula>
    </cfRule>
  </conditionalFormatting>
  <conditionalFormatting sqref="C34">
    <cfRule type="containsText" dxfId="4" priority="2" operator="containsText" text="見送り">
      <formula>NOT(ISERROR(SEARCH("見送り",C34)))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成り行き買い発注">
                <anchor moveWithCells="1" sizeWithCells="1">
                  <from>
                    <xdr:col>3</xdr:col>
                    <xdr:colOff>1143000</xdr:colOff>
                    <xdr:row>0</xdr:row>
                    <xdr:rowOff>133350</xdr:rowOff>
                  </from>
                  <to>
                    <xdr:col>3</xdr:col>
                    <xdr:colOff>2514600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指値買い発注">
                <anchor moveWithCells="1" sizeWithCells="1">
                  <from>
                    <xdr:col>3</xdr:col>
                    <xdr:colOff>2571750</xdr:colOff>
                    <xdr:row>0</xdr:row>
                    <xdr:rowOff>152400</xdr:rowOff>
                  </from>
                  <to>
                    <xdr:col>3</xdr:col>
                    <xdr:colOff>4143375</xdr:colOff>
                    <xdr:row>0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Button 4">
              <controlPr defaultSize="0" print="0" autoFill="0" autoPict="0" macro="[0]!逆指値買い発注">
                <anchor moveWithCells="1" sizeWithCells="1">
                  <from>
                    <xdr:col>3</xdr:col>
                    <xdr:colOff>4210050</xdr:colOff>
                    <xdr:row>0</xdr:row>
                    <xdr:rowOff>171450</xdr:rowOff>
                  </from>
                  <to>
                    <xdr:col>3</xdr:col>
                    <xdr:colOff>5581650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Fill="0" autoPict="0" macro="[0]!手動成り行き決済">
                <anchor moveWithCells="1" sizeWithCells="1">
                  <from>
                    <xdr:col>3</xdr:col>
                    <xdr:colOff>5705475</xdr:colOff>
                    <xdr:row>0</xdr:row>
                    <xdr:rowOff>209550</xdr:rowOff>
                  </from>
                  <to>
                    <xdr:col>3</xdr:col>
                    <xdr:colOff>6810375</xdr:colOff>
                    <xdr:row>0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0F1C2-C1CD-4856-AEC9-DE45DE28DEDA}">
  <sheetPr codeName="Sheet11">
    <tabColor rgb="FFC00000"/>
  </sheetPr>
  <dimension ref="A1:E53"/>
  <sheetViews>
    <sheetView topLeftCell="A7" workbookViewId="0">
      <selection activeCell="K35" sqref="K35"/>
    </sheetView>
  </sheetViews>
  <sheetFormatPr defaultRowHeight="17.25"/>
  <cols>
    <col min="1" max="1" width="72.125" style="327" customWidth="1"/>
    <col min="2" max="2" width="9" style="266"/>
    <col min="3" max="3" width="53.375" style="266" bestFit="1" customWidth="1"/>
    <col min="4" max="4" width="9" style="266"/>
    <col min="5" max="5" width="15.25" style="266" customWidth="1"/>
    <col min="6" max="16384" width="9" style="266"/>
  </cols>
  <sheetData>
    <row r="1" spans="1:4" ht="21">
      <c r="A1" s="304" t="s">
        <v>678</v>
      </c>
    </row>
    <row r="2" spans="1:4">
      <c r="A2" s="305" t="s">
        <v>679</v>
      </c>
    </row>
    <row r="4" spans="1:4" ht="48" customHeight="1">
      <c r="A4" s="306" t="s">
        <v>680</v>
      </c>
    </row>
    <row r="5" spans="1:4">
      <c r="A5" s="307" t="s">
        <v>681</v>
      </c>
      <c r="C5" s="308"/>
    </row>
    <row r="6" spans="1:4">
      <c r="A6" s="309" t="s">
        <v>682</v>
      </c>
    </row>
    <row r="7" spans="1:4">
      <c r="A7" s="309" t="s">
        <v>683</v>
      </c>
    </row>
    <row r="8" spans="1:4" ht="35.25" customHeight="1">
      <c r="A8" s="309" t="s">
        <v>684</v>
      </c>
      <c r="D8" s="266" t="s">
        <v>685</v>
      </c>
    </row>
    <row r="9" spans="1:4" ht="39" customHeight="1">
      <c r="A9" s="310" t="s">
        <v>686</v>
      </c>
    </row>
    <row r="10" spans="1:4" ht="35.25" customHeight="1">
      <c r="A10" s="311" t="s">
        <v>687</v>
      </c>
    </row>
    <row r="12" spans="1:4">
      <c r="A12" s="312" t="s">
        <v>688</v>
      </c>
    </row>
    <row r="13" spans="1:4">
      <c r="A13" s="313" t="s">
        <v>689</v>
      </c>
      <c r="B13" s="314" t="s">
        <v>690</v>
      </c>
      <c r="C13" s="314" t="s">
        <v>691</v>
      </c>
      <c r="D13" s="314" t="s">
        <v>510</v>
      </c>
    </row>
    <row r="14" spans="1:4">
      <c r="A14" s="315" t="s">
        <v>692</v>
      </c>
      <c r="B14" s="316" t="s">
        <v>7</v>
      </c>
      <c r="C14" s="316" t="s">
        <v>693</v>
      </c>
      <c r="D14" s="317" t="s">
        <v>694</v>
      </c>
    </row>
    <row r="15" spans="1:4">
      <c r="A15" s="315" t="s">
        <v>695</v>
      </c>
      <c r="B15" s="316" t="s">
        <v>607</v>
      </c>
      <c r="C15" s="316" t="s">
        <v>608</v>
      </c>
      <c r="D15" s="317" t="s">
        <v>696</v>
      </c>
    </row>
    <row r="16" spans="1:4">
      <c r="A16" s="315" t="s">
        <v>697</v>
      </c>
      <c r="B16" s="316" t="s">
        <v>609</v>
      </c>
      <c r="C16" s="316" t="s">
        <v>698</v>
      </c>
      <c r="D16" s="317" t="s">
        <v>699</v>
      </c>
    </row>
    <row r="17" spans="1:4">
      <c r="A17" s="315" t="s">
        <v>700</v>
      </c>
      <c r="B17" s="316" t="s">
        <v>612</v>
      </c>
      <c r="C17" s="316" t="s">
        <v>613</v>
      </c>
      <c r="D17" s="318" t="s">
        <v>701</v>
      </c>
    </row>
    <row r="18" spans="1:4">
      <c r="A18" s="315" t="s">
        <v>702</v>
      </c>
      <c r="B18" s="316" t="s">
        <v>624</v>
      </c>
      <c r="C18" s="316" t="s">
        <v>703</v>
      </c>
      <c r="D18" s="317" t="s">
        <v>704</v>
      </c>
    </row>
    <row r="19" spans="1:4">
      <c r="A19" s="315" t="s">
        <v>705</v>
      </c>
      <c r="B19" s="316" t="s">
        <v>622</v>
      </c>
      <c r="C19" s="316" t="s">
        <v>706</v>
      </c>
      <c r="D19" s="317" t="s">
        <v>707</v>
      </c>
    </row>
    <row r="20" spans="1:4">
      <c r="A20" s="315" t="s">
        <v>708</v>
      </c>
      <c r="B20" s="316" t="s">
        <v>626</v>
      </c>
      <c r="C20" s="316" t="s">
        <v>709</v>
      </c>
      <c r="D20" s="317" t="s">
        <v>710</v>
      </c>
    </row>
    <row r="21" spans="1:4">
      <c r="A21" s="315" t="s">
        <v>711</v>
      </c>
      <c r="B21" s="316" t="s">
        <v>628</v>
      </c>
      <c r="C21" s="316" t="s">
        <v>712</v>
      </c>
      <c r="D21" s="317" t="s">
        <v>713</v>
      </c>
    </row>
    <row r="22" spans="1:4">
      <c r="A22" s="315" t="s">
        <v>714</v>
      </c>
      <c r="B22" s="316" t="s">
        <v>630</v>
      </c>
      <c r="C22" s="316" t="s">
        <v>715</v>
      </c>
      <c r="D22" s="317" t="s">
        <v>716</v>
      </c>
    </row>
    <row r="23" spans="1:4">
      <c r="A23" s="315" t="s">
        <v>717</v>
      </c>
      <c r="B23" s="316" t="s">
        <v>632</v>
      </c>
      <c r="C23" s="316" t="s">
        <v>718</v>
      </c>
      <c r="D23" s="317" t="s">
        <v>713</v>
      </c>
    </row>
    <row r="24" spans="1:4">
      <c r="A24" s="315" t="s">
        <v>719</v>
      </c>
      <c r="B24" s="316" t="s">
        <v>634</v>
      </c>
      <c r="C24" s="316" t="s">
        <v>720</v>
      </c>
      <c r="D24" s="318" t="s">
        <v>721</v>
      </c>
    </row>
    <row r="26" spans="1:4">
      <c r="A26" s="319" t="s">
        <v>722</v>
      </c>
    </row>
    <row r="27" spans="1:4">
      <c r="A27" s="320" t="s">
        <v>723</v>
      </c>
    </row>
    <row r="28" spans="1:4">
      <c r="A28" s="309" t="s">
        <v>724</v>
      </c>
    </row>
    <row r="29" spans="1:4">
      <c r="A29" s="309" t="s">
        <v>725</v>
      </c>
    </row>
    <row r="30" spans="1:4">
      <c r="A30" s="309" t="s">
        <v>726</v>
      </c>
    </row>
    <row r="31" spans="1:4">
      <c r="A31" s="309" t="s">
        <v>727</v>
      </c>
    </row>
    <row r="33" spans="1:5">
      <c r="A33" s="321" t="s">
        <v>728</v>
      </c>
    </row>
    <row r="34" spans="1:5" ht="39" customHeight="1">
      <c r="A34" s="309" t="s">
        <v>729</v>
      </c>
    </row>
    <row r="35" spans="1:5" ht="39" customHeight="1">
      <c r="A35" s="309" t="s">
        <v>730</v>
      </c>
    </row>
    <row r="37" spans="1:5">
      <c r="A37" s="322" t="s">
        <v>731</v>
      </c>
    </row>
    <row r="38" spans="1:5">
      <c r="A38" s="313" t="s">
        <v>732</v>
      </c>
      <c r="B38" s="314" t="s">
        <v>733</v>
      </c>
      <c r="C38" s="314" t="s">
        <v>734</v>
      </c>
    </row>
    <row r="39" spans="1:5">
      <c r="A39" s="309" t="s">
        <v>735</v>
      </c>
      <c r="B39" s="316" t="s">
        <v>736</v>
      </c>
      <c r="C39" s="316" t="s">
        <v>737</v>
      </c>
    </row>
    <row r="40" spans="1:5">
      <c r="A40" s="309" t="s">
        <v>738</v>
      </c>
      <c r="B40" s="316" t="s">
        <v>739</v>
      </c>
      <c r="C40" s="316" t="s">
        <v>740</v>
      </c>
    </row>
    <row r="41" spans="1:5">
      <c r="A41" s="309" t="s">
        <v>741</v>
      </c>
      <c r="B41" s="323" t="s">
        <v>742</v>
      </c>
      <c r="C41" s="323" t="s">
        <v>743</v>
      </c>
      <c r="D41" s="323"/>
      <c r="E41" s="323"/>
    </row>
    <row r="42" spans="1:5">
      <c r="A42" s="309" t="s">
        <v>744</v>
      </c>
      <c r="B42" s="316" t="s">
        <v>745</v>
      </c>
      <c r="C42" s="316" t="s">
        <v>746</v>
      </c>
    </row>
    <row r="44" spans="1:5">
      <c r="A44" s="312" t="s">
        <v>747</v>
      </c>
    </row>
    <row r="45" spans="1:5" ht="58.5" customHeight="1">
      <c r="A45" s="324" t="s">
        <v>748</v>
      </c>
    </row>
    <row r="46" spans="1:5">
      <c r="A46" s="309" t="s">
        <v>749</v>
      </c>
    </row>
    <row r="47" spans="1:5" ht="39" customHeight="1">
      <c r="A47" s="309" t="s">
        <v>750</v>
      </c>
    </row>
    <row r="49" spans="1:1">
      <c r="A49" s="325" t="s">
        <v>751</v>
      </c>
    </row>
    <row r="50" spans="1:1" ht="39" customHeight="1">
      <c r="A50" s="326" t="s">
        <v>752</v>
      </c>
    </row>
    <row r="51" spans="1:1">
      <c r="A51" s="309" t="s">
        <v>753</v>
      </c>
    </row>
    <row r="52" spans="1:1" ht="39" customHeight="1">
      <c r="A52" s="309" t="s">
        <v>754</v>
      </c>
    </row>
    <row r="53" spans="1:1" ht="39" customHeight="1">
      <c r="A53" s="309" t="s">
        <v>755</v>
      </c>
    </row>
  </sheetData>
  <phoneticPr fontId="16"/>
  <pageMargins left="0.7" right="0.7" top="0.75" bottom="0.75" header="0.3" footer="0.3"/>
  <pageSetup paperSize="9" fitToWidth="0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10973-FC26-4B7A-B792-7292F7E6B55B}">
  <sheetPr codeName="Sheet17"/>
  <dimension ref="A1:X499"/>
  <sheetViews>
    <sheetView topLeftCell="B1" zoomScale="205" zoomScaleNormal="205" workbookViewId="0">
      <selection activeCell="S9" sqref="S9"/>
    </sheetView>
  </sheetViews>
  <sheetFormatPr defaultRowHeight="13.5"/>
  <cols>
    <col min="1" max="1" width="6.625" style="1" customWidth="1"/>
    <col min="2" max="2" width="8.625" style="1" customWidth="1"/>
    <col min="3" max="3" width="11.625" style="1" customWidth="1"/>
    <col min="4" max="4" width="18.625" style="1" customWidth="1"/>
    <col min="5" max="5" width="10.625" style="1" customWidth="1"/>
    <col min="6" max="6" width="10.625" style="444" customWidth="1"/>
    <col min="7" max="7" width="8.625" style="1" customWidth="1"/>
    <col min="8" max="11" width="10.625" style="1" customWidth="1"/>
    <col min="12" max="12" width="10.625" style="1" bestFit="1" customWidth="1"/>
    <col min="13" max="14" width="12.625" style="1" customWidth="1"/>
    <col min="15" max="15" width="28.875" style="1" bestFit="1" customWidth="1"/>
    <col min="16" max="17" width="12.625" style="1" customWidth="1"/>
    <col min="18" max="19" width="14.625" style="1" customWidth="1"/>
    <col min="20" max="22" width="10.625" style="1" customWidth="1"/>
    <col min="23" max="23" width="8.625" style="1" customWidth="1"/>
    <col min="24" max="24" width="16.625" style="1" customWidth="1"/>
    <col min="25" max="16384" width="9" style="1"/>
  </cols>
  <sheetData>
    <row r="1" spans="1:24" ht="35.1" customHeight="1">
      <c r="A1" s="552" t="s">
        <v>495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</row>
    <row r="2" spans="1:24" ht="20.100000000000001" customHeight="1">
      <c r="A2" s="112" t="s">
        <v>496</v>
      </c>
      <c r="B2" s="113">
        <f ca="1">SUMIF(S4:S77,"📌保有中",K4:K77)</f>
        <v>2450</v>
      </c>
      <c r="C2" s="113"/>
      <c r="D2" s="112">
        <f>SUM(V4:V77)</f>
        <v>0</v>
      </c>
      <c r="E2" s="113">
        <f>SUM(V4:V77)</f>
        <v>0</v>
      </c>
      <c r="F2" s="441" t="str">
        <f ca="1">COUNTIF(S4:S77,"🟢利確推奨")&amp;"件"</f>
        <v>0件</v>
      </c>
      <c r="G2" s="112" t="str">
        <f ca="1">COUNTIF(S4:S77,"??利確推奨")&amp;"件"</f>
        <v>0件</v>
      </c>
      <c r="H2" s="112" t="s">
        <v>497</v>
      </c>
      <c r="I2" s="112"/>
      <c r="J2" s="112" t="str">
        <f ca="1">COUNTIF(S4:S77,"🔴損切推奨")&amp;"件"</f>
        <v>0件</v>
      </c>
      <c r="K2" s="112" t="str">
        <f ca="1">COUNTIF(S4:S77,"??損切推奨")&amp;"件"</f>
        <v>0件</v>
      </c>
      <c r="L2" s="112"/>
      <c r="M2" s="112"/>
      <c r="N2" s="112"/>
      <c r="O2" s="112"/>
      <c r="P2" s="112"/>
      <c r="Q2" s="112"/>
      <c r="R2" s="112"/>
      <c r="S2" s="524"/>
      <c r="T2" s="112"/>
      <c r="U2" s="112"/>
      <c r="V2" s="112"/>
      <c r="W2" s="112"/>
      <c r="X2" s="112"/>
    </row>
    <row r="3" spans="1:24" ht="35.1" customHeight="1">
      <c r="A3" s="114" t="s">
        <v>4</v>
      </c>
      <c r="B3" s="114" t="s">
        <v>2</v>
      </c>
      <c r="C3" s="114" t="s">
        <v>818</v>
      </c>
      <c r="D3" s="114" t="s">
        <v>498</v>
      </c>
      <c r="E3" s="114" t="s">
        <v>499</v>
      </c>
      <c r="F3" s="442" t="s">
        <v>500</v>
      </c>
      <c r="G3" s="114" t="s">
        <v>501</v>
      </c>
      <c r="H3" s="114" t="s">
        <v>9</v>
      </c>
      <c r="I3" s="114" t="s">
        <v>769</v>
      </c>
      <c r="J3" s="114" t="s">
        <v>545</v>
      </c>
      <c r="K3" s="114" t="s">
        <v>502</v>
      </c>
      <c r="L3" s="114" t="s">
        <v>503</v>
      </c>
      <c r="M3" s="439" t="s">
        <v>820</v>
      </c>
      <c r="N3" s="440" t="s">
        <v>821</v>
      </c>
      <c r="O3" s="115" t="s">
        <v>511</v>
      </c>
      <c r="P3" s="114" t="s">
        <v>504</v>
      </c>
      <c r="Q3" s="114" t="s">
        <v>823</v>
      </c>
      <c r="R3" s="114" t="s">
        <v>505</v>
      </c>
      <c r="S3" s="525" t="s">
        <v>35</v>
      </c>
      <c r="T3" s="114" t="s">
        <v>506</v>
      </c>
      <c r="U3" s="114" t="s">
        <v>507</v>
      </c>
      <c r="V3" s="114" t="s">
        <v>508</v>
      </c>
      <c r="W3" s="114" t="s">
        <v>509</v>
      </c>
      <c r="X3" s="114" t="s">
        <v>510</v>
      </c>
    </row>
    <row r="4" spans="1:24" ht="17.25">
      <c r="A4" s="425" t="str">
        <f>HYPERLINK("https://kabutan.jp/stock/?code="&amp;TEXT(B4,"0000"),"株探")</f>
        <v>株探</v>
      </c>
      <c r="B4" s="116">
        <v>5844</v>
      </c>
      <c r="C4" s="438" t="s">
        <v>819</v>
      </c>
      <c r="D4" s="116" t="str" cm="1">
        <f t="array" ref="D4">_xll.RssMarket(B4, "銘柄名称")</f>
        <v>京都フィナンシャルＧ</v>
      </c>
      <c r="E4" s="117">
        <v>46188</v>
      </c>
      <c r="F4" s="443">
        <v>4579</v>
      </c>
      <c r="G4" s="118">
        <v>100</v>
      </c>
      <c r="H4" s="116" cm="1">
        <f t="array" ref="H4">_xll.RssMarket($B$4, "現在値")</f>
        <v>4535</v>
      </c>
      <c r="I4" s="116" cm="1">
        <f t="array" ref="I4">_xll.RssMarket($B$4, "出来高加重平均")</f>
        <v>4592.3045000000002</v>
      </c>
      <c r="J4" s="116" cm="1">
        <f t="array" ref="J4">_xll.RssMarket($B4, "前日比")</f>
        <v>-121</v>
      </c>
      <c r="K4" s="118">
        <f t="shared" ref="K4:K64" si="0">IF(OR(F4="",G4="",H4=""),"",IF(C4="売",(F4-H4)*G4,(H4-F4)*G4))</f>
        <v>-4400</v>
      </c>
      <c r="L4" s="119">
        <f t="shared" ref="L4:L64" si="1">IF(OR(F4="",H4=""),"",IF(C4="売",(F4-H4)/F4,(H4-F4)/F4))</f>
        <v>-9.6090849530465171E-3</v>
      </c>
      <c r="M4" s="118">
        <f t="shared" ref="M4:M64" si="2">IF(F4="","",IF(C4="売",F4*0.94,F4*1.06))</f>
        <v>4853.7400000000007</v>
      </c>
      <c r="N4" s="118">
        <f t="shared" ref="N4:N64" si="3">IF(F4="","",IF(C4="売",F4*1.04,F4*0.96))</f>
        <v>4395.84</v>
      </c>
      <c r="O4" s="118" t="str">
        <f t="shared" ref="O4:O5" si="4">IF(B4="","",IF(H4="","保有中",IF(C4="売",IF(H4&lt;=M4,"🟢利確推奨",IF(H4&lt;=F4*0.95,"🟡利確&amp;TR STOP検討",IF(H4&gt;=N4,"🔴損切推奨",IF(H4&gt;=F4*1.035,"🔴損切間近",IF(H4&gt;=F4*1.03,"⚠️+3%注意","保持継続"))))),IF(H4&gt;=M4,"🟢利確推奨",IF(H4&gt;=F4*1.05,"🟡利確&amp;TR STOP検討",IF(H4&lt;=N4,"🔴損切推奨",IF(H4&lt;=F4*0.965,"🔴損切間近",IF(H4&lt;=F4*0.97,"⚠️-3%注意","保持継続"))))))))</f>
        <v>保持継続</v>
      </c>
      <c r="P4" s="118" cm="1">
        <f t="array" aca="1" ref="P4" ca="1">IF(B4="","",IFERROR(MAX(OFFSET(高値!$E$6,MATCH(TEXT(B4,"0"),TEXT(銘柄管理!$B$6:$B$305,"0"),0)-1,0,1,10)),""))</f>
        <v>4755</v>
      </c>
      <c r="Q4" s="118" cm="1">
        <f t="array" aca="1" ref="Q4" ca="1">IF(B4="","",IFERROR(MIN(OFFSET(安値!$E$6,MATCH(TEXT(B4,"0"),TEXT(銘柄管理!$B$6:$B$305,"0"),0)-1,0,1,10)),""))</f>
        <v>4268</v>
      </c>
      <c r="R4" s="118">
        <f ca="1">IF(P4="","",ROUND(P4*0.97,0))</f>
        <v>4612</v>
      </c>
      <c r="S4" s="526" t="str">
        <f t="shared" ref="S4:S64" ca="1" si="5">IF(B4="","",IF(T4&lt;&gt;"","✅売却済",IF(H4="","📌保有中",IF(C4="売",IF(H4&lt;=M4,"🟢利確推奨",IF(H4&gt;=N4,"🔴損切推奨",IF(H4&gt;=R4,"⚠️STOP推奨","📌保有中"))),IF(H4&gt;=M4,"🟢利確推奨",IF(H4&lt;=N4,"🔴損切推奨",IF(H4&lt;=R4,"⚠️STOP推奨","📌保有中")))))))</f>
        <v>⚠️STOP推奨</v>
      </c>
      <c r="T4" s="116"/>
      <c r="U4" s="116"/>
      <c r="V4" s="118" t="str">
        <f t="shared" ref="V4:V64" si="6">IF(OR(F4="",G4="",U4=""),"",IF(C4="売",(F4-U4)*G4,(U4-F4)*G4))</f>
        <v/>
      </c>
      <c r="W4" s="121">
        <f t="shared" ref="W4:W64" ca="1" si="7">IF(OR(E4="",B4=""),"",IF(T4&lt;&gt;"",T4-E4,TODAY()-E4))</f>
        <v>2</v>
      </c>
      <c r="X4" s="116"/>
    </row>
    <row r="5" spans="1:24" ht="17.25">
      <c r="A5" s="425" t="str">
        <f t="shared" ref="A5:A68" si="8">HYPERLINK("https://kabutan.jp/stock/?code="&amp;TEXT(B5,"0000"),"株探")</f>
        <v>株探</v>
      </c>
      <c r="B5" s="116">
        <v>4676</v>
      </c>
      <c r="C5" s="438" t="s">
        <v>819</v>
      </c>
      <c r="D5" s="116" t="str" cm="1">
        <f t="array" ref="D5">_xll.RssMarket(B5, "銘柄名称")</f>
        <v>フジ・メディア・ＨＤ</v>
      </c>
      <c r="E5" s="117">
        <v>46188</v>
      </c>
      <c r="F5" s="443">
        <v>4104</v>
      </c>
      <c r="G5" s="118">
        <v>100</v>
      </c>
      <c r="H5" s="116" cm="1">
        <f t="array" ref="H5">_xll.RssMarket(B5, "現在値")</f>
        <v>4007</v>
      </c>
      <c r="I5" s="116" cm="1">
        <f t="array" ref="I5">_xll.RssMarket($B$4, "出来高加重平均")</f>
        <v>4592.3045000000002</v>
      </c>
      <c r="J5" s="116" cm="1">
        <f t="array" ref="J5">_xll.RssMarket($B5, "前日比")</f>
        <v>-14</v>
      </c>
      <c r="K5" s="118">
        <f t="shared" si="0"/>
        <v>-9700</v>
      </c>
      <c r="L5" s="119">
        <f t="shared" si="1"/>
        <v>-2.3635477582846003E-2</v>
      </c>
      <c r="M5" s="118">
        <f t="shared" si="2"/>
        <v>4350.24</v>
      </c>
      <c r="N5" s="118">
        <f t="shared" si="3"/>
        <v>3939.8399999999997</v>
      </c>
      <c r="O5" s="118" t="str">
        <f t="shared" si="4"/>
        <v>保持継続</v>
      </c>
      <c r="P5" s="118" cm="1">
        <f t="array" aca="1" ref="P5" ca="1">IF(B5="","",IFERROR(MAX(OFFSET(高値!$E$6,MATCH(TEXT(B5,"0"),TEXT(銘柄管理!$B$6:$B$305,"0"),0)-1,0,1,10)),""))</f>
        <v>4272</v>
      </c>
      <c r="Q5" s="118" cm="1">
        <f t="array" aca="1" ref="Q5" ca="1">IF(B5="","",IFERROR(MIN(OFFSET(安値!$E$6,MATCH(TEXT(B5,"0"),TEXT(銘柄管理!$B$6:$B$305,"0"),0)-1,0,1,10)),""))</f>
        <v>3787</v>
      </c>
      <c r="R5" s="118">
        <f ca="1">IF(P5="","",ROUND(P5*0.97,0))</f>
        <v>4144</v>
      </c>
      <c r="S5" s="526" t="str">
        <f t="shared" ca="1" si="5"/>
        <v>⚠️STOP推奨</v>
      </c>
      <c r="T5" s="116"/>
      <c r="U5" s="116"/>
      <c r="V5" s="118" t="str">
        <f t="shared" si="6"/>
        <v/>
      </c>
      <c r="W5" s="121">
        <f ca="1">IF(OR(E5="",B5=""),"",IF(T5&lt;&gt;"",T5-E5,TODAY()-E5))</f>
        <v>2</v>
      </c>
      <c r="X5" s="116"/>
    </row>
    <row r="6" spans="1:24" ht="17.25">
      <c r="A6" s="425" t="str">
        <f t="shared" si="8"/>
        <v>株探</v>
      </c>
      <c r="B6" s="116">
        <v>6178</v>
      </c>
      <c r="C6" s="120" t="s">
        <v>822</v>
      </c>
      <c r="D6" s="116" t="str" cm="1">
        <f t="array" ref="D6">_xll.RssMarket(B6, "銘柄名称")</f>
        <v>日本郵政</v>
      </c>
      <c r="E6" s="117">
        <v>46157</v>
      </c>
      <c r="F6" s="443">
        <v>2221</v>
      </c>
      <c r="G6" s="118">
        <v>100</v>
      </c>
      <c r="H6" s="116" cm="1">
        <f t="array" ref="H6">_xll.RssMarket(B6, "現在値")</f>
        <v>2196.5</v>
      </c>
      <c r="I6" s="116" cm="1">
        <f t="array" ref="I6">_xll.RssMarket($B$4, "出来高加重平均")</f>
        <v>4592.3045000000002</v>
      </c>
      <c r="J6" s="116" cm="1">
        <f t="array" ref="J6">_xll.RssMarket($B6, "前日比")</f>
        <v>-68</v>
      </c>
      <c r="K6" s="118">
        <f t="shared" si="0"/>
        <v>2450</v>
      </c>
      <c r="L6" s="119">
        <f t="shared" si="1"/>
        <v>1.1031067086897793E-2</v>
      </c>
      <c r="M6" s="118">
        <f t="shared" si="2"/>
        <v>2087.7399999999998</v>
      </c>
      <c r="N6" s="118">
        <f t="shared" si="3"/>
        <v>2309.84</v>
      </c>
      <c r="O6" s="118" t="str">
        <f t="shared" ref="O6:O64" si="9">IF(B6="","",IF(H6="","保有中",IF(C6="売",IF(H6&lt;=M6,"🟢利確推奨",IF(H6&lt;=F6*0.95,"🟡利確&amp;TR STOP検討",IF(H6&gt;=N6,"🔴損切推奨",IF(H6&gt;=F6*1.035,"🔴損切間近",IF(H6&gt;=F6*1.03,"⚠️+3%注意","保持継続"))))),IF(H6&gt;=M6,"🟢利確推奨",IF(H6&gt;=F6*1.05,"🟡利確&amp;TR STOP検討",IF(H6&lt;=N6,"🔴損切推奨",IF(H6&lt;=F6*0.965,"🔴損切間近",IF(H6&lt;=F6*0.97,"⚠️-3%注意","保持継続"))))))))</f>
        <v>保持継続</v>
      </c>
      <c r="P6" s="118" cm="1">
        <f t="array" aca="1" ref="P6" ca="1">IF(B6="","",IFERROR(MAX(OFFSET(高値!$E$6,MATCH(TEXT(B6,"0"),TEXT(銘柄管理!$B$6:$B$305,"0"),0)-1,0,1,10)),""))</f>
        <v>2361</v>
      </c>
      <c r="Q6" s="118" cm="1">
        <f t="array" aca="1" ref="Q6" ca="1">IF(B6="","",IFERROR(MIN(OFFSET(安値!$E$6,MATCH(TEXT(B6,"0"),TEXT(銘柄管理!$B$6:$B$305,"0"),0)-1,0,1,10)),""))</f>
        <v>2062.5</v>
      </c>
      <c r="R6" s="118">
        <f t="shared" ref="R6" ca="1" si="10">IF(P6="","",ROUND(P6*0.97,0))</f>
        <v>2290</v>
      </c>
      <c r="S6" s="526" t="str">
        <f t="shared" ref="S6" ca="1" si="11">IF(B6="","",IF(T6&lt;&gt;"","✅売却済",IF(H6="","📌保有中",IF(C6="売",IF(H6&lt;=M6,"🟢利確推奨",IF(H6&gt;=N6,"🔴損切推奨",IF(H6&gt;=R6,"⚠️STOP推奨","📌保有中"))),IF(H6&gt;=M6,"🟢利確推奨",IF(H6&lt;=N6,"🔴損切推奨",IF(H6&lt;=R6,"⚠️STOP推奨","📌保有中")))))))</f>
        <v>📌保有中</v>
      </c>
      <c r="T6" s="116"/>
      <c r="U6" s="116"/>
      <c r="V6" s="118" t="str">
        <f t="shared" si="6"/>
        <v/>
      </c>
      <c r="W6" s="121">
        <f t="shared" ca="1" si="7"/>
        <v>33</v>
      </c>
      <c r="X6" s="116"/>
    </row>
    <row r="7" spans="1:24" ht="17.25">
      <c r="A7" s="425" t="str">
        <f t="shared" si="8"/>
        <v>株探</v>
      </c>
      <c r="B7" s="116"/>
      <c r="C7" s="120"/>
      <c r="D7" s="116" t="str" cm="1">
        <f t="array" ref="D7">_xll.RssMarket(B7, "銘柄名称")</f>
        <v/>
      </c>
      <c r="E7" s="117"/>
      <c r="F7" s="443"/>
      <c r="G7" s="116"/>
      <c r="H7" s="118" t="str" cm="1">
        <f t="array" ref="H7">IF(B7="","",_xll.RssMarket(B7,"現在値"))</f>
        <v/>
      </c>
      <c r="I7" s="118" t="str" cm="1">
        <f t="array" ref="I7">_xll.RssMarket(B7, "出来高加重平均")</f>
        <v/>
      </c>
      <c r="J7" s="118" t="str" cm="1">
        <f t="array" ref="J7">_xll.RssMarket(B7, "前日比")</f>
        <v/>
      </c>
      <c r="K7" s="118" t="str">
        <f t="shared" si="0"/>
        <v/>
      </c>
      <c r="L7" s="119" t="str">
        <f t="shared" si="1"/>
        <v/>
      </c>
      <c r="M7" s="118" t="str">
        <f t="shared" si="2"/>
        <v/>
      </c>
      <c r="N7" s="118" t="str">
        <f t="shared" si="3"/>
        <v/>
      </c>
      <c r="O7" s="118" t="str">
        <f t="shared" si="9"/>
        <v/>
      </c>
      <c r="P7" s="118" t="str" cm="1">
        <f t="array" aca="1" ref="P7" ca="1">IF(B7="","",IFERROR(MAX(OFFSET(高値!$E$6,MATCH(TEXT(B7,"0"),TEXT(銘柄管理!$B$6:$B$305,"0"),0)-1,0,1,10)),""))</f>
        <v/>
      </c>
      <c r="Q7" s="118" t="str" cm="1">
        <f t="array" aca="1" ref="Q7" ca="1">IF(B7="","",IFERROR(MIN(OFFSET(安値!$E$6,MATCH(TEXT(B7,"0"),TEXT(銘柄管理!$B$6:$B$305,"0"),0)-1,0,1,10)),""))</f>
        <v/>
      </c>
      <c r="R7" s="118" t="str">
        <f t="shared" ref="R7" ca="1" si="12">IF(P7="","",ROUND(P7*0.97,0))</f>
        <v/>
      </c>
      <c r="S7" s="526" t="str">
        <f t="shared" si="5"/>
        <v/>
      </c>
      <c r="T7" s="116"/>
      <c r="U7" s="116"/>
      <c r="V7" s="118" t="str">
        <f t="shared" si="6"/>
        <v/>
      </c>
      <c r="W7" s="121" t="str">
        <f t="shared" ca="1" si="7"/>
        <v/>
      </c>
      <c r="X7" s="116"/>
    </row>
    <row r="8" spans="1:24" ht="17.25">
      <c r="A8" s="425" t="str">
        <f t="shared" si="8"/>
        <v>株探</v>
      </c>
      <c r="B8" s="116"/>
      <c r="C8" s="120"/>
      <c r="D8" s="116" t="str" cm="1">
        <f t="array" ref="D8">_xll.RssMarket(B8, "銘柄名称")</f>
        <v/>
      </c>
      <c r="E8" s="117"/>
      <c r="F8" s="443"/>
      <c r="G8" s="116"/>
      <c r="H8" s="118" t="str" cm="1">
        <f t="array" ref="H8">IF(B8="","",_xll.RssMarket(B8,"現在値"))</f>
        <v/>
      </c>
      <c r="I8" s="118" t="str" cm="1">
        <f t="array" ref="I8">_xll.RssMarket(B8, "出来高加重平均")</f>
        <v/>
      </c>
      <c r="J8" s="118" t="str" cm="1">
        <f t="array" ref="J8">_xll.RssMarket(B8, "前日比")</f>
        <v/>
      </c>
      <c r="K8" s="118" t="str">
        <f t="shared" si="0"/>
        <v/>
      </c>
      <c r="L8" s="119" t="str">
        <f t="shared" si="1"/>
        <v/>
      </c>
      <c r="M8" s="118" t="str">
        <f t="shared" si="2"/>
        <v/>
      </c>
      <c r="N8" s="118" t="str">
        <f t="shared" si="3"/>
        <v/>
      </c>
      <c r="O8" s="118" t="str">
        <f t="shared" si="9"/>
        <v/>
      </c>
      <c r="P8" s="118" t="str" cm="1">
        <f t="array" aca="1" ref="P8" ca="1">IF(B8="","",IFERROR(MAX(OFFSET(高値!$E$6,MATCH(TEXT(B8,"0"),TEXT(銘柄管理!$B$6:$B$305,"0"),0)-1,0,1,10)),""))</f>
        <v/>
      </c>
      <c r="Q8" s="118" t="str" cm="1">
        <f t="array" aca="1" ref="Q8" ca="1">IF(B8="","",IFERROR(MIN(OFFSET(安値!$E$6,MATCH(TEXT(B8,"0"),TEXT(銘柄管理!$B$6:$B$305,"0"),0)-1,0,1,10)),""))</f>
        <v/>
      </c>
      <c r="R8" s="118" t="str">
        <f t="shared" ref="R8:R12" ca="1" si="13">IF(P8="","",ROUND(P8*0.97,0))</f>
        <v/>
      </c>
      <c r="S8" s="526" t="str">
        <f t="shared" si="5"/>
        <v/>
      </c>
      <c r="T8" s="116"/>
      <c r="U8" s="116"/>
      <c r="V8" s="118" t="str">
        <f t="shared" si="6"/>
        <v/>
      </c>
      <c r="W8" s="121" t="str">
        <f t="shared" ca="1" si="7"/>
        <v/>
      </c>
      <c r="X8" s="116"/>
    </row>
    <row r="9" spans="1:24" ht="17.25">
      <c r="A9" s="425" t="str">
        <f t="shared" si="8"/>
        <v>株探</v>
      </c>
      <c r="B9" s="116"/>
      <c r="C9" s="120"/>
      <c r="D9" s="116" t="str" cm="1">
        <f t="array" ref="D9">_xll.RssMarket(B9, "銘柄名称")</f>
        <v/>
      </c>
      <c r="E9" s="117"/>
      <c r="F9" s="443"/>
      <c r="G9" s="116"/>
      <c r="H9" s="118" t="str" cm="1">
        <f t="array" ref="H9">IF(B9="","",_xll.RssMarket(B9,"現在値"))</f>
        <v/>
      </c>
      <c r="I9" s="118" t="str" cm="1">
        <f t="array" ref="I9">_xll.RssMarket(B9, "出来高加重平均")</f>
        <v/>
      </c>
      <c r="J9" s="118" t="str" cm="1">
        <f t="array" ref="J9">_xll.RssMarket(B9, "前日比")</f>
        <v/>
      </c>
      <c r="K9" s="118" t="str">
        <f t="shared" si="0"/>
        <v/>
      </c>
      <c r="L9" s="119" t="str">
        <f t="shared" si="1"/>
        <v/>
      </c>
      <c r="M9" s="118" t="str">
        <f t="shared" si="2"/>
        <v/>
      </c>
      <c r="N9" s="118" t="str">
        <f t="shared" si="3"/>
        <v/>
      </c>
      <c r="O9" s="118" t="str">
        <f t="shared" si="9"/>
        <v/>
      </c>
      <c r="P9" s="118" t="str" cm="1">
        <f t="array" aca="1" ref="P9" ca="1">IF(B9="","",IFERROR(MAX(OFFSET(高値!$E$6,MATCH(TEXT(B9,"0"),TEXT(銘柄管理!$B$6:$B$305,"0"),0)-1,0,1,10)),""))</f>
        <v/>
      </c>
      <c r="Q9" s="118" t="str" cm="1">
        <f t="array" aca="1" ref="Q9" ca="1">IF(B9="","",IFERROR(MIN(OFFSET(安値!$E$6,MATCH(TEXT(B9,"0"),TEXT(銘柄管理!$B$6:$B$305,"0"),0)-1,0,1,10)),""))</f>
        <v/>
      </c>
      <c r="R9" s="118" t="str">
        <f t="shared" ca="1" si="13"/>
        <v/>
      </c>
      <c r="S9" s="526" t="str">
        <f t="shared" si="5"/>
        <v/>
      </c>
      <c r="T9" s="116"/>
      <c r="U9" s="116"/>
      <c r="V9" s="118" t="str">
        <f t="shared" si="6"/>
        <v/>
      </c>
      <c r="W9" s="121" t="str">
        <f t="shared" ca="1" si="7"/>
        <v/>
      </c>
      <c r="X9" s="116"/>
    </row>
    <row r="10" spans="1:24" ht="17.25">
      <c r="A10" s="425" t="str">
        <f t="shared" si="8"/>
        <v>株探</v>
      </c>
      <c r="B10" s="116"/>
      <c r="C10" s="120"/>
      <c r="D10" s="116" t="str" cm="1">
        <f t="array" ref="D10">_xll.RssMarket(B10, "銘柄名称")</f>
        <v/>
      </c>
      <c r="E10" s="117"/>
      <c r="F10" s="443"/>
      <c r="G10" s="116"/>
      <c r="H10" s="118" t="str" cm="1">
        <f t="array" ref="H10">IF(B10="","",_xll.RssMarket(B10,"現在値"))</f>
        <v/>
      </c>
      <c r="I10" s="118" t="str" cm="1">
        <f t="array" ref="I10">_xll.RssMarket(B10, "出来高加重平均")</f>
        <v/>
      </c>
      <c r="J10" s="118" t="str" cm="1">
        <f t="array" ref="J10">_xll.RssMarket(B10, "前日比")</f>
        <v/>
      </c>
      <c r="K10" s="118" t="str">
        <f t="shared" si="0"/>
        <v/>
      </c>
      <c r="L10" s="119" t="str">
        <f t="shared" si="1"/>
        <v/>
      </c>
      <c r="M10" s="118" t="str">
        <f t="shared" si="2"/>
        <v/>
      </c>
      <c r="N10" s="118" t="str">
        <f t="shared" si="3"/>
        <v/>
      </c>
      <c r="O10" s="118" t="str">
        <f t="shared" si="9"/>
        <v/>
      </c>
      <c r="P10" s="118" t="str" cm="1">
        <f t="array" aca="1" ref="P10" ca="1">IF(B10="","",IFERROR(MAX(OFFSET(高値!$E$6,MATCH(TEXT(B10,"0"),TEXT(銘柄管理!$B$6:$B$305,"0"),0)-1,0,1,10)),""))</f>
        <v/>
      </c>
      <c r="Q10" s="118" t="str" cm="1">
        <f t="array" aca="1" ref="Q10" ca="1">IF(B10="","",IFERROR(MIN(OFFSET(安値!$E$6,MATCH(TEXT(B10,"0"),TEXT(銘柄管理!$B$6:$B$305,"0"),0)-1,0,1,10)),""))</f>
        <v/>
      </c>
      <c r="R10" s="118" t="str">
        <f t="shared" ca="1" si="13"/>
        <v/>
      </c>
      <c r="S10" s="526" t="str">
        <f t="shared" si="5"/>
        <v/>
      </c>
      <c r="T10" s="116"/>
      <c r="U10" s="116"/>
      <c r="V10" s="118" t="str">
        <f t="shared" si="6"/>
        <v/>
      </c>
      <c r="W10" s="121" t="str">
        <f t="shared" ca="1" si="7"/>
        <v/>
      </c>
      <c r="X10" s="116"/>
    </row>
    <row r="11" spans="1:24" ht="17.25">
      <c r="A11" s="425" t="str">
        <f t="shared" si="8"/>
        <v>株探</v>
      </c>
      <c r="B11" s="116"/>
      <c r="C11" s="120"/>
      <c r="D11" s="116" t="str" cm="1">
        <f t="array" ref="D11">_xll.RssMarket(B11, "銘柄名称")</f>
        <v/>
      </c>
      <c r="E11" s="117"/>
      <c r="F11" s="443"/>
      <c r="G11" s="116"/>
      <c r="H11" s="118" t="str" cm="1">
        <f t="array" ref="H11">IF(B11="","",_xll.RssMarket(B11,"現在値"))</f>
        <v/>
      </c>
      <c r="I11" s="118" t="str" cm="1">
        <f t="array" ref="I11">_xll.RssMarket(B11, "出来高加重平均")</f>
        <v/>
      </c>
      <c r="J11" s="118" t="str" cm="1">
        <f t="array" ref="J11">_xll.RssMarket(B11, "前日比")</f>
        <v/>
      </c>
      <c r="K11" s="118" t="str">
        <f t="shared" si="0"/>
        <v/>
      </c>
      <c r="L11" s="119" t="str">
        <f t="shared" si="1"/>
        <v/>
      </c>
      <c r="M11" s="118" t="str">
        <f t="shared" si="2"/>
        <v/>
      </c>
      <c r="N11" s="118" t="str">
        <f t="shared" si="3"/>
        <v/>
      </c>
      <c r="O11" s="118" t="str">
        <f t="shared" si="9"/>
        <v/>
      </c>
      <c r="P11" s="118" t="str" cm="1">
        <f t="array" aca="1" ref="P11" ca="1">IF(B11="","",IFERROR(MAX(OFFSET(高値!$E$6,MATCH(TEXT(B11,"0"),TEXT(銘柄管理!$B$6:$B$305,"0"),0)-1,0,1,10)),""))</f>
        <v/>
      </c>
      <c r="Q11" s="118" t="str" cm="1">
        <f t="array" aca="1" ref="Q11" ca="1">IF(B11="","",IFERROR(MIN(OFFSET(安値!$E$6,MATCH(TEXT(B11,"0"),TEXT(銘柄管理!$B$6:$B$305,"0"),0)-1,0,1,10)),""))</f>
        <v/>
      </c>
      <c r="R11" s="118" t="str">
        <f t="shared" ca="1" si="13"/>
        <v/>
      </c>
      <c r="S11" s="526" t="str">
        <f t="shared" si="5"/>
        <v/>
      </c>
      <c r="T11" s="116"/>
      <c r="U11" s="116"/>
      <c r="V11" s="118" t="str">
        <f t="shared" si="6"/>
        <v/>
      </c>
      <c r="W11" s="121" t="str">
        <f t="shared" ca="1" si="7"/>
        <v/>
      </c>
      <c r="X11" s="116"/>
    </row>
    <row r="12" spans="1:24" ht="17.25">
      <c r="A12" s="425" t="str">
        <f t="shared" si="8"/>
        <v>株探</v>
      </c>
      <c r="B12" s="116"/>
      <c r="C12" s="120"/>
      <c r="D12" s="116" t="str" cm="1">
        <f t="array" ref="D12">_xll.RssMarket(B12, "銘柄名称")</f>
        <v/>
      </c>
      <c r="E12" s="117"/>
      <c r="F12" s="443"/>
      <c r="G12" s="116"/>
      <c r="H12" s="118" t="str" cm="1">
        <f t="array" ref="H12">IF(B12="","",_xll.RssMarket(B12,"現在値"))</f>
        <v/>
      </c>
      <c r="I12" s="118" t="str" cm="1">
        <f t="array" ref="I12">_xll.RssMarket(B12, "出来高加重平均")</f>
        <v/>
      </c>
      <c r="J12" s="118" t="str" cm="1">
        <f t="array" ref="J12">_xll.RssMarket(B12, "前日比")</f>
        <v/>
      </c>
      <c r="K12" s="118" t="str">
        <f t="shared" si="0"/>
        <v/>
      </c>
      <c r="L12" s="119" t="str">
        <f t="shared" si="1"/>
        <v/>
      </c>
      <c r="M12" s="118" t="str">
        <f t="shared" si="2"/>
        <v/>
      </c>
      <c r="N12" s="118" t="str">
        <f t="shared" si="3"/>
        <v/>
      </c>
      <c r="O12" s="118" t="str">
        <f t="shared" si="9"/>
        <v/>
      </c>
      <c r="P12" s="118" t="str" cm="1">
        <f t="array" aca="1" ref="P12" ca="1">IF(B12="","",IFERROR(MAX(OFFSET(高値!$E$6,MATCH(TEXT(B12,"0"),TEXT(銘柄管理!$B$6:$B$305,"0"),0)-1,0,1,10)),""))</f>
        <v/>
      </c>
      <c r="Q12" s="118" t="str" cm="1">
        <f t="array" aca="1" ref="Q12" ca="1">IF(B12="","",IFERROR(MIN(OFFSET(安値!$E$6,MATCH(TEXT(B12,"0"),TEXT(銘柄管理!$B$6:$B$305,"0"),0)-1,0,1,10)),""))</f>
        <v/>
      </c>
      <c r="R12" s="118" t="str">
        <f t="shared" ca="1" si="13"/>
        <v/>
      </c>
      <c r="S12" s="526" t="str">
        <f t="shared" si="5"/>
        <v/>
      </c>
      <c r="T12" s="116"/>
      <c r="U12" s="116"/>
      <c r="V12" s="118" t="str">
        <f t="shared" si="6"/>
        <v/>
      </c>
      <c r="W12" s="121" t="str">
        <f t="shared" ca="1" si="7"/>
        <v/>
      </c>
      <c r="X12" s="116"/>
    </row>
    <row r="13" spans="1:24" ht="17.25">
      <c r="A13" s="425" t="str">
        <f t="shared" si="8"/>
        <v>株探</v>
      </c>
      <c r="B13" s="116"/>
      <c r="C13" s="120"/>
      <c r="D13" s="116" t="str" cm="1">
        <f t="array" ref="D13">_xll.RssMarket(B13, "銘柄名称")</f>
        <v/>
      </c>
      <c r="E13" s="117"/>
      <c r="F13" s="443"/>
      <c r="G13" s="116"/>
      <c r="H13" s="118" t="str" cm="1">
        <f t="array" ref="H13">IF(B13="","",_xll.RssMarket(B13,"現在値"))</f>
        <v/>
      </c>
      <c r="I13" s="118" t="str" cm="1">
        <f t="array" ref="I13">_xll.RssMarket(B13, "出来高加重平均")</f>
        <v/>
      </c>
      <c r="J13" s="118" t="str" cm="1">
        <f t="array" ref="J13">_xll.RssMarket(B13, "前日比")</f>
        <v/>
      </c>
      <c r="K13" s="118" t="str">
        <f t="shared" si="0"/>
        <v/>
      </c>
      <c r="L13" s="119" t="str">
        <f t="shared" si="1"/>
        <v/>
      </c>
      <c r="M13" s="118" t="str">
        <f t="shared" si="2"/>
        <v/>
      </c>
      <c r="N13" s="118" t="str">
        <f t="shared" si="3"/>
        <v/>
      </c>
      <c r="O13" s="118" t="str">
        <f t="shared" si="9"/>
        <v/>
      </c>
      <c r="P13" s="118" t="str" cm="1">
        <f t="array" aca="1" ref="P13" ca="1">IF(B13="","",IFERROR(MAX(OFFSET(高値!$E$6,MATCH(TEXT(B13,"0"),TEXT(銘柄管理!$B$6:$B$305,"0"),0)-1,0,1,10)),""))</f>
        <v/>
      </c>
      <c r="Q13" s="118" t="str" cm="1">
        <f t="array" aca="1" ref="Q13" ca="1">IF(B13="","",IFERROR(MIN(OFFSET(安値!$E$6,MATCH(TEXT(B13,"0"),TEXT(銘柄管理!$B$6:$B$305,"0"),0)-1,0,1,10)),""))</f>
        <v/>
      </c>
      <c r="R13" s="118" t="str">
        <f t="shared" ref="R13:R64" ca="1" si="14">IF(P13="","",ROUND(P13*0.97,0))</f>
        <v/>
      </c>
      <c r="S13" s="526" t="str">
        <f t="shared" si="5"/>
        <v/>
      </c>
      <c r="T13" s="116"/>
      <c r="U13" s="116"/>
      <c r="V13" s="118" t="str">
        <f t="shared" si="6"/>
        <v/>
      </c>
      <c r="W13" s="121" t="str">
        <f t="shared" ca="1" si="7"/>
        <v/>
      </c>
      <c r="X13" s="116"/>
    </row>
    <row r="14" spans="1:24" ht="17.25">
      <c r="A14" s="425" t="str">
        <f t="shared" si="8"/>
        <v>株探</v>
      </c>
      <c r="B14" s="116"/>
      <c r="C14" s="120"/>
      <c r="D14" s="116" t="str" cm="1">
        <f t="array" ref="D14">_xll.RssMarket(B14, "銘柄名称")</f>
        <v/>
      </c>
      <c r="E14" s="117"/>
      <c r="F14" s="443"/>
      <c r="G14" s="116"/>
      <c r="H14" s="118" t="str" cm="1">
        <f t="array" ref="H14">IF(B14="","",_xll.RssMarket(B14,"現在値"))</f>
        <v/>
      </c>
      <c r="I14" s="118" t="str" cm="1">
        <f t="array" ref="I14">_xll.RssMarket(B14, "出来高加重平均")</f>
        <v/>
      </c>
      <c r="J14" s="118" t="str" cm="1">
        <f t="array" ref="J14">_xll.RssMarket(B14, "前日比")</f>
        <v/>
      </c>
      <c r="K14" s="118" t="str">
        <f t="shared" si="0"/>
        <v/>
      </c>
      <c r="L14" s="119" t="str">
        <f t="shared" si="1"/>
        <v/>
      </c>
      <c r="M14" s="118" t="str">
        <f t="shared" si="2"/>
        <v/>
      </c>
      <c r="N14" s="118" t="str">
        <f t="shared" si="3"/>
        <v/>
      </c>
      <c r="O14" s="118" t="str">
        <f t="shared" si="9"/>
        <v/>
      </c>
      <c r="P14" s="118" t="str" cm="1">
        <f t="array" aca="1" ref="P14" ca="1">IF(B14="","",IFERROR(MAX(OFFSET(高値!$E$6,MATCH(TEXT(B14,"0"),TEXT(銘柄管理!$B$6:$B$305,"0"),0)-1,0,1,10)),""))</f>
        <v/>
      </c>
      <c r="Q14" s="118" t="str" cm="1">
        <f t="array" aca="1" ref="Q14" ca="1">IF(B14="","",IFERROR(MIN(OFFSET(安値!$E$6,MATCH(TEXT(B14,"0"),TEXT(銘柄管理!$B$6:$B$305,"0"),0)-1,0,1,10)),""))</f>
        <v/>
      </c>
      <c r="R14" s="118" t="str">
        <f t="shared" ca="1" si="14"/>
        <v/>
      </c>
      <c r="S14" s="526" t="str">
        <f t="shared" si="5"/>
        <v/>
      </c>
      <c r="T14" s="116"/>
      <c r="U14" s="116"/>
      <c r="V14" s="118" t="str">
        <f t="shared" si="6"/>
        <v/>
      </c>
      <c r="W14" s="121" t="str">
        <f t="shared" ca="1" si="7"/>
        <v/>
      </c>
      <c r="X14" s="116"/>
    </row>
    <row r="15" spans="1:24" ht="17.25">
      <c r="A15" s="425" t="str">
        <f t="shared" si="8"/>
        <v>株探</v>
      </c>
      <c r="B15" s="116"/>
      <c r="C15" s="120"/>
      <c r="D15" s="116" t="str" cm="1">
        <f t="array" ref="D15">_xll.RssMarket(B15, "銘柄名称")</f>
        <v/>
      </c>
      <c r="E15" s="117"/>
      <c r="F15" s="443"/>
      <c r="G15" s="116"/>
      <c r="H15" s="118" t="str" cm="1">
        <f t="array" ref="H15">IF(B15="","",_xll.RssMarket(B15,"現在値"))</f>
        <v/>
      </c>
      <c r="I15" s="118" t="str" cm="1">
        <f t="array" ref="I15">_xll.RssMarket(B15, "出来高加重平均")</f>
        <v/>
      </c>
      <c r="J15" s="118" t="str" cm="1">
        <f t="array" ref="J15">_xll.RssMarket(B15, "前日比")</f>
        <v/>
      </c>
      <c r="K15" s="118" t="str">
        <f t="shared" si="0"/>
        <v/>
      </c>
      <c r="L15" s="119" t="str">
        <f t="shared" si="1"/>
        <v/>
      </c>
      <c r="M15" s="118" t="str">
        <f t="shared" si="2"/>
        <v/>
      </c>
      <c r="N15" s="118" t="str">
        <f t="shared" si="3"/>
        <v/>
      </c>
      <c r="O15" s="118" t="str">
        <f t="shared" si="9"/>
        <v/>
      </c>
      <c r="P15" s="118" t="str" cm="1">
        <f t="array" aca="1" ref="P15" ca="1">IF(B15="","",IFERROR(MAX(OFFSET(高値!$E$6,MATCH(TEXT(B15,"0"),TEXT(銘柄管理!$B$6:$B$305,"0"),0)-1,0,1,10)),""))</f>
        <v/>
      </c>
      <c r="Q15" s="118" t="str" cm="1">
        <f t="array" aca="1" ref="Q15" ca="1">IF(B15="","",IFERROR(MIN(OFFSET(安値!$E$6,MATCH(TEXT(B15,"0"),TEXT(銘柄管理!$B$6:$B$305,"0"),0)-1,0,1,10)),""))</f>
        <v/>
      </c>
      <c r="R15" s="118" t="str">
        <f t="shared" ca="1" si="14"/>
        <v/>
      </c>
      <c r="S15" s="526" t="str">
        <f t="shared" si="5"/>
        <v/>
      </c>
      <c r="T15" s="116"/>
      <c r="U15" s="116"/>
      <c r="V15" s="118" t="str">
        <f t="shared" si="6"/>
        <v/>
      </c>
      <c r="W15" s="121" t="str">
        <f t="shared" ca="1" si="7"/>
        <v/>
      </c>
      <c r="X15" s="116"/>
    </row>
    <row r="16" spans="1:24" ht="17.25">
      <c r="A16" s="425" t="str">
        <f t="shared" si="8"/>
        <v>株探</v>
      </c>
      <c r="B16" s="116"/>
      <c r="C16" s="120"/>
      <c r="D16" s="116" t="str" cm="1">
        <f t="array" ref="D16">_xll.RssMarket(B16, "銘柄名称")</f>
        <v/>
      </c>
      <c r="E16" s="117"/>
      <c r="F16" s="443"/>
      <c r="G16" s="116"/>
      <c r="H16" s="118" t="str" cm="1">
        <f t="array" ref="H16">IF(B16="","",_xll.RssMarket(B16,"現在値"))</f>
        <v/>
      </c>
      <c r="I16" s="118" t="str" cm="1">
        <f t="array" ref="I16">_xll.RssMarket(B16, "出来高加重平均")</f>
        <v/>
      </c>
      <c r="J16" s="118" t="str" cm="1">
        <f t="array" ref="J16">_xll.RssMarket(B16, "前日比")</f>
        <v/>
      </c>
      <c r="K16" s="118" t="str">
        <f t="shared" si="0"/>
        <v/>
      </c>
      <c r="L16" s="119" t="str">
        <f t="shared" si="1"/>
        <v/>
      </c>
      <c r="M16" s="118" t="str">
        <f t="shared" si="2"/>
        <v/>
      </c>
      <c r="N16" s="118" t="str">
        <f t="shared" si="3"/>
        <v/>
      </c>
      <c r="O16" s="118" t="str">
        <f t="shared" si="9"/>
        <v/>
      </c>
      <c r="P16" s="118" t="str" cm="1">
        <f t="array" aca="1" ref="P16" ca="1">IF(B16="","",IFERROR(MAX(OFFSET(高値!$E$6,MATCH(TEXT(B16,"0"),TEXT(銘柄管理!$B$6:$B$305,"0"),0)-1,0,1,10)),""))</f>
        <v/>
      </c>
      <c r="Q16" s="118" t="str" cm="1">
        <f t="array" aca="1" ref="Q16" ca="1">IF(B16="","",IFERROR(MIN(OFFSET(安値!$E$6,MATCH(TEXT(B16,"0"),TEXT(銘柄管理!$B$6:$B$305,"0"),0)-1,0,1,10)),""))</f>
        <v/>
      </c>
      <c r="R16" s="118" t="str">
        <f t="shared" ca="1" si="14"/>
        <v/>
      </c>
      <c r="S16" s="526" t="str">
        <f t="shared" si="5"/>
        <v/>
      </c>
      <c r="T16" s="116"/>
      <c r="U16" s="116"/>
      <c r="V16" s="118" t="str">
        <f t="shared" si="6"/>
        <v/>
      </c>
      <c r="W16" s="121" t="str">
        <f t="shared" ca="1" si="7"/>
        <v/>
      </c>
      <c r="X16" s="116"/>
    </row>
    <row r="17" spans="1:24" ht="17.25">
      <c r="A17" s="425" t="str">
        <f t="shared" si="8"/>
        <v>株探</v>
      </c>
      <c r="B17" s="116"/>
      <c r="C17" s="120"/>
      <c r="D17" s="116" t="str" cm="1">
        <f t="array" ref="D17">_xll.RssMarket(B17, "銘柄名称")</f>
        <v/>
      </c>
      <c r="E17" s="117"/>
      <c r="F17" s="443"/>
      <c r="G17" s="116"/>
      <c r="H17" s="118" t="str" cm="1">
        <f t="array" ref="H17">IF(B17="","",_xll.RssMarket(B17,"現在値"))</f>
        <v/>
      </c>
      <c r="I17" s="118" t="str" cm="1">
        <f t="array" ref="I17">_xll.RssMarket(B17, "出来高加重平均")</f>
        <v/>
      </c>
      <c r="J17" s="118" t="str" cm="1">
        <f t="array" ref="J17">_xll.RssMarket(B17, "前日比")</f>
        <v/>
      </c>
      <c r="K17" s="118" t="str">
        <f t="shared" si="0"/>
        <v/>
      </c>
      <c r="L17" s="119" t="str">
        <f t="shared" si="1"/>
        <v/>
      </c>
      <c r="M17" s="118" t="str">
        <f t="shared" si="2"/>
        <v/>
      </c>
      <c r="N17" s="118" t="str">
        <f t="shared" si="3"/>
        <v/>
      </c>
      <c r="O17" s="118" t="str">
        <f t="shared" si="9"/>
        <v/>
      </c>
      <c r="P17" s="118" t="str" cm="1">
        <f t="array" aca="1" ref="P17" ca="1">IF(B17="","",IFERROR(MAX(OFFSET(高値!$E$6,MATCH(TEXT(B17,"0"),TEXT(銘柄管理!$B$6:$B$305,"0"),0)-1,0,1,10)),""))</f>
        <v/>
      </c>
      <c r="Q17" s="118" t="str" cm="1">
        <f t="array" aca="1" ref="Q17" ca="1">IF(B17="","",IFERROR(MIN(OFFSET(安値!$E$6,MATCH(TEXT(B17,"0"),TEXT(銘柄管理!$B$6:$B$305,"0"),0)-1,0,1,10)),""))</f>
        <v/>
      </c>
      <c r="R17" s="118" t="str">
        <f t="shared" ca="1" si="14"/>
        <v/>
      </c>
      <c r="S17" s="526" t="str">
        <f t="shared" si="5"/>
        <v/>
      </c>
      <c r="T17" s="116"/>
      <c r="U17" s="116"/>
      <c r="V17" s="118" t="str">
        <f t="shared" si="6"/>
        <v/>
      </c>
      <c r="W17" s="121" t="str">
        <f t="shared" ca="1" si="7"/>
        <v/>
      </c>
      <c r="X17" s="116"/>
    </row>
    <row r="18" spans="1:24" ht="17.25">
      <c r="A18" s="425" t="str">
        <f t="shared" si="8"/>
        <v>株探</v>
      </c>
      <c r="B18" s="116"/>
      <c r="C18" s="120"/>
      <c r="D18" s="116" t="str" cm="1">
        <f t="array" ref="D18">_xll.RssMarket(B18, "銘柄名称")</f>
        <v/>
      </c>
      <c r="E18" s="117"/>
      <c r="F18" s="443"/>
      <c r="G18" s="116"/>
      <c r="H18" s="118" t="str" cm="1">
        <f t="array" ref="H18">IF(B18="","",_xll.RssMarket(B18,"現在値"))</f>
        <v/>
      </c>
      <c r="I18" s="118" t="str" cm="1">
        <f t="array" ref="I18">_xll.RssMarket(B18, "出来高加重平均")</f>
        <v/>
      </c>
      <c r="J18" s="118" t="str" cm="1">
        <f t="array" ref="J18">_xll.RssMarket(B18, "前日比")</f>
        <v/>
      </c>
      <c r="K18" s="118" t="str">
        <f t="shared" si="0"/>
        <v/>
      </c>
      <c r="L18" s="119" t="str">
        <f t="shared" si="1"/>
        <v/>
      </c>
      <c r="M18" s="118" t="str">
        <f t="shared" si="2"/>
        <v/>
      </c>
      <c r="N18" s="118" t="str">
        <f t="shared" si="3"/>
        <v/>
      </c>
      <c r="O18" s="118" t="str">
        <f t="shared" si="9"/>
        <v/>
      </c>
      <c r="P18" s="118" t="str" cm="1">
        <f t="array" aca="1" ref="P18" ca="1">IF(B18="","",IFERROR(MAX(OFFSET(高値!$E$6,MATCH(TEXT(B18,"0"),TEXT(銘柄管理!$B$6:$B$305,"0"),0)-1,0,1,10)),""))</f>
        <v/>
      </c>
      <c r="Q18" s="118" t="str" cm="1">
        <f t="array" aca="1" ref="Q18" ca="1">IF(B18="","",IFERROR(MIN(OFFSET(安値!$E$6,MATCH(TEXT(B18,"0"),TEXT(銘柄管理!$B$6:$B$305,"0"),0)-1,0,1,10)),""))</f>
        <v/>
      </c>
      <c r="R18" s="118" t="str">
        <f t="shared" ca="1" si="14"/>
        <v/>
      </c>
      <c r="S18" s="526" t="str">
        <f t="shared" si="5"/>
        <v/>
      </c>
      <c r="T18" s="116"/>
      <c r="U18" s="116"/>
      <c r="V18" s="118" t="str">
        <f t="shared" si="6"/>
        <v/>
      </c>
      <c r="W18" s="121" t="str">
        <f t="shared" ca="1" si="7"/>
        <v/>
      </c>
      <c r="X18" s="116"/>
    </row>
    <row r="19" spans="1:24" ht="17.25">
      <c r="A19" s="425" t="str">
        <f t="shared" si="8"/>
        <v>株探</v>
      </c>
      <c r="B19" s="116"/>
      <c r="C19" s="120"/>
      <c r="D19" s="116" t="str" cm="1">
        <f t="array" ref="D19">_xll.RssMarket(B19, "銘柄名称")</f>
        <v/>
      </c>
      <c r="E19" s="117"/>
      <c r="F19" s="443"/>
      <c r="G19" s="116"/>
      <c r="H19" s="118" t="str" cm="1">
        <f t="array" ref="H19">IF(B19="","",_xll.RssMarket(B19,"現在値"))</f>
        <v/>
      </c>
      <c r="I19" s="118" t="str" cm="1">
        <f t="array" ref="I19">_xll.RssMarket(B19, "出来高加重平均")</f>
        <v/>
      </c>
      <c r="J19" s="118" t="str" cm="1">
        <f t="array" ref="J19">_xll.RssMarket(B19, "前日比")</f>
        <v/>
      </c>
      <c r="K19" s="118" t="str">
        <f t="shared" si="0"/>
        <v/>
      </c>
      <c r="L19" s="119" t="str">
        <f t="shared" si="1"/>
        <v/>
      </c>
      <c r="M19" s="118" t="str">
        <f t="shared" si="2"/>
        <v/>
      </c>
      <c r="N19" s="118" t="str">
        <f t="shared" si="3"/>
        <v/>
      </c>
      <c r="O19" s="118" t="str">
        <f t="shared" si="9"/>
        <v/>
      </c>
      <c r="P19" s="118" t="str" cm="1">
        <f t="array" aca="1" ref="P19" ca="1">IF(B19="","",IFERROR(MAX(OFFSET(高値!$E$6,MATCH(TEXT(B19,"0"),TEXT(銘柄管理!$B$6:$B$305,"0"),0)-1,0,1,10)),""))</f>
        <v/>
      </c>
      <c r="Q19" s="118" t="str" cm="1">
        <f t="array" aca="1" ref="Q19" ca="1">IF(B19="","",IFERROR(MIN(OFFSET(安値!$E$6,MATCH(TEXT(B19,"0"),TEXT(銘柄管理!$B$6:$B$305,"0"),0)-1,0,1,10)),""))</f>
        <v/>
      </c>
      <c r="R19" s="118" t="str">
        <f t="shared" ca="1" si="14"/>
        <v/>
      </c>
      <c r="S19" s="526" t="str">
        <f t="shared" si="5"/>
        <v/>
      </c>
      <c r="T19" s="116"/>
      <c r="U19" s="116"/>
      <c r="V19" s="118" t="str">
        <f t="shared" si="6"/>
        <v/>
      </c>
      <c r="W19" s="121" t="str">
        <f t="shared" ca="1" si="7"/>
        <v/>
      </c>
      <c r="X19" s="116"/>
    </row>
    <row r="20" spans="1:24" ht="17.25">
      <c r="A20" s="425" t="str">
        <f t="shared" si="8"/>
        <v>株探</v>
      </c>
      <c r="B20" s="116"/>
      <c r="C20" s="120"/>
      <c r="D20" s="116" t="str" cm="1">
        <f t="array" ref="D20">_xll.RssMarket(B20, "銘柄名称")</f>
        <v/>
      </c>
      <c r="E20" s="117"/>
      <c r="F20" s="443"/>
      <c r="G20" s="116"/>
      <c r="H20" s="118" t="str" cm="1">
        <f t="array" ref="H20">IF(B20="","",_xll.RssMarket(B20,"現在値"))</f>
        <v/>
      </c>
      <c r="I20" s="118" t="str" cm="1">
        <f t="array" ref="I20">_xll.RssMarket(B20, "出来高加重平均")</f>
        <v/>
      </c>
      <c r="J20" s="118" t="str" cm="1">
        <f t="array" ref="J20">_xll.RssMarket(B20, "前日比")</f>
        <v/>
      </c>
      <c r="K20" s="118" t="str">
        <f t="shared" si="0"/>
        <v/>
      </c>
      <c r="L20" s="119" t="str">
        <f t="shared" si="1"/>
        <v/>
      </c>
      <c r="M20" s="118" t="str">
        <f t="shared" si="2"/>
        <v/>
      </c>
      <c r="N20" s="118" t="str">
        <f t="shared" si="3"/>
        <v/>
      </c>
      <c r="O20" s="118" t="str">
        <f t="shared" si="9"/>
        <v/>
      </c>
      <c r="P20" s="118" t="str" cm="1">
        <f t="array" aca="1" ref="P20" ca="1">IF(B20="","",IFERROR(MAX(OFFSET(高値!$E$6,MATCH(TEXT(B20,"0"),TEXT(銘柄管理!$B$6:$B$305,"0"),0)-1,0,1,10)),""))</f>
        <v/>
      </c>
      <c r="Q20" s="118" t="str" cm="1">
        <f t="array" aca="1" ref="Q20" ca="1">IF(B20="","",IFERROR(MIN(OFFSET(安値!$E$6,MATCH(TEXT(B20,"0"),TEXT(銘柄管理!$B$6:$B$305,"0"),0)-1,0,1,10)),""))</f>
        <v/>
      </c>
      <c r="R20" s="118" t="str">
        <f t="shared" ca="1" si="14"/>
        <v/>
      </c>
      <c r="S20" s="526" t="str">
        <f t="shared" si="5"/>
        <v/>
      </c>
      <c r="T20" s="116"/>
      <c r="U20" s="116"/>
      <c r="V20" s="118" t="str">
        <f t="shared" si="6"/>
        <v/>
      </c>
      <c r="W20" s="121" t="str">
        <f t="shared" ca="1" si="7"/>
        <v/>
      </c>
      <c r="X20" s="116"/>
    </row>
    <row r="21" spans="1:24" ht="17.25">
      <c r="A21" s="425" t="str">
        <f t="shared" si="8"/>
        <v>株探</v>
      </c>
      <c r="B21" s="116"/>
      <c r="C21" s="120"/>
      <c r="D21" s="116" t="str" cm="1">
        <f t="array" ref="D21">_xll.RssMarket(B21, "銘柄名称")</f>
        <v/>
      </c>
      <c r="E21" s="117"/>
      <c r="F21" s="443"/>
      <c r="G21" s="116"/>
      <c r="H21" s="118" t="str" cm="1">
        <f t="array" ref="H21">IF(B21="","",_xll.RssMarket(B21,"現在値"))</f>
        <v/>
      </c>
      <c r="I21" s="118" t="str" cm="1">
        <f t="array" ref="I21">_xll.RssMarket(B21, "出来高加重平均")</f>
        <v/>
      </c>
      <c r="J21" s="118" t="str" cm="1">
        <f t="array" ref="J21">_xll.RssMarket(B21, "前日比")</f>
        <v/>
      </c>
      <c r="K21" s="118" t="str">
        <f t="shared" si="0"/>
        <v/>
      </c>
      <c r="L21" s="119" t="str">
        <f t="shared" si="1"/>
        <v/>
      </c>
      <c r="M21" s="118" t="str">
        <f t="shared" si="2"/>
        <v/>
      </c>
      <c r="N21" s="118" t="str">
        <f t="shared" si="3"/>
        <v/>
      </c>
      <c r="O21" s="118" t="str">
        <f t="shared" si="9"/>
        <v/>
      </c>
      <c r="P21" s="118" t="str" cm="1">
        <f t="array" aca="1" ref="P21" ca="1">IF(B21="","",IFERROR(MAX(OFFSET(高値!$E$6,MATCH(TEXT(B21,"0"),TEXT(銘柄管理!$B$6:$B$305,"0"),0)-1,0,1,10)),""))</f>
        <v/>
      </c>
      <c r="Q21" s="118" t="str" cm="1">
        <f t="array" aca="1" ref="Q21" ca="1">IF(B21="","",IFERROR(MIN(OFFSET(安値!$E$6,MATCH(TEXT(B21,"0"),TEXT(銘柄管理!$B$6:$B$305,"0"),0)-1,0,1,10)),""))</f>
        <v/>
      </c>
      <c r="R21" s="118" t="str">
        <f t="shared" ca="1" si="14"/>
        <v/>
      </c>
      <c r="S21" s="526" t="str">
        <f t="shared" si="5"/>
        <v/>
      </c>
      <c r="T21" s="116"/>
      <c r="U21" s="116"/>
      <c r="V21" s="118" t="str">
        <f t="shared" si="6"/>
        <v/>
      </c>
      <c r="W21" s="121" t="str">
        <f t="shared" ca="1" si="7"/>
        <v/>
      </c>
      <c r="X21" s="116"/>
    </row>
    <row r="22" spans="1:24" ht="17.25">
      <c r="A22" s="425" t="str">
        <f t="shared" si="8"/>
        <v>株探</v>
      </c>
      <c r="B22" s="116"/>
      <c r="C22" s="120"/>
      <c r="D22" s="116" t="str" cm="1">
        <f t="array" ref="D22">_xll.RssMarket(B22, "銘柄名称")</f>
        <v/>
      </c>
      <c r="E22" s="117"/>
      <c r="F22" s="443"/>
      <c r="G22" s="116"/>
      <c r="H22" s="118" t="str" cm="1">
        <f t="array" ref="H22">IF(B22="","",_xll.RssMarket(B22,"現在値"))</f>
        <v/>
      </c>
      <c r="I22" s="118" t="str" cm="1">
        <f t="array" ref="I22">_xll.RssMarket(B22, "出来高加重平均")</f>
        <v/>
      </c>
      <c r="J22" s="118" t="str" cm="1">
        <f t="array" ref="J22">_xll.RssMarket(B22, "前日比")</f>
        <v/>
      </c>
      <c r="K22" s="118" t="str">
        <f t="shared" si="0"/>
        <v/>
      </c>
      <c r="L22" s="119" t="str">
        <f t="shared" si="1"/>
        <v/>
      </c>
      <c r="M22" s="118" t="str">
        <f t="shared" si="2"/>
        <v/>
      </c>
      <c r="N22" s="118" t="str">
        <f t="shared" si="3"/>
        <v/>
      </c>
      <c r="O22" s="118" t="str">
        <f t="shared" si="9"/>
        <v/>
      </c>
      <c r="P22" s="118" t="str" cm="1">
        <f t="array" aca="1" ref="P22" ca="1">IF(B22="","",IFERROR(MAX(OFFSET(高値!$E$6,MATCH(TEXT(B22,"0"),TEXT(銘柄管理!$B$6:$B$305,"0"),0)-1,0,1,10)),""))</f>
        <v/>
      </c>
      <c r="Q22" s="118" t="str" cm="1">
        <f t="array" aca="1" ref="Q22" ca="1">IF(B22="","",IFERROR(MIN(OFFSET(安値!$E$6,MATCH(TEXT(B22,"0"),TEXT(銘柄管理!$B$6:$B$305,"0"),0)-1,0,1,10)),""))</f>
        <v/>
      </c>
      <c r="R22" s="118" t="str">
        <f t="shared" ca="1" si="14"/>
        <v/>
      </c>
      <c r="S22" s="526" t="str">
        <f t="shared" si="5"/>
        <v/>
      </c>
      <c r="T22" s="116"/>
      <c r="U22" s="116"/>
      <c r="V22" s="118" t="str">
        <f t="shared" si="6"/>
        <v/>
      </c>
      <c r="W22" s="121" t="str">
        <f t="shared" ca="1" si="7"/>
        <v/>
      </c>
      <c r="X22" s="116"/>
    </row>
    <row r="23" spans="1:24" ht="17.25">
      <c r="A23" s="425" t="str">
        <f t="shared" si="8"/>
        <v>株探</v>
      </c>
      <c r="B23" s="116"/>
      <c r="C23" s="120"/>
      <c r="D23" s="116" t="str" cm="1">
        <f t="array" ref="D23">_xll.RssMarket(B23, "銘柄名称")</f>
        <v/>
      </c>
      <c r="E23" s="117"/>
      <c r="F23" s="443"/>
      <c r="G23" s="116"/>
      <c r="H23" s="118" t="str" cm="1">
        <f t="array" ref="H23">IF(B23="","",_xll.RssMarket(B23,"現在値"))</f>
        <v/>
      </c>
      <c r="I23" s="118" t="str" cm="1">
        <f t="array" ref="I23">_xll.RssMarket(B23, "出来高加重平均")</f>
        <v/>
      </c>
      <c r="J23" s="118" t="str" cm="1">
        <f t="array" ref="J23">_xll.RssMarket(B23, "前日比")</f>
        <v/>
      </c>
      <c r="K23" s="118" t="str">
        <f t="shared" si="0"/>
        <v/>
      </c>
      <c r="L23" s="119" t="str">
        <f t="shared" si="1"/>
        <v/>
      </c>
      <c r="M23" s="118" t="str">
        <f t="shared" si="2"/>
        <v/>
      </c>
      <c r="N23" s="118" t="str">
        <f t="shared" si="3"/>
        <v/>
      </c>
      <c r="O23" s="118" t="str">
        <f t="shared" si="9"/>
        <v/>
      </c>
      <c r="P23" s="118" t="str" cm="1">
        <f t="array" aca="1" ref="P23" ca="1">IF(B23="","",IFERROR(MAX(OFFSET(高値!$E$6,MATCH(TEXT(B23,"0"),TEXT(銘柄管理!$B$6:$B$305,"0"),0)-1,0,1,10)),""))</f>
        <v/>
      </c>
      <c r="Q23" s="118" t="str" cm="1">
        <f t="array" aca="1" ref="Q23" ca="1">IF(B23="","",IFERROR(MIN(OFFSET(安値!$E$6,MATCH(TEXT(B23,"0"),TEXT(銘柄管理!$B$6:$B$305,"0"),0)-1,0,1,10)),""))</f>
        <v/>
      </c>
      <c r="R23" s="118" t="str">
        <f t="shared" ca="1" si="14"/>
        <v/>
      </c>
      <c r="S23" s="526" t="str">
        <f t="shared" si="5"/>
        <v/>
      </c>
      <c r="T23" s="116"/>
      <c r="U23" s="116"/>
      <c r="V23" s="118" t="str">
        <f t="shared" si="6"/>
        <v/>
      </c>
      <c r="W23" s="121" t="str">
        <f t="shared" ca="1" si="7"/>
        <v/>
      </c>
      <c r="X23" s="116"/>
    </row>
    <row r="24" spans="1:24" ht="17.25">
      <c r="A24" s="425" t="str">
        <f t="shared" si="8"/>
        <v>株探</v>
      </c>
      <c r="B24" s="116"/>
      <c r="C24" s="120"/>
      <c r="D24" s="116" t="str" cm="1">
        <f t="array" ref="D24">_xll.RssMarket(B24, "銘柄名称")</f>
        <v/>
      </c>
      <c r="E24" s="117"/>
      <c r="F24" s="443"/>
      <c r="G24" s="116"/>
      <c r="H24" s="118" t="str" cm="1">
        <f t="array" ref="H24">IF(B24="","",_xll.RssMarket(B24,"現在値"))</f>
        <v/>
      </c>
      <c r="I24" s="118" t="str" cm="1">
        <f t="array" ref="I24">_xll.RssMarket(B24, "出来高加重平均")</f>
        <v/>
      </c>
      <c r="J24" s="118" t="str" cm="1">
        <f t="array" ref="J24">_xll.RssMarket(B24, "前日比")</f>
        <v/>
      </c>
      <c r="K24" s="118" t="str">
        <f t="shared" si="0"/>
        <v/>
      </c>
      <c r="L24" s="119" t="str">
        <f t="shared" si="1"/>
        <v/>
      </c>
      <c r="M24" s="118" t="str">
        <f t="shared" si="2"/>
        <v/>
      </c>
      <c r="N24" s="118" t="str">
        <f t="shared" si="3"/>
        <v/>
      </c>
      <c r="O24" s="118" t="str">
        <f t="shared" si="9"/>
        <v/>
      </c>
      <c r="P24" s="118" t="str" cm="1">
        <f t="array" aca="1" ref="P24" ca="1">IF(B24="","",IFERROR(MAX(OFFSET(高値!$E$6,MATCH(TEXT(B24,"0"),TEXT(銘柄管理!$B$6:$B$305,"0"),0)-1,0,1,10)),""))</f>
        <v/>
      </c>
      <c r="Q24" s="118" t="str" cm="1">
        <f t="array" aca="1" ref="Q24" ca="1">IF(B24="","",IFERROR(MIN(OFFSET(安値!$E$6,MATCH(TEXT(B24,"0"),TEXT(銘柄管理!$B$6:$B$305,"0"),0)-1,0,1,10)),""))</f>
        <v/>
      </c>
      <c r="R24" s="118" t="str">
        <f t="shared" ca="1" si="14"/>
        <v/>
      </c>
      <c r="S24" s="526" t="str">
        <f t="shared" si="5"/>
        <v/>
      </c>
      <c r="T24" s="116"/>
      <c r="U24" s="116"/>
      <c r="V24" s="118" t="str">
        <f t="shared" si="6"/>
        <v/>
      </c>
      <c r="W24" s="121" t="str">
        <f t="shared" ca="1" si="7"/>
        <v/>
      </c>
      <c r="X24" s="116"/>
    </row>
    <row r="25" spans="1:24" ht="17.25">
      <c r="A25" s="425" t="str">
        <f t="shared" si="8"/>
        <v>株探</v>
      </c>
      <c r="B25" s="116"/>
      <c r="C25" s="120"/>
      <c r="D25" s="116" t="str" cm="1">
        <f t="array" ref="D25">_xll.RssMarket(B25, "銘柄名称")</f>
        <v/>
      </c>
      <c r="E25" s="117"/>
      <c r="F25" s="443"/>
      <c r="G25" s="116"/>
      <c r="H25" s="118" t="str" cm="1">
        <f t="array" ref="H25">IF(B25="","",_xll.RssMarket(B25,"現在値"))</f>
        <v/>
      </c>
      <c r="I25" s="118" t="str" cm="1">
        <f t="array" ref="I25">_xll.RssMarket(B25, "出来高加重平均")</f>
        <v/>
      </c>
      <c r="J25" s="118" t="str" cm="1">
        <f t="array" ref="J25">_xll.RssMarket(B25, "前日比")</f>
        <v/>
      </c>
      <c r="K25" s="118" t="str">
        <f t="shared" si="0"/>
        <v/>
      </c>
      <c r="L25" s="119" t="str">
        <f t="shared" si="1"/>
        <v/>
      </c>
      <c r="M25" s="118" t="str">
        <f t="shared" si="2"/>
        <v/>
      </c>
      <c r="N25" s="118" t="str">
        <f t="shared" si="3"/>
        <v/>
      </c>
      <c r="O25" s="118" t="str">
        <f t="shared" si="9"/>
        <v/>
      </c>
      <c r="P25" s="118" t="str" cm="1">
        <f t="array" aca="1" ref="P25" ca="1">IF(B25="","",IFERROR(MAX(OFFSET(高値!$E$6,MATCH(TEXT(B25,"0"),TEXT(銘柄管理!$B$6:$B$305,"0"),0)-1,0,1,10)),""))</f>
        <v/>
      </c>
      <c r="Q25" s="118" t="str" cm="1">
        <f t="array" aca="1" ref="Q25" ca="1">IF(B25="","",IFERROR(MIN(OFFSET(安値!$E$6,MATCH(TEXT(B25,"0"),TEXT(銘柄管理!$B$6:$B$305,"0"),0)-1,0,1,10)),""))</f>
        <v/>
      </c>
      <c r="R25" s="118" t="str">
        <f t="shared" ca="1" si="14"/>
        <v/>
      </c>
      <c r="S25" s="526" t="str">
        <f t="shared" si="5"/>
        <v/>
      </c>
      <c r="T25" s="116"/>
      <c r="U25" s="116"/>
      <c r="V25" s="118" t="str">
        <f t="shared" si="6"/>
        <v/>
      </c>
      <c r="W25" s="121" t="str">
        <f t="shared" ca="1" si="7"/>
        <v/>
      </c>
      <c r="X25" s="116"/>
    </row>
    <row r="26" spans="1:24" ht="17.25">
      <c r="A26" s="425" t="str">
        <f t="shared" si="8"/>
        <v>株探</v>
      </c>
      <c r="B26" s="116"/>
      <c r="C26" s="120"/>
      <c r="D26" s="116" t="str" cm="1">
        <f t="array" ref="D26">_xll.RssMarket(B26, "銘柄名称")</f>
        <v/>
      </c>
      <c r="E26" s="117"/>
      <c r="F26" s="443"/>
      <c r="G26" s="116"/>
      <c r="H26" s="118" t="str" cm="1">
        <f t="array" ref="H26">IF(B26="","",_xll.RssMarket(B26,"現在値"))</f>
        <v/>
      </c>
      <c r="I26" s="118" t="str" cm="1">
        <f t="array" ref="I26">_xll.RssMarket(B26, "出来高加重平均")</f>
        <v/>
      </c>
      <c r="J26" s="118" t="str" cm="1">
        <f t="array" ref="J26">_xll.RssMarket(B26, "前日比")</f>
        <v/>
      </c>
      <c r="K26" s="118" t="str">
        <f t="shared" si="0"/>
        <v/>
      </c>
      <c r="L26" s="119" t="str">
        <f t="shared" si="1"/>
        <v/>
      </c>
      <c r="M26" s="118" t="str">
        <f t="shared" si="2"/>
        <v/>
      </c>
      <c r="N26" s="118" t="str">
        <f t="shared" si="3"/>
        <v/>
      </c>
      <c r="O26" s="118" t="str">
        <f t="shared" si="9"/>
        <v/>
      </c>
      <c r="P26" s="118" t="str" cm="1">
        <f t="array" aca="1" ref="P26" ca="1">IF(B26="","",IFERROR(MAX(OFFSET(高値!$E$6,MATCH(TEXT(B26,"0"),TEXT(銘柄管理!$B$6:$B$305,"0"),0)-1,0,1,10)),""))</f>
        <v/>
      </c>
      <c r="Q26" s="118" t="str" cm="1">
        <f t="array" aca="1" ref="Q26" ca="1">IF(B26="","",IFERROR(MIN(OFFSET(安値!$E$6,MATCH(TEXT(B26,"0"),TEXT(銘柄管理!$B$6:$B$305,"0"),0)-1,0,1,10)),""))</f>
        <v/>
      </c>
      <c r="R26" s="118" t="str">
        <f t="shared" ca="1" si="14"/>
        <v/>
      </c>
      <c r="S26" s="526" t="str">
        <f t="shared" si="5"/>
        <v/>
      </c>
      <c r="T26" s="116"/>
      <c r="U26" s="116"/>
      <c r="V26" s="118" t="str">
        <f t="shared" si="6"/>
        <v/>
      </c>
      <c r="W26" s="121" t="str">
        <f t="shared" ca="1" si="7"/>
        <v/>
      </c>
      <c r="X26" s="116"/>
    </row>
    <row r="27" spans="1:24" ht="17.25">
      <c r="A27" s="425" t="str">
        <f t="shared" si="8"/>
        <v>株探</v>
      </c>
      <c r="B27" s="116"/>
      <c r="C27" s="120"/>
      <c r="D27" s="116" t="str" cm="1">
        <f t="array" ref="D27">IF(B27="","",_xll.RssMarket(B27,"銘柄名称"))</f>
        <v/>
      </c>
      <c r="E27" s="117"/>
      <c r="F27" s="443"/>
      <c r="G27" s="116"/>
      <c r="H27" s="118" t="str" cm="1">
        <f t="array" ref="H27">IF(B27="","",_xll.RssMarket(B27,"現在値"))</f>
        <v/>
      </c>
      <c r="I27" s="118" t="str" cm="1">
        <f t="array" ref="I27">_xll.RssMarket(B27, "出来高加重平均")</f>
        <v/>
      </c>
      <c r="J27" s="118" t="str" cm="1">
        <f t="array" ref="J27">_xll.RssMarket(B27, "前日比")</f>
        <v/>
      </c>
      <c r="K27" s="118" t="str">
        <f t="shared" si="0"/>
        <v/>
      </c>
      <c r="L27" s="119" t="str">
        <f t="shared" si="1"/>
        <v/>
      </c>
      <c r="M27" s="118" t="str">
        <f t="shared" si="2"/>
        <v/>
      </c>
      <c r="N27" s="118" t="str">
        <f t="shared" si="3"/>
        <v/>
      </c>
      <c r="O27" s="118" t="str">
        <f t="shared" si="9"/>
        <v/>
      </c>
      <c r="P27" s="118" t="str" cm="1">
        <f t="array" aca="1" ref="P27" ca="1">IF(B27="","",IFERROR(MAX(OFFSET(高値!$E$6,MATCH(TEXT(B27,"0"),TEXT(銘柄管理!$B$6:$B$305,"0"),0)-1,0,1,10)),""))</f>
        <v/>
      </c>
      <c r="Q27" s="118" t="str" cm="1">
        <f t="array" aca="1" ref="Q27" ca="1">IF(B27="","",IFERROR(MIN(OFFSET(安値!$E$6,MATCH(TEXT(B27,"0"),TEXT(銘柄管理!$B$6:$B$305,"0"),0)-1,0,1,10)),""))</f>
        <v/>
      </c>
      <c r="R27" s="118" t="str">
        <f t="shared" ca="1" si="14"/>
        <v/>
      </c>
      <c r="S27" s="526" t="str">
        <f t="shared" si="5"/>
        <v/>
      </c>
      <c r="T27" s="116"/>
      <c r="U27" s="116"/>
      <c r="V27" s="118" t="str">
        <f t="shared" si="6"/>
        <v/>
      </c>
      <c r="W27" s="121" t="str">
        <f t="shared" ca="1" si="7"/>
        <v/>
      </c>
      <c r="X27" s="116"/>
    </row>
    <row r="28" spans="1:24" ht="17.25">
      <c r="A28" s="425" t="str">
        <f t="shared" si="8"/>
        <v>株探</v>
      </c>
      <c r="B28" s="116"/>
      <c r="C28" s="120"/>
      <c r="D28" s="116" t="str" cm="1">
        <f t="array" ref="D28">IF(B28="","",_xll.RssMarket(B28,"銘柄名称"))</f>
        <v/>
      </c>
      <c r="E28" s="117"/>
      <c r="F28" s="443"/>
      <c r="G28" s="116"/>
      <c r="H28" s="118" t="str" cm="1">
        <f t="array" ref="H28">IF(B28="","",_xll.RssMarket(B28,"現在値"))</f>
        <v/>
      </c>
      <c r="I28" s="118" t="str" cm="1">
        <f t="array" ref="I28">_xll.RssMarket(B28, "出来高加重平均")</f>
        <v/>
      </c>
      <c r="J28" s="118" t="str" cm="1">
        <f t="array" ref="J28">_xll.RssMarket(B28, "前日比")</f>
        <v/>
      </c>
      <c r="K28" s="118" t="str">
        <f t="shared" si="0"/>
        <v/>
      </c>
      <c r="L28" s="119" t="str">
        <f t="shared" si="1"/>
        <v/>
      </c>
      <c r="M28" s="118" t="str">
        <f t="shared" si="2"/>
        <v/>
      </c>
      <c r="N28" s="118" t="str">
        <f t="shared" si="3"/>
        <v/>
      </c>
      <c r="O28" s="118" t="str">
        <f t="shared" si="9"/>
        <v/>
      </c>
      <c r="P28" s="118" t="str" cm="1">
        <f t="array" aca="1" ref="P28" ca="1">IF(B28="","",IFERROR(MAX(OFFSET(高値!$E$6,MATCH(TEXT(B28,"0"),TEXT(銘柄管理!$B$6:$B$305,"0"),0)-1,0,1,10)),""))</f>
        <v/>
      </c>
      <c r="Q28" s="118" t="str" cm="1">
        <f t="array" aca="1" ref="Q28" ca="1">IF(B28="","",IFERROR(MIN(OFFSET(安値!$E$6,MATCH(TEXT(B28,"0"),TEXT(銘柄管理!$B$6:$B$305,"0"),0)-1,0,1,10)),""))</f>
        <v/>
      </c>
      <c r="R28" s="118" t="str">
        <f t="shared" ca="1" si="14"/>
        <v/>
      </c>
      <c r="S28" s="526" t="str">
        <f t="shared" si="5"/>
        <v/>
      </c>
      <c r="T28" s="116"/>
      <c r="U28" s="116"/>
      <c r="V28" s="118" t="str">
        <f t="shared" si="6"/>
        <v/>
      </c>
      <c r="W28" s="121" t="str">
        <f t="shared" ca="1" si="7"/>
        <v/>
      </c>
      <c r="X28" s="116"/>
    </row>
    <row r="29" spans="1:24" ht="17.25">
      <c r="A29" s="425" t="str">
        <f t="shared" si="8"/>
        <v>株探</v>
      </c>
      <c r="B29" s="116"/>
      <c r="C29" s="120"/>
      <c r="D29" s="116" t="str" cm="1">
        <f t="array" ref="D29">IF(B29="","",_xll.RssMarket(B29,"銘柄名称"))</f>
        <v/>
      </c>
      <c r="E29" s="117"/>
      <c r="F29" s="443"/>
      <c r="G29" s="116"/>
      <c r="H29" s="118" t="str" cm="1">
        <f t="array" ref="H29">IF(B29="","",_xll.RssMarket(B29,"現在値"))</f>
        <v/>
      </c>
      <c r="I29" s="118" t="str" cm="1">
        <f t="array" ref="I29">_xll.RssMarket(B29, "出来高加重平均")</f>
        <v/>
      </c>
      <c r="J29" s="118" t="str" cm="1">
        <f t="array" ref="J29">_xll.RssMarket(B29, "前日比")</f>
        <v/>
      </c>
      <c r="K29" s="118" t="str">
        <f t="shared" si="0"/>
        <v/>
      </c>
      <c r="L29" s="119" t="str">
        <f t="shared" si="1"/>
        <v/>
      </c>
      <c r="M29" s="118" t="str">
        <f t="shared" si="2"/>
        <v/>
      </c>
      <c r="N29" s="118" t="str">
        <f t="shared" si="3"/>
        <v/>
      </c>
      <c r="O29" s="118" t="str">
        <f t="shared" si="9"/>
        <v/>
      </c>
      <c r="P29" s="118" t="str" cm="1">
        <f t="array" aca="1" ref="P29" ca="1">IF(B29="","",IFERROR(MAX(OFFSET(高値!$E$6,MATCH(TEXT(B29,"0"),TEXT(銘柄管理!$B$6:$B$305,"0"),0)-1,0,1,10)),""))</f>
        <v/>
      </c>
      <c r="Q29" s="118" t="str" cm="1">
        <f t="array" aca="1" ref="Q29" ca="1">IF(B29="","",IFERROR(MIN(OFFSET(安値!$E$6,MATCH(TEXT(B29,"0"),TEXT(銘柄管理!$B$6:$B$305,"0"),0)-1,0,1,10)),""))</f>
        <v/>
      </c>
      <c r="R29" s="118" t="str">
        <f t="shared" ca="1" si="14"/>
        <v/>
      </c>
      <c r="S29" s="526" t="str">
        <f t="shared" si="5"/>
        <v/>
      </c>
      <c r="T29" s="116"/>
      <c r="U29" s="116"/>
      <c r="V29" s="118" t="str">
        <f t="shared" si="6"/>
        <v/>
      </c>
      <c r="W29" s="121" t="str">
        <f t="shared" ca="1" si="7"/>
        <v/>
      </c>
      <c r="X29" s="116"/>
    </row>
    <row r="30" spans="1:24" ht="17.25">
      <c r="A30" s="425" t="str">
        <f t="shared" si="8"/>
        <v>株探</v>
      </c>
      <c r="B30" s="116"/>
      <c r="C30" s="120"/>
      <c r="D30" s="116" t="str" cm="1">
        <f t="array" ref="D30">IF(B30="","",_xll.RssMarket(B30,"銘柄名称"))</f>
        <v/>
      </c>
      <c r="E30" s="117"/>
      <c r="F30" s="443"/>
      <c r="G30" s="116"/>
      <c r="H30" s="118" t="str" cm="1">
        <f t="array" ref="H30">IF(B30="","",_xll.RssMarket(B30,"現在値"))</f>
        <v/>
      </c>
      <c r="I30" s="118" t="str" cm="1">
        <f t="array" ref="I30">_xll.RssMarket(B30, "出来高加重平均")</f>
        <v/>
      </c>
      <c r="J30" s="118" t="str" cm="1">
        <f t="array" ref="J30">_xll.RssMarket(B30, "前日比")</f>
        <v/>
      </c>
      <c r="K30" s="118" t="str">
        <f t="shared" si="0"/>
        <v/>
      </c>
      <c r="L30" s="119" t="str">
        <f t="shared" si="1"/>
        <v/>
      </c>
      <c r="M30" s="118" t="str">
        <f t="shared" si="2"/>
        <v/>
      </c>
      <c r="N30" s="118" t="str">
        <f t="shared" si="3"/>
        <v/>
      </c>
      <c r="O30" s="118" t="str">
        <f t="shared" si="9"/>
        <v/>
      </c>
      <c r="P30" s="118" t="str" cm="1">
        <f t="array" aca="1" ref="P30" ca="1">IF(B30="","",IFERROR(MAX(OFFSET(高値!$E$6,MATCH(TEXT(B30,"0"),TEXT(銘柄管理!$B$6:$B$305,"0"),0)-1,0,1,10)),""))</f>
        <v/>
      </c>
      <c r="Q30" s="118" t="str" cm="1">
        <f t="array" aca="1" ref="Q30" ca="1">IF(B30="","",IFERROR(MIN(OFFSET(安値!$E$6,MATCH(TEXT(B30,"0"),TEXT(銘柄管理!$B$6:$B$305,"0"),0)-1,0,1,10)),""))</f>
        <v/>
      </c>
      <c r="R30" s="118" t="str">
        <f t="shared" ca="1" si="14"/>
        <v/>
      </c>
      <c r="S30" s="526" t="str">
        <f t="shared" si="5"/>
        <v/>
      </c>
      <c r="T30" s="116"/>
      <c r="U30" s="116"/>
      <c r="V30" s="118" t="str">
        <f t="shared" si="6"/>
        <v/>
      </c>
      <c r="W30" s="121" t="str">
        <f t="shared" ca="1" si="7"/>
        <v/>
      </c>
      <c r="X30" s="116"/>
    </row>
    <row r="31" spans="1:24" ht="17.25">
      <c r="A31" s="425" t="str">
        <f t="shared" si="8"/>
        <v>株探</v>
      </c>
      <c r="B31" s="116"/>
      <c r="C31" s="120"/>
      <c r="D31" s="116" t="str" cm="1">
        <f t="array" ref="D31">IF(B31="","",_xll.RssMarket(B31,"銘柄名称"))</f>
        <v/>
      </c>
      <c r="E31" s="117"/>
      <c r="F31" s="443"/>
      <c r="G31" s="116"/>
      <c r="H31" s="118" t="str" cm="1">
        <f t="array" ref="H31">IF(B31="","",_xll.RssMarket(B31,"現在値"))</f>
        <v/>
      </c>
      <c r="I31" s="118" t="str" cm="1">
        <f t="array" ref="I31">_xll.RssMarket(B31, "出来高加重平均")</f>
        <v/>
      </c>
      <c r="J31" s="118" t="str" cm="1">
        <f t="array" ref="J31">_xll.RssMarket(B31, "前日比")</f>
        <v/>
      </c>
      <c r="K31" s="118" t="str">
        <f t="shared" si="0"/>
        <v/>
      </c>
      <c r="L31" s="119" t="str">
        <f t="shared" si="1"/>
        <v/>
      </c>
      <c r="M31" s="118" t="str">
        <f t="shared" si="2"/>
        <v/>
      </c>
      <c r="N31" s="118" t="str">
        <f t="shared" si="3"/>
        <v/>
      </c>
      <c r="O31" s="118" t="str">
        <f t="shared" si="9"/>
        <v/>
      </c>
      <c r="P31" s="118" t="str" cm="1">
        <f t="array" aca="1" ref="P31" ca="1">IF(B31="","",IFERROR(MAX(OFFSET(高値!$E$6,MATCH(TEXT(B31,"0"),TEXT(銘柄管理!$B$6:$B$305,"0"),0)-1,0,1,10)),""))</f>
        <v/>
      </c>
      <c r="Q31" s="118" t="str" cm="1">
        <f t="array" aca="1" ref="Q31" ca="1">IF(B31="","",IFERROR(MIN(OFFSET(安値!$E$6,MATCH(TEXT(B31,"0"),TEXT(銘柄管理!$B$6:$B$305,"0"),0)-1,0,1,10)),""))</f>
        <v/>
      </c>
      <c r="R31" s="118" t="str">
        <f t="shared" ca="1" si="14"/>
        <v/>
      </c>
      <c r="S31" s="526" t="str">
        <f t="shared" si="5"/>
        <v/>
      </c>
      <c r="T31" s="116"/>
      <c r="U31" s="116"/>
      <c r="V31" s="118" t="str">
        <f t="shared" si="6"/>
        <v/>
      </c>
      <c r="W31" s="121" t="str">
        <f t="shared" ca="1" si="7"/>
        <v/>
      </c>
      <c r="X31" s="116"/>
    </row>
    <row r="32" spans="1:24" ht="17.25">
      <c r="A32" s="425" t="str">
        <f t="shared" si="8"/>
        <v>株探</v>
      </c>
      <c r="B32" s="116"/>
      <c r="C32" s="120"/>
      <c r="D32" s="116" t="str" cm="1">
        <f t="array" ref="D32">IF(B32="","",_xll.RssMarket(B32,"銘柄名称"))</f>
        <v/>
      </c>
      <c r="E32" s="117"/>
      <c r="F32" s="443"/>
      <c r="G32" s="116"/>
      <c r="H32" s="118" t="str" cm="1">
        <f t="array" ref="H32">IF(B32="","",_xll.RssMarket(B32,"現在値"))</f>
        <v/>
      </c>
      <c r="I32" s="118" t="str" cm="1">
        <f t="array" ref="I32">_xll.RssMarket(B32, "出来高加重平均")</f>
        <v/>
      </c>
      <c r="J32" s="118" t="str" cm="1">
        <f t="array" ref="J32">_xll.RssMarket(B32, "前日比")</f>
        <v/>
      </c>
      <c r="K32" s="118" t="str">
        <f t="shared" si="0"/>
        <v/>
      </c>
      <c r="L32" s="119" t="str">
        <f t="shared" si="1"/>
        <v/>
      </c>
      <c r="M32" s="118" t="str">
        <f t="shared" si="2"/>
        <v/>
      </c>
      <c r="N32" s="118" t="str">
        <f t="shared" si="3"/>
        <v/>
      </c>
      <c r="O32" s="118" t="str">
        <f t="shared" si="9"/>
        <v/>
      </c>
      <c r="P32" s="118" t="str" cm="1">
        <f t="array" aca="1" ref="P32" ca="1">IF(B32="","",IFERROR(MAX(OFFSET(高値!$E$6,MATCH(TEXT(B32,"0"),TEXT(銘柄管理!$B$6:$B$305,"0"),0)-1,0,1,10)),""))</f>
        <v/>
      </c>
      <c r="Q32" s="118" t="str" cm="1">
        <f t="array" aca="1" ref="Q32" ca="1">IF(B32="","",IFERROR(MIN(OFFSET(安値!$E$6,MATCH(TEXT(B32,"0"),TEXT(銘柄管理!$B$6:$B$305,"0"),0)-1,0,1,10)),""))</f>
        <v/>
      </c>
      <c r="R32" s="118" t="str">
        <f t="shared" ca="1" si="14"/>
        <v/>
      </c>
      <c r="S32" s="526" t="str">
        <f t="shared" si="5"/>
        <v/>
      </c>
      <c r="T32" s="116"/>
      <c r="U32" s="116"/>
      <c r="V32" s="118" t="str">
        <f t="shared" si="6"/>
        <v/>
      </c>
      <c r="W32" s="121" t="str">
        <f t="shared" ca="1" si="7"/>
        <v/>
      </c>
      <c r="X32" s="116"/>
    </row>
    <row r="33" spans="1:24" ht="17.25">
      <c r="A33" s="425" t="str">
        <f t="shared" si="8"/>
        <v>株探</v>
      </c>
      <c r="B33" s="116"/>
      <c r="C33" s="120"/>
      <c r="D33" s="116" t="str" cm="1">
        <f t="array" ref="D33">IF(B33="","",_xll.RssMarket(B33,"銘柄名称"))</f>
        <v/>
      </c>
      <c r="E33" s="117"/>
      <c r="F33" s="443"/>
      <c r="G33" s="116"/>
      <c r="H33" s="118" t="str" cm="1">
        <f t="array" ref="H33">IF(B33="","",_xll.RssMarket(B33,"現在値"))</f>
        <v/>
      </c>
      <c r="I33" s="118" t="str" cm="1">
        <f t="array" ref="I33">_xll.RssMarket(B33, "出来高加重平均")</f>
        <v/>
      </c>
      <c r="J33" s="118" t="str" cm="1">
        <f t="array" ref="J33">_xll.RssMarket(B33, "前日比")</f>
        <v/>
      </c>
      <c r="K33" s="118" t="str">
        <f t="shared" si="0"/>
        <v/>
      </c>
      <c r="L33" s="119" t="str">
        <f t="shared" si="1"/>
        <v/>
      </c>
      <c r="M33" s="118" t="str">
        <f t="shared" si="2"/>
        <v/>
      </c>
      <c r="N33" s="118" t="str">
        <f t="shared" si="3"/>
        <v/>
      </c>
      <c r="O33" s="118" t="str">
        <f t="shared" si="9"/>
        <v/>
      </c>
      <c r="P33" s="118" t="str" cm="1">
        <f t="array" aca="1" ref="P33" ca="1">IF(B33="","",IFERROR(MAX(OFFSET(高値!$E$6,MATCH(TEXT(B33,"0"),TEXT(銘柄管理!$B$6:$B$305,"0"),0)-1,0,1,10)),""))</f>
        <v/>
      </c>
      <c r="Q33" s="118" t="str" cm="1">
        <f t="array" aca="1" ref="Q33" ca="1">IF(B33="","",IFERROR(MIN(OFFSET(安値!$E$6,MATCH(TEXT(B33,"0"),TEXT(銘柄管理!$B$6:$B$305,"0"),0)-1,0,1,10)),""))</f>
        <v/>
      </c>
      <c r="R33" s="118" t="str">
        <f t="shared" ca="1" si="14"/>
        <v/>
      </c>
      <c r="S33" s="526" t="str">
        <f t="shared" si="5"/>
        <v/>
      </c>
      <c r="T33" s="116"/>
      <c r="U33" s="116"/>
      <c r="V33" s="118" t="str">
        <f t="shared" si="6"/>
        <v/>
      </c>
      <c r="W33" s="121" t="str">
        <f t="shared" ca="1" si="7"/>
        <v/>
      </c>
      <c r="X33" s="116"/>
    </row>
    <row r="34" spans="1:24" ht="17.25">
      <c r="A34" s="425" t="str">
        <f t="shared" si="8"/>
        <v>株探</v>
      </c>
      <c r="B34" s="116"/>
      <c r="C34" s="120"/>
      <c r="D34" s="116" t="str" cm="1">
        <f t="array" ref="D34">IF(B34="","",_xll.RssMarket(B34,"銘柄名称"))</f>
        <v/>
      </c>
      <c r="E34" s="117"/>
      <c r="F34" s="443"/>
      <c r="G34" s="116"/>
      <c r="H34" s="118" t="str" cm="1">
        <f t="array" ref="H34">IF(B34="","",_xll.RssMarket(B34,"現在値"))</f>
        <v/>
      </c>
      <c r="I34" s="118" t="str" cm="1">
        <f t="array" ref="I34">_xll.RssMarket(B34, "出来高加重平均")</f>
        <v/>
      </c>
      <c r="J34" s="118" t="str" cm="1">
        <f t="array" ref="J34">_xll.RssMarket(B34, "前日比")</f>
        <v/>
      </c>
      <c r="K34" s="118" t="str">
        <f t="shared" si="0"/>
        <v/>
      </c>
      <c r="L34" s="119" t="str">
        <f t="shared" si="1"/>
        <v/>
      </c>
      <c r="M34" s="118" t="str">
        <f t="shared" si="2"/>
        <v/>
      </c>
      <c r="N34" s="118" t="str">
        <f t="shared" si="3"/>
        <v/>
      </c>
      <c r="O34" s="118" t="str">
        <f t="shared" si="9"/>
        <v/>
      </c>
      <c r="P34" s="118" t="str" cm="1">
        <f t="array" aca="1" ref="P34" ca="1">IF(B34="","",IFERROR(MAX(OFFSET(高値!$E$6,MATCH(TEXT(B34,"0"),TEXT(銘柄管理!$B$6:$B$305,"0"),0)-1,0,1,10)),""))</f>
        <v/>
      </c>
      <c r="Q34" s="118" t="str" cm="1">
        <f t="array" aca="1" ref="Q34" ca="1">IF(B34="","",IFERROR(MIN(OFFSET(安値!$E$6,MATCH(TEXT(B34,"0"),TEXT(銘柄管理!$B$6:$B$305,"0"),0)-1,0,1,10)),""))</f>
        <v/>
      </c>
      <c r="R34" s="118" t="str">
        <f t="shared" ca="1" si="14"/>
        <v/>
      </c>
      <c r="S34" s="526" t="str">
        <f t="shared" si="5"/>
        <v/>
      </c>
      <c r="T34" s="116"/>
      <c r="U34" s="116"/>
      <c r="V34" s="118" t="str">
        <f t="shared" si="6"/>
        <v/>
      </c>
      <c r="W34" s="121" t="str">
        <f t="shared" ca="1" si="7"/>
        <v/>
      </c>
      <c r="X34" s="116"/>
    </row>
    <row r="35" spans="1:24" ht="17.25">
      <c r="A35" s="425" t="str">
        <f t="shared" si="8"/>
        <v>株探</v>
      </c>
      <c r="B35" s="116"/>
      <c r="C35" s="120"/>
      <c r="D35" s="116" t="str" cm="1">
        <f t="array" ref="D35">IF(B35="","",_xll.RssMarket(B35,"銘柄名称"))</f>
        <v/>
      </c>
      <c r="E35" s="117"/>
      <c r="F35" s="443"/>
      <c r="G35" s="116"/>
      <c r="H35" s="118" t="str" cm="1">
        <f t="array" ref="H35">IF(B35="","",_xll.RssMarket(B35,"現在値"))</f>
        <v/>
      </c>
      <c r="I35" s="118" t="str" cm="1">
        <f t="array" ref="I35">_xll.RssMarket(B35, "出来高加重平均")</f>
        <v/>
      </c>
      <c r="J35" s="118" t="str" cm="1">
        <f t="array" ref="J35">_xll.RssMarket(B35, "前日比")</f>
        <v/>
      </c>
      <c r="K35" s="118" t="str">
        <f t="shared" si="0"/>
        <v/>
      </c>
      <c r="L35" s="119" t="str">
        <f t="shared" si="1"/>
        <v/>
      </c>
      <c r="M35" s="118" t="str">
        <f t="shared" si="2"/>
        <v/>
      </c>
      <c r="N35" s="118" t="str">
        <f t="shared" si="3"/>
        <v/>
      </c>
      <c r="O35" s="118" t="str">
        <f t="shared" si="9"/>
        <v/>
      </c>
      <c r="P35" s="118" t="str" cm="1">
        <f t="array" aca="1" ref="P35" ca="1">IF(B35="","",IFERROR(MAX(OFFSET(高値!$E$6,MATCH(TEXT(B35,"0"),TEXT(銘柄管理!$B$6:$B$305,"0"),0)-1,0,1,10)),""))</f>
        <v/>
      </c>
      <c r="Q35" s="118" t="str" cm="1">
        <f t="array" aca="1" ref="Q35" ca="1">IF(B35="","",IFERROR(MIN(OFFSET(安値!$E$6,MATCH(TEXT(B35,"0"),TEXT(銘柄管理!$B$6:$B$305,"0"),0)-1,0,1,10)),""))</f>
        <v/>
      </c>
      <c r="R35" s="118" t="str">
        <f t="shared" ca="1" si="14"/>
        <v/>
      </c>
      <c r="S35" s="526" t="str">
        <f t="shared" si="5"/>
        <v/>
      </c>
      <c r="T35" s="116"/>
      <c r="U35" s="116"/>
      <c r="V35" s="118" t="str">
        <f t="shared" si="6"/>
        <v/>
      </c>
      <c r="W35" s="121" t="str">
        <f t="shared" ca="1" si="7"/>
        <v/>
      </c>
      <c r="X35" s="116"/>
    </row>
    <row r="36" spans="1:24" ht="17.25">
      <c r="A36" s="425" t="str">
        <f t="shared" si="8"/>
        <v>株探</v>
      </c>
      <c r="B36" s="116"/>
      <c r="C36" s="120"/>
      <c r="D36" s="116" t="str" cm="1">
        <f t="array" ref="D36">IF(B36="","",_xll.RssMarket(B36,"銘柄名称"))</f>
        <v/>
      </c>
      <c r="E36" s="117"/>
      <c r="F36" s="443"/>
      <c r="G36" s="116"/>
      <c r="H36" s="118" t="str" cm="1">
        <f t="array" ref="H36">IF(B36="","",_xll.RssMarket(B36,"現在値"))</f>
        <v/>
      </c>
      <c r="I36" s="118" t="str" cm="1">
        <f t="array" ref="I36">_xll.RssMarket(B36, "出来高加重平均")</f>
        <v/>
      </c>
      <c r="J36" s="118" t="str" cm="1">
        <f t="array" ref="J36">_xll.RssMarket(B36, "前日比")</f>
        <v/>
      </c>
      <c r="K36" s="118" t="str">
        <f t="shared" si="0"/>
        <v/>
      </c>
      <c r="L36" s="119" t="str">
        <f t="shared" si="1"/>
        <v/>
      </c>
      <c r="M36" s="118" t="str">
        <f t="shared" si="2"/>
        <v/>
      </c>
      <c r="N36" s="118" t="str">
        <f t="shared" si="3"/>
        <v/>
      </c>
      <c r="O36" s="118" t="str">
        <f t="shared" si="9"/>
        <v/>
      </c>
      <c r="P36" s="118" t="str" cm="1">
        <f t="array" aca="1" ref="P36" ca="1">IF(B36="","",IFERROR(MAX(OFFSET(高値!$E$6,MATCH(TEXT(B36,"0"),TEXT(銘柄管理!$B$6:$B$305,"0"),0)-1,0,1,10)),""))</f>
        <v/>
      </c>
      <c r="Q36" s="118" t="str" cm="1">
        <f t="array" aca="1" ref="Q36" ca="1">IF(B36="","",IFERROR(MIN(OFFSET(安値!$E$6,MATCH(TEXT(B36,"0"),TEXT(銘柄管理!$B$6:$B$305,"0"),0)-1,0,1,10)),""))</f>
        <v/>
      </c>
      <c r="R36" s="118" t="str">
        <f t="shared" ca="1" si="14"/>
        <v/>
      </c>
      <c r="S36" s="526" t="str">
        <f t="shared" si="5"/>
        <v/>
      </c>
      <c r="T36" s="116"/>
      <c r="U36" s="116"/>
      <c r="V36" s="118" t="str">
        <f t="shared" si="6"/>
        <v/>
      </c>
      <c r="W36" s="121" t="str">
        <f t="shared" ca="1" si="7"/>
        <v/>
      </c>
      <c r="X36" s="116"/>
    </row>
    <row r="37" spans="1:24" ht="17.25">
      <c r="A37" s="425" t="str">
        <f t="shared" si="8"/>
        <v>株探</v>
      </c>
      <c r="B37" s="116"/>
      <c r="C37" s="120"/>
      <c r="D37" s="116" t="str" cm="1">
        <f t="array" ref="D37">IF(B37="","",_xll.RssMarket(B37,"銘柄名称"))</f>
        <v/>
      </c>
      <c r="E37" s="117"/>
      <c r="F37" s="443"/>
      <c r="G37" s="116"/>
      <c r="H37" s="118" t="str" cm="1">
        <f t="array" ref="H37">IF(B37="","",_xll.RssMarket(B37,"現在値"))</f>
        <v/>
      </c>
      <c r="I37" s="118" t="str" cm="1">
        <f t="array" ref="I37">_xll.RssMarket(B37, "出来高加重平均")</f>
        <v/>
      </c>
      <c r="J37" s="118" t="str" cm="1">
        <f t="array" ref="J37">_xll.RssMarket(B37, "前日比")</f>
        <v/>
      </c>
      <c r="K37" s="118" t="str">
        <f t="shared" si="0"/>
        <v/>
      </c>
      <c r="L37" s="119" t="str">
        <f t="shared" si="1"/>
        <v/>
      </c>
      <c r="M37" s="118" t="str">
        <f t="shared" si="2"/>
        <v/>
      </c>
      <c r="N37" s="118" t="str">
        <f t="shared" si="3"/>
        <v/>
      </c>
      <c r="O37" s="118" t="str">
        <f t="shared" si="9"/>
        <v/>
      </c>
      <c r="P37" s="118" t="str" cm="1">
        <f t="array" aca="1" ref="P37" ca="1">IF(B37="","",IFERROR(MAX(OFFSET(高値!$E$6,MATCH(TEXT(B37,"0"),TEXT(銘柄管理!$B$6:$B$305,"0"),0)-1,0,1,10)),""))</f>
        <v/>
      </c>
      <c r="Q37" s="118" t="str" cm="1">
        <f t="array" aca="1" ref="Q37" ca="1">IF(B37="","",IFERROR(MIN(OFFSET(安値!$E$6,MATCH(TEXT(B37,"0"),TEXT(銘柄管理!$B$6:$B$305,"0"),0)-1,0,1,10)),""))</f>
        <v/>
      </c>
      <c r="R37" s="118" t="str">
        <f t="shared" ca="1" si="14"/>
        <v/>
      </c>
      <c r="S37" s="526" t="str">
        <f t="shared" si="5"/>
        <v/>
      </c>
      <c r="T37" s="116"/>
      <c r="U37" s="116"/>
      <c r="V37" s="118" t="str">
        <f t="shared" si="6"/>
        <v/>
      </c>
      <c r="W37" s="121" t="str">
        <f t="shared" ca="1" si="7"/>
        <v/>
      </c>
      <c r="X37" s="116"/>
    </row>
    <row r="38" spans="1:24" ht="17.25">
      <c r="A38" s="425" t="str">
        <f t="shared" si="8"/>
        <v>株探</v>
      </c>
      <c r="B38" s="116"/>
      <c r="C38" s="120"/>
      <c r="D38" s="116" t="str" cm="1">
        <f t="array" ref="D38">IF(B38="","",_xll.RssMarket(B38,"銘柄名称"))</f>
        <v/>
      </c>
      <c r="E38" s="117"/>
      <c r="F38" s="443"/>
      <c r="G38" s="116"/>
      <c r="H38" s="118" t="str" cm="1">
        <f t="array" ref="H38">IF(B38="","",_xll.RssMarket(B38,"現在値"))</f>
        <v/>
      </c>
      <c r="I38" s="118" t="str" cm="1">
        <f t="array" ref="I38">_xll.RssMarket(B38, "出来高加重平均")</f>
        <v/>
      </c>
      <c r="J38" s="118" t="str" cm="1">
        <f t="array" ref="J38">_xll.RssMarket(B38, "前日比")</f>
        <v/>
      </c>
      <c r="K38" s="118" t="str">
        <f t="shared" si="0"/>
        <v/>
      </c>
      <c r="L38" s="119" t="str">
        <f t="shared" si="1"/>
        <v/>
      </c>
      <c r="M38" s="118" t="str">
        <f t="shared" si="2"/>
        <v/>
      </c>
      <c r="N38" s="118" t="str">
        <f t="shared" si="3"/>
        <v/>
      </c>
      <c r="O38" s="118" t="str">
        <f t="shared" si="9"/>
        <v/>
      </c>
      <c r="P38" s="118" t="str" cm="1">
        <f t="array" aca="1" ref="P38" ca="1">IF(B38="","",IFERROR(MAX(OFFSET(高値!$E$6,MATCH(TEXT(B38,"0"),TEXT(銘柄管理!$B$6:$B$305,"0"),0)-1,0,1,10)),""))</f>
        <v/>
      </c>
      <c r="Q38" s="118" t="str" cm="1">
        <f t="array" aca="1" ref="Q38" ca="1">IF(B38="","",IFERROR(MIN(OFFSET(安値!$E$6,MATCH(TEXT(B38,"0"),TEXT(銘柄管理!$B$6:$B$305,"0"),0)-1,0,1,10)),""))</f>
        <v/>
      </c>
      <c r="R38" s="118" t="str">
        <f t="shared" ca="1" si="14"/>
        <v/>
      </c>
      <c r="S38" s="526" t="str">
        <f t="shared" si="5"/>
        <v/>
      </c>
      <c r="T38" s="116"/>
      <c r="U38" s="116"/>
      <c r="V38" s="118" t="str">
        <f t="shared" si="6"/>
        <v/>
      </c>
      <c r="W38" s="121" t="str">
        <f t="shared" ca="1" si="7"/>
        <v/>
      </c>
      <c r="X38" s="116"/>
    </row>
    <row r="39" spans="1:24" ht="17.25">
      <c r="A39" s="425" t="str">
        <f t="shared" si="8"/>
        <v>株探</v>
      </c>
      <c r="B39" s="116"/>
      <c r="C39" s="120"/>
      <c r="D39" s="116" t="str" cm="1">
        <f t="array" ref="D39">IF(B39="","",_xll.RssMarket(B39,"銘柄名称"))</f>
        <v/>
      </c>
      <c r="E39" s="117"/>
      <c r="F39" s="443"/>
      <c r="G39" s="116"/>
      <c r="H39" s="118" t="str" cm="1">
        <f t="array" ref="H39">IF(B39="","",_xll.RssMarket(B39,"現在値"))</f>
        <v/>
      </c>
      <c r="I39" s="118" t="str" cm="1">
        <f t="array" ref="I39">_xll.RssMarket(B39, "出来高加重平均")</f>
        <v/>
      </c>
      <c r="J39" s="118" t="str" cm="1">
        <f t="array" ref="J39">_xll.RssMarket(B39, "前日比")</f>
        <v/>
      </c>
      <c r="K39" s="118" t="str">
        <f t="shared" si="0"/>
        <v/>
      </c>
      <c r="L39" s="119" t="str">
        <f t="shared" si="1"/>
        <v/>
      </c>
      <c r="M39" s="118" t="str">
        <f t="shared" si="2"/>
        <v/>
      </c>
      <c r="N39" s="118" t="str">
        <f t="shared" si="3"/>
        <v/>
      </c>
      <c r="O39" s="118" t="str">
        <f t="shared" si="9"/>
        <v/>
      </c>
      <c r="P39" s="118" t="str" cm="1">
        <f t="array" aca="1" ref="P39" ca="1">IF(B39="","",IFERROR(MAX(OFFSET(高値!$E$6,MATCH(TEXT(B39,"0"),TEXT(銘柄管理!$B$6:$B$305,"0"),0)-1,0,1,10)),""))</f>
        <v/>
      </c>
      <c r="Q39" s="118" t="str" cm="1">
        <f t="array" aca="1" ref="Q39" ca="1">IF(B39="","",IFERROR(MIN(OFFSET(安値!$E$6,MATCH(TEXT(B39,"0"),TEXT(銘柄管理!$B$6:$B$305,"0"),0)-1,0,1,10)),""))</f>
        <v/>
      </c>
      <c r="R39" s="118" t="str">
        <f t="shared" ca="1" si="14"/>
        <v/>
      </c>
      <c r="S39" s="526" t="str">
        <f t="shared" si="5"/>
        <v/>
      </c>
      <c r="T39" s="116"/>
      <c r="U39" s="116"/>
      <c r="V39" s="118" t="str">
        <f t="shared" si="6"/>
        <v/>
      </c>
      <c r="W39" s="121" t="str">
        <f t="shared" ca="1" si="7"/>
        <v/>
      </c>
      <c r="X39" s="116"/>
    </row>
    <row r="40" spans="1:24" ht="17.25">
      <c r="A40" s="425" t="str">
        <f t="shared" si="8"/>
        <v>株探</v>
      </c>
      <c r="B40" s="116"/>
      <c r="C40" s="120"/>
      <c r="D40" s="116" t="str" cm="1">
        <f t="array" ref="D40">IF(B40="","",_xll.RssMarket(B40,"銘柄名称"))</f>
        <v/>
      </c>
      <c r="E40" s="117"/>
      <c r="F40" s="443"/>
      <c r="G40" s="116"/>
      <c r="H40" s="118" t="str" cm="1">
        <f t="array" ref="H40">IF(B40="","",_xll.RssMarket(B40,"現在値"))</f>
        <v/>
      </c>
      <c r="I40" s="118" t="str" cm="1">
        <f t="array" ref="I40">_xll.RssMarket(B40, "出来高加重平均")</f>
        <v/>
      </c>
      <c r="J40" s="118" t="str" cm="1">
        <f t="array" ref="J40">_xll.RssMarket(B40, "前日比")</f>
        <v/>
      </c>
      <c r="K40" s="118" t="str">
        <f t="shared" si="0"/>
        <v/>
      </c>
      <c r="L40" s="119" t="str">
        <f t="shared" si="1"/>
        <v/>
      </c>
      <c r="M40" s="118" t="str">
        <f t="shared" si="2"/>
        <v/>
      </c>
      <c r="N40" s="118" t="str">
        <f t="shared" si="3"/>
        <v/>
      </c>
      <c r="O40" s="118" t="str">
        <f t="shared" si="9"/>
        <v/>
      </c>
      <c r="P40" s="118" t="str" cm="1">
        <f t="array" aca="1" ref="P40" ca="1">IF(B40="","",IFERROR(MAX(OFFSET(高値!$E$6,MATCH(TEXT(B40,"0"),TEXT(銘柄管理!$B$6:$B$305,"0"),0)-1,0,1,10)),""))</f>
        <v/>
      </c>
      <c r="Q40" s="118" t="str" cm="1">
        <f t="array" aca="1" ref="Q40" ca="1">IF(B40="","",IFERROR(MIN(OFFSET(安値!$E$6,MATCH(TEXT(B40,"0"),TEXT(銘柄管理!$B$6:$B$305,"0"),0)-1,0,1,10)),""))</f>
        <v/>
      </c>
      <c r="R40" s="118" t="str">
        <f t="shared" ca="1" si="14"/>
        <v/>
      </c>
      <c r="S40" s="526" t="str">
        <f t="shared" si="5"/>
        <v/>
      </c>
      <c r="T40" s="116"/>
      <c r="U40" s="116"/>
      <c r="V40" s="118" t="str">
        <f t="shared" si="6"/>
        <v/>
      </c>
      <c r="W40" s="121" t="str">
        <f t="shared" ca="1" si="7"/>
        <v/>
      </c>
      <c r="X40" s="116"/>
    </row>
    <row r="41" spans="1:24" ht="17.25">
      <c r="A41" s="425" t="str">
        <f t="shared" si="8"/>
        <v>株探</v>
      </c>
      <c r="B41" s="116"/>
      <c r="C41" s="120"/>
      <c r="D41" s="116" t="str" cm="1">
        <f t="array" ref="D41">IF(B41="","",_xll.RssMarket(B41,"銘柄名称"))</f>
        <v/>
      </c>
      <c r="E41" s="117"/>
      <c r="F41" s="443"/>
      <c r="G41" s="116"/>
      <c r="H41" s="118" t="str" cm="1">
        <f t="array" ref="H41">IF(B41="","",_xll.RssMarket(B41,"現在値"))</f>
        <v/>
      </c>
      <c r="I41" s="118" t="str" cm="1">
        <f t="array" ref="I41">_xll.RssMarket(B41, "出来高加重平均")</f>
        <v/>
      </c>
      <c r="J41" s="118" t="str" cm="1">
        <f t="array" ref="J41">_xll.RssMarket(B41, "前日比")</f>
        <v/>
      </c>
      <c r="K41" s="118" t="str">
        <f t="shared" si="0"/>
        <v/>
      </c>
      <c r="L41" s="119" t="str">
        <f t="shared" si="1"/>
        <v/>
      </c>
      <c r="M41" s="118" t="str">
        <f t="shared" si="2"/>
        <v/>
      </c>
      <c r="N41" s="118" t="str">
        <f t="shared" si="3"/>
        <v/>
      </c>
      <c r="O41" s="118" t="str">
        <f t="shared" si="9"/>
        <v/>
      </c>
      <c r="P41" s="118" t="str" cm="1">
        <f t="array" aca="1" ref="P41" ca="1">IF(B41="","",IFERROR(MAX(OFFSET(高値!$E$6,MATCH(TEXT(B41,"0"),TEXT(銘柄管理!$B$6:$B$305,"0"),0)-1,0,1,10)),""))</f>
        <v/>
      </c>
      <c r="Q41" s="118" t="str" cm="1">
        <f t="array" aca="1" ref="Q41" ca="1">IF(B41="","",IFERROR(MIN(OFFSET(安値!$E$6,MATCH(TEXT(B41,"0"),TEXT(銘柄管理!$B$6:$B$305,"0"),0)-1,0,1,10)),""))</f>
        <v/>
      </c>
      <c r="R41" s="118" t="str">
        <f t="shared" ca="1" si="14"/>
        <v/>
      </c>
      <c r="S41" s="526" t="str">
        <f t="shared" si="5"/>
        <v/>
      </c>
      <c r="T41" s="116"/>
      <c r="U41" s="116"/>
      <c r="V41" s="118" t="str">
        <f t="shared" si="6"/>
        <v/>
      </c>
      <c r="W41" s="121" t="str">
        <f t="shared" ca="1" si="7"/>
        <v/>
      </c>
      <c r="X41" s="116"/>
    </row>
    <row r="42" spans="1:24" ht="17.25">
      <c r="A42" s="425" t="str">
        <f t="shared" si="8"/>
        <v>株探</v>
      </c>
      <c r="B42" s="116"/>
      <c r="C42" s="120"/>
      <c r="D42" s="116" t="str" cm="1">
        <f t="array" ref="D42">IF(B42="","",_xll.RssMarket(B42,"銘柄名称"))</f>
        <v/>
      </c>
      <c r="E42" s="117"/>
      <c r="F42" s="443"/>
      <c r="G42" s="116"/>
      <c r="H42" s="118" t="str" cm="1">
        <f t="array" ref="H42">IF(B42="","",_xll.RssMarket(B42,"現在値"))</f>
        <v/>
      </c>
      <c r="I42" s="118" t="str" cm="1">
        <f t="array" ref="I42">_xll.RssMarket(B42, "出来高加重平均")</f>
        <v/>
      </c>
      <c r="J42" s="118" t="str" cm="1">
        <f t="array" ref="J42">_xll.RssMarket(B42, "前日比")</f>
        <v/>
      </c>
      <c r="K42" s="118" t="str">
        <f t="shared" si="0"/>
        <v/>
      </c>
      <c r="L42" s="119" t="str">
        <f t="shared" si="1"/>
        <v/>
      </c>
      <c r="M42" s="118" t="str">
        <f t="shared" si="2"/>
        <v/>
      </c>
      <c r="N42" s="118" t="str">
        <f t="shared" si="3"/>
        <v/>
      </c>
      <c r="O42" s="118" t="str">
        <f t="shared" si="9"/>
        <v/>
      </c>
      <c r="P42" s="118" t="str" cm="1">
        <f t="array" aca="1" ref="P42" ca="1">IF(B42="","",IFERROR(MAX(OFFSET(高値!$E$6,MATCH(TEXT(B42,"0"),TEXT(銘柄管理!$B$6:$B$305,"0"),0)-1,0,1,10)),""))</f>
        <v/>
      </c>
      <c r="Q42" s="118" t="str" cm="1">
        <f t="array" aca="1" ref="Q42" ca="1">IF(B42="","",IFERROR(MIN(OFFSET(安値!$E$6,MATCH(TEXT(B42,"0"),TEXT(銘柄管理!$B$6:$B$305,"0"),0)-1,0,1,10)),""))</f>
        <v/>
      </c>
      <c r="R42" s="118" t="str">
        <f t="shared" ca="1" si="14"/>
        <v/>
      </c>
      <c r="S42" s="526" t="str">
        <f t="shared" si="5"/>
        <v/>
      </c>
      <c r="T42" s="116"/>
      <c r="U42" s="116"/>
      <c r="V42" s="118" t="str">
        <f t="shared" si="6"/>
        <v/>
      </c>
      <c r="W42" s="121" t="str">
        <f t="shared" ca="1" si="7"/>
        <v/>
      </c>
      <c r="X42" s="116"/>
    </row>
    <row r="43" spans="1:24" ht="17.25">
      <c r="A43" s="425" t="str">
        <f t="shared" si="8"/>
        <v>株探</v>
      </c>
      <c r="B43" s="116"/>
      <c r="C43" s="120"/>
      <c r="D43" s="116" t="str" cm="1">
        <f t="array" ref="D43">IF(B43="","",_xll.RssMarket(B43,"銘柄名称"))</f>
        <v/>
      </c>
      <c r="E43" s="117"/>
      <c r="F43" s="443"/>
      <c r="G43" s="116"/>
      <c r="H43" s="118" t="str" cm="1">
        <f t="array" ref="H43">IF(B43="","",_xll.RssMarket(B43,"現在値"))</f>
        <v/>
      </c>
      <c r="I43" s="118" t="str" cm="1">
        <f t="array" ref="I43">_xll.RssMarket(B43, "出来高加重平均")</f>
        <v/>
      </c>
      <c r="J43" s="118" t="str" cm="1">
        <f t="array" ref="J43">_xll.RssMarket(B43, "前日比")</f>
        <v/>
      </c>
      <c r="K43" s="118" t="str">
        <f t="shared" si="0"/>
        <v/>
      </c>
      <c r="L43" s="119" t="str">
        <f t="shared" si="1"/>
        <v/>
      </c>
      <c r="M43" s="118" t="str">
        <f t="shared" si="2"/>
        <v/>
      </c>
      <c r="N43" s="118" t="str">
        <f t="shared" si="3"/>
        <v/>
      </c>
      <c r="O43" s="118" t="str">
        <f t="shared" si="9"/>
        <v/>
      </c>
      <c r="P43" s="118" t="str" cm="1">
        <f t="array" aca="1" ref="P43" ca="1">IF(B43="","",IFERROR(MAX(OFFSET(高値!$E$6,MATCH(TEXT(B43,"0"),TEXT(銘柄管理!$B$6:$B$305,"0"),0)-1,0,1,10)),""))</f>
        <v/>
      </c>
      <c r="Q43" s="118" t="str" cm="1">
        <f t="array" aca="1" ref="Q43" ca="1">IF(B43="","",IFERROR(MIN(OFFSET(安値!$E$6,MATCH(TEXT(B43,"0"),TEXT(銘柄管理!$B$6:$B$305,"0"),0)-1,0,1,10)),""))</f>
        <v/>
      </c>
      <c r="R43" s="118" t="str">
        <f t="shared" ca="1" si="14"/>
        <v/>
      </c>
      <c r="S43" s="526" t="str">
        <f t="shared" si="5"/>
        <v/>
      </c>
      <c r="T43" s="116"/>
      <c r="U43" s="116"/>
      <c r="V43" s="118" t="str">
        <f t="shared" si="6"/>
        <v/>
      </c>
      <c r="W43" s="121" t="str">
        <f t="shared" ca="1" si="7"/>
        <v/>
      </c>
      <c r="X43" s="116"/>
    </row>
    <row r="44" spans="1:24" ht="17.25">
      <c r="A44" s="425" t="str">
        <f t="shared" si="8"/>
        <v>株探</v>
      </c>
      <c r="B44" s="116"/>
      <c r="C44" s="120"/>
      <c r="D44" s="116" t="str" cm="1">
        <f t="array" ref="D44">IF(B44="","",_xll.RssMarket(B44,"銘柄名称"))</f>
        <v/>
      </c>
      <c r="E44" s="117"/>
      <c r="F44" s="443"/>
      <c r="G44" s="116"/>
      <c r="H44" s="118" t="str" cm="1">
        <f t="array" ref="H44">IF(B44="","",_xll.RssMarket(B44,"現在値"))</f>
        <v/>
      </c>
      <c r="I44" s="118" t="str" cm="1">
        <f t="array" ref="I44">_xll.RssMarket(B44, "出来高加重平均")</f>
        <v/>
      </c>
      <c r="J44" s="118" t="str" cm="1">
        <f t="array" ref="J44">_xll.RssMarket(B44, "前日比")</f>
        <v/>
      </c>
      <c r="K44" s="118" t="str">
        <f t="shared" si="0"/>
        <v/>
      </c>
      <c r="L44" s="119" t="str">
        <f t="shared" si="1"/>
        <v/>
      </c>
      <c r="M44" s="118" t="str">
        <f t="shared" si="2"/>
        <v/>
      </c>
      <c r="N44" s="118" t="str">
        <f t="shared" si="3"/>
        <v/>
      </c>
      <c r="O44" s="118" t="str">
        <f t="shared" si="9"/>
        <v/>
      </c>
      <c r="P44" s="118" t="str" cm="1">
        <f t="array" aca="1" ref="P44" ca="1">IF(B44="","",IFERROR(MAX(OFFSET(高値!$E$6,MATCH(TEXT(B44,"0"),TEXT(銘柄管理!$B$6:$B$305,"0"),0)-1,0,1,10)),""))</f>
        <v/>
      </c>
      <c r="Q44" s="118" t="str" cm="1">
        <f t="array" aca="1" ref="Q44" ca="1">IF(B44="","",IFERROR(MIN(OFFSET(安値!$E$6,MATCH(TEXT(B44,"0"),TEXT(銘柄管理!$B$6:$B$305,"0"),0)-1,0,1,10)),""))</f>
        <v/>
      </c>
      <c r="R44" s="118" t="str">
        <f t="shared" ca="1" si="14"/>
        <v/>
      </c>
      <c r="S44" s="526" t="str">
        <f t="shared" si="5"/>
        <v/>
      </c>
      <c r="T44" s="116"/>
      <c r="U44" s="116"/>
      <c r="V44" s="118" t="str">
        <f t="shared" si="6"/>
        <v/>
      </c>
      <c r="W44" s="121" t="str">
        <f t="shared" ca="1" si="7"/>
        <v/>
      </c>
      <c r="X44" s="116"/>
    </row>
    <row r="45" spans="1:24" ht="17.25">
      <c r="A45" s="425" t="str">
        <f t="shared" si="8"/>
        <v>株探</v>
      </c>
      <c r="B45" s="116"/>
      <c r="C45" s="120"/>
      <c r="D45" s="116" t="str" cm="1">
        <f t="array" ref="D45">IF(B45="","",_xll.RssMarket(B45,"銘柄名称"))</f>
        <v/>
      </c>
      <c r="E45" s="117"/>
      <c r="F45" s="443"/>
      <c r="G45" s="116"/>
      <c r="H45" s="118" t="str" cm="1">
        <f t="array" ref="H45">IF(B45="","",_xll.RssMarket(B45,"現在値"))</f>
        <v/>
      </c>
      <c r="I45" s="118" t="str" cm="1">
        <f t="array" ref="I45">_xll.RssMarket(B45, "出来高加重平均")</f>
        <v/>
      </c>
      <c r="J45" s="118" t="str" cm="1">
        <f t="array" ref="J45">_xll.RssMarket(B45, "前日比")</f>
        <v/>
      </c>
      <c r="K45" s="118" t="str">
        <f t="shared" si="0"/>
        <v/>
      </c>
      <c r="L45" s="119" t="str">
        <f t="shared" si="1"/>
        <v/>
      </c>
      <c r="M45" s="118" t="str">
        <f t="shared" si="2"/>
        <v/>
      </c>
      <c r="N45" s="118" t="str">
        <f t="shared" si="3"/>
        <v/>
      </c>
      <c r="O45" s="118" t="str">
        <f t="shared" si="9"/>
        <v/>
      </c>
      <c r="P45" s="118" t="str" cm="1">
        <f t="array" aca="1" ref="P45" ca="1">IF(B45="","",IFERROR(MAX(OFFSET(高値!$E$6,MATCH(TEXT(B45,"0"),TEXT(銘柄管理!$B$6:$B$305,"0"),0)-1,0,1,10)),""))</f>
        <v/>
      </c>
      <c r="Q45" s="118" t="str" cm="1">
        <f t="array" aca="1" ref="Q45" ca="1">IF(B45="","",IFERROR(MIN(OFFSET(安値!$E$6,MATCH(TEXT(B45,"0"),TEXT(銘柄管理!$B$6:$B$305,"0"),0)-1,0,1,10)),""))</f>
        <v/>
      </c>
      <c r="R45" s="118" t="str">
        <f t="shared" ca="1" si="14"/>
        <v/>
      </c>
      <c r="S45" s="526" t="str">
        <f t="shared" si="5"/>
        <v/>
      </c>
      <c r="T45" s="116"/>
      <c r="U45" s="116"/>
      <c r="V45" s="118" t="str">
        <f t="shared" si="6"/>
        <v/>
      </c>
      <c r="W45" s="121" t="str">
        <f t="shared" ca="1" si="7"/>
        <v/>
      </c>
      <c r="X45" s="116"/>
    </row>
    <row r="46" spans="1:24" ht="17.25">
      <c r="A46" s="425" t="str">
        <f t="shared" si="8"/>
        <v>株探</v>
      </c>
      <c r="B46" s="116"/>
      <c r="C46" s="120"/>
      <c r="D46" s="116" t="str" cm="1">
        <f t="array" ref="D46">IF(B46="","",_xll.RssMarket(B46,"銘柄名称"))</f>
        <v/>
      </c>
      <c r="E46" s="117"/>
      <c r="F46" s="443"/>
      <c r="G46" s="116"/>
      <c r="H46" s="118" t="str" cm="1">
        <f t="array" ref="H46">IF(B46="","",_xll.RssMarket(B46,"現在値"))</f>
        <v/>
      </c>
      <c r="I46" s="118" t="str" cm="1">
        <f t="array" ref="I46">_xll.RssMarket(B46, "出来高加重平均")</f>
        <v/>
      </c>
      <c r="J46" s="118" t="str" cm="1">
        <f t="array" ref="J46">_xll.RssMarket(B46, "前日比")</f>
        <v/>
      </c>
      <c r="K46" s="118" t="str">
        <f t="shared" si="0"/>
        <v/>
      </c>
      <c r="L46" s="119" t="str">
        <f t="shared" si="1"/>
        <v/>
      </c>
      <c r="M46" s="118" t="str">
        <f t="shared" si="2"/>
        <v/>
      </c>
      <c r="N46" s="118" t="str">
        <f t="shared" si="3"/>
        <v/>
      </c>
      <c r="O46" s="118" t="str">
        <f t="shared" si="9"/>
        <v/>
      </c>
      <c r="P46" s="118" t="str" cm="1">
        <f t="array" aca="1" ref="P46" ca="1">IF(B46="","",IFERROR(MAX(OFFSET(高値!$E$6,MATCH(TEXT(B46,"0"),TEXT(銘柄管理!$B$6:$B$305,"0"),0)-1,0,1,10)),""))</f>
        <v/>
      </c>
      <c r="Q46" s="118" t="str" cm="1">
        <f t="array" aca="1" ref="Q46" ca="1">IF(B46="","",IFERROR(MIN(OFFSET(安値!$E$6,MATCH(TEXT(B46,"0"),TEXT(銘柄管理!$B$6:$B$305,"0"),0)-1,0,1,10)),""))</f>
        <v/>
      </c>
      <c r="R46" s="118" t="str">
        <f t="shared" ca="1" si="14"/>
        <v/>
      </c>
      <c r="S46" s="526" t="str">
        <f t="shared" si="5"/>
        <v/>
      </c>
      <c r="T46" s="116"/>
      <c r="U46" s="116"/>
      <c r="V46" s="118" t="str">
        <f t="shared" si="6"/>
        <v/>
      </c>
      <c r="W46" s="121" t="str">
        <f t="shared" ca="1" si="7"/>
        <v/>
      </c>
      <c r="X46" s="116"/>
    </row>
    <row r="47" spans="1:24" ht="17.25">
      <c r="A47" s="425" t="str">
        <f t="shared" si="8"/>
        <v>株探</v>
      </c>
      <c r="B47" s="116"/>
      <c r="C47" s="120"/>
      <c r="D47" s="116" t="str" cm="1">
        <f t="array" ref="D47">IF(B47="","",_xll.RssMarket(B47,"銘柄名称"))</f>
        <v/>
      </c>
      <c r="E47" s="117"/>
      <c r="F47" s="443"/>
      <c r="G47" s="116"/>
      <c r="H47" s="118" t="str" cm="1">
        <f t="array" ref="H47">IF(B47="","",_xll.RssMarket(B47,"現在値"))</f>
        <v/>
      </c>
      <c r="I47" s="118" t="str" cm="1">
        <f t="array" ref="I47">_xll.RssMarket(B47, "出来高加重平均")</f>
        <v/>
      </c>
      <c r="J47" s="118" t="str" cm="1">
        <f t="array" ref="J47">_xll.RssMarket(B47, "前日比")</f>
        <v/>
      </c>
      <c r="K47" s="118" t="str">
        <f t="shared" si="0"/>
        <v/>
      </c>
      <c r="L47" s="119" t="str">
        <f t="shared" si="1"/>
        <v/>
      </c>
      <c r="M47" s="118" t="str">
        <f t="shared" si="2"/>
        <v/>
      </c>
      <c r="N47" s="118" t="str">
        <f t="shared" si="3"/>
        <v/>
      </c>
      <c r="O47" s="118" t="str">
        <f t="shared" si="9"/>
        <v/>
      </c>
      <c r="P47" s="118" t="str" cm="1">
        <f t="array" aca="1" ref="P47" ca="1">IF(B47="","",IFERROR(MAX(OFFSET(高値!$E$6,MATCH(TEXT(B47,"0"),TEXT(銘柄管理!$B$6:$B$305,"0"),0)-1,0,1,10)),""))</f>
        <v/>
      </c>
      <c r="Q47" s="118" t="str" cm="1">
        <f t="array" aca="1" ref="Q47" ca="1">IF(B47="","",IFERROR(MIN(OFFSET(安値!$E$6,MATCH(TEXT(B47,"0"),TEXT(銘柄管理!$B$6:$B$305,"0"),0)-1,0,1,10)),""))</f>
        <v/>
      </c>
      <c r="R47" s="118" t="str">
        <f t="shared" ca="1" si="14"/>
        <v/>
      </c>
      <c r="S47" s="526" t="str">
        <f t="shared" si="5"/>
        <v/>
      </c>
      <c r="T47" s="116"/>
      <c r="U47" s="116"/>
      <c r="V47" s="118" t="str">
        <f t="shared" si="6"/>
        <v/>
      </c>
      <c r="W47" s="121" t="str">
        <f t="shared" ca="1" si="7"/>
        <v/>
      </c>
      <c r="X47" s="116"/>
    </row>
    <row r="48" spans="1:24" ht="17.25">
      <c r="A48" s="425" t="str">
        <f t="shared" si="8"/>
        <v>株探</v>
      </c>
      <c r="B48" s="116"/>
      <c r="C48" s="120"/>
      <c r="D48" s="116" t="str" cm="1">
        <f t="array" ref="D48">IF(B48="","",_xll.RssMarket(B48,"銘柄名称"))</f>
        <v/>
      </c>
      <c r="E48" s="117"/>
      <c r="F48" s="443"/>
      <c r="G48" s="116"/>
      <c r="H48" s="118" t="str" cm="1">
        <f t="array" ref="H48">IF(B48="","",_xll.RssMarket(B48,"現在値"))</f>
        <v/>
      </c>
      <c r="I48" s="118" t="str" cm="1">
        <f t="array" ref="I48">_xll.RssMarket(B48, "出来高加重平均")</f>
        <v/>
      </c>
      <c r="J48" s="118" t="str" cm="1">
        <f t="array" ref="J48">_xll.RssMarket(B48, "前日比")</f>
        <v/>
      </c>
      <c r="K48" s="118" t="str">
        <f t="shared" si="0"/>
        <v/>
      </c>
      <c r="L48" s="119" t="str">
        <f t="shared" si="1"/>
        <v/>
      </c>
      <c r="M48" s="118" t="str">
        <f t="shared" si="2"/>
        <v/>
      </c>
      <c r="N48" s="118" t="str">
        <f t="shared" si="3"/>
        <v/>
      </c>
      <c r="O48" s="118" t="str">
        <f t="shared" si="9"/>
        <v/>
      </c>
      <c r="P48" s="118" t="str" cm="1">
        <f t="array" aca="1" ref="P48" ca="1">IF(B48="","",IFERROR(MAX(OFFSET(高値!$E$6,MATCH(TEXT(B48,"0"),TEXT(銘柄管理!$B$6:$B$305,"0"),0)-1,0,1,10)),""))</f>
        <v/>
      </c>
      <c r="Q48" s="118" t="str" cm="1">
        <f t="array" aca="1" ref="Q48" ca="1">IF(B48="","",IFERROR(MIN(OFFSET(安値!$E$6,MATCH(TEXT(B48,"0"),TEXT(銘柄管理!$B$6:$B$305,"0"),0)-1,0,1,10)),""))</f>
        <v/>
      </c>
      <c r="R48" s="118" t="str">
        <f t="shared" ca="1" si="14"/>
        <v/>
      </c>
      <c r="S48" s="526" t="str">
        <f t="shared" si="5"/>
        <v/>
      </c>
      <c r="T48" s="116"/>
      <c r="U48" s="116"/>
      <c r="V48" s="118" t="str">
        <f t="shared" si="6"/>
        <v/>
      </c>
      <c r="W48" s="121" t="str">
        <f t="shared" ca="1" si="7"/>
        <v/>
      </c>
      <c r="X48" s="116"/>
    </row>
    <row r="49" spans="1:24" ht="17.25">
      <c r="A49" s="425" t="str">
        <f t="shared" si="8"/>
        <v>株探</v>
      </c>
      <c r="B49" s="116"/>
      <c r="C49" s="120"/>
      <c r="D49" s="116" t="str" cm="1">
        <f t="array" ref="D49">IF(B49="","",_xll.RssMarket(B49,"銘柄名称"))</f>
        <v/>
      </c>
      <c r="E49" s="117"/>
      <c r="F49" s="443"/>
      <c r="G49" s="116"/>
      <c r="H49" s="118" t="str" cm="1">
        <f t="array" ref="H49">IF(B49="","",_xll.RssMarket(B49,"現在値"))</f>
        <v/>
      </c>
      <c r="I49" s="118" t="str" cm="1">
        <f t="array" ref="I49">_xll.RssMarket(B49, "出来高加重平均")</f>
        <v/>
      </c>
      <c r="J49" s="118" t="str" cm="1">
        <f t="array" ref="J49">_xll.RssMarket(B49, "前日比")</f>
        <v/>
      </c>
      <c r="K49" s="118" t="str">
        <f t="shared" si="0"/>
        <v/>
      </c>
      <c r="L49" s="119" t="str">
        <f t="shared" si="1"/>
        <v/>
      </c>
      <c r="M49" s="118" t="str">
        <f t="shared" si="2"/>
        <v/>
      </c>
      <c r="N49" s="118" t="str">
        <f t="shared" si="3"/>
        <v/>
      </c>
      <c r="O49" s="118" t="str">
        <f t="shared" si="9"/>
        <v/>
      </c>
      <c r="P49" s="118" t="str" cm="1">
        <f t="array" aca="1" ref="P49" ca="1">IF(B49="","",IFERROR(MAX(OFFSET(高値!$E$6,MATCH(TEXT(B49,"0"),TEXT(銘柄管理!$B$6:$B$305,"0"),0)-1,0,1,10)),""))</f>
        <v/>
      </c>
      <c r="Q49" s="118" t="str" cm="1">
        <f t="array" aca="1" ref="Q49" ca="1">IF(B49="","",IFERROR(MIN(OFFSET(安値!$E$6,MATCH(TEXT(B49,"0"),TEXT(銘柄管理!$B$6:$B$305,"0"),0)-1,0,1,10)),""))</f>
        <v/>
      </c>
      <c r="R49" s="118" t="str">
        <f t="shared" ca="1" si="14"/>
        <v/>
      </c>
      <c r="S49" s="526" t="str">
        <f t="shared" si="5"/>
        <v/>
      </c>
      <c r="T49" s="116"/>
      <c r="U49" s="116"/>
      <c r="V49" s="118" t="str">
        <f t="shared" si="6"/>
        <v/>
      </c>
      <c r="W49" s="121" t="str">
        <f t="shared" ca="1" si="7"/>
        <v/>
      </c>
      <c r="X49" s="116"/>
    </row>
    <row r="50" spans="1:24" ht="17.25">
      <c r="A50" s="425" t="str">
        <f t="shared" si="8"/>
        <v>株探</v>
      </c>
      <c r="B50" s="116"/>
      <c r="C50" s="120"/>
      <c r="D50" s="116" t="str" cm="1">
        <f t="array" ref="D50">IF(B50="","",_xll.RssMarket(B50,"銘柄名称"))</f>
        <v/>
      </c>
      <c r="E50" s="117"/>
      <c r="F50" s="443"/>
      <c r="G50" s="116"/>
      <c r="H50" s="118" t="str" cm="1">
        <f t="array" ref="H50">IF(B50="","",_xll.RssMarket(B50,"現在値"))</f>
        <v/>
      </c>
      <c r="I50" s="118" t="str" cm="1">
        <f t="array" ref="I50">_xll.RssMarket(B50, "出来高加重平均")</f>
        <v/>
      </c>
      <c r="J50" s="118" t="str" cm="1">
        <f t="array" ref="J50">_xll.RssMarket(B50, "前日比")</f>
        <v/>
      </c>
      <c r="K50" s="118" t="str">
        <f t="shared" si="0"/>
        <v/>
      </c>
      <c r="L50" s="119" t="str">
        <f t="shared" si="1"/>
        <v/>
      </c>
      <c r="M50" s="118" t="str">
        <f t="shared" si="2"/>
        <v/>
      </c>
      <c r="N50" s="118" t="str">
        <f t="shared" si="3"/>
        <v/>
      </c>
      <c r="O50" s="118" t="str">
        <f t="shared" si="9"/>
        <v/>
      </c>
      <c r="P50" s="118" t="str" cm="1">
        <f t="array" aca="1" ref="P50" ca="1">IF(B50="","",IFERROR(MAX(OFFSET(高値!$E$6,MATCH(TEXT(B50,"0"),TEXT(銘柄管理!$B$6:$B$305,"0"),0)-1,0,1,10)),""))</f>
        <v/>
      </c>
      <c r="Q50" s="118" t="str" cm="1">
        <f t="array" aca="1" ref="Q50" ca="1">IF(B50="","",IFERROR(MIN(OFFSET(安値!$E$6,MATCH(TEXT(B50,"0"),TEXT(銘柄管理!$B$6:$B$305,"0"),0)-1,0,1,10)),""))</f>
        <v/>
      </c>
      <c r="R50" s="118" t="str">
        <f t="shared" ca="1" si="14"/>
        <v/>
      </c>
      <c r="S50" s="526" t="str">
        <f t="shared" si="5"/>
        <v/>
      </c>
      <c r="T50" s="116"/>
      <c r="U50" s="116"/>
      <c r="V50" s="118" t="str">
        <f t="shared" si="6"/>
        <v/>
      </c>
      <c r="W50" s="121" t="str">
        <f t="shared" ca="1" si="7"/>
        <v/>
      </c>
      <c r="X50" s="116"/>
    </row>
    <row r="51" spans="1:24" ht="17.25">
      <c r="A51" s="425" t="str">
        <f t="shared" si="8"/>
        <v>株探</v>
      </c>
      <c r="B51" s="116"/>
      <c r="C51" s="120"/>
      <c r="D51" s="116" t="str" cm="1">
        <f t="array" ref="D51">IF(B51="","",_xll.RssMarket(B51,"銘柄名称"))</f>
        <v/>
      </c>
      <c r="E51" s="117"/>
      <c r="F51" s="443"/>
      <c r="G51" s="116"/>
      <c r="H51" s="118" t="str" cm="1">
        <f t="array" ref="H51">IF(B51="","",_xll.RssMarket(B51,"現在値"))</f>
        <v/>
      </c>
      <c r="I51" s="118" t="str" cm="1">
        <f t="array" ref="I51">_xll.RssMarket(B51, "出来高加重平均")</f>
        <v/>
      </c>
      <c r="J51" s="118" t="str" cm="1">
        <f t="array" ref="J51">_xll.RssMarket(B51, "前日比")</f>
        <v/>
      </c>
      <c r="K51" s="118" t="str">
        <f t="shared" si="0"/>
        <v/>
      </c>
      <c r="L51" s="119" t="str">
        <f t="shared" si="1"/>
        <v/>
      </c>
      <c r="M51" s="118" t="str">
        <f t="shared" si="2"/>
        <v/>
      </c>
      <c r="N51" s="118" t="str">
        <f t="shared" si="3"/>
        <v/>
      </c>
      <c r="O51" s="118" t="str">
        <f t="shared" si="9"/>
        <v/>
      </c>
      <c r="P51" s="118" t="str" cm="1">
        <f t="array" aca="1" ref="P51" ca="1">IF(B51="","",IFERROR(MAX(OFFSET(高値!$E$6,MATCH(TEXT(B51,"0"),TEXT(銘柄管理!$B$6:$B$305,"0"),0)-1,0,1,10)),""))</f>
        <v/>
      </c>
      <c r="Q51" s="118" t="str" cm="1">
        <f t="array" aca="1" ref="Q51" ca="1">IF(B51="","",IFERROR(MIN(OFFSET(安値!$E$6,MATCH(TEXT(B51,"0"),TEXT(銘柄管理!$B$6:$B$305,"0"),0)-1,0,1,10)),""))</f>
        <v/>
      </c>
      <c r="R51" s="118" t="str">
        <f t="shared" ca="1" si="14"/>
        <v/>
      </c>
      <c r="S51" s="526" t="str">
        <f t="shared" si="5"/>
        <v/>
      </c>
      <c r="T51" s="116"/>
      <c r="U51" s="116"/>
      <c r="V51" s="118" t="str">
        <f t="shared" si="6"/>
        <v/>
      </c>
      <c r="W51" s="121" t="str">
        <f t="shared" ca="1" si="7"/>
        <v/>
      </c>
      <c r="X51" s="116"/>
    </row>
    <row r="52" spans="1:24" ht="17.25">
      <c r="A52" s="425" t="str">
        <f t="shared" si="8"/>
        <v>株探</v>
      </c>
      <c r="B52" s="116"/>
      <c r="C52" s="120"/>
      <c r="D52" s="116" t="str" cm="1">
        <f t="array" ref="D52">IF(B52="","",_xll.RssMarket(B52,"銘柄名称"))</f>
        <v/>
      </c>
      <c r="E52" s="117"/>
      <c r="F52" s="443"/>
      <c r="G52" s="116"/>
      <c r="H52" s="118" t="str" cm="1">
        <f t="array" ref="H52">IF(B52="","",_xll.RssMarket(B52,"現在値"))</f>
        <v/>
      </c>
      <c r="I52" s="118" t="str" cm="1">
        <f t="array" ref="I52">_xll.RssMarket(B52, "出来高加重平均")</f>
        <v/>
      </c>
      <c r="J52" s="118" t="str" cm="1">
        <f t="array" ref="J52">_xll.RssMarket(B52, "前日比")</f>
        <v/>
      </c>
      <c r="K52" s="118" t="str">
        <f t="shared" si="0"/>
        <v/>
      </c>
      <c r="L52" s="119" t="str">
        <f t="shared" si="1"/>
        <v/>
      </c>
      <c r="M52" s="118" t="str">
        <f t="shared" si="2"/>
        <v/>
      </c>
      <c r="N52" s="118" t="str">
        <f t="shared" si="3"/>
        <v/>
      </c>
      <c r="O52" s="118" t="str">
        <f t="shared" si="9"/>
        <v/>
      </c>
      <c r="P52" s="118" t="str" cm="1">
        <f t="array" aca="1" ref="P52" ca="1">IF(B52="","",IFERROR(MAX(OFFSET(高値!$E$6,MATCH(TEXT(B52,"0"),TEXT(銘柄管理!$B$6:$B$305,"0"),0)-1,0,1,10)),""))</f>
        <v/>
      </c>
      <c r="Q52" s="118" t="str" cm="1">
        <f t="array" aca="1" ref="Q52" ca="1">IF(B52="","",IFERROR(MIN(OFFSET(安値!$E$6,MATCH(TEXT(B52,"0"),TEXT(銘柄管理!$B$6:$B$305,"0"),0)-1,0,1,10)),""))</f>
        <v/>
      </c>
      <c r="R52" s="118" t="str">
        <f t="shared" ca="1" si="14"/>
        <v/>
      </c>
      <c r="S52" s="526" t="str">
        <f t="shared" si="5"/>
        <v/>
      </c>
      <c r="T52" s="116"/>
      <c r="U52" s="116"/>
      <c r="V52" s="118" t="str">
        <f t="shared" si="6"/>
        <v/>
      </c>
      <c r="W52" s="121" t="str">
        <f t="shared" ca="1" si="7"/>
        <v/>
      </c>
      <c r="X52" s="116"/>
    </row>
    <row r="53" spans="1:24" ht="17.25">
      <c r="A53" s="425" t="str">
        <f t="shared" si="8"/>
        <v>株探</v>
      </c>
      <c r="B53" s="116"/>
      <c r="C53" s="120"/>
      <c r="D53" s="116" t="str" cm="1">
        <f t="array" ref="D53">IF(B53="","",_xll.RssMarket(B53,"銘柄名称"))</f>
        <v/>
      </c>
      <c r="E53" s="117"/>
      <c r="F53" s="443"/>
      <c r="G53" s="116"/>
      <c r="H53" s="118" t="str" cm="1">
        <f t="array" ref="H53">IF(B53="","",_xll.RssMarket(B53,"現在値"))</f>
        <v/>
      </c>
      <c r="I53" s="118" t="str" cm="1">
        <f t="array" ref="I53">_xll.RssMarket(B53, "出来高加重平均")</f>
        <v/>
      </c>
      <c r="J53" s="118" t="str" cm="1">
        <f t="array" ref="J53">_xll.RssMarket(B53, "前日比")</f>
        <v/>
      </c>
      <c r="K53" s="118" t="str">
        <f t="shared" si="0"/>
        <v/>
      </c>
      <c r="L53" s="119" t="str">
        <f t="shared" si="1"/>
        <v/>
      </c>
      <c r="M53" s="118" t="str">
        <f t="shared" si="2"/>
        <v/>
      </c>
      <c r="N53" s="118" t="str">
        <f t="shared" si="3"/>
        <v/>
      </c>
      <c r="O53" s="118" t="str">
        <f t="shared" si="9"/>
        <v/>
      </c>
      <c r="P53" s="118" t="str" cm="1">
        <f t="array" aca="1" ref="P53" ca="1">IF(B53="","",IFERROR(MAX(OFFSET(高値!$E$6,MATCH(TEXT(B53,"0"),TEXT(銘柄管理!$B$6:$B$305,"0"),0)-1,0,1,10)),""))</f>
        <v/>
      </c>
      <c r="Q53" s="118" t="str" cm="1">
        <f t="array" aca="1" ref="Q53" ca="1">IF(B53="","",IFERROR(MIN(OFFSET(安値!$E$6,MATCH(TEXT(B53,"0"),TEXT(銘柄管理!$B$6:$B$305,"0"),0)-1,0,1,10)),""))</f>
        <v/>
      </c>
      <c r="R53" s="118" t="str">
        <f t="shared" ca="1" si="14"/>
        <v/>
      </c>
      <c r="S53" s="526" t="str">
        <f t="shared" si="5"/>
        <v/>
      </c>
      <c r="T53" s="116"/>
      <c r="U53" s="116"/>
      <c r="V53" s="118" t="str">
        <f t="shared" si="6"/>
        <v/>
      </c>
      <c r="W53" s="121" t="str">
        <f t="shared" ca="1" si="7"/>
        <v/>
      </c>
      <c r="X53" s="116"/>
    </row>
    <row r="54" spans="1:24" ht="17.25">
      <c r="A54" s="425" t="str">
        <f t="shared" si="8"/>
        <v>株探</v>
      </c>
      <c r="B54" s="116"/>
      <c r="C54" s="120"/>
      <c r="D54" s="116" t="str" cm="1">
        <f t="array" ref="D54">IF(B54="","",_xll.RssMarket(B54,"銘柄名称"))</f>
        <v/>
      </c>
      <c r="E54" s="117"/>
      <c r="F54" s="443"/>
      <c r="G54" s="116"/>
      <c r="H54" s="118" t="str" cm="1">
        <f t="array" ref="H54">IF(B54="","",_xll.RssMarket(B54,"現在値"))</f>
        <v/>
      </c>
      <c r="I54" s="118" t="str" cm="1">
        <f t="array" ref="I54">_xll.RssMarket(B54, "出来高加重平均")</f>
        <v/>
      </c>
      <c r="J54" s="118" t="str" cm="1">
        <f t="array" ref="J54">_xll.RssMarket(B54, "前日比")</f>
        <v/>
      </c>
      <c r="K54" s="118" t="str">
        <f t="shared" si="0"/>
        <v/>
      </c>
      <c r="L54" s="119" t="str">
        <f t="shared" si="1"/>
        <v/>
      </c>
      <c r="M54" s="118" t="str">
        <f t="shared" si="2"/>
        <v/>
      </c>
      <c r="N54" s="118" t="str">
        <f t="shared" si="3"/>
        <v/>
      </c>
      <c r="O54" s="118" t="str">
        <f t="shared" si="9"/>
        <v/>
      </c>
      <c r="P54" s="118" t="str" cm="1">
        <f t="array" aca="1" ref="P54" ca="1">IF(B54="","",IFERROR(MAX(OFFSET(高値!$E$6,MATCH(TEXT(B54,"0"),TEXT(銘柄管理!$B$6:$B$305,"0"),0)-1,0,1,10)),""))</f>
        <v/>
      </c>
      <c r="Q54" s="118" t="str" cm="1">
        <f t="array" aca="1" ref="Q54" ca="1">IF(B54="","",IFERROR(MIN(OFFSET(安値!$E$6,MATCH(TEXT(B54,"0"),TEXT(銘柄管理!$B$6:$B$305,"0"),0)-1,0,1,10)),""))</f>
        <v/>
      </c>
      <c r="R54" s="118" t="str">
        <f t="shared" ca="1" si="14"/>
        <v/>
      </c>
      <c r="S54" s="526" t="str">
        <f t="shared" si="5"/>
        <v/>
      </c>
      <c r="T54" s="116"/>
      <c r="U54" s="116"/>
      <c r="V54" s="118" t="str">
        <f t="shared" si="6"/>
        <v/>
      </c>
      <c r="W54" s="121" t="str">
        <f t="shared" ca="1" si="7"/>
        <v/>
      </c>
      <c r="X54" s="116"/>
    </row>
    <row r="55" spans="1:24" ht="17.25">
      <c r="A55" s="425" t="str">
        <f t="shared" si="8"/>
        <v>株探</v>
      </c>
      <c r="B55" s="116"/>
      <c r="C55" s="120"/>
      <c r="D55" s="116" t="str" cm="1">
        <f t="array" ref="D55">IF(B55="","",_xll.RssMarket(B55,"銘柄名称"))</f>
        <v/>
      </c>
      <c r="E55" s="117"/>
      <c r="F55" s="443"/>
      <c r="G55" s="116"/>
      <c r="H55" s="118" t="str" cm="1">
        <f t="array" ref="H55">IF(B55="","",_xll.RssMarket(B55,"現在値"))</f>
        <v/>
      </c>
      <c r="I55" s="118" t="str" cm="1">
        <f t="array" ref="I55">_xll.RssMarket(B55, "出来高加重平均")</f>
        <v/>
      </c>
      <c r="J55" s="118" t="str" cm="1">
        <f t="array" ref="J55">_xll.RssMarket(B55, "前日比")</f>
        <v/>
      </c>
      <c r="K55" s="118" t="str">
        <f t="shared" si="0"/>
        <v/>
      </c>
      <c r="L55" s="119" t="str">
        <f t="shared" si="1"/>
        <v/>
      </c>
      <c r="M55" s="118" t="str">
        <f t="shared" si="2"/>
        <v/>
      </c>
      <c r="N55" s="118" t="str">
        <f t="shared" si="3"/>
        <v/>
      </c>
      <c r="O55" s="118" t="str">
        <f t="shared" si="9"/>
        <v/>
      </c>
      <c r="P55" s="118" t="str" cm="1">
        <f t="array" aca="1" ref="P55" ca="1">IF(B55="","",IFERROR(MAX(OFFSET(高値!$E$6,MATCH(TEXT(B55,"0"),TEXT(銘柄管理!$B$6:$B$305,"0"),0)-1,0,1,10)),""))</f>
        <v/>
      </c>
      <c r="Q55" s="118" t="str" cm="1">
        <f t="array" aca="1" ref="Q55" ca="1">IF(B55="","",IFERROR(MIN(OFFSET(安値!$E$6,MATCH(TEXT(B55,"0"),TEXT(銘柄管理!$B$6:$B$305,"0"),0)-1,0,1,10)),""))</f>
        <v/>
      </c>
      <c r="R55" s="118" t="str">
        <f t="shared" ca="1" si="14"/>
        <v/>
      </c>
      <c r="S55" s="526" t="str">
        <f t="shared" si="5"/>
        <v/>
      </c>
      <c r="T55" s="116"/>
      <c r="U55" s="116"/>
      <c r="V55" s="118" t="str">
        <f t="shared" si="6"/>
        <v/>
      </c>
      <c r="W55" s="121" t="str">
        <f t="shared" ca="1" si="7"/>
        <v/>
      </c>
      <c r="X55" s="116"/>
    </row>
    <row r="56" spans="1:24" ht="17.25">
      <c r="A56" s="425" t="str">
        <f t="shared" si="8"/>
        <v>株探</v>
      </c>
      <c r="B56" s="116"/>
      <c r="C56" s="120"/>
      <c r="D56" s="116" t="str" cm="1">
        <f t="array" ref="D56">IF(B56="","",_xll.RssMarket(B56,"銘柄名称"))</f>
        <v/>
      </c>
      <c r="E56" s="117"/>
      <c r="F56" s="443"/>
      <c r="G56" s="116"/>
      <c r="H56" s="118" t="str" cm="1">
        <f t="array" ref="H56">IF(B56="","",_xll.RssMarket(B56,"現在値"))</f>
        <v/>
      </c>
      <c r="I56" s="118" t="str" cm="1">
        <f t="array" ref="I56">_xll.RssMarket(B56, "出来高加重平均")</f>
        <v/>
      </c>
      <c r="J56" s="118" t="str" cm="1">
        <f t="array" ref="J56">_xll.RssMarket(B56, "前日比")</f>
        <v/>
      </c>
      <c r="K56" s="118" t="str">
        <f t="shared" si="0"/>
        <v/>
      </c>
      <c r="L56" s="119" t="str">
        <f t="shared" si="1"/>
        <v/>
      </c>
      <c r="M56" s="118" t="str">
        <f t="shared" si="2"/>
        <v/>
      </c>
      <c r="N56" s="118" t="str">
        <f t="shared" si="3"/>
        <v/>
      </c>
      <c r="O56" s="118" t="str">
        <f t="shared" si="9"/>
        <v/>
      </c>
      <c r="P56" s="118" t="str" cm="1">
        <f t="array" aca="1" ref="P56" ca="1">IF(B56="","",IFERROR(MAX(OFFSET(高値!$E$6,MATCH(TEXT(B56,"0"),TEXT(銘柄管理!$B$6:$B$305,"0"),0)-1,0,1,10)),""))</f>
        <v/>
      </c>
      <c r="Q56" s="118" t="str" cm="1">
        <f t="array" aca="1" ref="Q56" ca="1">IF(B56="","",IFERROR(MIN(OFFSET(安値!$E$6,MATCH(TEXT(B56,"0"),TEXT(銘柄管理!$B$6:$B$305,"0"),0)-1,0,1,10)),""))</f>
        <v/>
      </c>
      <c r="R56" s="118" t="str">
        <f t="shared" ca="1" si="14"/>
        <v/>
      </c>
      <c r="S56" s="526" t="str">
        <f t="shared" si="5"/>
        <v/>
      </c>
      <c r="T56" s="116"/>
      <c r="U56" s="116"/>
      <c r="V56" s="118" t="str">
        <f t="shared" si="6"/>
        <v/>
      </c>
      <c r="W56" s="121" t="str">
        <f t="shared" ca="1" si="7"/>
        <v/>
      </c>
      <c r="X56" s="116"/>
    </row>
    <row r="57" spans="1:24" ht="17.25">
      <c r="A57" s="425" t="str">
        <f t="shared" si="8"/>
        <v>株探</v>
      </c>
      <c r="B57" s="116"/>
      <c r="C57" s="120"/>
      <c r="D57" s="116" t="str" cm="1">
        <f t="array" ref="D57">IF(B57="","",_xll.RssMarket(B57,"銘柄名称"))</f>
        <v/>
      </c>
      <c r="E57" s="117"/>
      <c r="F57" s="443"/>
      <c r="G57" s="116"/>
      <c r="H57" s="118" t="str" cm="1">
        <f t="array" ref="H57">IF(B57="","",_xll.RssMarket(B57,"現在値"))</f>
        <v/>
      </c>
      <c r="I57" s="118" t="str" cm="1">
        <f t="array" ref="I57">_xll.RssMarket(B57, "出来高加重平均")</f>
        <v/>
      </c>
      <c r="J57" s="118" t="str" cm="1">
        <f t="array" ref="J57">_xll.RssMarket(B57, "前日比")</f>
        <v/>
      </c>
      <c r="K57" s="118" t="str">
        <f t="shared" si="0"/>
        <v/>
      </c>
      <c r="L57" s="119" t="str">
        <f t="shared" si="1"/>
        <v/>
      </c>
      <c r="M57" s="118" t="str">
        <f t="shared" si="2"/>
        <v/>
      </c>
      <c r="N57" s="118" t="str">
        <f t="shared" si="3"/>
        <v/>
      </c>
      <c r="O57" s="118" t="str">
        <f t="shared" si="9"/>
        <v/>
      </c>
      <c r="P57" s="118" t="str" cm="1">
        <f t="array" aca="1" ref="P57" ca="1">IF(B57="","",IFERROR(MAX(OFFSET(高値!$E$6,MATCH(TEXT(B57,"0"),TEXT(銘柄管理!$B$6:$B$305,"0"),0)-1,0,1,10)),""))</f>
        <v/>
      </c>
      <c r="Q57" s="118" t="str" cm="1">
        <f t="array" aca="1" ref="Q57" ca="1">IF(B57="","",IFERROR(MIN(OFFSET(安値!$E$6,MATCH(TEXT(B57,"0"),TEXT(銘柄管理!$B$6:$B$305,"0"),0)-1,0,1,10)),""))</f>
        <v/>
      </c>
      <c r="R57" s="118" t="str">
        <f t="shared" ca="1" si="14"/>
        <v/>
      </c>
      <c r="S57" s="526" t="str">
        <f t="shared" si="5"/>
        <v/>
      </c>
      <c r="T57" s="116"/>
      <c r="U57" s="116"/>
      <c r="V57" s="118" t="str">
        <f t="shared" si="6"/>
        <v/>
      </c>
      <c r="W57" s="121" t="str">
        <f t="shared" ca="1" si="7"/>
        <v/>
      </c>
      <c r="X57" s="116"/>
    </row>
    <row r="58" spans="1:24" ht="17.25">
      <c r="A58" s="425" t="str">
        <f t="shared" si="8"/>
        <v>株探</v>
      </c>
      <c r="B58" s="116"/>
      <c r="C58" s="120"/>
      <c r="D58" s="116" t="str" cm="1">
        <f t="array" ref="D58">IF(B58="","",_xll.RssMarket(B58,"銘柄名称"))</f>
        <v/>
      </c>
      <c r="E58" s="117"/>
      <c r="F58" s="443"/>
      <c r="G58" s="116"/>
      <c r="H58" s="118" t="str" cm="1">
        <f t="array" ref="H58">IF(B58="","",_xll.RssMarket(B58,"現在値"))</f>
        <v/>
      </c>
      <c r="I58" s="118" t="str" cm="1">
        <f t="array" ref="I58">_xll.RssMarket(B58, "出来高加重平均")</f>
        <v/>
      </c>
      <c r="J58" s="118" t="str" cm="1">
        <f t="array" ref="J58">_xll.RssMarket(B58, "前日比")</f>
        <v/>
      </c>
      <c r="K58" s="118" t="str">
        <f t="shared" si="0"/>
        <v/>
      </c>
      <c r="L58" s="119" t="str">
        <f t="shared" si="1"/>
        <v/>
      </c>
      <c r="M58" s="118" t="str">
        <f t="shared" si="2"/>
        <v/>
      </c>
      <c r="N58" s="118" t="str">
        <f t="shared" si="3"/>
        <v/>
      </c>
      <c r="O58" s="118" t="str">
        <f t="shared" si="9"/>
        <v/>
      </c>
      <c r="P58" s="118" t="str" cm="1">
        <f t="array" aca="1" ref="P58" ca="1">IF(B58="","",IFERROR(MAX(OFFSET(高値!$E$6,MATCH(TEXT(B58,"0"),TEXT(銘柄管理!$B$6:$B$305,"0"),0)-1,0,1,10)),""))</f>
        <v/>
      </c>
      <c r="Q58" s="118" t="str" cm="1">
        <f t="array" aca="1" ref="Q58" ca="1">IF(B58="","",IFERROR(MIN(OFFSET(安値!$E$6,MATCH(TEXT(B58,"0"),TEXT(銘柄管理!$B$6:$B$305,"0"),0)-1,0,1,10)),""))</f>
        <v/>
      </c>
      <c r="R58" s="118" t="str">
        <f t="shared" ca="1" si="14"/>
        <v/>
      </c>
      <c r="S58" s="526" t="str">
        <f t="shared" si="5"/>
        <v/>
      </c>
      <c r="T58" s="116"/>
      <c r="U58" s="116"/>
      <c r="V58" s="118" t="str">
        <f t="shared" si="6"/>
        <v/>
      </c>
      <c r="W58" s="121" t="str">
        <f t="shared" ca="1" si="7"/>
        <v/>
      </c>
      <c r="X58" s="116"/>
    </row>
    <row r="59" spans="1:24" ht="17.25">
      <c r="A59" s="425" t="str">
        <f t="shared" si="8"/>
        <v>株探</v>
      </c>
      <c r="B59" s="116"/>
      <c r="C59" s="120"/>
      <c r="D59" s="116" t="str" cm="1">
        <f t="array" ref="D59">IF(B59="","",_xll.RssMarket(B59,"銘柄名称"))</f>
        <v/>
      </c>
      <c r="E59" s="117"/>
      <c r="F59" s="443"/>
      <c r="G59" s="116"/>
      <c r="H59" s="118" t="str" cm="1">
        <f t="array" ref="H59">IF(B59="","",_xll.RssMarket(B59,"現在値"))</f>
        <v/>
      </c>
      <c r="I59" s="118" t="str" cm="1">
        <f t="array" ref="I59">_xll.RssMarket(B59, "出来高加重平均")</f>
        <v/>
      </c>
      <c r="J59" s="118" t="str" cm="1">
        <f t="array" ref="J59">_xll.RssMarket(B59, "前日比")</f>
        <v/>
      </c>
      <c r="K59" s="118" t="str">
        <f t="shared" si="0"/>
        <v/>
      </c>
      <c r="L59" s="119" t="str">
        <f t="shared" si="1"/>
        <v/>
      </c>
      <c r="M59" s="118" t="str">
        <f t="shared" si="2"/>
        <v/>
      </c>
      <c r="N59" s="118" t="str">
        <f t="shared" si="3"/>
        <v/>
      </c>
      <c r="O59" s="118" t="str">
        <f t="shared" si="9"/>
        <v/>
      </c>
      <c r="P59" s="118" t="str" cm="1">
        <f t="array" aca="1" ref="P59" ca="1">IF(B59="","",IFERROR(MAX(OFFSET(高値!$E$6,MATCH(TEXT(B59,"0"),TEXT(銘柄管理!$B$6:$B$305,"0"),0)-1,0,1,10)),""))</f>
        <v/>
      </c>
      <c r="Q59" s="118" t="str" cm="1">
        <f t="array" aca="1" ref="Q59" ca="1">IF(B59="","",IFERROR(MIN(OFFSET(安値!$E$6,MATCH(TEXT(B59,"0"),TEXT(銘柄管理!$B$6:$B$305,"0"),0)-1,0,1,10)),""))</f>
        <v/>
      </c>
      <c r="R59" s="118" t="str">
        <f t="shared" ca="1" si="14"/>
        <v/>
      </c>
      <c r="S59" s="526" t="str">
        <f t="shared" si="5"/>
        <v/>
      </c>
      <c r="T59" s="116"/>
      <c r="U59" s="116"/>
      <c r="V59" s="118" t="str">
        <f t="shared" si="6"/>
        <v/>
      </c>
      <c r="W59" s="121" t="str">
        <f t="shared" ca="1" si="7"/>
        <v/>
      </c>
      <c r="X59" s="116"/>
    </row>
    <row r="60" spans="1:24" ht="17.25">
      <c r="A60" s="425" t="str">
        <f t="shared" si="8"/>
        <v>株探</v>
      </c>
      <c r="B60" s="116"/>
      <c r="C60" s="120"/>
      <c r="D60" s="116" t="str" cm="1">
        <f t="array" ref="D60">IF(B60="","",_xll.RssMarket(B60,"銘柄名称"))</f>
        <v/>
      </c>
      <c r="E60" s="117"/>
      <c r="F60" s="443"/>
      <c r="G60" s="116"/>
      <c r="H60" s="118" t="str" cm="1">
        <f t="array" ref="H60">IF(B60="","",_xll.RssMarket(B60,"現在値"))</f>
        <v/>
      </c>
      <c r="I60" s="118" t="str" cm="1">
        <f t="array" ref="I60">_xll.RssMarket(B60, "出来高加重平均")</f>
        <v/>
      </c>
      <c r="J60" s="118" t="str" cm="1">
        <f t="array" ref="J60">_xll.RssMarket(B60, "前日比")</f>
        <v/>
      </c>
      <c r="K60" s="118" t="str">
        <f t="shared" si="0"/>
        <v/>
      </c>
      <c r="L60" s="119" t="str">
        <f t="shared" si="1"/>
        <v/>
      </c>
      <c r="M60" s="118" t="str">
        <f t="shared" si="2"/>
        <v/>
      </c>
      <c r="N60" s="118" t="str">
        <f t="shared" si="3"/>
        <v/>
      </c>
      <c r="O60" s="118" t="str">
        <f t="shared" si="9"/>
        <v/>
      </c>
      <c r="P60" s="118" t="str" cm="1">
        <f t="array" aca="1" ref="P60" ca="1">IF(B60="","",IFERROR(MAX(OFFSET(高値!$E$6,MATCH(TEXT(B60,"0"),TEXT(銘柄管理!$B$6:$B$305,"0"),0)-1,0,1,10)),""))</f>
        <v/>
      </c>
      <c r="Q60" s="118" t="str" cm="1">
        <f t="array" aca="1" ref="Q60" ca="1">IF(B60="","",IFERROR(MIN(OFFSET(安値!$E$6,MATCH(TEXT(B60,"0"),TEXT(銘柄管理!$B$6:$B$305,"0"),0)-1,0,1,10)),""))</f>
        <v/>
      </c>
      <c r="R60" s="118" t="str">
        <f t="shared" ca="1" si="14"/>
        <v/>
      </c>
      <c r="S60" s="526" t="str">
        <f t="shared" si="5"/>
        <v/>
      </c>
      <c r="T60" s="116"/>
      <c r="U60" s="116"/>
      <c r="V60" s="118" t="str">
        <f t="shared" si="6"/>
        <v/>
      </c>
      <c r="W60" s="121" t="str">
        <f t="shared" ca="1" si="7"/>
        <v/>
      </c>
      <c r="X60" s="116"/>
    </row>
    <row r="61" spans="1:24" ht="17.25">
      <c r="A61" s="425" t="str">
        <f t="shared" si="8"/>
        <v>株探</v>
      </c>
      <c r="B61" s="116"/>
      <c r="C61" s="120"/>
      <c r="D61" s="116" t="str" cm="1">
        <f t="array" ref="D61">IF(B61="","",_xll.RssMarket(B61,"銘柄名称"))</f>
        <v/>
      </c>
      <c r="E61" s="117"/>
      <c r="F61" s="443"/>
      <c r="G61" s="116"/>
      <c r="H61" s="118" t="str" cm="1">
        <f t="array" ref="H61">IF(B61="","",_xll.RssMarket(B61,"現在値"))</f>
        <v/>
      </c>
      <c r="I61" s="118" t="str" cm="1">
        <f t="array" ref="I61">_xll.RssMarket(B61, "出来高加重平均")</f>
        <v/>
      </c>
      <c r="J61" s="118" t="str" cm="1">
        <f t="array" ref="J61">_xll.RssMarket(B61, "前日比")</f>
        <v/>
      </c>
      <c r="K61" s="118" t="str">
        <f t="shared" si="0"/>
        <v/>
      </c>
      <c r="L61" s="119" t="str">
        <f t="shared" si="1"/>
        <v/>
      </c>
      <c r="M61" s="118" t="str">
        <f t="shared" si="2"/>
        <v/>
      </c>
      <c r="N61" s="118" t="str">
        <f t="shared" si="3"/>
        <v/>
      </c>
      <c r="O61" s="118" t="str">
        <f t="shared" si="9"/>
        <v/>
      </c>
      <c r="P61" s="118" t="str" cm="1">
        <f t="array" aca="1" ref="P61" ca="1">IF(B61="","",IFERROR(MAX(OFFSET(高値!$E$6,MATCH(TEXT(B61,"0"),TEXT(銘柄管理!$B$6:$B$305,"0"),0)-1,0,1,10)),""))</f>
        <v/>
      </c>
      <c r="Q61" s="118" t="str" cm="1">
        <f t="array" aca="1" ref="Q61" ca="1">IF(B61="","",IFERROR(MIN(OFFSET(安値!$E$6,MATCH(TEXT(B61,"0"),TEXT(銘柄管理!$B$6:$B$305,"0"),0)-1,0,1,10)),""))</f>
        <v/>
      </c>
      <c r="R61" s="118" t="str">
        <f t="shared" ca="1" si="14"/>
        <v/>
      </c>
      <c r="S61" s="526" t="str">
        <f t="shared" si="5"/>
        <v/>
      </c>
      <c r="T61" s="116"/>
      <c r="U61" s="116"/>
      <c r="V61" s="118" t="str">
        <f t="shared" si="6"/>
        <v/>
      </c>
      <c r="W61" s="121" t="str">
        <f t="shared" ca="1" si="7"/>
        <v/>
      </c>
      <c r="X61" s="116"/>
    </row>
    <row r="62" spans="1:24" ht="17.25">
      <c r="A62" s="425" t="str">
        <f t="shared" si="8"/>
        <v>株探</v>
      </c>
      <c r="B62" s="116"/>
      <c r="C62" s="120"/>
      <c r="D62" s="116" t="str" cm="1">
        <f t="array" ref="D62">IF(B62="","",_xll.RssMarket(B62,"銘柄名称"))</f>
        <v/>
      </c>
      <c r="E62" s="117"/>
      <c r="F62" s="443"/>
      <c r="G62" s="116"/>
      <c r="H62" s="118" t="str" cm="1">
        <f t="array" ref="H62">IF(B62="","",_xll.RssMarket(B62,"現在値"))</f>
        <v/>
      </c>
      <c r="I62" s="118" t="str" cm="1">
        <f t="array" ref="I62">_xll.RssMarket(B62, "出来高加重平均")</f>
        <v/>
      </c>
      <c r="J62" s="118" t="str" cm="1">
        <f t="array" ref="J62">_xll.RssMarket(B62, "前日比")</f>
        <v/>
      </c>
      <c r="K62" s="118" t="str">
        <f t="shared" si="0"/>
        <v/>
      </c>
      <c r="L62" s="119" t="str">
        <f t="shared" si="1"/>
        <v/>
      </c>
      <c r="M62" s="118" t="str">
        <f t="shared" si="2"/>
        <v/>
      </c>
      <c r="N62" s="118" t="str">
        <f t="shared" si="3"/>
        <v/>
      </c>
      <c r="O62" s="118" t="str">
        <f t="shared" si="9"/>
        <v/>
      </c>
      <c r="P62" s="118" t="str" cm="1">
        <f t="array" aca="1" ref="P62" ca="1">IF(B62="","",IFERROR(MAX(OFFSET(高値!$E$6,MATCH(TEXT(B62,"0"),TEXT(銘柄管理!$B$6:$B$305,"0"),0)-1,0,1,10)),""))</f>
        <v/>
      </c>
      <c r="Q62" s="118" t="str" cm="1">
        <f t="array" aca="1" ref="Q62" ca="1">IF(B62="","",IFERROR(MIN(OFFSET(安値!$E$6,MATCH(TEXT(B62,"0"),TEXT(銘柄管理!$B$6:$B$305,"0"),0)-1,0,1,10)),""))</f>
        <v/>
      </c>
      <c r="R62" s="118" t="str">
        <f t="shared" ca="1" si="14"/>
        <v/>
      </c>
      <c r="S62" s="526" t="str">
        <f t="shared" si="5"/>
        <v/>
      </c>
      <c r="T62" s="116"/>
      <c r="U62" s="116"/>
      <c r="V62" s="118" t="str">
        <f t="shared" si="6"/>
        <v/>
      </c>
      <c r="W62" s="121" t="str">
        <f t="shared" ca="1" si="7"/>
        <v/>
      </c>
      <c r="X62" s="116"/>
    </row>
    <row r="63" spans="1:24" ht="17.25">
      <c r="A63" s="425" t="str">
        <f t="shared" si="8"/>
        <v>株探</v>
      </c>
      <c r="B63" s="116"/>
      <c r="C63" s="120"/>
      <c r="D63" s="116" t="str" cm="1">
        <f t="array" ref="D63">IF(B63="","",_xll.RssMarket(B63,"銘柄名称"))</f>
        <v/>
      </c>
      <c r="E63" s="117"/>
      <c r="F63" s="443"/>
      <c r="G63" s="116"/>
      <c r="H63" s="118" t="str" cm="1">
        <f t="array" ref="H63">IF(B63="","",_xll.RssMarket(B63,"現在値"))</f>
        <v/>
      </c>
      <c r="I63" s="118" t="str" cm="1">
        <f t="array" ref="I63">_xll.RssMarket(B63, "出来高加重平均")</f>
        <v/>
      </c>
      <c r="J63" s="118" t="str" cm="1">
        <f t="array" ref="J63">_xll.RssMarket(B63, "前日比")</f>
        <v/>
      </c>
      <c r="K63" s="118" t="str">
        <f t="shared" si="0"/>
        <v/>
      </c>
      <c r="L63" s="119" t="str">
        <f t="shared" si="1"/>
        <v/>
      </c>
      <c r="M63" s="118" t="str">
        <f t="shared" si="2"/>
        <v/>
      </c>
      <c r="N63" s="118" t="str">
        <f t="shared" si="3"/>
        <v/>
      </c>
      <c r="O63" s="118" t="str">
        <f t="shared" si="9"/>
        <v/>
      </c>
      <c r="P63" s="118" t="str" cm="1">
        <f t="array" aca="1" ref="P63" ca="1">IF(B63="","",IFERROR(MAX(OFFSET(高値!$E$6,MATCH(TEXT(B63,"0"),TEXT(銘柄管理!$B$6:$B$305,"0"),0)-1,0,1,10)),""))</f>
        <v/>
      </c>
      <c r="Q63" s="118" t="str" cm="1">
        <f t="array" aca="1" ref="Q63" ca="1">IF(B63="","",IFERROR(MIN(OFFSET(安値!$E$6,MATCH(TEXT(B63,"0"),TEXT(銘柄管理!$B$6:$B$305,"0"),0)-1,0,1,10)),""))</f>
        <v/>
      </c>
      <c r="R63" s="118" t="str">
        <f t="shared" ca="1" si="14"/>
        <v/>
      </c>
      <c r="S63" s="526" t="str">
        <f t="shared" si="5"/>
        <v/>
      </c>
      <c r="T63" s="116"/>
      <c r="U63" s="116"/>
      <c r="V63" s="118" t="str">
        <f t="shared" si="6"/>
        <v/>
      </c>
      <c r="W63" s="121" t="str">
        <f t="shared" ca="1" si="7"/>
        <v/>
      </c>
      <c r="X63" s="116"/>
    </row>
    <row r="64" spans="1:24" ht="17.25">
      <c r="A64" s="425" t="str">
        <f t="shared" si="8"/>
        <v>株探</v>
      </c>
      <c r="B64" s="116"/>
      <c r="C64" s="120"/>
      <c r="D64" s="116" t="str" cm="1">
        <f t="array" ref="D64">IF(B64="","",_xll.RssMarket(B64,"銘柄名称"))</f>
        <v/>
      </c>
      <c r="E64" s="117"/>
      <c r="F64" s="443"/>
      <c r="G64" s="116"/>
      <c r="H64" s="118" t="str" cm="1">
        <f t="array" ref="H64">IF(B64="","",_xll.RssMarket(B64,"現在値"))</f>
        <v/>
      </c>
      <c r="I64" s="118" t="str" cm="1">
        <f t="array" ref="I64">_xll.RssMarket(B64, "出来高加重平均")</f>
        <v/>
      </c>
      <c r="J64" s="118" t="str" cm="1">
        <f t="array" ref="J64">_xll.RssMarket(B64, "前日比")</f>
        <v/>
      </c>
      <c r="K64" s="118" t="str">
        <f t="shared" si="0"/>
        <v/>
      </c>
      <c r="L64" s="119" t="str">
        <f t="shared" si="1"/>
        <v/>
      </c>
      <c r="M64" s="118" t="str">
        <f t="shared" si="2"/>
        <v/>
      </c>
      <c r="N64" s="118" t="str">
        <f t="shared" si="3"/>
        <v/>
      </c>
      <c r="O64" s="118" t="str">
        <f t="shared" si="9"/>
        <v/>
      </c>
      <c r="P64" s="118" t="str" cm="1">
        <f t="array" aca="1" ref="P64" ca="1">IF(B64="","",IFERROR(MAX(OFFSET(高値!$E$6,MATCH(TEXT(B64,"0"),TEXT(銘柄管理!$B$6:$B$305,"0"),0)-1,0,1,10)),""))</f>
        <v/>
      </c>
      <c r="Q64" s="118" t="str" cm="1">
        <f t="array" aca="1" ref="Q64" ca="1">IF(B64="","",IFERROR(MIN(OFFSET(安値!$E$6,MATCH(TEXT(B64,"0"),TEXT(銘柄管理!$B$6:$B$305,"0"),0)-1,0,1,10)),""))</f>
        <v/>
      </c>
      <c r="R64" s="118" t="str">
        <f t="shared" ca="1" si="14"/>
        <v/>
      </c>
      <c r="S64" s="526" t="str">
        <f t="shared" si="5"/>
        <v/>
      </c>
      <c r="T64" s="116"/>
      <c r="U64" s="116"/>
      <c r="V64" s="118" t="str">
        <f t="shared" si="6"/>
        <v/>
      </c>
      <c r="W64" s="121" t="str">
        <f t="shared" ca="1" si="7"/>
        <v/>
      </c>
      <c r="X64" s="116"/>
    </row>
    <row r="65" spans="1:24" ht="17.25">
      <c r="A65" s="425" t="str">
        <f t="shared" si="8"/>
        <v>株探</v>
      </c>
      <c r="B65" s="116"/>
      <c r="C65" s="120"/>
      <c r="D65" s="116" t="str" cm="1">
        <f t="array" ref="D65">IF(B65="","",_xll.RssMarket(B65,"銘柄名称"))</f>
        <v/>
      </c>
      <c r="E65" s="117"/>
      <c r="F65" s="443"/>
      <c r="G65" s="116"/>
      <c r="H65" s="118" t="str" cm="1">
        <f t="array" ref="H65">IF(B65="","",_xll.RssMarket(B65,"現在値"))</f>
        <v/>
      </c>
      <c r="I65" s="118" t="str" cm="1">
        <f t="array" ref="I65">_xll.RssMarket(B65, "出来高加重平均")</f>
        <v/>
      </c>
      <c r="J65" s="118" t="str" cm="1">
        <f t="array" ref="J65">_xll.RssMarket(B65, "前日比")</f>
        <v/>
      </c>
      <c r="K65" s="118" t="str">
        <f t="shared" ref="K65:K77" si="15">IF(OR(F65="",G65="",H65=""),"",IF(C65="売",(F65-H65)*G65,(H65-F65)*G65))</f>
        <v/>
      </c>
      <c r="L65" s="119" t="str">
        <f t="shared" ref="L65:L77" si="16">IF(OR(F65="",H65=""),"",IF(C65="売",(F65-H65)/F65,(H65-F65)/F65))</f>
        <v/>
      </c>
      <c r="M65" s="118" t="str">
        <f t="shared" ref="M65:M77" si="17">IF(F65="","",IF(C65="売",F65*0.94,F65*1.06))</f>
        <v/>
      </c>
      <c r="N65" s="118" t="str">
        <f t="shared" ref="N65:N77" si="18">IF(F65="","",IF(C65="売",F65*1.04,F65*0.96))</f>
        <v/>
      </c>
      <c r="O65" s="118" t="str">
        <f t="shared" ref="O65:O77" si="19">IF(B65="","",IF(H65="","保有中",IF(C65="売",IF(H65&lt;=M65,"🟢利確推奨",IF(H65&lt;=F65*0.95,"🟡利確&amp;TR STOP検討",IF(H65&gt;=N65,"🔴損切推奨",IF(H65&gt;=F65*1.035,"🔴損切間近",IF(H65&gt;=F65*1.03,"⚠️+3%注意","保持継続"))))),IF(H65&gt;=M65,"🟢利確推奨",IF(H65&gt;=F65*1.05,"🟡利確&amp;TR STOP検討",IF(H65&lt;=N65,"🔴損切推奨",IF(H65&lt;=F65*0.965,"🔴損切間近",IF(H65&lt;=F65*0.97,"⚠️-3%注意","保持継続"))))))))</f>
        <v/>
      </c>
      <c r="P65" s="118" t="str" cm="1">
        <f t="array" aca="1" ref="P65" ca="1">IF(B65="","",IFERROR(MAX(OFFSET(高値!$E$6,MATCH(TEXT(B65,"0"),TEXT(銘柄管理!$B$6:$B$305,"0"),0)-1,0,1,10)),""))</f>
        <v/>
      </c>
      <c r="Q65" s="118" t="str" cm="1">
        <f t="array" aca="1" ref="Q65" ca="1">IF(B65="","",IFERROR(MIN(OFFSET(安値!$E$6,MATCH(TEXT(B65,"0"),TEXT(銘柄管理!$B$6:$B$305,"0"),0)-1,0,1,10)),""))</f>
        <v/>
      </c>
      <c r="R65" s="118" t="str">
        <f t="shared" ref="R65:R77" ca="1" si="20">IF(P65="","",ROUND(P65*0.97,0))</f>
        <v/>
      </c>
      <c r="S65" s="526" t="str">
        <f t="shared" ref="S65:S77" si="21">IF(B65="","",IF(T65&lt;&gt;"","✅売却済",IF(H65="","📌保有中",IF(C65="売",IF(H65&lt;=M65,"🟢利確推奨",IF(H65&gt;=N65,"🔴損切推奨",IF(H65&gt;=R65,"⚠️STOP推奨","📌保有中"))),IF(H65&gt;=M65,"🟢利確推奨",IF(H65&lt;=N65,"🔴損切推奨",IF(H65&lt;=R65,"⚠️STOP推奨","📌保有中")))))))</f>
        <v/>
      </c>
      <c r="T65" s="116"/>
      <c r="U65" s="116"/>
      <c r="V65" s="118" t="str">
        <f t="shared" ref="V65:V77" si="22">IF(OR(F65="",G65="",U65=""),"",IF(C65="売",(F65-U65)*G65,(U65-F65)*G65))</f>
        <v/>
      </c>
      <c r="W65" s="121" t="str">
        <f t="shared" ref="W65:W128" ca="1" si="23">IF(OR(E65="",B65=""),"",IF(T65&lt;&gt;"",T65-E65,TODAY()-E65))</f>
        <v/>
      </c>
      <c r="X65" s="116"/>
    </row>
    <row r="66" spans="1:24" ht="17.25">
      <c r="A66" s="425" t="str">
        <f t="shared" si="8"/>
        <v>株探</v>
      </c>
      <c r="B66" s="116"/>
      <c r="C66" s="120"/>
      <c r="D66" s="116" t="str" cm="1">
        <f t="array" ref="D66">IF(B66="","",_xll.RssMarket(B66,"銘柄名称"))</f>
        <v/>
      </c>
      <c r="E66" s="117"/>
      <c r="F66" s="443"/>
      <c r="G66" s="116"/>
      <c r="H66" s="118" t="str" cm="1">
        <f t="array" ref="H66">IF(B66="","",_xll.RssMarket(B66,"現在値"))</f>
        <v/>
      </c>
      <c r="I66" s="118" t="str" cm="1">
        <f t="array" ref="I66">_xll.RssMarket(B66, "出来高加重平均")</f>
        <v/>
      </c>
      <c r="J66" s="118" t="str" cm="1">
        <f t="array" ref="J66">_xll.RssMarket(B66, "前日比")</f>
        <v/>
      </c>
      <c r="K66" s="118" t="str">
        <f t="shared" si="15"/>
        <v/>
      </c>
      <c r="L66" s="119" t="str">
        <f t="shared" si="16"/>
        <v/>
      </c>
      <c r="M66" s="118" t="str">
        <f t="shared" si="17"/>
        <v/>
      </c>
      <c r="N66" s="118" t="str">
        <f t="shared" si="18"/>
        <v/>
      </c>
      <c r="O66" s="118" t="str">
        <f t="shared" si="19"/>
        <v/>
      </c>
      <c r="P66" s="118" t="str" cm="1">
        <f t="array" aca="1" ref="P66" ca="1">IF(B66="","",IFERROR(MAX(OFFSET(高値!$E$6,MATCH(TEXT(B66,"0"),TEXT(銘柄管理!$B$6:$B$305,"0"),0)-1,0,1,10)),""))</f>
        <v/>
      </c>
      <c r="Q66" s="118" t="str" cm="1">
        <f t="array" aca="1" ref="Q66" ca="1">IF(B66="","",IFERROR(MIN(OFFSET(安値!$E$6,MATCH(TEXT(B66,"0"),TEXT(銘柄管理!$B$6:$B$305,"0"),0)-1,0,1,10)),""))</f>
        <v/>
      </c>
      <c r="R66" s="118" t="str">
        <f t="shared" ca="1" si="20"/>
        <v/>
      </c>
      <c r="S66" s="526" t="str">
        <f t="shared" si="21"/>
        <v/>
      </c>
      <c r="T66" s="116"/>
      <c r="U66" s="116"/>
      <c r="V66" s="118" t="str">
        <f t="shared" si="22"/>
        <v/>
      </c>
      <c r="W66" s="121" t="str">
        <f t="shared" ca="1" si="23"/>
        <v/>
      </c>
      <c r="X66" s="116"/>
    </row>
    <row r="67" spans="1:24" ht="17.25">
      <c r="A67" s="425" t="str">
        <f t="shared" si="8"/>
        <v>株探</v>
      </c>
      <c r="B67" s="116"/>
      <c r="C67" s="120"/>
      <c r="D67" s="116" t="str" cm="1">
        <f t="array" ref="D67">IF(B67="","",_xll.RssMarket(B67,"銘柄名称"))</f>
        <v/>
      </c>
      <c r="E67" s="117"/>
      <c r="F67" s="443"/>
      <c r="G67" s="116"/>
      <c r="H67" s="118" t="str" cm="1">
        <f t="array" ref="H67">IF(B67="","",_xll.RssMarket(B67,"現在値"))</f>
        <v/>
      </c>
      <c r="I67" s="118" t="str" cm="1">
        <f t="array" ref="I67">_xll.RssMarket(B67, "出来高加重平均")</f>
        <v/>
      </c>
      <c r="J67" s="118" t="str" cm="1">
        <f t="array" ref="J67">_xll.RssMarket(B67, "前日比")</f>
        <v/>
      </c>
      <c r="K67" s="118" t="str">
        <f t="shared" si="15"/>
        <v/>
      </c>
      <c r="L67" s="119" t="str">
        <f t="shared" si="16"/>
        <v/>
      </c>
      <c r="M67" s="118" t="str">
        <f t="shared" si="17"/>
        <v/>
      </c>
      <c r="N67" s="118" t="str">
        <f t="shared" si="18"/>
        <v/>
      </c>
      <c r="O67" s="118" t="str">
        <f t="shared" si="19"/>
        <v/>
      </c>
      <c r="P67" s="118" t="str" cm="1">
        <f t="array" aca="1" ref="P67" ca="1">IF(B67="","",IFERROR(MAX(OFFSET(高値!$E$6,MATCH(TEXT(B67,"0"),TEXT(銘柄管理!$B$6:$B$305,"0"),0)-1,0,1,10)),""))</f>
        <v/>
      </c>
      <c r="Q67" s="118" t="str" cm="1">
        <f t="array" aca="1" ref="Q67" ca="1">IF(B67="","",IFERROR(MIN(OFFSET(安値!$E$6,MATCH(TEXT(B67,"0"),TEXT(銘柄管理!$B$6:$B$305,"0"),0)-1,0,1,10)),""))</f>
        <v/>
      </c>
      <c r="R67" s="118" t="str">
        <f t="shared" ca="1" si="20"/>
        <v/>
      </c>
      <c r="S67" s="526" t="str">
        <f t="shared" si="21"/>
        <v/>
      </c>
      <c r="T67" s="116"/>
      <c r="U67" s="116"/>
      <c r="V67" s="118" t="str">
        <f t="shared" si="22"/>
        <v/>
      </c>
      <c r="W67" s="121" t="str">
        <f t="shared" ca="1" si="23"/>
        <v/>
      </c>
      <c r="X67" s="116"/>
    </row>
    <row r="68" spans="1:24" ht="17.25">
      <c r="A68" s="425" t="str">
        <f t="shared" si="8"/>
        <v>株探</v>
      </c>
      <c r="B68" s="116"/>
      <c r="C68" s="120"/>
      <c r="D68" s="116" t="str" cm="1">
        <f t="array" ref="D68">IF(B68="","",_xll.RssMarket(B68,"銘柄名称"))</f>
        <v/>
      </c>
      <c r="E68" s="117"/>
      <c r="F68" s="443"/>
      <c r="G68" s="116"/>
      <c r="H68" s="118" t="str" cm="1">
        <f t="array" ref="H68">IF(B68="","",_xll.RssMarket(B68,"現在値"))</f>
        <v/>
      </c>
      <c r="I68" s="118" t="str" cm="1">
        <f t="array" ref="I68">_xll.RssMarket(B68, "出来高加重平均")</f>
        <v/>
      </c>
      <c r="J68" s="118" t="str" cm="1">
        <f t="array" ref="J68">_xll.RssMarket(B68, "前日比")</f>
        <v/>
      </c>
      <c r="K68" s="118" t="str">
        <f t="shared" si="15"/>
        <v/>
      </c>
      <c r="L68" s="119" t="str">
        <f t="shared" si="16"/>
        <v/>
      </c>
      <c r="M68" s="118" t="str">
        <f t="shared" si="17"/>
        <v/>
      </c>
      <c r="N68" s="118" t="str">
        <f t="shared" si="18"/>
        <v/>
      </c>
      <c r="O68" s="118" t="str">
        <f t="shared" si="19"/>
        <v/>
      </c>
      <c r="P68" s="118" t="str" cm="1">
        <f t="array" aca="1" ref="P68" ca="1">IF(B68="","",IFERROR(MAX(OFFSET(高値!$E$6,MATCH(TEXT(B68,"0"),TEXT(銘柄管理!$B$6:$B$305,"0"),0)-1,0,1,10)),""))</f>
        <v/>
      </c>
      <c r="Q68" s="118" t="str" cm="1">
        <f t="array" aca="1" ref="Q68" ca="1">IF(B68="","",IFERROR(MIN(OFFSET(安値!$E$6,MATCH(TEXT(B68,"0"),TEXT(銘柄管理!$B$6:$B$305,"0"),0)-1,0,1,10)),""))</f>
        <v/>
      </c>
      <c r="R68" s="118" t="str">
        <f t="shared" ca="1" si="20"/>
        <v/>
      </c>
      <c r="S68" s="526" t="str">
        <f t="shared" si="21"/>
        <v/>
      </c>
      <c r="T68" s="116"/>
      <c r="U68" s="116"/>
      <c r="V68" s="118" t="str">
        <f t="shared" si="22"/>
        <v/>
      </c>
      <c r="W68" s="121" t="str">
        <f t="shared" ca="1" si="23"/>
        <v/>
      </c>
      <c r="X68" s="116"/>
    </row>
    <row r="69" spans="1:24" ht="17.25">
      <c r="A69" s="425" t="str">
        <f t="shared" ref="A69:A132" si="24">HYPERLINK("https://kabutan.jp/stock/?code="&amp;TEXT(B69,"0000"),"株探")</f>
        <v>株探</v>
      </c>
      <c r="B69" s="116"/>
      <c r="C69" s="120"/>
      <c r="D69" s="116" t="str" cm="1">
        <f t="array" ref="D69">IF(B69="","",_xll.RssMarket(B69,"銘柄名称"))</f>
        <v/>
      </c>
      <c r="E69" s="117"/>
      <c r="F69" s="443"/>
      <c r="G69" s="116"/>
      <c r="H69" s="118" t="str" cm="1">
        <f t="array" ref="H69">IF(B69="","",_xll.RssMarket(B69,"現在値"))</f>
        <v/>
      </c>
      <c r="I69" s="118" t="str" cm="1">
        <f t="array" ref="I69">_xll.RssMarket(B69, "出来高加重平均")</f>
        <v/>
      </c>
      <c r="J69" s="118" t="str" cm="1">
        <f t="array" ref="J69">_xll.RssMarket(B69, "前日比")</f>
        <v/>
      </c>
      <c r="K69" s="118" t="str">
        <f t="shared" si="15"/>
        <v/>
      </c>
      <c r="L69" s="119" t="str">
        <f t="shared" si="16"/>
        <v/>
      </c>
      <c r="M69" s="118" t="str">
        <f t="shared" si="17"/>
        <v/>
      </c>
      <c r="N69" s="118" t="str">
        <f t="shared" si="18"/>
        <v/>
      </c>
      <c r="O69" s="118" t="str">
        <f t="shared" si="19"/>
        <v/>
      </c>
      <c r="P69" s="118" t="str" cm="1">
        <f t="array" aca="1" ref="P69" ca="1">IF(B69="","",IFERROR(MAX(OFFSET(高値!$E$6,MATCH(TEXT(B69,"0"),TEXT(銘柄管理!$B$6:$B$305,"0"),0)-1,0,1,10)),""))</f>
        <v/>
      </c>
      <c r="Q69" s="118" t="str" cm="1">
        <f t="array" aca="1" ref="Q69" ca="1">IF(B69="","",IFERROR(MIN(OFFSET(安値!$E$6,MATCH(TEXT(B69,"0"),TEXT(銘柄管理!$B$6:$B$305,"0"),0)-1,0,1,10)),""))</f>
        <v/>
      </c>
      <c r="R69" s="118" t="str">
        <f t="shared" ca="1" si="20"/>
        <v/>
      </c>
      <c r="S69" s="526" t="str">
        <f t="shared" si="21"/>
        <v/>
      </c>
      <c r="T69" s="116"/>
      <c r="U69" s="116"/>
      <c r="V69" s="118" t="str">
        <f t="shared" si="22"/>
        <v/>
      </c>
      <c r="W69" s="121" t="str">
        <f t="shared" ca="1" si="23"/>
        <v/>
      </c>
      <c r="X69" s="116"/>
    </row>
    <row r="70" spans="1:24" ht="17.25">
      <c r="A70" s="425" t="str">
        <f t="shared" si="24"/>
        <v>株探</v>
      </c>
      <c r="B70" s="116"/>
      <c r="C70" s="120"/>
      <c r="D70" s="116" t="str" cm="1">
        <f t="array" ref="D70">IF(B70="","",_xll.RssMarket(B70,"銘柄名称"))</f>
        <v/>
      </c>
      <c r="E70" s="117"/>
      <c r="F70" s="443"/>
      <c r="G70" s="116"/>
      <c r="H70" s="118" t="str" cm="1">
        <f t="array" ref="H70">IF(B70="","",_xll.RssMarket(B70,"現在値"))</f>
        <v/>
      </c>
      <c r="I70" s="118" t="str" cm="1">
        <f t="array" ref="I70">_xll.RssMarket(B70, "出来高加重平均")</f>
        <v/>
      </c>
      <c r="J70" s="118" t="str" cm="1">
        <f t="array" ref="J70">_xll.RssMarket(B70, "前日比")</f>
        <v/>
      </c>
      <c r="K70" s="118" t="str">
        <f t="shared" si="15"/>
        <v/>
      </c>
      <c r="L70" s="119" t="str">
        <f t="shared" si="16"/>
        <v/>
      </c>
      <c r="M70" s="118" t="str">
        <f t="shared" si="17"/>
        <v/>
      </c>
      <c r="N70" s="118" t="str">
        <f t="shared" si="18"/>
        <v/>
      </c>
      <c r="O70" s="118" t="str">
        <f t="shared" si="19"/>
        <v/>
      </c>
      <c r="P70" s="118" t="str" cm="1">
        <f t="array" aca="1" ref="P70" ca="1">IF(B70="","",IFERROR(MAX(OFFSET(高値!$E$6,MATCH(TEXT(B70,"0"),TEXT(銘柄管理!$B$6:$B$305,"0"),0)-1,0,1,10)),""))</f>
        <v/>
      </c>
      <c r="Q70" s="118" t="str" cm="1">
        <f t="array" aca="1" ref="Q70" ca="1">IF(B70="","",IFERROR(MIN(OFFSET(安値!$E$6,MATCH(TEXT(B70,"0"),TEXT(銘柄管理!$B$6:$B$305,"0"),0)-1,0,1,10)),""))</f>
        <v/>
      </c>
      <c r="R70" s="118" t="str">
        <f t="shared" ca="1" si="20"/>
        <v/>
      </c>
      <c r="S70" s="526" t="str">
        <f t="shared" si="21"/>
        <v/>
      </c>
      <c r="T70" s="116"/>
      <c r="U70" s="116"/>
      <c r="V70" s="118" t="str">
        <f t="shared" si="22"/>
        <v/>
      </c>
      <c r="W70" s="121" t="str">
        <f t="shared" ca="1" si="23"/>
        <v/>
      </c>
      <c r="X70" s="116"/>
    </row>
    <row r="71" spans="1:24" ht="17.25">
      <c r="A71" s="425" t="str">
        <f t="shared" si="24"/>
        <v>株探</v>
      </c>
      <c r="B71" s="116"/>
      <c r="C71" s="120"/>
      <c r="D71" s="116" t="str" cm="1">
        <f t="array" ref="D71">IF(B71="","",_xll.RssMarket(B71,"銘柄名称"))</f>
        <v/>
      </c>
      <c r="E71" s="117"/>
      <c r="F71" s="443"/>
      <c r="G71" s="116"/>
      <c r="H71" s="118" t="str" cm="1">
        <f t="array" ref="H71">IF(B71="","",_xll.RssMarket(B71,"現在値"))</f>
        <v/>
      </c>
      <c r="I71" s="118" t="str" cm="1">
        <f t="array" ref="I71">_xll.RssMarket(B71, "出来高加重平均")</f>
        <v/>
      </c>
      <c r="J71" s="118" t="str" cm="1">
        <f t="array" ref="J71">_xll.RssMarket(B71, "前日比")</f>
        <v/>
      </c>
      <c r="K71" s="118" t="str">
        <f t="shared" si="15"/>
        <v/>
      </c>
      <c r="L71" s="119" t="str">
        <f t="shared" si="16"/>
        <v/>
      </c>
      <c r="M71" s="118" t="str">
        <f t="shared" si="17"/>
        <v/>
      </c>
      <c r="N71" s="118" t="str">
        <f t="shared" si="18"/>
        <v/>
      </c>
      <c r="O71" s="118" t="str">
        <f t="shared" si="19"/>
        <v/>
      </c>
      <c r="P71" s="118" t="str" cm="1">
        <f t="array" aca="1" ref="P71" ca="1">IF(B71="","",IFERROR(MAX(OFFSET(高値!$E$6,MATCH(TEXT(B71,"0"),TEXT(銘柄管理!$B$6:$B$305,"0"),0)-1,0,1,10)),""))</f>
        <v/>
      </c>
      <c r="Q71" s="118" t="str" cm="1">
        <f t="array" aca="1" ref="Q71" ca="1">IF(B71="","",IFERROR(MIN(OFFSET(安値!$E$6,MATCH(TEXT(B71,"0"),TEXT(銘柄管理!$B$6:$B$305,"0"),0)-1,0,1,10)),""))</f>
        <v/>
      </c>
      <c r="R71" s="118" t="str">
        <f t="shared" ca="1" si="20"/>
        <v/>
      </c>
      <c r="S71" s="526" t="str">
        <f t="shared" si="21"/>
        <v/>
      </c>
      <c r="T71" s="116"/>
      <c r="U71" s="116"/>
      <c r="V71" s="118" t="str">
        <f t="shared" si="22"/>
        <v/>
      </c>
      <c r="W71" s="121" t="str">
        <f t="shared" ca="1" si="23"/>
        <v/>
      </c>
      <c r="X71" s="116"/>
    </row>
    <row r="72" spans="1:24" ht="17.25">
      <c r="A72" s="425" t="str">
        <f t="shared" si="24"/>
        <v>株探</v>
      </c>
      <c r="B72" s="116"/>
      <c r="C72" s="120"/>
      <c r="D72" s="116" t="str" cm="1">
        <f t="array" ref="D72">IF(B72="","",_xll.RssMarket(B72,"銘柄名称"))</f>
        <v/>
      </c>
      <c r="E72" s="117"/>
      <c r="F72" s="443"/>
      <c r="G72" s="116"/>
      <c r="H72" s="118" t="str" cm="1">
        <f t="array" ref="H72">IF(B72="","",_xll.RssMarket(B72,"現在値"))</f>
        <v/>
      </c>
      <c r="I72" s="118" t="str" cm="1">
        <f t="array" ref="I72">_xll.RssMarket(B72, "出来高加重平均")</f>
        <v/>
      </c>
      <c r="J72" s="118" t="str" cm="1">
        <f t="array" ref="J72">_xll.RssMarket(B72, "前日比")</f>
        <v/>
      </c>
      <c r="K72" s="118" t="str">
        <f t="shared" si="15"/>
        <v/>
      </c>
      <c r="L72" s="119" t="str">
        <f t="shared" si="16"/>
        <v/>
      </c>
      <c r="M72" s="118" t="str">
        <f t="shared" si="17"/>
        <v/>
      </c>
      <c r="N72" s="118" t="str">
        <f t="shared" si="18"/>
        <v/>
      </c>
      <c r="O72" s="118" t="str">
        <f t="shared" si="19"/>
        <v/>
      </c>
      <c r="P72" s="118" t="str" cm="1">
        <f t="array" aca="1" ref="P72" ca="1">IF(B72="","",IFERROR(MAX(OFFSET(高値!$E$6,MATCH(TEXT(B72,"0"),TEXT(銘柄管理!$B$6:$B$305,"0"),0)-1,0,1,10)),""))</f>
        <v/>
      </c>
      <c r="Q72" s="118" t="str" cm="1">
        <f t="array" aca="1" ref="Q72" ca="1">IF(B72="","",IFERROR(MIN(OFFSET(安値!$E$6,MATCH(TEXT(B72,"0"),TEXT(銘柄管理!$B$6:$B$305,"0"),0)-1,0,1,10)),""))</f>
        <v/>
      </c>
      <c r="R72" s="118" t="str">
        <f t="shared" ca="1" si="20"/>
        <v/>
      </c>
      <c r="S72" s="526" t="str">
        <f t="shared" si="21"/>
        <v/>
      </c>
      <c r="T72" s="116"/>
      <c r="U72" s="116"/>
      <c r="V72" s="118" t="str">
        <f t="shared" si="22"/>
        <v/>
      </c>
      <c r="W72" s="121" t="str">
        <f t="shared" ca="1" si="23"/>
        <v/>
      </c>
      <c r="X72" s="116"/>
    </row>
    <row r="73" spans="1:24" ht="17.25">
      <c r="A73" s="425" t="str">
        <f t="shared" si="24"/>
        <v>株探</v>
      </c>
      <c r="B73" s="116"/>
      <c r="C73" s="120"/>
      <c r="D73" s="116" t="str" cm="1">
        <f t="array" ref="D73">IF(B73="","",_xll.RssMarket(B73,"銘柄名称"))</f>
        <v/>
      </c>
      <c r="E73" s="117"/>
      <c r="F73" s="443"/>
      <c r="G73" s="116"/>
      <c r="H73" s="118" t="str" cm="1">
        <f t="array" ref="H73">IF(B73="","",_xll.RssMarket(B73,"現在値"))</f>
        <v/>
      </c>
      <c r="I73" s="118" t="str" cm="1">
        <f t="array" ref="I73">_xll.RssMarket(B73, "出来高加重平均")</f>
        <v/>
      </c>
      <c r="J73" s="118" t="str" cm="1">
        <f t="array" ref="J73">_xll.RssMarket(B73, "前日比")</f>
        <v/>
      </c>
      <c r="K73" s="118" t="str">
        <f t="shared" si="15"/>
        <v/>
      </c>
      <c r="L73" s="119" t="str">
        <f t="shared" si="16"/>
        <v/>
      </c>
      <c r="M73" s="118" t="str">
        <f t="shared" si="17"/>
        <v/>
      </c>
      <c r="N73" s="118" t="str">
        <f t="shared" si="18"/>
        <v/>
      </c>
      <c r="O73" s="118" t="str">
        <f t="shared" si="19"/>
        <v/>
      </c>
      <c r="P73" s="118" t="str" cm="1">
        <f t="array" aca="1" ref="P73" ca="1">IF(B73="","",IFERROR(MAX(OFFSET(高値!$E$6,MATCH(TEXT(B73,"0"),TEXT(銘柄管理!$B$6:$B$305,"0"),0)-1,0,1,10)),""))</f>
        <v/>
      </c>
      <c r="Q73" s="118" t="str" cm="1">
        <f t="array" aca="1" ref="Q73" ca="1">IF(B73="","",IFERROR(MIN(OFFSET(安値!$E$6,MATCH(TEXT(B73,"0"),TEXT(銘柄管理!$B$6:$B$305,"0"),0)-1,0,1,10)),""))</f>
        <v/>
      </c>
      <c r="R73" s="118" t="str">
        <f t="shared" ca="1" si="20"/>
        <v/>
      </c>
      <c r="S73" s="526" t="str">
        <f t="shared" si="21"/>
        <v/>
      </c>
      <c r="T73" s="116"/>
      <c r="U73" s="116"/>
      <c r="V73" s="118" t="str">
        <f t="shared" si="22"/>
        <v/>
      </c>
      <c r="W73" s="121" t="str">
        <f t="shared" ca="1" si="23"/>
        <v/>
      </c>
      <c r="X73" s="116"/>
    </row>
    <row r="74" spans="1:24" ht="17.25">
      <c r="A74" s="425" t="str">
        <f t="shared" si="24"/>
        <v>株探</v>
      </c>
      <c r="B74" s="116"/>
      <c r="C74" s="120"/>
      <c r="D74" s="116" t="str" cm="1">
        <f t="array" ref="D74">IF(B74="","",_xll.RssMarket(B74,"銘柄名称"))</f>
        <v/>
      </c>
      <c r="E74" s="117"/>
      <c r="F74" s="443"/>
      <c r="G74" s="116"/>
      <c r="H74" s="118" t="str" cm="1">
        <f t="array" ref="H74">IF(B74="","",_xll.RssMarket(B74,"現在値"))</f>
        <v/>
      </c>
      <c r="I74" s="118" t="str" cm="1">
        <f t="array" ref="I74">_xll.RssMarket(B74, "出来高加重平均")</f>
        <v/>
      </c>
      <c r="J74" s="118" t="str" cm="1">
        <f t="array" ref="J74">_xll.RssMarket(B74, "前日比")</f>
        <v/>
      </c>
      <c r="K74" s="118" t="str">
        <f t="shared" si="15"/>
        <v/>
      </c>
      <c r="L74" s="119" t="str">
        <f t="shared" si="16"/>
        <v/>
      </c>
      <c r="M74" s="118" t="str">
        <f t="shared" si="17"/>
        <v/>
      </c>
      <c r="N74" s="118" t="str">
        <f t="shared" si="18"/>
        <v/>
      </c>
      <c r="O74" s="118" t="str">
        <f t="shared" si="19"/>
        <v/>
      </c>
      <c r="P74" s="118" t="str" cm="1">
        <f t="array" aca="1" ref="P74" ca="1">IF(B74="","",IFERROR(MAX(OFFSET(高値!$E$6,MATCH(TEXT(B74,"0"),TEXT(銘柄管理!$B$6:$B$305,"0"),0)-1,0,1,10)),""))</f>
        <v/>
      </c>
      <c r="Q74" s="118" t="str" cm="1">
        <f t="array" aca="1" ref="Q74" ca="1">IF(B74="","",IFERROR(MIN(OFFSET(安値!$E$6,MATCH(TEXT(B74,"0"),TEXT(銘柄管理!$B$6:$B$305,"0"),0)-1,0,1,10)),""))</f>
        <v/>
      </c>
      <c r="R74" s="118" t="str">
        <f t="shared" ca="1" si="20"/>
        <v/>
      </c>
      <c r="S74" s="526" t="str">
        <f t="shared" si="21"/>
        <v/>
      </c>
      <c r="T74" s="116"/>
      <c r="U74" s="116"/>
      <c r="V74" s="118" t="str">
        <f t="shared" si="22"/>
        <v/>
      </c>
      <c r="W74" s="121" t="str">
        <f t="shared" ca="1" si="23"/>
        <v/>
      </c>
      <c r="X74" s="116"/>
    </row>
    <row r="75" spans="1:24" ht="17.25">
      <c r="A75" s="425" t="str">
        <f t="shared" si="24"/>
        <v>株探</v>
      </c>
      <c r="B75" s="116"/>
      <c r="C75" s="120"/>
      <c r="D75" s="116" t="str" cm="1">
        <f t="array" ref="D75">IF(B75="","",_xll.RssMarket(B75,"銘柄名称"))</f>
        <v/>
      </c>
      <c r="E75" s="117"/>
      <c r="F75" s="443"/>
      <c r="G75" s="116"/>
      <c r="H75" s="118" t="str" cm="1">
        <f t="array" ref="H75">IF(B75="","",_xll.RssMarket(B75,"現在値"))</f>
        <v/>
      </c>
      <c r="I75" s="118" t="str" cm="1">
        <f t="array" ref="I75">_xll.RssMarket(B75, "出来高加重平均")</f>
        <v/>
      </c>
      <c r="J75" s="118" t="str" cm="1">
        <f t="array" ref="J75">_xll.RssMarket(B75, "前日比")</f>
        <v/>
      </c>
      <c r="K75" s="118" t="str">
        <f t="shared" si="15"/>
        <v/>
      </c>
      <c r="L75" s="119" t="str">
        <f t="shared" si="16"/>
        <v/>
      </c>
      <c r="M75" s="118" t="str">
        <f t="shared" si="17"/>
        <v/>
      </c>
      <c r="N75" s="118" t="str">
        <f t="shared" si="18"/>
        <v/>
      </c>
      <c r="O75" s="118" t="str">
        <f t="shared" si="19"/>
        <v/>
      </c>
      <c r="P75" s="118" t="str" cm="1">
        <f t="array" aca="1" ref="P75" ca="1">IF(B75="","",IFERROR(MAX(OFFSET(高値!$E$6,MATCH(TEXT(B75,"0"),TEXT(銘柄管理!$B$6:$B$305,"0"),0)-1,0,1,10)),""))</f>
        <v/>
      </c>
      <c r="Q75" s="118" t="str" cm="1">
        <f t="array" aca="1" ref="Q75" ca="1">IF(B75="","",IFERROR(MIN(OFFSET(安値!$E$6,MATCH(TEXT(B75,"0"),TEXT(銘柄管理!$B$6:$B$305,"0"),0)-1,0,1,10)),""))</f>
        <v/>
      </c>
      <c r="R75" s="118" t="str">
        <f t="shared" ca="1" si="20"/>
        <v/>
      </c>
      <c r="S75" s="526" t="str">
        <f t="shared" si="21"/>
        <v/>
      </c>
      <c r="T75" s="116"/>
      <c r="U75" s="116"/>
      <c r="V75" s="118" t="str">
        <f t="shared" si="22"/>
        <v/>
      </c>
      <c r="W75" s="121" t="str">
        <f t="shared" ca="1" si="23"/>
        <v/>
      </c>
      <c r="X75" s="116"/>
    </row>
    <row r="76" spans="1:24" ht="17.25">
      <c r="A76" s="425" t="str">
        <f t="shared" si="24"/>
        <v>株探</v>
      </c>
      <c r="B76" s="116"/>
      <c r="C76" s="120"/>
      <c r="D76" s="116" t="str" cm="1">
        <f t="array" ref="D76">IF(B76="","",_xll.RssMarket(B76,"銘柄名称"))</f>
        <v/>
      </c>
      <c r="E76" s="117"/>
      <c r="F76" s="443"/>
      <c r="G76" s="116"/>
      <c r="H76" s="118" t="str" cm="1">
        <f t="array" ref="H76">IF(B76="","",_xll.RssMarket(B76,"現在値"))</f>
        <v/>
      </c>
      <c r="I76" s="118" t="str" cm="1">
        <f t="array" ref="I76">_xll.RssMarket(B76, "出来高加重平均")</f>
        <v/>
      </c>
      <c r="J76" s="118" t="str" cm="1">
        <f t="array" ref="J76">_xll.RssMarket(B76, "前日比")</f>
        <v/>
      </c>
      <c r="K76" s="118" t="str">
        <f t="shared" si="15"/>
        <v/>
      </c>
      <c r="L76" s="119" t="str">
        <f t="shared" si="16"/>
        <v/>
      </c>
      <c r="M76" s="118" t="str">
        <f t="shared" si="17"/>
        <v/>
      </c>
      <c r="N76" s="118" t="str">
        <f t="shared" si="18"/>
        <v/>
      </c>
      <c r="O76" s="118" t="str">
        <f t="shared" si="19"/>
        <v/>
      </c>
      <c r="P76" s="118" t="str" cm="1">
        <f t="array" aca="1" ref="P76" ca="1">IF(B76="","",IFERROR(MAX(OFFSET(高値!$E$6,MATCH(TEXT(B76,"0"),TEXT(銘柄管理!$B$6:$B$305,"0"),0)-1,0,1,10)),""))</f>
        <v/>
      </c>
      <c r="Q76" s="118" t="str" cm="1">
        <f t="array" aca="1" ref="Q76" ca="1">IF(B76="","",IFERROR(MIN(OFFSET(安値!$E$6,MATCH(TEXT(B76,"0"),TEXT(銘柄管理!$B$6:$B$305,"0"),0)-1,0,1,10)),""))</f>
        <v/>
      </c>
      <c r="R76" s="118" t="str">
        <f t="shared" ca="1" si="20"/>
        <v/>
      </c>
      <c r="S76" s="526" t="str">
        <f t="shared" si="21"/>
        <v/>
      </c>
      <c r="T76" s="116"/>
      <c r="U76" s="116"/>
      <c r="V76" s="118" t="str">
        <f t="shared" si="22"/>
        <v/>
      </c>
      <c r="W76" s="121" t="str">
        <f t="shared" ca="1" si="23"/>
        <v/>
      </c>
      <c r="X76" s="116"/>
    </row>
    <row r="77" spans="1:24" ht="17.25">
      <c r="A77" s="425" t="str">
        <f t="shared" si="24"/>
        <v>株探</v>
      </c>
      <c r="B77" s="116"/>
      <c r="C77" s="120"/>
      <c r="D77" s="116" t="str" cm="1">
        <f t="array" ref="D77">IF(B77="","",_xll.RssMarket(B77,"銘柄名称"))</f>
        <v/>
      </c>
      <c r="E77" s="117"/>
      <c r="F77" s="443"/>
      <c r="G77" s="116"/>
      <c r="H77" s="118" t="str" cm="1">
        <f t="array" ref="H77">IF(B77="","",_xll.RssMarket(B77,"現在値"))</f>
        <v/>
      </c>
      <c r="I77" s="118" t="str" cm="1">
        <f t="array" ref="I77">_xll.RssMarket(B77, "出来高加重平均")</f>
        <v/>
      </c>
      <c r="J77" s="118" t="str" cm="1">
        <f t="array" ref="J77">_xll.RssMarket(B77, "前日比")</f>
        <v/>
      </c>
      <c r="K77" s="118" t="str">
        <f t="shared" si="15"/>
        <v/>
      </c>
      <c r="L77" s="119" t="str">
        <f t="shared" si="16"/>
        <v/>
      </c>
      <c r="M77" s="118" t="str">
        <f t="shared" si="17"/>
        <v/>
      </c>
      <c r="N77" s="118" t="str">
        <f t="shared" si="18"/>
        <v/>
      </c>
      <c r="O77" s="118" t="str">
        <f t="shared" si="19"/>
        <v/>
      </c>
      <c r="P77" s="118" t="str" cm="1">
        <f t="array" aca="1" ref="P77" ca="1">IF(B77="","",IFERROR(MAX(OFFSET(高値!$E$6,MATCH(TEXT(B77,"0"),TEXT(銘柄管理!$B$6:$B$305,"0"),0)-1,0,1,10)),""))</f>
        <v/>
      </c>
      <c r="Q77" s="118" t="str" cm="1">
        <f t="array" aca="1" ref="Q77" ca="1">IF(B77="","",IFERROR(MIN(OFFSET(安値!$E$6,MATCH(TEXT(B77,"0"),TEXT(銘柄管理!$B$6:$B$305,"0"),0)-1,0,1,10)),""))</f>
        <v/>
      </c>
      <c r="R77" s="118" t="str">
        <f t="shared" ca="1" si="20"/>
        <v/>
      </c>
      <c r="S77" s="526" t="str">
        <f t="shared" si="21"/>
        <v/>
      </c>
      <c r="T77" s="116"/>
      <c r="U77" s="116"/>
      <c r="V77" s="118" t="str">
        <f t="shared" si="22"/>
        <v/>
      </c>
      <c r="W77" s="121" t="str">
        <f t="shared" ca="1" si="23"/>
        <v/>
      </c>
      <c r="X77" s="116"/>
    </row>
    <row r="78" spans="1:24" ht="17.25">
      <c r="A78" s="425" t="str">
        <f t="shared" si="24"/>
        <v>株探</v>
      </c>
      <c r="B78" s="116"/>
      <c r="C78" s="116"/>
      <c r="D78" s="116"/>
      <c r="E78" s="117"/>
      <c r="F78" s="443"/>
      <c r="G78" s="116"/>
      <c r="H78" s="118" t="str">
        <f>_xll.RssMarket("d7","現在値")</f>
        <v/>
      </c>
      <c r="I78" s="118" t="str" cm="1">
        <f t="array" ref="I78">_xll.RssMarket(B78, "出来高加重平均")</f>
        <v/>
      </c>
      <c r="J78" s="118" t="str" cm="1">
        <f t="array" ref="J78">_xll.RssMarket(B78, "前日比")</f>
        <v/>
      </c>
      <c r="K78" s="118" t="str">
        <f t="shared" ref="K78:K128" si="25">IF(OR(F78="",G78="",H78=""),"",(H78-F78)*G78)</f>
        <v/>
      </c>
      <c r="L78" s="119" t="str">
        <f t="shared" ref="L78:L128" si="26">IF(OR(F78="",H78=""),"",(H78-F78)/F78)</f>
        <v/>
      </c>
      <c r="M78" s="118" t="str">
        <f t="shared" ref="M78:M128" si="27">IF(F78="","",F78*1.07)</f>
        <v/>
      </c>
      <c r="N78" s="118" t="str">
        <f t="shared" ref="N78:N128" si="28">IF(F78="","",F78*0.96)</f>
        <v/>
      </c>
      <c r="O78" s="118" t="str">
        <f t="shared" ref="O78:O128" si="29">IF(B78="","",IF(H78="","保有中",IF(H78&gt;=M78,"🟢利確推奨",IF(H78&gt;=F78*1.06,"🟡利確&amp;TR STOP検討",IF(H78&lt;=N78,"🔴損切推奨",IF(H78&lt;=F78*0.965,"🔴損切間近",IF(H78&lt;=F78*0.97,"⚠️-3%注意",IF(H78&lt;=F78*0.96,"🟡STOP推奨","保持継続"))))))))</f>
        <v/>
      </c>
      <c r="P78" s="118" t="str" cm="1">
        <f t="array" aca="1" ref="P78" ca="1">IF(B78="","",IFERROR(MAX(OFFSET(高値!$E$6,MATCH(TEXT(B78,"0"),TEXT(銘柄管理!$B$6:$B$305,"0"),0)-1,0,1,10)),""))</f>
        <v/>
      </c>
      <c r="Q78" s="118" t="str" cm="1">
        <f t="array" aca="1" ref="Q78" ca="1">IF(B78="","",IFERROR(MIN(OFFSET(安値!$E$6,MATCH(TEXT(B78,"0"),TEXT(銘柄管理!$B$6:$B$305,"0"),0)-1,0,1,10)),""))</f>
        <v/>
      </c>
      <c r="R78" s="118" t="str">
        <f t="shared" ref="R78:R128" ca="1" si="30">IF(P78="","",ROUND(P78*0.97,0))</f>
        <v/>
      </c>
      <c r="S78" s="526" t="str">
        <f t="shared" ref="S78:S128" si="31">IF(B78="","",IF(T78&lt;&gt;"","?売却済",IF(H78="","?保有中",IF(H78&gt;=M78,"??利確推奨",IF(H78&lt;=N78,"??損切推奨",IF(H78&lt;=R78,"??STOP推奨","?保有中"))))))</f>
        <v/>
      </c>
      <c r="T78" s="116"/>
      <c r="U78" s="116"/>
      <c r="V78" s="118" t="str">
        <f t="shared" ref="V78:V128" si="32">IF(OR(F78="",G78="",U78=""),"",(U78-F78)*G78)</f>
        <v/>
      </c>
      <c r="W78" s="121" t="str">
        <f t="shared" ca="1" si="23"/>
        <v/>
      </c>
      <c r="X78" s="116"/>
    </row>
    <row r="79" spans="1:24" ht="17.25">
      <c r="A79" s="425" t="str">
        <f t="shared" si="24"/>
        <v>株探</v>
      </c>
      <c r="B79" s="116"/>
      <c r="C79" s="116"/>
      <c r="D79" s="116"/>
      <c r="E79" s="117"/>
      <c r="F79" s="443"/>
      <c r="G79" s="116"/>
      <c r="H79" s="118" t="str">
        <f>_xll.RssMarket("d7","現在値")</f>
        <v/>
      </c>
      <c r="I79" s="118" t="str" cm="1">
        <f t="array" ref="I79">_xll.RssMarket(B79, "出来高加重平均")</f>
        <v/>
      </c>
      <c r="J79" s="118" t="str" cm="1">
        <f t="array" ref="J79">_xll.RssMarket(B79, "前日比")</f>
        <v/>
      </c>
      <c r="K79" s="118" t="str">
        <f t="shared" si="25"/>
        <v/>
      </c>
      <c r="L79" s="119" t="str">
        <f t="shared" si="26"/>
        <v/>
      </c>
      <c r="M79" s="118" t="str">
        <f t="shared" si="27"/>
        <v/>
      </c>
      <c r="N79" s="118" t="str">
        <f t="shared" si="28"/>
        <v/>
      </c>
      <c r="O79" s="118" t="str">
        <f t="shared" si="29"/>
        <v/>
      </c>
      <c r="P79" s="118" t="str" cm="1">
        <f t="array" aca="1" ref="P79" ca="1">IF(B79="","",IFERROR(MAX(OFFSET(高値!$E$6,MATCH(TEXT(B79,"0"),TEXT(銘柄管理!$B$6:$B$305,"0"),0)-1,0,1,10)),""))</f>
        <v/>
      </c>
      <c r="Q79" s="118" t="str" cm="1">
        <f t="array" aca="1" ref="Q79" ca="1">IF(B79="","",IFERROR(MIN(OFFSET(安値!$E$6,MATCH(TEXT(B79,"0"),TEXT(銘柄管理!$B$6:$B$305,"0"),0)-1,0,1,10)),""))</f>
        <v/>
      </c>
      <c r="R79" s="118" t="str">
        <f t="shared" ca="1" si="30"/>
        <v/>
      </c>
      <c r="S79" s="526" t="str">
        <f t="shared" si="31"/>
        <v/>
      </c>
      <c r="T79" s="116"/>
      <c r="U79" s="116"/>
      <c r="V79" s="118" t="str">
        <f t="shared" si="32"/>
        <v/>
      </c>
      <c r="W79" s="121" t="str">
        <f t="shared" ca="1" si="23"/>
        <v/>
      </c>
      <c r="X79" s="116"/>
    </row>
    <row r="80" spans="1:24" ht="17.25">
      <c r="A80" s="425" t="str">
        <f t="shared" si="24"/>
        <v>株探</v>
      </c>
      <c r="B80" s="116"/>
      <c r="C80" s="116"/>
      <c r="D80" s="116"/>
      <c r="E80" s="117"/>
      <c r="F80" s="443"/>
      <c r="G80" s="116"/>
      <c r="H80" s="118" t="str">
        <f>_xll.RssMarket("d7","現在値")</f>
        <v/>
      </c>
      <c r="I80" s="118" t="str" cm="1">
        <f t="array" ref="I80">_xll.RssMarket(B80, "出来高加重平均")</f>
        <v/>
      </c>
      <c r="J80" s="118" t="str" cm="1">
        <f t="array" ref="J80">_xll.RssMarket(B80, "前日比")</f>
        <v/>
      </c>
      <c r="K80" s="118" t="str">
        <f t="shared" si="25"/>
        <v/>
      </c>
      <c r="L80" s="119" t="str">
        <f t="shared" si="26"/>
        <v/>
      </c>
      <c r="M80" s="118" t="str">
        <f t="shared" si="27"/>
        <v/>
      </c>
      <c r="N80" s="118" t="str">
        <f t="shared" si="28"/>
        <v/>
      </c>
      <c r="O80" s="118" t="str">
        <f t="shared" si="29"/>
        <v/>
      </c>
      <c r="P80" s="118" t="str" cm="1">
        <f t="array" aca="1" ref="P80" ca="1">IF(B80="","",IFERROR(MAX(OFFSET(高値!$E$6,MATCH(TEXT(B80,"0"),TEXT(銘柄管理!$B$6:$B$305,"0"),0)-1,0,1,10)),""))</f>
        <v/>
      </c>
      <c r="Q80" s="118" t="str" cm="1">
        <f t="array" aca="1" ref="Q80" ca="1">IF(B80="","",IFERROR(MIN(OFFSET(安値!$E$6,MATCH(TEXT(B80,"0"),TEXT(銘柄管理!$B$6:$B$305,"0"),0)-1,0,1,10)),""))</f>
        <v/>
      </c>
      <c r="R80" s="118" t="str">
        <f t="shared" ca="1" si="30"/>
        <v/>
      </c>
      <c r="S80" s="526" t="str">
        <f t="shared" si="31"/>
        <v/>
      </c>
      <c r="T80" s="116"/>
      <c r="U80" s="116"/>
      <c r="V80" s="118" t="str">
        <f t="shared" si="32"/>
        <v/>
      </c>
      <c r="W80" s="121" t="str">
        <f t="shared" ca="1" si="23"/>
        <v/>
      </c>
      <c r="X80" s="116"/>
    </row>
    <row r="81" spans="1:24" ht="17.25">
      <c r="A81" s="425" t="str">
        <f t="shared" si="24"/>
        <v>株探</v>
      </c>
      <c r="B81" s="116"/>
      <c r="C81" s="116"/>
      <c r="D81" s="116"/>
      <c r="E81" s="117"/>
      <c r="F81" s="443"/>
      <c r="G81" s="116"/>
      <c r="H81" s="118" t="str">
        <f>_xll.RssMarket("d7","現在値")</f>
        <v/>
      </c>
      <c r="I81" s="118" t="str" cm="1">
        <f t="array" ref="I81">_xll.RssMarket(B81, "出来高加重平均")</f>
        <v/>
      </c>
      <c r="J81" s="118" t="str" cm="1">
        <f t="array" ref="J81">_xll.RssMarket(B81, "前日比")</f>
        <v/>
      </c>
      <c r="K81" s="118" t="str">
        <f t="shared" si="25"/>
        <v/>
      </c>
      <c r="L81" s="119" t="str">
        <f t="shared" si="26"/>
        <v/>
      </c>
      <c r="M81" s="118" t="str">
        <f t="shared" si="27"/>
        <v/>
      </c>
      <c r="N81" s="118" t="str">
        <f t="shared" si="28"/>
        <v/>
      </c>
      <c r="O81" s="118" t="str">
        <f t="shared" si="29"/>
        <v/>
      </c>
      <c r="P81" s="118" t="str" cm="1">
        <f t="array" aca="1" ref="P81" ca="1">IF(B81="","",IFERROR(MAX(OFFSET(高値!$E$6,MATCH(TEXT(B81,"0"),TEXT(銘柄管理!$B$6:$B$305,"0"),0)-1,0,1,10)),""))</f>
        <v/>
      </c>
      <c r="Q81" s="118" t="str" cm="1">
        <f t="array" aca="1" ref="Q81" ca="1">IF(B81="","",IFERROR(MIN(OFFSET(安値!$E$6,MATCH(TEXT(B81,"0"),TEXT(銘柄管理!$B$6:$B$305,"0"),0)-1,0,1,10)),""))</f>
        <v/>
      </c>
      <c r="R81" s="118" t="str">
        <f t="shared" ca="1" si="30"/>
        <v/>
      </c>
      <c r="S81" s="526" t="str">
        <f t="shared" si="31"/>
        <v/>
      </c>
      <c r="T81" s="116"/>
      <c r="U81" s="116"/>
      <c r="V81" s="118" t="str">
        <f t="shared" si="32"/>
        <v/>
      </c>
      <c r="W81" s="121" t="str">
        <f t="shared" ca="1" si="23"/>
        <v/>
      </c>
      <c r="X81" s="116"/>
    </row>
    <row r="82" spans="1:24" ht="17.25">
      <c r="A82" s="425" t="str">
        <f t="shared" si="24"/>
        <v>株探</v>
      </c>
      <c r="B82" s="116"/>
      <c r="C82" s="116"/>
      <c r="D82" s="116"/>
      <c r="E82" s="117"/>
      <c r="F82" s="443"/>
      <c r="G82" s="116"/>
      <c r="H82" s="118" t="str">
        <f>_xll.RssMarket("d7","現在値")</f>
        <v/>
      </c>
      <c r="I82" s="118" t="str" cm="1">
        <f t="array" ref="I82">_xll.RssMarket(B82, "出来高加重平均")</f>
        <v/>
      </c>
      <c r="J82" s="118" t="str" cm="1">
        <f t="array" ref="J82">_xll.RssMarket(B82, "前日比")</f>
        <v/>
      </c>
      <c r="K82" s="118" t="str">
        <f t="shared" si="25"/>
        <v/>
      </c>
      <c r="L82" s="119" t="str">
        <f t="shared" si="26"/>
        <v/>
      </c>
      <c r="M82" s="118" t="str">
        <f t="shared" si="27"/>
        <v/>
      </c>
      <c r="N82" s="118" t="str">
        <f t="shared" si="28"/>
        <v/>
      </c>
      <c r="O82" s="118" t="str">
        <f t="shared" si="29"/>
        <v/>
      </c>
      <c r="P82" s="118" t="str" cm="1">
        <f t="array" aca="1" ref="P82" ca="1">IF(B82="","",IFERROR(MAX(OFFSET(高値!$E$6,MATCH(TEXT(B82,"0"),TEXT(銘柄管理!$B$6:$B$305,"0"),0)-1,0,1,10)),""))</f>
        <v/>
      </c>
      <c r="Q82" s="118" t="str" cm="1">
        <f t="array" aca="1" ref="Q82" ca="1">IF(B82="","",IFERROR(MIN(OFFSET(安値!$E$6,MATCH(TEXT(B82,"0"),TEXT(銘柄管理!$B$6:$B$305,"0"),0)-1,0,1,10)),""))</f>
        <v/>
      </c>
      <c r="R82" s="118" t="str">
        <f t="shared" ca="1" si="30"/>
        <v/>
      </c>
      <c r="S82" s="526" t="str">
        <f t="shared" si="31"/>
        <v/>
      </c>
      <c r="T82" s="116"/>
      <c r="U82" s="116"/>
      <c r="V82" s="118" t="str">
        <f t="shared" si="32"/>
        <v/>
      </c>
      <c r="W82" s="121" t="str">
        <f t="shared" ca="1" si="23"/>
        <v/>
      </c>
      <c r="X82" s="116"/>
    </row>
    <row r="83" spans="1:24" ht="17.25">
      <c r="A83" s="425" t="str">
        <f t="shared" si="24"/>
        <v>株探</v>
      </c>
      <c r="B83" s="116"/>
      <c r="C83" s="116"/>
      <c r="D83" s="116"/>
      <c r="E83" s="117"/>
      <c r="F83" s="443"/>
      <c r="G83" s="116"/>
      <c r="H83" s="118" t="str">
        <f>_xll.RssMarket("d7","現在値")</f>
        <v/>
      </c>
      <c r="I83" s="118" t="str" cm="1">
        <f t="array" ref="I83">_xll.RssMarket(B83, "出来高加重平均")</f>
        <v/>
      </c>
      <c r="J83" s="118" t="str" cm="1">
        <f t="array" ref="J83">_xll.RssMarket(B83, "前日比")</f>
        <v/>
      </c>
      <c r="K83" s="118" t="str">
        <f t="shared" si="25"/>
        <v/>
      </c>
      <c r="L83" s="119" t="str">
        <f t="shared" si="26"/>
        <v/>
      </c>
      <c r="M83" s="118" t="str">
        <f t="shared" si="27"/>
        <v/>
      </c>
      <c r="N83" s="118" t="str">
        <f t="shared" si="28"/>
        <v/>
      </c>
      <c r="O83" s="118" t="str">
        <f t="shared" si="29"/>
        <v/>
      </c>
      <c r="P83" s="118" t="str" cm="1">
        <f t="array" aca="1" ref="P83" ca="1">IF(B83="","",IFERROR(MAX(OFFSET(高値!$E$6,MATCH(TEXT(B83,"0"),TEXT(銘柄管理!$B$6:$B$305,"0"),0)-1,0,1,10)),""))</f>
        <v/>
      </c>
      <c r="Q83" s="118" t="str" cm="1">
        <f t="array" aca="1" ref="Q83" ca="1">IF(B83="","",IFERROR(MIN(OFFSET(安値!$E$6,MATCH(TEXT(B83,"0"),TEXT(銘柄管理!$B$6:$B$305,"0"),0)-1,0,1,10)),""))</f>
        <v/>
      </c>
      <c r="R83" s="118" t="str">
        <f t="shared" ca="1" si="30"/>
        <v/>
      </c>
      <c r="S83" s="526" t="str">
        <f t="shared" si="31"/>
        <v/>
      </c>
      <c r="T83" s="116"/>
      <c r="U83" s="116"/>
      <c r="V83" s="118" t="str">
        <f t="shared" si="32"/>
        <v/>
      </c>
      <c r="W83" s="121" t="str">
        <f t="shared" ca="1" si="23"/>
        <v/>
      </c>
      <c r="X83" s="116"/>
    </row>
    <row r="84" spans="1:24" ht="17.25">
      <c r="A84" s="425" t="str">
        <f t="shared" si="24"/>
        <v>株探</v>
      </c>
      <c r="B84" s="116"/>
      <c r="C84" s="116"/>
      <c r="D84" s="116"/>
      <c r="E84" s="117"/>
      <c r="F84" s="443"/>
      <c r="G84" s="116"/>
      <c r="H84" s="118" t="str">
        <f>_xll.RssMarket("d7","現在値")</f>
        <v/>
      </c>
      <c r="I84" s="118" t="str" cm="1">
        <f t="array" ref="I84">_xll.RssMarket(B84, "出来高加重平均")</f>
        <v/>
      </c>
      <c r="J84" s="118" t="str" cm="1">
        <f t="array" ref="J84">_xll.RssMarket(B84, "前日比")</f>
        <v/>
      </c>
      <c r="K84" s="118" t="str">
        <f t="shared" si="25"/>
        <v/>
      </c>
      <c r="L84" s="119" t="str">
        <f t="shared" si="26"/>
        <v/>
      </c>
      <c r="M84" s="118" t="str">
        <f t="shared" si="27"/>
        <v/>
      </c>
      <c r="N84" s="118" t="str">
        <f t="shared" si="28"/>
        <v/>
      </c>
      <c r="O84" s="118" t="str">
        <f t="shared" si="29"/>
        <v/>
      </c>
      <c r="P84" s="118" t="str" cm="1">
        <f t="array" aca="1" ref="P84" ca="1">IF(B84="","",IFERROR(MAX(OFFSET(高値!$E$6,MATCH(TEXT(B84,"0"),TEXT(銘柄管理!$B$6:$B$305,"0"),0)-1,0,1,10)),""))</f>
        <v/>
      </c>
      <c r="Q84" s="118" t="str" cm="1">
        <f t="array" aca="1" ref="Q84" ca="1">IF(B84="","",IFERROR(MIN(OFFSET(安値!$E$6,MATCH(TEXT(B84,"0"),TEXT(銘柄管理!$B$6:$B$305,"0"),0)-1,0,1,10)),""))</f>
        <v/>
      </c>
      <c r="R84" s="118" t="str">
        <f t="shared" ca="1" si="30"/>
        <v/>
      </c>
      <c r="S84" s="526" t="str">
        <f t="shared" si="31"/>
        <v/>
      </c>
      <c r="T84" s="116"/>
      <c r="U84" s="116"/>
      <c r="V84" s="118" t="str">
        <f t="shared" si="32"/>
        <v/>
      </c>
      <c r="W84" s="121" t="str">
        <f t="shared" ca="1" si="23"/>
        <v/>
      </c>
      <c r="X84" s="116"/>
    </row>
    <row r="85" spans="1:24" ht="17.25">
      <c r="A85" s="425" t="str">
        <f t="shared" si="24"/>
        <v>株探</v>
      </c>
      <c r="B85" s="116"/>
      <c r="C85" s="116"/>
      <c r="D85" s="116"/>
      <c r="E85" s="117"/>
      <c r="F85" s="443"/>
      <c r="G85" s="116"/>
      <c r="H85" s="118" t="str">
        <f>_xll.RssMarket("d7","現在値")</f>
        <v/>
      </c>
      <c r="I85" s="118" t="str" cm="1">
        <f t="array" ref="I85">_xll.RssMarket(B85, "出来高加重平均")</f>
        <v/>
      </c>
      <c r="J85" s="118" t="str" cm="1">
        <f t="array" ref="J85">_xll.RssMarket(B85, "前日比")</f>
        <v/>
      </c>
      <c r="K85" s="118" t="str">
        <f t="shared" si="25"/>
        <v/>
      </c>
      <c r="L85" s="119" t="str">
        <f t="shared" si="26"/>
        <v/>
      </c>
      <c r="M85" s="118" t="str">
        <f t="shared" si="27"/>
        <v/>
      </c>
      <c r="N85" s="118" t="str">
        <f t="shared" si="28"/>
        <v/>
      </c>
      <c r="O85" s="118" t="str">
        <f t="shared" si="29"/>
        <v/>
      </c>
      <c r="P85" s="118" t="str" cm="1">
        <f t="array" aca="1" ref="P85" ca="1">IF(B85="","",IFERROR(MAX(OFFSET(高値!$E$6,MATCH(TEXT(B85,"0"),TEXT(銘柄管理!$B$6:$B$305,"0"),0)-1,0,1,10)),""))</f>
        <v/>
      </c>
      <c r="Q85" s="118" t="str" cm="1">
        <f t="array" aca="1" ref="Q85" ca="1">IF(B85="","",IFERROR(MIN(OFFSET(安値!$E$6,MATCH(TEXT(B85,"0"),TEXT(銘柄管理!$B$6:$B$305,"0"),0)-1,0,1,10)),""))</f>
        <v/>
      </c>
      <c r="R85" s="118" t="str">
        <f t="shared" ca="1" si="30"/>
        <v/>
      </c>
      <c r="S85" s="526" t="str">
        <f t="shared" si="31"/>
        <v/>
      </c>
      <c r="T85" s="116"/>
      <c r="U85" s="116"/>
      <c r="V85" s="118" t="str">
        <f t="shared" si="32"/>
        <v/>
      </c>
      <c r="W85" s="121" t="str">
        <f t="shared" ca="1" si="23"/>
        <v/>
      </c>
      <c r="X85" s="116"/>
    </row>
    <row r="86" spans="1:24" ht="17.25">
      <c r="A86" s="425" t="str">
        <f t="shared" si="24"/>
        <v>株探</v>
      </c>
      <c r="B86" s="116"/>
      <c r="C86" s="116"/>
      <c r="D86" s="116"/>
      <c r="E86" s="117"/>
      <c r="F86" s="443"/>
      <c r="G86" s="116"/>
      <c r="H86" s="118" t="str">
        <f>_xll.RssMarket("d7","現在値")</f>
        <v/>
      </c>
      <c r="I86" s="118" t="str" cm="1">
        <f t="array" ref="I86">_xll.RssMarket(B86, "出来高加重平均")</f>
        <v/>
      </c>
      <c r="J86" s="118" t="str" cm="1">
        <f t="array" ref="J86">_xll.RssMarket(B86, "前日比")</f>
        <v/>
      </c>
      <c r="K86" s="118" t="str">
        <f t="shared" si="25"/>
        <v/>
      </c>
      <c r="L86" s="119" t="str">
        <f t="shared" si="26"/>
        <v/>
      </c>
      <c r="M86" s="118" t="str">
        <f t="shared" si="27"/>
        <v/>
      </c>
      <c r="N86" s="118" t="str">
        <f t="shared" si="28"/>
        <v/>
      </c>
      <c r="O86" s="118" t="str">
        <f t="shared" si="29"/>
        <v/>
      </c>
      <c r="P86" s="118" t="str" cm="1">
        <f t="array" aca="1" ref="P86" ca="1">IF(B86="","",IFERROR(MAX(OFFSET(高値!$E$6,MATCH(TEXT(B86,"0"),TEXT(銘柄管理!$B$6:$B$305,"0"),0)-1,0,1,10)),""))</f>
        <v/>
      </c>
      <c r="Q86" s="118" t="str" cm="1">
        <f t="array" aca="1" ref="Q86" ca="1">IF(B86="","",IFERROR(MIN(OFFSET(安値!$E$6,MATCH(TEXT(B86,"0"),TEXT(銘柄管理!$B$6:$B$305,"0"),0)-1,0,1,10)),""))</f>
        <v/>
      </c>
      <c r="R86" s="118" t="str">
        <f t="shared" ca="1" si="30"/>
        <v/>
      </c>
      <c r="S86" s="526" t="str">
        <f t="shared" si="31"/>
        <v/>
      </c>
      <c r="T86" s="116"/>
      <c r="U86" s="116"/>
      <c r="V86" s="118" t="str">
        <f t="shared" si="32"/>
        <v/>
      </c>
      <c r="W86" s="121" t="str">
        <f t="shared" ca="1" si="23"/>
        <v/>
      </c>
      <c r="X86" s="116"/>
    </row>
    <row r="87" spans="1:24" ht="17.25">
      <c r="A87" s="425" t="str">
        <f t="shared" si="24"/>
        <v>株探</v>
      </c>
      <c r="B87" s="116"/>
      <c r="C87" s="116"/>
      <c r="D87" s="116"/>
      <c r="E87" s="117"/>
      <c r="F87" s="443"/>
      <c r="G87" s="116"/>
      <c r="H87" s="118" t="str">
        <f>_xll.RssMarket("d7","現在値")</f>
        <v/>
      </c>
      <c r="I87" s="118" t="str" cm="1">
        <f t="array" ref="I87">_xll.RssMarket(B87, "出来高加重平均")</f>
        <v/>
      </c>
      <c r="J87" s="118" t="str" cm="1">
        <f t="array" ref="J87">_xll.RssMarket(B87, "前日比")</f>
        <v/>
      </c>
      <c r="K87" s="118" t="str">
        <f t="shared" si="25"/>
        <v/>
      </c>
      <c r="L87" s="119" t="str">
        <f t="shared" si="26"/>
        <v/>
      </c>
      <c r="M87" s="118" t="str">
        <f t="shared" si="27"/>
        <v/>
      </c>
      <c r="N87" s="118" t="str">
        <f t="shared" si="28"/>
        <v/>
      </c>
      <c r="O87" s="118" t="str">
        <f t="shared" si="29"/>
        <v/>
      </c>
      <c r="P87" s="118" t="str" cm="1">
        <f t="array" aca="1" ref="P87" ca="1">IF(B87="","",IFERROR(MAX(OFFSET(高値!$E$6,MATCH(TEXT(B87,"0"),TEXT(銘柄管理!$B$6:$B$305,"0"),0)-1,0,1,10)),""))</f>
        <v/>
      </c>
      <c r="Q87" s="118" t="str" cm="1">
        <f t="array" aca="1" ref="Q87" ca="1">IF(B87="","",IFERROR(MIN(OFFSET(安値!$E$6,MATCH(TEXT(B87,"0"),TEXT(銘柄管理!$B$6:$B$305,"0"),0)-1,0,1,10)),""))</f>
        <v/>
      </c>
      <c r="R87" s="118" t="str">
        <f t="shared" ca="1" si="30"/>
        <v/>
      </c>
      <c r="S87" s="526" t="str">
        <f t="shared" si="31"/>
        <v/>
      </c>
      <c r="T87" s="116"/>
      <c r="U87" s="116"/>
      <c r="V87" s="118" t="str">
        <f t="shared" si="32"/>
        <v/>
      </c>
      <c r="W87" s="121" t="str">
        <f t="shared" ca="1" si="23"/>
        <v/>
      </c>
      <c r="X87" s="116"/>
    </row>
    <row r="88" spans="1:24" ht="17.25">
      <c r="A88" s="425" t="str">
        <f t="shared" si="24"/>
        <v>株探</v>
      </c>
      <c r="B88" s="116"/>
      <c r="C88" s="116"/>
      <c r="D88" s="116"/>
      <c r="E88" s="117"/>
      <c r="F88" s="443"/>
      <c r="G88" s="116"/>
      <c r="H88" s="118" t="str">
        <f>_xll.RssMarket("d7","現在値")</f>
        <v/>
      </c>
      <c r="I88" s="118" t="str" cm="1">
        <f t="array" ref="I88">_xll.RssMarket(B88, "出来高加重平均")</f>
        <v/>
      </c>
      <c r="J88" s="118" t="str" cm="1">
        <f t="array" ref="J88">_xll.RssMarket(B88, "前日比")</f>
        <v/>
      </c>
      <c r="K88" s="118" t="str">
        <f t="shared" si="25"/>
        <v/>
      </c>
      <c r="L88" s="119" t="str">
        <f t="shared" si="26"/>
        <v/>
      </c>
      <c r="M88" s="118" t="str">
        <f t="shared" si="27"/>
        <v/>
      </c>
      <c r="N88" s="118" t="str">
        <f t="shared" si="28"/>
        <v/>
      </c>
      <c r="O88" s="118" t="str">
        <f t="shared" si="29"/>
        <v/>
      </c>
      <c r="P88" s="118" t="str" cm="1">
        <f t="array" aca="1" ref="P88" ca="1">IF(B88="","",IFERROR(MAX(OFFSET(高値!$E$6,MATCH(TEXT(B88,"0"),TEXT(銘柄管理!$B$6:$B$305,"0"),0)-1,0,1,10)),""))</f>
        <v/>
      </c>
      <c r="Q88" s="118" t="str" cm="1">
        <f t="array" aca="1" ref="Q88" ca="1">IF(B88="","",IFERROR(MIN(OFFSET(安値!$E$6,MATCH(TEXT(B88,"0"),TEXT(銘柄管理!$B$6:$B$305,"0"),0)-1,0,1,10)),""))</f>
        <v/>
      </c>
      <c r="R88" s="118" t="str">
        <f t="shared" ca="1" si="30"/>
        <v/>
      </c>
      <c r="S88" s="526" t="str">
        <f t="shared" si="31"/>
        <v/>
      </c>
      <c r="T88" s="116"/>
      <c r="U88" s="116"/>
      <c r="V88" s="118" t="str">
        <f t="shared" si="32"/>
        <v/>
      </c>
      <c r="W88" s="121" t="str">
        <f t="shared" ca="1" si="23"/>
        <v/>
      </c>
      <c r="X88" s="116"/>
    </row>
    <row r="89" spans="1:24" ht="17.25">
      <c r="A89" s="425" t="str">
        <f t="shared" si="24"/>
        <v>株探</v>
      </c>
      <c r="B89" s="116"/>
      <c r="C89" s="116"/>
      <c r="D89" s="116"/>
      <c r="E89" s="117"/>
      <c r="F89" s="443"/>
      <c r="G89" s="116"/>
      <c r="H89" s="118" t="str">
        <f>_xll.RssMarket("d7","現在値")</f>
        <v/>
      </c>
      <c r="I89" s="118" t="str" cm="1">
        <f t="array" ref="I89">_xll.RssMarket(B89, "出来高加重平均")</f>
        <v/>
      </c>
      <c r="J89" s="118" t="str" cm="1">
        <f t="array" ref="J89">_xll.RssMarket(B89, "前日比")</f>
        <v/>
      </c>
      <c r="K89" s="118" t="str">
        <f t="shared" si="25"/>
        <v/>
      </c>
      <c r="L89" s="119" t="str">
        <f t="shared" si="26"/>
        <v/>
      </c>
      <c r="M89" s="118" t="str">
        <f t="shared" si="27"/>
        <v/>
      </c>
      <c r="N89" s="118" t="str">
        <f t="shared" si="28"/>
        <v/>
      </c>
      <c r="O89" s="118" t="str">
        <f t="shared" si="29"/>
        <v/>
      </c>
      <c r="P89" s="118" t="str" cm="1">
        <f t="array" aca="1" ref="P89" ca="1">IF(B89="","",IFERROR(MAX(OFFSET(高値!$E$6,MATCH(TEXT(B89,"0"),TEXT(銘柄管理!$B$6:$B$305,"0"),0)-1,0,1,10)),""))</f>
        <v/>
      </c>
      <c r="Q89" s="118" t="str" cm="1">
        <f t="array" aca="1" ref="Q89" ca="1">IF(B89="","",IFERROR(MIN(OFFSET(安値!$E$6,MATCH(TEXT(B89,"0"),TEXT(銘柄管理!$B$6:$B$305,"0"),0)-1,0,1,10)),""))</f>
        <v/>
      </c>
      <c r="R89" s="118" t="str">
        <f t="shared" ca="1" si="30"/>
        <v/>
      </c>
      <c r="S89" s="526" t="str">
        <f t="shared" si="31"/>
        <v/>
      </c>
      <c r="T89" s="116"/>
      <c r="U89" s="116"/>
      <c r="V89" s="118" t="str">
        <f t="shared" si="32"/>
        <v/>
      </c>
      <c r="W89" s="121" t="str">
        <f t="shared" ca="1" si="23"/>
        <v/>
      </c>
      <c r="X89" s="116"/>
    </row>
    <row r="90" spans="1:24" ht="17.25">
      <c r="A90" s="425" t="str">
        <f t="shared" si="24"/>
        <v>株探</v>
      </c>
      <c r="B90" s="116"/>
      <c r="C90" s="116"/>
      <c r="D90" s="116"/>
      <c r="E90" s="117"/>
      <c r="F90" s="443"/>
      <c r="G90" s="116"/>
      <c r="H90" s="118" t="str">
        <f>_xll.RssMarket("d7","現在値")</f>
        <v/>
      </c>
      <c r="I90" s="118" t="str" cm="1">
        <f t="array" ref="I90">_xll.RssMarket(B90, "出来高加重平均")</f>
        <v/>
      </c>
      <c r="J90" s="118" t="str" cm="1">
        <f t="array" ref="J90">_xll.RssMarket(B90, "前日比")</f>
        <v/>
      </c>
      <c r="K90" s="118" t="str">
        <f t="shared" si="25"/>
        <v/>
      </c>
      <c r="L90" s="119" t="str">
        <f t="shared" si="26"/>
        <v/>
      </c>
      <c r="M90" s="118" t="str">
        <f t="shared" si="27"/>
        <v/>
      </c>
      <c r="N90" s="118" t="str">
        <f t="shared" si="28"/>
        <v/>
      </c>
      <c r="O90" s="118" t="str">
        <f t="shared" si="29"/>
        <v/>
      </c>
      <c r="P90" s="118" t="str" cm="1">
        <f t="array" aca="1" ref="P90" ca="1">IF(B90="","",IFERROR(MAX(OFFSET(高値!$E$6,MATCH(TEXT(B90,"0"),TEXT(銘柄管理!$B$6:$B$305,"0"),0)-1,0,1,10)),""))</f>
        <v/>
      </c>
      <c r="Q90" s="118" t="str" cm="1">
        <f t="array" aca="1" ref="Q90" ca="1">IF(B90="","",IFERROR(MIN(OFFSET(安値!$E$6,MATCH(TEXT(B90,"0"),TEXT(銘柄管理!$B$6:$B$305,"0"),0)-1,0,1,10)),""))</f>
        <v/>
      </c>
      <c r="R90" s="118" t="str">
        <f t="shared" ca="1" si="30"/>
        <v/>
      </c>
      <c r="S90" s="526" t="str">
        <f t="shared" si="31"/>
        <v/>
      </c>
      <c r="T90" s="116"/>
      <c r="U90" s="116"/>
      <c r="V90" s="118" t="str">
        <f t="shared" si="32"/>
        <v/>
      </c>
      <c r="W90" s="121" t="str">
        <f t="shared" ca="1" si="23"/>
        <v/>
      </c>
      <c r="X90" s="116"/>
    </row>
    <row r="91" spans="1:24" ht="17.25">
      <c r="A91" s="425" t="str">
        <f t="shared" si="24"/>
        <v>株探</v>
      </c>
      <c r="B91" s="116"/>
      <c r="C91" s="116"/>
      <c r="D91" s="116"/>
      <c r="E91" s="117"/>
      <c r="F91" s="443"/>
      <c r="G91" s="116"/>
      <c r="H91" s="118" t="str">
        <f>_xll.RssMarket("d7","現在値")</f>
        <v/>
      </c>
      <c r="I91" s="118" t="str" cm="1">
        <f t="array" ref="I91">_xll.RssMarket(B91, "出来高加重平均")</f>
        <v/>
      </c>
      <c r="J91" s="118" t="str" cm="1">
        <f t="array" ref="J91">_xll.RssMarket(B91, "前日比")</f>
        <v/>
      </c>
      <c r="K91" s="118" t="str">
        <f t="shared" si="25"/>
        <v/>
      </c>
      <c r="L91" s="119" t="str">
        <f t="shared" si="26"/>
        <v/>
      </c>
      <c r="M91" s="118" t="str">
        <f t="shared" si="27"/>
        <v/>
      </c>
      <c r="N91" s="118" t="str">
        <f t="shared" si="28"/>
        <v/>
      </c>
      <c r="O91" s="118" t="str">
        <f t="shared" si="29"/>
        <v/>
      </c>
      <c r="P91" s="118" t="str" cm="1">
        <f t="array" aca="1" ref="P91" ca="1">IF(B91="","",IFERROR(MAX(OFFSET(高値!$E$6,MATCH(TEXT(B91,"0"),TEXT(銘柄管理!$B$6:$B$305,"0"),0)-1,0,1,10)),""))</f>
        <v/>
      </c>
      <c r="Q91" s="118" t="str" cm="1">
        <f t="array" aca="1" ref="Q91" ca="1">IF(B91="","",IFERROR(MIN(OFFSET(安値!$E$6,MATCH(TEXT(B91,"0"),TEXT(銘柄管理!$B$6:$B$305,"0"),0)-1,0,1,10)),""))</f>
        <v/>
      </c>
      <c r="R91" s="118" t="str">
        <f t="shared" ca="1" si="30"/>
        <v/>
      </c>
      <c r="S91" s="526" t="str">
        <f t="shared" si="31"/>
        <v/>
      </c>
      <c r="T91" s="116"/>
      <c r="U91" s="116"/>
      <c r="V91" s="118" t="str">
        <f t="shared" si="32"/>
        <v/>
      </c>
      <c r="W91" s="121" t="str">
        <f t="shared" ca="1" si="23"/>
        <v/>
      </c>
      <c r="X91" s="116"/>
    </row>
    <row r="92" spans="1:24" ht="17.25">
      <c r="A92" s="425" t="str">
        <f t="shared" si="24"/>
        <v>株探</v>
      </c>
      <c r="B92" s="116"/>
      <c r="C92" s="116"/>
      <c r="D92" s="116"/>
      <c r="E92" s="117"/>
      <c r="F92" s="443"/>
      <c r="G92" s="116"/>
      <c r="H92" s="118" t="str">
        <f>_xll.RssMarket("d7","現在値")</f>
        <v/>
      </c>
      <c r="I92" s="118" t="str" cm="1">
        <f t="array" ref="I92">_xll.RssMarket(B92, "出来高加重平均")</f>
        <v/>
      </c>
      <c r="J92" s="118" t="str" cm="1">
        <f t="array" ref="J92">_xll.RssMarket(B92, "前日比")</f>
        <v/>
      </c>
      <c r="K92" s="118" t="str">
        <f t="shared" si="25"/>
        <v/>
      </c>
      <c r="L92" s="119" t="str">
        <f t="shared" si="26"/>
        <v/>
      </c>
      <c r="M92" s="118" t="str">
        <f t="shared" si="27"/>
        <v/>
      </c>
      <c r="N92" s="118" t="str">
        <f t="shared" si="28"/>
        <v/>
      </c>
      <c r="O92" s="118" t="str">
        <f t="shared" si="29"/>
        <v/>
      </c>
      <c r="P92" s="118" t="str" cm="1">
        <f t="array" aca="1" ref="P92" ca="1">IF(B92="","",IFERROR(MAX(OFFSET(高値!$E$6,MATCH(TEXT(B92,"0"),TEXT(銘柄管理!$B$6:$B$305,"0"),0)-1,0,1,10)),""))</f>
        <v/>
      </c>
      <c r="Q92" s="118" t="str" cm="1">
        <f t="array" aca="1" ref="Q92" ca="1">IF(B92="","",IFERROR(MIN(OFFSET(安値!$E$6,MATCH(TEXT(B92,"0"),TEXT(銘柄管理!$B$6:$B$305,"0"),0)-1,0,1,10)),""))</f>
        <v/>
      </c>
      <c r="R92" s="118" t="str">
        <f t="shared" ca="1" si="30"/>
        <v/>
      </c>
      <c r="S92" s="526" t="str">
        <f t="shared" si="31"/>
        <v/>
      </c>
      <c r="T92" s="116"/>
      <c r="U92" s="116"/>
      <c r="V92" s="118" t="str">
        <f t="shared" si="32"/>
        <v/>
      </c>
      <c r="W92" s="121" t="str">
        <f t="shared" ca="1" si="23"/>
        <v/>
      </c>
      <c r="X92" s="116"/>
    </row>
    <row r="93" spans="1:24" ht="17.25">
      <c r="A93" s="425" t="str">
        <f t="shared" si="24"/>
        <v>株探</v>
      </c>
      <c r="B93" s="116"/>
      <c r="C93" s="116"/>
      <c r="D93" s="116"/>
      <c r="E93" s="117"/>
      <c r="F93" s="443"/>
      <c r="G93" s="116"/>
      <c r="H93" s="118" t="str">
        <f>_xll.RssMarket("d7","現在値")</f>
        <v/>
      </c>
      <c r="I93" s="118" t="str" cm="1">
        <f t="array" ref="I93">_xll.RssMarket(B93, "出来高加重平均")</f>
        <v/>
      </c>
      <c r="J93" s="118" t="str" cm="1">
        <f t="array" ref="J93">_xll.RssMarket(B93, "前日比")</f>
        <v/>
      </c>
      <c r="K93" s="118" t="str">
        <f t="shared" si="25"/>
        <v/>
      </c>
      <c r="L93" s="119" t="str">
        <f t="shared" si="26"/>
        <v/>
      </c>
      <c r="M93" s="118" t="str">
        <f t="shared" si="27"/>
        <v/>
      </c>
      <c r="N93" s="118" t="str">
        <f t="shared" si="28"/>
        <v/>
      </c>
      <c r="O93" s="118" t="str">
        <f t="shared" si="29"/>
        <v/>
      </c>
      <c r="P93" s="118" t="str" cm="1">
        <f t="array" aca="1" ref="P93" ca="1">IF(B93="","",IFERROR(MAX(OFFSET(高値!$E$6,MATCH(TEXT(B93,"0"),TEXT(銘柄管理!$B$6:$B$305,"0"),0)-1,0,1,10)),""))</f>
        <v/>
      </c>
      <c r="Q93" s="118" t="str" cm="1">
        <f t="array" aca="1" ref="Q93" ca="1">IF(B93="","",IFERROR(MIN(OFFSET(安値!$E$6,MATCH(TEXT(B93,"0"),TEXT(銘柄管理!$B$6:$B$305,"0"),0)-1,0,1,10)),""))</f>
        <v/>
      </c>
      <c r="R93" s="118" t="str">
        <f t="shared" ca="1" si="30"/>
        <v/>
      </c>
      <c r="S93" s="526" t="str">
        <f t="shared" si="31"/>
        <v/>
      </c>
      <c r="T93" s="116"/>
      <c r="U93" s="116"/>
      <c r="V93" s="118" t="str">
        <f t="shared" si="32"/>
        <v/>
      </c>
      <c r="W93" s="121" t="str">
        <f t="shared" ca="1" si="23"/>
        <v/>
      </c>
      <c r="X93" s="116"/>
    </row>
    <row r="94" spans="1:24" ht="17.25">
      <c r="A94" s="425" t="str">
        <f t="shared" si="24"/>
        <v>株探</v>
      </c>
      <c r="B94" s="116"/>
      <c r="C94" s="116"/>
      <c r="D94" s="116"/>
      <c r="E94" s="117"/>
      <c r="F94" s="443"/>
      <c r="G94" s="116"/>
      <c r="H94" s="118" t="str">
        <f>_xll.RssMarket("d7","現在値")</f>
        <v/>
      </c>
      <c r="I94" s="118" t="str" cm="1">
        <f t="array" ref="I94">_xll.RssMarket(B94, "出来高加重平均")</f>
        <v/>
      </c>
      <c r="J94" s="118" t="str" cm="1">
        <f t="array" ref="J94">_xll.RssMarket(B94, "前日比")</f>
        <v/>
      </c>
      <c r="K94" s="118" t="str">
        <f t="shared" si="25"/>
        <v/>
      </c>
      <c r="L94" s="119" t="str">
        <f t="shared" si="26"/>
        <v/>
      </c>
      <c r="M94" s="118" t="str">
        <f t="shared" si="27"/>
        <v/>
      </c>
      <c r="N94" s="118" t="str">
        <f t="shared" si="28"/>
        <v/>
      </c>
      <c r="O94" s="118" t="str">
        <f t="shared" si="29"/>
        <v/>
      </c>
      <c r="P94" s="118" t="str" cm="1">
        <f t="array" aca="1" ref="P94" ca="1">IF(B94="","",IFERROR(MAX(OFFSET(高値!$E$6,MATCH(TEXT(B94,"0"),TEXT(銘柄管理!$B$6:$B$305,"0"),0)-1,0,1,10)),""))</f>
        <v/>
      </c>
      <c r="Q94" s="118" t="str" cm="1">
        <f t="array" aca="1" ref="Q94" ca="1">IF(B94="","",IFERROR(MIN(OFFSET(安値!$E$6,MATCH(TEXT(B94,"0"),TEXT(銘柄管理!$B$6:$B$305,"0"),0)-1,0,1,10)),""))</f>
        <v/>
      </c>
      <c r="R94" s="118" t="str">
        <f t="shared" ca="1" si="30"/>
        <v/>
      </c>
      <c r="S94" s="526" t="str">
        <f t="shared" si="31"/>
        <v/>
      </c>
      <c r="T94" s="116"/>
      <c r="U94" s="116"/>
      <c r="V94" s="118" t="str">
        <f t="shared" si="32"/>
        <v/>
      </c>
      <c r="W94" s="121" t="str">
        <f t="shared" ca="1" si="23"/>
        <v/>
      </c>
      <c r="X94" s="116"/>
    </row>
    <row r="95" spans="1:24" ht="17.25">
      <c r="A95" s="425" t="str">
        <f t="shared" si="24"/>
        <v>株探</v>
      </c>
      <c r="B95" s="116"/>
      <c r="C95" s="116"/>
      <c r="D95" s="116"/>
      <c r="E95" s="117"/>
      <c r="F95" s="443"/>
      <c r="G95" s="116"/>
      <c r="H95" s="118" t="str">
        <f>_xll.RssMarket("d7","現在値")</f>
        <v/>
      </c>
      <c r="I95" s="118" t="str" cm="1">
        <f t="array" ref="I95">_xll.RssMarket(B95, "出来高加重平均")</f>
        <v/>
      </c>
      <c r="J95" s="118" t="str" cm="1">
        <f t="array" ref="J95">_xll.RssMarket(B95, "前日比")</f>
        <v/>
      </c>
      <c r="K95" s="118" t="str">
        <f t="shared" si="25"/>
        <v/>
      </c>
      <c r="L95" s="119" t="str">
        <f t="shared" si="26"/>
        <v/>
      </c>
      <c r="M95" s="118" t="str">
        <f t="shared" si="27"/>
        <v/>
      </c>
      <c r="N95" s="118" t="str">
        <f t="shared" si="28"/>
        <v/>
      </c>
      <c r="O95" s="118" t="str">
        <f t="shared" si="29"/>
        <v/>
      </c>
      <c r="P95" s="118" t="str" cm="1">
        <f t="array" aca="1" ref="P95" ca="1">IF(B95="","",IFERROR(MAX(OFFSET(高値!$E$6,MATCH(TEXT(B95,"0"),TEXT(銘柄管理!$B$6:$B$305,"0"),0)-1,0,1,10)),""))</f>
        <v/>
      </c>
      <c r="Q95" s="118" t="str" cm="1">
        <f t="array" aca="1" ref="Q95" ca="1">IF(B95="","",IFERROR(MIN(OFFSET(安値!$E$6,MATCH(TEXT(B95,"0"),TEXT(銘柄管理!$B$6:$B$305,"0"),0)-1,0,1,10)),""))</f>
        <v/>
      </c>
      <c r="R95" s="118" t="str">
        <f t="shared" ca="1" si="30"/>
        <v/>
      </c>
      <c r="S95" s="526" t="str">
        <f t="shared" si="31"/>
        <v/>
      </c>
      <c r="T95" s="116"/>
      <c r="U95" s="116"/>
      <c r="V95" s="118" t="str">
        <f t="shared" si="32"/>
        <v/>
      </c>
      <c r="W95" s="121" t="str">
        <f t="shared" ca="1" si="23"/>
        <v/>
      </c>
      <c r="X95" s="116"/>
    </row>
    <row r="96" spans="1:24" ht="17.25">
      <c r="A96" s="425" t="str">
        <f t="shared" si="24"/>
        <v>株探</v>
      </c>
      <c r="B96" s="116"/>
      <c r="C96" s="116"/>
      <c r="D96" s="116"/>
      <c r="E96" s="117"/>
      <c r="F96" s="443"/>
      <c r="G96" s="116"/>
      <c r="H96" s="118" t="str">
        <f>_xll.RssMarket("d7","現在値")</f>
        <v/>
      </c>
      <c r="I96" s="118" t="str" cm="1">
        <f t="array" ref="I96">_xll.RssMarket(B96, "出来高加重平均")</f>
        <v/>
      </c>
      <c r="J96" s="118" t="str" cm="1">
        <f t="array" ref="J96">_xll.RssMarket(B96, "前日比")</f>
        <v/>
      </c>
      <c r="K96" s="118" t="str">
        <f t="shared" si="25"/>
        <v/>
      </c>
      <c r="L96" s="119" t="str">
        <f t="shared" si="26"/>
        <v/>
      </c>
      <c r="M96" s="118" t="str">
        <f t="shared" si="27"/>
        <v/>
      </c>
      <c r="N96" s="118" t="str">
        <f t="shared" si="28"/>
        <v/>
      </c>
      <c r="O96" s="118" t="str">
        <f t="shared" si="29"/>
        <v/>
      </c>
      <c r="P96" s="118" t="str" cm="1">
        <f t="array" aca="1" ref="P96" ca="1">IF(B96="","",IFERROR(MAX(OFFSET(高値!$E$6,MATCH(TEXT(B96,"0"),TEXT(銘柄管理!$B$6:$B$305,"0"),0)-1,0,1,10)),""))</f>
        <v/>
      </c>
      <c r="Q96" s="118" t="str" cm="1">
        <f t="array" aca="1" ref="Q96" ca="1">IF(B96="","",IFERROR(MIN(OFFSET(安値!$E$6,MATCH(TEXT(B96,"0"),TEXT(銘柄管理!$B$6:$B$305,"0"),0)-1,0,1,10)),""))</f>
        <v/>
      </c>
      <c r="R96" s="118" t="str">
        <f t="shared" ca="1" si="30"/>
        <v/>
      </c>
      <c r="S96" s="526" t="str">
        <f t="shared" si="31"/>
        <v/>
      </c>
      <c r="T96" s="116"/>
      <c r="U96" s="116"/>
      <c r="V96" s="118" t="str">
        <f t="shared" si="32"/>
        <v/>
      </c>
      <c r="W96" s="121" t="str">
        <f t="shared" ca="1" si="23"/>
        <v/>
      </c>
      <c r="X96" s="116"/>
    </row>
    <row r="97" spans="1:24" ht="17.25">
      <c r="A97" s="425" t="str">
        <f t="shared" si="24"/>
        <v>株探</v>
      </c>
      <c r="B97" s="116"/>
      <c r="C97" s="116"/>
      <c r="D97" s="116"/>
      <c r="E97" s="117"/>
      <c r="F97" s="443"/>
      <c r="G97" s="116"/>
      <c r="H97" s="118" t="str">
        <f>_xll.RssMarket("d7","現在値")</f>
        <v/>
      </c>
      <c r="I97" s="118" t="str" cm="1">
        <f t="array" ref="I97">_xll.RssMarket(B97, "出来高加重平均")</f>
        <v/>
      </c>
      <c r="J97" s="118" t="str" cm="1">
        <f t="array" ref="J97">_xll.RssMarket(B97, "前日比")</f>
        <v/>
      </c>
      <c r="K97" s="118" t="str">
        <f t="shared" si="25"/>
        <v/>
      </c>
      <c r="L97" s="119" t="str">
        <f t="shared" si="26"/>
        <v/>
      </c>
      <c r="M97" s="118" t="str">
        <f t="shared" si="27"/>
        <v/>
      </c>
      <c r="N97" s="118" t="str">
        <f t="shared" si="28"/>
        <v/>
      </c>
      <c r="O97" s="118" t="str">
        <f t="shared" si="29"/>
        <v/>
      </c>
      <c r="P97" s="118" t="str" cm="1">
        <f t="array" aca="1" ref="P97" ca="1">IF(B97="","",IFERROR(MAX(OFFSET(高値!$E$6,MATCH(TEXT(B97,"0"),TEXT(銘柄管理!$B$6:$B$305,"0"),0)-1,0,1,10)),""))</f>
        <v/>
      </c>
      <c r="Q97" s="118" t="str" cm="1">
        <f t="array" aca="1" ref="Q97" ca="1">IF(B97="","",IFERROR(MIN(OFFSET(安値!$E$6,MATCH(TEXT(B97,"0"),TEXT(銘柄管理!$B$6:$B$305,"0"),0)-1,0,1,10)),""))</f>
        <v/>
      </c>
      <c r="R97" s="118" t="str">
        <f t="shared" ca="1" si="30"/>
        <v/>
      </c>
      <c r="S97" s="526" t="str">
        <f t="shared" si="31"/>
        <v/>
      </c>
      <c r="T97" s="116"/>
      <c r="U97" s="116"/>
      <c r="V97" s="118" t="str">
        <f t="shared" si="32"/>
        <v/>
      </c>
      <c r="W97" s="121" t="str">
        <f t="shared" ca="1" si="23"/>
        <v/>
      </c>
      <c r="X97" s="116"/>
    </row>
    <row r="98" spans="1:24" ht="17.25">
      <c r="A98" s="425" t="str">
        <f t="shared" si="24"/>
        <v>株探</v>
      </c>
      <c r="B98" s="116"/>
      <c r="C98" s="116"/>
      <c r="D98" s="116"/>
      <c r="E98" s="117"/>
      <c r="F98" s="443"/>
      <c r="G98" s="116"/>
      <c r="H98" s="118" t="str">
        <f>_xll.RssMarket("d7","現在値")</f>
        <v/>
      </c>
      <c r="I98" s="118" t="str" cm="1">
        <f t="array" ref="I98">_xll.RssMarket(B98, "出来高加重平均")</f>
        <v/>
      </c>
      <c r="J98" s="118" t="str" cm="1">
        <f t="array" ref="J98">_xll.RssMarket(B98, "前日比")</f>
        <v/>
      </c>
      <c r="K98" s="118" t="str">
        <f t="shared" si="25"/>
        <v/>
      </c>
      <c r="L98" s="119" t="str">
        <f t="shared" si="26"/>
        <v/>
      </c>
      <c r="M98" s="118" t="str">
        <f t="shared" si="27"/>
        <v/>
      </c>
      <c r="N98" s="118" t="str">
        <f t="shared" si="28"/>
        <v/>
      </c>
      <c r="O98" s="118" t="str">
        <f t="shared" si="29"/>
        <v/>
      </c>
      <c r="P98" s="118" t="str" cm="1">
        <f t="array" aca="1" ref="P98" ca="1">IF(B98="","",IFERROR(MAX(OFFSET(高値!$E$6,MATCH(TEXT(B98,"0"),TEXT(銘柄管理!$B$6:$B$305,"0"),0)-1,0,1,10)),""))</f>
        <v/>
      </c>
      <c r="Q98" s="118" t="str" cm="1">
        <f t="array" aca="1" ref="Q98" ca="1">IF(B98="","",IFERROR(MIN(OFFSET(安値!$E$6,MATCH(TEXT(B98,"0"),TEXT(銘柄管理!$B$6:$B$305,"0"),0)-1,0,1,10)),""))</f>
        <v/>
      </c>
      <c r="R98" s="118" t="str">
        <f t="shared" ca="1" si="30"/>
        <v/>
      </c>
      <c r="S98" s="526" t="str">
        <f t="shared" si="31"/>
        <v/>
      </c>
      <c r="T98" s="116"/>
      <c r="U98" s="116"/>
      <c r="V98" s="118" t="str">
        <f t="shared" si="32"/>
        <v/>
      </c>
      <c r="W98" s="121" t="str">
        <f t="shared" ca="1" si="23"/>
        <v/>
      </c>
      <c r="X98" s="116"/>
    </row>
    <row r="99" spans="1:24" ht="17.25">
      <c r="A99" s="425" t="str">
        <f t="shared" si="24"/>
        <v>株探</v>
      </c>
      <c r="B99" s="116"/>
      <c r="C99" s="116"/>
      <c r="D99" s="116"/>
      <c r="E99" s="117"/>
      <c r="F99" s="443"/>
      <c r="G99" s="116"/>
      <c r="H99" s="118" t="str">
        <f>_xll.RssMarket("d7","現在値")</f>
        <v/>
      </c>
      <c r="I99" s="118" t="str" cm="1">
        <f t="array" ref="I99">_xll.RssMarket(B99, "出来高加重平均")</f>
        <v/>
      </c>
      <c r="J99" s="118" t="str" cm="1">
        <f t="array" ref="J99">_xll.RssMarket(B99, "前日比")</f>
        <v/>
      </c>
      <c r="K99" s="118" t="str">
        <f t="shared" si="25"/>
        <v/>
      </c>
      <c r="L99" s="119" t="str">
        <f t="shared" si="26"/>
        <v/>
      </c>
      <c r="M99" s="118" t="str">
        <f t="shared" si="27"/>
        <v/>
      </c>
      <c r="N99" s="118" t="str">
        <f t="shared" si="28"/>
        <v/>
      </c>
      <c r="O99" s="118" t="str">
        <f t="shared" si="29"/>
        <v/>
      </c>
      <c r="P99" s="118" t="str" cm="1">
        <f t="array" aca="1" ref="P99" ca="1">IF(B99="","",IFERROR(MAX(OFFSET(高値!$E$6,MATCH(TEXT(B99,"0"),TEXT(銘柄管理!$B$6:$B$305,"0"),0)-1,0,1,10)),""))</f>
        <v/>
      </c>
      <c r="Q99" s="118" t="str" cm="1">
        <f t="array" aca="1" ref="Q99" ca="1">IF(B99="","",IFERROR(MIN(OFFSET(安値!$E$6,MATCH(TEXT(B99,"0"),TEXT(銘柄管理!$B$6:$B$305,"0"),0)-1,0,1,10)),""))</f>
        <v/>
      </c>
      <c r="R99" s="118" t="str">
        <f t="shared" ca="1" si="30"/>
        <v/>
      </c>
      <c r="S99" s="526" t="str">
        <f t="shared" si="31"/>
        <v/>
      </c>
      <c r="T99" s="116"/>
      <c r="U99" s="116"/>
      <c r="V99" s="118" t="str">
        <f t="shared" si="32"/>
        <v/>
      </c>
      <c r="W99" s="121" t="str">
        <f t="shared" ca="1" si="23"/>
        <v/>
      </c>
      <c r="X99" s="116"/>
    </row>
    <row r="100" spans="1:24" ht="17.25">
      <c r="A100" s="425" t="str">
        <f t="shared" si="24"/>
        <v>株探</v>
      </c>
      <c r="B100" s="116"/>
      <c r="C100" s="116"/>
      <c r="D100" s="116"/>
      <c r="E100" s="117"/>
      <c r="F100" s="443"/>
      <c r="G100" s="116"/>
      <c r="H100" s="118" t="str">
        <f>_xll.RssMarket("d7","現在値")</f>
        <v/>
      </c>
      <c r="I100" s="118" t="str" cm="1">
        <f t="array" ref="I100">_xll.RssMarket(B100, "出来高加重平均")</f>
        <v/>
      </c>
      <c r="J100" s="118" t="str" cm="1">
        <f t="array" ref="J100">_xll.RssMarket(B100, "前日比")</f>
        <v/>
      </c>
      <c r="K100" s="118" t="str">
        <f t="shared" si="25"/>
        <v/>
      </c>
      <c r="L100" s="119" t="str">
        <f t="shared" si="26"/>
        <v/>
      </c>
      <c r="M100" s="118" t="str">
        <f t="shared" si="27"/>
        <v/>
      </c>
      <c r="N100" s="118" t="str">
        <f t="shared" si="28"/>
        <v/>
      </c>
      <c r="O100" s="118" t="str">
        <f t="shared" si="29"/>
        <v/>
      </c>
      <c r="P100" s="118" t="str" cm="1">
        <f t="array" aca="1" ref="P100" ca="1">IF(B100="","",IFERROR(MAX(OFFSET(高値!$E$6,MATCH(TEXT(B100,"0"),TEXT(銘柄管理!$B$6:$B$305,"0"),0)-1,0,1,10)),""))</f>
        <v/>
      </c>
      <c r="Q100" s="118" t="str" cm="1">
        <f t="array" aca="1" ref="Q100" ca="1">IF(B100="","",IFERROR(MIN(OFFSET(安値!$E$6,MATCH(TEXT(B100,"0"),TEXT(銘柄管理!$B$6:$B$305,"0"),0)-1,0,1,10)),""))</f>
        <v/>
      </c>
      <c r="R100" s="118" t="str">
        <f t="shared" ca="1" si="30"/>
        <v/>
      </c>
      <c r="S100" s="526" t="str">
        <f t="shared" si="31"/>
        <v/>
      </c>
      <c r="T100" s="116"/>
      <c r="U100" s="116"/>
      <c r="V100" s="118" t="str">
        <f t="shared" si="32"/>
        <v/>
      </c>
      <c r="W100" s="121" t="str">
        <f t="shared" ca="1" si="23"/>
        <v/>
      </c>
      <c r="X100" s="116"/>
    </row>
    <row r="101" spans="1:24" ht="17.25">
      <c r="A101" s="425" t="str">
        <f t="shared" si="24"/>
        <v>株探</v>
      </c>
      <c r="B101" s="116"/>
      <c r="C101" s="116"/>
      <c r="D101" s="116"/>
      <c r="E101" s="117"/>
      <c r="F101" s="443"/>
      <c r="G101" s="116"/>
      <c r="H101" s="118" t="str">
        <f>_xll.RssMarket("d7","現在値")</f>
        <v/>
      </c>
      <c r="I101" s="118" t="str" cm="1">
        <f t="array" ref="I101">_xll.RssMarket(B101, "出来高加重平均")</f>
        <v/>
      </c>
      <c r="J101" s="118" t="str" cm="1">
        <f t="array" ref="J101">_xll.RssMarket(B101, "前日比")</f>
        <v/>
      </c>
      <c r="K101" s="118" t="str">
        <f t="shared" si="25"/>
        <v/>
      </c>
      <c r="L101" s="119" t="str">
        <f t="shared" si="26"/>
        <v/>
      </c>
      <c r="M101" s="118" t="str">
        <f t="shared" si="27"/>
        <v/>
      </c>
      <c r="N101" s="118" t="str">
        <f t="shared" si="28"/>
        <v/>
      </c>
      <c r="O101" s="118" t="str">
        <f t="shared" si="29"/>
        <v/>
      </c>
      <c r="P101" s="118" t="str" cm="1">
        <f t="array" aca="1" ref="P101" ca="1">IF(B101="","",IFERROR(MAX(OFFSET(高値!$E$6,MATCH(TEXT(B101,"0"),TEXT(銘柄管理!$B$6:$B$305,"0"),0)-1,0,1,10)),""))</f>
        <v/>
      </c>
      <c r="Q101" s="118" t="str" cm="1">
        <f t="array" aca="1" ref="Q101" ca="1">IF(B101="","",IFERROR(MIN(OFFSET(安値!$E$6,MATCH(TEXT(B101,"0"),TEXT(銘柄管理!$B$6:$B$305,"0"),0)-1,0,1,10)),""))</f>
        <v/>
      </c>
      <c r="R101" s="118" t="str">
        <f t="shared" ca="1" si="30"/>
        <v/>
      </c>
      <c r="S101" s="526" t="str">
        <f t="shared" si="31"/>
        <v/>
      </c>
      <c r="T101" s="116"/>
      <c r="U101" s="116"/>
      <c r="V101" s="118" t="str">
        <f t="shared" si="32"/>
        <v/>
      </c>
      <c r="W101" s="121" t="str">
        <f t="shared" ca="1" si="23"/>
        <v/>
      </c>
      <c r="X101" s="116"/>
    </row>
    <row r="102" spans="1:24" ht="17.25">
      <c r="A102" s="425" t="str">
        <f t="shared" si="24"/>
        <v>株探</v>
      </c>
      <c r="B102" s="116"/>
      <c r="C102" s="116"/>
      <c r="D102" s="116"/>
      <c r="E102" s="117"/>
      <c r="F102" s="443"/>
      <c r="G102" s="116"/>
      <c r="H102" s="118" t="str">
        <f>_xll.RssMarket("d7","現在値")</f>
        <v/>
      </c>
      <c r="I102" s="118" t="str" cm="1">
        <f t="array" ref="I102">_xll.RssMarket(B102, "出来高加重平均")</f>
        <v/>
      </c>
      <c r="J102" s="118" t="str" cm="1">
        <f t="array" ref="J102">_xll.RssMarket(B102, "前日比")</f>
        <v/>
      </c>
      <c r="K102" s="118" t="str">
        <f t="shared" si="25"/>
        <v/>
      </c>
      <c r="L102" s="119" t="str">
        <f t="shared" si="26"/>
        <v/>
      </c>
      <c r="M102" s="118" t="str">
        <f t="shared" si="27"/>
        <v/>
      </c>
      <c r="N102" s="118" t="str">
        <f t="shared" si="28"/>
        <v/>
      </c>
      <c r="O102" s="118" t="str">
        <f t="shared" si="29"/>
        <v/>
      </c>
      <c r="P102" s="118" t="str" cm="1">
        <f t="array" aca="1" ref="P102" ca="1">IF(B102="","",IFERROR(MAX(OFFSET(高値!$E$6,MATCH(TEXT(B102,"0"),TEXT(銘柄管理!$B$6:$B$305,"0"),0)-1,0,1,10)),""))</f>
        <v/>
      </c>
      <c r="Q102" s="118" t="str" cm="1">
        <f t="array" aca="1" ref="Q102" ca="1">IF(B102="","",IFERROR(MIN(OFFSET(安値!$E$6,MATCH(TEXT(B102,"0"),TEXT(銘柄管理!$B$6:$B$305,"0"),0)-1,0,1,10)),""))</f>
        <v/>
      </c>
      <c r="R102" s="118" t="str">
        <f t="shared" ca="1" si="30"/>
        <v/>
      </c>
      <c r="S102" s="526" t="str">
        <f t="shared" si="31"/>
        <v/>
      </c>
      <c r="T102" s="116"/>
      <c r="U102" s="116"/>
      <c r="V102" s="118" t="str">
        <f t="shared" si="32"/>
        <v/>
      </c>
      <c r="W102" s="121" t="str">
        <f t="shared" ca="1" si="23"/>
        <v/>
      </c>
      <c r="X102" s="116"/>
    </row>
    <row r="103" spans="1:24" ht="17.25">
      <c r="A103" s="425" t="str">
        <f t="shared" si="24"/>
        <v>株探</v>
      </c>
      <c r="B103" s="116"/>
      <c r="C103" s="116"/>
      <c r="D103" s="116"/>
      <c r="E103" s="117"/>
      <c r="F103" s="443"/>
      <c r="G103" s="116"/>
      <c r="H103" s="118" t="str">
        <f>_xll.RssMarket("d7","現在値")</f>
        <v/>
      </c>
      <c r="I103" s="118" t="str" cm="1">
        <f t="array" ref="I103">_xll.RssMarket(B103, "出来高加重平均")</f>
        <v/>
      </c>
      <c r="J103" s="118" t="str" cm="1">
        <f t="array" ref="J103">_xll.RssMarket(B103, "前日比")</f>
        <v/>
      </c>
      <c r="K103" s="118" t="str">
        <f t="shared" si="25"/>
        <v/>
      </c>
      <c r="L103" s="119" t="str">
        <f t="shared" si="26"/>
        <v/>
      </c>
      <c r="M103" s="118" t="str">
        <f t="shared" si="27"/>
        <v/>
      </c>
      <c r="N103" s="118" t="str">
        <f t="shared" si="28"/>
        <v/>
      </c>
      <c r="O103" s="118" t="str">
        <f t="shared" si="29"/>
        <v/>
      </c>
      <c r="P103" s="118" t="str" cm="1">
        <f t="array" aca="1" ref="P103" ca="1">IF(B103="","",IFERROR(MAX(OFFSET(高値!$E$6,MATCH(TEXT(B103,"0"),TEXT(銘柄管理!$B$6:$B$305,"0"),0)-1,0,1,10)),""))</f>
        <v/>
      </c>
      <c r="Q103" s="118" t="str" cm="1">
        <f t="array" aca="1" ref="Q103" ca="1">IF(B103="","",IFERROR(MIN(OFFSET(安値!$E$6,MATCH(TEXT(B103,"0"),TEXT(銘柄管理!$B$6:$B$305,"0"),0)-1,0,1,10)),""))</f>
        <v/>
      </c>
      <c r="R103" s="118" t="str">
        <f t="shared" ca="1" si="30"/>
        <v/>
      </c>
      <c r="S103" s="526" t="str">
        <f t="shared" si="31"/>
        <v/>
      </c>
      <c r="T103" s="116"/>
      <c r="U103" s="116"/>
      <c r="V103" s="118" t="str">
        <f t="shared" si="32"/>
        <v/>
      </c>
      <c r="W103" s="121" t="str">
        <f t="shared" ca="1" si="23"/>
        <v/>
      </c>
      <c r="X103" s="116"/>
    </row>
    <row r="104" spans="1:24" ht="17.25">
      <c r="A104" s="425" t="str">
        <f t="shared" si="24"/>
        <v>株探</v>
      </c>
      <c r="B104" s="116"/>
      <c r="C104" s="116"/>
      <c r="D104" s="116"/>
      <c r="E104" s="117"/>
      <c r="F104" s="443"/>
      <c r="G104" s="116"/>
      <c r="H104" s="118" t="str">
        <f>_xll.RssMarket("d7","現在値")</f>
        <v/>
      </c>
      <c r="I104" s="118" t="str" cm="1">
        <f t="array" ref="I104">_xll.RssMarket(B104, "出来高加重平均")</f>
        <v/>
      </c>
      <c r="J104" s="118" t="str" cm="1">
        <f t="array" ref="J104">_xll.RssMarket(B104, "前日比")</f>
        <v/>
      </c>
      <c r="K104" s="118" t="str">
        <f t="shared" si="25"/>
        <v/>
      </c>
      <c r="L104" s="119" t="str">
        <f t="shared" si="26"/>
        <v/>
      </c>
      <c r="M104" s="118" t="str">
        <f t="shared" si="27"/>
        <v/>
      </c>
      <c r="N104" s="118" t="str">
        <f t="shared" si="28"/>
        <v/>
      </c>
      <c r="O104" s="118" t="str">
        <f t="shared" si="29"/>
        <v/>
      </c>
      <c r="P104" s="118" t="str" cm="1">
        <f t="array" aca="1" ref="P104" ca="1">IF(B104="","",IFERROR(MAX(OFFSET(高値!$E$6,MATCH(TEXT(B104,"0"),TEXT(銘柄管理!$B$6:$B$305,"0"),0)-1,0,1,10)),""))</f>
        <v/>
      </c>
      <c r="Q104" s="118" t="str" cm="1">
        <f t="array" aca="1" ref="Q104" ca="1">IF(B104="","",IFERROR(MIN(OFFSET(安値!$E$6,MATCH(TEXT(B104,"0"),TEXT(銘柄管理!$B$6:$B$305,"0"),0)-1,0,1,10)),""))</f>
        <v/>
      </c>
      <c r="R104" s="118" t="str">
        <f t="shared" ca="1" si="30"/>
        <v/>
      </c>
      <c r="S104" s="526" t="str">
        <f t="shared" si="31"/>
        <v/>
      </c>
      <c r="T104" s="116"/>
      <c r="U104" s="116"/>
      <c r="V104" s="118" t="str">
        <f t="shared" si="32"/>
        <v/>
      </c>
      <c r="W104" s="121" t="str">
        <f t="shared" ca="1" si="23"/>
        <v/>
      </c>
      <c r="X104" s="116"/>
    </row>
    <row r="105" spans="1:24" ht="17.25">
      <c r="A105" s="425" t="str">
        <f t="shared" si="24"/>
        <v>株探</v>
      </c>
      <c r="B105" s="116"/>
      <c r="C105" s="116"/>
      <c r="D105" s="116"/>
      <c r="E105" s="117"/>
      <c r="F105" s="443"/>
      <c r="G105" s="116"/>
      <c r="H105" s="118" t="str">
        <f>_xll.RssMarket("d7","現在値")</f>
        <v/>
      </c>
      <c r="I105" s="118" t="str" cm="1">
        <f t="array" ref="I105">_xll.RssMarket(B105, "出来高加重平均")</f>
        <v/>
      </c>
      <c r="J105" s="118" t="str" cm="1">
        <f t="array" ref="J105">_xll.RssMarket(B105, "前日比")</f>
        <v/>
      </c>
      <c r="K105" s="118" t="str">
        <f t="shared" si="25"/>
        <v/>
      </c>
      <c r="L105" s="119" t="str">
        <f t="shared" si="26"/>
        <v/>
      </c>
      <c r="M105" s="118" t="str">
        <f t="shared" si="27"/>
        <v/>
      </c>
      <c r="N105" s="118" t="str">
        <f t="shared" si="28"/>
        <v/>
      </c>
      <c r="O105" s="118" t="str">
        <f t="shared" si="29"/>
        <v/>
      </c>
      <c r="P105" s="118" t="str" cm="1">
        <f t="array" aca="1" ref="P105" ca="1">IF(B105="","",IFERROR(MAX(OFFSET(高値!$E$6,MATCH(TEXT(B105,"0"),TEXT(銘柄管理!$B$6:$B$305,"0"),0)-1,0,1,10)),""))</f>
        <v/>
      </c>
      <c r="Q105" s="118" t="str" cm="1">
        <f t="array" aca="1" ref="Q105" ca="1">IF(B105="","",IFERROR(MIN(OFFSET(安値!$E$6,MATCH(TEXT(B105,"0"),TEXT(銘柄管理!$B$6:$B$305,"0"),0)-1,0,1,10)),""))</f>
        <v/>
      </c>
      <c r="R105" s="118" t="str">
        <f t="shared" ca="1" si="30"/>
        <v/>
      </c>
      <c r="S105" s="526" t="str">
        <f t="shared" si="31"/>
        <v/>
      </c>
      <c r="T105" s="116"/>
      <c r="U105" s="116"/>
      <c r="V105" s="118" t="str">
        <f t="shared" si="32"/>
        <v/>
      </c>
      <c r="W105" s="121" t="str">
        <f t="shared" ca="1" si="23"/>
        <v/>
      </c>
      <c r="X105" s="116"/>
    </row>
    <row r="106" spans="1:24" ht="17.25">
      <c r="A106" s="425" t="str">
        <f t="shared" si="24"/>
        <v>株探</v>
      </c>
      <c r="B106" s="116"/>
      <c r="C106" s="116"/>
      <c r="D106" s="116"/>
      <c r="E106" s="117"/>
      <c r="F106" s="443"/>
      <c r="G106" s="116"/>
      <c r="H106" s="118" t="str">
        <f>_xll.RssMarket("d7","現在値")</f>
        <v/>
      </c>
      <c r="I106" s="118" t="str" cm="1">
        <f t="array" ref="I106">_xll.RssMarket(B106, "出来高加重平均")</f>
        <v/>
      </c>
      <c r="J106" s="118" t="str" cm="1">
        <f t="array" ref="J106">_xll.RssMarket(B106, "前日比")</f>
        <v/>
      </c>
      <c r="K106" s="118" t="str">
        <f t="shared" si="25"/>
        <v/>
      </c>
      <c r="L106" s="119" t="str">
        <f t="shared" si="26"/>
        <v/>
      </c>
      <c r="M106" s="118" t="str">
        <f t="shared" si="27"/>
        <v/>
      </c>
      <c r="N106" s="118" t="str">
        <f t="shared" si="28"/>
        <v/>
      </c>
      <c r="O106" s="118" t="str">
        <f t="shared" si="29"/>
        <v/>
      </c>
      <c r="P106" s="118" t="str" cm="1">
        <f t="array" aca="1" ref="P106" ca="1">IF(B106="","",IFERROR(MAX(OFFSET(高値!$E$6,MATCH(TEXT(B106,"0"),TEXT(銘柄管理!$B$6:$B$305,"0"),0)-1,0,1,10)),""))</f>
        <v/>
      </c>
      <c r="Q106" s="118" t="str" cm="1">
        <f t="array" aca="1" ref="Q106" ca="1">IF(B106="","",IFERROR(MIN(OFFSET(安値!$E$6,MATCH(TEXT(B106,"0"),TEXT(銘柄管理!$B$6:$B$305,"0"),0)-1,0,1,10)),""))</f>
        <v/>
      </c>
      <c r="R106" s="118" t="str">
        <f t="shared" ca="1" si="30"/>
        <v/>
      </c>
      <c r="S106" s="526" t="str">
        <f t="shared" si="31"/>
        <v/>
      </c>
      <c r="T106" s="116"/>
      <c r="U106" s="116"/>
      <c r="V106" s="118" t="str">
        <f t="shared" si="32"/>
        <v/>
      </c>
      <c r="W106" s="121" t="str">
        <f t="shared" ca="1" si="23"/>
        <v/>
      </c>
      <c r="X106" s="116"/>
    </row>
    <row r="107" spans="1:24" ht="17.25">
      <c r="A107" s="425" t="str">
        <f t="shared" si="24"/>
        <v>株探</v>
      </c>
      <c r="B107" s="116"/>
      <c r="C107" s="116"/>
      <c r="D107" s="116"/>
      <c r="E107" s="117"/>
      <c r="F107" s="443"/>
      <c r="G107" s="116"/>
      <c r="H107" s="118" t="str">
        <f>_xll.RssMarket("d7","現在値")</f>
        <v/>
      </c>
      <c r="I107" s="118" t="str" cm="1">
        <f t="array" ref="I107">_xll.RssMarket(B107, "出来高加重平均")</f>
        <v/>
      </c>
      <c r="J107" s="118" t="str" cm="1">
        <f t="array" ref="J107">_xll.RssMarket(B107, "前日比")</f>
        <v/>
      </c>
      <c r="K107" s="118" t="str">
        <f t="shared" si="25"/>
        <v/>
      </c>
      <c r="L107" s="119" t="str">
        <f t="shared" si="26"/>
        <v/>
      </c>
      <c r="M107" s="118" t="str">
        <f t="shared" si="27"/>
        <v/>
      </c>
      <c r="N107" s="118" t="str">
        <f t="shared" si="28"/>
        <v/>
      </c>
      <c r="O107" s="118" t="str">
        <f t="shared" si="29"/>
        <v/>
      </c>
      <c r="P107" s="118" t="str" cm="1">
        <f t="array" aca="1" ref="P107" ca="1">IF(B107="","",IFERROR(MAX(OFFSET(高値!$E$6,MATCH(TEXT(B107,"0"),TEXT(銘柄管理!$B$6:$B$305,"0"),0)-1,0,1,10)),""))</f>
        <v/>
      </c>
      <c r="Q107" s="118" t="str" cm="1">
        <f t="array" aca="1" ref="Q107" ca="1">IF(B107="","",IFERROR(MIN(OFFSET(安値!$E$6,MATCH(TEXT(B107,"0"),TEXT(銘柄管理!$B$6:$B$305,"0"),0)-1,0,1,10)),""))</f>
        <v/>
      </c>
      <c r="R107" s="118" t="str">
        <f t="shared" ca="1" si="30"/>
        <v/>
      </c>
      <c r="S107" s="526" t="str">
        <f t="shared" si="31"/>
        <v/>
      </c>
      <c r="T107" s="116"/>
      <c r="U107" s="116"/>
      <c r="V107" s="118" t="str">
        <f t="shared" si="32"/>
        <v/>
      </c>
      <c r="W107" s="121" t="str">
        <f t="shared" ca="1" si="23"/>
        <v/>
      </c>
      <c r="X107" s="116"/>
    </row>
    <row r="108" spans="1:24" ht="17.25">
      <c r="A108" s="425" t="str">
        <f t="shared" si="24"/>
        <v>株探</v>
      </c>
      <c r="B108" s="116"/>
      <c r="C108" s="116"/>
      <c r="D108" s="116"/>
      <c r="E108" s="117"/>
      <c r="F108" s="443"/>
      <c r="G108" s="116"/>
      <c r="H108" s="118" t="str">
        <f>_xll.RssMarket("d7","現在値")</f>
        <v/>
      </c>
      <c r="I108" s="118" t="str" cm="1">
        <f t="array" ref="I108">_xll.RssMarket(B108, "出来高加重平均")</f>
        <v/>
      </c>
      <c r="J108" s="118" t="str" cm="1">
        <f t="array" ref="J108">_xll.RssMarket(B108, "前日比")</f>
        <v/>
      </c>
      <c r="K108" s="118" t="str">
        <f t="shared" si="25"/>
        <v/>
      </c>
      <c r="L108" s="119" t="str">
        <f t="shared" si="26"/>
        <v/>
      </c>
      <c r="M108" s="118" t="str">
        <f t="shared" si="27"/>
        <v/>
      </c>
      <c r="N108" s="118" t="str">
        <f t="shared" si="28"/>
        <v/>
      </c>
      <c r="O108" s="118" t="str">
        <f t="shared" si="29"/>
        <v/>
      </c>
      <c r="P108" s="118" t="str" cm="1">
        <f t="array" aca="1" ref="P108" ca="1">IF(B108="","",IFERROR(MAX(OFFSET(高値!$E$6,MATCH(TEXT(B108,"0"),TEXT(銘柄管理!$B$6:$B$305,"0"),0)-1,0,1,10)),""))</f>
        <v/>
      </c>
      <c r="Q108" s="118" t="str" cm="1">
        <f t="array" aca="1" ref="Q108" ca="1">IF(B108="","",IFERROR(MIN(OFFSET(安値!$E$6,MATCH(TEXT(B108,"0"),TEXT(銘柄管理!$B$6:$B$305,"0"),0)-1,0,1,10)),""))</f>
        <v/>
      </c>
      <c r="R108" s="118" t="str">
        <f t="shared" ca="1" si="30"/>
        <v/>
      </c>
      <c r="S108" s="526" t="str">
        <f t="shared" si="31"/>
        <v/>
      </c>
      <c r="T108" s="116"/>
      <c r="U108" s="116"/>
      <c r="V108" s="118" t="str">
        <f t="shared" si="32"/>
        <v/>
      </c>
      <c r="W108" s="121" t="str">
        <f t="shared" ca="1" si="23"/>
        <v/>
      </c>
      <c r="X108" s="116"/>
    </row>
    <row r="109" spans="1:24" ht="17.25">
      <c r="A109" s="425" t="str">
        <f t="shared" si="24"/>
        <v>株探</v>
      </c>
      <c r="B109" s="116"/>
      <c r="C109" s="116"/>
      <c r="D109" s="116"/>
      <c r="E109" s="117"/>
      <c r="F109" s="443"/>
      <c r="G109" s="116"/>
      <c r="H109" s="118" t="str">
        <f>_xll.RssMarket("d7","現在値")</f>
        <v/>
      </c>
      <c r="I109" s="118" t="str" cm="1">
        <f t="array" ref="I109">_xll.RssMarket(B109, "出来高加重平均")</f>
        <v/>
      </c>
      <c r="J109" s="118" t="str" cm="1">
        <f t="array" ref="J109">_xll.RssMarket(B109, "前日比")</f>
        <v/>
      </c>
      <c r="K109" s="118" t="str">
        <f t="shared" si="25"/>
        <v/>
      </c>
      <c r="L109" s="119" t="str">
        <f t="shared" si="26"/>
        <v/>
      </c>
      <c r="M109" s="118" t="str">
        <f t="shared" si="27"/>
        <v/>
      </c>
      <c r="N109" s="118" t="str">
        <f t="shared" si="28"/>
        <v/>
      </c>
      <c r="O109" s="118" t="str">
        <f t="shared" si="29"/>
        <v/>
      </c>
      <c r="P109" s="118" t="str" cm="1">
        <f t="array" aca="1" ref="P109" ca="1">IF(B109="","",IFERROR(MAX(OFFSET(高値!$E$6,MATCH(TEXT(B109,"0"),TEXT(銘柄管理!$B$6:$B$305,"0"),0)-1,0,1,10)),""))</f>
        <v/>
      </c>
      <c r="Q109" s="118" t="str" cm="1">
        <f t="array" aca="1" ref="Q109" ca="1">IF(B109="","",IFERROR(MIN(OFFSET(安値!$E$6,MATCH(TEXT(B109,"0"),TEXT(銘柄管理!$B$6:$B$305,"0"),0)-1,0,1,10)),""))</f>
        <v/>
      </c>
      <c r="R109" s="118" t="str">
        <f t="shared" ca="1" si="30"/>
        <v/>
      </c>
      <c r="S109" s="526" t="str">
        <f t="shared" si="31"/>
        <v/>
      </c>
      <c r="T109" s="116"/>
      <c r="U109" s="116"/>
      <c r="V109" s="118" t="str">
        <f t="shared" si="32"/>
        <v/>
      </c>
      <c r="W109" s="121" t="str">
        <f t="shared" ca="1" si="23"/>
        <v/>
      </c>
      <c r="X109" s="116"/>
    </row>
    <row r="110" spans="1:24" ht="17.25">
      <c r="A110" s="425" t="str">
        <f t="shared" si="24"/>
        <v>株探</v>
      </c>
      <c r="B110" s="116"/>
      <c r="C110" s="116"/>
      <c r="D110" s="116"/>
      <c r="E110" s="117"/>
      <c r="F110" s="443"/>
      <c r="G110" s="116"/>
      <c r="H110" s="118" t="str">
        <f>_xll.RssMarket("d7","現在値")</f>
        <v/>
      </c>
      <c r="I110" s="118" t="str" cm="1">
        <f t="array" ref="I110">_xll.RssMarket(B110, "出来高加重平均")</f>
        <v/>
      </c>
      <c r="J110" s="118" t="str" cm="1">
        <f t="array" ref="J110">_xll.RssMarket(B110, "前日比")</f>
        <v/>
      </c>
      <c r="K110" s="118" t="str">
        <f t="shared" si="25"/>
        <v/>
      </c>
      <c r="L110" s="119" t="str">
        <f t="shared" si="26"/>
        <v/>
      </c>
      <c r="M110" s="118" t="str">
        <f t="shared" si="27"/>
        <v/>
      </c>
      <c r="N110" s="118" t="str">
        <f t="shared" si="28"/>
        <v/>
      </c>
      <c r="O110" s="118" t="str">
        <f t="shared" si="29"/>
        <v/>
      </c>
      <c r="P110" s="118" t="str" cm="1">
        <f t="array" aca="1" ref="P110" ca="1">IF(B110="","",IFERROR(MAX(OFFSET(高値!$E$6,MATCH(TEXT(B110,"0"),TEXT(銘柄管理!$B$6:$B$305,"0"),0)-1,0,1,10)),""))</f>
        <v/>
      </c>
      <c r="Q110" s="118" t="str" cm="1">
        <f t="array" aca="1" ref="Q110" ca="1">IF(B110="","",IFERROR(MIN(OFFSET(安値!$E$6,MATCH(TEXT(B110,"0"),TEXT(銘柄管理!$B$6:$B$305,"0"),0)-1,0,1,10)),""))</f>
        <v/>
      </c>
      <c r="R110" s="118" t="str">
        <f t="shared" ca="1" si="30"/>
        <v/>
      </c>
      <c r="S110" s="526" t="str">
        <f t="shared" si="31"/>
        <v/>
      </c>
      <c r="T110" s="116"/>
      <c r="U110" s="116"/>
      <c r="V110" s="118" t="str">
        <f t="shared" si="32"/>
        <v/>
      </c>
      <c r="W110" s="121" t="str">
        <f t="shared" ca="1" si="23"/>
        <v/>
      </c>
      <c r="X110" s="116"/>
    </row>
    <row r="111" spans="1:24" ht="17.25">
      <c r="A111" s="425" t="str">
        <f t="shared" si="24"/>
        <v>株探</v>
      </c>
      <c r="B111" s="116"/>
      <c r="C111" s="116"/>
      <c r="D111" s="116"/>
      <c r="E111" s="117"/>
      <c r="F111" s="443"/>
      <c r="G111" s="116"/>
      <c r="H111" s="118" t="str">
        <f>_xll.RssMarket("d7","現在値")</f>
        <v/>
      </c>
      <c r="I111" s="118" t="str" cm="1">
        <f t="array" ref="I111">_xll.RssMarket(B111, "出来高加重平均")</f>
        <v/>
      </c>
      <c r="J111" s="118" t="str" cm="1">
        <f t="array" ref="J111">_xll.RssMarket(B111, "前日比")</f>
        <v/>
      </c>
      <c r="K111" s="118" t="str">
        <f t="shared" si="25"/>
        <v/>
      </c>
      <c r="L111" s="119" t="str">
        <f t="shared" si="26"/>
        <v/>
      </c>
      <c r="M111" s="118" t="str">
        <f t="shared" si="27"/>
        <v/>
      </c>
      <c r="N111" s="118" t="str">
        <f t="shared" si="28"/>
        <v/>
      </c>
      <c r="O111" s="118" t="str">
        <f t="shared" si="29"/>
        <v/>
      </c>
      <c r="P111" s="118" t="str" cm="1">
        <f t="array" aca="1" ref="P111" ca="1">IF(B111="","",IFERROR(MAX(OFFSET(高値!$E$6,MATCH(TEXT(B111,"0"),TEXT(銘柄管理!$B$6:$B$305,"0"),0)-1,0,1,10)),""))</f>
        <v/>
      </c>
      <c r="Q111" s="118" t="str" cm="1">
        <f t="array" aca="1" ref="Q111" ca="1">IF(B111="","",IFERROR(MIN(OFFSET(安値!$E$6,MATCH(TEXT(B111,"0"),TEXT(銘柄管理!$B$6:$B$305,"0"),0)-1,0,1,10)),""))</f>
        <v/>
      </c>
      <c r="R111" s="118" t="str">
        <f t="shared" ca="1" si="30"/>
        <v/>
      </c>
      <c r="S111" s="526" t="str">
        <f t="shared" si="31"/>
        <v/>
      </c>
      <c r="T111" s="116"/>
      <c r="U111" s="116"/>
      <c r="V111" s="118" t="str">
        <f t="shared" si="32"/>
        <v/>
      </c>
      <c r="W111" s="121" t="str">
        <f t="shared" ca="1" si="23"/>
        <v/>
      </c>
      <c r="X111" s="116"/>
    </row>
    <row r="112" spans="1:24" ht="17.25">
      <c r="A112" s="425" t="str">
        <f t="shared" si="24"/>
        <v>株探</v>
      </c>
      <c r="B112" s="116"/>
      <c r="C112" s="116"/>
      <c r="D112" s="116"/>
      <c r="E112" s="117"/>
      <c r="F112" s="443"/>
      <c r="G112" s="116"/>
      <c r="H112" s="118" t="str">
        <f>_xll.RssMarket("d7","現在値")</f>
        <v/>
      </c>
      <c r="I112" s="118" t="str" cm="1">
        <f t="array" ref="I112">_xll.RssMarket(B112, "出来高加重平均")</f>
        <v/>
      </c>
      <c r="J112" s="118" t="str" cm="1">
        <f t="array" ref="J112">_xll.RssMarket(B112, "前日比")</f>
        <v/>
      </c>
      <c r="K112" s="118" t="str">
        <f t="shared" si="25"/>
        <v/>
      </c>
      <c r="L112" s="119" t="str">
        <f t="shared" si="26"/>
        <v/>
      </c>
      <c r="M112" s="118" t="str">
        <f t="shared" si="27"/>
        <v/>
      </c>
      <c r="N112" s="118" t="str">
        <f t="shared" si="28"/>
        <v/>
      </c>
      <c r="O112" s="118" t="str">
        <f t="shared" si="29"/>
        <v/>
      </c>
      <c r="P112" s="118" t="str" cm="1">
        <f t="array" aca="1" ref="P112" ca="1">IF(B112="","",IFERROR(MAX(OFFSET(高値!$E$6,MATCH(TEXT(B112,"0"),TEXT(銘柄管理!$B$6:$B$305,"0"),0)-1,0,1,10)),""))</f>
        <v/>
      </c>
      <c r="Q112" s="118" t="str" cm="1">
        <f t="array" aca="1" ref="Q112" ca="1">IF(B112="","",IFERROR(MIN(OFFSET(安値!$E$6,MATCH(TEXT(B112,"0"),TEXT(銘柄管理!$B$6:$B$305,"0"),0)-1,0,1,10)),""))</f>
        <v/>
      </c>
      <c r="R112" s="118" t="str">
        <f t="shared" ca="1" si="30"/>
        <v/>
      </c>
      <c r="S112" s="526" t="str">
        <f t="shared" si="31"/>
        <v/>
      </c>
      <c r="T112" s="116"/>
      <c r="U112" s="116"/>
      <c r="V112" s="118" t="str">
        <f t="shared" si="32"/>
        <v/>
      </c>
      <c r="W112" s="121" t="str">
        <f t="shared" ca="1" si="23"/>
        <v/>
      </c>
      <c r="X112" s="116"/>
    </row>
    <row r="113" spans="1:24" ht="17.25">
      <c r="A113" s="425" t="str">
        <f t="shared" si="24"/>
        <v>株探</v>
      </c>
      <c r="B113" s="116"/>
      <c r="C113" s="116"/>
      <c r="D113" s="116"/>
      <c r="E113" s="117"/>
      <c r="F113" s="443"/>
      <c r="G113" s="116"/>
      <c r="H113" s="118" t="str">
        <f>_xll.RssMarket("d7","現在値")</f>
        <v/>
      </c>
      <c r="I113" s="118" t="str" cm="1">
        <f t="array" ref="I113">_xll.RssMarket(B113, "出来高加重平均")</f>
        <v/>
      </c>
      <c r="J113" s="118" t="str" cm="1">
        <f t="array" ref="J113">_xll.RssMarket(B113, "前日比")</f>
        <v/>
      </c>
      <c r="K113" s="118" t="str">
        <f t="shared" si="25"/>
        <v/>
      </c>
      <c r="L113" s="119" t="str">
        <f t="shared" si="26"/>
        <v/>
      </c>
      <c r="M113" s="118" t="str">
        <f t="shared" si="27"/>
        <v/>
      </c>
      <c r="N113" s="118" t="str">
        <f t="shared" si="28"/>
        <v/>
      </c>
      <c r="O113" s="118" t="str">
        <f t="shared" si="29"/>
        <v/>
      </c>
      <c r="P113" s="118" t="str" cm="1">
        <f t="array" aca="1" ref="P113" ca="1">IF(B113="","",IFERROR(MAX(OFFSET(高値!$E$6,MATCH(TEXT(B113,"0"),TEXT(銘柄管理!$B$6:$B$305,"0"),0)-1,0,1,10)),""))</f>
        <v/>
      </c>
      <c r="Q113" s="118" t="str" cm="1">
        <f t="array" aca="1" ref="Q113" ca="1">IF(B113="","",IFERROR(MIN(OFFSET(安値!$E$6,MATCH(TEXT(B113,"0"),TEXT(銘柄管理!$B$6:$B$305,"0"),0)-1,0,1,10)),""))</f>
        <v/>
      </c>
      <c r="R113" s="118" t="str">
        <f t="shared" ca="1" si="30"/>
        <v/>
      </c>
      <c r="S113" s="526" t="str">
        <f t="shared" si="31"/>
        <v/>
      </c>
      <c r="T113" s="116"/>
      <c r="U113" s="116"/>
      <c r="V113" s="118" t="str">
        <f t="shared" si="32"/>
        <v/>
      </c>
      <c r="W113" s="121" t="str">
        <f t="shared" ca="1" si="23"/>
        <v/>
      </c>
      <c r="X113" s="116"/>
    </row>
    <row r="114" spans="1:24" ht="17.25">
      <c r="A114" s="425" t="str">
        <f t="shared" si="24"/>
        <v>株探</v>
      </c>
      <c r="B114" s="116"/>
      <c r="C114" s="116"/>
      <c r="D114" s="116"/>
      <c r="E114" s="117"/>
      <c r="F114" s="443"/>
      <c r="G114" s="116"/>
      <c r="H114" s="118" t="str">
        <f>_xll.RssMarket("d7","現在値")</f>
        <v/>
      </c>
      <c r="I114" s="118" t="str" cm="1">
        <f t="array" ref="I114">_xll.RssMarket(B114, "出来高加重平均")</f>
        <v/>
      </c>
      <c r="J114" s="118" t="str" cm="1">
        <f t="array" ref="J114">_xll.RssMarket(B114, "前日比")</f>
        <v/>
      </c>
      <c r="K114" s="118" t="str">
        <f t="shared" si="25"/>
        <v/>
      </c>
      <c r="L114" s="119" t="str">
        <f t="shared" si="26"/>
        <v/>
      </c>
      <c r="M114" s="118" t="str">
        <f t="shared" si="27"/>
        <v/>
      </c>
      <c r="N114" s="118" t="str">
        <f t="shared" si="28"/>
        <v/>
      </c>
      <c r="O114" s="118" t="str">
        <f t="shared" si="29"/>
        <v/>
      </c>
      <c r="P114" s="118" t="str" cm="1">
        <f t="array" aca="1" ref="P114" ca="1">IF(B114="","",IFERROR(MAX(OFFSET(高値!$E$6,MATCH(TEXT(B114,"0"),TEXT(銘柄管理!$B$6:$B$305,"0"),0)-1,0,1,10)),""))</f>
        <v/>
      </c>
      <c r="Q114" s="118" t="str" cm="1">
        <f t="array" aca="1" ref="Q114" ca="1">IF(B114="","",IFERROR(MIN(OFFSET(安値!$E$6,MATCH(TEXT(B114,"0"),TEXT(銘柄管理!$B$6:$B$305,"0"),0)-1,0,1,10)),""))</f>
        <v/>
      </c>
      <c r="R114" s="118" t="str">
        <f t="shared" ca="1" si="30"/>
        <v/>
      </c>
      <c r="S114" s="526" t="str">
        <f t="shared" si="31"/>
        <v/>
      </c>
      <c r="T114" s="116"/>
      <c r="U114" s="116"/>
      <c r="V114" s="118" t="str">
        <f t="shared" si="32"/>
        <v/>
      </c>
      <c r="W114" s="121" t="str">
        <f t="shared" ca="1" si="23"/>
        <v/>
      </c>
      <c r="X114" s="116"/>
    </row>
    <row r="115" spans="1:24" ht="17.25">
      <c r="A115" s="425" t="str">
        <f t="shared" si="24"/>
        <v>株探</v>
      </c>
      <c r="B115" s="116"/>
      <c r="C115" s="116"/>
      <c r="D115" s="116"/>
      <c r="E115" s="117"/>
      <c r="F115" s="443"/>
      <c r="G115" s="116"/>
      <c r="H115" s="118" t="str">
        <f>_xll.RssMarket("d7","現在値")</f>
        <v/>
      </c>
      <c r="I115" s="118" t="str" cm="1">
        <f t="array" ref="I115">_xll.RssMarket(B115, "出来高加重平均")</f>
        <v/>
      </c>
      <c r="J115" s="118" t="str" cm="1">
        <f t="array" ref="J115">_xll.RssMarket(B115, "前日比")</f>
        <v/>
      </c>
      <c r="K115" s="118" t="str">
        <f t="shared" si="25"/>
        <v/>
      </c>
      <c r="L115" s="119" t="str">
        <f t="shared" si="26"/>
        <v/>
      </c>
      <c r="M115" s="118" t="str">
        <f t="shared" si="27"/>
        <v/>
      </c>
      <c r="N115" s="118" t="str">
        <f t="shared" si="28"/>
        <v/>
      </c>
      <c r="O115" s="118" t="str">
        <f t="shared" si="29"/>
        <v/>
      </c>
      <c r="P115" s="118" t="str" cm="1">
        <f t="array" aca="1" ref="P115" ca="1">IF(B115="","",IFERROR(MAX(OFFSET(高値!$E$6,MATCH(TEXT(B115,"0"),TEXT(銘柄管理!$B$6:$B$305,"0"),0)-1,0,1,10)),""))</f>
        <v/>
      </c>
      <c r="Q115" s="118" t="str" cm="1">
        <f t="array" aca="1" ref="Q115" ca="1">IF(B115="","",IFERROR(MIN(OFFSET(安値!$E$6,MATCH(TEXT(B115,"0"),TEXT(銘柄管理!$B$6:$B$305,"0"),0)-1,0,1,10)),""))</f>
        <v/>
      </c>
      <c r="R115" s="118" t="str">
        <f t="shared" ca="1" si="30"/>
        <v/>
      </c>
      <c r="S115" s="526" t="str">
        <f t="shared" si="31"/>
        <v/>
      </c>
      <c r="T115" s="116"/>
      <c r="U115" s="116"/>
      <c r="V115" s="118" t="str">
        <f t="shared" si="32"/>
        <v/>
      </c>
      <c r="W115" s="121" t="str">
        <f t="shared" ca="1" si="23"/>
        <v/>
      </c>
      <c r="X115" s="116"/>
    </row>
    <row r="116" spans="1:24" ht="17.25">
      <c r="A116" s="425" t="str">
        <f t="shared" si="24"/>
        <v>株探</v>
      </c>
      <c r="B116" s="116"/>
      <c r="C116" s="116"/>
      <c r="D116" s="116"/>
      <c r="E116" s="117"/>
      <c r="F116" s="443"/>
      <c r="G116" s="116"/>
      <c r="H116" s="118" t="str">
        <f>_xll.RssMarket("d7","現在値")</f>
        <v/>
      </c>
      <c r="I116" s="118" t="str" cm="1">
        <f t="array" ref="I116">_xll.RssMarket(B116, "出来高加重平均")</f>
        <v/>
      </c>
      <c r="J116" s="118" t="str" cm="1">
        <f t="array" ref="J116">_xll.RssMarket(B116, "前日比")</f>
        <v/>
      </c>
      <c r="K116" s="118" t="str">
        <f t="shared" si="25"/>
        <v/>
      </c>
      <c r="L116" s="119" t="str">
        <f t="shared" si="26"/>
        <v/>
      </c>
      <c r="M116" s="118" t="str">
        <f t="shared" si="27"/>
        <v/>
      </c>
      <c r="N116" s="118" t="str">
        <f t="shared" si="28"/>
        <v/>
      </c>
      <c r="O116" s="118" t="str">
        <f t="shared" si="29"/>
        <v/>
      </c>
      <c r="P116" s="118" t="str" cm="1">
        <f t="array" aca="1" ref="P116" ca="1">IF(B116="","",IFERROR(MAX(OFFSET(高値!$E$6,MATCH(TEXT(B116,"0"),TEXT(銘柄管理!$B$6:$B$305,"0"),0)-1,0,1,10)),""))</f>
        <v/>
      </c>
      <c r="Q116" s="118" t="str" cm="1">
        <f t="array" aca="1" ref="Q116" ca="1">IF(B116="","",IFERROR(MIN(OFFSET(安値!$E$6,MATCH(TEXT(B116,"0"),TEXT(銘柄管理!$B$6:$B$305,"0"),0)-1,0,1,10)),""))</f>
        <v/>
      </c>
      <c r="R116" s="118" t="str">
        <f t="shared" ca="1" si="30"/>
        <v/>
      </c>
      <c r="S116" s="526" t="str">
        <f t="shared" si="31"/>
        <v/>
      </c>
      <c r="T116" s="116"/>
      <c r="U116" s="116"/>
      <c r="V116" s="118" t="str">
        <f t="shared" si="32"/>
        <v/>
      </c>
      <c r="W116" s="121" t="str">
        <f t="shared" ca="1" si="23"/>
        <v/>
      </c>
      <c r="X116" s="116"/>
    </row>
    <row r="117" spans="1:24" ht="17.25">
      <c r="A117" s="425" t="str">
        <f t="shared" si="24"/>
        <v>株探</v>
      </c>
      <c r="B117" s="116"/>
      <c r="C117" s="116"/>
      <c r="D117" s="116"/>
      <c r="E117" s="117"/>
      <c r="F117" s="443"/>
      <c r="G117" s="116"/>
      <c r="H117" s="118" t="str">
        <f>_xll.RssMarket("d7","現在値")</f>
        <v/>
      </c>
      <c r="I117" s="118" t="str" cm="1">
        <f t="array" ref="I117">_xll.RssMarket(B117, "出来高加重平均")</f>
        <v/>
      </c>
      <c r="J117" s="118" t="str" cm="1">
        <f t="array" ref="J117">_xll.RssMarket(B117, "前日比")</f>
        <v/>
      </c>
      <c r="K117" s="118" t="str">
        <f t="shared" si="25"/>
        <v/>
      </c>
      <c r="L117" s="119" t="str">
        <f t="shared" si="26"/>
        <v/>
      </c>
      <c r="M117" s="118" t="str">
        <f t="shared" si="27"/>
        <v/>
      </c>
      <c r="N117" s="118" t="str">
        <f t="shared" si="28"/>
        <v/>
      </c>
      <c r="O117" s="118" t="str">
        <f t="shared" si="29"/>
        <v/>
      </c>
      <c r="P117" s="118" t="str" cm="1">
        <f t="array" aca="1" ref="P117" ca="1">IF(B117="","",IFERROR(MAX(OFFSET(高値!$E$6,MATCH(TEXT(B117,"0"),TEXT(銘柄管理!$B$6:$B$305,"0"),0)-1,0,1,10)),""))</f>
        <v/>
      </c>
      <c r="Q117" s="118" t="str" cm="1">
        <f t="array" aca="1" ref="Q117" ca="1">IF(B117="","",IFERROR(MIN(OFFSET(安値!$E$6,MATCH(TEXT(B117,"0"),TEXT(銘柄管理!$B$6:$B$305,"0"),0)-1,0,1,10)),""))</f>
        <v/>
      </c>
      <c r="R117" s="118" t="str">
        <f t="shared" ca="1" si="30"/>
        <v/>
      </c>
      <c r="S117" s="526" t="str">
        <f t="shared" si="31"/>
        <v/>
      </c>
      <c r="T117" s="116"/>
      <c r="U117" s="116"/>
      <c r="V117" s="118" t="str">
        <f t="shared" si="32"/>
        <v/>
      </c>
      <c r="W117" s="121" t="str">
        <f t="shared" ca="1" si="23"/>
        <v/>
      </c>
      <c r="X117" s="116"/>
    </row>
    <row r="118" spans="1:24" ht="17.25">
      <c r="A118" s="425" t="str">
        <f t="shared" si="24"/>
        <v>株探</v>
      </c>
      <c r="B118" s="116"/>
      <c r="C118" s="116"/>
      <c r="D118" s="116"/>
      <c r="E118" s="117"/>
      <c r="F118" s="443"/>
      <c r="G118" s="116"/>
      <c r="H118" s="118" t="str">
        <f>_xll.RssMarket("d7","現在値")</f>
        <v/>
      </c>
      <c r="I118" s="118" t="str" cm="1">
        <f t="array" ref="I118">_xll.RssMarket(B118, "出来高加重平均")</f>
        <v/>
      </c>
      <c r="J118" s="118" t="str" cm="1">
        <f t="array" ref="J118">_xll.RssMarket(B118, "前日比")</f>
        <v/>
      </c>
      <c r="K118" s="118" t="str">
        <f t="shared" si="25"/>
        <v/>
      </c>
      <c r="L118" s="119" t="str">
        <f t="shared" si="26"/>
        <v/>
      </c>
      <c r="M118" s="118" t="str">
        <f t="shared" si="27"/>
        <v/>
      </c>
      <c r="N118" s="118" t="str">
        <f t="shared" si="28"/>
        <v/>
      </c>
      <c r="O118" s="118" t="str">
        <f t="shared" si="29"/>
        <v/>
      </c>
      <c r="P118" s="118" t="str" cm="1">
        <f t="array" aca="1" ref="P118" ca="1">IF(B118="","",IFERROR(MAX(OFFSET(高値!$E$6,MATCH(TEXT(B118,"0"),TEXT(銘柄管理!$B$6:$B$305,"0"),0)-1,0,1,10)),""))</f>
        <v/>
      </c>
      <c r="Q118" s="118" t="str" cm="1">
        <f t="array" aca="1" ref="Q118" ca="1">IF(B118="","",IFERROR(MIN(OFFSET(安値!$E$6,MATCH(TEXT(B118,"0"),TEXT(銘柄管理!$B$6:$B$305,"0"),0)-1,0,1,10)),""))</f>
        <v/>
      </c>
      <c r="R118" s="118" t="str">
        <f t="shared" ca="1" si="30"/>
        <v/>
      </c>
      <c r="S118" s="526" t="str">
        <f t="shared" si="31"/>
        <v/>
      </c>
      <c r="T118" s="116"/>
      <c r="U118" s="116"/>
      <c r="V118" s="118" t="str">
        <f t="shared" si="32"/>
        <v/>
      </c>
      <c r="W118" s="121" t="str">
        <f t="shared" ca="1" si="23"/>
        <v/>
      </c>
      <c r="X118" s="116"/>
    </row>
    <row r="119" spans="1:24" ht="17.25">
      <c r="A119" s="425" t="str">
        <f t="shared" si="24"/>
        <v>株探</v>
      </c>
      <c r="B119" s="116"/>
      <c r="C119" s="116"/>
      <c r="D119" s="116"/>
      <c r="E119" s="117"/>
      <c r="F119" s="443"/>
      <c r="G119" s="116"/>
      <c r="H119" s="118" t="str">
        <f>_xll.RssMarket("d7","現在値")</f>
        <v/>
      </c>
      <c r="I119" s="118" t="str" cm="1">
        <f t="array" ref="I119">_xll.RssMarket(B119, "出来高加重平均")</f>
        <v/>
      </c>
      <c r="J119" s="118" t="str" cm="1">
        <f t="array" ref="J119">_xll.RssMarket(B119, "前日比")</f>
        <v/>
      </c>
      <c r="K119" s="118" t="str">
        <f t="shared" si="25"/>
        <v/>
      </c>
      <c r="L119" s="119" t="str">
        <f t="shared" si="26"/>
        <v/>
      </c>
      <c r="M119" s="118" t="str">
        <f t="shared" si="27"/>
        <v/>
      </c>
      <c r="N119" s="118" t="str">
        <f t="shared" si="28"/>
        <v/>
      </c>
      <c r="O119" s="118" t="str">
        <f t="shared" si="29"/>
        <v/>
      </c>
      <c r="P119" s="118" t="str" cm="1">
        <f t="array" aca="1" ref="P119" ca="1">IF(B119="","",IFERROR(MAX(OFFSET(高値!$E$6,MATCH(TEXT(B119,"0"),TEXT(銘柄管理!$B$6:$B$305,"0"),0)-1,0,1,10)),""))</f>
        <v/>
      </c>
      <c r="Q119" s="118" t="str" cm="1">
        <f t="array" aca="1" ref="Q119" ca="1">IF(B119="","",IFERROR(MIN(OFFSET(安値!$E$6,MATCH(TEXT(B119,"0"),TEXT(銘柄管理!$B$6:$B$305,"0"),0)-1,0,1,10)),""))</f>
        <v/>
      </c>
      <c r="R119" s="118" t="str">
        <f t="shared" ca="1" si="30"/>
        <v/>
      </c>
      <c r="S119" s="526" t="str">
        <f t="shared" si="31"/>
        <v/>
      </c>
      <c r="T119" s="116"/>
      <c r="U119" s="116"/>
      <c r="V119" s="118" t="str">
        <f t="shared" si="32"/>
        <v/>
      </c>
      <c r="W119" s="121" t="str">
        <f t="shared" ca="1" si="23"/>
        <v/>
      </c>
      <c r="X119" s="116"/>
    </row>
    <row r="120" spans="1:24" ht="17.25">
      <c r="A120" s="425" t="str">
        <f t="shared" si="24"/>
        <v>株探</v>
      </c>
      <c r="B120" s="116"/>
      <c r="C120" s="116"/>
      <c r="D120" s="116"/>
      <c r="E120" s="117"/>
      <c r="F120" s="443"/>
      <c r="G120" s="116"/>
      <c r="H120" s="118" t="str">
        <f>_xll.RssMarket("d7","現在値")</f>
        <v/>
      </c>
      <c r="I120" s="118" t="str" cm="1">
        <f t="array" ref="I120">_xll.RssMarket(B120, "出来高加重平均")</f>
        <v/>
      </c>
      <c r="J120" s="118" t="str" cm="1">
        <f t="array" ref="J120">_xll.RssMarket(B120, "前日比")</f>
        <v/>
      </c>
      <c r="K120" s="118" t="str">
        <f t="shared" si="25"/>
        <v/>
      </c>
      <c r="L120" s="119" t="str">
        <f t="shared" si="26"/>
        <v/>
      </c>
      <c r="M120" s="118" t="str">
        <f t="shared" si="27"/>
        <v/>
      </c>
      <c r="N120" s="118" t="str">
        <f t="shared" si="28"/>
        <v/>
      </c>
      <c r="O120" s="118" t="str">
        <f t="shared" si="29"/>
        <v/>
      </c>
      <c r="P120" s="118" t="str" cm="1">
        <f t="array" aca="1" ref="P120" ca="1">IF(B120="","",IFERROR(MAX(OFFSET(高値!$E$6,MATCH(TEXT(B120,"0"),TEXT(銘柄管理!$B$6:$B$305,"0"),0)-1,0,1,10)),""))</f>
        <v/>
      </c>
      <c r="Q120" s="118" t="str" cm="1">
        <f t="array" aca="1" ref="Q120" ca="1">IF(B120="","",IFERROR(MIN(OFFSET(安値!$E$6,MATCH(TEXT(B120,"0"),TEXT(銘柄管理!$B$6:$B$305,"0"),0)-1,0,1,10)),""))</f>
        <v/>
      </c>
      <c r="R120" s="118" t="str">
        <f t="shared" ca="1" si="30"/>
        <v/>
      </c>
      <c r="S120" s="526" t="str">
        <f t="shared" si="31"/>
        <v/>
      </c>
      <c r="T120" s="116"/>
      <c r="U120" s="116"/>
      <c r="V120" s="118" t="str">
        <f t="shared" si="32"/>
        <v/>
      </c>
      <c r="W120" s="121" t="str">
        <f t="shared" ca="1" si="23"/>
        <v/>
      </c>
      <c r="X120" s="116"/>
    </row>
    <row r="121" spans="1:24" ht="17.25">
      <c r="A121" s="425" t="str">
        <f t="shared" si="24"/>
        <v>株探</v>
      </c>
      <c r="B121" s="116"/>
      <c r="C121" s="116"/>
      <c r="D121" s="116"/>
      <c r="E121" s="117"/>
      <c r="F121" s="443"/>
      <c r="G121" s="116"/>
      <c r="H121" s="118" t="str">
        <f>_xll.RssMarket("d7","現在値")</f>
        <v/>
      </c>
      <c r="I121" s="118" t="str" cm="1">
        <f t="array" ref="I121">_xll.RssMarket(B121, "出来高加重平均")</f>
        <v/>
      </c>
      <c r="J121" s="118" t="str" cm="1">
        <f t="array" ref="J121">_xll.RssMarket(B121, "前日比")</f>
        <v/>
      </c>
      <c r="K121" s="118" t="str">
        <f t="shared" si="25"/>
        <v/>
      </c>
      <c r="L121" s="119" t="str">
        <f t="shared" si="26"/>
        <v/>
      </c>
      <c r="M121" s="118" t="str">
        <f t="shared" si="27"/>
        <v/>
      </c>
      <c r="N121" s="118" t="str">
        <f t="shared" si="28"/>
        <v/>
      </c>
      <c r="O121" s="118" t="str">
        <f t="shared" si="29"/>
        <v/>
      </c>
      <c r="P121" s="118" t="str" cm="1">
        <f t="array" aca="1" ref="P121" ca="1">IF(B121="","",IFERROR(MAX(OFFSET(高値!$E$6,MATCH(TEXT(B121,"0"),TEXT(銘柄管理!$B$6:$B$305,"0"),0)-1,0,1,10)),""))</f>
        <v/>
      </c>
      <c r="Q121" s="118" t="str" cm="1">
        <f t="array" aca="1" ref="Q121" ca="1">IF(B121="","",IFERROR(MIN(OFFSET(安値!$E$6,MATCH(TEXT(B121,"0"),TEXT(銘柄管理!$B$6:$B$305,"0"),0)-1,0,1,10)),""))</f>
        <v/>
      </c>
      <c r="R121" s="118" t="str">
        <f t="shared" ca="1" si="30"/>
        <v/>
      </c>
      <c r="S121" s="526" t="str">
        <f t="shared" si="31"/>
        <v/>
      </c>
      <c r="T121" s="116"/>
      <c r="U121" s="116"/>
      <c r="V121" s="118" t="str">
        <f t="shared" si="32"/>
        <v/>
      </c>
      <c r="W121" s="121" t="str">
        <f t="shared" ca="1" si="23"/>
        <v/>
      </c>
      <c r="X121" s="116"/>
    </row>
    <row r="122" spans="1:24" ht="17.25">
      <c r="A122" s="425" t="str">
        <f t="shared" si="24"/>
        <v>株探</v>
      </c>
      <c r="B122" s="116"/>
      <c r="C122" s="116"/>
      <c r="D122" s="116"/>
      <c r="E122" s="117"/>
      <c r="F122" s="443"/>
      <c r="G122" s="116"/>
      <c r="H122" s="118" t="str">
        <f>_xll.RssMarket("d7","現在値")</f>
        <v/>
      </c>
      <c r="I122" s="118" t="str" cm="1">
        <f t="array" ref="I122">_xll.RssMarket(B122, "出来高加重平均")</f>
        <v/>
      </c>
      <c r="J122" s="118" t="str" cm="1">
        <f t="array" ref="J122">_xll.RssMarket(B122, "前日比")</f>
        <v/>
      </c>
      <c r="K122" s="118" t="str">
        <f t="shared" si="25"/>
        <v/>
      </c>
      <c r="L122" s="119" t="str">
        <f t="shared" si="26"/>
        <v/>
      </c>
      <c r="M122" s="118" t="str">
        <f t="shared" si="27"/>
        <v/>
      </c>
      <c r="N122" s="118" t="str">
        <f t="shared" si="28"/>
        <v/>
      </c>
      <c r="O122" s="118" t="str">
        <f t="shared" si="29"/>
        <v/>
      </c>
      <c r="P122" s="118" t="str" cm="1">
        <f t="array" aca="1" ref="P122" ca="1">IF(B122="","",IFERROR(MAX(OFFSET(高値!$E$6,MATCH(TEXT(B122,"0"),TEXT(銘柄管理!$B$6:$B$305,"0"),0)-1,0,1,10)),""))</f>
        <v/>
      </c>
      <c r="Q122" s="118" t="str" cm="1">
        <f t="array" aca="1" ref="Q122" ca="1">IF(B122="","",IFERROR(MIN(OFFSET(安値!$E$6,MATCH(TEXT(B122,"0"),TEXT(銘柄管理!$B$6:$B$305,"0"),0)-1,0,1,10)),""))</f>
        <v/>
      </c>
      <c r="R122" s="118" t="str">
        <f t="shared" ca="1" si="30"/>
        <v/>
      </c>
      <c r="S122" s="526" t="str">
        <f t="shared" si="31"/>
        <v/>
      </c>
      <c r="T122" s="116"/>
      <c r="U122" s="116"/>
      <c r="V122" s="118" t="str">
        <f t="shared" si="32"/>
        <v/>
      </c>
      <c r="W122" s="121" t="str">
        <f t="shared" ca="1" si="23"/>
        <v/>
      </c>
      <c r="X122" s="116"/>
    </row>
    <row r="123" spans="1:24" ht="17.25">
      <c r="A123" s="425" t="str">
        <f t="shared" si="24"/>
        <v>株探</v>
      </c>
      <c r="B123" s="116"/>
      <c r="C123" s="116"/>
      <c r="D123" s="116"/>
      <c r="E123" s="117"/>
      <c r="F123" s="443"/>
      <c r="G123" s="116"/>
      <c r="H123" s="118" t="str">
        <f>_xll.RssMarket("d7","現在値")</f>
        <v/>
      </c>
      <c r="I123" s="118" t="str" cm="1">
        <f t="array" ref="I123">_xll.RssMarket(B123, "出来高加重平均")</f>
        <v/>
      </c>
      <c r="J123" s="118" t="str" cm="1">
        <f t="array" ref="J123">_xll.RssMarket(B123, "前日比")</f>
        <v/>
      </c>
      <c r="K123" s="118" t="str">
        <f t="shared" si="25"/>
        <v/>
      </c>
      <c r="L123" s="119" t="str">
        <f t="shared" si="26"/>
        <v/>
      </c>
      <c r="M123" s="118" t="str">
        <f t="shared" si="27"/>
        <v/>
      </c>
      <c r="N123" s="118" t="str">
        <f t="shared" si="28"/>
        <v/>
      </c>
      <c r="O123" s="118" t="str">
        <f t="shared" si="29"/>
        <v/>
      </c>
      <c r="P123" s="118" t="str" cm="1">
        <f t="array" aca="1" ref="P123" ca="1">IF(B123="","",IFERROR(MAX(OFFSET(高値!$E$6,MATCH(TEXT(B123,"0"),TEXT(銘柄管理!$B$6:$B$305,"0"),0)-1,0,1,10)),""))</f>
        <v/>
      </c>
      <c r="Q123" s="118" t="str" cm="1">
        <f t="array" aca="1" ref="Q123" ca="1">IF(B123="","",IFERROR(MIN(OFFSET(安値!$E$6,MATCH(TEXT(B123,"0"),TEXT(銘柄管理!$B$6:$B$305,"0"),0)-1,0,1,10)),""))</f>
        <v/>
      </c>
      <c r="R123" s="118" t="str">
        <f t="shared" ca="1" si="30"/>
        <v/>
      </c>
      <c r="S123" s="526" t="str">
        <f t="shared" si="31"/>
        <v/>
      </c>
      <c r="T123" s="116"/>
      <c r="U123" s="116"/>
      <c r="V123" s="118" t="str">
        <f t="shared" si="32"/>
        <v/>
      </c>
      <c r="W123" s="121" t="str">
        <f t="shared" ca="1" si="23"/>
        <v/>
      </c>
      <c r="X123" s="116"/>
    </row>
    <row r="124" spans="1:24" ht="17.25">
      <c r="A124" s="425" t="str">
        <f t="shared" si="24"/>
        <v>株探</v>
      </c>
      <c r="B124" s="116"/>
      <c r="C124" s="116"/>
      <c r="D124" s="116"/>
      <c r="E124" s="117"/>
      <c r="F124" s="443"/>
      <c r="G124" s="116"/>
      <c r="H124" s="118" t="str">
        <f>_xll.RssMarket("d7","現在値")</f>
        <v/>
      </c>
      <c r="I124" s="118" t="str" cm="1">
        <f t="array" ref="I124">_xll.RssMarket(B124, "出来高加重平均")</f>
        <v/>
      </c>
      <c r="J124" s="118" t="str" cm="1">
        <f t="array" ref="J124">_xll.RssMarket(B124, "前日比")</f>
        <v/>
      </c>
      <c r="K124" s="118" t="str">
        <f t="shared" si="25"/>
        <v/>
      </c>
      <c r="L124" s="119" t="str">
        <f t="shared" si="26"/>
        <v/>
      </c>
      <c r="M124" s="118" t="str">
        <f t="shared" si="27"/>
        <v/>
      </c>
      <c r="N124" s="118" t="str">
        <f t="shared" si="28"/>
        <v/>
      </c>
      <c r="O124" s="118" t="str">
        <f t="shared" si="29"/>
        <v/>
      </c>
      <c r="P124" s="118" t="str" cm="1">
        <f t="array" aca="1" ref="P124" ca="1">IF(B124="","",IFERROR(MAX(OFFSET(高値!$E$6,MATCH(TEXT(B124,"0"),TEXT(銘柄管理!$B$6:$B$305,"0"),0)-1,0,1,10)),""))</f>
        <v/>
      </c>
      <c r="Q124" s="118" t="str" cm="1">
        <f t="array" aca="1" ref="Q124" ca="1">IF(B124="","",IFERROR(MIN(OFFSET(安値!$E$6,MATCH(TEXT(B124,"0"),TEXT(銘柄管理!$B$6:$B$305,"0"),0)-1,0,1,10)),""))</f>
        <v/>
      </c>
      <c r="R124" s="118" t="str">
        <f t="shared" ca="1" si="30"/>
        <v/>
      </c>
      <c r="S124" s="526" t="str">
        <f t="shared" si="31"/>
        <v/>
      </c>
      <c r="T124" s="116"/>
      <c r="U124" s="116"/>
      <c r="V124" s="118" t="str">
        <f t="shared" si="32"/>
        <v/>
      </c>
      <c r="W124" s="121" t="str">
        <f t="shared" ca="1" si="23"/>
        <v/>
      </c>
      <c r="X124" s="116"/>
    </row>
    <row r="125" spans="1:24" ht="17.25">
      <c r="A125" s="425" t="str">
        <f t="shared" si="24"/>
        <v>株探</v>
      </c>
      <c r="B125" s="116"/>
      <c r="C125" s="116"/>
      <c r="D125" s="116"/>
      <c r="E125" s="117"/>
      <c r="F125" s="443"/>
      <c r="G125" s="116"/>
      <c r="H125" s="118" t="str">
        <f>_xll.RssMarket("d7","現在値")</f>
        <v/>
      </c>
      <c r="I125" s="118" t="str" cm="1">
        <f t="array" ref="I125">_xll.RssMarket(B125, "出来高加重平均")</f>
        <v/>
      </c>
      <c r="J125" s="118" t="str" cm="1">
        <f t="array" ref="J125">_xll.RssMarket(B125, "前日比")</f>
        <v/>
      </c>
      <c r="K125" s="118" t="str">
        <f t="shared" si="25"/>
        <v/>
      </c>
      <c r="L125" s="119" t="str">
        <f t="shared" si="26"/>
        <v/>
      </c>
      <c r="M125" s="118" t="str">
        <f t="shared" si="27"/>
        <v/>
      </c>
      <c r="N125" s="118" t="str">
        <f t="shared" si="28"/>
        <v/>
      </c>
      <c r="O125" s="118" t="str">
        <f t="shared" si="29"/>
        <v/>
      </c>
      <c r="P125" s="118" t="str" cm="1">
        <f t="array" aca="1" ref="P125" ca="1">IF(B125="","",IFERROR(MAX(OFFSET(高値!$E$6,MATCH(TEXT(B125,"0"),TEXT(銘柄管理!$B$6:$B$305,"0"),0)-1,0,1,10)),""))</f>
        <v/>
      </c>
      <c r="Q125" s="118" t="str" cm="1">
        <f t="array" aca="1" ref="Q125" ca="1">IF(B125="","",IFERROR(MIN(OFFSET(安値!$E$6,MATCH(TEXT(B125,"0"),TEXT(銘柄管理!$B$6:$B$305,"0"),0)-1,0,1,10)),""))</f>
        <v/>
      </c>
      <c r="R125" s="118" t="str">
        <f t="shared" ca="1" si="30"/>
        <v/>
      </c>
      <c r="S125" s="526" t="str">
        <f t="shared" si="31"/>
        <v/>
      </c>
      <c r="T125" s="116"/>
      <c r="U125" s="116"/>
      <c r="V125" s="118" t="str">
        <f t="shared" si="32"/>
        <v/>
      </c>
      <c r="W125" s="121" t="str">
        <f t="shared" ca="1" si="23"/>
        <v/>
      </c>
      <c r="X125" s="116"/>
    </row>
    <row r="126" spans="1:24" ht="17.25">
      <c r="A126" s="425" t="str">
        <f t="shared" si="24"/>
        <v>株探</v>
      </c>
      <c r="B126" s="116"/>
      <c r="C126" s="116"/>
      <c r="D126" s="116"/>
      <c r="E126" s="117"/>
      <c r="F126" s="443"/>
      <c r="G126" s="116"/>
      <c r="H126" s="118" t="str">
        <f>_xll.RssMarket("d7","現在値")</f>
        <v/>
      </c>
      <c r="I126" s="118" t="str" cm="1">
        <f t="array" ref="I126">_xll.RssMarket(B126, "出来高加重平均")</f>
        <v/>
      </c>
      <c r="J126" s="118" t="str" cm="1">
        <f t="array" ref="J126">_xll.RssMarket(B126, "前日比")</f>
        <v/>
      </c>
      <c r="K126" s="118" t="str">
        <f t="shared" si="25"/>
        <v/>
      </c>
      <c r="L126" s="119" t="str">
        <f t="shared" si="26"/>
        <v/>
      </c>
      <c r="M126" s="118" t="str">
        <f t="shared" si="27"/>
        <v/>
      </c>
      <c r="N126" s="118" t="str">
        <f t="shared" si="28"/>
        <v/>
      </c>
      <c r="O126" s="118" t="str">
        <f t="shared" si="29"/>
        <v/>
      </c>
      <c r="P126" s="118" t="str" cm="1">
        <f t="array" aca="1" ref="P126" ca="1">IF(B126="","",IFERROR(MAX(OFFSET(高値!$E$6,MATCH(TEXT(B126,"0"),TEXT(銘柄管理!$B$6:$B$305,"0"),0)-1,0,1,10)),""))</f>
        <v/>
      </c>
      <c r="Q126" s="118" t="str" cm="1">
        <f t="array" aca="1" ref="Q126" ca="1">IF(B126="","",IFERROR(MIN(OFFSET(安値!$E$6,MATCH(TEXT(B126,"0"),TEXT(銘柄管理!$B$6:$B$305,"0"),0)-1,0,1,10)),""))</f>
        <v/>
      </c>
      <c r="R126" s="118" t="str">
        <f t="shared" ca="1" si="30"/>
        <v/>
      </c>
      <c r="S126" s="526" t="str">
        <f t="shared" si="31"/>
        <v/>
      </c>
      <c r="T126" s="116"/>
      <c r="U126" s="116"/>
      <c r="V126" s="118" t="str">
        <f t="shared" si="32"/>
        <v/>
      </c>
      <c r="W126" s="121" t="str">
        <f t="shared" ca="1" si="23"/>
        <v/>
      </c>
      <c r="X126" s="116"/>
    </row>
    <row r="127" spans="1:24" ht="17.25">
      <c r="A127" s="425" t="str">
        <f t="shared" si="24"/>
        <v>株探</v>
      </c>
      <c r="B127" s="116"/>
      <c r="C127" s="116"/>
      <c r="D127" s="116"/>
      <c r="E127" s="117"/>
      <c r="F127" s="443"/>
      <c r="G127" s="116"/>
      <c r="H127" s="118" t="str">
        <f>_xll.RssMarket("d7","現在値")</f>
        <v/>
      </c>
      <c r="I127" s="118" t="str" cm="1">
        <f t="array" ref="I127">_xll.RssMarket(B127, "出来高加重平均")</f>
        <v/>
      </c>
      <c r="J127" s="118" t="str" cm="1">
        <f t="array" ref="J127">_xll.RssMarket(B127, "前日比")</f>
        <v/>
      </c>
      <c r="K127" s="118" t="str">
        <f t="shared" si="25"/>
        <v/>
      </c>
      <c r="L127" s="119" t="str">
        <f t="shared" si="26"/>
        <v/>
      </c>
      <c r="M127" s="118" t="str">
        <f t="shared" si="27"/>
        <v/>
      </c>
      <c r="N127" s="118" t="str">
        <f t="shared" si="28"/>
        <v/>
      </c>
      <c r="O127" s="118" t="str">
        <f t="shared" si="29"/>
        <v/>
      </c>
      <c r="P127" s="118" t="str" cm="1">
        <f t="array" aca="1" ref="P127" ca="1">IF(B127="","",IFERROR(MAX(OFFSET(高値!$E$6,MATCH(TEXT(B127,"0"),TEXT(銘柄管理!$B$6:$B$305,"0"),0)-1,0,1,10)),""))</f>
        <v/>
      </c>
      <c r="Q127" s="118" t="str" cm="1">
        <f t="array" aca="1" ref="Q127" ca="1">IF(B127="","",IFERROR(MIN(OFFSET(安値!$E$6,MATCH(TEXT(B127,"0"),TEXT(銘柄管理!$B$6:$B$305,"0"),0)-1,0,1,10)),""))</f>
        <v/>
      </c>
      <c r="R127" s="118" t="str">
        <f t="shared" ca="1" si="30"/>
        <v/>
      </c>
      <c r="S127" s="526" t="str">
        <f t="shared" si="31"/>
        <v/>
      </c>
      <c r="T127" s="116"/>
      <c r="U127" s="116"/>
      <c r="V127" s="118" t="str">
        <f t="shared" si="32"/>
        <v/>
      </c>
      <c r="W127" s="121" t="str">
        <f t="shared" ca="1" si="23"/>
        <v/>
      </c>
      <c r="X127" s="116"/>
    </row>
    <row r="128" spans="1:24" ht="17.25">
      <c r="A128" s="425" t="str">
        <f t="shared" si="24"/>
        <v>株探</v>
      </c>
      <c r="B128" s="116"/>
      <c r="C128" s="116"/>
      <c r="D128" s="116"/>
      <c r="E128" s="117"/>
      <c r="F128" s="443"/>
      <c r="G128" s="116"/>
      <c r="H128" s="118" t="str">
        <f>_xll.RssMarket("d7","現在値")</f>
        <v/>
      </c>
      <c r="I128" s="118" t="str" cm="1">
        <f t="array" ref="I128">_xll.RssMarket(B128, "出来高加重平均")</f>
        <v/>
      </c>
      <c r="J128" s="118" t="str" cm="1">
        <f t="array" ref="J128">_xll.RssMarket(B128, "前日比")</f>
        <v/>
      </c>
      <c r="K128" s="118" t="str">
        <f t="shared" si="25"/>
        <v/>
      </c>
      <c r="L128" s="119" t="str">
        <f t="shared" si="26"/>
        <v/>
      </c>
      <c r="M128" s="118" t="str">
        <f t="shared" si="27"/>
        <v/>
      </c>
      <c r="N128" s="118" t="str">
        <f t="shared" si="28"/>
        <v/>
      </c>
      <c r="O128" s="118" t="str">
        <f t="shared" si="29"/>
        <v/>
      </c>
      <c r="P128" s="118" t="str" cm="1">
        <f t="array" aca="1" ref="P128" ca="1">IF(B128="","",IFERROR(MAX(OFFSET(高値!$E$6,MATCH(TEXT(B128,"0"),TEXT(銘柄管理!$B$6:$B$305,"0"),0)-1,0,1,10)),""))</f>
        <v/>
      </c>
      <c r="Q128" s="118" t="str" cm="1">
        <f t="array" aca="1" ref="Q128" ca="1">IF(B128="","",IFERROR(MIN(OFFSET(安値!$E$6,MATCH(TEXT(B128,"0"),TEXT(銘柄管理!$B$6:$B$305,"0"),0)-1,0,1,10)),""))</f>
        <v/>
      </c>
      <c r="R128" s="118" t="str">
        <f t="shared" ca="1" si="30"/>
        <v/>
      </c>
      <c r="S128" s="526" t="str">
        <f t="shared" si="31"/>
        <v/>
      </c>
      <c r="T128" s="116"/>
      <c r="U128" s="116"/>
      <c r="V128" s="118" t="str">
        <f t="shared" si="32"/>
        <v/>
      </c>
      <c r="W128" s="121" t="str">
        <f t="shared" ca="1" si="23"/>
        <v/>
      </c>
      <c r="X128" s="116"/>
    </row>
    <row r="129" spans="1:24" ht="17.25">
      <c r="A129" s="425" t="str">
        <f t="shared" si="24"/>
        <v>株探</v>
      </c>
      <c r="B129" s="116"/>
      <c r="C129" s="116"/>
      <c r="D129" s="116"/>
      <c r="E129" s="117"/>
      <c r="F129" s="443"/>
      <c r="G129" s="116"/>
      <c r="H129" s="118" t="str">
        <f>_xll.RssMarket("d7","現在値")</f>
        <v/>
      </c>
      <c r="I129" s="118" t="str" cm="1">
        <f t="array" ref="I129">_xll.RssMarket(B129, "出来高加重平均")</f>
        <v/>
      </c>
      <c r="J129" s="118" t="str" cm="1">
        <f t="array" ref="J129">_xll.RssMarket(B129, "前日比")</f>
        <v/>
      </c>
      <c r="K129" s="118" t="str">
        <f t="shared" ref="K129:K192" si="33">IF(OR(F129="",G129="",H129=""),"",(H129-F129)*G129)</f>
        <v/>
      </c>
      <c r="L129" s="119" t="str">
        <f t="shared" ref="L129:L192" si="34">IF(OR(F129="",H129=""),"",(H129-F129)/F129)</f>
        <v/>
      </c>
      <c r="M129" s="118" t="str">
        <f t="shared" ref="M129:M192" si="35">IF(F129="","",F129*1.07)</f>
        <v/>
      </c>
      <c r="N129" s="118" t="str">
        <f t="shared" ref="N129:N192" si="36">IF(F129="","",F129*0.96)</f>
        <v/>
      </c>
      <c r="O129" s="118" t="str">
        <f t="shared" ref="O129:O192" si="37">IF(B129="","",IF(H129="","保有中",IF(H129&gt;=M129,"🟢利確推奨",IF(H129&gt;=F129*1.06,"🟡利確&amp;TR STOP検討",IF(H129&lt;=N129,"🔴損切推奨",IF(H129&lt;=F129*0.965,"🔴損切間近",IF(H129&lt;=F129*0.97,"⚠️-3%注意",IF(H129&lt;=F129*0.96,"🟡STOP推奨","保持継続"))))))))</f>
        <v/>
      </c>
      <c r="P129" s="118" t="str" cm="1">
        <f t="array" aca="1" ref="P129" ca="1">IF(B129="","",IFERROR(MAX(OFFSET(高値!$E$6,MATCH(TEXT(B129,"0"),TEXT(銘柄管理!$B$6:$B$305,"0"),0)-1,0,1,10)),""))</f>
        <v/>
      </c>
      <c r="Q129" s="118" t="str" cm="1">
        <f t="array" aca="1" ref="Q129" ca="1">IF(B129="","",IFERROR(MIN(OFFSET(安値!$E$6,MATCH(TEXT(B129,"0"),TEXT(銘柄管理!$B$6:$B$305,"0"),0)-1,0,1,10)),""))</f>
        <v/>
      </c>
      <c r="R129" s="118" t="str">
        <f t="shared" ref="R129:R192" ca="1" si="38">IF(P129="","",ROUND(P129*0.97,0))</f>
        <v/>
      </c>
      <c r="S129" s="526" t="str">
        <f t="shared" ref="S129:S192" si="39">IF(B129="","",IF(T129&lt;&gt;"","?売却済",IF(H129="","?保有中",IF(H129&gt;=M129,"??利確推奨",IF(H129&lt;=N129,"??損切推奨",IF(H129&lt;=R129,"??STOP推奨","?保有中"))))))</f>
        <v/>
      </c>
      <c r="T129" s="116"/>
      <c r="U129" s="116"/>
      <c r="V129" s="118" t="str">
        <f t="shared" ref="V129:V192" si="40">IF(OR(F129="",G129="",U129=""),"",(U129-F129)*G129)</f>
        <v/>
      </c>
      <c r="W129" s="121" t="str">
        <f t="shared" ref="W129:W172" ca="1" si="41">IF(OR(E129="",B129=""),"",IF(T129&lt;&gt;"",T129-E129,TODAY()-E129))</f>
        <v/>
      </c>
      <c r="X129" s="116"/>
    </row>
    <row r="130" spans="1:24" ht="17.25">
      <c r="A130" s="425" t="str">
        <f t="shared" si="24"/>
        <v>株探</v>
      </c>
      <c r="B130" s="116"/>
      <c r="C130" s="116"/>
      <c r="D130" s="116"/>
      <c r="E130" s="117"/>
      <c r="F130" s="443"/>
      <c r="G130" s="116"/>
      <c r="H130" s="118" t="str">
        <f>_xll.RssMarket("d7","現在値")</f>
        <v/>
      </c>
      <c r="I130" s="118" t="str" cm="1">
        <f t="array" ref="I130">_xll.RssMarket(B130, "出来高加重平均")</f>
        <v/>
      </c>
      <c r="J130" s="118" t="str" cm="1">
        <f t="array" ref="J130">_xll.RssMarket(B130, "前日比")</f>
        <v/>
      </c>
      <c r="K130" s="118" t="str">
        <f t="shared" si="33"/>
        <v/>
      </c>
      <c r="L130" s="119" t="str">
        <f t="shared" si="34"/>
        <v/>
      </c>
      <c r="M130" s="118" t="str">
        <f t="shared" si="35"/>
        <v/>
      </c>
      <c r="N130" s="118" t="str">
        <f t="shared" si="36"/>
        <v/>
      </c>
      <c r="O130" s="118" t="str">
        <f t="shared" si="37"/>
        <v/>
      </c>
      <c r="P130" s="118" t="str" cm="1">
        <f t="array" aca="1" ref="P130" ca="1">IF(B130="","",IFERROR(MAX(OFFSET(高値!$E$6,MATCH(TEXT(B130,"0"),TEXT(銘柄管理!$B$6:$B$305,"0"),0)-1,0,1,10)),""))</f>
        <v/>
      </c>
      <c r="Q130" s="118" t="str" cm="1">
        <f t="array" aca="1" ref="Q130" ca="1">IF(B130="","",IFERROR(MIN(OFFSET(安値!$E$6,MATCH(TEXT(B130,"0"),TEXT(銘柄管理!$B$6:$B$305,"0"),0)-1,0,1,10)),""))</f>
        <v/>
      </c>
      <c r="R130" s="118" t="str">
        <f t="shared" ca="1" si="38"/>
        <v/>
      </c>
      <c r="S130" s="526" t="str">
        <f t="shared" si="39"/>
        <v/>
      </c>
      <c r="T130" s="116"/>
      <c r="U130" s="116"/>
      <c r="V130" s="118" t="str">
        <f t="shared" si="40"/>
        <v/>
      </c>
      <c r="W130" s="121" t="str">
        <f t="shared" ca="1" si="41"/>
        <v/>
      </c>
      <c r="X130" s="116"/>
    </row>
    <row r="131" spans="1:24" ht="17.25">
      <c r="A131" s="425" t="str">
        <f t="shared" si="24"/>
        <v>株探</v>
      </c>
      <c r="B131" s="116"/>
      <c r="C131" s="116"/>
      <c r="D131" s="116"/>
      <c r="E131" s="117"/>
      <c r="F131" s="443"/>
      <c r="G131" s="116"/>
      <c r="H131" s="118" t="str">
        <f>_xll.RssMarket("d7","現在値")</f>
        <v/>
      </c>
      <c r="I131" s="118" t="str" cm="1">
        <f t="array" ref="I131">_xll.RssMarket(B131, "出来高加重平均")</f>
        <v/>
      </c>
      <c r="J131" s="118" t="str" cm="1">
        <f t="array" ref="J131">_xll.RssMarket(B131, "前日比")</f>
        <v/>
      </c>
      <c r="K131" s="118" t="str">
        <f t="shared" si="33"/>
        <v/>
      </c>
      <c r="L131" s="119" t="str">
        <f t="shared" si="34"/>
        <v/>
      </c>
      <c r="M131" s="118" t="str">
        <f t="shared" si="35"/>
        <v/>
      </c>
      <c r="N131" s="118" t="str">
        <f t="shared" si="36"/>
        <v/>
      </c>
      <c r="O131" s="118" t="str">
        <f t="shared" si="37"/>
        <v/>
      </c>
      <c r="P131" s="118" t="str" cm="1">
        <f t="array" aca="1" ref="P131" ca="1">IF(B131="","",IFERROR(MAX(OFFSET(高値!$E$6,MATCH(TEXT(B131,"0"),TEXT(銘柄管理!$B$6:$B$305,"0"),0)-1,0,1,10)),""))</f>
        <v/>
      </c>
      <c r="Q131" s="118" t="str" cm="1">
        <f t="array" aca="1" ref="Q131" ca="1">IF(B131="","",IFERROR(MIN(OFFSET(安値!$E$6,MATCH(TEXT(B131,"0"),TEXT(銘柄管理!$B$6:$B$305,"0"),0)-1,0,1,10)),""))</f>
        <v/>
      </c>
      <c r="R131" s="118" t="str">
        <f t="shared" ca="1" si="38"/>
        <v/>
      </c>
      <c r="S131" s="526" t="str">
        <f t="shared" si="39"/>
        <v/>
      </c>
      <c r="T131" s="116"/>
      <c r="U131" s="116"/>
      <c r="V131" s="118" t="str">
        <f t="shared" si="40"/>
        <v/>
      </c>
      <c r="W131" s="121" t="str">
        <f t="shared" ca="1" si="41"/>
        <v/>
      </c>
      <c r="X131" s="116"/>
    </row>
    <row r="132" spans="1:24" ht="17.25">
      <c r="A132" s="425" t="str">
        <f t="shared" si="24"/>
        <v>株探</v>
      </c>
      <c r="B132" s="116"/>
      <c r="C132" s="116"/>
      <c r="D132" s="116"/>
      <c r="E132" s="117"/>
      <c r="F132" s="443"/>
      <c r="G132" s="116"/>
      <c r="H132" s="118" t="str">
        <f>_xll.RssMarket("d7","現在値")</f>
        <v/>
      </c>
      <c r="I132" s="118" t="str" cm="1">
        <f t="array" ref="I132">_xll.RssMarket(B132, "出来高加重平均")</f>
        <v/>
      </c>
      <c r="J132" s="118" t="str" cm="1">
        <f t="array" ref="J132">_xll.RssMarket(B132, "前日比")</f>
        <v/>
      </c>
      <c r="K132" s="118" t="str">
        <f t="shared" si="33"/>
        <v/>
      </c>
      <c r="L132" s="119" t="str">
        <f t="shared" si="34"/>
        <v/>
      </c>
      <c r="M132" s="118" t="str">
        <f t="shared" si="35"/>
        <v/>
      </c>
      <c r="N132" s="118" t="str">
        <f t="shared" si="36"/>
        <v/>
      </c>
      <c r="O132" s="118" t="str">
        <f t="shared" si="37"/>
        <v/>
      </c>
      <c r="P132" s="118" t="str" cm="1">
        <f t="array" aca="1" ref="P132" ca="1">IF(B132="","",IFERROR(MAX(OFFSET(高値!$E$6,MATCH(TEXT(B132,"0"),TEXT(銘柄管理!$B$6:$B$305,"0"),0)-1,0,1,10)),""))</f>
        <v/>
      </c>
      <c r="Q132" s="118" t="str" cm="1">
        <f t="array" aca="1" ref="Q132" ca="1">IF(B132="","",IFERROR(MIN(OFFSET(安値!$E$6,MATCH(TEXT(B132,"0"),TEXT(銘柄管理!$B$6:$B$305,"0"),0)-1,0,1,10)),""))</f>
        <v/>
      </c>
      <c r="R132" s="118" t="str">
        <f t="shared" ca="1" si="38"/>
        <v/>
      </c>
      <c r="S132" s="526" t="str">
        <f t="shared" si="39"/>
        <v/>
      </c>
      <c r="T132" s="116"/>
      <c r="U132" s="116"/>
      <c r="V132" s="118" t="str">
        <f t="shared" si="40"/>
        <v/>
      </c>
      <c r="W132" s="121" t="str">
        <f t="shared" ca="1" si="41"/>
        <v/>
      </c>
      <c r="X132" s="116"/>
    </row>
    <row r="133" spans="1:24" ht="17.25">
      <c r="A133" s="425" t="str">
        <f t="shared" ref="A133:A196" si="42">HYPERLINK("https://kabutan.jp/stock/?code="&amp;TEXT(B133,"0000"),"株探")</f>
        <v>株探</v>
      </c>
      <c r="B133" s="116"/>
      <c r="C133" s="116"/>
      <c r="D133" s="116"/>
      <c r="E133" s="117"/>
      <c r="F133" s="443"/>
      <c r="G133" s="116"/>
      <c r="H133" s="118" t="str">
        <f>_xll.RssMarket("d7","現在値")</f>
        <v/>
      </c>
      <c r="I133" s="118" t="str" cm="1">
        <f t="array" ref="I133">_xll.RssMarket(B133, "出来高加重平均")</f>
        <v/>
      </c>
      <c r="J133" s="118" t="str" cm="1">
        <f t="array" ref="J133">_xll.RssMarket(B133, "前日比")</f>
        <v/>
      </c>
      <c r="K133" s="118" t="str">
        <f t="shared" si="33"/>
        <v/>
      </c>
      <c r="L133" s="119" t="str">
        <f t="shared" si="34"/>
        <v/>
      </c>
      <c r="M133" s="118" t="str">
        <f t="shared" si="35"/>
        <v/>
      </c>
      <c r="N133" s="118" t="str">
        <f t="shared" si="36"/>
        <v/>
      </c>
      <c r="O133" s="118" t="str">
        <f t="shared" si="37"/>
        <v/>
      </c>
      <c r="P133" s="118" t="str" cm="1">
        <f t="array" aca="1" ref="P133" ca="1">IF(B133="","",IFERROR(MAX(OFFSET(高値!$E$6,MATCH(TEXT(B133,"0"),TEXT(銘柄管理!$B$6:$B$305,"0"),0)-1,0,1,10)),""))</f>
        <v/>
      </c>
      <c r="Q133" s="118" t="str" cm="1">
        <f t="array" aca="1" ref="Q133" ca="1">IF(B133="","",IFERROR(MIN(OFFSET(安値!$E$6,MATCH(TEXT(B133,"0"),TEXT(銘柄管理!$B$6:$B$305,"0"),0)-1,0,1,10)),""))</f>
        <v/>
      </c>
      <c r="R133" s="118" t="str">
        <f t="shared" ca="1" si="38"/>
        <v/>
      </c>
      <c r="S133" s="526" t="str">
        <f t="shared" si="39"/>
        <v/>
      </c>
      <c r="T133" s="116"/>
      <c r="U133" s="116"/>
      <c r="V133" s="118" t="str">
        <f t="shared" si="40"/>
        <v/>
      </c>
      <c r="W133" s="121" t="str">
        <f t="shared" ca="1" si="41"/>
        <v/>
      </c>
      <c r="X133" s="116"/>
    </row>
    <row r="134" spans="1:24" ht="17.25">
      <c r="A134" s="425" t="str">
        <f t="shared" si="42"/>
        <v>株探</v>
      </c>
      <c r="B134" s="116"/>
      <c r="C134" s="116"/>
      <c r="D134" s="116"/>
      <c r="E134" s="117"/>
      <c r="F134" s="443"/>
      <c r="G134" s="116"/>
      <c r="H134" s="118" t="str">
        <f>_xll.RssMarket("d7","現在値")</f>
        <v/>
      </c>
      <c r="I134" s="118" t="str" cm="1">
        <f t="array" ref="I134">_xll.RssMarket(B134, "出来高加重平均")</f>
        <v/>
      </c>
      <c r="J134" s="118" t="str" cm="1">
        <f t="array" ref="J134">_xll.RssMarket(B134, "前日比")</f>
        <v/>
      </c>
      <c r="K134" s="118" t="str">
        <f t="shared" si="33"/>
        <v/>
      </c>
      <c r="L134" s="119" t="str">
        <f t="shared" si="34"/>
        <v/>
      </c>
      <c r="M134" s="118" t="str">
        <f t="shared" si="35"/>
        <v/>
      </c>
      <c r="N134" s="118" t="str">
        <f t="shared" si="36"/>
        <v/>
      </c>
      <c r="O134" s="118" t="str">
        <f t="shared" si="37"/>
        <v/>
      </c>
      <c r="P134" s="118" t="str" cm="1">
        <f t="array" aca="1" ref="P134" ca="1">IF(B134="","",IFERROR(MAX(OFFSET(高値!$E$6,MATCH(TEXT(B134,"0"),TEXT(銘柄管理!$B$6:$B$305,"0"),0)-1,0,1,10)),""))</f>
        <v/>
      </c>
      <c r="Q134" s="118" t="str" cm="1">
        <f t="array" aca="1" ref="Q134" ca="1">IF(B134="","",IFERROR(MIN(OFFSET(安値!$E$6,MATCH(TEXT(B134,"0"),TEXT(銘柄管理!$B$6:$B$305,"0"),0)-1,0,1,10)),""))</f>
        <v/>
      </c>
      <c r="R134" s="118" t="str">
        <f t="shared" ca="1" si="38"/>
        <v/>
      </c>
      <c r="S134" s="526" t="str">
        <f t="shared" si="39"/>
        <v/>
      </c>
      <c r="T134" s="116"/>
      <c r="U134" s="116"/>
      <c r="V134" s="118" t="str">
        <f t="shared" si="40"/>
        <v/>
      </c>
      <c r="W134" s="121" t="str">
        <f t="shared" ca="1" si="41"/>
        <v/>
      </c>
      <c r="X134" s="116"/>
    </row>
    <row r="135" spans="1:24" ht="17.25">
      <c r="A135" s="425" t="str">
        <f t="shared" si="42"/>
        <v>株探</v>
      </c>
      <c r="B135" s="116"/>
      <c r="C135" s="116"/>
      <c r="D135" s="116"/>
      <c r="E135" s="117"/>
      <c r="F135" s="443"/>
      <c r="G135" s="116"/>
      <c r="H135" s="118" t="str">
        <f>_xll.RssMarket("d7","現在値")</f>
        <v/>
      </c>
      <c r="I135" s="118" t="str" cm="1">
        <f t="array" ref="I135">_xll.RssMarket(B135, "出来高加重平均")</f>
        <v/>
      </c>
      <c r="J135" s="118" t="str" cm="1">
        <f t="array" ref="J135">_xll.RssMarket(B135, "前日比")</f>
        <v/>
      </c>
      <c r="K135" s="118" t="str">
        <f t="shared" si="33"/>
        <v/>
      </c>
      <c r="L135" s="119" t="str">
        <f t="shared" si="34"/>
        <v/>
      </c>
      <c r="M135" s="118" t="str">
        <f t="shared" si="35"/>
        <v/>
      </c>
      <c r="N135" s="118" t="str">
        <f t="shared" si="36"/>
        <v/>
      </c>
      <c r="O135" s="118" t="str">
        <f t="shared" si="37"/>
        <v/>
      </c>
      <c r="P135" s="118" t="str" cm="1">
        <f t="array" aca="1" ref="P135" ca="1">IF(B135="","",IFERROR(MAX(OFFSET(高値!$E$6,MATCH(TEXT(B135,"0"),TEXT(銘柄管理!$B$6:$B$305,"0"),0)-1,0,1,10)),""))</f>
        <v/>
      </c>
      <c r="Q135" s="118" t="str" cm="1">
        <f t="array" aca="1" ref="Q135" ca="1">IF(B135="","",IFERROR(MIN(OFFSET(安値!$E$6,MATCH(TEXT(B135,"0"),TEXT(銘柄管理!$B$6:$B$305,"0"),0)-1,0,1,10)),""))</f>
        <v/>
      </c>
      <c r="R135" s="118" t="str">
        <f t="shared" ca="1" si="38"/>
        <v/>
      </c>
      <c r="S135" s="526" t="str">
        <f t="shared" si="39"/>
        <v/>
      </c>
      <c r="T135" s="116"/>
      <c r="U135" s="116"/>
      <c r="V135" s="118" t="str">
        <f t="shared" si="40"/>
        <v/>
      </c>
      <c r="W135" s="121" t="str">
        <f t="shared" ca="1" si="41"/>
        <v/>
      </c>
      <c r="X135" s="116"/>
    </row>
    <row r="136" spans="1:24" ht="17.25">
      <c r="A136" s="425" t="str">
        <f t="shared" si="42"/>
        <v>株探</v>
      </c>
      <c r="B136" s="116"/>
      <c r="C136" s="116"/>
      <c r="D136" s="116"/>
      <c r="E136" s="117"/>
      <c r="F136" s="443"/>
      <c r="G136" s="116"/>
      <c r="H136" s="118" t="str">
        <f>_xll.RssMarket("d7","現在値")</f>
        <v/>
      </c>
      <c r="I136" s="118" t="str" cm="1">
        <f t="array" ref="I136">_xll.RssMarket(B136, "出来高加重平均")</f>
        <v/>
      </c>
      <c r="J136" s="118" t="str" cm="1">
        <f t="array" ref="J136">_xll.RssMarket(B136, "前日比")</f>
        <v/>
      </c>
      <c r="K136" s="118" t="str">
        <f t="shared" si="33"/>
        <v/>
      </c>
      <c r="L136" s="119" t="str">
        <f t="shared" si="34"/>
        <v/>
      </c>
      <c r="M136" s="118" t="str">
        <f t="shared" si="35"/>
        <v/>
      </c>
      <c r="N136" s="118" t="str">
        <f t="shared" si="36"/>
        <v/>
      </c>
      <c r="O136" s="118" t="str">
        <f t="shared" si="37"/>
        <v/>
      </c>
      <c r="P136" s="118" t="str" cm="1">
        <f t="array" aca="1" ref="P136" ca="1">IF(B136="","",IFERROR(MAX(OFFSET(高値!$E$6,MATCH(TEXT(B136,"0"),TEXT(銘柄管理!$B$6:$B$305,"0"),0)-1,0,1,10)),""))</f>
        <v/>
      </c>
      <c r="Q136" s="118" t="str" cm="1">
        <f t="array" aca="1" ref="Q136" ca="1">IF(B136="","",IFERROR(MIN(OFFSET(安値!$E$6,MATCH(TEXT(B136,"0"),TEXT(銘柄管理!$B$6:$B$305,"0"),0)-1,0,1,10)),""))</f>
        <v/>
      </c>
      <c r="R136" s="118" t="str">
        <f t="shared" ca="1" si="38"/>
        <v/>
      </c>
      <c r="S136" s="526" t="str">
        <f t="shared" si="39"/>
        <v/>
      </c>
      <c r="T136" s="116"/>
      <c r="U136" s="116"/>
      <c r="V136" s="118" t="str">
        <f t="shared" si="40"/>
        <v/>
      </c>
      <c r="W136" s="121" t="str">
        <f t="shared" ca="1" si="41"/>
        <v/>
      </c>
      <c r="X136" s="116"/>
    </row>
    <row r="137" spans="1:24" ht="17.25">
      <c r="A137" s="425" t="str">
        <f t="shared" si="42"/>
        <v>株探</v>
      </c>
      <c r="B137" s="116"/>
      <c r="C137" s="116"/>
      <c r="D137" s="116"/>
      <c r="E137" s="117"/>
      <c r="F137" s="443"/>
      <c r="G137" s="116"/>
      <c r="H137" s="118" t="str">
        <f>_xll.RssMarket("d7","現在値")</f>
        <v/>
      </c>
      <c r="I137" s="118" t="str" cm="1">
        <f t="array" ref="I137">_xll.RssMarket(B137, "出来高加重平均")</f>
        <v/>
      </c>
      <c r="J137" s="118" t="str" cm="1">
        <f t="array" ref="J137">_xll.RssMarket(B137, "前日比")</f>
        <v/>
      </c>
      <c r="K137" s="118" t="str">
        <f t="shared" si="33"/>
        <v/>
      </c>
      <c r="L137" s="119" t="str">
        <f t="shared" si="34"/>
        <v/>
      </c>
      <c r="M137" s="118" t="str">
        <f t="shared" si="35"/>
        <v/>
      </c>
      <c r="N137" s="118" t="str">
        <f t="shared" si="36"/>
        <v/>
      </c>
      <c r="O137" s="118" t="str">
        <f t="shared" si="37"/>
        <v/>
      </c>
      <c r="P137" s="118" t="str" cm="1">
        <f t="array" aca="1" ref="P137" ca="1">IF(B137="","",IFERROR(MAX(OFFSET(高値!$E$6,MATCH(TEXT(B137,"0"),TEXT(銘柄管理!$B$6:$B$305,"0"),0)-1,0,1,10)),""))</f>
        <v/>
      </c>
      <c r="Q137" s="118" t="str" cm="1">
        <f t="array" aca="1" ref="Q137" ca="1">IF(B137="","",IFERROR(MIN(OFFSET(安値!$E$6,MATCH(TEXT(B137,"0"),TEXT(銘柄管理!$B$6:$B$305,"0"),0)-1,0,1,10)),""))</f>
        <v/>
      </c>
      <c r="R137" s="118" t="str">
        <f t="shared" ca="1" si="38"/>
        <v/>
      </c>
      <c r="S137" s="526" t="str">
        <f t="shared" si="39"/>
        <v/>
      </c>
      <c r="T137" s="116"/>
      <c r="U137" s="116"/>
      <c r="V137" s="118" t="str">
        <f t="shared" si="40"/>
        <v/>
      </c>
      <c r="W137" s="121" t="str">
        <f t="shared" ca="1" si="41"/>
        <v/>
      </c>
      <c r="X137" s="116"/>
    </row>
    <row r="138" spans="1:24" ht="17.25">
      <c r="A138" s="425" t="str">
        <f t="shared" si="42"/>
        <v>株探</v>
      </c>
      <c r="B138" s="116"/>
      <c r="C138" s="116"/>
      <c r="D138" s="116"/>
      <c r="E138" s="117"/>
      <c r="F138" s="443"/>
      <c r="G138" s="116"/>
      <c r="H138" s="118" t="str">
        <f>_xll.RssMarket("d7","現在値")</f>
        <v/>
      </c>
      <c r="I138" s="118" t="str" cm="1">
        <f t="array" ref="I138">_xll.RssMarket(B138, "出来高加重平均")</f>
        <v/>
      </c>
      <c r="J138" s="118" t="str" cm="1">
        <f t="array" ref="J138">_xll.RssMarket(B138, "前日比")</f>
        <v/>
      </c>
      <c r="K138" s="118" t="str">
        <f t="shared" si="33"/>
        <v/>
      </c>
      <c r="L138" s="119" t="str">
        <f t="shared" si="34"/>
        <v/>
      </c>
      <c r="M138" s="118" t="str">
        <f t="shared" si="35"/>
        <v/>
      </c>
      <c r="N138" s="118" t="str">
        <f t="shared" si="36"/>
        <v/>
      </c>
      <c r="O138" s="118" t="str">
        <f t="shared" si="37"/>
        <v/>
      </c>
      <c r="P138" s="118" t="str" cm="1">
        <f t="array" aca="1" ref="P138" ca="1">IF(B138="","",IFERROR(MAX(OFFSET(高値!$E$6,MATCH(TEXT(B138,"0"),TEXT(銘柄管理!$B$6:$B$305,"0"),0)-1,0,1,10)),""))</f>
        <v/>
      </c>
      <c r="Q138" s="118" t="str" cm="1">
        <f t="array" aca="1" ref="Q138" ca="1">IF(B138="","",IFERROR(MIN(OFFSET(安値!$E$6,MATCH(TEXT(B138,"0"),TEXT(銘柄管理!$B$6:$B$305,"0"),0)-1,0,1,10)),""))</f>
        <v/>
      </c>
      <c r="R138" s="118" t="str">
        <f t="shared" ca="1" si="38"/>
        <v/>
      </c>
      <c r="S138" s="526" t="str">
        <f t="shared" si="39"/>
        <v/>
      </c>
      <c r="T138" s="116"/>
      <c r="U138" s="116"/>
      <c r="V138" s="118" t="str">
        <f t="shared" si="40"/>
        <v/>
      </c>
      <c r="W138" s="121" t="str">
        <f t="shared" ca="1" si="41"/>
        <v/>
      </c>
      <c r="X138" s="116"/>
    </row>
    <row r="139" spans="1:24" ht="17.25">
      <c r="A139" s="425" t="str">
        <f t="shared" si="42"/>
        <v>株探</v>
      </c>
      <c r="B139" s="116"/>
      <c r="C139" s="116"/>
      <c r="D139" s="116"/>
      <c r="E139" s="117"/>
      <c r="F139" s="443"/>
      <c r="G139" s="116"/>
      <c r="H139" s="118" t="str">
        <f>_xll.RssMarket("d7","現在値")</f>
        <v/>
      </c>
      <c r="I139" s="118" t="str" cm="1">
        <f t="array" ref="I139">_xll.RssMarket(B139, "出来高加重平均")</f>
        <v/>
      </c>
      <c r="J139" s="118" t="str" cm="1">
        <f t="array" ref="J139">_xll.RssMarket(B139, "前日比")</f>
        <v/>
      </c>
      <c r="K139" s="118" t="str">
        <f t="shared" si="33"/>
        <v/>
      </c>
      <c r="L139" s="119" t="str">
        <f t="shared" si="34"/>
        <v/>
      </c>
      <c r="M139" s="118" t="str">
        <f t="shared" si="35"/>
        <v/>
      </c>
      <c r="N139" s="118" t="str">
        <f t="shared" si="36"/>
        <v/>
      </c>
      <c r="O139" s="118" t="str">
        <f t="shared" si="37"/>
        <v/>
      </c>
      <c r="P139" s="118" t="str" cm="1">
        <f t="array" aca="1" ref="P139" ca="1">IF(B139="","",IFERROR(MAX(OFFSET(高値!$E$6,MATCH(TEXT(B139,"0"),TEXT(銘柄管理!$B$6:$B$305,"0"),0)-1,0,1,10)),""))</f>
        <v/>
      </c>
      <c r="Q139" s="118" t="str" cm="1">
        <f t="array" aca="1" ref="Q139" ca="1">IF(B139="","",IFERROR(MIN(OFFSET(安値!$E$6,MATCH(TEXT(B139,"0"),TEXT(銘柄管理!$B$6:$B$305,"0"),0)-1,0,1,10)),""))</f>
        <v/>
      </c>
      <c r="R139" s="118" t="str">
        <f t="shared" ca="1" si="38"/>
        <v/>
      </c>
      <c r="S139" s="526" t="str">
        <f t="shared" si="39"/>
        <v/>
      </c>
      <c r="T139" s="116"/>
      <c r="U139" s="116"/>
      <c r="V139" s="118" t="str">
        <f t="shared" si="40"/>
        <v/>
      </c>
      <c r="W139" s="121" t="str">
        <f t="shared" ca="1" si="41"/>
        <v/>
      </c>
      <c r="X139" s="116"/>
    </row>
    <row r="140" spans="1:24" ht="17.25">
      <c r="A140" s="425" t="str">
        <f t="shared" si="42"/>
        <v>株探</v>
      </c>
      <c r="B140" s="116"/>
      <c r="C140" s="116"/>
      <c r="D140" s="116"/>
      <c r="E140" s="117"/>
      <c r="F140" s="443"/>
      <c r="G140" s="116"/>
      <c r="H140" s="118" t="str">
        <f>_xll.RssMarket("d7","現在値")</f>
        <v/>
      </c>
      <c r="I140" s="118" t="str" cm="1">
        <f t="array" ref="I140">_xll.RssMarket(B140, "出来高加重平均")</f>
        <v/>
      </c>
      <c r="J140" s="118" t="str" cm="1">
        <f t="array" ref="J140">_xll.RssMarket(B140, "前日比")</f>
        <v/>
      </c>
      <c r="K140" s="118" t="str">
        <f t="shared" si="33"/>
        <v/>
      </c>
      <c r="L140" s="119" t="str">
        <f t="shared" si="34"/>
        <v/>
      </c>
      <c r="M140" s="118" t="str">
        <f t="shared" si="35"/>
        <v/>
      </c>
      <c r="N140" s="118" t="str">
        <f t="shared" si="36"/>
        <v/>
      </c>
      <c r="O140" s="118" t="str">
        <f t="shared" si="37"/>
        <v/>
      </c>
      <c r="P140" s="118" t="str" cm="1">
        <f t="array" aca="1" ref="P140" ca="1">IF(B140="","",IFERROR(MAX(OFFSET(高値!$E$6,MATCH(TEXT(B140,"0"),TEXT(銘柄管理!$B$6:$B$305,"0"),0)-1,0,1,10)),""))</f>
        <v/>
      </c>
      <c r="Q140" s="118" t="str" cm="1">
        <f t="array" aca="1" ref="Q140" ca="1">IF(B140="","",IFERROR(MIN(OFFSET(安値!$E$6,MATCH(TEXT(B140,"0"),TEXT(銘柄管理!$B$6:$B$305,"0"),0)-1,0,1,10)),""))</f>
        <v/>
      </c>
      <c r="R140" s="118" t="str">
        <f t="shared" ca="1" si="38"/>
        <v/>
      </c>
      <c r="S140" s="526" t="str">
        <f t="shared" si="39"/>
        <v/>
      </c>
      <c r="T140" s="116"/>
      <c r="U140" s="116"/>
      <c r="V140" s="118" t="str">
        <f t="shared" si="40"/>
        <v/>
      </c>
      <c r="W140" s="121" t="str">
        <f t="shared" ca="1" si="41"/>
        <v/>
      </c>
      <c r="X140" s="116"/>
    </row>
    <row r="141" spans="1:24" ht="17.25">
      <c r="A141" s="425" t="str">
        <f t="shared" si="42"/>
        <v>株探</v>
      </c>
      <c r="B141" s="116"/>
      <c r="C141" s="116"/>
      <c r="D141" s="116"/>
      <c r="E141" s="117"/>
      <c r="F141" s="443"/>
      <c r="G141" s="116"/>
      <c r="H141" s="118" t="str">
        <f>_xll.RssMarket("d7","現在値")</f>
        <v/>
      </c>
      <c r="I141" s="118" t="str" cm="1">
        <f t="array" ref="I141">_xll.RssMarket(B141, "出来高加重平均")</f>
        <v/>
      </c>
      <c r="J141" s="118" t="str" cm="1">
        <f t="array" ref="J141">_xll.RssMarket(B141, "前日比")</f>
        <v/>
      </c>
      <c r="K141" s="118" t="str">
        <f t="shared" si="33"/>
        <v/>
      </c>
      <c r="L141" s="119" t="str">
        <f t="shared" si="34"/>
        <v/>
      </c>
      <c r="M141" s="118" t="str">
        <f t="shared" si="35"/>
        <v/>
      </c>
      <c r="N141" s="118" t="str">
        <f t="shared" si="36"/>
        <v/>
      </c>
      <c r="O141" s="118" t="str">
        <f t="shared" si="37"/>
        <v/>
      </c>
      <c r="P141" s="118" t="str" cm="1">
        <f t="array" aca="1" ref="P141" ca="1">IF(B141="","",IFERROR(MAX(OFFSET(高値!$E$6,MATCH(TEXT(B141,"0"),TEXT(銘柄管理!$B$6:$B$305,"0"),0)-1,0,1,10)),""))</f>
        <v/>
      </c>
      <c r="Q141" s="118" t="str" cm="1">
        <f t="array" aca="1" ref="Q141" ca="1">IF(B141="","",IFERROR(MIN(OFFSET(安値!$E$6,MATCH(TEXT(B141,"0"),TEXT(銘柄管理!$B$6:$B$305,"0"),0)-1,0,1,10)),""))</f>
        <v/>
      </c>
      <c r="R141" s="118" t="str">
        <f t="shared" ca="1" si="38"/>
        <v/>
      </c>
      <c r="S141" s="526" t="str">
        <f t="shared" si="39"/>
        <v/>
      </c>
      <c r="T141" s="116"/>
      <c r="U141" s="116"/>
      <c r="V141" s="118" t="str">
        <f t="shared" si="40"/>
        <v/>
      </c>
      <c r="W141" s="121" t="str">
        <f t="shared" ca="1" si="41"/>
        <v/>
      </c>
      <c r="X141" s="116"/>
    </row>
    <row r="142" spans="1:24" ht="17.25">
      <c r="A142" s="425" t="str">
        <f t="shared" si="42"/>
        <v>株探</v>
      </c>
      <c r="B142" s="116"/>
      <c r="C142" s="116"/>
      <c r="D142" s="116"/>
      <c r="E142" s="117"/>
      <c r="F142" s="443"/>
      <c r="G142" s="116"/>
      <c r="H142" s="118" t="str">
        <f>_xll.RssMarket("d7","現在値")</f>
        <v/>
      </c>
      <c r="I142" s="118" t="str" cm="1">
        <f t="array" ref="I142">_xll.RssMarket(B142, "出来高加重平均")</f>
        <v/>
      </c>
      <c r="J142" s="118" t="str" cm="1">
        <f t="array" ref="J142">_xll.RssMarket(B142, "前日比")</f>
        <v/>
      </c>
      <c r="K142" s="118" t="str">
        <f t="shared" si="33"/>
        <v/>
      </c>
      <c r="L142" s="119" t="str">
        <f t="shared" si="34"/>
        <v/>
      </c>
      <c r="M142" s="118" t="str">
        <f t="shared" si="35"/>
        <v/>
      </c>
      <c r="N142" s="118" t="str">
        <f t="shared" si="36"/>
        <v/>
      </c>
      <c r="O142" s="118" t="str">
        <f t="shared" si="37"/>
        <v/>
      </c>
      <c r="P142" s="118" t="str" cm="1">
        <f t="array" aca="1" ref="P142" ca="1">IF(B142="","",IFERROR(MAX(OFFSET(高値!$E$6,MATCH(TEXT(B142,"0"),TEXT(銘柄管理!$B$6:$B$305,"0"),0)-1,0,1,10)),""))</f>
        <v/>
      </c>
      <c r="Q142" s="118" t="str" cm="1">
        <f t="array" aca="1" ref="Q142" ca="1">IF(B142="","",IFERROR(MIN(OFFSET(安値!$E$6,MATCH(TEXT(B142,"0"),TEXT(銘柄管理!$B$6:$B$305,"0"),0)-1,0,1,10)),""))</f>
        <v/>
      </c>
      <c r="R142" s="118" t="str">
        <f t="shared" ca="1" si="38"/>
        <v/>
      </c>
      <c r="S142" s="526" t="str">
        <f t="shared" si="39"/>
        <v/>
      </c>
      <c r="T142" s="116"/>
      <c r="U142" s="116"/>
      <c r="V142" s="118" t="str">
        <f t="shared" si="40"/>
        <v/>
      </c>
      <c r="W142" s="121" t="str">
        <f t="shared" ca="1" si="41"/>
        <v/>
      </c>
      <c r="X142" s="116"/>
    </row>
    <row r="143" spans="1:24" ht="17.25">
      <c r="A143" s="425" t="str">
        <f t="shared" si="42"/>
        <v>株探</v>
      </c>
      <c r="B143" s="116"/>
      <c r="C143" s="116"/>
      <c r="D143" s="116"/>
      <c r="E143" s="117"/>
      <c r="F143" s="443"/>
      <c r="G143" s="116"/>
      <c r="H143" s="118" t="str">
        <f>_xll.RssMarket("d7","現在値")</f>
        <v/>
      </c>
      <c r="I143" s="118" t="str" cm="1">
        <f t="array" ref="I143">_xll.RssMarket(B143, "出来高加重平均")</f>
        <v/>
      </c>
      <c r="J143" s="118" t="str" cm="1">
        <f t="array" ref="J143">_xll.RssMarket(B143, "前日比")</f>
        <v/>
      </c>
      <c r="K143" s="118" t="str">
        <f t="shared" si="33"/>
        <v/>
      </c>
      <c r="L143" s="119" t="str">
        <f t="shared" si="34"/>
        <v/>
      </c>
      <c r="M143" s="118" t="str">
        <f t="shared" si="35"/>
        <v/>
      </c>
      <c r="N143" s="118" t="str">
        <f t="shared" si="36"/>
        <v/>
      </c>
      <c r="O143" s="118" t="str">
        <f t="shared" si="37"/>
        <v/>
      </c>
      <c r="P143" s="118" t="str" cm="1">
        <f t="array" aca="1" ref="P143" ca="1">IF(B143="","",IFERROR(MAX(OFFSET(高値!$E$6,MATCH(TEXT(B143,"0"),TEXT(銘柄管理!$B$6:$B$305,"0"),0)-1,0,1,10)),""))</f>
        <v/>
      </c>
      <c r="Q143" s="118" t="str" cm="1">
        <f t="array" aca="1" ref="Q143" ca="1">IF(B143="","",IFERROR(MIN(OFFSET(安値!$E$6,MATCH(TEXT(B143,"0"),TEXT(銘柄管理!$B$6:$B$305,"0"),0)-1,0,1,10)),""))</f>
        <v/>
      </c>
      <c r="R143" s="118" t="str">
        <f t="shared" ca="1" si="38"/>
        <v/>
      </c>
      <c r="S143" s="526" t="str">
        <f t="shared" si="39"/>
        <v/>
      </c>
      <c r="T143" s="116"/>
      <c r="U143" s="116"/>
      <c r="V143" s="118" t="str">
        <f t="shared" si="40"/>
        <v/>
      </c>
      <c r="W143" s="121" t="str">
        <f t="shared" ca="1" si="41"/>
        <v/>
      </c>
      <c r="X143" s="116"/>
    </row>
    <row r="144" spans="1:24" ht="17.25">
      <c r="A144" s="425" t="str">
        <f t="shared" si="42"/>
        <v>株探</v>
      </c>
      <c r="B144" s="116"/>
      <c r="C144" s="116"/>
      <c r="D144" s="116"/>
      <c r="E144" s="117"/>
      <c r="F144" s="443"/>
      <c r="G144" s="116"/>
      <c r="H144" s="118" t="str">
        <f>_xll.RssMarket("d7","現在値")</f>
        <v/>
      </c>
      <c r="I144" s="118" t="str" cm="1">
        <f t="array" ref="I144">_xll.RssMarket(B144, "出来高加重平均")</f>
        <v/>
      </c>
      <c r="J144" s="118" t="str" cm="1">
        <f t="array" ref="J144">_xll.RssMarket(B144, "前日比")</f>
        <v/>
      </c>
      <c r="K144" s="118" t="str">
        <f t="shared" si="33"/>
        <v/>
      </c>
      <c r="L144" s="119" t="str">
        <f t="shared" si="34"/>
        <v/>
      </c>
      <c r="M144" s="118" t="str">
        <f t="shared" si="35"/>
        <v/>
      </c>
      <c r="N144" s="118" t="str">
        <f t="shared" si="36"/>
        <v/>
      </c>
      <c r="O144" s="118" t="str">
        <f t="shared" si="37"/>
        <v/>
      </c>
      <c r="P144" s="118" t="str" cm="1">
        <f t="array" aca="1" ref="P144" ca="1">IF(B144="","",IFERROR(MAX(OFFSET(高値!$E$6,MATCH(TEXT(B144,"0"),TEXT(銘柄管理!$B$6:$B$305,"0"),0)-1,0,1,10)),""))</f>
        <v/>
      </c>
      <c r="Q144" s="118" t="str" cm="1">
        <f t="array" aca="1" ref="Q144" ca="1">IF(B144="","",IFERROR(MIN(OFFSET(安値!$E$6,MATCH(TEXT(B144,"0"),TEXT(銘柄管理!$B$6:$B$305,"0"),0)-1,0,1,10)),""))</f>
        <v/>
      </c>
      <c r="R144" s="118" t="str">
        <f t="shared" ca="1" si="38"/>
        <v/>
      </c>
      <c r="S144" s="526" t="str">
        <f t="shared" si="39"/>
        <v/>
      </c>
      <c r="T144" s="116"/>
      <c r="U144" s="116"/>
      <c r="V144" s="118" t="str">
        <f t="shared" si="40"/>
        <v/>
      </c>
      <c r="W144" s="121" t="str">
        <f t="shared" ca="1" si="41"/>
        <v/>
      </c>
      <c r="X144" s="116"/>
    </row>
    <row r="145" spans="1:24" ht="17.25">
      <c r="A145" s="425" t="str">
        <f t="shared" si="42"/>
        <v>株探</v>
      </c>
      <c r="B145" s="116"/>
      <c r="C145" s="116"/>
      <c r="D145" s="116"/>
      <c r="E145" s="117"/>
      <c r="F145" s="443"/>
      <c r="G145" s="116"/>
      <c r="H145" s="118" t="str">
        <f>_xll.RssMarket("d7","現在値")</f>
        <v/>
      </c>
      <c r="I145" s="118" t="str" cm="1">
        <f t="array" ref="I145">_xll.RssMarket(B145, "出来高加重平均")</f>
        <v/>
      </c>
      <c r="J145" s="118" t="str" cm="1">
        <f t="array" ref="J145">_xll.RssMarket(B145, "前日比")</f>
        <v/>
      </c>
      <c r="K145" s="118" t="str">
        <f t="shared" si="33"/>
        <v/>
      </c>
      <c r="L145" s="119" t="str">
        <f t="shared" si="34"/>
        <v/>
      </c>
      <c r="M145" s="118" t="str">
        <f t="shared" si="35"/>
        <v/>
      </c>
      <c r="N145" s="118" t="str">
        <f t="shared" si="36"/>
        <v/>
      </c>
      <c r="O145" s="118" t="str">
        <f t="shared" si="37"/>
        <v/>
      </c>
      <c r="P145" s="118" t="str" cm="1">
        <f t="array" aca="1" ref="P145" ca="1">IF(B145="","",IFERROR(MAX(OFFSET(高値!$E$6,MATCH(TEXT(B145,"0"),TEXT(銘柄管理!$B$6:$B$305,"0"),0)-1,0,1,10)),""))</f>
        <v/>
      </c>
      <c r="Q145" s="118" t="str" cm="1">
        <f t="array" aca="1" ref="Q145" ca="1">IF(B145="","",IFERROR(MIN(OFFSET(安値!$E$6,MATCH(TEXT(B145,"0"),TEXT(銘柄管理!$B$6:$B$305,"0"),0)-1,0,1,10)),""))</f>
        <v/>
      </c>
      <c r="R145" s="118" t="str">
        <f t="shared" ca="1" si="38"/>
        <v/>
      </c>
      <c r="S145" s="526" t="str">
        <f t="shared" si="39"/>
        <v/>
      </c>
      <c r="T145" s="116"/>
      <c r="U145" s="116"/>
      <c r="V145" s="118" t="str">
        <f t="shared" si="40"/>
        <v/>
      </c>
      <c r="W145" s="121" t="str">
        <f t="shared" ca="1" si="41"/>
        <v/>
      </c>
      <c r="X145" s="116"/>
    </row>
    <row r="146" spans="1:24" ht="17.25">
      <c r="A146" s="425" t="str">
        <f t="shared" si="42"/>
        <v>株探</v>
      </c>
      <c r="B146" s="116"/>
      <c r="C146" s="116"/>
      <c r="D146" s="116"/>
      <c r="E146" s="117"/>
      <c r="F146" s="443"/>
      <c r="G146" s="116"/>
      <c r="H146" s="118" t="str">
        <f>_xll.RssMarket("d7","現在値")</f>
        <v/>
      </c>
      <c r="I146" s="118" t="str" cm="1">
        <f t="array" ref="I146">_xll.RssMarket(B146, "出来高加重平均")</f>
        <v/>
      </c>
      <c r="J146" s="118" t="str" cm="1">
        <f t="array" ref="J146">_xll.RssMarket(B146, "前日比")</f>
        <v/>
      </c>
      <c r="K146" s="118" t="str">
        <f t="shared" si="33"/>
        <v/>
      </c>
      <c r="L146" s="119" t="str">
        <f t="shared" si="34"/>
        <v/>
      </c>
      <c r="M146" s="118" t="str">
        <f t="shared" si="35"/>
        <v/>
      </c>
      <c r="N146" s="118" t="str">
        <f t="shared" si="36"/>
        <v/>
      </c>
      <c r="O146" s="118" t="str">
        <f t="shared" si="37"/>
        <v/>
      </c>
      <c r="P146" s="118" t="str" cm="1">
        <f t="array" aca="1" ref="P146" ca="1">IF(B146="","",IFERROR(MAX(OFFSET(高値!$E$6,MATCH(TEXT(B146,"0"),TEXT(銘柄管理!$B$6:$B$305,"0"),0)-1,0,1,10)),""))</f>
        <v/>
      </c>
      <c r="Q146" s="118" t="str" cm="1">
        <f t="array" aca="1" ref="Q146" ca="1">IF(B146="","",IFERROR(MIN(OFFSET(安値!$E$6,MATCH(TEXT(B146,"0"),TEXT(銘柄管理!$B$6:$B$305,"0"),0)-1,0,1,10)),""))</f>
        <v/>
      </c>
      <c r="R146" s="118" t="str">
        <f t="shared" ca="1" si="38"/>
        <v/>
      </c>
      <c r="S146" s="526" t="str">
        <f t="shared" si="39"/>
        <v/>
      </c>
      <c r="T146" s="116"/>
      <c r="U146" s="116"/>
      <c r="V146" s="118" t="str">
        <f t="shared" si="40"/>
        <v/>
      </c>
      <c r="W146" s="121" t="str">
        <f t="shared" ca="1" si="41"/>
        <v/>
      </c>
      <c r="X146" s="116"/>
    </row>
    <row r="147" spans="1:24" ht="17.25">
      <c r="A147" s="425" t="str">
        <f t="shared" si="42"/>
        <v>株探</v>
      </c>
      <c r="B147" s="116"/>
      <c r="C147" s="116"/>
      <c r="D147" s="116"/>
      <c r="E147" s="117"/>
      <c r="F147" s="443"/>
      <c r="G147" s="116"/>
      <c r="H147" s="118" t="str">
        <f>_xll.RssMarket("d7","現在値")</f>
        <v/>
      </c>
      <c r="I147" s="118" t="str" cm="1">
        <f t="array" ref="I147">_xll.RssMarket(B147, "出来高加重平均")</f>
        <v/>
      </c>
      <c r="J147" s="118" t="str" cm="1">
        <f t="array" ref="J147">_xll.RssMarket(B147, "前日比")</f>
        <v/>
      </c>
      <c r="K147" s="118" t="str">
        <f t="shared" si="33"/>
        <v/>
      </c>
      <c r="L147" s="119" t="str">
        <f t="shared" si="34"/>
        <v/>
      </c>
      <c r="M147" s="118" t="str">
        <f t="shared" si="35"/>
        <v/>
      </c>
      <c r="N147" s="118" t="str">
        <f t="shared" si="36"/>
        <v/>
      </c>
      <c r="O147" s="118" t="str">
        <f t="shared" si="37"/>
        <v/>
      </c>
      <c r="P147" s="118" t="str" cm="1">
        <f t="array" aca="1" ref="P147" ca="1">IF(B147="","",IFERROR(MAX(OFFSET(高値!$E$6,MATCH(TEXT(B147,"0"),TEXT(銘柄管理!$B$6:$B$305,"0"),0)-1,0,1,10)),""))</f>
        <v/>
      </c>
      <c r="Q147" s="118" t="str" cm="1">
        <f t="array" aca="1" ref="Q147" ca="1">IF(B147="","",IFERROR(MIN(OFFSET(安値!$E$6,MATCH(TEXT(B147,"0"),TEXT(銘柄管理!$B$6:$B$305,"0"),0)-1,0,1,10)),""))</f>
        <v/>
      </c>
      <c r="R147" s="118" t="str">
        <f t="shared" ca="1" si="38"/>
        <v/>
      </c>
      <c r="S147" s="526" t="str">
        <f t="shared" si="39"/>
        <v/>
      </c>
      <c r="T147" s="116"/>
      <c r="U147" s="116"/>
      <c r="V147" s="118" t="str">
        <f t="shared" si="40"/>
        <v/>
      </c>
      <c r="W147" s="121" t="str">
        <f t="shared" ca="1" si="41"/>
        <v/>
      </c>
      <c r="X147" s="116"/>
    </row>
    <row r="148" spans="1:24" ht="17.25">
      <c r="A148" s="425" t="str">
        <f t="shared" si="42"/>
        <v>株探</v>
      </c>
      <c r="B148" s="116"/>
      <c r="C148" s="116"/>
      <c r="D148" s="116"/>
      <c r="E148" s="117"/>
      <c r="F148" s="443"/>
      <c r="G148" s="116"/>
      <c r="H148" s="118" t="str">
        <f>_xll.RssMarket("d7","現在値")</f>
        <v/>
      </c>
      <c r="I148" s="118" t="str" cm="1">
        <f t="array" ref="I148">_xll.RssMarket(B148, "出来高加重平均")</f>
        <v/>
      </c>
      <c r="J148" s="118" t="str" cm="1">
        <f t="array" ref="J148">_xll.RssMarket(B148, "前日比")</f>
        <v/>
      </c>
      <c r="K148" s="118" t="str">
        <f t="shared" si="33"/>
        <v/>
      </c>
      <c r="L148" s="119" t="str">
        <f t="shared" si="34"/>
        <v/>
      </c>
      <c r="M148" s="118" t="str">
        <f t="shared" si="35"/>
        <v/>
      </c>
      <c r="N148" s="118" t="str">
        <f t="shared" si="36"/>
        <v/>
      </c>
      <c r="O148" s="118" t="str">
        <f t="shared" si="37"/>
        <v/>
      </c>
      <c r="P148" s="118" t="str" cm="1">
        <f t="array" aca="1" ref="P148" ca="1">IF(B148="","",IFERROR(MAX(OFFSET(高値!$E$6,MATCH(TEXT(B148,"0"),TEXT(銘柄管理!$B$6:$B$305,"0"),0)-1,0,1,10)),""))</f>
        <v/>
      </c>
      <c r="Q148" s="118" t="str" cm="1">
        <f t="array" aca="1" ref="Q148" ca="1">IF(B148="","",IFERROR(MIN(OFFSET(安値!$E$6,MATCH(TEXT(B148,"0"),TEXT(銘柄管理!$B$6:$B$305,"0"),0)-1,0,1,10)),""))</f>
        <v/>
      </c>
      <c r="R148" s="118" t="str">
        <f t="shared" ca="1" si="38"/>
        <v/>
      </c>
      <c r="S148" s="526" t="str">
        <f t="shared" si="39"/>
        <v/>
      </c>
      <c r="T148" s="116"/>
      <c r="U148" s="116"/>
      <c r="V148" s="118" t="str">
        <f t="shared" si="40"/>
        <v/>
      </c>
      <c r="W148" s="121" t="str">
        <f t="shared" ca="1" si="41"/>
        <v/>
      </c>
      <c r="X148" s="116"/>
    </row>
    <row r="149" spans="1:24" ht="17.25">
      <c r="A149" s="425" t="str">
        <f t="shared" si="42"/>
        <v>株探</v>
      </c>
      <c r="B149" s="116"/>
      <c r="C149" s="116"/>
      <c r="D149" s="116"/>
      <c r="E149" s="117"/>
      <c r="F149" s="443"/>
      <c r="G149" s="116"/>
      <c r="H149" s="118" t="str">
        <f>_xll.RssMarket("d7","現在値")</f>
        <v/>
      </c>
      <c r="I149" s="118" t="str" cm="1">
        <f t="array" ref="I149">_xll.RssMarket(B149, "出来高加重平均")</f>
        <v/>
      </c>
      <c r="J149" s="118" t="str" cm="1">
        <f t="array" ref="J149">_xll.RssMarket(B149, "前日比")</f>
        <v/>
      </c>
      <c r="K149" s="118" t="str">
        <f t="shared" si="33"/>
        <v/>
      </c>
      <c r="L149" s="119" t="str">
        <f t="shared" si="34"/>
        <v/>
      </c>
      <c r="M149" s="118" t="str">
        <f t="shared" si="35"/>
        <v/>
      </c>
      <c r="N149" s="118" t="str">
        <f t="shared" si="36"/>
        <v/>
      </c>
      <c r="O149" s="118" t="str">
        <f t="shared" si="37"/>
        <v/>
      </c>
      <c r="P149" s="118" t="str" cm="1">
        <f t="array" aca="1" ref="P149" ca="1">IF(B149="","",IFERROR(MAX(OFFSET(高値!$E$6,MATCH(TEXT(B149,"0"),TEXT(銘柄管理!$B$6:$B$305,"0"),0)-1,0,1,10)),""))</f>
        <v/>
      </c>
      <c r="Q149" s="118" t="str" cm="1">
        <f t="array" aca="1" ref="Q149" ca="1">IF(B149="","",IFERROR(MIN(OFFSET(安値!$E$6,MATCH(TEXT(B149,"0"),TEXT(銘柄管理!$B$6:$B$305,"0"),0)-1,0,1,10)),""))</f>
        <v/>
      </c>
      <c r="R149" s="118" t="str">
        <f t="shared" ca="1" si="38"/>
        <v/>
      </c>
      <c r="S149" s="526" t="str">
        <f t="shared" si="39"/>
        <v/>
      </c>
      <c r="T149" s="116"/>
      <c r="U149" s="116"/>
      <c r="V149" s="118" t="str">
        <f t="shared" si="40"/>
        <v/>
      </c>
      <c r="W149" s="121" t="str">
        <f t="shared" ca="1" si="41"/>
        <v/>
      </c>
      <c r="X149" s="116"/>
    </row>
    <row r="150" spans="1:24" ht="17.25">
      <c r="A150" s="425" t="str">
        <f t="shared" si="42"/>
        <v>株探</v>
      </c>
      <c r="B150" s="116"/>
      <c r="C150" s="116"/>
      <c r="D150" s="116"/>
      <c r="E150" s="117"/>
      <c r="F150" s="443"/>
      <c r="G150" s="116"/>
      <c r="H150" s="118" t="str">
        <f>_xll.RssMarket("d7","現在値")</f>
        <v/>
      </c>
      <c r="I150" s="118" t="str" cm="1">
        <f t="array" ref="I150">_xll.RssMarket(B150, "出来高加重平均")</f>
        <v/>
      </c>
      <c r="J150" s="118" t="str" cm="1">
        <f t="array" ref="J150">_xll.RssMarket(B150, "前日比")</f>
        <v/>
      </c>
      <c r="K150" s="118" t="str">
        <f t="shared" si="33"/>
        <v/>
      </c>
      <c r="L150" s="119" t="str">
        <f t="shared" si="34"/>
        <v/>
      </c>
      <c r="M150" s="118" t="str">
        <f t="shared" si="35"/>
        <v/>
      </c>
      <c r="N150" s="118" t="str">
        <f t="shared" si="36"/>
        <v/>
      </c>
      <c r="O150" s="118" t="str">
        <f t="shared" si="37"/>
        <v/>
      </c>
      <c r="P150" s="118" t="str" cm="1">
        <f t="array" aca="1" ref="P150" ca="1">IF(B150="","",IFERROR(MAX(OFFSET(高値!$E$6,MATCH(TEXT(B150,"0"),TEXT(銘柄管理!$B$6:$B$305,"0"),0)-1,0,1,10)),""))</f>
        <v/>
      </c>
      <c r="Q150" s="118" t="str" cm="1">
        <f t="array" aca="1" ref="Q150" ca="1">IF(B150="","",IFERROR(MIN(OFFSET(安値!$E$6,MATCH(TEXT(B150,"0"),TEXT(銘柄管理!$B$6:$B$305,"0"),0)-1,0,1,10)),""))</f>
        <v/>
      </c>
      <c r="R150" s="118" t="str">
        <f t="shared" ca="1" si="38"/>
        <v/>
      </c>
      <c r="S150" s="526" t="str">
        <f t="shared" si="39"/>
        <v/>
      </c>
      <c r="T150" s="116"/>
      <c r="U150" s="116"/>
      <c r="V150" s="118" t="str">
        <f t="shared" si="40"/>
        <v/>
      </c>
      <c r="W150" s="121" t="str">
        <f t="shared" ca="1" si="41"/>
        <v/>
      </c>
      <c r="X150" s="116"/>
    </row>
    <row r="151" spans="1:24" ht="17.25">
      <c r="A151" s="425" t="str">
        <f t="shared" si="42"/>
        <v>株探</v>
      </c>
      <c r="B151" s="116"/>
      <c r="C151" s="116"/>
      <c r="D151" s="116"/>
      <c r="E151" s="117"/>
      <c r="F151" s="443"/>
      <c r="G151" s="116"/>
      <c r="H151" s="118" t="str">
        <f>_xll.RssMarket("d7","現在値")</f>
        <v/>
      </c>
      <c r="I151" s="118" t="str" cm="1">
        <f t="array" ref="I151">_xll.RssMarket(B151, "出来高加重平均")</f>
        <v/>
      </c>
      <c r="J151" s="118" t="str" cm="1">
        <f t="array" ref="J151">_xll.RssMarket(B151, "前日比")</f>
        <v/>
      </c>
      <c r="K151" s="118" t="str">
        <f t="shared" si="33"/>
        <v/>
      </c>
      <c r="L151" s="119" t="str">
        <f t="shared" si="34"/>
        <v/>
      </c>
      <c r="M151" s="118" t="str">
        <f t="shared" si="35"/>
        <v/>
      </c>
      <c r="N151" s="118" t="str">
        <f t="shared" si="36"/>
        <v/>
      </c>
      <c r="O151" s="118" t="str">
        <f t="shared" si="37"/>
        <v/>
      </c>
      <c r="P151" s="118" t="str" cm="1">
        <f t="array" aca="1" ref="P151" ca="1">IF(B151="","",IFERROR(MAX(OFFSET(高値!$E$6,MATCH(TEXT(B151,"0"),TEXT(銘柄管理!$B$6:$B$305,"0"),0)-1,0,1,10)),""))</f>
        <v/>
      </c>
      <c r="Q151" s="118" t="str" cm="1">
        <f t="array" aca="1" ref="Q151" ca="1">IF(B151="","",IFERROR(MIN(OFFSET(安値!$E$6,MATCH(TEXT(B151,"0"),TEXT(銘柄管理!$B$6:$B$305,"0"),0)-1,0,1,10)),""))</f>
        <v/>
      </c>
      <c r="R151" s="118" t="str">
        <f t="shared" ca="1" si="38"/>
        <v/>
      </c>
      <c r="S151" s="526" t="str">
        <f t="shared" si="39"/>
        <v/>
      </c>
      <c r="T151" s="116"/>
      <c r="U151" s="116"/>
      <c r="V151" s="118" t="str">
        <f t="shared" si="40"/>
        <v/>
      </c>
      <c r="W151" s="121" t="str">
        <f t="shared" ca="1" si="41"/>
        <v/>
      </c>
      <c r="X151" s="116"/>
    </row>
    <row r="152" spans="1:24" ht="17.25">
      <c r="A152" s="425" t="str">
        <f t="shared" si="42"/>
        <v>株探</v>
      </c>
      <c r="B152" s="116"/>
      <c r="C152" s="116"/>
      <c r="D152" s="116"/>
      <c r="E152" s="117"/>
      <c r="F152" s="443"/>
      <c r="G152" s="116"/>
      <c r="H152" s="118" t="str">
        <f>_xll.RssMarket("d7","現在値")</f>
        <v/>
      </c>
      <c r="I152" s="118" t="str" cm="1">
        <f t="array" ref="I152">_xll.RssMarket(B152, "出来高加重平均")</f>
        <v/>
      </c>
      <c r="J152" s="118" t="str" cm="1">
        <f t="array" ref="J152">_xll.RssMarket(B152, "前日比")</f>
        <v/>
      </c>
      <c r="K152" s="118" t="str">
        <f t="shared" si="33"/>
        <v/>
      </c>
      <c r="L152" s="119" t="str">
        <f t="shared" si="34"/>
        <v/>
      </c>
      <c r="M152" s="118" t="str">
        <f t="shared" si="35"/>
        <v/>
      </c>
      <c r="N152" s="118" t="str">
        <f t="shared" si="36"/>
        <v/>
      </c>
      <c r="O152" s="118" t="str">
        <f t="shared" si="37"/>
        <v/>
      </c>
      <c r="P152" s="118" t="str" cm="1">
        <f t="array" aca="1" ref="P152" ca="1">IF(B152="","",IFERROR(MAX(OFFSET(高値!$E$6,MATCH(TEXT(B152,"0"),TEXT(銘柄管理!$B$6:$B$305,"0"),0)-1,0,1,10)),""))</f>
        <v/>
      </c>
      <c r="Q152" s="118" t="str" cm="1">
        <f t="array" aca="1" ref="Q152" ca="1">IF(B152="","",IFERROR(MIN(OFFSET(安値!$E$6,MATCH(TEXT(B152,"0"),TEXT(銘柄管理!$B$6:$B$305,"0"),0)-1,0,1,10)),""))</f>
        <v/>
      </c>
      <c r="R152" s="118" t="str">
        <f t="shared" ca="1" si="38"/>
        <v/>
      </c>
      <c r="S152" s="526" t="str">
        <f t="shared" si="39"/>
        <v/>
      </c>
      <c r="T152" s="116"/>
      <c r="U152" s="116"/>
      <c r="V152" s="118" t="str">
        <f t="shared" si="40"/>
        <v/>
      </c>
      <c r="W152" s="121" t="str">
        <f t="shared" ca="1" si="41"/>
        <v/>
      </c>
      <c r="X152" s="116"/>
    </row>
    <row r="153" spans="1:24" ht="17.25">
      <c r="A153" s="425" t="str">
        <f t="shared" si="42"/>
        <v>株探</v>
      </c>
      <c r="B153" s="116"/>
      <c r="C153" s="116"/>
      <c r="D153" s="116"/>
      <c r="E153" s="117"/>
      <c r="F153" s="443"/>
      <c r="G153" s="116"/>
      <c r="H153" s="118" t="str">
        <f>_xll.RssMarket("d7","現在値")</f>
        <v/>
      </c>
      <c r="I153" s="118" t="str" cm="1">
        <f t="array" ref="I153">_xll.RssMarket(B153, "出来高加重平均")</f>
        <v/>
      </c>
      <c r="J153" s="118" t="str" cm="1">
        <f t="array" ref="J153">_xll.RssMarket(B153, "前日比")</f>
        <v/>
      </c>
      <c r="K153" s="118" t="str">
        <f t="shared" si="33"/>
        <v/>
      </c>
      <c r="L153" s="119" t="str">
        <f t="shared" si="34"/>
        <v/>
      </c>
      <c r="M153" s="118" t="str">
        <f t="shared" si="35"/>
        <v/>
      </c>
      <c r="N153" s="118" t="str">
        <f t="shared" si="36"/>
        <v/>
      </c>
      <c r="O153" s="118" t="str">
        <f t="shared" si="37"/>
        <v/>
      </c>
      <c r="P153" s="118" t="str" cm="1">
        <f t="array" aca="1" ref="P153" ca="1">IF(B153="","",IFERROR(MAX(OFFSET(高値!$E$6,MATCH(TEXT(B153,"0"),TEXT(銘柄管理!$B$6:$B$305,"0"),0)-1,0,1,10)),""))</f>
        <v/>
      </c>
      <c r="Q153" s="118" t="str" cm="1">
        <f t="array" aca="1" ref="Q153" ca="1">IF(B153="","",IFERROR(MIN(OFFSET(安値!$E$6,MATCH(TEXT(B153,"0"),TEXT(銘柄管理!$B$6:$B$305,"0"),0)-1,0,1,10)),""))</f>
        <v/>
      </c>
      <c r="R153" s="118" t="str">
        <f t="shared" ca="1" si="38"/>
        <v/>
      </c>
      <c r="S153" s="526" t="str">
        <f t="shared" si="39"/>
        <v/>
      </c>
      <c r="T153" s="116"/>
      <c r="U153" s="116"/>
      <c r="V153" s="118" t="str">
        <f t="shared" si="40"/>
        <v/>
      </c>
      <c r="W153" s="121" t="str">
        <f t="shared" ca="1" si="41"/>
        <v/>
      </c>
      <c r="X153" s="116"/>
    </row>
    <row r="154" spans="1:24" ht="17.25">
      <c r="A154" s="425" t="str">
        <f t="shared" si="42"/>
        <v>株探</v>
      </c>
      <c r="B154" s="116"/>
      <c r="C154" s="116"/>
      <c r="D154" s="116"/>
      <c r="E154" s="117"/>
      <c r="F154" s="443"/>
      <c r="G154" s="116"/>
      <c r="H154" s="118" t="str">
        <f>_xll.RssMarket("d7","現在値")</f>
        <v/>
      </c>
      <c r="I154" s="118" t="str" cm="1">
        <f t="array" ref="I154">_xll.RssMarket(B154, "出来高加重平均")</f>
        <v/>
      </c>
      <c r="J154" s="118" t="str" cm="1">
        <f t="array" ref="J154">_xll.RssMarket(B154, "前日比")</f>
        <v/>
      </c>
      <c r="K154" s="118" t="str">
        <f t="shared" si="33"/>
        <v/>
      </c>
      <c r="L154" s="119" t="str">
        <f t="shared" si="34"/>
        <v/>
      </c>
      <c r="M154" s="118" t="str">
        <f t="shared" si="35"/>
        <v/>
      </c>
      <c r="N154" s="118" t="str">
        <f t="shared" si="36"/>
        <v/>
      </c>
      <c r="O154" s="118" t="str">
        <f t="shared" si="37"/>
        <v/>
      </c>
      <c r="P154" s="118" t="str" cm="1">
        <f t="array" aca="1" ref="P154" ca="1">IF(B154="","",IFERROR(MAX(OFFSET(高値!$E$6,MATCH(TEXT(B154,"0"),TEXT(銘柄管理!$B$6:$B$305,"0"),0)-1,0,1,10)),""))</f>
        <v/>
      </c>
      <c r="Q154" s="118" t="str" cm="1">
        <f t="array" aca="1" ref="Q154" ca="1">IF(B154="","",IFERROR(MIN(OFFSET(安値!$E$6,MATCH(TEXT(B154,"0"),TEXT(銘柄管理!$B$6:$B$305,"0"),0)-1,0,1,10)),""))</f>
        <v/>
      </c>
      <c r="R154" s="118" t="str">
        <f t="shared" ca="1" si="38"/>
        <v/>
      </c>
      <c r="S154" s="526" t="str">
        <f t="shared" si="39"/>
        <v/>
      </c>
      <c r="T154" s="116"/>
      <c r="U154" s="116"/>
      <c r="V154" s="118" t="str">
        <f t="shared" si="40"/>
        <v/>
      </c>
      <c r="W154" s="121" t="str">
        <f t="shared" ca="1" si="41"/>
        <v/>
      </c>
      <c r="X154" s="116"/>
    </row>
    <row r="155" spans="1:24" ht="17.25">
      <c r="A155" s="425" t="str">
        <f t="shared" si="42"/>
        <v>株探</v>
      </c>
      <c r="B155" s="116"/>
      <c r="C155" s="116"/>
      <c r="D155" s="116"/>
      <c r="E155" s="117"/>
      <c r="F155" s="443"/>
      <c r="G155" s="116"/>
      <c r="H155" s="118" t="str">
        <f>_xll.RssMarket("d7","現在値")</f>
        <v/>
      </c>
      <c r="I155" s="118" t="str" cm="1">
        <f t="array" ref="I155">_xll.RssMarket(B155, "出来高加重平均")</f>
        <v/>
      </c>
      <c r="J155" s="118" t="str" cm="1">
        <f t="array" ref="J155">_xll.RssMarket(B155, "前日比")</f>
        <v/>
      </c>
      <c r="K155" s="118" t="str">
        <f t="shared" si="33"/>
        <v/>
      </c>
      <c r="L155" s="119" t="str">
        <f t="shared" si="34"/>
        <v/>
      </c>
      <c r="M155" s="118" t="str">
        <f t="shared" si="35"/>
        <v/>
      </c>
      <c r="N155" s="118" t="str">
        <f t="shared" si="36"/>
        <v/>
      </c>
      <c r="O155" s="118" t="str">
        <f t="shared" si="37"/>
        <v/>
      </c>
      <c r="P155" s="118" t="str" cm="1">
        <f t="array" aca="1" ref="P155" ca="1">IF(B155="","",IFERROR(MAX(OFFSET(高値!$E$6,MATCH(TEXT(B155,"0"),TEXT(銘柄管理!$B$6:$B$305,"0"),0)-1,0,1,10)),""))</f>
        <v/>
      </c>
      <c r="Q155" s="118" t="str" cm="1">
        <f t="array" aca="1" ref="Q155" ca="1">IF(B155="","",IFERROR(MIN(OFFSET(安値!$E$6,MATCH(TEXT(B155,"0"),TEXT(銘柄管理!$B$6:$B$305,"0"),0)-1,0,1,10)),""))</f>
        <v/>
      </c>
      <c r="R155" s="118" t="str">
        <f t="shared" ca="1" si="38"/>
        <v/>
      </c>
      <c r="S155" s="526" t="str">
        <f t="shared" si="39"/>
        <v/>
      </c>
      <c r="T155" s="116"/>
      <c r="U155" s="116"/>
      <c r="V155" s="118" t="str">
        <f t="shared" si="40"/>
        <v/>
      </c>
      <c r="W155" s="121" t="str">
        <f t="shared" ca="1" si="41"/>
        <v/>
      </c>
      <c r="X155" s="116"/>
    </row>
    <row r="156" spans="1:24" ht="17.25">
      <c r="A156" s="425" t="str">
        <f t="shared" si="42"/>
        <v>株探</v>
      </c>
      <c r="B156" s="116"/>
      <c r="C156" s="116"/>
      <c r="D156" s="116"/>
      <c r="E156" s="117"/>
      <c r="F156" s="443"/>
      <c r="G156" s="116"/>
      <c r="H156" s="118" t="str">
        <f>_xll.RssMarket("d7","現在値")</f>
        <v/>
      </c>
      <c r="I156" s="118" t="str" cm="1">
        <f t="array" ref="I156">_xll.RssMarket(B156, "出来高加重平均")</f>
        <v/>
      </c>
      <c r="J156" s="118" t="str" cm="1">
        <f t="array" ref="J156">_xll.RssMarket(B156, "前日比")</f>
        <v/>
      </c>
      <c r="K156" s="118" t="str">
        <f t="shared" si="33"/>
        <v/>
      </c>
      <c r="L156" s="119" t="str">
        <f t="shared" si="34"/>
        <v/>
      </c>
      <c r="M156" s="118" t="str">
        <f t="shared" si="35"/>
        <v/>
      </c>
      <c r="N156" s="118" t="str">
        <f t="shared" si="36"/>
        <v/>
      </c>
      <c r="O156" s="118" t="str">
        <f t="shared" si="37"/>
        <v/>
      </c>
      <c r="P156" s="118" t="str" cm="1">
        <f t="array" aca="1" ref="P156" ca="1">IF(B156="","",IFERROR(MAX(OFFSET(高値!$E$6,MATCH(TEXT(B156,"0"),TEXT(銘柄管理!$B$6:$B$305,"0"),0)-1,0,1,10)),""))</f>
        <v/>
      </c>
      <c r="Q156" s="118" t="str" cm="1">
        <f t="array" aca="1" ref="Q156" ca="1">IF(B156="","",IFERROR(MIN(OFFSET(安値!$E$6,MATCH(TEXT(B156,"0"),TEXT(銘柄管理!$B$6:$B$305,"0"),0)-1,0,1,10)),""))</f>
        <v/>
      </c>
      <c r="R156" s="118" t="str">
        <f t="shared" ca="1" si="38"/>
        <v/>
      </c>
      <c r="S156" s="526" t="str">
        <f t="shared" si="39"/>
        <v/>
      </c>
      <c r="T156" s="116"/>
      <c r="U156" s="116"/>
      <c r="V156" s="118" t="str">
        <f t="shared" si="40"/>
        <v/>
      </c>
      <c r="W156" s="121" t="str">
        <f t="shared" ca="1" si="41"/>
        <v/>
      </c>
      <c r="X156" s="116"/>
    </row>
    <row r="157" spans="1:24" ht="17.25">
      <c r="A157" s="425" t="str">
        <f t="shared" si="42"/>
        <v>株探</v>
      </c>
      <c r="B157" s="116"/>
      <c r="C157" s="116"/>
      <c r="D157" s="116"/>
      <c r="E157" s="117"/>
      <c r="F157" s="443"/>
      <c r="G157" s="116"/>
      <c r="H157" s="118" t="str">
        <f>_xll.RssMarket("d7","現在値")</f>
        <v/>
      </c>
      <c r="I157" s="118" t="str" cm="1">
        <f t="array" ref="I157">_xll.RssMarket(B157, "出来高加重平均")</f>
        <v/>
      </c>
      <c r="J157" s="118" t="str" cm="1">
        <f t="array" ref="J157">_xll.RssMarket(B157, "前日比")</f>
        <v/>
      </c>
      <c r="K157" s="118" t="str">
        <f t="shared" si="33"/>
        <v/>
      </c>
      <c r="L157" s="119" t="str">
        <f t="shared" si="34"/>
        <v/>
      </c>
      <c r="M157" s="118" t="str">
        <f t="shared" si="35"/>
        <v/>
      </c>
      <c r="N157" s="118" t="str">
        <f t="shared" si="36"/>
        <v/>
      </c>
      <c r="O157" s="118" t="str">
        <f t="shared" si="37"/>
        <v/>
      </c>
      <c r="P157" s="118" t="str" cm="1">
        <f t="array" aca="1" ref="P157" ca="1">IF(B157="","",IFERROR(MAX(OFFSET(高値!$E$6,MATCH(TEXT(B157,"0"),TEXT(銘柄管理!$B$6:$B$305,"0"),0)-1,0,1,10)),""))</f>
        <v/>
      </c>
      <c r="Q157" s="118" t="str" cm="1">
        <f t="array" aca="1" ref="Q157" ca="1">IF(B157="","",IFERROR(MIN(OFFSET(安値!$E$6,MATCH(TEXT(B157,"0"),TEXT(銘柄管理!$B$6:$B$305,"0"),0)-1,0,1,10)),""))</f>
        <v/>
      </c>
      <c r="R157" s="118" t="str">
        <f t="shared" ca="1" si="38"/>
        <v/>
      </c>
      <c r="S157" s="526" t="str">
        <f t="shared" si="39"/>
        <v/>
      </c>
      <c r="T157" s="116"/>
      <c r="U157" s="116"/>
      <c r="V157" s="118" t="str">
        <f t="shared" si="40"/>
        <v/>
      </c>
      <c r="W157" s="121" t="str">
        <f t="shared" ca="1" si="41"/>
        <v/>
      </c>
      <c r="X157" s="116"/>
    </row>
    <row r="158" spans="1:24" ht="17.25">
      <c r="A158" s="425" t="str">
        <f t="shared" si="42"/>
        <v>株探</v>
      </c>
      <c r="B158" s="116"/>
      <c r="C158" s="116"/>
      <c r="D158" s="116"/>
      <c r="E158" s="117"/>
      <c r="F158" s="443"/>
      <c r="G158" s="116"/>
      <c r="H158" s="118" t="str">
        <f>_xll.RssMarket("d7","現在値")</f>
        <v/>
      </c>
      <c r="I158" s="118" t="str" cm="1">
        <f t="array" ref="I158">_xll.RssMarket(B158, "出来高加重平均")</f>
        <v/>
      </c>
      <c r="J158" s="118" t="str" cm="1">
        <f t="array" ref="J158">_xll.RssMarket(B158, "前日比")</f>
        <v/>
      </c>
      <c r="K158" s="118" t="str">
        <f t="shared" si="33"/>
        <v/>
      </c>
      <c r="L158" s="119" t="str">
        <f t="shared" si="34"/>
        <v/>
      </c>
      <c r="M158" s="118" t="str">
        <f t="shared" si="35"/>
        <v/>
      </c>
      <c r="N158" s="118" t="str">
        <f t="shared" si="36"/>
        <v/>
      </c>
      <c r="O158" s="118" t="str">
        <f t="shared" si="37"/>
        <v/>
      </c>
      <c r="P158" s="118" t="str" cm="1">
        <f t="array" aca="1" ref="P158" ca="1">IF(B158="","",IFERROR(MAX(OFFSET(高値!$E$6,MATCH(TEXT(B158,"0"),TEXT(銘柄管理!$B$6:$B$305,"0"),0)-1,0,1,10)),""))</f>
        <v/>
      </c>
      <c r="Q158" s="118" t="str" cm="1">
        <f t="array" aca="1" ref="Q158" ca="1">IF(B158="","",IFERROR(MIN(OFFSET(安値!$E$6,MATCH(TEXT(B158,"0"),TEXT(銘柄管理!$B$6:$B$305,"0"),0)-1,0,1,10)),""))</f>
        <v/>
      </c>
      <c r="R158" s="118" t="str">
        <f t="shared" ca="1" si="38"/>
        <v/>
      </c>
      <c r="S158" s="526" t="str">
        <f t="shared" si="39"/>
        <v/>
      </c>
      <c r="T158" s="116"/>
      <c r="U158" s="116"/>
      <c r="V158" s="118" t="str">
        <f t="shared" si="40"/>
        <v/>
      </c>
      <c r="W158" s="121" t="str">
        <f t="shared" ca="1" si="41"/>
        <v/>
      </c>
      <c r="X158" s="116"/>
    </row>
    <row r="159" spans="1:24" ht="17.25">
      <c r="A159" s="425" t="str">
        <f t="shared" si="42"/>
        <v>株探</v>
      </c>
      <c r="B159" s="116"/>
      <c r="C159" s="116"/>
      <c r="D159" s="116"/>
      <c r="E159" s="117"/>
      <c r="F159" s="443"/>
      <c r="G159" s="116"/>
      <c r="H159" s="118" t="str">
        <f>_xll.RssMarket("d7","現在値")</f>
        <v/>
      </c>
      <c r="I159" s="118" t="str" cm="1">
        <f t="array" ref="I159">_xll.RssMarket(B159, "出来高加重平均")</f>
        <v/>
      </c>
      <c r="J159" s="118" t="str" cm="1">
        <f t="array" ref="J159">_xll.RssMarket(B159, "前日比")</f>
        <v/>
      </c>
      <c r="K159" s="118" t="str">
        <f t="shared" si="33"/>
        <v/>
      </c>
      <c r="L159" s="119" t="str">
        <f t="shared" si="34"/>
        <v/>
      </c>
      <c r="M159" s="118" t="str">
        <f t="shared" si="35"/>
        <v/>
      </c>
      <c r="N159" s="118" t="str">
        <f t="shared" si="36"/>
        <v/>
      </c>
      <c r="O159" s="118" t="str">
        <f t="shared" si="37"/>
        <v/>
      </c>
      <c r="P159" s="118" t="str" cm="1">
        <f t="array" aca="1" ref="P159" ca="1">IF(B159="","",IFERROR(MAX(OFFSET(高値!$E$6,MATCH(TEXT(B159,"0"),TEXT(銘柄管理!$B$6:$B$305,"0"),0)-1,0,1,10)),""))</f>
        <v/>
      </c>
      <c r="Q159" s="118" t="str" cm="1">
        <f t="array" aca="1" ref="Q159" ca="1">IF(B159="","",IFERROR(MIN(OFFSET(安値!$E$6,MATCH(TEXT(B159,"0"),TEXT(銘柄管理!$B$6:$B$305,"0"),0)-1,0,1,10)),""))</f>
        <v/>
      </c>
      <c r="R159" s="118" t="str">
        <f t="shared" ca="1" si="38"/>
        <v/>
      </c>
      <c r="S159" s="526" t="str">
        <f t="shared" si="39"/>
        <v/>
      </c>
      <c r="T159" s="116"/>
      <c r="U159" s="116"/>
      <c r="V159" s="118" t="str">
        <f t="shared" si="40"/>
        <v/>
      </c>
      <c r="W159" s="121" t="str">
        <f t="shared" ca="1" si="41"/>
        <v/>
      </c>
      <c r="X159" s="116"/>
    </row>
    <row r="160" spans="1:24" ht="17.25">
      <c r="A160" s="425" t="str">
        <f t="shared" si="42"/>
        <v>株探</v>
      </c>
      <c r="B160" s="116"/>
      <c r="C160" s="116"/>
      <c r="D160" s="116"/>
      <c r="E160" s="117"/>
      <c r="F160" s="443"/>
      <c r="G160" s="116"/>
      <c r="H160" s="118" t="str">
        <f>_xll.RssMarket("d7","現在値")</f>
        <v/>
      </c>
      <c r="I160" s="118" t="str" cm="1">
        <f t="array" ref="I160">_xll.RssMarket(B160, "出来高加重平均")</f>
        <v/>
      </c>
      <c r="J160" s="118" t="str" cm="1">
        <f t="array" ref="J160">_xll.RssMarket(B160, "前日比")</f>
        <v/>
      </c>
      <c r="K160" s="118" t="str">
        <f t="shared" si="33"/>
        <v/>
      </c>
      <c r="L160" s="119" t="str">
        <f t="shared" si="34"/>
        <v/>
      </c>
      <c r="M160" s="118" t="str">
        <f t="shared" si="35"/>
        <v/>
      </c>
      <c r="N160" s="118" t="str">
        <f t="shared" si="36"/>
        <v/>
      </c>
      <c r="O160" s="118" t="str">
        <f t="shared" si="37"/>
        <v/>
      </c>
      <c r="P160" s="118" t="str" cm="1">
        <f t="array" aca="1" ref="P160" ca="1">IF(B160="","",IFERROR(MAX(OFFSET(高値!$E$6,MATCH(TEXT(B160,"0"),TEXT(銘柄管理!$B$6:$B$305,"0"),0)-1,0,1,10)),""))</f>
        <v/>
      </c>
      <c r="Q160" s="118" t="str" cm="1">
        <f t="array" aca="1" ref="Q160" ca="1">IF(B160="","",IFERROR(MIN(OFFSET(安値!$E$6,MATCH(TEXT(B160,"0"),TEXT(銘柄管理!$B$6:$B$305,"0"),0)-1,0,1,10)),""))</f>
        <v/>
      </c>
      <c r="R160" s="118" t="str">
        <f t="shared" ca="1" si="38"/>
        <v/>
      </c>
      <c r="S160" s="526" t="str">
        <f t="shared" si="39"/>
        <v/>
      </c>
      <c r="T160" s="116"/>
      <c r="U160" s="116"/>
      <c r="V160" s="118" t="str">
        <f t="shared" si="40"/>
        <v/>
      </c>
      <c r="W160" s="121" t="str">
        <f t="shared" ca="1" si="41"/>
        <v/>
      </c>
      <c r="X160" s="116"/>
    </row>
    <row r="161" spans="1:24" ht="17.25">
      <c r="A161" s="425" t="str">
        <f t="shared" si="42"/>
        <v>株探</v>
      </c>
      <c r="B161" s="116"/>
      <c r="C161" s="116"/>
      <c r="D161" s="116"/>
      <c r="E161" s="117"/>
      <c r="F161" s="443"/>
      <c r="G161" s="116"/>
      <c r="H161" s="118" t="str">
        <f>_xll.RssMarket("d7","現在値")</f>
        <v/>
      </c>
      <c r="I161" s="118" t="str" cm="1">
        <f t="array" ref="I161">_xll.RssMarket(B161, "出来高加重平均")</f>
        <v/>
      </c>
      <c r="J161" s="118" t="str" cm="1">
        <f t="array" ref="J161">_xll.RssMarket(B161, "前日比")</f>
        <v/>
      </c>
      <c r="K161" s="118" t="str">
        <f t="shared" si="33"/>
        <v/>
      </c>
      <c r="L161" s="119" t="str">
        <f t="shared" si="34"/>
        <v/>
      </c>
      <c r="M161" s="118" t="str">
        <f t="shared" si="35"/>
        <v/>
      </c>
      <c r="N161" s="118" t="str">
        <f t="shared" si="36"/>
        <v/>
      </c>
      <c r="O161" s="118" t="str">
        <f t="shared" si="37"/>
        <v/>
      </c>
      <c r="P161" s="118" t="str" cm="1">
        <f t="array" aca="1" ref="P161" ca="1">IF(B161="","",IFERROR(MAX(OFFSET(高値!$E$6,MATCH(TEXT(B161,"0"),TEXT(銘柄管理!$B$6:$B$305,"0"),0)-1,0,1,10)),""))</f>
        <v/>
      </c>
      <c r="Q161" s="118" t="str" cm="1">
        <f t="array" aca="1" ref="Q161" ca="1">IF(B161="","",IFERROR(MIN(OFFSET(安値!$E$6,MATCH(TEXT(B161,"0"),TEXT(銘柄管理!$B$6:$B$305,"0"),0)-1,0,1,10)),""))</f>
        <v/>
      </c>
      <c r="R161" s="118" t="str">
        <f t="shared" ca="1" si="38"/>
        <v/>
      </c>
      <c r="S161" s="526" t="str">
        <f t="shared" si="39"/>
        <v/>
      </c>
      <c r="T161" s="116"/>
      <c r="U161" s="116"/>
      <c r="V161" s="118" t="str">
        <f t="shared" si="40"/>
        <v/>
      </c>
      <c r="W161" s="121" t="str">
        <f t="shared" ca="1" si="41"/>
        <v/>
      </c>
      <c r="X161" s="116"/>
    </row>
    <row r="162" spans="1:24" ht="17.25">
      <c r="A162" s="425" t="str">
        <f t="shared" si="42"/>
        <v>株探</v>
      </c>
      <c r="B162" s="116"/>
      <c r="C162" s="116"/>
      <c r="D162" s="116"/>
      <c r="E162" s="117"/>
      <c r="F162" s="443"/>
      <c r="G162" s="116"/>
      <c r="H162" s="118" t="str">
        <f>_xll.RssMarket("d7","現在値")</f>
        <v/>
      </c>
      <c r="I162" s="118" t="str" cm="1">
        <f t="array" ref="I162">_xll.RssMarket(B162, "出来高加重平均")</f>
        <v/>
      </c>
      <c r="J162" s="118" t="str" cm="1">
        <f t="array" ref="J162">_xll.RssMarket(B162, "前日比")</f>
        <v/>
      </c>
      <c r="K162" s="118" t="str">
        <f t="shared" si="33"/>
        <v/>
      </c>
      <c r="L162" s="119" t="str">
        <f t="shared" si="34"/>
        <v/>
      </c>
      <c r="M162" s="118" t="str">
        <f t="shared" si="35"/>
        <v/>
      </c>
      <c r="N162" s="118" t="str">
        <f t="shared" si="36"/>
        <v/>
      </c>
      <c r="O162" s="118" t="str">
        <f t="shared" si="37"/>
        <v/>
      </c>
      <c r="P162" s="118" t="str" cm="1">
        <f t="array" aca="1" ref="P162" ca="1">IF(B162="","",IFERROR(MAX(OFFSET(高値!$E$6,MATCH(TEXT(B162,"0"),TEXT(銘柄管理!$B$6:$B$305,"0"),0)-1,0,1,10)),""))</f>
        <v/>
      </c>
      <c r="Q162" s="118" t="str" cm="1">
        <f t="array" aca="1" ref="Q162" ca="1">IF(B162="","",IFERROR(MIN(OFFSET(安値!$E$6,MATCH(TEXT(B162,"0"),TEXT(銘柄管理!$B$6:$B$305,"0"),0)-1,0,1,10)),""))</f>
        <v/>
      </c>
      <c r="R162" s="118" t="str">
        <f t="shared" ca="1" si="38"/>
        <v/>
      </c>
      <c r="S162" s="526" t="str">
        <f t="shared" si="39"/>
        <v/>
      </c>
      <c r="T162" s="116"/>
      <c r="U162" s="116"/>
      <c r="V162" s="118" t="str">
        <f t="shared" si="40"/>
        <v/>
      </c>
      <c r="W162" s="121" t="str">
        <f t="shared" ca="1" si="41"/>
        <v/>
      </c>
      <c r="X162" s="116"/>
    </row>
    <row r="163" spans="1:24" ht="17.25">
      <c r="A163" s="425" t="str">
        <f t="shared" si="42"/>
        <v>株探</v>
      </c>
      <c r="B163" s="116"/>
      <c r="C163" s="116"/>
      <c r="D163" s="116"/>
      <c r="E163" s="117"/>
      <c r="F163" s="443"/>
      <c r="G163" s="116"/>
      <c r="H163" s="118" t="str">
        <f>_xll.RssMarket("d7","現在値")</f>
        <v/>
      </c>
      <c r="I163" s="118" t="str" cm="1">
        <f t="array" ref="I163">_xll.RssMarket(B163, "出来高加重平均")</f>
        <v/>
      </c>
      <c r="J163" s="118" t="str" cm="1">
        <f t="array" ref="J163">_xll.RssMarket(B163, "前日比")</f>
        <v/>
      </c>
      <c r="K163" s="118" t="str">
        <f t="shared" si="33"/>
        <v/>
      </c>
      <c r="L163" s="119" t="str">
        <f t="shared" si="34"/>
        <v/>
      </c>
      <c r="M163" s="118" t="str">
        <f t="shared" si="35"/>
        <v/>
      </c>
      <c r="N163" s="118" t="str">
        <f t="shared" si="36"/>
        <v/>
      </c>
      <c r="O163" s="118" t="str">
        <f t="shared" si="37"/>
        <v/>
      </c>
      <c r="P163" s="118" t="str" cm="1">
        <f t="array" aca="1" ref="P163" ca="1">IF(B163="","",IFERROR(MAX(OFFSET(高値!$E$6,MATCH(TEXT(B163,"0"),TEXT(銘柄管理!$B$6:$B$305,"0"),0)-1,0,1,10)),""))</f>
        <v/>
      </c>
      <c r="Q163" s="118" t="str" cm="1">
        <f t="array" aca="1" ref="Q163" ca="1">IF(B163="","",IFERROR(MIN(OFFSET(安値!$E$6,MATCH(TEXT(B163,"0"),TEXT(銘柄管理!$B$6:$B$305,"0"),0)-1,0,1,10)),""))</f>
        <v/>
      </c>
      <c r="R163" s="118" t="str">
        <f t="shared" ca="1" si="38"/>
        <v/>
      </c>
      <c r="S163" s="526" t="str">
        <f t="shared" si="39"/>
        <v/>
      </c>
      <c r="T163" s="116"/>
      <c r="U163" s="116"/>
      <c r="V163" s="118" t="str">
        <f t="shared" si="40"/>
        <v/>
      </c>
      <c r="W163" s="121" t="str">
        <f t="shared" ca="1" si="41"/>
        <v/>
      </c>
      <c r="X163" s="116"/>
    </row>
    <row r="164" spans="1:24" ht="17.25">
      <c r="A164" s="425" t="str">
        <f t="shared" si="42"/>
        <v>株探</v>
      </c>
      <c r="B164" s="116"/>
      <c r="C164" s="116"/>
      <c r="D164" s="116"/>
      <c r="E164" s="117"/>
      <c r="F164" s="443"/>
      <c r="G164" s="116"/>
      <c r="H164" s="118" t="str">
        <f>_xll.RssMarket("d7","現在値")</f>
        <v/>
      </c>
      <c r="I164" s="118" t="str" cm="1">
        <f t="array" ref="I164">_xll.RssMarket(B164, "出来高加重平均")</f>
        <v/>
      </c>
      <c r="J164" s="118" t="str" cm="1">
        <f t="array" ref="J164">_xll.RssMarket(B164, "前日比")</f>
        <v/>
      </c>
      <c r="K164" s="118" t="str">
        <f t="shared" si="33"/>
        <v/>
      </c>
      <c r="L164" s="119" t="str">
        <f t="shared" si="34"/>
        <v/>
      </c>
      <c r="M164" s="118" t="str">
        <f t="shared" si="35"/>
        <v/>
      </c>
      <c r="N164" s="118" t="str">
        <f t="shared" si="36"/>
        <v/>
      </c>
      <c r="O164" s="118" t="str">
        <f t="shared" si="37"/>
        <v/>
      </c>
      <c r="P164" s="118" t="str" cm="1">
        <f t="array" aca="1" ref="P164" ca="1">IF(B164="","",IFERROR(MAX(OFFSET(高値!$E$6,MATCH(TEXT(B164,"0"),TEXT(銘柄管理!$B$6:$B$305,"0"),0)-1,0,1,10)),""))</f>
        <v/>
      </c>
      <c r="Q164" s="118" t="str" cm="1">
        <f t="array" aca="1" ref="Q164" ca="1">IF(B164="","",IFERROR(MIN(OFFSET(安値!$E$6,MATCH(TEXT(B164,"0"),TEXT(銘柄管理!$B$6:$B$305,"0"),0)-1,0,1,10)),""))</f>
        <v/>
      </c>
      <c r="R164" s="118" t="str">
        <f t="shared" ca="1" si="38"/>
        <v/>
      </c>
      <c r="S164" s="526" t="str">
        <f t="shared" si="39"/>
        <v/>
      </c>
      <c r="T164" s="116"/>
      <c r="U164" s="116"/>
      <c r="V164" s="118" t="str">
        <f t="shared" si="40"/>
        <v/>
      </c>
      <c r="W164" s="121" t="str">
        <f t="shared" ca="1" si="41"/>
        <v/>
      </c>
      <c r="X164" s="116"/>
    </row>
    <row r="165" spans="1:24" ht="17.25">
      <c r="A165" s="425" t="str">
        <f t="shared" si="42"/>
        <v>株探</v>
      </c>
      <c r="B165" s="116"/>
      <c r="C165" s="116"/>
      <c r="D165" s="116"/>
      <c r="E165" s="117"/>
      <c r="F165" s="443"/>
      <c r="G165" s="116"/>
      <c r="H165" s="118" t="str">
        <f>_xll.RssMarket("d7","現在値")</f>
        <v/>
      </c>
      <c r="I165" s="118" t="str" cm="1">
        <f t="array" ref="I165">_xll.RssMarket(B165, "出来高加重平均")</f>
        <v/>
      </c>
      <c r="J165" s="118" t="str" cm="1">
        <f t="array" ref="J165">_xll.RssMarket(B165, "前日比")</f>
        <v/>
      </c>
      <c r="K165" s="118" t="str">
        <f t="shared" si="33"/>
        <v/>
      </c>
      <c r="L165" s="119" t="str">
        <f t="shared" si="34"/>
        <v/>
      </c>
      <c r="M165" s="118" t="str">
        <f t="shared" si="35"/>
        <v/>
      </c>
      <c r="N165" s="118" t="str">
        <f t="shared" si="36"/>
        <v/>
      </c>
      <c r="O165" s="118" t="str">
        <f t="shared" si="37"/>
        <v/>
      </c>
      <c r="P165" s="118" t="str" cm="1">
        <f t="array" aca="1" ref="P165" ca="1">IF(B165="","",IFERROR(MAX(OFFSET(高値!$E$6,MATCH(TEXT(B165,"0"),TEXT(銘柄管理!$B$6:$B$305,"0"),0)-1,0,1,10)),""))</f>
        <v/>
      </c>
      <c r="Q165" s="118" t="str" cm="1">
        <f t="array" aca="1" ref="Q165" ca="1">IF(B165="","",IFERROR(MIN(OFFSET(安値!$E$6,MATCH(TEXT(B165,"0"),TEXT(銘柄管理!$B$6:$B$305,"0"),0)-1,0,1,10)),""))</f>
        <v/>
      </c>
      <c r="R165" s="118" t="str">
        <f t="shared" ca="1" si="38"/>
        <v/>
      </c>
      <c r="S165" s="526" t="str">
        <f t="shared" si="39"/>
        <v/>
      </c>
      <c r="T165" s="116"/>
      <c r="U165" s="116"/>
      <c r="V165" s="118" t="str">
        <f t="shared" si="40"/>
        <v/>
      </c>
      <c r="W165" s="121" t="str">
        <f t="shared" ca="1" si="41"/>
        <v/>
      </c>
      <c r="X165" s="116"/>
    </row>
    <row r="166" spans="1:24" ht="17.25">
      <c r="A166" s="425" t="str">
        <f t="shared" si="42"/>
        <v>株探</v>
      </c>
      <c r="B166" s="116"/>
      <c r="C166" s="116"/>
      <c r="D166" s="116"/>
      <c r="E166" s="117"/>
      <c r="F166" s="443"/>
      <c r="G166" s="116"/>
      <c r="H166" s="118" t="str">
        <f>_xll.RssMarket("d7","現在値")</f>
        <v/>
      </c>
      <c r="I166" s="118" t="str" cm="1">
        <f t="array" ref="I166">_xll.RssMarket(B166, "出来高加重平均")</f>
        <v/>
      </c>
      <c r="J166" s="118" t="str" cm="1">
        <f t="array" ref="J166">_xll.RssMarket(B166, "前日比")</f>
        <v/>
      </c>
      <c r="K166" s="118" t="str">
        <f t="shared" si="33"/>
        <v/>
      </c>
      <c r="L166" s="119" t="str">
        <f t="shared" si="34"/>
        <v/>
      </c>
      <c r="M166" s="118" t="str">
        <f t="shared" si="35"/>
        <v/>
      </c>
      <c r="N166" s="118" t="str">
        <f t="shared" si="36"/>
        <v/>
      </c>
      <c r="O166" s="118" t="str">
        <f t="shared" si="37"/>
        <v/>
      </c>
      <c r="P166" s="118" t="str" cm="1">
        <f t="array" aca="1" ref="P166" ca="1">IF(B166="","",IFERROR(MAX(OFFSET(高値!$E$6,MATCH(TEXT(B166,"0"),TEXT(銘柄管理!$B$6:$B$305,"0"),0)-1,0,1,10)),""))</f>
        <v/>
      </c>
      <c r="Q166" s="118" t="str" cm="1">
        <f t="array" aca="1" ref="Q166" ca="1">IF(B166="","",IFERROR(MIN(OFFSET(安値!$E$6,MATCH(TEXT(B166,"0"),TEXT(銘柄管理!$B$6:$B$305,"0"),0)-1,0,1,10)),""))</f>
        <v/>
      </c>
      <c r="R166" s="118" t="str">
        <f t="shared" ca="1" si="38"/>
        <v/>
      </c>
      <c r="S166" s="526" t="str">
        <f t="shared" si="39"/>
        <v/>
      </c>
      <c r="T166" s="116"/>
      <c r="U166" s="116"/>
      <c r="V166" s="118" t="str">
        <f t="shared" si="40"/>
        <v/>
      </c>
      <c r="W166" s="121" t="str">
        <f t="shared" ca="1" si="41"/>
        <v/>
      </c>
      <c r="X166" s="116"/>
    </row>
    <row r="167" spans="1:24" ht="17.25">
      <c r="A167" s="425" t="str">
        <f t="shared" si="42"/>
        <v>株探</v>
      </c>
      <c r="B167" s="116"/>
      <c r="C167" s="116"/>
      <c r="D167" s="116"/>
      <c r="E167" s="117"/>
      <c r="F167" s="443"/>
      <c r="G167" s="116"/>
      <c r="H167" s="118" t="str">
        <f>_xll.RssMarket("d7","現在値")</f>
        <v/>
      </c>
      <c r="I167" s="118" t="str" cm="1">
        <f t="array" ref="I167">_xll.RssMarket(B167, "出来高加重平均")</f>
        <v/>
      </c>
      <c r="J167" s="118" t="str" cm="1">
        <f t="array" ref="J167">_xll.RssMarket(B167, "前日比")</f>
        <v/>
      </c>
      <c r="K167" s="118" t="str">
        <f t="shared" si="33"/>
        <v/>
      </c>
      <c r="L167" s="119" t="str">
        <f t="shared" si="34"/>
        <v/>
      </c>
      <c r="M167" s="118" t="str">
        <f t="shared" si="35"/>
        <v/>
      </c>
      <c r="N167" s="118" t="str">
        <f t="shared" si="36"/>
        <v/>
      </c>
      <c r="O167" s="118" t="str">
        <f t="shared" si="37"/>
        <v/>
      </c>
      <c r="P167" s="118" t="str" cm="1">
        <f t="array" aca="1" ref="P167" ca="1">IF(B167="","",IFERROR(MAX(OFFSET(高値!$E$6,MATCH(TEXT(B167,"0"),TEXT(銘柄管理!$B$6:$B$305,"0"),0)-1,0,1,10)),""))</f>
        <v/>
      </c>
      <c r="Q167" s="118" t="str" cm="1">
        <f t="array" aca="1" ref="Q167" ca="1">IF(B167="","",IFERROR(MIN(OFFSET(安値!$E$6,MATCH(TEXT(B167,"0"),TEXT(銘柄管理!$B$6:$B$305,"0"),0)-1,0,1,10)),""))</f>
        <v/>
      </c>
      <c r="R167" s="118" t="str">
        <f t="shared" ca="1" si="38"/>
        <v/>
      </c>
      <c r="S167" s="526" t="str">
        <f t="shared" si="39"/>
        <v/>
      </c>
      <c r="T167" s="116"/>
      <c r="U167" s="116"/>
      <c r="V167" s="118" t="str">
        <f t="shared" si="40"/>
        <v/>
      </c>
      <c r="W167" s="121" t="str">
        <f t="shared" ca="1" si="41"/>
        <v/>
      </c>
      <c r="X167" s="116"/>
    </row>
    <row r="168" spans="1:24" ht="17.25">
      <c r="A168" s="425" t="str">
        <f t="shared" si="42"/>
        <v>株探</v>
      </c>
      <c r="B168" s="116"/>
      <c r="C168" s="116"/>
      <c r="D168" s="116"/>
      <c r="E168" s="117"/>
      <c r="F168" s="443"/>
      <c r="G168" s="116"/>
      <c r="H168" s="118" t="str">
        <f>_xll.RssMarket("d7","現在値")</f>
        <v/>
      </c>
      <c r="I168" s="118" t="str" cm="1">
        <f t="array" ref="I168">_xll.RssMarket(B168, "出来高加重平均")</f>
        <v/>
      </c>
      <c r="J168" s="118" t="str" cm="1">
        <f t="array" ref="J168">_xll.RssMarket(B168, "前日比")</f>
        <v/>
      </c>
      <c r="K168" s="118" t="str">
        <f t="shared" si="33"/>
        <v/>
      </c>
      <c r="L168" s="119" t="str">
        <f t="shared" si="34"/>
        <v/>
      </c>
      <c r="M168" s="118" t="str">
        <f t="shared" si="35"/>
        <v/>
      </c>
      <c r="N168" s="118" t="str">
        <f t="shared" si="36"/>
        <v/>
      </c>
      <c r="O168" s="118" t="str">
        <f t="shared" si="37"/>
        <v/>
      </c>
      <c r="P168" s="118" t="str" cm="1">
        <f t="array" aca="1" ref="P168" ca="1">IF(B168="","",IFERROR(MAX(OFFSET(高値!$E$6,MATCH(TEXT(B168,"0"),TEXT(銘柄管理!$B$6:$B$305,"0"),0)-1,0,1,10)),""))</f>
        <v/>
      </c>
      <c r="Q168" s="118" t="str" cm="1">
        <f t="array" aca="1" ref="Q168" ca="1">IF(B168="","",IFERROR(MIN(OFFSET(安値!$E$6,MATCH(TEXT(B168,"0"),TEXT(銘柄管理!$B$6:$B$305,"0"),0)-1,0,1,10)),""))</f>
        <v/>
      </c>
      <c r="R168" s="118" t="str">
        <f t="shared" ca="1" si="38"/>
        <v/>
      </c>
      <c r="S168" s="526" t="str">
        <f t="shared" si="39"/>
        <v/>
      </c>
      <c r="T168" s="116"/>
      <c r="U168" s="116"/>
      <c r="V168" s="118" t="str">
        <f t="shared" si="40"/>
        <v/>
      </c>
      <c r="W168" s="121" t="str">
        <f t="shared" ca="1" si="41"/>
        <v/>
      </c>
      <c r="X168" s="116"/>
    </row>
    <row r="169" spans="1:24" ht="17.25">
      <c r="A169" s="425" t="str">
        <f t="shared" si="42"/>
        <v>株探</v>
      </c>
      <c r="B169" s="116"/>
      <c r="C169" s="116"/>
      <c r="D169" s="116"/>
      <c r="E169" s="117"/>
      <c r="F169" s="443"/>
      <c r="G169" s="116"/>
      <c r="H169" s="118" t="str">
        <f>_xll.RssMarket("d7","現在値")</f>
        <v/>
      </c>
      <c r="I169" s="118" t="str" cm="1">
        <f t="array" ref="I169">_xll.RssMarket(B169, "出来高加重平均")</f>
        <v/>
      </c>
      <c r="J169" s="118" t="str" cm="1">
        <f t="array" ref="J169">_xll.RssMarket(B169, "前日比")</f>
        <v/>
      </c>
      <c r="K169" s="118" t="str">
        <f t="shared" si="33"/>
        <v/>
      </c>
      <c r="L169" s="119" t="str">
        <f t="shared" si="34"/>
        <v/>
      </c>
      <c r="M169" s="118" t="str">
        <f t="shared" si="35"/>
        <v/>
      </c>
      <c r="N169" s="118" t="str">
        <f t="shared" si="36"/>
        <v/>
      </c>
      <c r="O169" s="118" t="str">
        <f t="shared" si="37"/>
        <v/>
      </c>
      <c r="P169" s="118" t="str" cm="1">
        <f t="array" aca="1" ref="P169" ca="1">IF(B169="","",IFERROR(MAX(OFFSET(高値!$E$6,MATCH(TEXT(B169,"0"),TEXT(銘柄管理!$B$6:$B$305,"0"),0)-1,0,1,10)),""))</f>
        <v/>
      </c>
      <c r="Q169" s="118" t="str" cm="1">
        <f t="array" aca="1" ref="Q169" ca="1">IF(B169="","",IFERROR(MIN(OFFSET(安値!$E$6,MATCH(TEXT(B169,"0"),TEXT(銘柄管理!$B$6:$B$305,"0"),0)-1,0,1,10)),""))</f>
        <v/>
      </c>
      <c r="R169" s="118" t="str">
        <f t="shared" ca="1" si="38"/>
        <v/>
      </c>
      <c r="S169" s="526" t="str">
        <f t="shared" si="39"/>
        <v/>
      </c>
      <c r="T169" s="116"/>
      <c r="U169" s="116"/>
      <c r="V169" s="118" t="str">
        <f t="shared" si="40"/>
        <v/>
      </c>
      <c r="W169" s="121" t="str">
        <f t="shared" ca="1" si="41"/>
        <v/>
      </c>
      <c r="X169" s="116"/>
    </row>
    <row r="170" spans="1:24" ht="17.25">
      <c r="A170" s="425" t="str">
        <f t="shared" si="42"/>
        <v>株探</v>
      </c>
      <c r="B170" s="116"/>
      <c r="C170" s="116"/>
      <c r="D170" s="116"/>
      <c r="E170" s="117"/>
      <c r="F170" s="443"/>
      <c r="G170" s="116"/>
      <c r="H170" s="118" t="str">
        <f>_xll.RssMarket("d7","現在値")</f>
        <v/>
      </c>
      <c r="I170" s="118" t="str" cm="1">
        <f t="array" ref="I170">_xll.RssMarket(B170, "出来高加重平均")</f>
        <v/>
      </c>
      <c r="J170" s="118" t="str" cm="1">
        <f t="array" ref="J170">_xll.RssMarket(B170, "前日比")</f>
        <v/>
      </c>
      <c r="K170" s="118" t="str">
        <f t="shared" si="33"/>
        <v/>
      </c>
      <c r="L170" s="119" t="str">
        <f t="shared" si="34"/>
        <v/>
      </c>
      <c r="M170" s="118" t="str">
        <f t="shared" si="35"/>
        <v/>
      </c>
      <c r="N170" s="118" t="str">
        <f t="shared" si="36"/>
        <v/>
      </c>
      <c r="O170" s="118" t="str">
        <f t="shared" si="37"/>
        <v/>
      </c>
      <c r="P170" s="118" t="str" cm="1">
        <f t="array" aca="1" ref="P170" ca="1">IF(B170="","",IFERROR(MAX(OFFSET(高値!$E$6,MATCH(TEXT(B170,"0"),TEXT(銘柄管理!$B$6:$B$305,"0"),0)-1,0,1,10)),""))</f>
        <v/>
      </c>
      <c r="Q170" s="118" t="str" cm="1">
        <f t="array" aca="1" ref="Q170" ca="1">IF(B170="","",IFERROR(MIN(OFFSET(安値!$E$6,MATCH(TEXT(B170,"0"),TEXT(銘柄管理!$B$6:$B$305,"0"),0)-1,0,1,10)),""))</f>
        <v/>
      </c>
      <c r="R170" s="118" t="str">
        <f t="shared" ca="1" si="38"/>
        <v/>
      </c>
      <c r="S170" s="526" t="str">
        <f t="shared" si="39"/>
        <v/>
      </c>
      <c r="T170" s="116"/>
      <c r="U170" s="116"/>
      <c r="V170" s="118" t="str">
        <f t="shared" si="40"/>
        <v/>
      </c>
      <c r="W170" s="121" t="str">
        <f t="shared" ca="1" si="41"/>
        <v/>
      </c>
      <c r="X170" s="116"/>
    </row>
    <row r="171" spans="1:24" ht="17.25">
      <c r="A171" s="425" t="str">
        <f t="shared" si="42"/>
        <v>株探</v>
      </c>
      <c r="B171" s="116"/>
      <c r="C171" s="116"/>
      <c r="D171" s="116"/>
      <c r="E171" s="117"/>
      <c r="F171" s="443"/>
      <c r="G171" s="116"/>
      <c r="H171" s="118" t="str">
        <f>_xll.RssMarket("d7","現在値")</f>
        <v/>
      </c>
      <c r="I171" s="118" t="str" cm="1">
        <f t="array" ref="I171">_xll.RssMarket(B171, "出来高加重平均")</f>
        <v/>
      </c>
      <c r="J171" s="118" t="str" cm="1">
        <f t="array" ref="J171">_xll.RssMarket(B171, "前日比")</f>
        <v/>
      </c>
      <c r="K171" s="118" t="str">
        <f t="shared" si="33"/>
        <v/>
      </c>
      <c r="L171" s="119" t="str">
        <f t="shared" si="34"/>
        <v/>
      </c>
      <c r="M171" s="118" t="str">
        <f t="shared" si="35"/>
        <v/>
      </c>
      <c r="N171" s="118" t="str">
        <f t="shared" si="36"/>
        <v/>
      </c>
      <c r="O171" s="118" t="str">
        <f t="shared" si="37"/>
        <v/>
      </c>
      <c r="P171" s="118" t="str" cm="1">
        <f t="array" aca="1" ref="P171" ca="1">IF(B171="","",IFERROR(MAX(OFFSET(高値!$E$6,MATCH(TEXT(B171,"0"),TEXT(銘柄管理!$B$6:$B$305,"0"),0)-1,0,1,10)),""))</f>
        <v/>
      </c>
      <c r="Q171" s="118" t="str" cm="1">
        <f t="array" aca="1" ref="Q171" ca="1">IF(B171="","",IFERROR(MIN(OFFSET(安値!$E$6,MATCH(TEXT(B171,"0"),TEXT(銘柄管理!$B$6:$B$305,"0"),0)-1,0,1,10)),""))</f>
        <v/>
      </c>
      <c r="R171" s="118" t="str">
        <f t="shared" ca="1" si="38"/>
        <v/>
      </c>
      <c r="S171" s="526" t="str">
        <f t="shared" si="39"/>
        <v/>
      </c>
      <c r="T171" s="116"/>
      <c r="U171" s="116"/>
      <c r="V171" s="118" t="str">
        <f t="shared" si="40"/>
        <v/>
      </c>
      <c r="W171" s="121" t="str">
        <f t="shared" ca="1" si="41"/>
        <v/>
      </c>
      <c r="X171" s="116"/>
    </row>
    <row r="172" spans="1:24" ht="17.25">
      <c r="A172" s="425" t="str">
        <f t="shared" si="42"/>
        <v>株探</v>
      </c>
      <c r="B172" s="116"/>
      <c r="C172" s="116"/>
      <c r="D172" s="116"/>
      <c r="E172" s="117"/>
      <c r="F172" s="443"/>
      <c r="G172" s="116"/>
      <c r="H172" s="118" t="str">
        <f>_xll.RssMarket("d7","現在値")</f>
        <v/>
      </c>
      <c r="I172" s="118" t="str" cm="1">
        <f t="array" ref="I172">_xll.RssMarket(B172, "出来高加重平均")</f>
        <v/>
      </c>
      <c r="J172" s="118" t="str" cm="1">
        <f t="array" ref="J172">_xll.RssMarket(B172, "前日比")</f>
        <v/>
      </c>
      <c r="K172" s="118" t="str">
        <f t="shared" si="33"/>
        <v/>
      </c>
      <c r="L172" s="119" t="str">
        <f t="shared" si="34"/>
        <v/>
      </c>
      <c r="M172" s="118" t="str">
        <f t="shared" si="35"/>
        <v/>
      </c>
      <c r="N172" s="118" t="str">
        <f t="shared" si="36"/>
        <v/>
      </c>
      <c r="O172" s="118" t="str">
        <f t="shared" si="37"/>
        <v/>
      </c>
      <c r="P172" s="118" t="str" cm="1">
        <f t="array" aca="1" ref="P172" ca="1">IF(B172="","",IFERROR(MAX(OFFSET(高値!$E$6,MATCH(TEXT(B172,"0"),TEXT(銘柄管理!$B$6:$B$305,"0"),0)-1,0,1,10)),""))</f>
        <v/>
      </c>
      <c r="Q172" s="118" t="str" cm="1">
        <f t="array" aca="1" ref="Q172" ca="1">IF(B172="","",IFERROR(MIN(OFFSET(安値!$E$6,MATCH(TEXT(B172,"0"),TEXT(銘柄管理!$B$6:$B$305,"0"),0)-1,0,1,10)),""))</f>
        <v/>
      </c>
      <c r="R172" s="118" t="str">
        <f t="shared" ca="1" si="38"/>
        <v/>
      </c>
      <c r="S172" s="526" t="str">
        <f t="shared" si="39"/>
        <v/>
      </c>
      <c r="T172" s="116"/>
      <c r="U172" s="116"/>
      <c r="V172" s="118" t="str">
        <f t="shared" si="40"/>
        <v/>
      </c>
      <c r="W172" s="121" t="str">
        <f t="shared" ca="1" si="41"/>
        <v/>
      </c>
      <c r="X172" s="116"/>
    </row>
    <row r="173" spans="1:24" ht="17.25">
      <c r="A173" s="425" t="str">
        <f t="shared" si="42"/>
        <v>株探</v>
      </c>
      <c r="B173" s="116"/>
      <c r="C173" s="116"/>
      <c r="D173" s="116"/>
      <c r="E173" s="117"/>
      <c r="F173" s="443"/>
      <c r="G173" s="116"/>
      <c r="H173" s="118" t="str">
        <f>_xll.RssMarket("d7","現在値")</f>
        <v/>
      </c>
      <c r="I173" s="118" t="str" cm="1">
        <f t="array" ref="I173">_xll.RssMarket(B173, "出来高加重平均")</f>
        <v/>
      </c>
      <c r="J173" s="118" t="str" cm="1">
        <f t="array" ref="J173">_xll.RssMarket(B173, "前日比")</f>
        <v/>
      </c>
      <c r="K173" s="118" t="str">
        <f t="shared" si="33"/>
        <v/>
      </c>
      <c r="L173" s="119" t="str">
        <f t="shared" si="34"/>
        <v/>
      </c>
      <c r="M173" s="118" t="str">
        <f t="shared" si="35"/>
        <v/>
      </c>
      <c r="N173" s="118" t="str">
        <f t="shared" si="36"/>
        <v/>
      </c>
      <c r="O173" s="118" t="str">
        <f t="shared" si="37"/>
        <v/>
      </c>
      <c r="P173" s="118" t="str" cm="1">
        <f t="array" aca="1" ref="P173" ca="1">IF(B173="","",IFERROR(MAX(OFFSET(高値!$E$6,MATCH(TEXT(B173,"0"),TEXT(銘柄管理!$B$6:$B$305,"0"),0)-1,0,1,10)),""))</f>
        <v/>
      </c>
      <c r="Q173" s="118" t="str" cm="1">
        <f t="array" aca="1" ref="Q173" ca="1">IF(B173="","",IFERROR(MIN(OFFSET(安値!$E$6,MATCH(TEXT(B173,"0"),TEXT(銘柄管理!$B$6:$B$305,"0"),0)-1,0,1,10)),""))</f>
        <v/>
      </c>
      <c r="R173" s="118" t="str">
        <f t="shared" ca="1" si="38"/>
        <v/>
      </c>
      <c r="S173" s="526" t="str">
        <f t="shared" si="39"/>
        <v/>
      </c>
      <c r="T173" s="116"/>
      <c r="U173" s="116"/>
      <c r="V173" s="118" t="str">
        <f t="shared" si="40"/>
        <v/>
      </c>
      <c r="W173" s="121" t="str">
        <f t="shared" ref="W173:W192" ca="1" si="43">IF(OR(E173="",B173=""),"",IF(T173&lt;&gt;"",T173-E173,TODAY()-E173))</f>
        <v/>
      </c>
      <c r="X173" s="116"/>
    </row>
    <row r="174" spans="1:24" ht="17.25">
      <c r="A174" s="425" t="str">
        <f t="shared" si="42"/>
        <v>株探</v>
      </c>
      <c r="B174" s="116"/>
      <c r="C174" s="116"/>
      <c r="D174" s="116"/>
      <c r="E174" s="117"/>
      <c r="F174" s="443"/>
      <c r="G174" s="116"/>
      <c r="H174" s="118" t="str">
        <f>_xll.RssMarket("d7","現在値")</f>
        <v/>
      </c>
      <c r="I174" s="118" t="str" cm="1">
        <f t="array" ref="I174">_xll.RssMarket(B174, "出来高加重平均")</f>
        <v/>
      </c>
      <c r="J174" s="118" t="str" cm="1">
        <f t="array" ref="J174">_xll.RssMarket(B174, "前日比")</f>
        <v/>
      </c>
      <c r="K174" s="118" t="str">
        <f t="shared" si="33"/>
        <v/>
      </c>
      <c r="L174" s="119" t="str">
        <f t="shared" si="34"/>
        <v/>
      </c>
      <c r="M174" s="118" t="str">
        <f t="shared" si="35"/>
        <v/>
      </c>
      <c r="N174" s="118" t="str">
        <f t="shared" si="36"/>
        <v/>
      </c>
      <c r="O174" s="118" t="str">
        <f t="shared" si="37"/>
        <v/>
      </c>
      <c r="P174" s="118" t="str" cm="1">
        <f t="array" aca="1" ref="P174" ca="1">IF(B174="","",IFERROR(MAX(OFFSET(高値!$E$6,MATCH(TEXT(B174,"0"),TEXT(銘柄管理!$B$6:$B$305,"0"),0)-1,0,1,10)),""))</f>
        <v/>
      </c>
      <c r="Q174" s="118" t="str" cm="1">
        <f t="array" aca="1" ref="Q174" ca="1">IF(B174="","",IFERROR(MIN(OFFSET(安値!$E$6,MATCH(TEXT(B174,"0"),TEXT(銘柄管理!$B$6:$B$305,"0"),0)-1,0,1,10)),""))</f>
        <v/>
      </c>
      <c r="R174" s="118" t="str">
        <f t="shared" ca="1" si="38"/>
        <v/>
      </c>
      <c r="S174" s="526" t="str">
        <f t="shared" si="39"/>
        <v/>
      </c>
      <c r="T174" s="116"/>
      <c r="U174" s="116"/>
      <c r="V174" s="118" t="str">
        <f t="shared" si="40"/>
        <v/>
      </c>
      <c r="W174" s="121" t="str">
        <f t="shared" ca="1" si="43"/>
        <v/>
      </c>
      <c r="X174" s="116"/>
    </row>
    <row r="175" spans="1:24" ht="17.25">
      <c r="A175" s="425" t="str">
        <f t="shared" si="42"/>
        <v>株探</v>
      </c>
      <c r="B175" s="116"/>
      <c r="C175" s="116"/>
      <c r="D175" s="116"/>
      <c r="E175" s="117"/>
      <c r="F175" s="443"/>
      <c r="G175" s="116"/>
      <c r="H175" s="118" t="str">
        <f>_xll.RssMarket("d7","現在値")</f>
        <v/>
      </c>
      <c r="I175" s="118" t="str" cm="1">
        <f t="array" ref="I175">_xll.RssMarket(B175, "出来高加重平均")</f>
        <v/>
      </c>
      <c r="J175" s="118" t="str" cm="1">
        <f t="array" ref="J175">_xll.RssMarket(B175, "前日比")</f>
        <v/>
      </c>
      <c r="K175" s="118" t="str">
        <f t="shared" si="33"/>
        <v/>
      </c>
      <c r="L175" s="119" t="str">
        <f t="shared" si="34"/>
        <v/>
      </c>
      <c r="M175" s="118" t="str">
        <f t="shared" si="35"/>
        <v/>
      </c>
      <c r="N175" s="118" t="str">
        <f t="shared" si="36"/>
        <v/>
      </c>
      <c r="O175" s="118" t="str">
        <f t="shared" si="37"/>
        <v/>
      </c>
      <c r="P175" s="118" t="str" cm="1">
        <f t="array" aca="1" ref="P175" ca="1">IF(B175="","",IFERROR(MAX(OFFSET(高値!$E$6,MATCH(TEXT(B175,"0"),TEXT(銘柄管理!$B$6:$B$305,"0"),0)-1,0,1,10)),""))</f>
        <v/>
      </c>
      <c r="Q175" s="118" t="str" cm="1">
        <f t="array" aca="1" ref="Q175" ca="1">IF(B175="","",IFERROR(MIN(OFFSET(安値!$E$6,MATCH(TEXT(B175,"0"),TEXT(銘柄管理!$B$6:$B$305,"0"),0)-1,0,1,10)),""))</f>
        <v/>
      </c>
      <c r="R175" s="118" t="str">
        <f t="shared" ca="1" si="38"/>
        <v/>
      </c>
      <c r="S175" s="526" t="str">
        <f t="shared" si="39"/>
        <v/>
      </c>
      <c r="T175" s="116"/>
      <c r="U175" s="116"/>
      <c r="V175" s="118" t="str">
        <f t="shared" si="40"/>
        <v/>
      </c>
      <c r="W175" s="121" t="str">
        <f t="shared" ca="1" si="43"/>
        <v/>
      </c>
      <c r="X175" s="116"/>
    </row>
    <row r="176" spans="1:24" ht="17.25">
      <c r="A176" s="425" t="str">
        <f t="shared" si="42"/>
        <v>株探</v>
      </c>
      <c r="B176" s="116"/>
      <c r="C176" s="116"/>
      <c r="D176" s="116"/>
      <c r="E176" s="117"/>
      <c r="F176" s="443"/>
      <c r="G176" s="116"/>
      <c r="H176" s="118" t="str">
        <f>_xll.RssMarket("d7","現在値")</f>
        <v/>
      </c>
      <c r="I176" s="118" t="str" cm="1">
        <f t="array" ref="I176">_xll.RssMarket(B176, "出来高加重平均")</f>
        <v/>
      </c>
      <c r="J176" s="118" t="str" cm="1">
        <f t="array" ref="J176">_xll.RssMarket(B176, "前日比")</f>
        <v/>
      </c>
      <c r="K176" s="118" t="str">
        <f t="shared" si="33"/>
        <v/>
      </c>
      <c r="L176" s="119" t="str">
        <f t="shared" si="34"/>
        <v/>
      </c>
      <c r="M176" s="118" t="str">
        <f t="shared" si="35"/>
        <v/>
      </c>
      <c r="N176" s="118" t="str">
        <f t="shared" si="36"/>
        <v/>
      </c>
      <c r="O176" s="118" t="str">
        <f t="shared" si="37"/>
        <v/>
      </c>
      <c r="P176" s="118" t="str" cm="1">
        <f t="array" aca="1" ref="P176" ca="1">IF(B176="","",IFERROR(MAX(OFFSET(高値!$E$6,MATCH(TEXT(B176,"0"),TEXT(銘柄管理!$B$6:$B$305,"0"),0)-1,0,1,10)),""))</f>
        <v/>
      </c>
      <c r="Q176" s="118" t="str" cm="1">
        <f t="array" aca="1" ref="Q176" ca="1">IF(B176="","",IFERROR(MIN(OFFSET(安値!$E$6,MATCH(TEXT(B176,"0"),TEXT(銘柄管理!$B$6:$B$305,"0"),0)-1,0,1,10)),""))</f>
        <v/>
      </c>
      <c r="R176" s="118" t="str">
        <f t="shared" ca="1" si="38"/>
        <v/>
      </c>
      <c r="S176" s="526" t="str">
        <f t="shared" si="39"/>
        <v/>
      </c>
      <c r="T176" s="116"/>
      <c r="U176" s="116"/>
      <c r="V176" s="118" t="str">
        <f t="shared" si="40"/>
        <v/>
      </c>
      <c r="W176" s="121" t="str">
        <f t="shared" ca="1" si="43"/>
        <v/>
      </c>
      <c r="X176" s="116"/>
    </row>
    <row r="177" spans="1:24" ht="17.25">
      <c r="A177" s="425" t="str">
        <f t="shared" si="42"/>
        <v>株探</v>
      </c>
      <c r="B177" s="116"/>
      <c r="C177" s="116"/>
      <c r="D177" s="116"/>
      <c r="E177" s="117"/>
      <c r="F177" s="443"/>
      <c r="G177" s="116"/>
      <c r="H177" s="118" t="str">
        <f>_xll.RssMarket("d7","現在値")</f>
        <v/>
      </c>
      <c r="I177" s="118" t="str" cm="1">
        <f t="array" ref="I177">_xll.RssMarket(B177, "出来高加重平均")</f>
        <v/>
      </c>
      <c r="J177" s="118" t="str" cm="1">
        <f t="array" ref="J177">_xll.RssMarket(B177, "前日比")</f>
        <v/>
      </c>
      <c r="K177" s="118" t="str">
        <f t="shared" si="33"/>
        <v/>
      </c>
      <c r="L177" s="119" t="str">
        <f t="shared" si="34"/>
        <v/>
      </c>
      <c r="M177" s="118" t="str">
        <f t="shared" si="35"/>
        <v/>
      </c>
      <c r="N177" s="118" t="str">
        <f t="shared" si="36"/>
        <v/>
      </c>
      <c r="O177" s="118" t="str">
        <f t="shared" si="37"/>
        <v/>
      </c>
      <c r="P177" s="118" t="str" cm="1">
        <f t="array" aca="1" ref="P177" ca="1">IF(B177="","",IFERROR(MAX(OFFSET(高値!$E$6,MATCH(TEXT(B177,"0"),TEXT(銘柄管理!$B$6:$B$305,"0"),0)-1,0,1,10)),""))</f>
        <v/>
      </c>
      <c r="Q177" s="118" t="str" cm="1">
        <f t="array" aca="1" ref="Q177" ca="1">IF(B177="","",IFERROR(MIN(OFFSET(安値!$E$6,MATCH(TEXT(B177,"0"),TEXT(銘柄管理!$B$6:$B$305,"0"),0)-1,0,1,10)),""))</f>
        <v/>
      </c>
      <c r="R177" s="118" t="str">
        <f t="shared" ca="1" si="38"/>
        <v/>
      </c>
      <c r="S177" s="526" t="str">
        <f t="shared" si="39"/>
        <v/>
      </c>
      <c r="T177" s="116"/>
      <c r="U177" s="116"/>
      <c r="V177" s="118" t="str">
        <f t="shared" si="40"/>
        <v/>
      </c>
      <c r="W177" s="121" t="str">
        <f t="shared" ca="1" si="43"/>
        <v/>
      </c>
      <c r="X177" s="116"/>
    </row>
    <row r="178" spans="1:24" ht="17.25">
      <c r="A178" s="425" t="str">
        <f t="shared" si="42"/>
        <v>株探</v>
      </c>
      <c r="B178" s="116"/>
      <c r="C178" s="116"/>
      <c r="D178" s="116"/>
      <c r="E178" s="117"/>
      <c r="F178" s="443"/>
      <c r="G178" s="116"/>
      <c r="H178" s="118" t="str">
        <f>_xll.RssMarket("d7","現在値")</f>
        <v/>
      </c>
      <c r="I178" s="118" t="str" cm="1">
        <f t="array" ref="I178">_xll.RssMarket(B178, "出来高加重平均")</f>
        <v/>
      </c>
      <c r="J178" s="118" t="str" cm="1">
        <f t="array" ref="J178">_xll.RssMarket(B178, "前日比")</f>
        <v/>
      </c>
      <c r="K178" s="118" t="str">
        <f t="shared" si="33"/>
        <v/>
      </c>
      <c r="L178" s="119" t="str">
        <f t="shared" si="34"/>
        <v/>
      </c>
      <c r="M178" s="118" t="str">
        <f t="shared" si="35"/>
        <v/>
      </c>
      <c r="N178" s="118" t="str">
        <f t="shared" si="36"/>
        <v/>
      </c>
      <c r="O178" s="118" t="str">
        <f t="shared" si="37"/>
        <v/>
      </c>
      <c r="P178" s="118" t="str" cm="1">
        <f t="array" aca="1" ref="P178" ca="1">IF(B178="","",IFERROR(MAX(OFFSET(高値!$E$6,MATCH(TEXT(B178,"0"),TEXT(銘柄管理!$B$6:$B$305,"0"),0)-1,0,1,10)),""))</f>
        <v/>
      </c>
      <c r="Q178" s="118" t="str" cm="1">
        <f t="array" aca="1" ref="Q178" ca="1">IF(B178="","",IFERROR(MIN(OFFSET(安値!$E$6,MATCH(TEXT(B178,"0"),TEXT(銘柄管理!$B$6:$B$305,"0"),0)-1,0,1,10)),""))</f>
        <v/>
      </c>
      <c r="R178" s="118" t="str">
        <f t="shared" ca="1" si="38"/>
        <v/>
      </c>
      <c r="S178" s="526" t="str">
        <f t="shared" si="39"/>
        <v/>
      </c>
      <c r="T178" s="116"/>
      <c r="U178" s="116"/>
      <c r="V178" s="118" t="str">
        <f t="shared" si="40"/>
        <v/>
      </c>
      <c r="W178" s="121" t="str">
        <f t="shared" ca="1" si="43"/>
        <v/>
      </c>
      <c r="X178" s="116"/>
    </row>
    <row r="179" spans="1:24" ht="17.25">
      <c r="A179" s="425" t="str">
        <f t="shared" si="42"/>
        <v>株探</v>
      </c>
      <c r="B179" s="116"/>
      <c r="C179" s="116"/>
      <c r="D179" s="116"/>
      <c r="E179" s="117"/>
      <c r="F179" s="443"/>
      <c r="G179" s="116"/>
      <c r="H179" s="118" t="str">
        <f>_xll.RssMarket("d7","現在値")</f>
        <v/>
      </c>
      <c r="I179" s="118" t="str" cm="1">
        <f t="array" ref="I179">_xll.RssMarket(B179, "出来高加重平均")</f>
        <v/>
      </c>
      <c r="J179" s="118" t="str" cm="1">
        <f t="array" ref="J179">_xll.RssMarket(B179, "前日比")</f>
        <v/>
      </c>
      <c r="K179" s="118" t="str">
        <f t="shared" si="33"/>
        <v/>
      </c>
      <c r="L179" s="119" t="str">
        <f t="shared" si="34"/>
        <v/>
      </c>
      <c r="M179" s="118" t="str">
        <f t="shared" si="35"/>
        <v/>
      </c>
      <c r="N179" s="118" t="str">
        <f t="shared" si="36"/>
        <v/>
      </c>
      <c r="O179" s="118" t="str">
        <f t="shared" si="37"/>
        <v/>
      </c>
      <c r="P179" s="118" t="str" cm="1">
        <f t="array" aca="1" ref="P179" ca="1">IF(B179="","",IFERROR(MAX(OFFSET(高値!$E$6,MATCH(TEXT(B179,"0"),TEXT(銘柄管理!$B$6:$B$305,"0"),0)-1,0,1,10)),""))</f>
        <v/>
      </c>
      <c r="Q179" s="118" t="str" cm="1">
        <f t="array" aca="1" ref="Q179" ca="1">IF(B179="","",IFERROR(MIN(OFFSET(安値!$E$6,MATCH(TEXT(B179,"0"),TEXT(銘柄管理!$B$6:$B$305,"0"),0)-1,0,1,10)),""))</f>
        <v/>
      </c>
      <c r="R179" s="118" t="str">
        <f t="shared" ca="1" si="38"/>
        <v/>
      </c>
      <c r="S179" s="526" t="str">
        <f t="shared" si="39"/>
        <v/>
      </c>
      <c r="T179" s="116"/>
      <c r="U179" s="116"/>
      <c r="V179" s="118" t="str">
        <f t="shared" si="40"/>
        <v/>
      </c>
      <c r="W179" s="121" t="str">
        <f t="shared" ca="1" si="43"/>
        <v/>
      </c>
      <c r="X179" s="116"/>
    </row>
    <row r="180" spans="1:24" ht="17.25">
      <c r="A180" s="425" t="str">
        <f t="shared" si="42"/>
        <v>株探</v>
      </c>
      <c r="B180" s="116"/>
      <c r="C180" s="116"/>
      <c r="D180" s="116"/>
      <c r="E180" s="117"/>
      <c r="F180" s="443"/>
      <c r="G180" s="116"/>
      <c r="H180" s="118" t="str">
        <f>_xll.RssMarket("d7","現在値")</f>
        <v/>
      </c>
      <c r="I180" s="118" t="str" cm="1">
        <f t="array" ref="I180">_xll.RssMarket(B180, "出来高加重平均")</f>
        <v/>
      </c>
      <c r="J180" s="118" t="str" cm="1">
        <f t="array" ref="J180">_xll.RssMarket(B180, "前日比")</f>
        <v/>
      </c>
      <c r="K180" s="118" t="str">
        <f t="shared" si="33"/>
        <v/>
      </c>
      <c r="L180" s="119" t="str">
        <f t="shared" si="34"/>
        <v/>
      </c>
      <c r="M180" s="118" t="str">
        <f t="shared" si="35"/>
        <v/>
      </c>
      <c r="N180" s="118" t="str">
        <f t="shared" si="36"/>
        <v/>
      </c>
      <c r="O180" s="118" t="str">
        <f t="shared" si="37"/>
        <v/>
      </c>
      <c r="P180" s="118" t="str" cm="1">
        <f t="array" aca="1" ref="P180" ca="1">IF(B180="","",IFERROR(MAX(OFFSET(高値!$E$6,MATCH(TEXT(B180,"0"),TEXT(銘柄管理!$B$6:$B$305,"0"),0)-1,0,1,10)),""))</f>
        <v/>
      </c>
      <c r="Q180" s="118" t="str" cm="1">
        <f t="array" aca="1" ref="Q180" ca="1">IF(B180="","",IFERROR(MIN(OFFSET(安値!$E$6,MATCH(TEXT(B180,"0"),TEXT(銘柄管理!$B$6:$B$305,"0"),0)-1,0,1,10)),""))</f>
        <v/>
      </c>
      <c r="R180" s="118" t="str">
        <f t="shared" ca="1" si="38"/>
        <v/>
      </c>
      <c r="S180" s="526" t="str">
        <f t="shared" si="39"/>
        <v/>
      </c>
      <c r="T180" s="116"/>
      <c r="U180" s="116"/>
      <c r="V180" s="118" t="str">
        <f t="shared" si="40"/>
        <v/>
      </c>
      <c r="W180" s="121" t="str">
        <f t="shared" ca="1" si="43"/>
        <v/>
      </c>
      <c r="X180" s="116"/>
    </row>
    <row r="181" spans="1:24" ht="17.25">
      <c r="A181" s="425" t="str">
        <f t="shared" si="42"/>
        <v>株探</v>
      </c>
      <c r="B181" s="116"/>
      <c r="C181" s="116"/>
      <c r="D181" s="116"/>
      <c r="E181" s="117"/>
      <c r="F181" s="443"/>
      <c r="G181" s="116"/>
      <c r="H181" s="118" t="str">
        <f>_xll.RssMarket("d7","現在値")</f>
        <v/>
      </c>
      <c r="I181" s="118" t="str" cm="1">
        <f t="array" ref="I181">_xll.RssMarket(B181, "出来高加重平均")</f>
        <v/>
      </c>
      <c r="J181" s="118" t="str" cm="1">
        <f t="array" ref="J181">_xll.RssMarket(B181, "前日比")</f>
        <v/>
      </c>
      <c r="K181" s="118" t="str">
        <f t="shared" si="33"/>
        <v/>
      </c>
      <c r="L181" s="119" t="str">
        <f t="shared" si="34"/>
        <v/>
      </c>
      <c r="M181" s="118" t="str">
        <f t="shared" si="35"/>
        <v/>
      </c>
      <c r="N181" s="118" t="str">
        <f t="shared" si="36"/>
        <v/>
      </c>
      <c r="O181" s="118" t="str">
        <f t="shared" si="37"/>
        <v/>
      </c>
      <c r="P181" s="118" t="str" cm="1">
        <f t="array" aca="1" ref="P181" ca="1">IF(B181="","",IFERROR(MAX(OFFSET(高値!$E$6,MATCH(TEXT(B181,"0"),TEXT(銘柄管理!$B$6:$B$305,"0"),0)-1,0,1,10)),""))</f>
        <v/>
      </c>
      <c r="Q181" s="118" t="str" cm="1">
        <f t="array" aca="1" ref="Q181" ca="1">IF(B181="","",IFERROR(MIN(OFFSET(安値!$E$6,MATCH(TEXT(B181,"0"),TEXT(銘柄管理!$B$6:$B$305,"0"),0)-1,0,1,10)),""))</f>
        <v/>
      </c>
      <c r="R181" s="118" t="str">
        <f t="shared" ca="1" si="38"/>
        <v/>
      </c>
      <c r="S181" s="526" t="str">
        <f t="shared" si="39"/>
        <v/>
      </c>
      <c r="T181" s="116"/>
      <c r="U181" s="116"/>
      <c r="V181" s="118" t="str">
        <f t="shared" si="40"/>
        <v/>
      </c>
      <c r="W181" s="121" t="str">
        <f t="shared" ca="1" si="43"/>
        <v/>
      </c>
      <c r="X181" s="116"/>
    </row>
    <row r="182" spans="1:24" ht="17.25">
      <c r="A182" s="425" t="str">
        <f t="shared" si="42"/>
        <v>株探</v>
      </c>
      <c r="B182" s="116"/>
      <c r="C182" s="116"/>
      <c r="D182" s="116"/>
      <c r="E182" s="117"/>
      <c r="F182" s="443"/>
      <c r="G182" s="116"/>
      <c r="H182" s="118" t="str">
        <f>_xll.RssMarket("d7","現在値")</f>
        <v/>
      </c>
      <c r="I182" s="118" t="str" cm="1">
        <f t="array" ref="I182">_xll.RssMarket(B182, "出来高加重平均")</f>
        <v/>
      </c>
      <c r="J182" s="118" t="str" cm="1">
        <f t="array" ref="J182">_xll.RssMarket(B182, "前日比")</f>
        <v/>
      </c>
      <c r="K182" s="118" t="str">
        <f t="shared" si="33"/>
        <v/>
      </c>
      <c r="L182" s="119" t="str">
        <f t="shared" si="34"/>
        <v/>
      </c>
      <c r="M182" s="118" t="str">
        <f t="shared" si="35"/>
        <v/>
      </c>
      <c r="N182" s="118" t="str">
        <f t="shared" si="36"/>
        <v/>
      </c>
      <c r="O182" s="118" t="str">
        <f t="shared" si="37"/>
        <v/>
      </c>
      <c r="P182" s="118" t="str" cm="1">
        <f t="array" aca="1" ref="P182" ca="1">IF(B182="","",IFERROR(MAX(OFFSET(高値!$E$6,MATCH(TEXT(B182,"0"),TEXT(銘柄管理!$B$6:$B$305,"0"),0)-1,0,1,10)),""))</f>
        <v/>
      </c>
      <c r="Q182" s="118" t="str" cm="1">
        <f t="array" aca="1" ref="Q182" ca="1">IF(B182="","",IFERROR(MIN(OFFSET(安値!$E$6,MATCH(TEXT(B182,"0"),TEXT(銘柄管理!$B$6:$B$305,"0"),0)-1,0,1,10)),""))</f>
        <v/>
      </c>
      <c r="R182" s="118" t="str">
        <f t="shared" ca="1" si="38"/>
        <v/>
      </c>
      <c r="S182" s="526" t="str">
        <f t="shared" si="39"/>
        <v/>
      </c>
      <c r="T182" s="116"/>
      <c r="U182" s="116"/>
      <c r="V182" s="118" t="str">
        <f t="shared" si="40"/>
        <v/>
      </c>
      <c r="W182" s="121" t="str">
        <f t="shared" ca="1" si="43"/>
        <v/>
      </c>
      <c r="X182" s="116"/>
    </row>
    <row r="183" spans="1:24" ht="17.25">
      <c r="A183" s="425" t="str">
        <f t="shared" si="42"/>
        <v>株探</v>
      </c>
      <c r="B183" s="116"/>
      <c r="C183" s="116"/>
      <c r="D183" s="116"/>
      <c r="E183" s="117"/>
      <c r="F183" s="443"/>
      <c r="G183" s="116"/>
      <c r="H183" s="118" t="str">
        <f>_xll.RssMarket("d7","現在値")</f>
        <v/>
      </c>
      <c r="I183" s="118" t="str" cm="1">
        <f t="array" ref="I183">_xll.RssMarket(B183, "出来高加重平均")</f>
        <v/>
      </c>
      <c r="J183" s="118" t="str" cm="1">
        <f t="array" ref="J183">_xll.RssMarket(B183, "前日比")</f>
        <v/>
      </c>
      <c r="K183" s="118" t="str">
        <f t="shared" si="33"/>
        <v/>
      </c>
      <c r="L183" s="119" t="str">
        <f t="shared" si="34"/>
        <v/>
      </c>
      <c r="M183" s="118" t="str">
        <f t="shared" si="35"/>
        <v/>
      </c>
      <c r="N183" s="118" t="str">
        <f t="shared" si="36"/>
        <v/>
      </c>
      <c r="O183" s="118" t="str">
        <f t="shared" si="37"/>
        <v/>
      </c>
      <c r="P183" s="118" t="str" cm="1">
        <f t="array" aca="1" ref="P183" ca="1">IF(B183="","",IFERROR(MAX(OFFSET(高値!$E$6,MATCH(TEXT(B183,"0"),TEXT(銘柄管理!$B$6:$B$305,"0"),0)-1,0,1,10)),""))</f>
        <v/>
      </c>
      <c r="Q183" s="118" t="str" cm="1">
        <f t="array" aca="1" ref="Q183" ca="1">IF(B183="","",IFERROR(MIN(OFFSET(安値!$E$6,MATCH(TEXT(B183,"0"),TEXT(銘柄管理!$B$6:$B$305,"0"),0)-1,0,1,10)),""))</f>
        <v/>
      </c>
      <c r="R183" s="118" t="str">
        <f t="shared" ca="1" si="38"/>
        <v/>
      </c>
      <c r="S183" s="526" t="str">
        <f t="shared" si="39"/>
        <v/>
      </c>
      <c r="T183" s="116"/>
      <c r="U183" s="116"/>
      <c r="V183" s="118" t="str">
        <f t="shared" si="40"/>
        <v/>
      </c>
      <c r="W183" s="121" t="str">
        <f t="shared" ca="1" si="43"/>
        <v/>
      </c>
      <c r="X183" s="116"/>
    </row>
    <row r="184" spans="1:24" ht="17.25">
      <c r="A184" s="425" t="str">
        <f t="shared" si="42"/>
        <v>株探</v>
      </c>
      <c r="B184" s="116"/>
      <c r="C184" s="116"/>
      <c r="D184" s="116"/>
      <c r="E184" s="117"/>
      <c r="F184" s="443"/>
      <c r="G184" s="116"/>
      <c r="H184" s="118" t="str">
        <f>_xll.RssMarket("d7","現在値")</f>
        <v/>
      </c>
      <c r="I184" s="118" t="str" cm="1">
        <f t="array" ref="I184">_xll.RssMarket(B184, "出来高加重平均")</f>
        <v/>
      </c>
      <c r="J184" s="118" t="str" cm="1">
        <f t="array" ref="J184">_xll.RssMarket(B184, "前日比")</f>
        <v/>
      </c>
      <c r="K184" s="118" t="str">
        <f t="shared" si="33"/>
        <v/>
      </c>
      <c r="L184" s="119" t="str">
        <f t="shared" si="34"/>
        <v/>
      </c>
      <c r="M184" s="118" t="str">
        <f t="shared" si="35"/>
        <v/>
      </c>
      <c r="N184" s="118" t="str">
        <f t="shared" si="36"/>
        <v/>
      </c>
      <c r="O184" s="118" t="str">
        <f t="shared" si="37"/>
        <v/>
      </c>
      <c r="P184" s="118" t="str" cm="1">
        <f t="array" aca="1" ref="P184" ca="1">IF(B184="","",IFERROR(MAX(OFFSET(高値!$E$6,MATCH(TEXT(B184,"0"),TEXT(銘柄管理!$B$6:$B$305,"0"),0)-1,0,1,10)),""))</f>
        <v/>
      </c>
      <c r="Q184" s="118" t="str" cm="1">
        <f t="array" aca="1" ref="Q184" ca="1">IF(B184="","",IFERROR(MIN(OFFSET(安値!$E$6,MATCH(TEXT(B184,"0"),TEXT(銘柄管理!$B$6:$B$305,"0"),0)-1,0,1,10)),""))</f>
        <v/>
      </c>
      <c r="R184" s="118" t="str">
        <f t="shared" ca="1" si="38"/>
        <v/>
      </c>
      <c r="S184" s="526" t="str">
        <f t="shared" si="39"/>
        <v/>
      </c>
      <c r="T184" s="116"/>
      <c r="U184" s="116"/>
      <c r="V184" s="118" t="str">
        <f t="shared" si="40"/>
        <v/>
      </c>
      <c r="W184" s="121" t="str">
        <f t="shared" ca="1" si="43"/>
        <v/>
      </c>
      <c r="X184" s="116"/>
    </row>
    <row r="185" spans="1:24" ht="17.25">
      <c r="A185" s="425" t="str">
        <f t="shared" si="42"/>
        <v>株探</v>
      </c>
      <c r="B185" s="116"/>
      <c r="C185" s="116"/>
      <c r="D185" s="116"/>
      <c r="E185" s="117"/>
      <c r="F185" s="443"/>
      <c r="G185" s="116"/>
      <c r="H185" s="118" t="str">
        <f>_xll.RssMarket("d7","現在値")</f>
        <v/>
      </c>
      <c r="I185" s="118" t="str" cm="1">
        <f t="array" ref="I185">_xll.RssMarket(B185, "出来高加重平均")</f>
        <v/>
      </c>
      <c r="J185" s="118" t="str" cm="1">
        <f t="array" ref="J185">_xll.RssMarket(B185, "前日比")</f>
        <v/>
      </c>
      <c r="K185" s="118" t="str">
        <f t="shared" si="33"/>
        <v/>
      </c>
      <c r="L185" s="119" t="str">
        <f t="shared" si="34"/>
        <v/>
      </c>
      <c r="M185" s="118" t="str">
        <f t="shared" si="35"/>
        <v/>
      </c>
      <c r="N185" s="118" t="str">
        <f t="shared" si="36"/>
        <v/>
      </c>
      <c r="O185" s="118" t="str">
        <f t="shared" si="37"/>
        <v/>
      </c>
      <c r="P185" s="118" t="str" cm="1">
        <f t="array" aca="1" ref="P185" ca="1">IF(B185="","",IFERROR(MAX(OFFSET(高値!$E$6,MATCH(TEXT(B185,"0"),TEXT(銘柄管理!$B$6:$B$305,"0"),0)-1,0,1,10)),""))</f>
        <v/>
      </c>
      <c r="Q185" s="118" t="str" cm="1">
        <f t="array" aca="1" ref="Q185" ca="1">IF(B185="","",IFERROR(MIN(OFFSET(安値!$E$6,MATCH(TEXT(B185,"0"),TEXT(銘柄管理!$B$6:$B$305,"0"),0)-1,0,1,10)),""))</f>
        <v/>
      </c>
      <c r="R185" s="118" t="str">
        <f t="shared" ca="1" si="38"/>
        <v/>
      </c>
      <c r="S185" s="526" t="str">
        <f t="shared" si="39"/>
        <v/>
      </c>
      <c r="T185" s="116"/>
      <c r="U185" s="116"/>
      <c r="V185" s="118" t="str">
        <f t="shared" si="40"/>
        <v/>
      </c>
      <c r="W185" s="121" t="str">
        <f t="shared" ca="1" si="43"/>
        <v/>
      </c>
      <c r="X185" s="116"/>
    </row>
    <row r="186" spans="1:24" ht="17.25">
      <c r="A186" s="425" t="str">
        <f t="shared" si="42"/>
        <v>株探</v>
      </c>
      <c r="B186" s="116"/>
      <c r="C186" s="116"/>
      <c r="D186" s="116"/>
      <c r="E186" s="117"/>
      <c r="F186" s="443"/>
      <c r="G186" s="116"/>
      <c r="H186" s="118" t="str">
        <f>_xll.RssMarket("d7","現在値")</f>
        <v/>
      </c>
      <c r="I186" s="118" t="str" cm="1">
        <f t="array" ref="I186">_xll.RssMarket(B186, "出来高加重平均")</f>
        <v/>
      </c>
      <c r="J186" s="118" t="str" cm="1">
        <f t="array" ref="J186">_xll.RssMarket(B186, "前日比")</f>
        <v/>
      </c>
      <c r="K186" s="118" t="str">
        <f t="shared" si="33"/>
        <v/>
      </c>
      <c r="L186" s="119" t="str">
        <f t="shared" si="34"/>
        <v/>
      </c>
      <c r="M186" s="118" t="str">
        <f t="shared" si="35"/>
        <v/>
      </c>
      <c r="N186" s="118" t="str">
        <f t="shared" si="36"/>
        <v/>
      </c>
      <c r="O186" s="118" t="str">
        <f t="shared" si="37"/>
        <v/>
      </c>
      <c r="P186" s="118" t="str" cm="1">
        <f t="array" aca="1" ref="P186" ca="1">IF(B186="","",IFERROR(MAX(OFFSET(高値!$E$6,MATCH(TEXT(B186,"0"),TEXT(銘柄管理!$B$6:$B$305,"0"),0)-1,0,1,10)),""))</f>
        <v/>
      </c>
      <c r="Q186" s="118" t="str" cm="1">
        <f t="array" aca="1" ref="Q186" ca="1">IF(B186="","",IFERROR(MIN(OFFSET(安値!$E$6,MATCH(TEXT(B186,"0"),TEXT(銘柄管理!$B$6:$B$305,"0"),0)-1,0,1,10)),""))</f>
        <v/>
      </c>
      <c r="R186" s="118" t="str">
        <f t="shared" ca="1" si="38"/>
        <v/>
      </c>
      <c r="S186" s="526" t="str">
        <f t="shared" si="39"/>
        <v/>
      </c>
      <c r="T186" s="116"/>
      <c r="U186" s="116"/>
      <c r="V186" s="118" t="str">
        <f t="shared" si="40"/>
        <v/>
      </c>
      <c r="W186" s="121" t="str">
        <f t="shared" ca="1" si="43"/>
        <v/>
      </c>
      <c r="X186" s="116"/>
    </row>
    <row r="187" spans="1:24" ht="17.25">
      <c r="A187" s="425" t="str">
        <f t="shared" si="42"/>
        <v>株探</v>
      </c>
      <c r="B187" s="116"/>
      <c r="C187" s="116"/>
      <c r="D187" s="116"/>
      <c r="E187" s="117"/>
      <c r="F187" s="443"/>
      <c r="G187" s="116"/>
      <c r="H187" s="118" t="str">
        <f>_xll.RssMarket("d7","現在値")</f>
        <v/>
      </c>
      <c r="I187" s="118" t="str" cm="1">
        <f t="array" ref="I187">_xll.RssMarket(B187, "出来高加重平均")</f>
        <v/>
      </c>
      <c r="J187" s="118" t="str" cm="1">
        <f t="array" ref="J187">_xll.RssMarket(B187, "前日比")</f>
        <v/>
      </c>
      <c r="K187" s="118" t="str">
        <f t="shared" si="33"/>
        <v/>
      </c>
      <c r="L187" s="119" t="str">
        <f t="shared" si="34"/>
        <v/>
      </c>
      <c r="M187" s="118" t="str">
        <f t="shared" si="35"/>
        <v/>
      </c>
      <c r="N187" s="118" t="str">
        <f t="shared" si="36"/>
        <v/>
      </c>
      <c r="O187" s="118" t="str">
        <f t="shared" si="37"/>
        <v/>
      </c>
      <c r="P187" s="118" t="str" cm="1">
        <f t="array" aca="1" ref="P187" ca="1">IF(B187="","",IFERROR(MAX(OFFSET(高値!$E$6,MATCH(TEXT(B187,"0"),TEXT(銘柄管理!$B$6:$B$305,"0"),0)-1,0,1,10)),""))</f>
        <v/>
      </c>
      <c r="Q187" s="118" t="str" cm="1">
        <f t="array" aca="1" ref="Q187" ca="1">IF(B187="","",IFERROR(MIN(OFFSET(安値!$E$6,MATCH(TEXT(B187,"0"),TEXT(銘柄管理!$B$6:$B$305,"0"),0)-1,0,1,10)),""))</f>
        <v/>
      </c>
      <c r="R187" s="118" t="str">
        <f t="shared" ca="1" si="38"/>
        <v/>
      </c>
      <c r="S187" s="526" t="str">
        <f t="shared" si="39"/>
        <v/>
      </c>
      <c r="T187" s="116"/>
      <c r="U187" s="116"/>
      <c r="V187" s="118" t="str">
        <f t="shared" si="40"/>
        <v/>
      </c>
      <c r="W187" s="121" t="str">
        <f t="shared" ca="1" si="43"/>
        <v/>
      </c>
      <c r="X187" s="116"/>
    </row>
    <row r="188" spans="1:24" ht="17.25">
      <c r="A188" s="425" t="str">
        <f t="shared" si="42"/>
        <v>株探</v>
      </c>
      <c r="B188" s="116"/>
      <c r="C188" s="116"/>
      <c r="D188" s="116"/>
      <c r="E188" s="117"/>
      <c r="F188" s="443"/>
      <c r="G188" s="116"/>
      <c r="H188" s="118" t="str">
        <f>_xll.RssMarket("d7","現在値")</f>
        <v/>
      </c>
      <c r="I188" s="118" t="str" cm="1">
        <f t="array" ref="I188">_xll.RssMarket(B188, "出来高加重平均")</f>
        <v/>
      </c>
      <c r="J188" s="118" t="str" cm="1">
        <f t="array" ref="J188">_xll.RssMarket(B188, "前日比")</f>
        <v/>
      </c>
      <c r="K188" s="118" t="str">
        <f t="shared" si="33"/>
        <v/>
      </c>
      <c r="L188" s="119" t="str">
        <f t="shared" si="34"/>
        <v/>
      </c>
      <c r="M188" s="118" t="str">
        <f t="shared" si="35"/>
        <v/>
      </c>
      <c r="N188" s="118" t="str">
        <f t="shared" si="36"/>
        <v/>
      </c>
      <c r="O188" s="118" t="str">
        <f t="shared" si="37"/>
        <v/>
      </c>
      <c r="P188" s="118" t="str" cm="1">
        <f t="array" aca="1" ref="P188" ca="1">IF(B188="","",IFERROR(MAX(OFFSET(高値!$E$6,MATCH(TEXT(B188,"0"),TEXT(銘柄管理!$B$6:$B$305,"0"),0)-1,0,1,10)),""))</f>
        <v/>
      </c>
      <c r="Q188" s="118" t="str" cm="1">
        <f t="array" aca="1" ref="Q188" ca="1">IF(B188="","",IFERROR(MIN(OFFSET(安値!$E$6,MATCH(TEXT(B188,"0"),TEXT(銘柄管理!$B$6:$B$305,"0"),0)-1,0,1,10)),""))</f>
        <v/>
      </c>
      <c r="R188" s="118" t="str">
        <f t="shared" ca="1" si="38"/>
        <v/>
      </c>
      <c r="S188" s="526" t="str">
        <f t="shared" si="39"/>
        <v/>
      </c>
      <c r="T188" s="116"/>
      <c r="U188" s="116"/>
      <c r="V188" s="118" t="str">
        <f t="shared" si="40"/>
        <v/>
      </c>
      <c r="W188" s="121" t="str">
        <f t="shared" ca="1" si="43"/>
        <v/>
      </c>
      <c r="X188" s="116"/>
    </row>
    <row r="189" spans="1:24" ht="17.25">
      <c r="A189" s="425" t="str">
        <f t="shared" si="42"/>
        <v>株探</v>
      </c>
      <c r="B189" s="116"/>
      <c r="C189" s="116"/>
      <c r="D189" s="116"/>
      <c r="E189" s="117"/>
      <c r="F189" s="443"/>
      <c r="G189" s="116"/>
      <c r="H189" s="118" t="str">
        <f>_xll.RssMarket("d7","現在値")</f>
        <v/>
      </c>
      <c r="I189" s="118" t="str" cm="1">
        <f t="array" ref="I189">_xll.RssMarket(B189, "出来高加重平均")</f>
        <v/>
      </c>
      <c r="J189" s="118" t="str" cm="1">
        <f t="array" ref="J189">_xll.RssMarket(B189, "前日比")</f>
        <v/>
      </c>
      <c r="K189" s="118" t="str">
        <f t="shared" si="33"/>
        <v/>
      </c>
      <c r="L189" s="119" t="str">
        <f t="shared" si="34"/>
        <v/>
      </c>
      <c r="M189" s="118" t="str">
        <f t="shared" si="35"/>
        <v/>
      </c>
      <c r="N189" s="118" t="str">
        <f t="shared" si="36"/>
        <v/>
      </c>
      <c r="O189" s="118" t="str">
        <f t="shared" si="37"/>
        <v/>
      </c>
      <c r="P189" s="118" t="str" cm="1">
        <f t="array" aca="1" ref="P189" ca="1">IF(B189="","",IFERROR(MAX(OFFSET(高値!$E$6,MATCH(TEXT(B189,"0"),TEXT(銘柄管理!$B$6:$B$305,"0"),0)-1,0,1,10)),""))</f>
        <v/>
      </c>
      <c r="Q189" s="118" t="str" cm="1">
        <f t="array" aca="1" ref="Q189" ca="1">IF(B189="","",IFERROR(MIN(OFFSET(安値!$E$6,MATCH(TEXT(B189,"0"),TEXT(銘柄管理!$B$6:$B$305,"0"),0)-1,0,1,10)),""))</f>
        <v/>
      </c>
      <c r="R189" s="118" t="str">
        <f t="shared" ca="1" si="38"/>
        <v/>
      </c>
      <c r="S189" s="526" t="str">
        <f t="shared" si="39"/>
        <v/>
      </c>
      <c r="T189" s="116"/>
      <c r="U189" s="116"/>
      <c r="V189" s="118" t="str">
        <f t="shared" si="40"/>
        <v/>
      </c>
      <c r="W189" s="121" t="str">
        <f t="shared" ca="1" si="43"/>
        <v/>
      </c>
      <c r="X189" s="116"/>
    </row>
    <row r="190" spans="1:24" ht="17.25">
      <c r="A190" s="425" t="str">
        <f t="shared" si="42"/>
        <v>株探</v>
      </c>
      <c r="B190" s="116"/>
      <c r="C190" s="116"/>
      <c r="D190" s="116"/>
      <c r="E190" s="117"/>
      <c r="F190" s="443"/>
      <c r="G190" s="116"/>
      <c r="H190" s="118" t="str">
        <f>_xll.RssMarket("d7","現在値")</f>
        <v/>
      </c>
      <c r="I190" s="118" t="str" cm="1">
        <f t="array" ref="I190">_xll.RssMarket(B190, "出来高加重平均")</f>
        <v/>
      </c>
      <c r="J190" s="118" t="str" cm="1">
        <f t="array" ref="J190">_xll.RssMarket(B190, "前日比")</f>
        <v/>
      </c>
      <c r="K190" s="118" t="str">
        <f t="shared" si="33"/>
        <v/>
      </c>
      <c r="L190" s="119" t="str">
        <f t="shared" si="34"/>
        <v/>
      </c>
      <c r="M190" s="118" t="str">
        <f t="shared" si="35"/>
        <v/>
      </c>
      <c r="N190" s="118" t="str">
        <f t="shared" si="36"/>
        <v/>
      </c>
      <c r="O190" s="118" t="str">
        <f t="shared" si="37"/>
        <v/>
      </c>
      <c r="P190" s="118" t="str" cm="1">
        <f t="array" aca="1" ref="P190" ca="1">IF(B190="","",IFERROR(MAX(OFFSET(高値!$E$6,MATCH(TEXT(B190,"0"),TEXT(銘柄管理!$B$6:$B$305,"0"),0)-1,0,1,10)),""))</f>
        <v/>
      </c>
      <c r="Q190" s="118" t="str" cm="1">
        <f t="array" aca="1" ref="Q190" ca="1">IF(B190="","",IFERROR(MIN(OFFSET(安値!$E$6,MATCH(TEXT(B190,"0"),TEXT(銘柄管理!$B$6:$B$305,"0"),0)-1,0,1,10)),""))</f>
        <v/>
      </c>
      <c r="R190" s="118" t="str">
        <f t="shared" ca="1" si="38"/>
        <v/>
      </c>
      <c r="S190" s="526" t="str">
        <f t="shared" si="39"/>
        <v/>
      </c>
      <c r="T190" s="116"/>
      <c r="U190" s="116"/>
      <c r="V190" s="118" t="str">
        <f t="shared" si="40"/>
        <v/>
      </c>
      <c r="W190" s="121" t="str">
        <f t="shared" ca="1" si="43"/>
        <v/>
      </c>
      <c r="X190" s="116"/>
    </row>
    <row r="191" spans="1:24" ht="17.25">
      <c r="A191" s="425" t="str">
        <f t="shared" si="42"/>
        <v>株探</v>
      </c>
      <c r="B191" s="116"/>
      <c r="C191" s="116"/>
      <c r="D191" s="116"/>
      <c r="E191" s="117"/>
      <c r="F191" s="443"/>
      <c r="G191" s="116"/>
      <c r="H191" s="118" t="str">
        <f>_xll.RssMarket("d7","現在値")</f>
        <v/>
      </c>
      <c r="I191" s="118" t="str" cm="1">
        <f t="array" ref="I191">_xll.RssMarket(B191, "出来高加重平均")</f>
        <v/>
      </c>
      <c r="J191" s="118" t="str" cm="1">
        <f t="array" ref="J191">_xll.RssMarket(B191, "前日比")</f>
        <v/>
      </c>
      <c r="K191" s="118" t="str">
        <f t="shared" si="33"/>
        <v/>
      </c>
      <c r="L191" s="119" t="str">
        <f t="shared" si="34"/>
        <v/>
      </c>
      <c r="M191" s="118" t="str">
        <f t="shared" si="35"/>
        <v/>
      </c>
      <c r="N191" s="118" t="str">
        <f t="shared" si="36"/>
        <v/>
      </c>
      <c r="O191" s="118" t="str">
        <f t="shared" si="37"/>
        <v/>
      </c>
      <c r="P191" s="118" t="str" cm="1">
        <f t="array" aca="1" ref="P191" ca="1">IF(B191="","",IFERROR(MAX(OFFSET(高値!$E$6,MATCH(TEXT(B191,"0"),TEXT(銘柄管理!$B$6:$B$305,"0"),0)-1,0,1,10)),""))</f>
        <v/>
      </c>
      <c r="Q191" s="118" t="str" cm="1">
        <f t="array" aca="1" ref="Q191" ca="1">IF(B191="","",IFERROR(MIN(OFFSET(安値!$E$6,MATCH(TEXT(B191,"0"),TEXT(銘柄管理!$B$6:$B$305,"0"),0)-1,0,1,10)),""))</f>
        <v/>
      </c>
      <c r="R191" s="118" t="str">
        <f t="shared" ca="1" si="38"/>
        <v/>
      </c>
      <c r="S191" s="526" t="str">
        <f t="shared" si="39"/>
        <v/>
      </c>
      <c r="T191" s="116"/>
      <c r="U191" s="116"/>
      <c r="V191" s="118" t="str">
        <f t="shared" si="40"/>
        <v/>
      </c>
      <c r="W191" s="121" t="str">
        <f t="shared" ca="1" si="43"/>
        <v/>
      </c>
      <c r="X191" s="116"/>
    </row>
    <row r="192" spans="1:24" ht="17.25">
      <c r="A192" s="425" t="str">
        <f t="shared" si="42"/>
        <v>株探</v>
      </c>
      <c r="B192" s="116"/>
      <c r="C192" s="116"/>
      <c r="D192" s="116"/>
      <c r="E192" s="117"/>
      <c r="F192" s="443"/>
      <c r="G192" s="116"/>
      <c r="H192" s="118" t="str">
        <f>_xll.RssMarket("d7","現在値")</f>
        <v/>
      </c>
      <c r="I192" s="118" t="str" cm="1">
        <f t="array" ref="I192">_xll.RssMarket(B192, "出来高加重平均")</f>
        <v/>
      </c>
      <c r="J192" s="118" t="str" cm="1">
        <f t="array" ref="J192">_xll.RssMarket(B192, "前日比")</f>
        <v/>
      </c>
      <c r="K192" s="118" t="str">
        <f t="shared" si="33"/>
        <v/>
      </c>
      <c r="L192" s="119" t="str">
        <f t="shared" si="34"/>
        <v/>
      </c>
      <c r="M192" s="118" t="str">
        <f t="shared" si="35"/>
        <v/>
      </c>
      <c r="N192" s="118" t="str">
        <f t="shared" si="36"/>
        <v/>
      </c>
      <c r="O192" s="118" t="str">
        <f t="shared" si="37"/>
        <v/>
      </c>
      <c r="P192" s="118" t="str" cm="1">
        <f t="array" aca="1" ref="P192" ca="1">IF(B192="","",IFERROR(MAX(OFFSET(高値!$E$6,MATCH(TEXT(B192,"0"),TEXT(銘柄管理!$B$6:$B$305,"0"),0)-1,0,1,10)),""))</f>
        <v/>
      </c>
      <c r="Q192" s="118" t="str" cm="1">
        <f t="array" aca="1" ref="Q192" ca="1">IF(B192="","",IFERROR(MIN(OFFSET(安値!$E$6,MATCH(TEXT(B192,"0"),TEXT(銘柄管理!$B$6:$B$305,"0"),0)-1,0,1,10)),""))</f>
        <v/>
      </c>
      <c r="R192" s="118" t="str">
        <f t="shared" ca="1" si="38"/>
        <v/>
      </c>
      <c r="S192" s="526" t="str">
        <f t="shared" si="39"/>
        <v/>
      </c>
      <c r="T192" s="116"/>
      <c r="U192" s="116"/>
      <c r="V192" s="118" t="str">
        <f t="shared" si="40"/>
        <v/>
      </c>
      <c r="W192" s="121" t="str">
        <f t="shared" ca="1" si="43"/>
        <v/>
      </c>
      <c r="X192" s="116"/>
    </row>
    <row r="193" spans="1:24" ht="17.25">
      <c r="A193" s="425" t="str">
        <f t="shared" si="42"/>
        <v>株探</v>
      </c>
      <c r="B193" s="116"/>
      <c r="C193" s="116"/>
      <c r="D193" s="116"/>
      <c r="E193" s="117"/>
      <c r="F193" s="443"/>
      <c r="G193" s="116"/>
      <c r="H193" s="118" t="str">
        <f>_xll.RssMarket("d7","現在値")</f>
        <v/>
      </c>
      <c r="I193" s="118" t="str" cm="1">
        <f t="array" ref="I193">_xll.RssMarket(B193, "出来高加重平均")</f>
        <v/>
      </c>
      <c r="J193" s="118" t="str" cm="1">
        <f t="array" ref="J193">_xll.RssMarket(B193, "前日比")</f>
        <v/>
      </c>
      <c r="K193" s="118" t="str">
        <f t="shared" ref="K193:K213" si="44">IF(OR(F193="",G193="",H193=""),"",(H193-F193)*G193)</f>
        <v/>
      </c>
      <c r="L193" s="119" t="str">
        <f t="shared" ref="L193:L213" si="45">IF(OR(F193="",H193=""),"",(H193-F193)/F193)</f>
        <v/>
      </c>
      <c r="M193" s="118" t="str">
        <f t="shared" ref="M193:M213" si="46">IF(F193="","",F193*1.07)</f>
        <v/>
      </c>
      <c r="N193" s="118" t="str">
        <f t="shared" ref="N193:N213" si="47">IF(F193="","",F193*0.96)</f>
        <v/>
      </c>
      <c r="O193" s="118" t="str">
        <f t="shared" ref="O193:O213" si="48">IF(B193="","",IF(H193="","保有中",IF(H193&gt;=M193,"🟢利確推奨",IF(H193&gt;=F193*1.06,"🟡利確&amp;TR STOP検討",IF(H193&lt;=N193,"🔴損切推奨",IF(H193&lt;=F193*0.965,"🔴損切間近",IF(H193&lt;=F193*0.97,"⚠️-3%注意",IF(H193&lt;=F193*0.96,"🟡STOP推奨","保持継続"))))))))</f>
        <v/>
      </c>
      <c r="P193" s="118" t="str" cm="1">
        <f t="array" aca="1" ref="P193" ca="1">IF(B193="","",IFERROR(MAX(OFFSET(高値!$E$6,MATCH(TEXT(B193,"0"),TEXT(銘柄管理!$B$6:$B$305,"0"),0)-1,0,1,10)),""))</f>
        <v/>
      </c>
      <c r="Q193" s="118" t="str" cm="1">
        <f t="array" aca="1" ref="Q193" ca="1">IF(B193="","",IFERROR(MIN(OFFSET(安値!$E$6,MATCH(TEXT(B193,"0"),TEXT(銘柄管理!$B$6:$B$305,"0"),0)-1,0,1,10)),""))</f>
        <v/>
      </c>
      <c r="R193" s="118" t="str">
        <f ca="1">IF(P193="","",ROUND(P193*0.97,0))</f>
        <v/>
      </c>
      <c r="S193" s="526" t="str">
        <f t="shared" ref="S193:S213" si="49">IF(B193="","",IF(T193&lt;&gt;"","?売却済",IF(H193="","?保有中",IF(H193&gt;=M193,"??利確推奨",IF(H193&lt;=N193,"??損切推奨",IF(H193&lt;=R193,"??STOP推奨","?保有中"))))))</f>
        <v/>
      </c>
      <c r="T193" s="116"/>
      <c r="U193" s="116"/>
      <c r="V193" s="118" t="str">
        <f t="shared" ref="V193:V213" si="50">IF(OR(F193="",G193="",U193=""),"",(U193-F193)*G193)</f>
        <v/>
      </c>
      <c r="W193" s="121" t="str">
        <f t="shared" ref="W193:W213" ca="1" si="51">IF(OR(E193="",B193=""),"",IF(T193&lt;&gt;"",T193-E193,TODAY()-E193))</f>
        <v/>
      </c>
      <c r="X193" s="116"/>
    </row>
    <row r="194" spans="1:24" ht="17.25">
      <c r="A194" s="425" t="str">
        <f t="shared" si="42"/>
        <v>株探</v>
      </c>
      <c r="B194" s="116"/>
      <c r="C194" s="116"/>
      <c r="D194" s="116"/>
      <c r="E194" s="117"/>
      <c r="F194" s="443"/>
      <c r="G194" s="116"/>
      <c r="H194" s="118" t="str">
        <f>_xll.RssMarket("d7","現在値")</f>
        <v/>
      </c>
      <c r="I194" s="118" t="str" cm="1">
        <f t="array" ref="I194">_xll.RssMarket(B194, "出来高加重平均")</f>
        <v/>
      </c>
      <c r="J194" s="118" t="str" cm="1">
        <f t="array" ref="J194">_xll.RssMarket(B194, "前日比")</f>
        <v/>
      </c>
      <c r="K194" s="118" t="str">
        <f t="shared" si="44"/>
        <v/>
      </c>
      <c r="L194" s="119" t="str">
        <f t="shared" si="45"/>
        <v/>
      </c>
      <c r="M194" s="118" t="str">
        <f t="shared" si="46"/>
        <v/>
      </c>
      <c r="N194" s="118" t="str">
        <f t="shared" si="47"/>
        <v/>
      </c>
      <c r="O194" s="118" t="str">
        <f t="shared" si="48"/>
        <v/>
      </c>
      <c r="P194" s="118" t="str" cm="1">
        <f t="array" aca="1" ref="P194" ca="1">IF(B194="","",IFERROR(MAX(OFFSET(高値!$E$6,MATCH(TEXT(B194,"0"),TEXT(銘柄管理!$B$6:$B$305,"0"),0)-1,0,1,10)),""))</f>
        <v/>
      </c>
      <c r="Q194" s="118" t="str" cm="1">
        <f t="array" aca="1" ref="Q194" ca="1">IF(B194="","",IFERROR(MIN(OFFSET(安値!$E$6,MATCH(TEXT(B194,"0"),TEXT(銘柄管理!$B$6:$B$305,"0"),0)-1,0,1,10)),""))</f>
        <v/>
      </c>
      <c r="R194" s="118" t="str">
        <f ca="1">IF(P194="","",ROUND(P194*0.97,0))</f>
        <v/>
      </c>
      <c r="S194" s="526" t="str">
        <f t="shared" si="49"/>
        <v/>
      </c>
      <c r="T194" s="116"/>
      <c r="U194" s="116"/>
      <c r="V194" s="118" t="str">
        <f t="shared" si="50"/>
        <v/>
      </c>
      <c r="W194" s="121" t="str">
        <f t="shared" ca="1" si="51"/>
        <v/>
      </c>
      <c r="X194" s="116"/>
    </row>
    <row r="195" spans="1:24" ht="17.25">
      <c r="A195" s="425" t="str">
        <f t="shared" si="42"/>
        <v>株探</v>
      </c>
      <c r="B195" s="116"/>
      <c r="C195" s="116"/>
      <c r="D195" s="116"/>
      <c r="E195" s="117"/>
      <c r="F195" s="443"/>
      <c r="G195" s="116"/>
      <c r="H195" s="118" t="str">
        <f>_xll.RssMarket("d7","現在値")</f>
        <v/>
      </c>
      <c r="I195" s="118" t="str" cm="1">
        <f t="array" ref="I195">_xll.RssMarket(B195, "出来高加重平均")</f>
        <v/>
      </c>
      <c r="J195" s="118" t="str" cm="1">
        <f t="array" ref="J195">_xll.RssMarket(B195, "前日比")</f>
        <v/>
      </c>
      <c r="K195" s="118" t="str">
        <f t="shared" si="44"/>
        <v/>
      </c>
      <c r="L195" s="119" t="str">
        <f t="shared" si="45"/>
        <v/>
      </c>
      <c r="M195" s="118" t="str">
        <f t="shared" si="46"/>
        <v/>
      </c>
      <c r="N195" s="118" t="str">
        <f t="shared" si="47"/>
        <v/>
      </c>
      <c r="O195" s="118" t="str">
        <f t="shared" si="48"/>
        <v/>
      </c>
      <c r="P195" s="118" t="str" cm="1">
        <f t="array" aca="1" ref="P195" ca="1">IF(B195="","",IFERROR(MAX(OFFSET(高値!$E$6,MATCH(TEXT(B195,"0"),TEXT(銘柄管理!$B$6:$B$305,"0"),0)-1,0,1,10)),""))</f>
        <v/>
      </c>
      <c r="Q195" s="118" t="str" cm="1">
        <f t="array" aca="1" ref="Q195" ca="1">IF(B195="","",IFERROR(MIN(OFFSET(安値!$E$6,MATCH(TEXT(B195,"0"),TEXT(銘柄管理!$B$6:$B$305,"0"),0)-1,0,1,10)),""))</f>
        <v/>
      </c>
      <c r="R195" s="118" t="str">
        <f ca="1">IF(P195="","",ROUND(P195*0.97,0))</f>
        <v/>
      </c>
      <c r="S195" s="526" t="str">
        <f t="shared" si="49"/>
        <v/>
      </c>
      <c r="T195" s="116"/>
      <c r="U195" s="116"/>
      <c r="V195" s="118" t="str">
        <f t="shared" si="50"/>
        <v/>
      </c>
      <c r="W195" s="121" t="str">
        <f t="shared" ca="1" si="51"/>
        <v/>
      </c>
      <c r="X195" s="116"/>
    </row>
    <row r="196" spans="1:24" ht="17.25">
      <c r="A196" s="425" t="str">
        <f t="shared" si="42"/>
        <v>株探</v>
      </c>
      <c r="B196" s="116"/>
      <c r="C196" s="116"/>
      <c r="D196" s="116"/>
      <c r="E196" s="117"/>
      <c r="F196" s="443"/>
      <c r="G196" s="116"/>
      <c r="H196" s="118" t="str">
        <f>_xll.RssMarket("d7","現在値")</f>
        <v/>
      </c>
      <c r="I196" s="118" t="str" cm="1">
        <f t="array" ref="I196">_xll.RssMarket(B196, "出来高加重平均")</f>
        <v/>
      </c>
      <c r="J196" s="118" t="str" cm="1">
        <f t="array" ref="J196">_xll.RssMarket(B196, "前日比")</f>
        <v/>
      </c>
      <c r="K196" s="118" t="str">
        <f t="shared" si="44"/>
        <v/>
      </c>
      <c r="L196" s="119" t="str">
        <f t="shared" si="45"/>
        <v/>
      </c>
      <c r="M196" s="118" t="str">
        <f t="shared" si="46"/>
        <v/>
      </c>
      <c r="N196" s="118" t="str">
        <f t="shared" si="47"/>
        <v/>
      </c>
      <c r="O196" s="118" t="str">
        <f t="shared" si="48"/>
        <v/>
      </c>
      <c r="P196" s="118" t="str" cm="1">
        <f t="array" aca="1" ref="P196" ca="1">IF(B196="","",IFERROR(MAX(OFFSET(高値!$E$6,MATCH(TEXT(B196,"0"),TEXT(銘柄管理!$B$6:$B$305,"0"),0)-1,0,1,10)),""))</f>
        <v/>
      </c>
      <c r="Q196" s="118" t="str" cm="1">
        <f t="array" aca="1" ref="Q196" ca="1">IF(B196="","",IFERROR(MIN(OFFSET(安値!$E$6,MATCH(TEXT(B196,"0"),TEXT(銘柄管理!$B$6:$B$305,"0"),0)-1,0,1,10)),""))</f>
        <v/>
      </c>
      <c r="R196" s="118" t="str">
        <f ca="1">IF(P196="","",ROUND(P196*0.97,0))</f>
        <v/>
      </c>
      <c r="S196" s="526" t="str">
        <f t="shared" si="49"/>
        <v/>
      </c>
      <c r="T196" s="116"/>
      <c r="U196" s="116"/>
      <c r="V196" s="118" t="str">
        <f t="shared" si="50"/>
        <v/>
      </c>
      <c r="W196" s="121" t="str">
        <f t="shared" ca="1" si="51"/>
        <v/>
      </c>
      <c r="X196" s="116"/>
    </row>
    <row r="197" spans="1:24" ht="17.25">
      <c r="A197" s="425" t="str">
        <f t="shared" ref="A197:A213" si="52">HYPERLINK("https://kabutan.jp/stock/?code="&amp;TEXT(B197,"0000"),"株探")</f>
        <v>株探</v>
      </c>
      <c r="B197" s="116"/>
      <c r="C197" s="116"/>
      <c r="D197" s="116"/>
      <c r="E197" s="117"/>
      <c r="F197" s="443"/>
      <c r="G197" s="116"/>
      <c r="H197" s="118" t="str">
        <f>_xll.RssMarket("d7","現在値")</f>
        <v/>
      </c>
      <c r="I197" s="118" t="str" cm="1">
        <f t="array" ref="I197">_xll.RssMarket(B197, "出来高加重平均")</f>
        <v/>
      </c>
      <c r="J197" s="118" t="str" cm="1">
        <f t="array" ref="J197">_xll.RssMarket(B197, "前日比")</f>
        <v/>
      </c>
      <c r="K197" s="118" t="str">
        <f t="shared" si="44"/>
        <v/>
      </c>
      <c r="L197" s="119" t="str">
        <f t="shared" si="45"/>
        <v/>
      </c>
      <c r="M197" s="118" t="str">
        <f t="shared" si="46"/>
        <v/>
      </c>
      <c r="N197" s="118" t="str">
        <f t="shared" si="47"/>
        <v/>
      </c>
      <c r="O197" s="118" t="str">
        <f t="shared" si="48"/>
        <v/>
      </c>
      <c r="P197" s="118" t="str" cm="1">
        <f t="array" aca="1" ref="P197" ca="1">IF(B197="","",IFERROR(MAX(OFFSET(高値!$E$6,MATCH(TEXT(B197,"0"),TEXT(銘柄管理!$B$6:$B$305,"0"),0)-1,0,1,10)),""))</f>
        <v/>
      </c>
      <c r="Q197" s="118" t="str" cm="1">
        <f t="array" aca="1" ref="Q197" ca="1">IF(B197="","",IFERROR(MIN(OFFSET(安値!$E$6,MATCH(TEXT(B197,"0"),TEXT(銘柄管理!$B$6:$B$305,"0"),0)-1,0,1,10)),""))</f>
        <v/>
      </c>
      <c r="R197" s="118" t="str">
        <f ca="1">IF(P197="","",ROUND(P197*0.97,0))</f>
        <v/>
      </c>
      <c r="S197" s="526" t="str">
        <f t="shared" si="49"/>
        <v/>
      </c>
      <c r="T197" s="116"/>
      <c r="U197" s="116"/>
      <c r="V197" s="118" t="str">
        <f t="shared" si="50"/>
        <v/>
      </c>
      <c r="W197" s="121" t="str">
        <f t="shared" ca="1" si="51"/>
        <v/>
      </c>
      <c r="X197" s="116"/>
    </row>
    <row r="198" spans="1:24" ht="17.25">
      <c r="A198" s="425" t="str">
        <f t="shared" si="52"/>
        <v>株探</v>
      </c>
      <c r="B198" s="116"/>
      <c r="C198" s="116"/>
      <c r="D198" s="116"/>
      <c r="E198" s="117"/>
      <c r="F198" s="443"/>
      <c r="G198" s="116"/>
      <c r="H198" s="118" t="str">
        <f>_xll.RssMarket("d7","現在値")</f>
        <v/>
      </c>
      <c r="I198" s="118" t="str" cm="1">
        <f t="array" ref="I198">_xll.RssMarket(B198, "出来高加重平均")</f>
        <v/>
      </c>
      <c r="J198" s="118" t="str" cm="1">
        <f t="array" ref="J198">_xll.RssMarket(B198, "前日比")</f>
        <v/>
      </c>
      <c r="K198" s="118" t="str">
        <f t="shared" si="44"/>
        <v/>
      </c>
      <c r="L198" s="119" t="str">
        <f t="shared" si="45"/>
        <v/>
      </c>
      <c r="M198" s="118" t="str">
        <f t="shared" si="46"/>
        <v/>
      </c>
      <c r="N198" s="118" t="str">
        <f t="shared" si="47"/>
        <v/>
      </c>
      <c r="O198" s="118" t="str">
        <f t="shared" si="48"/>
        <v/>
      </c>
      <c r="P198" s="118" t="str" cm="1">
        <f t="array" aca="1" ref="P198" ca="1">IF(B198="","",IFERROR(MAX(OFFSET(高値!$E$6,MATCH(TEXT(B198,"0"),TEXT(銘柄管理!$B$6:$B$305,"0"),0)-1,0,1,10)),""))</f>
        <v/>
      </c>
      <c r="Q198" s="118" t="str" cm="1">
        <f t="array" aca="1" ref="Q198" ca="1">IF(B198="","",IFERROR(MIN(OFFSET(安値!$E$6,MATCH(TEXT(B198,"0"),TEXT(銘柄管理!$B$6:$B$305,"0"),0)-1,0,1,10)),""))</f>
        <v/>
      </c>
      <c r="R198" s="118" t="str">
        <f t="shared" ref="R198:R213" ca="1" si="53">IF(P198="","",ROUND(P198*0.97,0))</f>
        <v/>
      </c>
      <c r="S198" s="526" t="str">
        <f t="shared" si="49"/>
        <v/>
      </c>
      <c r="T198" s="116"/>
      <c r="U198" s="116"/>
      <c r="V198" s="118" t="str">
        <f t="shared" si="50"/>
        <v/>
      </c>
      <c r="W198" s="121" t="str">
        <f t="shared" ca="1" si="51"/>
        <v/>
      </c>
      <c r="X198" s="116"/>
    </row>
    <row r="199" spans="1:24" ht="17.25">
      <c r="A199" s="425" t="str">
        <f t="shared" si="52"/>
        <v>株探</v>
      </c>
      <c r="B199" s="116"/>
      <c r="C199" s="116"/>
      <c r="D199" s="116"/>
      <c r="E199" s="117"/>
      <c r="F199" s="443"/>
      <c r="G199" s="116"/>
      <c r="H199" s="118" t="str">
        <f>_xll.RssMarket("d7","現在値")</f>
        <v/>
      </c>
      <c r="I199" s="118" t="str" cm="1">
        <f t="array" ref="I199">_xll.RssMarket(B199, "出来高加重平均")</f>
        <v/>
      </c>
      <c r="J199" s="118" t="str" cm="1">
        <f t="array" ref="J199">_xll.RssMarket(B199, "前日比")</f>
        <v/>
      </c>
      <c r="K199" s="118" t="str">
        <f t="shared" si="44"/>
        <v/>
      </c>
      <c r="L199" s="119" t="str">
        <f t="shared" si="45"/>
        <v/>
      </c>
      <c r="M199" s="118" t="str">
        <f t="shared" si="46"/>
        <v/>
      </c>
      <c r="N199" s="118" t="str">
        <f t="shared" si="47"/>
        <v/>
      </c>
      <c r="O199" s="118" t="str">
        <f t="shared" si="48"/>
        <v/>
      </c>
      <c r="P199" s="118" t="str" cm="1">
        <f t="array" aca="1" ref="P199" ca="1">IF(B199="","",IFERROR(MAX(OFFSET(高値!$E$6,MATCH(TEXT(B199,"0"),TEXT(銘柄管理!$B$6:$B$305,"0"),0)-1,0,1,10)),""))</f>
        <v/>
      </c>
      <c r="Q199" s="118" t="str" cm="1">
        <f t="array" aca="1" ref="Q199" ca="1">IF(B199="","",IFERROR(MIN(OFFSET(安値!$E$6,MATCH(TEXT(B199,"0"),TEXT(銘柄管理!$B$6:$B$305,"0"),0)-1,0,1,10)),""))</f>
        <v/>
      </c>
      <c r="R199" s="118" t="str">
        <f t="shared" ca="1" si="53"/>
        <v/>
      </c>
      <c r="S199" s="526" t="str">
        <f t="shared" si="49"/>
        <v/>
      </c>
      <c r="T199" s="116"/>
      <c r="U199" s="116"/>
      <c r="V199" s="118" t="str">
        <f t="shared" si="50"/>
        <v/>
      </c>
      <c r="W199" s="121" t="str">
        <f t="shared" ca="1" si="51"/>
        <v/>
      </c>
      <c r="X199" s="116"/>
    </row>
    <row r="200" spans="1:24" ht="17.25">
      <c r="A200" s="425" t="str">
        <f t="shared" si="52"/>
        <v>株探</v>
      </c>
      <c r="B200" s="116"/>
      <c r="C200" s="116"/>
      <c r="D200" s="116"/>
      <c r="E200" s="117"/>
      <c r="F200" s="443"/>
      <c r="G200" s="116"/>
      <c r="H200" s="118" t="str">
        <f>_xll.RssMarket("d7","現在値")</f>
        <v/>
      </c>
      <c r="I200" s="118" t="str" cm="1">
        <f t="array" ref="I200">_xll.RssMarket(B200, "出来高加重平均")</f>
        <v/>
      </c>
      <c r="J200" s="118" t="str" cm="1">
        <f t="array" ref="J200">_xll.RssMarket(B200, "前日比")</f>
        <v/>
      </c>
      <c r="K200" s="118" t="str">
        <f t="shared" si="44"/>
        <v/>
      </c>
      <c r="L200" s="119" t="str">
        <f t="shared" si="45"/>
        <v/>
      </c>
      <c r="M200" s="118" t="str">
        <f t="shared" si="46"/>
        <v/>
      </c>
      <c r="N200" s="118" t="str">
        <f t="shared" si="47"/>
        <v/>
      </c>
      <c r="O200" s="118" t="str">
        <f t="shared" si="48"/>
        <v/>
      </c>
      <c r="P200" s="118" t="str" cm="1">
        <f t="array" aca="1" ref="P200" ca="1">IF(B200="","",IFERROR(MAX(OFFSET(高値!$E$6,MATCH(TEXT(B200,"0"),TEXT(銘柄管理!$B$6:$B$305,"0"),0)-1,0,1,10)),""))</f>
        <v/>
      </c>
      <c r="Q200" s="118" t="str" cm="1">
        <f t="array" aca="1" ref="Q200" ca="1">IF(B200="","",IFERROR(MIN(OFFSET(安値!$E$6,MATCH(TEXT(B200,"0"),TEXT(銘柄管理!$B$6:$B$305,"0"),0)-1,0,1,10)),""))</f>
        <v/>
      </c>
      <c r="R200" s="118" t="str">
        <f t="shared" ca="1" si="53"/>
        <v/>
      </c>
      <c r="S200" s="526" t="str">
        <f t="shared" si="49"/>
        <v/>
      </c>
      <c r="T200" s="116"/>
      <c r="U200" s="116"/>
      <c r="V200" s="118" t="str">
        <f t="shared" si="50"/>
        <v/>
      </c>
      <c r="W200" s="121" t="str">
        <f t="shared" ca="1" si="51"/>
        <v/>
      </c>
      <c r="X200" s="116"/>
    </row>
    <row r="201" spans="1:24" ht="17.25">
      <c r="A201" s="425" t="str">
        <f t="shared" si="52"/>
        <v>株探</v>
      </c>
      <c r="B201" s="116"/>
      <c r="C201" s="116"/>
      <c r="D201" s="116"/>
      <c r="E201" s="117"/>
      <c r="F201" s="443"/>
      <c r="G201" s="116"/>
      <c r="H201" s="118" t="str">
        <f>_xll.RssMarket("d7","現在値")</f>
        <v/>
      </c>
      <c r="I201" s="118" t="str" cm="1">
        <f t="array" ref="I201">_xll.RssMarket(B201, "出来高加重平均")</f>
        <v/>
      </c>
      <c r="J201" s="118" t="str" cm="1">
        <f t="array" ref="J201">_xll.RssMarket(B201, "前日比")</f>
        <v/>
      </c>
      <c r="K201" s="118" t="str">
        <f t="shared" si="44"/>
        <v/>
      </c>
      <c r="L201" s="119" t="str">
        <f t="shared" si="45"/>
        <v/>
      </c>
      <c r="M201" s="118" t="str">
        <f t="shared" si="46"/>
        <v/>
      </c>
      <c r="N201" s="118" t="str">
        <f t="shared" si="47"/>
        <v/>
      </c>
      <c r="O201" s="118" t="str">
        <f t="shared" si="48"/>
        <v/>
      </c>
      <c r="P201" s="118" t="str" cm="1">
        <f t="array" aca="1" ref="P201" ca="1">IF(B201="","",IFERROR(MAX(OFFSET(高値!$E$6,MATCH(TEXT(B201,"0"),TEXT(銘柄管理!$B$6:$B$305,"0"),0)-1,0,1,10)),""))</f>
        <v/>
      </c>
      <c r="Q201" s="118" t="str" cm="1">
        <f t="array" aca="1" ref="Q201" ca="1">IF(B201="","",IFERROR(MIN(OFFSET(安値!$E$6,MATCH(TEXT(B201,"0"),TEXT(銘柄管理!$B$6:$B$305,"0"),0)-1,0,1,10)),""))</f>
        <v/>
      </c>
      <c r="R201" s="118" t="str">
        <f t="shared" ca="1" si="53"/>
        <v/>
      </c>
      <c r="S201" s="526" t="str">
        <f t="shared" si="49"/>
        <v/>
      </c>
      <c r="T201" s="116"/>
      <c r="U201" s="116"/>
      <c r="V201" s="118" t="str">
        <f t="shared" si="50"/>
        <v/>
      </c>
      <c r="W201" s="121" t="str">
        <f t="shared" ca="1" si="51"/>
        <v/>
      </c>
      <c r="X201" s="116"/>
    </row>
    <row r="202" spans="1:24" ht="17.25">
      <c r="A202" s="425" t="str">
        <f t="shared" si="52"/>
        <v>株探</v>
      </c>
      <c r="B202" s="116"/>
      <c r="C202" s="116"/>
      <c r="D202" s="116"/>
      <c r="E202" s="117"/>
      <c r="F202" s="443"/>
      <c r="G202" s="116"/>
      <c r="H202" s="118" t="str">
        <f>_xll.RssMarket("d7","現在値")</f>
        <v/>
      </c>
      <c r="I202" s="118" t="str" cm="1">
        <f t="array" ref="I202">_xll.RssMarket(B202, "出来高加重平均")</f>
        <v/>
      </c>
      <c r="J202" s="118" t="str" cm="1">
        <f t="array" ref="J202">_xll.RssMarket(B202, "前日比")</f>
        <v/>
      </c>
      <c r="K202" s="118" t="str">
        <f t="shared" si="44"/>
        <v/>
      </c>
      <c r="L202" s="119" t="str">
        <f t="shared" si="45"/>
        <v/>
      </c>
      <c r="M202" s="118" t="str">
        <f t="shared" si="46"/>
        <v/>
      </c>
      <c r="N202" s="118" t="str">
        <f t="shared" si="47"/>
        <v/>
      </c>
      <c r="O202" s="118" t="str">
        <f t="shared" si="48"/>
        <v/>
      </c>
      <c r="P202" s="118" t="str" cm="1">
        <f t="array" aca="1" ref="P202" ca="1">IF(B202="","",IFERROR(MAX(OFFSET(高値!$E$6,MATCH(TEXT(B202,"0"),TEXT(銘柄管理!$B$6:$B$305,"0"),0)-1,0,1,10)),""))</f>
        <v/>
      </c>
      <c r="Q202" s="118" t="str" cm="1">
        <f t="array" aca="1" ref="Q202" ca="1">IF(B202="","",IFERROR(MIN(OFFSET(安値!$E$6,MATCH(TEXT(B202,"0"),TEXT(銘柄管理!$B$6:$B$305,"0"),0)-1,0,1,10)),""))</f>
        <v/>
      </c>
      <c r="R202" s="118" t="str">
        <f t="shared" ca="1" si="53"/>
        <v/>
      </c>
      <c r="S202" s="526" t="str">
        <f t="shared" si="49"/>
        <v/>
      </c>
      <c r="T202" s="116"/>
      <c r="U202" s="116"/>
      <c r="V202" s="118" t="str">
        <f t="shared" si="50"/>
        <v/>
      </c>
      <c r="W202" s="121" t="str">
        <f t="shared" ca="1" si="51"/>
        <v/>
      </c>
      <c r="X202" s="116"/>
    </row>
    <row r="203" spans="1:24" ht="17.25">
      <c r="A203" s="425" t="str">
        <f t="shared" si="52"/>
        <v>株探</v>
      </c>
      <c r="B203" s="116"/>
      <c r="C203" s="116"/>
      <c r="D203" s="116"/>
      <c r="E203" s="117"/>
      <c r="F203" s="443"/>
      <c r="G203" s="116"/>
      <c r="H203" s="118" t="str">
        <f>_xll.RssMarket("d7","現在値")</f>
        <v/>
      </c>
      <c r="I203" s="118" t="str" cm="1">
        <f t="array" ref="I203">_xll.RssMarket(B203, "出来高加重平均")</f>
        <v/>
      </c>
      <c r="J203" s="118" t="str" cm="1">
        <f t="array" ref="J203">_xll.RssMarket(B203, "前日比")</f>
        <v/>
      </c>
      <c r="K203" s="118" t="str">
        <f t="shared" si="44"/>
        <v/>
      </c>
      <c r="L203" s="119" t="str">
        <f t="shared" si="45"/>
        <v/>
      </c>
      <c r="M203" s="118" t="str">
        <f t="shared" si="46"/>
        <v/>
      </c>
      <c r="N203" s="118" t="str">
        <f t="shared" si="47"/>
        <v/>
      </c>
      <c r="O203" s="118" t="str">
        <f t="shared" si="48"/>
        <v/>
      </c>
      <c r="P203" s="118" t="str" cm="1">
        <f t="array" aca="1" ref="P203" ca="1">IF(B203="","",IFERROR(MAX(OFFSET(高値!$E$6,MATCH(TEXT(B203,"0"),TEXT(銘柄管理!$B$6:$B$305,"0"),0)-1,0,1,10)),""))</f>
        <v/>
      </c>
      <c r="Q203" s="118" t="str" cm="1">
        <f t="array" aca="1" ref="Q203" ca="1">IF(B203="","",IFERROR(MIN(OFFSET(安値!$E$6,MATCH(TEXT(B203,"0"),TEXT(銘柄管理!$B$6:$B$305,"0"),0)-1,0,1,10)),""))</f>
        <v/>
      </c>
      <c r="R203" s="118" t="str">
        <f t="shared" ca="1" si="53"/>
        <v/>
      </c>
      <c r="S203" s="526" t="str">
        <f t="shared" si="49"/>
        <v/>
      </c>
      <c r="T203" s="116"/>
      <c r="U203" s="116"/>
      <c r="V203" s="118" t="str">
        <f t="shared" si="50"/>
        <v/>
      </c>
      <c r="W203" s="121" t="str">
        <f t="shared" ca="1" si="51"/>
        <v/>
      </c>
      <c r="X203" s="116"/>
    </row>
    <row r="204" spans="1:24" ht="17.25">
      <c r="A204" s="425" t="str">
        <f t="shared" si="52"/>
        <v>株探</v>
      </c>
      <c r="B204" s="116"/>
      <c r="C204" s="116"/>
      <c r="D204" s="116"/>
      <c r="E204" s="117"/>
      <c r="F204" s="443"/>
      <c r="G204" s="116"/>
      <c r="H204" s="118" t="str">
        <f>_xll.RssMarket("d7","現在値")</f>
        <v/>
      </c>
      <c r="I204" s="118" t="str" cm="1">
        <f t="array" ref="I204">_xll.RssMarket(B204, "出来高加重平均")</f>
        <v/>
      </c>
      <c r="J204" s="118" t="str" cm="1">
        <f t="array" ref="J204">_xll.RssMarket(B204, "前日比")</f>
        <v/>
      </c>
      <c r="K204" s="118" t="str">
        <f t="shared" si="44"/>
        <v/>
      </c>
      <c r="L204" s="119" t="str">
        <f t="shared" si="45"/>
        <v/>
      </c>
      <c r="M204" s="118" t="str">
        <f t="shared" si="46"/>
        <v/>
      </c>
      <c r="N204" s="118" t="str">
        <f t="shared" si="47"/>
        <v/>
      </c>
      <c r="O204" s="118" t="str">
        <f t="shared" si="48"/>
        <v/>
      </c>
      <c r="P204" s="118" t="str" cm="1">
        <f t="array" aca="1" ref="P204" ca="1">IF(B204="","",IFERROR(MAX(OFFSET(高値!$E$6,MATCH(TEXT(B204,"0"),TEXT(銘柄管理!$B$6:$B$305,"0"),0)-1,0,1,10)),""))</f>
        <v/>
      </c>
      <c r="Q204" s="118" t="str" cm="1">
        <f t="array" aca="1" ref="Q204" ca="1">IF(B204="","",IFERROR(MIN(OFFSET(安値!$E$6,MATCH(TEXT(B204,"0"),TEXT(銘柄管理!$B$6:$B$305,"0"),0)-1,0,1,10)),""))</f>
        <v/>
      </c>
      <c r="R204" s="118" t="str">
        <f t="shared" ca="1" si="53"/>
        <v/>
      </c>
      <c r="S204" s="526" t="str">
        <f t="shared" si="49"/>
        <v/>
      </c>
      <c r="T204" s="116"/>
      <c r="U204" s="116"/>
      <c r="V204" s="118" t="str">
        <f t="shared" si="50"/>
        <v/>
      </c>
      <c r="W204" s="121" t="str">
        <f t="shared" ca="1" si="51"/>
        <v/>
      </c>
      <c r="X204" s="116"/>
    </row>
    <row r="205" spans="1:24" ht="17.25">
      <c r="A205" s="425" t="str">
        <f t="shared" si="52"/>
        <v>株探</v>
      </c>
      <c r="B205" s="116"/>
      <c r="C205" s="116"/>
      <c r="D205" s="116"/>
      <c r="E205" s="117"/>
      <c r="F205" s="443"/>
      <c r="G205" s="116"/>
      <c r="H205" s="118" t="str">
        <f>_xll.RssMarket("d7","現在値")</f>
        <v/>
      </c>
      <c r="I205" s="118" t="str" cm="1">
        <f t="array" ref="I205">_xll.RssMarket(B205, "出来高加重平均")</f>
        <v/>
      </c>
      <c r="J205" s="118" t="str" cm="1">
        <f t="array" ref="J205">_xll.RssMarket(B205, "前日比")</f>
        <v/>
      </c>
      <c r="K205" s="118" t="str">
        <f t="shared" si="44"/>
        <v/>
      </c>
      <c r="L205" s="119" t="str">
        <f t="shared" si="45"/>
        <v/>
      </c>
      <c r="M205" s="118" t="str">
        <f t="shared" si="46"/>
        <v/>
      </c>
      <c r="N205" s="118" t="str">
        <f t="shared" si="47"/>
        <v/>
      </c>
      <c r="O205" s="118" t="str">
        <f t="shared" si="48"/>
        <v/>
      </c>
      <c r="P205" s="118" t="str" cm="1">
        <f t="array" aca="1" ref="P205" ca="1">IF(B205="","",IFERROR(MAX(OFFSET(高値!$E$6,MATCH(TEXT(B205,"0"),TEXT(銘柄管理!$B$6:$B$305,"0"),0)-1,0,1,10)),""))</f>
        <v/>
      </c>
      <c r="Q205" s="118" t="str" cm="1">
        <f t="array" aca="1" ref="Q205" ca="1">IF(B205="","",IFERROR(MIN(OFFSET(安値!$E$6,MATCH(TEXT(B205,"0"),TEXT(銘柄管理!$B$6:$B$305,"0"),0)-1,0,1,10)),""))</f>
        <v/>
      </c>
      <c r="R205" s="118" t="str">
        <f t="shared" ca="1" si="53"/>
        <v/>
      </c>
      <c r="S205" s="526" t="str">
        <f t="shared" si="49"/>
        <v/>
      </c>
      <c r="T205" s="116"/>
      <c r="U205" s="116"/>
      <c r="V205" s="118" t="str">
        <f t="shared" si="50"/>
        <v/>
      </c>
      <c r="W205" s="121" t="str">
        <f t="shared" ca="1" si="51"/>
        <v/>
      </c>
      <c r="X205" s="116"/>
    </row>
    <row r="206" spans="1:24" ht="17.25">
      <c r="A206" s="425" t="str">
        <f t="shared" si="52"/>
        <v>株探</v>
      </c>
      <c r="B206" s="116"/>
      <c r="C206" s="116"/>
      <c r="D206" s="116"/>
      <c r="E206" s="117"/>
      <c r="F206" s="443"/>
      <c r="G206" s="116"/>
      <c r="H206" s="118" t="str">
        <f>_xll.RssMarket("d7","現在値")</f>
        <v/>
      </c>
      <c r="I206" s="118" t="str" cm="1">
        <f t="array" ref="I206">_xll.RssMarket(B206, "出来高加重平均")</f>
        <v/>
      </c>
      <c r="J206" s="118" t="str" cm="1">
        <f t="array" ref="J206">_xll.RssMarket(B206, "前日比")</f>
        <v/>
      </c>
      <c r="K206" s="118" t="str">
        <f t="shared" si="44"/>
        <v/>
      </c>
      <c r="L206" s="119" t="str">
        <f t="shared" si="45"/>
        <v/>
      </c>
      <c r="M206" s="118" t="str">
        <f t="shared" si="46"/>
        <v/>
      </c>
      <c r="N206" s="118" t="str">
        <f t="shared" si="47"/>
        <v/>
      </c>
      <c r="O206" s="118" t="str">
        <f t="shared" si="48"/>
        <v/>
      </c>
      <c r="P206" s="118" t="str" cm="1">
        <f t="array" aca="1" ref="P206" ca="1">IF(B206="","",IFERROR(MAX(OFFSET(高値!$E$6,MATCH(TEXT(B206,"0"),TEXT(銘柄管理!$B$6:$B$305,"0"),0)-1,0,1,10)),""))</f>
        <v/>
      </c>
      <c r="Q206" s="118" t="str" cm="1">
        <f t="array" aca="1" ref="Q206" ca="1">IF(B206="","",IFERROR(MIN(OFFSET(安値!$E$6,MATCH(TEXT(B206,"0"),TEXT(銘柄管理!$B$6:$B$305,"0"),0)-1,0,1,10)),""))</f>
        <v/>
      </c>
      <c r="R206" s="118" t="str">
        <f t="shared" ca="1" si="53"/>
        <v/>
      </c>
      <c r="S206" s="526" t="str">
        <f t="shared" si="49"/>
        <v/>
      </c>
      <c r="T206" s="116"/>
      <c r="U206" s="116"/>
      <c r="V206" s="118" t="str">
        <f t="shared" si="50"/>
        <v/>
      </c>
      <c r="W206" s="121" t="str">
        <f t="shared" ca="1" si="51"/>
        <v/>
      </c>
      <c r="X206" s="116"/>
    </row>
    <row r="207" spans="1:24" ht="17.25">
      <c r="A207" s="425" t="str">
        <f t="shared" si="52"/>
        <v>株探</v>
      </c>
      <c r="B207" s="116"/>
      <c r="C207" s="116"/>
      <c r="D207" s="116"/>
      <c r="E207" s="117"/>
      <c r="F207" s="443"/>
      <c r="G207" s="116"/>
      <c r="H207" s="118" t="str">
        <f>_xll.RssMarket("d7","現在値")</f>
        <v/>
      </c>
      <c r="I207" s="118" t="str" cm="1">
        <f t="array" ref="I207">_xll.RssMarket(B207, "出来高加重平均")</f>
        <v/>
      </c>
      <c r="J207" s="118" t="str" cm="1">
        <f t="array" ref="J207">_xll.RssMarket(B207, "前日比")</f>
        <v/>
      </c>
      <c r="K207" s="118" t="str">
        <f t="shared" si="44"/>
        <v/>
      </c>
      <c r="L207" s="119" t="str">
        <f t="shared" si="45"/>
        <v/>
      </c>
      <c r="M207" s="118" t="str">
        <f t="shared" si="46"/>
        <v/>
      </c>
      <c r="N207" s="118" t="str">
        <f t="shared" si="47"/>
        <v/>
      </c>
      <c r="O207" s="118" t="str">
        <f t="shared" si="48"/>
        <v/>
      </c>
      <c r="P207" s="118" t="str" cm="1">
        <f t="array" aca="1" ref="P207" ca="1">IF(B207="","",IFERROR(MAX(OFFSET(高値!$E$6,MATCH(TEXT(B207,"0"),TEXT(銘柄管理!$B$6:$B$305,"0"),0)-1,0,1,10)),""))</f>
        <v/>
      </c>
      <c r="Q207" s="118" t="str" cm="1">
        <f t="array" aca="1" ref="Q207" ca="1">IF(B207="","",IFERROR(MIN(OFFSET(安値!$E$6,MATCH(TEXT(B207,"0"),TEXT(銘柄管理!$B$6:$B$305,"0"),0)-1,0,1,10)),""))</f>
        <v/>
      </c>
      <c r="R207" s="118" t="str">
        <f t="shared" ca="1" si="53"/>
        <v/>
      </c>
      <c r="S207" s="526" t="str">
        <f t="shared" si="49"/>
        <v/>
      </c>
      <c r="T207" s="116"/>
      <c r="U207" s="116"/>
      <c r="V207" s="118" t="str">
        <f t="shared" si="50"/>
        <v/>
      </c>
      <c r="W207" s="121" t="str">
        <f t="shared" ca="1" si="51"/>
        <v/>
      </c>
      <c r="X207" s="116"/>
    </row>
    <row r="208" spans="1:24" ht="17.25">
      <c r="A208" s="425" t="str">
        <f t="shared" si="52"/>
        <v>株探</v>
      </c>
      <c r="B208" s="116"/>
      <c r="C208" s="116"/>
      <c r="D208" s="116"/>
      <c r="E208" s="117"/>
      <c r="F208" s="443"/>
      <c r="G208" s="116"/>
      <c r="H208" s="118" t="str">
        <f>_xll.RssMarket("d7","現在値")</f>
        <v/>
      </c>
      <c r="I208" s="118" t="str" cm="1">
        <f t="array" ref="I208">_xll.RssMarket(B208, "出来高加重平均")</f>
        <v/>
      </c>
      <c r="J208" s="118" t="str" cm="1">
        <f t="array" ref="J208">_xll.RssMarket(B208, "前日比")</f>
        <v/>
      </c>
      <c r="K208" s="118" t="str">
        <f t="shared" si="44"/>
        <v/>
      </c>
      <c r="L208" s="119" t="str">
        <f t="shared" si="45"/>
        <v/>
      </c>
      <c r="M208" s="118" t="str">
        <f t="shared" si="46"/>
        <v/>
      </c>
      <c r="N208" s="118" t="str">
        <f t="shared" si="47"/>
        <v/>
      </c>
      <c r="O208" s="118" t="str">
        <f t="shared" si="48"/>
        <v/>
      </c>
      <c r="P208" s="118" t="str" cm="1">
        <f t="array" aca="1" ref="P208" ca="1">IF(B208="","",IFERROR(MAX(OFFSET(高値!$E$6,MATCH(TEXT(B208,"0"),TEXT(銘柄管理!$B$6:$B$305,"0"),0)-1,0,1,10)),""))</f>
        <v/>
      </c>
      <c r="Q208" s="118" t="str" cm="1">
        <f t="array" aca="1" ref="Q208" ca="1">IF(B208="","",IFERROR(MIN(OFFSET(安値!$E$6,MATCH(TEXT(B208,"0"),TEXT(銘柄管理!$B$6:$B$305,"0"),0)-1,0,1,10)),""))</f>
        <v/>
      </c>
      <c r="R208" s="118" t="str">
        <f t="shared" ca="1" si="53"/>
        <v/>
      </c>
      <c r="S208" s="526" t="str">
        <f t="shared" si="49"/>
        <v/>
      </c>
      <c r="T208" s="116"/>
      <c r="U208" s="116"/>
      <c r="V208" s="118" t="str">
        <f t="shared" si="50"/>
        <v/>
      </c>
      <c r="W208" s="121" t="str">
        <f t="shared" ca="1" si="51"/>
        <v/>
      </c>
      <c r="X208" s="116"/>
    </row>
    <row r="209" spans="1:24" ht="17.25">
      <c r="A209" s="425" t="str">
        <f t="shared" si="52"/>
        <v>株探</v>
      </c>
      <c r="B209" s="116"/>
      <c r="C209" s="116"/>
      <c r="D209" s="116"/>
      <c r="E209" s="117"/>
      <c r="F209" s="443"/>
      <c r="G209" s="116"/>
      <c r="H209" s="118" t="str">
        <f>_xll.RssMarket("d7","現在値")</f>
        <v/>
      </c>
      <c r="I209" s="118" t="str" cm="1">
        <f t="array" ref="I209">_xll.RssMarket(B209, "出来高加重平均")</f>
        <v/>
      </c>
      <c r="J209" s="118"/>
      <c r="K209" s="118" t="str">
        <f t="shared" si="44"/>
        <v/>
      </c>
      <c r="L209" s="119" t="str">
        <f t="shared" si="45"/>
        <v/>
      </c>
      <c r="M209" s="118" t="str">
        <f t="shared" si="46"/>
        <v/>
      </c>
      <c r="N209" s="118" t="str">
        <f t="shared" si="47"/>
        <v/>
      </c>
      <c r="O209" s="118" t="str">
        <f t="shared" si="48"/>
        <v/>
      </c>
      <c r="P209" s="118" t="str" cm="1">
        <f t="array" aca="1" ref="P209" ca="1">IF(B209="","",IFERROR(MAX(OFFSET(高値!$E$6,MATCH(TEXT(B209,"0"),TEXT(銘柄管理!$B$6:$B$305,"0"),0)-1,0,1,10)),""))</f>
        <v/>
      </c>
      <c r="Q209" s="118" t="str" cm="1">
        <f t="array" aca="1" ref="Q209" ca="1">IF(B209="","",IFERROR(MIN(OFFSET(安値!$E$6,MATCH(TEXT(B209,"0"),TEXT(銘柄管理!$B$6:$B$305,"0"),0)-1,0,1,10)),""))</f>
        <v/>
      </c>
      <c r="R209" s="118" t="str">
        <f t="shared" ca="1" si="53"/>
        <v/>
      </c>
      <c r="S209" s="526" t="str">
        <f t="shared" si="49"/>
        <v/>
      </c>
      <c r="T209" s="116"/>
      <c r="U209" s="116"/>
      <c r="V209" s="118" t="str">
        <f t="shared" si="50"/>
        <v/>
      </c>
      <c r="W209" s="121" t="str">
        <f t="shared" ca="1" si="51"/>
        <v/>
      </c>
      <c r="X209" s="116"/>
    </row>
    <row r="210" spans="1:24" ht="17.25">
      <c r="A210" s="425" t="str">
        <f t="shared" si="52"/>
        <v>株探</v>
      </c>
      <c r="B210" s="116"/>
      <c r="C210" s="116"/>
      <c r="D210" s="116"/>
      <c r="E210" s="117"/>
      <c r="F210" s="443"/>
      <c r="G210" s="116"/>
      <c r="H210" s="118" t="str">
        <f>_xll.RssMarket("d7","現在値")</f>
        <v/>
      </c>
      <c r="I210" s="118" t="str" cm="1">
        <f t="array" ref="I210">_xll.RssMarket(B210, "出来高加重平均")</f>
        <v/>
      </c>
      <c r="J210" s="118"/>
      <c r="K210" s="118" t="str">
        <f t="shared" si="44"/>
        <v/>
      </c>
      <c r="L210" s="119" t="str">
        <f t="shared" si="45"/>
        <v/>
      </c>
      <c r="M210" s="118" t="str">
        <f t="shared" si="46"/>
        <v/>
      </c>
      <c r="N210" s="118" t="str">
        <f t="shared" si="47"/>
        <v/>
      </c>
      <c r="O210" s="118" t="str">
        <f t="shared" si="48"/>
        <v/>
      </c>
      <c r="P210" s="118" t="str" cm="1">
        <f t="array" aca="1" ref="P210" ca="1">IF(B210="","",IFERROR(MAX(OFFSET(高値!$E$6,MATCH(TEXT(B210,"0"),TEXT(銘柄管理!$B$6:$B$305,"0"),0)-1,0,1,10)),""))</f>
        <v/>
      </c>
      <c r="Q210" s="118" t="str" cm="1">
        <f t="array" aca="1" ref="Q210" ca="1">IF(B210="","",IFERROR(MIN(OFFSET(安値!$E$6,MATCH(TEXT(B210,"0"),TEXT(銘柄管理!$B$6:$B$305,"0"),0)-1,0,1,10)),""))</f>
        <v/>
      </c>
      <c r="R210" s="118" t="str">
        <f t="shared" ca="1" si="53"/>
        <v/>
      </c>
      <c r="S210" s="526" t="str">
        <f t="shared" si="49"/>
        <v/>
      </c>
      <c r="T210" s="116"/>
      <c r="U210" s="116"/>
      <c r="V210" s="118" t="str">
        <f t="shared" si="50"/>
        <v/>
      </c>
      <c r="W210" s="121" t="str">
        <f t="shared" ca="1" si="51"/>
        <v/>
      </c>
      <c r="X210" s="116"/>
    </row>
    <row r="211" spans="1:24" ht="17.25">
      <c r="A211" s="425" t="str">
        <f t="shared" si="52"/>
        <v>株探</v>
      </c>
      <c r="B211" s="116"/>
      <c r="C211" s="116"/>
      <c r="D211" s="116"/>
      <c r="E211" s="117"/>
      <c r="F211" s="443"/>
      <c r="G211" s="116"/>
      <c r="H211" s="118" t="str">
        <f>_xll.RssMarket("d7","現在値")</f>
        <v/>
      </c>
      <c r="I211" s="118" t="str" cm="1">
        <f t="array" ref="I211">_xll.RssMarket(B211, "出来高加重平均")</f>
        <v/>
      </c>
      <c r="J211" s="118"/>
      <c r="K211" s="118" t="str">
        <f t="shared" si="44"/>
        <v/>
      </c>
      <c r="L211" s="119" t="str">
        <f t="shared" si="45"/>
        <v/>
      </c>
      <c r="M211" s="118" t="str">
        <f t="shared" si="46"/>
        <v/>
      </c>
      <c r="N211" s="118" t="str">
        <f t="shared" si="47"/>
        <v/>
      </c>
      <c r="O211" s="118" t="str">
        <f t="shared" si="48"/>
        <v/>
      </c>
      <c r="P211" s="118" t="str" cm="1">
        <f t="array" aca="1" ref="P211" ca="1">IF(B211="","",IFERROR(MAX(OFFSET(高値!$E$6,MATCH(TEXT(B211,"0"),TEXT(銘柄管理!$B$6:$B$305,"0"),0)-1,0,1,10)),""))</f>
        <v/>
      </c>
      <c r="Q211" s="118" t="str" cm="1">
        <f t="array" aca="1" ref="Q211" ca="1">IF(B211="","",IFERROR(MIN(OFFSET(安値!$E$6,MATCH(TEXT(B211,"0"),TEXT(銘柄管理!$B$6:$B$305,"0"),0)-1,0,1,10)),""))</f>
        <v/>
      </c>
      <c r="R211" s="118" t="str">
        <f t="shared" ca="1" si="53"/>
        <v/>
      </c>
      <c r="S211" s="526" t="str">
        <f t="shared" si="49"/>
        <v/>
      </c>
      <c r="T211" s="116"/>
      <c r="U211" s="116"/>
      <c r="V211" s="118" t="str">
        <f t="shared" si="50"/>
        <v/>
      </c>
      <c r="W211" s="121" t="str">
        <f t="shared" ca="1" si="51"/>
        <v/>
      </c>
      <c r="X211" s="116"/>
    </row>
    <row r="212" spans="1:24" ht="17.25">
      <c r="A212" s="425" t="str">
        <f t="shared" si="52"/>
        <v>株探</v>
      </c>
      <c r="B212" s="116"/>
      <c r="C212" s="116"/>
      <c r="D212" s="116"/>
      <c r="E212" s="117"/>
      <c r="F212" s="443"/>
      <c r="G212" s="116"/>
      <c r="H212" s="118" t="str">
        <f>_xll.RssMarket("d7","現在値")</f>
        <v/>
      </c>
      <c r="I212" s="118" t="str" cm="1">
        <f t="array" ref="I212">_xll.RssMarket(B212, "出来高加重平均")</f>
        <v/>
      </c>
      <c r="J212" s="118"/>
      <c r="K212" s="118" t="str">
        <f t="shared" si="44"/>
        <v/>
      </c>
      <c r="L212" s="119" t="str">
        <f t="shared" si="45"/>
        <v/>
      </c>
      <c r="M212" s="118" t="str">
        <f t="shared" si="46"/>
        <v/>
      </c>
      <c r="N212" s="118" t="str">
        <f t="shared" si="47"/>
        <v/>
      </c>
      <c r="O212" s="118" t="str">
        <f t="shared" si="48"/>
        <v/>
      </c>
      <c r="P212" s="118" t="str" cm="1">
        <f t="array" aca="1" ref="P212" ca="1">IF(B212="","",IFERROR(MAX(OFFSET(高値!$E$6,MATCH(TEXT(B212,"0"),TEXT(銘柄管理!$B$6:$B$305,"0"),0)-1,0,1,10)),""))</f>
        <v/>
      </c>
      <c r="Q212" s="118" t="str" cm="1">
        <f t="array" aca="1" ref="Q212" ca="1">IF(B212="","",IFERROR(MIN(OFFSET(安値!$E$6,MATCH(TEXT(B212,"0"),TEXT(銘柄管理!$B$6:$B$305,"0"),0)-1,0,1,10)),""))</f>
        <v/>
      </c>
      <c r="R212" s="118" t="str">
        <f t="shared" ca="1" si="53"/>
        <v/>
      </c>
      <c r="S212" s="526" t="str">
        <f t="shared" si="49"/>
        <v/>
      </c>
      <c r="T212" s="116"/>
      <c r="U212" s="116"/>
      <c r="V212" s="118" t="str">
        <f t="shared" si="50"/>
        <v/>
      </c>
      <c r="W212" s="121" t="str">
        <f t="shared" ca="1" si="51"/>
        <v/>
      </c>
      <c r="X212" s="116"/>
    </row>
    <row r="213" spans="1:24" ht="17.25">
      <c r="A213" s="425" t="str">
        <f t="shared" si="52"/>
        <v>株探</v>
      </c>
      <c r="B213" s="116"/>
      <c r="C213" s="116"/>
      <c r="D213" s="116"/>
      <c r="E213" s="117"/>
      <c r="F213" s="443"/>
      <c r="G213" s="116"/>
      <c r="H213" s="118" t="str">
        <f>_xll.RssMarket("d7","現在値")</f>
        <v/>
      </c>
      <c r="I213" s="118" t="str" cm="1">
        <f t="array" ref="I213">_xll.RssMarket(B213, "出来高加重平均")</f>
        <v/>
      </c>
      <c r="J213" s="118"/>
      <c r="K213" s="118" t="str">
        <f t="shared" si="44"/>
        <v/>
      </c>
      <c r="L213" s="119" t="str">
        <f t="shared" si="45"/>
        <v/>
      </c>
      <c r="M213" s="118" t="str">
        <f t="shared" si="46"/>
        <v/>
      </c>
      <c r="N213" s="118" t="str">
        <f t="shared" si="47"/>
        <v/>
      </c>
      <c r="O213" s="118" t="str">
        <f t="shared" si="48"/>
        <v/>
      </c>
      <c r="P213" s="118" t="str" cm="1">
        <f t="array" aca="1" ref="P213" ca="1">IF(B213="","",IFERROR(MAX(OFFSET(高値!$E$6,MATCH(TEXT(B213,"0"),TEXT(銘柄管理!$B$6:$B$305,"0"),0)-1,0,1,10)),""))</f>
        <v/>
      </c>
      <c r="Q213" s="118" t="str" cm="1">
        <f t="array" aca="1" ref="Q213" ca="1">IF(B213="","",IFERROR(MIN(OFFSET(安値!$E$6,MATCH(TEXT(B213,"0"),TEXT(銘柄管理!$B$6:$B$305,"0"),0)-1,0,1,10)),""))</f>
        <v/>
      </c>
      <c r="R213" s="118" t="str">
        <f t="shared" ca="1" si="53"/>
        <v/>
      </c>
      <c r="S213" s="526" t="str">
        <f t="shared" si="49"/>
        <v/>
      </c>
      <c r="T213" s="116"/>
      <c r="U213" s="116"/>
      <c r="V213" s="118" t="str">
        <f t="shared" si="50"/>
        <v/>
      </c>
      <c r="W213" s="121" t="str">
        <f t="shared" ca="1" si="51"/>
        <v/>
      </c>
      <c r="X213" s="116"/>
    </row>
    <row r="214" spans="1:24" ht="17.25">
      <c r="J214" s="118"/>
      <c r="P214" s="118" t="str" cm="1">
        <f t="array" aca="1" ref="P214" ca="1">IF(B214="","",IFERROR(MAX(OFFSET(高値!$E$6,MATCH(TEXT(B214,"0"),TEXT(銘柄管理!$B$6:$B$305,"0"),0)-1,0,1,10)),""))</f>
        <v/>
      </c>
      <c r="Q214" s="118" t="str" cm="1">
        <f t="array" aca="1" ref="Q214" ca="1">IF(B214="","",IFERROR(MIN(OFFSET(安値!$E$6,MATCH(TEXT(B214,"0"),TEXT(銘柄管理!$B$6:$B$305,"0"),0)-1,0,1,10)),""))</f>
        <v/>
      </c>
    </row>
    <row r="215" spans="1:24" ht="17.25">
      <c r="J215" s="118"/>
      <c r="P215" s="118" t="str" cm="1">
        <f t="array" aca="1" ref="P215" ca="1">IF(B215="","",IFERROR(MAX(OFFSET(高値!$E$6,MATCH(TEXT(B215,"0"),TEXT(銘柄管理!$B$6:$B$305,"0"),0)-1,0,1,10)),""))</f>
        <v/>
      </c>
      <c r="Q215" s="118" t="str" cm="1">
        <f t="array" aca="1" ref="Q215" ca="1">IF(B215="","",IFERROR(MIN(OFFSET(安値!$E$6,MATCH(TEXT(B215,"0"),TEXT(銘柄管理!$B$6:$B$305,"0"),0)-1,0,1,10)),""))</f>
        <v/>
      </c>
    </row>
    <row r="216" spans="1:24" ht="17.25">
      <c r="J216" s="118"/>
      <c r="P216" s="118" t="str" cm="1">
        <f t="array" aca="1" ref="P216" ca="1">IF(B216="","",IFERROR(MAX(OFFSET(高値!$E$6,MATCH(TEXT(B216,"0"),TEXT(銘柄管理!$B$6:$B$305,"0"),0)-1,0,1,10)),""))</f>
        <v/>
      </c>
      <c r="Q216" s="118" t="str" cm="1">
        <f t="array" aca="1" ref="Q216" ca="1">IF(B216="","",IFERROR(MIN(OFFSET(安値!$E$6,MATCH(TEXT(B216,"0"),TEXT(銘柄管理!$B$6:$B$305,"0"),0)-1,0,1,10)),""))</f>
        <v/>
      </c>
    </row>
    <row r="217" spans="1:24" ht="17.25">
      <c r="J217" s="118"/>
      <c r="P217" s="118" t="str" cm="1">
        <f t="array" aca="1" ref="P217" ca="1">IF(B217="","",IFERROR(MAX(OFFSET(高値!$E$6,MATCH(TEXT(B217,"0"),TEXT(銘柄管理!$B$6:$B$305,"0"),0)-1,0,1,10)),""))</f>
        <v/>
      </c>
      <c r="Q217" s="118" t="str" cm="1">
        <f t="array" aca="1" ref="Q217" ca="1">IF(B217="","",IFERROR(MIN(OFFSET(安値!$E$6,MATCH(TEXT(B217,"0"),TEXT(銘柄管理!$B$6:$B$305,"0"),0)-1,0,1,10)),""))</f>
        <v/>
      </c>
    </row>
    <row r="218" spans="1:24" ht="17.25">
      <c r="J218" s="118"/>
      <c r="P218" s="118" t="str" cm="1">
        <f t="array" aca="1" ref="P218" ca="1">IF(B218="","",IFERROR(MAX(OFFSET(高値!$E$6,MATCH(TEXT(B218,"0"),TEXT(銘柄管理!$B$6:$B$305,"0"),0)-1,0,1,10)),""))</f>
        <v/>
      </c>
      <c r="Q218" s="118" t="str" cm="1">
        <f t="array" aca="1" ref="Q218" ca="1">IF(B218="","",IFERROR(MIN(OFFSET(安値!$E$6,MATCH(TEXT(B218,"0"),TEXT(銘柄管理!$B$6:$B$305,"0"),0)-1,0,1,10)),""))</f>
        <v/>
      </c>
    </row>
    <row r="219" spans="1:24" ht="17.25">
      <c r="J219" s="118"/>
      <c r="P219" s="118" t="str" cm="1">
        <f t="array" aca="1" ref="P219" ca="1">IF(B219="","",IFERROR(MAX(OFFSET(高値!$E$6,MATCH(TEXT(B219,"0"),TEXT(銘柄管理!$B$6:$B$305,"0"),0)-1,0,1,10)),""))</f>
        <v/>
      </c>
      <c r="Q219" s="118" t="str" cm="1">
        <f t="array" aca="1" ref="Q219" ca="1">IF(B219="","",IFERROR(MIN(OFFSET(安値!$E$6,MATCH(TEXT(B219,"0"),TEXT(銘柄管理!$B$6:$B$305,"0"),0)-1,0,1,10)),""))</f>
        <v/>
      </c>
    </row>
    <row r="220" spans="1:24" ht="17.25">
      <c r="J220" s="118"/>
      <c r="P220" s="118" t="str" cm="1">
        <f t="array" aca="1" ref="P220" ca="1">IF(B220="","",IFERROR(MAX(OFFSET(高値!$E$6,MATCH(TEXT(B220,"0"),TEXT(銘柄管理!$B$6:$B$305,"0"),0)-1,0,1,10)),""))</f>
        <v/>
      </c>
      <c r="Q220" s="118" t="str" cm="1">
        <f t="array" aca="1" ref="Q220" ca="1">IF(B220="","",IFERROR(MIN(OFFSET(安値!$E$6,MATCH(TEXT(B220,"0"),TEXT(銘柄管理!$B$6:$B$305,"0"),0)-1,0,1,10)),""))</f>
        <v/>
      </c>
    </row>
    <row r="221" spans="1:24" ht="17.25">
      <c r="J221" s="118"/>
      <c r="P221" s="118" t="str" cm="1">
        <f t="array" aca="1" ref="P221" ca="1">IF(B221="","",IFERROR(MAX(OFFSET(高値!$E$6,MATCH(TEXT(B221,"0"),TEXT(銘柄管理!$B$6:$B$305,"0"),0)-1,0,1,10)),""))</f>
        <v/>
      </c>
      <c r="Q221" s="118" t="str" cm="1">
        <f t="array" aca="1" ref="Q221" ca="1">IF(B221="","",IFERROR(MIN(OFFSET(安値!$E$6,MATCH(TEXT(B221,"0"),TEXT(銘柄管理!$B$6:$B$305,"0"),0)-1,0,1,10)),""))</f>
        <v/>
      </c>
    </row>
    <row r="222" spans="1:24" ht="17.25">
      <c r="J222" s="118"/>
      <c r="P222" s="118" t="str" cm="1">
        <f t="array" aca="1" ref="P222" ca="1">IF(B222="","",IFERROR(MAX(OFFSET(高値!$E$6,MATCH(TEXT(B222,"0"),TEXT(銘柄管理!$B$6:$B$305,"0"),0)-1,0,1,10)),""))</f>
        <v/>
      </c>
      <c r="Q222" s="118" t="str" cm="1">
        <f t="array" aca="1" ref="Q222" ca="1">IF(B222="","",IFERROR(MIN(OFFSET(安値!$E$6,MATCH(TEXT(B222,"0"),TEXT(銘柄管理!$B$6:$B$305,"0"),0)-1,0,1,10)),""))</f>
        <v/>
      </c>
    </row>
    <row r="223" spans="1:24" ht="17.25">
      <c r="J223" s="118"/>
      <c r="P223" s="118" t="str" cm="1">
        <f t="array" aca="1" ref="P223" ca="1">IF(B223="","",IFERROR(MAX(OFFSET(高値!$E$6,MATCH(TEXT(B223,"0"),TEXT(銘柄管理!$B$6:$B$305,"0"),0)-1,0,1,10)),""))</f>
        <v/>
      </c>
      <c r="Q223" s="118" t="str" cm="1">
        <f t="array" aca="1" ref="Q223" ca="1">IF(B223="","",IFERROR(MIN(OFFSET(安値!$E$6,MATCH(TEXT(B223,"0"),TEXT(銘柄管理!$B$6:$B$305,"0"),0)-1,0,1,10)),""))</f>
        <v/>
      </c>
    </row>
    <row r="224" spans="1:24" ht="17.25">
      <c r="J224" s="118"/>
      <c r="P224" s="118" t="str" cm="1">
        <f t="array" aca="1" ref="P224" ca="1">IF(B224="","",IFERROR(MAX(OFFSET(高値!$E$6,MATCH(TEXT(B224,"0"),TEXT(銘柄管理!$B$6:$B$305,"0"),0)-1,0,1,10)),""))</f>
        <v/>
      </c>
      <c r="Q224" s="118" t="str" cm="1">
        <f t="array" aca="1" ref="Q224" ca="1">IF(B224="","",IFERROR(MIN(OFFSET(安値!$E$6,MATCH(TEXT(B224,"0"),TEXT(銘柄管理!$B$6:$B$305,"0"),0)-1,0,1,10)),""))</f>
        <v/>
      </c>
    </row>
    <row r="225" spans="10:17" ht="17.25">
      <c r="J225" s="118"/>
      <c r="P225" s="118" t="str" cm="1">
        <f t="array" aca="1" ref="P225" ca="1">IF(B225="","",IFERROR(MAX(OFFSET(高値!$E$6,MATCH(TEXT(B225,"0"),TEXT(銘柄管理!$B$6:$B$305,"0"),0)-1,0,1,10)),""))</f>
        <v/>
      </c>
      <c r="Q225" s="118" t="str" cm="1">
        <f t="array" aca="1" ref="Q225" ca="1">IF(B225="","",IFERROR(MIN(OFFSET(安値!$E$6,MATCH(TEXT(B225,"0"),TEXT(銘柄管理!$B$6:$B$305,"0"),0)-1,0,1,10)),""))</f>
        <v/>
      </c>
    </row>
    <row r="226" spans="10:17" ht="17.25">
      <c r="J226" s="118"/>
      <c r="P226" s="118" t="str" cm="1">
        <f t="array" aca="1" ref="P226" ca="1">IF(B226="","",IFERROR(MAX(OFFSET(高値!$E$6,MATCH(TEXT(B226,"0"),TEXT(銘柄管理!$B$6:$B$305,"0"),0)-1,0,1,10)),""))</f>
        <v/>
      </c>
      <c r="Q226" s="118" t="str" cm="1">
        <f t="array" aca="1" ref="Q226" ca="1">IF(B226="","",IFERROR(MIN(OFFSET(安値!$E$6,MATCH(TEXT(B226,"0"),TEXT(銘柄管理!$B$6:$B$305,"0"),0)-1,0,1,10)),""))</f>
        <v/>
      </c>
    </row>
    <row r="227" spans="10:17" ht="17.25">
      <c r="J227" s="118"/>
      <c r="P227" s="118" t="str" cm="1">
        <f t="array" aca="1" ref="P227" ca="1">IF(B227="","",IFERROR(MAX(OFFSET(高値!$E$6,MATCH(TEXT(B227,"0"),TEXT(銘柄管理!$B$6:$B$305,"0"),0)-1,0,1,10)),""))</f>
        <v/>
      </c>
      <c r="Q227" s="118" t="str" cm="1">
        <f t="array" aca="1" ref="Q227" ca="1">IF(B227="","",IFERROR(MIN(OFFSET(安値!$E$6,MATCH(TEXT(B227,"0"),TEXT(銘柄管理!$B$6:$B$305,"0"),0)-1,0,1,10)),""))</f>
        <v/>
      </c>
    </row>
    <row r="228" spans="10:17" ht="17.25">
      <c r="J228" s="118"/>
      <c r="P228" s="118" t="str" cm="1">
        <f t="array" aca="1" ref="P228" ca="1">IF(B228="","",IFERROR(MAX(OFFSET(高値!$E$6,MATCH(TEXT(B228,"0"),TEXT(銘柄管理!$B$6:$B$305,"0"),0)-1,0,1,10)),""))</f>
        <v/>
      </c>
      <c r="Q228" s="118" t="str" cm="1">
        <f t="array" aca="1" ref="Q228" ca="1">IF(B228="","",IFERROR(MIN(OFFSET(安値!$E$6,MATCH(TEXT(B228,"0"),TEXT(銘柄管理!$B$6:$B$305,"0"),0)-1,0,1,10)),""))</f>
        <v/>
      </c>
    </row>
    <row r="229" spans="10:17" ht="17.25">
      <c r="J229" s="118"/>
      <c r="P229" s="118" t="str" cm="1">
        <f t="array" aca="1" ref="P229" ca="1">IF(B229="","",IFERROR(MAX(OFFSET(高値!$E$6,MATCH(TEXT(B229,"0"),TEXT(銘柄管理!$B$6:$B$305,"0"),0)-1,0,1,10)),""))</f>
        <v/>
      </c>
      <c r="Q229" s="118" t="str" cm="1">
        <f t="array" aca="1" ref="Q229" ca="1">IF(B229="","",IFERROR(MIN(OFFSET(安値!$E$6,MATCH(TEXT(B229,"0"),TEXT(銘柄管理!$B$6:$B$305,"0"),0)-1,0,1,10)),""))</f>
        <v/>
      </c>
    </row>
    <row r="230" spans="10:17" ht="17.25">
      <c r="J230" s="118"/>
      <c r="P230" s="118" t="str" cm="1">
        <f t="array" aca="1" ref="P230" ca="1">IF(B230="","",IFERROR(MAX(OFFSET(高値!$E$6,MATCH(TEXT(B230,"0"),TEXT(銘柄管理!$B$6:$B$305,"0"),0)-1,0,1,10)),""))</f>
        <v/>
      </c>
      <c r="Q230" s="118" t="str" cm="1">
        <f t="array" aca="1" ref="Q230" ca="1">IF(B230="","",IFERROR(MIN(OFFSET(安値!$E$6,MATCH(TEXT(B230,"0"),TEXT(銘柄管理!$B$6:$B$305,"0"),0)-1,0,1,10)),""))</f>
        <v/>
      </c>
    </row>
    <row r="231" spans="10:17" ht="17.25">
      <c r="J231" s="118"/>
      <c r="P231" s="118" t="str" cm="1">
        <f t="array" aca="1" ref="P231" ca="1">IF(B231="","",IFERROR(MAX(OFFSET(高値!$E$6,MATCH(TEXT(B231,"0"),TEXT(銘柄管理!$B$6:$B$305,"0"),0)-1,0,1,10)),""))</f>
        <v/>
      </c>
      <c r="Q231" s="118" t="str" cm="1">
        <f t="array" aca="1" ref="Q231" ca="1">IF(B231="","",IFERROR(MIN(OFFSET(安値!$E$6,MATCH(TEXT(B231,"0"),TEXT(銘柄管理!$B$6:$B$305,"0"),0)-1,0,1,10)),""))</f>
        <v/>
      </c>
    </row>
    <row r="232" spans="10:17" ht="17.25">
      <c r="J232" s="118"/>
      <c r="P232" s="118" t="str" cm="1">
        <f t="array" aca="1" ref="P232" ca="1">IF(B232="","",IFERROR(MAX(OFFSET(高値!$E$6,MATCH(TEXT(B232,"0"),TEXT(銘柄管理!$B$6:$B$305,"0"),0)-1,0,1,10)),""))</f>
        <v/>
      </c>
      <c r="Q232" s="118" t="str" cm="1">
        <f t="array" aca="1" ref="Q232" ca="1">IF(B232="","",IFERROR(MIN(OFFSET(安値!$E$6,MATCH(TEXT(B232,"0"),TEXT(銘柄管理!$B$6:$B$305,"0"),0)-1,0,1,10)),""))</f>
        <v/>
      </c>
    </row>
    <row r="233" spans="10:17" ht="17.25">
      <c r="J233" s="118"/>
      <c r="P233" s="118" t="str" cm="1">
        <f t="array" aca="1" ref="P233" ca="1">IF(B233="","",IFERROR(MAX(OFFSET(高値!$E$6,MATCH(TEXT(B233,"0"),TEXT(銘柄管理!$B$6:$B$305,"0"),0)-1,0,1,10)),""))</f>
        <v/>
      </c>
      <c r="Q233" s="118" t="str" cm="1">
        <f t="array" aca="1" ref="Q233" ca="1">IF(B233="","",IFERROR(MIN(OFFSET(安値!$E$6,MATCH(TEXT(B233,"0"),TEXT(銘柄管理!$B$6:$B$305,"0"),0)-1,0,1,10)),""))</f>
        <v/>
      </c>
    </row>
    <row r="234" spans="10:17" ht="17.25">
      <c r="J234" s="118"/>
      <c r="P234" s="118" t="str" cm="1">
        <f t="array" aca="1" ref="P234" ca="1">IF(B234="","",IFERROR(MAX(OFFSET(高値!$E$6,MATCH(TEXT(B234,"0"),TEXT(銘柄管理!$B$6:$B$305,"0"),0)-1,0,1,10)),""))</f>
        <v/>
      </c>
      <c r="Q234" s="118" t="str" cm="1">
        <f t="array" aca="1" ref="Q234" ca="1">IF(B234="","",IFERROR(MIN(OFFSET(安値!$E$6,MATCH(TEXT(B234,"0"),TEXT(銘柄管理!$B$6:$B$305,"0"),0)-1,0,1,10)),""))</f>
        <v/>
      </c>
    </row>
    <row r="235" spans="10:17" ht="17.25">
      <c r="J235" s="118"/>
      <c r="P235" s="118" t="str" cm="1">
        <f t="array" aca="1" ref="P235" ca="1">IF(B235="","",IFERROR(MAX(OFFSET(高値!$E$6,MATCH(TEXT(B235,"0"),TEXT(銘柄管理!$B$6:$B$305,"0"),0)-1,0,1,10)),""))</f>
        <v/>
      </c>
      <c r="Q235" s="118" t="str" cm="1">
        <f t="array" aca="1" ref="Q235" ca="1">IF(B235="","",IFERROR(MIN(OFFSET(安値!$E$6,MATCH(TEXT(B235,"0"),TEXT(銘柄管理!$B$6:$B$305,"0"),0)-1,0,1,10)),""))</f>
        <v/>
      </c>
    </row>
    <row r="236" spans="10:17" ht="17.25">
      <c r="J236" s="118"/>
      <c r="P236" s="118" t="str" cm="1">
        <f t="array" aca="1" ref="P236" ca="1">IF(B236="","",IFERROR(MAX(OFFSET(高値!$E$6,MATCH(TEXT(B236,"0"),TEXT(銘柄管理!$B$6:$B$305,"0"),0)-1,0,1,10)),""))</f>
        <v/>
      </c>
      <c r="Q236" s="118" t="str" cm="1">
        <f t="array" aca="1" ref="Q236" ca="1">IF(B236="","",IFERROR(MIN(OFFSET(安値!$E$6,MATCH(TEXT(B236,"0"),TEXT(銘柄管理!$B$6:$B$305,"0"),0)-1,0,1,10)),""))</f>
        <v/>
      </c>
    </row>
    <row r="237" spans="10:17" ht="17.25">
      <c r="J237" s="118"/>
      <c r="P237" s="118" t="str" cm="1">
        <f t="array" aca="1" ref="P237" ca="1">IF(B237="","",IFERROR(MAX(OFFSET(高値!$E$6,MATCH(TEXT(B237,"0"),TEXT(銘柄管理!$B$6:$B$305,"0"),0)-1,0,1,10)),""))</f>
        <v/>
      </c>
      <c r="Q237" s="118" t="str" cm="1">
        <f t="array" aca="1" ref="Q237" ca="1">IF(B237="","",IFERROR(MIN(OFFSET(安値!$E$6,MATCH(TEXT(B237,"0"),TEXT(銘柄管理!$B$6:$B$305,"0"),0)-1,0,1,10)),""))</f>
        <v/>
      </c>
    </row>
    <row r="238" spans="10:17" ht="17.25">
      <c r="J238" s="118"/>
      <c r="P238" s="118" t="str" cm="1">
        <f t="array" aca="1" ref="P238" ca="1">IF(B238="","",IFERROR(MAX(OFFSET(高値!$E$6,MATCH(TEXT(B238,"0"),TEXT(銘柄管理!$B$6:$B$305,"0"),0)-1,0,1,10)),""))</f>
        <v/>
      </c>
      <c r="Q238" s="118" t="str" cm="1">
        <f t="array" aca="1" ref="Q238" ca="1">IF(B238="","",IFERROR(MIN(OFFSET(安値!$E$6,MATCH(TEXT(B238,"0"),TEXT(銘柄管理!$B$6:$B$305,"0"),0)-1,0,1,10)),""))</f>
        <v/>
      </c>
    </row>
    <row r="239" spans="10:17" ht="17.25">
      <c r="J239" s="118"/>
      <c r="P239" s="118" t="str" cm="1">
        <f t="array" aca="1" ref="P239" ca="1">IF(B239="","",IFERROR(MAX(OFFSET(高値!$E$6,MATCH(TEXT(B239,"0"),TEXT(銘柄管理!$B$6:$B$305,"0"),0)-1,0,1,10)),""))</f>
        <v/>
      </c>
      <c r="Q239" s="118" t="str" cm="1">
        <f t="array" aca="1" ref="Q239" ca="1">IF(B239="","",IFERROR(MIN(OFFSET(安値!$E$6,MATCH(TEXT(B239,"0"),TEXT(銘柄管理!$B$6:$B$305,"0"),0)-1,0,1,10)),""))</f>
        <v/>
      </c>
    </row>
    <row r="240" spans="10:17" ht="17.25">
      <c r="J240" s="118"/>
      <c r="P240" s="118" t="str" cm="1">
        <f t="array" aca="1" ref="P240" ca="1">IF(B240="","",IFERROR(MAX(OFFSET(高値!$E$6,MATCH(TEXT(B240,"0"),TEXT(銘柄管理!$B$6:$B$305,"0"),0)-1,0,1,10)),""))</f>
        <v/>
      </c>
      <c r="Q240" s="118" t="str" cm="1">
        <f t="array" aca="1" ref="Q240" ca="1">IF(B240="","",IFERROR(MIN(OFFSET(安値!$E$6,MATCH(TEXT(B240,"0"),TEXT(銘柄管理!$B$6:$B$305,"0"),0)-1,0,1,10)),""))</f>
        <v/>
      </c>
    </row>
    <row r="241" spans="10:17" ht="17.25">
      <c r="J241" s="118"/>
      <c r="P241" s="118" t="str" cm="1">
        <f t="array" aca="1" ref="P241" ca="1">IF(B241="","",IFERROR(MAX(OFFSET(高値!$E$6,MATCH(TEXT(B241,"0"),TEXT(銘柄管理!$B$6:$B$305,"0"),0)-1,0,1,10)),""))</f>
        <v/>
      </c>
      <c r="Q241" s="118" t="str" cm="1">
        <f t="array" aca="1" ref="Q241" ca="1">IF(B241="","",IFERROR(MIN(OFFSET(安値!$E$6,MATCH(TEXT(B241,"0"),TEXT(銘柄管理!$B$6:$B$305,"0"),0)-1,0,1,10)),""))</f>
        <v/>
      </c>
    </row>
    <row r="242" spans="10:17" ht="17.25">
      <c r="J242" s="118"/>
      <c r="P242" s="118" t="str" cm="1">
        <f t="array" aca="1" ref="P242" ca="1">IF(B242="","",IFERROR(MAX(OFFSET(高値!$E$6,MATCH(TEXT(B242,"0"),TEXT(銘柄管理!$B$6:$B$305,"0"),0)-1,0,1,10)),""))</f>
        <v/>
      </c>
      <c r="Q242" s="118" t="str" cm="1">
        <f t="array" aca="1" ref="Q242" ca="1">IF(B242="","",IFERROR(MIN(OFFSET(安値!$E$6,MATCH(TEXT(B242,"0"),TEXT(銘柄管理!$B$6:$B$305,"0"),0)-1,0,1,10)),""))</f>
        <v/>
      </c>
    </row>
    <row r="243" spans="10:17" ht="17.25">
      <c r="J243" s="118"/>
      <c r="P243" s="118" t="str" cm="1">
        <f t="array" aca="1" ref="P243" ca="1">IF(B243="","",IFERROR(MAX(OFFSET(高値!$E$6,MATCH(TEXT(B243,"0"),TEXT(銘柄管理!$B$6:$B$305,"0"),0)-1,0,1,10)),""))</f>
        <v/>
      </c>
      <c r="Q243" s="118" t="str" cm="1">
        <f t="array" aca="1" ref="Q243" ca="1">IF(B243="","",IFERROR(MIN(OFFSET(安値!$E$6,MATCH(TEXT(B243,"0"),TEXT(銘柄管理!$B$6:$B$305,"0"),0)-1,0,1,10)),""))</f>
        <v/>
      </c>
    </row>
    <row r="244" spans="10:17" ht="17.25">
      <c r="J244" s="118"/>
      <c r="P244" s="118" t="str" cm="1">
        <f t="array" aca="1" ref="P244" ca="1">IF(B244="","",IFERROR(MAX(OFFSET(高値!$E$6,MATCH(TEXT(B244,"0"),TEXT(銘柄管理!$B$6:$B$305,"0"),0)-1,0,1,10)),""))</f>
        <v/>
      </c>
      <c r="Q244" s="118" t="str" cm="1">
        <f t="array" aca="1" ref="Q244" ca="1">IF(B244="","",IFERROR(MIN(OFFSET(安値!$E$6,MATCH(TEXT(B244,"0"),TEXT(銘柄管理!$B$6:$B$305,"0"),0)-1,0,1,10)),""))</f>
        <v/>
      </c>
    </row>
    <row r="245" spans="10:17" ht="17.25">
      <c r="J245" s="118"/>
      <c r="P245" s="118" t="str" cm="1">
        <f t="array" aca="1" ref="P245" ca="1">IF(B245="","",IFERROR(MAX(OFFSET(高値!$E$6,MATCH(TEXT(B245,"0"),TEXT(銘柄管理!$B$6:$B$305,"0"),0)-1,0,1,10)),""))</f>
        <v/>
      </c>
      <c r="Q245" s="118" t="str" cm="1">
        <f t="array" aca="1" ref="Q245" ca="1">IF(B245="","",IFERROR(MIN(OFFSET(安値!$E$6,MATCH(TEXT(B245,"0"),TEXT(銘柄管理!$B$6:$B$305,"0"),0)-1,0,1,10)),""))</f>
        <v/>
      </c>
    </row>
    <row r="246" spans="10:17" ht="17.25">
      <c r="J246" s="118"/>
      <c r="P246" s="118" t="str" cm="1">
        <f t="array" aca="1" ref="P246" ca="1">IF(B246="","",IFERROR(MAX(OFFSET(高値!$E$6,MATCH(TEXT(B246,"0"),TEXT(銘柄管理!$B$6:$B$305,"0"),0)-1,0,1,10)),""))</f>
        <v/>
      </c>
      <c r="Q246" s="118" t="str" cm="1">
        <f t="array" aca="1" ref="Q246" ca="1">IF(B246="","",IFERROR(MIN(OFFSET(安値!$E$6,MATCH(TEXT(B246,"0"),TEXT(銘柄管理!$B$6:$B$305,"0"),0)-1,0,1,10)),""))</f>
        <v/>
      </c>
    </row>
    <row r="247" spans="10:17" ht="17.25">
      <c r="J247" s="118"/>
      <c r="P247" s="118" t="str" cm="1">
        <f t="array" aca="1" ref="P247" ca="1">IF(B247="","",IFERROR(MAX(OFFSET(高値!$E$6,MATCH(TEXT(B247,"0"),TEXT(銘柄管理!$B$6:$B$305,"0"),0)-1,0,1,10)),""))</f>
        <v/>
      </c>
      <c r="Q247" s="118" t="str" cm="1">
        <f t="array" aca="1" ref="Q247" ca="1">IF(B247="","",IFERROR(MIN(OFFSET(安値!$E$6,MATCH(TEXT(B247,"0"),TEXT(銘柄管理!$B$6:$B$305,"0"),0)-1,0,1,10)),""))</f>
        <v/>
      </c>
    </row>
    <row r="248" spans="10:17" ht="17.25">
      <c r="J248" s="118"/>
      <c r="P248" s="118" t="str" cm="1">
        <f t="array" aca="1" ref="P248" ca="1">IF(B248="","",IFERROR(MAX(OFFSET(高値!$E$6,MATCH(TEXT(B248,"0"),TEXT(銘柄管理!$B$6:$B$305,"0"),0)-1,0,1,10)),""))</f>
        <v/>
      </c>
      <c r="Q248" s="118" t="str" cm="1">
        <f t="array" aca="1" ref="Q248" ca="1">IF(B248="","",IFERROR(MIN(OFFSET(安値!$E$6,MATCH(TEXT(B248,"0"),TEXT(銘柄管理!$B$6:$B$305,"0"),0)-1,0,1,10)),""))</f>
        <v/>
      </c>
    </row>
    <row r="249" spans="10:17" ht="17.25">
      <c r="J249" s="118"/>
      <c r="P249" s="118" t="str" cm="1">
        <f t="array" aca="1" ref="P249" ca="1">IF(B249="","",IFERROR(MAX(OFFSET(高値!$E$6,MATCH(TEXT(B249,"0"),TEXT(銘柄管理!$B$6:$B$305,"0"),0)-1,0,1,10)),""))</f>
        <v/>
      </c>
      <c r="Q249" s="118" t="str" cm="1">
        <f t="array" aca="1" ref="Q249" ca="1">IF(B249="","",IFERROR(MIN(OFFSET(安値!$E$6,MATCH(TEXT(B249,"0"),TEXT(銘柄管理!$B$6:$B$305,"0"),0)-1,0,1,10)),""))</f>
        <v/>
      </c>
    </row>
    <row r="250" spans="10:17" ht="17.25">
      <c r="J250" s="118"/>
      <c r="P250" s="118" t="str" cm="1">
        <f t="array" aca="1" ref="P250" ca="1">IF(B250="","",IFERROR(MAX(OFFSET(高値!$E$6,MATCH(TEXT(B250,"0"),TEXT(銘柄管理!$B$6:$B$305,"0"),0)-1,0,1,10)),""))</f>
        <v/>
      </c>
      <c r="Q250" s="118" t="str" cm="1">
        <f t="array" aca="1" ref="Q250" ca="1">IF(B250="","",IFERROR(MIN(OFFSET(安値!$E$6,MATCH(TEXT(B250,"0"),TEXT(銘柄管理!$B$6:$B$305,"0"),0)-1,0,1,10)),""))</f>
        <v/>
      </c>
    </row>
    <row r="251" spans="10:17" ht="17.25">
      <c r="J251" s="118"/>
      <c r="P251" s="118" t="str" cm="1">
        <f t="array" aca="1" ref="P251" ca="1">IF(B251="","",IFERROR(MAX(OFFSET(高値!$E$6,MATCH(TEXT(B251,"0"),TEXT(銘柄管理!$B$6:$B$305,"0"),0)-1,0,1,10)),""))</f>
        <v/>
      </c>
      <c r="Q251" s="118" t="str" cm="1">
        <f t="array" aca="1" ref="Q251" ca="1">IF(B251="","",IFERROR(MIN(OFFSET(安値!$E$6,MATCH(TEXT(B251,"0"),TEXT(銘柄管理!$B$6:$B$305,"0"),0)-1,0,1,10)),""))</f>
        <v/>
      </c>
    </row>
    <row r="252" spans="10:17" ht="17.25">
      <c r="J252" s="118"/>
      <c r="P252" s="118" t="str" cm="1">
        <f t="array" aca="1" ref="P252" ca="1">IF(B252="","",IFERROR(MAX(OFFSET(高値!$E$6,MATCH(TEXT(B252,"0"),TEXT(銘柄管理!$B$6:$B$305,"0"),0)-1,0,1,10)),""))</f>
        <v/>
      </c>
      <c r="Q252" s="118" t="str" cm="1">
        <f t="array" aca="1" ref="Q252" ca="1">IF(B252="","",IFERROR(MIN(OFFSET(安値!$E$6,MATCH(TEXT(B252,"0"),TEXT(銘柄管理!$B$6:$B$305,"0"),0)-1,0,1,10)),""))</f>
        <v/>
      </c>
    </row>
    <row r="253" spans="10:17" ht="17.25">
      <c r="J253" s="118"/>
      <c r="P253" s="118" t="str" cm="1">
        <f t="array" aca="1" ref="P253" ca="1">IF(B253="","",IFERROR(MAX(OFFSET(高値!$E$6,MATCH(TEXT(B253,"0"),TEXT(銘柄管理!$B$6:$B$305,"0"),0)-1,0,1,10)),""))</f>
        <v/>
      </c>
      <c r="Q253" s="118" t="str" cm="1">
        <f t="array" aca="1" ref="Q253" ca="1">IF(B253="","",IFERROR(MIN(OFFSET(安値!$E$6,MATCH(TEXT(B253,"0"),TEXT(銘柄管理!$B$6:$B$305,"0"),0)-1,0,1,10)),""))</f>
        <v/>
      </c>
    </row>
    <row r="254" spans="10:17" ht="17.25">
      <c r="J254" s="118"/>
      <c r="P254" s="118" t="str" cm="1">
        <f t="array" aca="1" ref="P254" ca="1">IF(B254="","",IFERROR(MAX(OFFSET(高値!$E$6,MATCH(TEXT(B254,"0"),TEXT(銘柄管理!$B$6:$B$305,"0"),0)-1,0,1,10)),""))</f>
        <v/>
      </c>
      <c r="Q254" s="118" t="str" cm="1">
        <f t="array" aca="1" ref="Q254" ca="1">IF(B254="","",IFERROR(MIN(OFFSET(安値!$E$6,MATCH(TEXT(B254,"0"),TEXT(銘柄管理!$B$6:$B$305,"0"),0)-1,0,1,10)),""))</f>
        <v/>
      </c>
    </row>
    <row r="255" spans="10:17" ht="17.25">
      <c r="J255" s="118"/>
      <c r="P255" s="118" t="str" cm="1">
        <f t="array" aca="1" ref="P255" ca="1">IF(B255="","",IFERROR(MAX(OFFSET(高値!$E$6,MATCH(TEXT(B255,"0"),TEXT(銘柄管理!$B$6:$B$305,"0"),0)-1,0,1,10)),""))</f>
        <v/>
      </c>
      <c r="Q255" s="118" t="str" cm="1">
        <f t="array" aca="1" ref="Q255" ca="1">IF(B255="","",IFERROR(MIN(OFFSET(安値!$E$6,MATCH(TEXT(B255,"0"),TEXT(銘柄管理!$B$6:$B$305,"0"),0)-1,0,1,10)),""))</f>
        <v/>
      </c>
    </row>
    <row r="256" spans="10:17" ht="17.25">
      <c r="J256" s="118"/>
      <c r="P256" s="118" t="str" cm="1">
        <f t="array" aca="1" ref="P256" ca="1">IF(B256="","",IFERROR(MAX(OFFSET(高値!$E$6,MATCH(TEXT(B256,"0"),TEXT(銘柄管理!$B$6:$B$305,"0"),0)-1,0,1,10)),""))</f>
        <v/>
      </c>
      <c r="Q256" s="118" t="str" cm="1">
        <f t="array" aca="1" ref="Q256" ca="1">IF(B256="","",IFERROR(MIN(OFFSET(安値!$E$6,MATCH(TEXT(B256,"0"),TEXT(銘柄管理!$B$6:$B$305,"0"),0)-1,0,1,10)),""))</f>
        <v/>
      </c>
    </row>
    <row r="257" spans="10:17" ht="17.25">
      <c r="J257" s="118"/>
      <c r="P257" s="118" t="str" cm="1">
        <f t="array" aca="1" ref="P257" ca="1">IF(B257="","",IFERROR(MAX(OFFSET(高値!$E$6,MATCH(TEXT(B257,"0"),TEXT(銘柄管理!$B$6:$B$305,"0"),0)-1,0,1,10)),""))</f>
        <v/>
      </c>
      <c r="Q257" s="118" t="str" cm="1">
        <f t="array" aca="1" ref="Q257" ca="1">IF(B257="","",IFERROR(MIN(OFFSET(安値!$E$6,MATCH(TEXT(B257,"0"),TEXT(銘柄管理!$B$6:$B$305,"0"),0)-1,0,1,10)),""))</f>
        <v/>
      </c>
    </row>
    <row r="258" spans="10:17" ht="17.25">
      <c r="J258" s="118"/>
      <c r="P258" s="118" t="str" cm="1">
        <f t="array" aca="1" ref="P258" ca="1">IF(B258="","",IFERROR(MAX(OFFSET(高値!$E$6,MATCH(TEXT(B258,"0"),TEXT(銘柄管理!$B$6:$B$305,"0"),0)-1,0,1,10)),""))</f>
        <v/>
      </c>
      <c r="Q258" s="118" t="str" cm="1">
        <f t="array" aca="1" ref="Q258" ca="1">IF(B258="","",IFERROR(MIN(OFFSET(安値!$E$6,MATCH(TEXT(B258,"0"),TEXT(銘柄管理!$B$6:$B$305,"0"),0)-1,0,1,10)),""))</f>
        <v/>
      </c>
    </row>
    <row r="259" spans="10:17" ht="17.25">
      <c r="J259" s="118"/>
      <c r="P259" s="118" t="str" cm="1">
        <f t="array" aca="1" ref="P259" ca="1">IF(B259="","",IFERROR(MAX(OFFSET(高値!$E$6,MATCH(TEXT(B259,"0"),TEXT(銘柄管理!$B$6:$B$305,"0"),0)-1,0,1,10)),""))</f>
        <v/>
      </c>
      <c r="Q259" s="118" t="str" cm="1">
        <f t="array" aca="1" ref="Q259" ca="1">IF(B259="","",IFERROR(MIN(OFFSET(安値!$E$6,MATCH(TEXT(B259,"0"),TEXT(銘柄管理!$B$6:$B$305,"0"),0)-1,0,1,10)),""))</f>
        <v/>
      </c>
    </row>
    <row r="260" spans="10:17" ht="17.25">
      <c r="J260" s="118"/>
      <c r="P260" s="118" t="str" cm="1">
        <f t="array" aca="1" ref="P260" ca="1">IF(B260="","",IFERROR(MAX(OFFSET(高値!$E$6,MATCH(TEXT(B260,"0"),TEXT(銘柄管理!$B$6:$B$305,"0"),0)-1,0,1,10)),""))</f>
        <v/>
      </c>
      <c r="Q260" s="118" t="str" cm="1">
        <f t="array" aca="1" ref="Q260" ca="1">IF(B260="","",IFERROR(MIN(OFFSET(安値!$E$6,MATCH(TEXT(B260,"0"),TEXT(銘柄管理!$B$6:$B$305,"0"),0)-1,0,1,10)),""))</f>
        <v/>
      </c>
    </row>
    <row r="261" spans="10:17" ht="17.25">
      <c r="J261" s="118"/>
      <c r="P261" s="118" t="str" cm="1">
        <f t="array" aca="1" ref="P261" ca="1">IF(B261="","",IFERROR(MAX(OFFSET(高値!$E$6,MATCH(TEXT(B261,"0"),TEXT(銘柄管理!$B$6:$B$305,"0"),0)-1,0,1,10)),""))</f>
        <v/>
      </c>
      <c r="Q261" s="118" t="str" cm="1">
        <f t="array" aca="1" ref="Q261" ca="1">IF(B261="","",IFERROR(MIN(OFFSET(安値!$E$6,MATCH(TEXT(B261,"0"),TEXT(銘柄管理!$B$6:$B$305,"0"),0)-1,0,1,10)),""))</f>
        <v/>
      </c>
    </row>
    <row r="262" spans="10:17" ht="17.25">
      <c r="J262" s="118"/>
      <c r="P262" s="118" t="str" cm="1">
        <f t="array" aca="1" ref="P262" ca="1">IF(B262="","",IFERROR(MAX(OFFSET(高値!$E$6,MATCH(TEXT(B262,"0"),TEXT(銘柄管理!$B$6:$B$305,"0"),0)-1,0,1,10)),""))</f>
        <v/>
      </c>
      <c r="Q262" s="118" t="str" cm="1">
        <f t="array" aca="1" ref="Q262" ca="1">IF(B262="","",IFERROR(MIN(OFFSET(安値!$E$6,MATCH(TEXT(B262,"0"),TEXT(銘柄管理!$B$6:$B$305,"0"),0)-1,0,1,10)),""))</f>
        <v/>
      </c>
    </row>
    <row r="263" spans="10:17" ht="17.25">
      <c r="J263" s="118"/>
      <c r="P263" s="118" t="str" cm="1">
        <f t="array" aca="1" ref="P263" ca="1">IF(B263="","",IFERROR(MAX(OFFSET(高値!$E$6,MATCH(TEXT(B263,"0"),TEXT(銘柄管理!$B$6:$B$305,"0"),0)-1,0,1,10)),""))</f>
        <v/>
      </c>
      <c r="Q263" s="118" t="str" cm="1">
        <f t="array" aca="1" ref="Q263" ca="1">IF(B263="","",IFERROR(MIN(OFFSET(安値!$E$6,MATCH(TEXT(B263,"0"),TEXT(銘柄管理!$B$6:$B$305,"0"),0)-1,0,1,10)),""))</f>
        <v/>
      </c>
    </row>
    <row r="264" spans="10:17" ht="17.25">
      <c r="J264" s="118"/>
      <c r="P264" s="118" t="str" cm="1">
        <f t="array" aca="1" ref="P264" ca="1">IF(B264="","",IFERROR(MAX(OFFSET(高値!$E$6,MATCH(TEXT(B264,"0"),TEXT(銘柄管理!$B$6:$B$305,"0"),0)-1,0,1,10)),""))</f>
        <v/>
      </c>
      <c r="Q264" s="118" t="str" cm="1">
        <f t="array" aca="1" ref="Q264" ca="1">IF(B264="","",IFERROR(MIN(OFFSET(安値!$E$6,MATCH(TEXT(B264,"0"),TEXT(銘柄管理!$B$6:$B$305,"0"),0)-1,0,1,10)),""))</f>
        <v/>
      </c>
    </row>
    <row r="265" spans="10:17" ht="17.25">
      <c r="J265" s="118"/>
      <c r="P265" s="118" t="str" cm="1">
        <f t="array" aca="1" ref="P265" ca="1">IF(B265="","",IFERROR(MAX(OFFSET(高値!$E$6,MATCH(TEXT(B265,"0"),TEXT(銘柄管理!$B$6:$B$305,"0"),0)-1,0,1,10)),""))</f>
        <v/>
      </c>
      <c r="Q265" s="118" t="str" cm="1">
        <f t="array" aca="1" ref="Q265" ca="1">IF(B265="","",IFERROR(MIN(OFFSET(安値!$E$6,MATCH(TEXT(B265,"0"),TEXT(銘柄管理!$B$6:$B$305,"0"),0)-1,0,1,10)),""))</f>
        <v/>
      </c>
    </row>
    <row r="266" spans="10:17" ht="17.25">
      <c r="J266" s="118"/>
      <c r="P266" s="118" t="str" cm="1">
        <f t="array" aca="1" ref="P266" ca="1">IF(B266="","",IFERROR(MAX(OFFSET(高値!$E$6,MATCH(TEXT(B266,"0"),TEXT(銘柄管理!$B$6:$B$305,"0"),0)-1,0,1,10)),""))</f>
        <v/>
      </c>
      <c r="Q266" s="118" t="str" cm="1">
        <f t="array" aca="1" ref="Q266" ca="1">IF(B266="","",IFERROR(MIN(OFFSET(安値!$E$6,MATCH(TEXT(B266,"0"),TEXT(銘柄管理!$B$6:$B$305,"0"),0)-1,0,1,10)),""))</f>
        <v/>
      </c>
    </row>
    <row r="267" spans="10:17" ht="17.25">
      <c r="J267" s="118"/>
      <c r="P267" s="118" t="str" cm="1">
        <f t="array" aca="1" ref="P267" ca="1">IF(B267="","",IFERROR(MAX(OFFSET(高値!$E$6,MATCH(TEXT(B267,"0"),TEXT(銘柄管理!$B$6:$B$305,"0"),0)-1,0,1,10)),""))</f>
        <v/>
      </c>
      <c r="Q267" s="118" t="str" cm="1">
        <f t="array" aca="1" ref="Q267" ca="1">IF(B267="","",IFERROR(MIN(OFFSET(安値!$E$6,MATCH(TEXT(B267,"0"),TEXT(銘柄管理!$B$6:$B$305,"0"),0)-1,0,1,10)),""))</f>
        <v/>
      </c>
    </row>
    <row r="268" spans="10:17" ht="17.25">
      <c r="J268" s="118"/>
      <c r="P268" s="118" t="str" cm="1">
        <f t="array" aca="1" ref="P268" ca="1">IF(B268="","",IFERROR(MAX(OFFSET(高値!$E$6,MATCH(TEXT(B268,"0"),TEXT(銘柄管理!$B$6:$B$305,"0"),0)-1,0,1,10)),""))</f>
        <v/>
      </c>
      <c r="Q268" s="118" t="str" cm="1">
        <f t="array" aca="1" ref="Q268" ca="1">IF(B268="","",IFERROR(MIN(OFFSET(安値!$E$6,MATCH(TEXT(B268,"0"),TEXT(銘柄管理!$B$6:$B$305,"0"),0)-1,0,1,10)),""))</f>
        <v/>
      </c>
    </row>
    <row r="269" spans="10:17" ht="17.25">
      <c r="J269" s="118"/>
      <c r="P269" s="118" t="str" cm="1">
        <f t="array" aca="1" ref="P269" ca="1">IF(B269="","",IFERROR(MAX(OFFSET(高値!$E$6,MATCH(TEXT(B269,"0"),TEXT(銘柄管理!$B$6:$B$305,"0"),0)-1,0,1,10)),""))</f>
        <v/>
      </c>
      <c r="Q269" s="118" t="str" cm="1">
        <f t="array" aca="1" ref="Q269" ca="1">IF(B269="","",IFERROR(MIN(OFFSET(安値!$E$6,MATCH(TEXT(B269,"0"),TEXT(銘柄管理!$B$6:$B$305,"0"),0)-1,0,1,10)),""))</f>
        <v/>
      </c>
    </row>
    <row r="270" spans="10:17" ht="17.25">
      <c r="J270" s="118"/>
      <c r="P270" s="118" t="str" cm="1">
        <f t="array" aca="1" ref="P270" ca="1">IF(B270="","",IFERROR(MAX(OFFSET(高値!$E$6,MATCH(TEXT(B270,"0"),TEXT(銘柄管理!$B$6:$B$305,"0"),0)-1,0,1,10)),""))</f>
        <v/>
      </c>
      <c r="Q270" s="118" t="str" cm="1">
        <f t="array" aca="1" ref="Q270" ca="1">IF(B270="","",IFERROR(MIN(OFFSET(安値!$E$6,MATCH(TEXT(B270,"0"),TEXT(銘柄管理!$B$6:$B$305,"0"),0)-1,0,1,10)),""))</f>
        <v/>
      </c>
    </row>
    <row r="271" spans="10:17" ht="17.25">
      <c r="J271" s="118"/>
      <c r="P271" s="118" t="str" cm="1">
        <f t="array" aca="1" ref="P271" ca="1">IF(B271="","",IFERROR(MAX(OFFSET(高値!$E$6,MATCH(TEXT(B271,"0"),TEXT(銘柄管理!$B$6:$B$305,"0"),0)-1,0,1,10)),""))</f>
        <v/>
      </c>
      <c r="Q271" s="118" t="str" cm="1">
        <f t="array" aca="1" ref="Q271" ca="1">IF(B271="","",IFERROR(MIN(OFFSET(安値!$E$6,MATCH(TEXT(B271,"0"),TEXT(銘柄管理!$B$6:$B$305,"0"),0)-1,0,1,10)),""))</f>
        <v/>
      </c>
    </row>
    <row r="272" spans="10:17" ht="17.25">
      <c r="J272" s="118"/>
      <c r="P272" s="118" t="str" cm="1">
        <f t="array" aca="1" ref="P272" ca="1">IF(B272="","",IFERROR(MAX(OFFSET(高値!$E$6,MATCH(TEXT(B272,"0"),TEXT(銘柄管理!$B$6:$B$305,"0"),0)-1,0,1,10)),""))</f>
        <v/>
      </c>
      <c r="Q272" s="118" t="str" cm="1">
        <f t="array" aca="1" ref="Q272" ca="1">IF(B272="","",IFERROR(MIN(OFFSET(安値!$E$6,MATCH(TEXT(B272,"0"),TEXT(銘柄管理!$B$6:$B$305,"0"),0)-1,0,1,10)),""))</f>
        <v/>
      </c>
    </row>
    <row r="273" spans="10:17" ht="17.25">
      <c r="J273" s="118"/>
      <c r="P273" s="118" t="str" cm="1">
        <f t="array" aca="1" ref="P273" ca="1">IF(B273="","",IFERROR(MAX(OFFSET(高値!$E$6,MATCH(TEXT(B273,"0"),TEXT(銘柄管理!$B$6:$B$305,"0"),0)-1,0,1,10)),""))</f>
        <v/>
      </c>
      <c r="Q273" s="118" t="str" cm="1">
        <f t="array" aca="1" ref="Q273" ca="1">IF(B273="","",IFERROR(MIN(OFFSET(安値!$E$6,MATCH(TEXT(B273,"0"),TEXT(銘柄管理!$B$6:$B$305,"0"),0)-1,0,1,10)),""))</f>
        <v/>
      </c>
    </row>
    <row r="274" spans="10:17" ht="17.25">
      <c r="J274" s="118"/>
      <c r="P274" s="118" t="str" cm="1">
        <f t="array" aca="1" ref="P274" ca="1">IF(B274="","",IFERROR(MAX(OFFSET(高値!$E$6,MATCH(TEXT(B274,"0"),TEXT(銘柄管理!$B$6:$B$305,"0"),0)-1,0,1,10)),""))</f>
        <v/>
      </c>
      <c r="Q274" s="118" t="str" cm="1">
        <f t="array" aca="1" ref="Q274" ca="1">IF(B274="","",IFERROR(MIN(OFFSET(安値!$E$6,MATCH(TEXT(B274,"0"),TEXT(銘柄管理!$B$6:$B$305,"0"),0)-1,0,1,10)),""))</f>
        <v/>
      </c>
    </row>
    <row r="275" spans="10:17" ht="17.25">
      <c r="J275" s="118"/>
      <c r="P275" s="118" t="str" cm="1">
        <f t="array" aca="1" ref="P275" ca="1">IF(B275="","",IFERROR(MAX(OFFSET(高値!$E$6,MATCH(TEXT(B275,"0"),TEXT(銘柄管理!$B$6:$B$305,"0"),0)-1,0,1,10)),""))</f>
        <v/>
      </c>
      <c r="Q275" s="118" t="str" cm="1">
        <f t="array" aca="1" ref="Q275" ca="1">IF(B275="","",IFERROR(MIN(OFFSET(安値!$E$6,MATCH(TEXT(B275,"0"),TEXT(銘柄管理!$B$6:$B$305,"0"),0)-1,0,1,10)),""))</f>
        <v/>
      </c>
    </row>
    <row r="276" spans="10:17" ht="17.25">
      <c r="J276" s="118"/>
      <c r="P276" s="118" t="str" cm="1">
        <f t="array" aca="1" ref="P276" ca="1">IF(B276="","",IFERROR(MAX(OFFSET(高値!$E$6,MATCH(TEXT(B276,"0"),TEXT(銘柄管理!$B$6:$B$305,"0"),0)-1,0,1,10)),""))</f>
        <v/>
      </c>
      <c r="Q276" s="118" t="str" cm="1">
        <f t="array" aca="1" ref="Q276" ca="1">IF(B276="","",IFERROR(MIN(OFFSET(安値!$E$6,MATCH(TEXT(B276,"0"),TEXT(銘柄管理!$B$6:$B$305,"0"),0)-1,0,1,10)),""))</f>
        <v/>
      </c>
    </row>
    <row r="277" spans="10:17" ht="17.25">
      <c r="J277" s="118"/>
      <c r="P277" s="118" t="str" cm="1">
        <f t="array" aca="1" ref="P277" ca="1">IF(B277="","",IFERROR(MAX(OFFSET(高値!$E$6,MATCH(TEXT(B277,"0"),TEXT(銘柄管理!$B$6:$B$305,"0"),0)-1,0,1,10)),""))</f>
        <v/>
      </c>
      <c r="Q277" s="118" t="str" cm="1">
        <f t="array" aca="1" ref="Q277" ca="1">IF(B277="","",IFERROR(MIN(OFFSET(安値!$E$6,MATCH(TEXT(B277,"0"),TEXT(銘柄管理!$B$6:$B$305,"0"),0)-1,0,1,10)),""))</f>
        <v/>
      </c>
    </row>
    <row r="278" spans="10:17" ht="17.25">
      <c r="J278" s="118"/>
      <c r="P278" s="118" t="str" cm="1">
        <f t="array" aca="1" ref="P278" ca="1">IF(B278="","",IFERROR(MAX(OFFSET(高値!$E$6,MATCH(TEXT(B278,"0"),TEXT(銘柄管理!$B$6:$B$305,"0"),0)-1,0,1,10)),""))</f>
        <v/>
      </c>
      <c r="Q278" s="118" t="str" cm="1">
        <f t="array" aca="1" ref="Q278" ca="1">IF(B278="","",IFERROR(MIN(OFFSET(安値!$E$6,MATCH(TEXT(B278,"0"),TEXT(銘柄管理!$B$6:$B$305,"0"),0)-1,0,1,10)),""))</f>
        <v/>
      </c>
    </row>
    <row r="279" spans="10:17" ht="17.25">
      <c r="J279" s="118"/>
      <c r="P279" s="118" t="str" cm="1">
        <f t="array" aca="1" ref="P279" ca="1">IF(B279="","",IFERROR(MAX(OFFSET(高値!$E$6,MATCH(TEXT(B279,"0"),TEXT(銘柄管理!$B$6:$B$305,"0"),0)-1,0,1,10)),""))</f>
        <v/>
      </c>
      <c r="Q279" s="118" t="str" cm="1">
        <f t="array" aca="1" ref="Q279" ca="1">IF(B279="","",IFERROR(MIN(OFFSET(安値!$E$6,MATCH(TEXT(B279,"0"),TEXT(銘柄管理!$B$6:$B$305,"0"),0)-1,0,1,10)),""))</f>
        <v/>
      </c>
    </row>
    <row r="280" spans="10:17" ht="17.25">
      <c r="J280" s="118"/>
      <c r="P280" s="118" t="str" cm="1">
        <f t="array" aca="1" ref="P280" ca="1">IF(B280="","",IFERROR(MAX(OFFSET(高値!$E$6,MATCH(TEXT(B280,"0"),TEXT(銘柄管理!$B$6:$B$305,"0"),0)-1,0,1,10)),""))</f>
        <v/>
      </c>
      <c r="Q280" s="118" t="str" cm="1">
        <f t="array" aca="1" ref="Q280" ca="1">IF(B280="","",IFERROR(MIN(OFFSET(安値!$E$6,MATCH(TEXT(B280,"0"),TEXT(銘柄管理!$B$6:$B$305,"0"),0)-1,0,1,10)),""))</f>
        <v/>
      </c>
    </row>
    <row r="281" spans="10:17" ht="17.25">
      <c r="J281" s="118"/>
      <c r="P281" s="118" t="str" cm="1">
        <f t="array" aca="1" ref="P281" ca="1">IF(B281="","",IFERROR(MAX(OFFSET(高値!$E$6,MATCH(TEXT(B281,"0"),TEXT(銘柄管理!$B$6:$B$305,"0"),0)-1,0,1,10)),""))</f>
        <v/>
      </c>
      <c r="Q281" s="118" t="str" cm="1">
        <f t="array" aca="1" ref="Q281" ca="1">IF(B281="","",IFERROR(MIN(OFFSET(安値!$E$6,MATCH(TEXT(B281,"0"),TEXT(銘柄管理!$B$6:$B$305,"0"),0)-1,0,1,10)),""))</f>
        <v/>
      </c>
    </row>
    <row r="282" spans="10:17" ht="17.25">
      <c r="J282" s="118"/>
      <c r="P282" s="118" t="str" cm="1">
        <f t="array" aca="1" ref="P282" ca="1">IF(B282="","",IFERROR(MAX(OFFSET(高値!$E$6,MATCH(TEXT(B282,"0"),TEXT(銘柄管理!$B$6:$B$305,"0"),0)-1,0,1,10)),""))</f>
        <v/>
      </c>
      <c r="Q282" s="118" t="str" cm="1">
        <f t="array" aca="1" ref="Q282" ca="1">IF(B282="","",IFERROR(MIN(OFFSET(安値!$E$6,MATCH(TEXT(B282,"0"),TEXT(銘柄管理!$B$6:$B$305,"0"),0)-1,0,1,10)),""))</f>
        <v/>
      </c>
    </row>
    <row r="283" spans="10:17" ht="17.25">
      <c r="J283" s="118"/>
      <c r="P283" s="118" t="str" cm="1">
        <f t="array" aca="1" ref="P283" ca="1">IF(B283="","",IFERROR(MAX(OFFSET(高値!$E$6,MATCH(TEXT(B283,"0"),TEXT(銘柄管理!$B$6:$B$305,"0"),0)-1,0,1,10)),""))</f>
        <v/>
      </c>
      <c r="Q283" s="118" t="str" cm="1">
        <f t="array" aca="1" ref="Q283" ca="1">IF(B283="","",IFERROR(MIN(OFFSET(安値!$E$6,MATCH(TEXT(B283,"0"),TEXT(銘柄管理!$B$6:$B$305,"0"),0)-1,0,1,10)),""))</f>
        <v/>
      </c>
    </row>
    <row r="284" spans="10:17" ht="17.25">
      <c r="J284" s="118"/>
      <c r="P284" s="118" t="str" cm="1">
        <f t="array" aca="1" ref="P284" ca="1">IF(B284="","",IFERROR(MAX(OFFSET(高値!$E$6,MATCH(TEXT(B284,"0"),TEXT(銘柄管理!$B$6:$B$305,"0"),0)-1,0,1,10)),""))</f>
        <v/>
      </c>
      <c r="Q284" s="118" t="str" cm="1">
        <f t="array" aca="1" ref="Q284" ca="1">IF(B284="","",IFERROR(MIN(OFFSET(安値!$E$6,MATCH(TEXT(B284,"0"),TEXT(銘柄管理!$B$6:$B$305,"0"),0)-1,0,1,10)),""))</f>
        <v/>
      </c>
    </row>
    <row r="285" spans="10:17" ht="17.25">
      <c r="J285" s="118"/>
      <c r="P285" s="118" t="str" cm="1">
        <f t="array" aca="1" ref="P285" ca="1">IF(B285="","",IFERROR(MAX(OFFSET(高値!$E$6,MATCH(TEXT(B285,"0"),TEXT(銘柄管理!$B$6:$B$305,"0"),0)-1,0,1,10)),""))</f>
        <v/>
      </c>
      <c r="Q285" s="118" t="str" cm="1">
        <f t="array" aca="1" ref="Q285" ca="1">IF(B285="","",IFERROR(MIN(OFFSET(安値!$E$6,MATCH(TEXT(B285,"0"),TEXT(銘柄管理!$B$6:$B$305,"0"),0)-1,0,1,10)),""))</f>
        <v/>
      </c>
    </row>
    <row r="286" spans="10:17" ht="17.25">
      <c r="J286" s="118"/>
      <c r="P286" s="118" t="str" cm="1">
        <f t="array" aca="1" ref="P286" ca="1">IF(B286="","",IFERROR(MAX(OFFSET(高値!$E$6,MATCH(TEXT(B286,"0"),TEXT(銘柄管理!$B$6:$B$305,"0"),0)-1,0,1,10)),""))</f>
        <v/>
      </c>
      <c r="Q286" s="118" t="str" cm="1">
        <f t="array" aca="1" ref="Q286" ca="1">IF(B286="","",IFERROR(MIN(OFFSET(安値!$E$6,MATCH(TEXT(B286,"0"),TEXT(銘柄管理!$B$6:$B$305,"0"),0)-1,0,1,10)),""))</f>
        <v/>
      </c>
    </row>
    <row r="287" spans="10:17" ht="17.25">
      <c r="J287" s="118"/>
      <c r="P287" s="118" t="str" cm="1">
        <f t="array" aca="1" ref="P287" ca="1">IF(B287="","",IFERROR(MAX(OFFSET(高値!$E$6,MATCH(TEXT(B287,"0"),TEXT(銘柄管理!$B$6:$B$305,"0"),0)-1,0,1,10)),""))</f>
        <v/>
      </c>
      <c r="Q287" s="118" t="str" cm="1">
        <f t="array" aca="1" ref="Q287" ca="1">IF(B287="","",IFERROR(MIN(OFFSET(安値!$E$6,MATCH(TEXT(B287,"0"),TEXT(銘柄管理!$B$6:$B$305,"0"),0)-1,0,1,10)),""))</f>
        <v/>
      </c>
    </row>
    <row r="288" spans="10:17" ht="17.25">
      <c r="J288" s="118"/>
      <c r="P288" s="118" t="str" cm="1">
        <f t="array" aca="1" ref="P288" ca="1">IF(B288="","",IFERROR(MAX(OFFSET(高値!$E$6,MATCH(TEXT(B288,"0"),TEXT(銘柄管理!$B$6:$B$305,"0"),0)-1,0,1,10)),""))</f>
        <v/>
      </c>
      <c r="Q288" s="118" t="str" cm="1">
        <f t="array" aca="1" ref="Q288" ca="1">IF(B288="","",IFERROR(MIN(OFFSET(安値!$E$6,MATCH(TEXT(B288,"0"),TEXT(銘柄管理!$B$6:$B$305,"0"),0)-1,0,1,10)),""))</f>
        <v/>
      </c>
    </row>
    <row r="289" spans="10:17" ht="17.25">
      <c r="J289" s="118"/>
      <c r="P289" s="118" t="str" cm="1">
        <f t="array" aca="1" ref="P289" ca="1">IF(B289="","",IFERROR(MAX(OFFSET(高値!$E$6,MATCH(TEXT(B289,"0"),TEXT(銘柄管理!$B$6:$B$305,"0"),0)-1,0,1,10)),""))</f>
        <v/>
      </c>
      <c r="Q289" s="118" t="str" cm="1">
        <f t="array" aca="1" ref="Q289" ca="1">IF(B289="","",IFERROR(MIN(OFFSET(安値!$E$6,MATCH(TEXT(B289,"0"),TEXT(銘柄管理!$B$6:$B$305,"0"),0)-1,0,1,10)),""))</f>
        <v/>
      </c>
    </row>
    <row r="290" spans="10:17" ht="17.25">
      <c r="J290" s="118"/>
      <c r="P290" s="118" t="str" cm="1">
        <f t="array" aca="1" ref="P290" ca="1">IF(B290="","",IFERROR(MAX(OFFSET(高値!$E$6,MATCH(TEXT(B290,"0"),TEXT(銘柄管理!$B$6:$B$305,"0"),0)-1,0,1,10)),""))</f>
        <v/>
      </c>
      <c r="Q290" s="118" t="str" cm="1">
        <f t="array" aca="1" ref="Q290" ca="1">IF(B290="","",IFERROR(MIN(OFFSET(安値!$E$6,MATCH(TEXT(B290,"0"),TEXT(銘柄管理!$B$6:$B$305,"0"),0)-1,0,1,10)),""))</f>
        <v/>
      </c>
    </row>
    <row r="291" spans="10:17" ht="17.25">
      <c r="J291" s="118"/>
      <c r="P291" s="118" t="str" cm="1">
        <f t="array" aca="1" ref="P291" ca="1">IF(B291="","",IFERROR(MAX(OFFSET(高値!$E$6,MATCH(TEXT(B291,"0"),TEXT(銘柄管理!$B$6:$B$305,"0"),0)-1,0,1,10)),""))</f>
        <v/>
      </c>
      <c r="Q291" s="118" t="str" cm="1">
        <f t="array" aca="1" ref="Q291" ca="1">IF(B291="","",IFERROR(MIN(OFFSET(安値!$E$6,MATCH(TEXT(B291,"0"),TEXT(銘柄管理!$B$6:$B$305,"0"),0)-1,0,1,10)),""))</f>
        <v/>
      </c>
    </row>
    <row r="292" spans="10:17" ht="17.25">
      <c r="J292" s="118"/>
      <c r="P292" s="118" t="str" cm="1">
        <f t="array" aca="1" ref="P292" ca="1">IF(B292="","",IFERROR(MAX(OFFSET(高値!$E$6,MATCH(TEXT(B292,"0"),TEXT(銘柄管理!$B$6:$B$305,"0"),0)-1,0,1,10)),""))</f>
        <v/>
      </c>
      <c r="Q292" s="118" t="str" cm="1">
        <f t="array" aca="1" ref="Q292" ca="1">IF(B292="","",IFERROR(MIN(OFFSET(安値!$E$6,MATCH(TEXT(B292,"0"),TEXT(銘柄管理!$B$6:$B$305,"0"),0)-1,0,1,10)),""))</f>
        <v/>
      </c>
    </row>
    <row r="293" spans="10:17" ht="17.25">
      <c r="J293" s="118"/>
      <c r="P293" s="118" t="str" cm="1">
        <f t="array" aca="1" ref="P293" ca="1">IF(B293="","",IFERROR(MAX(OFFSET(高値!$E$6,MATCH(TEXT(B293,"0"),TEXT(銘柄管理!$B$6:$B$305,"0"),0)-1,0,1,10)),""))</f>
        <v/>
      </c>
      <c r="Q293" s="118" t="str" cm="1">
        <f t="array" aca="1" ref="Q293" ca="1">IF(B293="","",IFERROR(MIN(OFFSET(安値!$E$6,MATCH(TEXT(B293,"0"),TEXT(銘柄管理!$B$6:$B$305,"0"),0)-1,0,1,10)),""))</f>
        <v/>
      </c>
    </row>
    <row r="294" spans="10:17" ht="17.25">
      <c r="J294" s="118"/>
      <c r="P294" s="118" t="str" cm="1">
        <f t="array" aca="1" ref="P294" ca="1">IF(B294="","",IFERROR(MAX(OFFSET(高値!$E$6,MATCH(TEXT(B294,"0"),TEXT(銘柄管理!$B$6:$B$305,"0"),0)-1,0,1,10)),""))</f>
        <v/>
      </c>
      <c r="Q294" s="118" t="str" cm="1">
        <f t="array" aca="1" ref="Q294" ca="1">IF(B294="","",IFERROR(MIN(OFFSET(安値!$E$6,MATCH(TEXT(B294,"0"),TEXT(銘柄管理!$B$6:$B$305,"0"),0)-1,0,1,10)),""))</f>
        <v/>
      </c>
    </row>
    <row r="295" spans="10:17" ht="17.25">
      <c r="J295" s="118"/>
      <c r="P295" s="118" t="str" cm="1">
        <f t="array" aca="1" ref="P295" ca="1">IF(B295="","",IFERROR(MAX(OFFSET(高値!$E$6,MATCH(TEXT(B295,"0"),TEXT(銘柄管理!$B$6:$B$305,"0"),0)-1,0,1,10)),""))</f>
        <v/>
      </c>
      <c r="Q295" s="118" t="str" cm="1">
        <f t="array" aca="1" ref="Q295" ca="1">IF(B295="","",IFERROR(MIN(OFFSET(安値!$E$6,MATCH(TEXT(B295,"0"),TEXT(銘柄管理!$B$6:$B$305,"0"),0)-1,0,1,10)),""))</f>
        <v/>
      </c>
    </row>
    <row r="296" spans="10:17" ht="17.25">
      <c r="J296" s="118"/>
      <c r="P296" s="118" t="str" cm="1">
        <f t="array" aca="1" ref="P296" ca="1">IF(B296="","",IFERROR(MAX(OFFSET(高値!$E$6,MATCH(TEXT(B296,"0"),TEXT(銘柄管理!$B$6:$B$305,"0"),0)-1,0,1,10)),""))</f>
        <v/>
      </c>
      <c r="Q296" s="118" t="str" cm="1">
        <f t="array" aca="1" ref="Q296" ca="1">IF(B296="","",IFERROR(MIN(OFFSET(安値!$E$6,MATCH(TEXT(B296,"0"),TEXT(銘柄管理!$B$6:$B$305,"0"),0)-1,0,1,10)),""))</f>
        <v/>
      </c>
    </row>
    <row r="297" spans="10:17" ht="17.25">
      <c r="J297" s="118"/>
      <c r="P297" s="118" t="str" cm="1">
        <f t="array" aca="1" ref="P297" ca="1">IF(B297="","",IFERROR(MAX(OFFSET(高値!$E$6,MATCH(TEXT(B297,"0"),TEXT(銘柄管理!$B$6:$B$305,"0"),0)-1,0,1,10)),""))</f>
        <v/>
      </c>
      <c r="Q297" s="118" t="str" cm="1">
        <f t="array" aca="1" ref="Q297" ca="1">IF(B297="","",IFERROR(MIN(OFFSET(安値!$E$6,MATCH(TEXT(B297,"0"),TEXT(銘柄管理!$B$6:$B$305,"0"),0)-1,0,1,10)),""))</f>
        <v/>
      </c>
    </row>
    <row r="298" spans="10:17" ht="17.25">
      <c r="J298" s="118"/>
      <c r="P298" s="118" t="str" cm="1">
        <f t="array" aca="1" ref="P298" ca="1">IF(B298="","",IFERROR(MAX(OFFSET(高値!$E$6,MATCH(TEXT(B298,"0"),TEXT(銘柄管理!$B$6:$B$305,"0"),0)-1,0,1,10)),""))</f>
        <v/>
      </c>
      <c r="Q298" s="118" t="str" cm="1">
        <f t="array" aca="1" ref="Q298" ca="1">IF(B298="","",IFERROR(MIN(OFFSET(安値!$E$6,MATCH(TEXT(B298,"0"),TEXT(銘柄管理!$B$6:$B$305,"0"),0)-1,0,1,10)),""))</f>
        <v/>
      </c>
    </row>
    <row r="299" spans="10:17" ht="17.25">
      <c r="J299" s="118"/>
      <c r="P299" s="118" t="str" cm="1">
        <f t="array" aca="1" ref="P299" ca="1">IF(B299="","",IFERROR(MAX(OFFSET(高値!$E$6,MATCH(TEXT(B299,"0"),TEXT(銘柄管理!$B$6:$B$305,"0"),0)-1,0,1,10)),""))</f>
        <v/>
      </c>
      <c r="Q299" s="118" t="str" cm="1">
        <f t="array" aca="1" ref="Q299" ca="1">IF(B299="","",IFERROR(MIN(OFFSET(安値!$E$6,MATCH(TEXT(B299,"0"),TEXT(銘柄管理!$B$6:$B$305,"0"),0)-1,0,1,10)),""))</f>
        <v/>
      </c>
    </row>
    <row r="300" spans="10:17" ht="17.25">
      <c r="J300" s="118"/>
      <c r="P300" s="118" t="str" cm="1">
        <f t="array" aca="1" ref="P300" ca="1">IF(B300="","",IFERROR(MAX(OFFSET(高値!$E$6,MATCH(TEXT(B300,"0"),TEXT(銘柄管理!$B$6:$B$305,"0"),0)-1,0,1,10)),""))</f>
        <v/>
      </c>
      <c r="Q300" s="118" t="str" cm="1">
        <f t="array" aca="1" ref="Q300" ca="1">IF(B300="","",IFERROR(MIN(OFFSET(安値!$E$6,MATCH(TEXT(B300,"0"),TEXT(銘柄管理!$B$6:$B$305,"0"),0)-1,0,1,10)),""))</f>
        <v/>
      </c>
    </row>
    <row r="301" spans="10:17" ht="17.25">
      <c r="J301" s="118"/>
      <c r="P301" s="118" t="str" cm="1">
        <f t="array" aca="1" ref="P301" ca="1">IF(B301="","",IFERROR(MAX(OFFSET(高値!$E$6,MATCH(TEXT(B301,"0"),TEXT(銘柄管理!$B$6:$B$305,"0"),0)-1,0,1,10)),""))</f>
        <v/>
      </c>
      <c r="Q301" s="118" t="str" cm="1">
        <f t="array" aca="1" ref="Q301" ca="1">IF(B301="","",IFERROR(MIN(OFFSET(安値!$E$6,MATCH(TEXT(B301,"0"),TEXT(銘柄管理!$B$6:$B$305,"0"),0)-1,0,1,10)),""))</f>
        <v/>
      </c>
    </row>
    <row r="302" spans="10:17" ht="17.25">
      <c r="J302" s="118"/>
      <c r="P302" s="118" t="str" cm="1">
        <f t="array" aca="1" ref="P302" ca="1">IF(B302="","",IFERROR(MAX(OFFSET(高値!$E$6,MATCH(TEXT(B302,"0"),TEXT(銘柄管理!$B$6:$B$305,"0"),0)-1,0,1,10)),""))</f>
        <v/>
      </c>
      <c r="Q302" s="118" t="str" cm="1">
        <f t="array" aca="1" ref="Q302" ca="1">IF(B302="","",IFERROR(MIN(OFFSET(安値!$E$6,MATCH(TEXT(B302,"0"),TEXT(銘柄管理!$B$6:$B$305,"0"),0)-1,0,1,10)),""))</f>
        <v/>
      </c>
    </row>
    <row r="303" spans="10:17" ht="17.25">
      <c r="J303" s="118"/>
      <c r="P303" s="118" t="str" cm="1">
        <f t="array" aca="1" ref="P303" ca="1">IF(B303="","",IFERROR(MAX(OFFSET(高値!$E$6,MATCH(TEXT(B303,"0"),TEXT(銘柄管理!$B$6:$B$305,"0"),0)-1,0,1,10)),""))</f>
        <v/>
      </c>
      <c r="Q303" s="118" t="str" cm="1">
        <f t="array" aca="1" ref="Q303" ca="1">IF(B303="","",IFERROR(MIN(OFFSET(安値!$E$6,MATCH(TEXT(B303,"0"),TEXT(銘柄管理!$B$6:$B$305,"0"),0)-1,0,1,10)),""))</f>
        <v/>
      </c>
    </row>
    <row r="304" spans="10:17" ht="17.25">
      <c r="J304" s="118"/>
      <c r="P304" s="118" t="str" cm="1">
        <f t="array" aca="1" ref="P304" ca="1">IF(B304="","",IFERROR(MAX(OFFSET(高値!$E$6,MATCH(TEXT(B304,"0"),TEXT(銘柄管理!$B$6:$B$305,"0"),0)-1,0,1,10)),""))</f>
        <v/>
      </c>
      <c r="Q304" s="118" t="str" cm="1">
        <f t="array" aca="1" ref="Q304" ca="1">IF(B304="","",IFERROR(MIN(OFFSET(安値!$E$6,MATCH(TEXT(B304,"0"),TEXT(銘柄管理!$B$6:$B$305,"0"),0)-1,0,1,10)),""))</f>
        <v/>
      </c>
    </row>
    <row r="305" spans="10:17" ht="17.25">
      <c r="J305" s="118"/>
      <c r="P305" s="118" t="str" cm="1">
        <f t="array" aca="1" ref="P305" ca="1">IF(B305="","",IFERROR(MAX(OFFSET(高値!$E$6,MATCH(TEXT(B305,"0"),TEXT(銘柄管理!$B$6:$B$305,"0"),0)-1,0,1,10)),""))</f>
        <v/>
      </c>
      <c r="Q305" s="118" t="str" cm="1">
        <f t="array" aca="1" ref="Q305" ca="1">IF(B305="","",IFERROR(MIN(OFFSET(安値!$E$6,MATCH(TEXT(B305,"0"),TEXT(銘柄管理!$B$6:$B$305,"0"),0)-1,0,1,10)),""))</f>
        <v/>
      </c>
    </row>
    <row r="306" spans="10:17" ht="17.25">
      <c r="J306" s="118"/>
      <c r="P306" s="118" t="str" cm="1">
        <f t="array" aca="1" ref="P306" ca="1">IF(B306="","",IFERROR(MAX(OFFSET(高値!$E$6,MATCH(TEXT(B306,"0"),TEXT(銘柄管理!$B$6:$B$305,"0"),0)-1,0,1,10)),""))</f>
        <v/>
      </c>
      <c r="Q306" s="118" t="str" cm="1">
        <f t="array" aca="1" ref="Q306" ca="1">IF(B306="","",IFERROR(MIN(OFFSET(安値!$E$6,MATCH(TEXT(B306,"0"),TEXT(銘柄管理!$B$6:$B$305,"0"),0)-1,0,1,10)),""))</f>
        <v/>
      </c>
    </row>
    <row r="307" spans="10:17" ht="17.25">
      <c r="J307" s="118"/>
      <c r="P307" s="118" t="str" cm="1">
        <f t="array" aca="1" ref="P307" ca="1">IF(B307="","",IFERROR(MAX(OFFSET(高値!$E$6,MATCH(TEXT(B307,"0"),TEXT(銘柄管理!$B$6:$B$305,"0"),0)-1,0,1,10)),""))</f>
        <v/>
      </c>
      <c r="Q307" s="118" t="str" cm="1">
        <f t="array" aca="1" ref="Q307" ca="1">IF(B307="","",IFERROR(MIN(OFFSET(安値!$E$6,MATCH(TEXT(B307,"0"),TEXT(銘柄管理!$B$6:$B$305,"0"),0)-1,0,1,10)),""))</f>
        <v/>
      </c>
    </row>
    <row r="308" spans="10:17" ht="17.25">
      <c r="J308" s="118"/>
      <c r="P308" s="118" t="str" cm="1">
        <f t="array" aca="1" ref="P308" ca="1">IF(B308="","",IFERROR(MAX(OFFSET(高値!$E$6,MATCH(TEXT(B308,"0"),TEXT(銘柄管理!$B$6:$B$305,"0"),0)-1,0,1,10)),""))</f>
        <v/>
      </c>
      <c r="Q308" s="118" t="str" cm="1">
        <f t="array" aca="1" ref="Q308" ca="1">IF(B308="","",IFERROR(MIN(OFFSET(安値!$E$6,MATCH(TEXT(B308,"0"),TEXT(銘柄管理!$B$6:$B$305,"0"),0)-1,0,1,10)),""))</f>
        <v/>
      </c>
    </row>
    <row r="309" spans="10:17" ht="17.25">
      <c r="J309" s="118"/>
      <c r="P309" s="118" t="str" cm="1">
        <f t="array" aca="1" ref="P309" ca="1">IF(B309="","",IFERROR(MAX(OFFSET(高値!$E$6,MATCH(TEXT(B309,"0"),TEXT(銘柄管理!$B$6:$B$305,"0"),0)-1,0,1,10)),""))</f>
        <v/>
      </c>
      <c r="Q309" s="118" t="str" cm="1">
        <f t="array" aca="1" ref="Q309" ca="1">IF(B309="","",IFERROR(MIN(OFFSET(安値!$E$6,MATCH(TEXT(B309,"0"),TEXT(銘柄管理!$B$6:$B$305,"0"),0)-1,0,1,10)),""))</f>
        <v/>
      </c>
    </row>
    <row r="310" spans="10:17" ht="17.25">
      <c r="J310" s="118"/>
      <c r="P310" s="118" t="str" cm="1">
        <f t="array" aca="1" ref="P310" ca="1">IF(B310="","",IFERROR(MAX(OFFSET(高値!$E$6,MATCH(TEXT(B310,"0"),TEXT(銘柄管理!$B$6:$B$305,"0"),0)-1,0,1,10)),""))</f>
        <v/>
      </c>
      <c r="Q310" s="118" t="str" cm="1">
        <f t="array" aca="1" ref="Q310" ca="1">IF(B310="","",IFERROR(MIN(OFFSET(安値!$E$6,MATCH(TEXT(B310,"0"),TEXT(銘柄管理!$B$6:$B$305,"0"),0)-1,0,1,10)),""))</f>
        <v/>
      </c>
    </row>
    <row r="311" spans="10:17" ht="17.25">
      <c r="J311" s="118"/>
      <c r="P311" s="118" t="str" cm="1">
        <f t="array" aca="1" ref="P311" ca="1">IF(B311="","",IFERROR(MAX(OFFSET(高値!$E$6,MATCH(TEXT(B311,"0"),TEXT(銘柄管理!$B$6:$B$305,"0"),0)-1,0,1,10)),""))</f>
        <v/>
      </c>
      <c r="Q311" s="118" t="str">
        <f ca="1">IF(B311="","",IFERROR(MIN(OFFSET(安値!$E$6,MATCH(B311,銘柄管理!$B$6:$B$305,0)-1,0,1,10)),""))</f>
        <v/>
      </c>
    </row>
    <row r="312" spans="10:17" ht="17.25">
      <c r="J312" s="118"/>
      <c r="P312" s="118" t="str" cm="1">
        <f t="array" aca="1" ref="P312" ca="1">IF(B312="","",IFERROR(MAX(OFFSET(高値!$E$6,MATCH(TEXT(B312,"0"),TEXT(銘柄管理!$B$6:$B$305,"0"),0)-1,0,1,10)),""))</f>
        <v/>
      </c>
      <c r="Q312" s="118" t="str">
        <f ca="1">IF(B312="","",IFERROR(MIN(OFFSET(安値!$E$6,MATCH(B312,銘柄管理!$B$6:$B$305,0)-1,0,1,10)),""))</f>
        <v/>
      </c>
    </row>
    <row r="313" spans="10:17" ht="17.25">
      <c r="J313" s="118"/>
      <c r="P313" s="118" t="str" cm="1">
        <f t="array" aca="1" ref="P313" ca="1">IF(B313="","",IFERROR(MAX(OFFSET(高値!$E$6,MATCH(TEXT(B313,"0"),TEXT(銘柄管理!$B$6:$B$305,"0"),0)-1,0,1,10)),""))</f>
        <v/>
      </c>
      <c r="Q313" s="118" t="str">
        <f ca="1">IF(B313="","",IFERROR(MIN(OFFSET(安値!$E$6,MATCH(B313,銘柄管理!$B$6:$B$305,0)-1,0,1,10)),""))</f>
        <v/>
      </c>
    </row>
    <row r="314" spans="10:17" ht="17.25">
      <c r="J314" s="118"/>
      <c r="P314" s="118" t="str" cm="1">
        <f t="array" aca="1" ref="P314" ca="1">IF(B314="","",IFERROR(MAX(OFFSET(高値!$E$6,MATCH(TEXT(B314,"0"),TEXT(銘柄管理!$B$6:$B$305,"0"),0)-1,0,1,10)),""))</f>
        <v/>
      </c>
      <c r="Q314" s="118" t="str">
        <f ca="1">IF(B314="","",IFERROR(MIN(OFFSET(安値!$E$6,MATCH(B314,銘柄管理!$B$6:$B$305,0)-1,0,1,10)),""))</f>
        <v/>
      </c>
    </row>
    <row r="315" spans="10:17" ht="17.25">
      <c r="J315" s="118"/>
      <c r="P315" s="118" t="str" cm="1">
        <f t="array" aca="1" ref="P315" ca="1">IF(B315="","",IFERROR(MAX(OFFSET(高値!$E$6,MATCH(TEXT(B315,"0"),TEXT(銘柄管理!$B$6:$B$305,"0"),0)-1,0,1,10)),""))</f>
        <v/>
      </c>
      <c r="Q315" s="118" t="str">
        <f ca="1">IF(B315="","",IFERROR(MIN(OFFSET(安値!$E$6,MATCH(B315,銘柄管理!$B$6:$B$305,0)-1,0,1,10)),""))</f>
        <v/>
      </c>
    </row>
    <row r="316" spans="10:17" ht="17.25">
      <c r="J316" s="118"/>
      <c r="P316" s="118" t="str" cm="1">
        <f t="array" aca="1" ref="P316" ca="1">IF(B316="","",IFERROR(MAX(OFFSET(高値!$E$6,MATCH(TEXT(B316,"0"),TEXT(銘柄管理!$B$6:$B$305,"0"),0)-1,0,1,10)),""))</f>
        <v/>
      </c>
      <c r="Q316" s="118" t="str">
        <f ca="1">IF(B316="","",IFERROR(MIN(OFFSET(安値!$E$6,MATCH(B316,銘柄管理!$B$6:$B$305,0)-1,0,1,10)),""))</f>
        <v/>
      </c>
    </row>
    <row r="317" spans="10:17" ht="17.25">
      <c r="J317" s="118"/>
      <c r="P317" s="118" t="str" cm="1">
        <f t="array" aca="1" ref="P317" ca="1">IF(B317="","",IFERROR(MAX(OFFSET(高値!$E$6,MATCH(TEXT(B317,"0"),TEXT(銘柄管理!$B$6:$B$305,"0"),0)-1,0,1,10)),""))</f>
        <v/>
      </c>
      <c r="Q317" s="118" t="str">
        <f ca="1">IF(B317="","",IFERROR(MIN(OFFSET(安値!$E$6,MATCH(B317,銘柄管理!$B$6:$B$305,0)-1,0,1,10)),""))</f>
        <v/>
      </c>
    </row>
    <row r="318" spans="10:17" ht="17.25">
      <c r="J318" s="118"/>
      <c r="P318" s="118" t="str" cm="1">
        <f t="array" aca="1" ref="P318" ca="1">IF(B318="","",IFERROR(MAX(OFFSET(高値!$E$6,MATCH(TEXT(B318,"0"),TEXT(銘柄管理!$B$6:$B$305,"0"),0)-1,0,1,10)),""))</f>
        <v/>
      </c>
      <c r="Q318" s="118" t="str">
        <f ca="1">IF(B318="","",IFERROR(MIN(OFFSET(安値!$E$6,MATCH(B318,銘柄管理!$B$6:$B$305,0)-1,0,1,10)),""))</f>
        <v/>
      </c>
    </row>
    <row r="319" spans="10:17" ht="17.25">
      <c r="J319" s="118"/>
      <c r="P319" s="118" t="str" cm="1">
        <f t="array" aca="1" ref="P319" ca="1">IF(B319="","",IFERROR(MAX(OFFSET(高値!$E$6,MATCH(TEXT(B319,"0"),TEXT(銘柄管理!$B$6:$B$305,"0"),0)-1,0,1,10)),""))</f>
        <v/>
      </c>
      <c r="Q319" s="118" t="str">
        <f ca="1">IF(B319="","",IFERROR(MIN(OFFSET(安値!$E$6,MATCH(B319,銘柄管理!$B$6:$B$305,0)-1,0,1,10)),""))</f>
        <v/>
      </c>
    </row>
    <row r="320" spans="10:17" ht="17.25">
      <c r="J320" s="118"/>
      <c r="P320" s="118" t="str" cm="1">
        <f t="array" aca="1" ref="P320" ca="1">IF(B320="","",IFERROR(MAX(OFFSET(高値!$E$6,MATCH(TEXT(B320,"0"),TEXT(銘柄管理!$B$6:$B$305,"0"),0)-1,0,1,10)),""))</f>
        <v/>
      </c>
      <c r="Q320" s="118" t="str">
        <f ca="1">IF(B320="","",IFERROR(MIN(OFFSET(安値!$E$6,MATCH(B320,銘柄管理!$B$6:$B$305,0)-1,0,1,10)),""))</f>
        <v/>
      </c>
    </row>
    <row r="321" spans="10:17" ht="17.25">
      <c r="J321" s="118"/>
      <c r="P321" s="118" t="str" cm="1">
        <f t="array" aca="1" ref="P321" ca="1">IF(B321="","",IFERROR(MAX(OFFSET(高値!$E$6,MATCH(TEXT(B321,"0"),TEXT(銘柄管理!$B$6:$B$305,"0"),0)-1,0,1,10)),""))</f>
        <v/>
      </c>
      <c r="Q321" s="118" t="str">
        <f ca="1">IF(B321="","",IFERROR(MIN(OFFSET(安値!$E$6,MATCH(B321,銘柄管理!$B$6:$B$305,0)-1,0,1,10)),""))</f>
        <v/>
      </c>
    </row>
    <row r="322" spans="10:17" ht="17.25">
      <c r="J322" s="118"/>
      <c r="P322" s="118" t="str" cm="1">
        <f t="array" aca="1" ref="P322" ca="1">IF(B322="","",IFERROR(MAX(OFFSET(高値!$E$6,MATCH(TEXT(B322,"0"),TEXT(銘柄管理!$B$6:$B$305,"0"),0)-1,0,1,10)),""))</f>
        <v/>
      </c>
      <c r="Q322" s="118" t="str">
        <f ca="1">IF(B322="","",IFERROR(MIN(OFFSET(安値!$E$6,MATCH(B322,銘柄管理!$B$6:$B$305,0)-1,0,1,10)),""))</f>
        <v/>
      </c>
    </row>
    <row r="323" spans="10:17" ht="17.25">
      <c r="J323" s="118"/>
      <c r="P323" s="118" t="str" cm="1">
        <f t="array" aca="1" ref="P323" ca="1">IF(B323="","",IFERROR(MAX(OFFSET(高値!$E$6,MATCH(TEXT(B323,"0"),TEXT(銘柄管理!$B$6:$B$305,"0"),0)-1,0,1,10)),""))</f>
        <v/>
      </c>
      <c r="Q323" s="118" t="str">
        <f ca="1">IF(B323="","",IFERROR(MIN(OFFSET(安値!$E$6,MATCH(B323,銘柄管理!$B$6:$B$305,0)-1,0,1,10)),""))</f>
        <v/>
      </c>
    </row>
    <row r="324" spans="10:17" ht="17.25">
      <c r="J324" s="118"/>
      <c r="P324" s="118" t="str" cm="1">
        <f t="array" aca="1" ref="P324" ca="1">IF(B324="","",IFERROR(MAX(OFFSET(高値!$E$6,MATCH(TEXT(B324,"0"),TEXT(銘柄管理!$B$6:$B$305,"0"),0)-1,0,1,10)),""))</f>
        <v/>
      </c>
      <c r="Q324" s="118" t="str">
        <f ca="1">IF(B324="","",IFERROR(MIN(OFFSET(安値!$E$6,MATCH(B324,銘柄管理!$B$6:$B$305,0)-1,0,1,10)),""))</f>
        <v/>
      </c>
    </row>
    <row r="325" spans="10:17" ht="17.25">
      <c r="J325" s="118"/>
      <c r="P325" s="118" t="str" cm="1">
        <f t="array" aca="1" ref="P325" ca="1">IF(B325="","",IFERROR(MAX(OFFSET(高値!$E$6,MATCH(TEXT(B325,"0"),TEXT(銘柄管理!$B$6:$B$305,"0"),0)-1,0,1,10)),""))</f>
        <v/>
      </c>
      <c r="Q325" s="118" t="str">
        <f ca="1">IF(B325="","",IFERROR(MIN(OFFSET(安値!$E$6,MATCH(B325,銘柄管理!$B$6:$B$305,0)-1,0,1,10)),""))</f>
        <v/>
      </c>
    </row>
    <row r="326" spans="10:17" ht="17.25">
      <c r="J326" s="118"/>
      <c r="P326" s="118" t="str" cm="1">
        <f t="array" aca="1" ref="P326" ca="1">IF(B326="","",IFERROR(MAX(OFFSET(高値!$E$6,MATCH(TEXT(B326,"0"),TEXT(銘柄管理!$B$6:$B$305,"0"),0)-1,0,1,10)),""))</f>
        <v/>
      </c>
      <c r="Q326" s="118" t="str">
        <f ca="1">IF(B326="","",IFERROR(MIN(OFFSET(安値!$E$6,MATCH(B326,銘柄管理!$B$6:$B$305,0)-1,0,1,10)),""))</f>
        <v/>
      </c>
    </row>
    <row r="327" spans="10:17" ht="17.25">
      <c r="J327" s="118"/>
      <c r="P327" s="118" t="str" cm="1">
        <f t="array" aca="1" ref="P327" ca="1">IF(B327="","",IFERROR(MAX(OFFSET(高値!$E$6,MATCH(TEXT(B327,"0"),TEXT(銘柄管理!$B$6:$B$305,"0"),0)-1,0,1,10)),""))</f>
        <v/>
      </c>
      <c r="Q327" s="118" t="str">
        <f ca="1">IF(B327="","",IFERROR(MIN(OFFSET(安値!$E$6,MATCH(B327,銘柄管理!$B$6:$B$305,0)-1,0,1,10)),""))</f>
        <v/>
      </c>
    </row>
    <row r="328" spans="10:17" ht="17.25">
      <c r="J328" s="118"/>
      <c r="P328" s="118" t="str" cm="1">
        <f t="array" aca="1" ref="P328" ca="1">IF(B328="","",IFERROR(MAX(OFFSET(高値!$E$6,MATCH(TEXT(B328,"0"),TEXT(銘柄管理!$B$6:$B$305,"0"),0)-1,0,1,10)),""))</f>
        <v/>
      </c>
      <c r="Q328" s="118" t="str">
        <f ca="1">IF(B328="","",IFERROR(MIN(OFFSET(安値!$E$6,MATCH(B328,銘柄管理!$B$6:$B$305,0)-1,0,1,10)),""))</f>
        <v/>
      </c>
    </row>
    <row r="329" spans="10:17" ht="17.25">
      <c r="J329" s="118"/>
      <c r="P329" s="118" t="str" cm="1">
        <f t="array" aca="1" ref="P329" ca="1">IF(B329="","",IFERROR(MAX(OFFSET(高値!$E$6,MATCH(TEXT(B329,"0"),TEXT(銘柄管理!$B$6:$B$305,"0"),0)-1,0,1,10)),""))</f>
        <v/>
      </c>
      <c r="Q329" s="118" t="str">
        <f ca="1">IF(B329="","",IFERROR(MIN(OFFSET(安値!$E$6,MATCH(B329,銘柄管理!$B$6:$B$305,0)-1,0,1,10)),""))</f>
        <v/>
      </c>
    </row>
    <row r="330" spans="10:17" ht="17.25">
      <c r="J330" s="118"/>
      <c r="P330" s="118" t="str" cm="1">
        <f t="array" aca="1" ref="P330" ca="1">IF(B330="","",IFERROR(MAX(OFFSET(高値!$E$6,MATCH(TEXT(B330,"0"),TEXT(銘柄管理!$B$6:$B$305,"0"),0)-1,0,1,10)),""))</f>
        <v/>
      </c>
      <c r="Q330" s="118" t="str">
        <f ca="1">IF(B330="","",IFERROR(MIN(OFFSET(安値!$E$6,MATCH(B330,銘柄管理!$B$6:$B$305,0)-1,0,1,10)),""))</f>
        <v/>
      </c>
    </row>
    <row r="331" spans="10:17" ht="17.25">
      <c r="J331" s="118"/>
      <c r="P331" s="118" t="str" cm="1">
        <f t="array" aca="1" ref="P331" ca="1">IF(B331="","",IFERROR(MAX(OFFSET(高値!$E$6,MATCH(TEXT(B331,"0"),TEXT(銘柄管理!$B$6:$B$305,"0"),0)-1,0,1,10)),""))</f>
        <v/>
      </c>
      <c r="Q331" s="118" t="str">
        <f ca="1">IF(B331="","",IFERROR(MIN(OFFSET(安値!$E$6,MATCH(B331,銘柄管理!$B$6:$B$305,0)-1,0,1,10)),""))</f>
        <v/>
      </c>
    </row>
    <row r="332" spans="10:17" ht="17.25">
      <c r="J332" s="118"/>
      <c r="P332" s="118" t="str" cm="1">
        <f t="array" aca="1" ref="P332" ca="1">IF(B332="","",IFERROR(MAX(OFFSET(高値!$E$6,MATCH(TEXT(B332,"0"),TEXT(銘柄管理!$B$6:$B$305,"0"),0)-1,0,1,10)),""))</f>
        <v/>
      </c>
      <c r="Q332" s="118" t="str">
        <f ca="1">IF(B332="","",IFERROR(MIN(OFFSET(安値!$E$6,MATCH(B332,銘柄管理!$B$6:$B$305,0)-1,0,1,10)),""))</f>
        <v/>
      </c>
    </row>
    <row r="333" spans="10:17" ht="17.25">
      <c r="J333" s="118"/>
      <c r="P333" s="118" t="str" cm="1">
        <f t="array" aca="1" ref="P333" ca="1">IF(B333="","",IFERROR(MAX(OFFSET(高値!$E$6,MATCH(TEXT(B333,"0"),TEXT(銘柄管理!$B$6:$B$305,"0"),0)-1,0,1,10)),""))</f>
        <v/>
      </c>
      <c r="Q333" s="118" t="str">
        <f ca="1">IF(B333="","",IFERROR(MIN(OFFSET(安値!$E$6,MATCH(B333,銘柄管理!$B$6:$B$305,0)-1,0,1,10)),""))</f>
        <v/>
      </c>
    </row>
    <row r="334" spans="10:17" ht="17.25">
      <c r="J334" s="118"/>
      <c r="P334" s="118" t="str" cm="1">
        <f t="array" aca="1" ref="P334" ca="1">IF(B334="","",IFERROR(MAX(OFFSET(高値!$E$6,MATCH(TEXT(B334,"0"),TEXT(銘柄管理!$B$6:$B$305,"0"),0)-1,0,1,10)),""))</f>
        <v/>
      </c>
      <c r="Q334" s="118" t="str">
        <f ca="1">IF(B334="","",IFERROR(MIN(OFFSET(安値!$E$6,MATCH(B334,銘柄管理!$B$6:$B$305,0)-1,0,1,10)),""))</f>
        <v/>
      </c>
    </row>
    <row r="335" spans="10:17" ht="17.25">
      <c r="J335" s="118"/>
      <c r="P335" s="118" t="str" cm="1">
        <f t="array" aca="1" ref="P335" ca="1">IF(B335="","",IFERROR(MAX(OFFSET(高値!$E$6,MATCH(TEXT(B335,"0"),TEXT(銘柄管理!$B$6:$B$305,"0"),0)-1,0,1,10)),""))</f>
        <v/>
      </c>
      <c r="Q335" s="118" t="str">
        <f ca="1">IF(B335="","",IFERROR(MIN(OFFSET(安値!$E$6,MATCH(B335,銘柄管理!$B$6:$B$305,0)-1,0,1,10)),""))</f>
        <v/>
      </c>
    </row>
    <row r="336" spans="10:17" ht="17.25">
      <c r="J336" s="118"/>
      <c r="P336" s="118" t="str" cm="1">
        <f t="array" aca="1" ref="P336" ca="1">IF(B336="","",IFERROR(MAX(OFFSET(高値!$E$6,MATCH(TEXT(B336,"0"),TEXT(銘柄管理!$B$6:$B$305,"0"),0)-1,0,1,10)),""))</f>
        <v/>
      </c>
      <c r="Q336" s="118" t="str">
        <f ca="1">IF(B336="","",IFERROR(MIN(OFFSET(安値!$E$6,MATCH(B336,銘柄管理!$B$6:$B$305,0)-1,0,1,10)),""))</f>
        <v/>
      </c>
    </row>
    <row r="337" spans="10:17" ht="17.25">
      <c r="J337" s="118"/>
      <c r="P337" s="118" t="str" cm="1">
        <f t="array" aca="1" ref="P337" ca="1">IF(B337="","",IFERROR(MAX(OFFSET(高値!$E$6,MATCH(TEXT(B337,"0"),TEXT(銘柄管理!$B$6:$B$305,"0"),0)-1,0,1,10)),""))</f>
        <v/>
      </c>
      <c r="Q337" s="118" t="str">
        <f ca="1">IF(B337="","",IFERROR(MIN(OFFSET(安値!$E$6,MATCH(B337,銘柄管理!$B$6:$B$305,0)-1,0,1,10)),""))</f>
        <v/>
      </c>
    </row>
    <row r="338" spans="10:17" ht="17.25">
      <c r="J338" s="118"/>
      <c r="P338" s="118" t="str" cm="1">
        <f t="array" aca="1" ref="P338" ca="1">IF(B338="","",IFERROR(MAX(OFFSET(高値!$E$6,MATCH(TEXT(B338,"0"),TEXT(銘柄管理!$B$6:$B$305,"0"),0)-1,0,1,10)),""))</f>
        <v/>
      </c>
      <c r="Q338" s="118" t="str">
        <f ca="1">IF(B338="","",IFERROR(MIN(OFFSET(安値!$E$6,MATCH(B338,銘柄管理!$B$6:$B$305,0)-1,0,1,10)),""))</f>
        <v/>
      </c>
    </row>
    <row r="339" spans="10:17" ht="17.25">
      <c r="J339" s="118"/>
      <c r="P339" s="118" t="str" cm="1">
        <f t="array" aca="1" ref="P339" ca="1">IF(B339="","",IFERROR(MAX(OFFSET(高値!$E$6,MATCH(TEXT(B339,"0"),TEXT(銘柄管理!$B$6:$B$305,"0"),0)-1,0,1,10)),""))</f>
        <v/>
      </c>
      <c r="Q339" s="118" t="str">
        <f ca="1">IF(B339="","",IFERROR(MIN(OFFSET(安値!$E$6,MATCH(B339,銘柄管理!$B$6:$B$305,0)-1,0,1,10)),""))</f>
        <v/>
      </c>
    </row>
    <row r="340" spans="10:17" ht="17.25">
      <c r="J340" s="118"/>
      <c r="P340" s="118" t="str" cm="1">
        <f t="array" aca="1" ref="P340" ca="1">IF(B340="","",IFERROR(MAX(OFFSET(高値!$E$6,MATCH(TEXT(B340,"0"),TEXT(銘柄管理!$B$6:$B$305,"0"),0)-1,0,1,10)),""))</f>
        <v/>
      </c>
      <c r="Q340" s="118" t="str">
        <f ca="1">IF(B340="","",IFERROR(MIN(OFFSET(安値!$E$6,MATCH(B340,銘柄管理!$B$6:$B$305,0)-1,0,1,10)),""))</f>
        <v/>
      </c>
    </row>
    <row r="341" spans="10:17" ht="17.25">
      <c r="J341" s="118"/>
      <c r="P341" s="118" t="str" cm="1">
        <f t="array" aca="1" ref="P341" ca="1">IF(B341="","",IFERROR(MAX(OFFSET(高値!$E$6,MATCH(TEXT(B341,"0"),TEXT(銘柄管理!$B$6:$B$305,"0"),0)-1,0,1,10)),""))</f>
        <v/>
      </c>
      <c r="Q341" s="118" t="str">
        <f ca="1">IF(B341="","",IFERROR(MIN(OFFSET(安値!$E$6,MATCH(B341,銘柄管理!$B$6:$B$305,0)-1,0,1,10)),""))</f>
        <v/>
      </c>
    </row>
    <row r="342" spans="10:17" ht="17.25">
      <c r="J342" s="118"/>
      <c r="P342" s="118" t="str" cm="1">
        <f t="array" aca="1" ref="P342" ca="1">IF(B342="","",IFERROR(MAX(OFFSET(高値!$E$6,MATCH(TEXT(B342,"0"),TEXT(銘柄管理!$B$6:$B$305,"0"),0)-1,0,1,10)),""))</f>
        <v/>
      </c>
      <c r="Q342" s="118" t="str">
        <f ca="1">IF(B342="","",IFERROR(MIN(OFFSET(安値!$E$6,MATCH(B342,銘柄管理!$B$6:$B$305,0)-1,0,1,10)),""))</f>
        <v/>
      </c>
    </row>
    <row r="343" spans="10:17" ht="17.25">
      <c r="J343" s="118"/>
      <c r="P343" s="118" t="str" cm="1">
        <f t="array" aca="1" ref="P343" ca="1">IF(B343="","",IFERROR(MAX(OFFSET(高値!$E$6,MATCH(TEXT(B343,"0"),TEXT(銘柄管理!$B$6:$B$305,"0"),0)-1,0,1,10)),""))</f>
        <v/>
      </c>
      <c r="Q343" s="118" t="str">
        <f ca="1">IF(B343="","",IFERROR(MIN(OFFSET(安値!$E$6,MATCH(B343,銘柄管理!$B$6:$B$305,0)-1,0,1,10)),""))</f>
        <v/>
      </c>
    </row>
    <row r="344" spans="10:17" ht="17.25">
      <c r="J344" s="118"/>
      <c r="P344" s="118" t="str" cm="1">
        <f t="array" aca="1" ref="P344" ca="1">IF(B344="","",IFERROR(MAX(OFFSET(高値!$E$6,MATCH(TEXT(B344,"0"),TEXT(銘柄管理!$B$6:$B$305,"0"),0)-1,0,1,10)),""))</f>
        <v/>
      </c>
      <c r="Q344" s="118" t="str">
        <f ca="1">IF(B344="","",IFERROR(MIN(OFFSET(安値!$E$6,MATCH(B344,銘柄管理!$B$6:$B$305,0)-1,0,1,10)),""))</f>
        <v/>
      </c>
    </row>
    <row r="345" spans="10:17" ht="17.25">
      <c r="J345" s="118"/>
      <c r="P345" s="118" t="str" cm="1">
        <f t="array" aca="1" ref="P345" ca="1">IF(B345="","",IFERROR(MAX(OFFSET(高値!$E$6,MATCH(TEXT(B345,"0"),TEXT(銘柄管理!$B$6:$B$305,"0"),0)-1,0,1,10)),""))</f>
        <v/>
      </c>
      <c r="Q345" s="118" t="str">
        <f ca="1">IF(B345="","",IFERROR(MIN(OFFSET(安値!$E$6,MATCH(B345,銘柄管理!$B$6:$B$305,0)-1,0,1,10)),""))</f>
        <v/>
      </c>
    </row>
    <row r="346" spans="10:17" ht="17.25">
      <c r="J346" s="118"/>
      <c r="P346" s="118" t="str" cm="1">
        <f t="array" aca="1" ref="P346" ca="1">IF(B346="","",IFERROR(MAX(OFFSET(高値!$E$6,MATCH(TEXT(B346,"0"),TEXT(銘柄管理!$B$6:$B$305,"0"),0)-1,0,1,10)),""))</f>
        <v/>
      </c>
      <c r="Q346" s="118" t="str">
        <f ca="1">IF(B346="","",IFERROR(MIN(OFFSET(安値!$E$6,MATCH(B346,銘柄管理!$B$6:$B$305,0)-1,0,1,10)),""))</f>
        <v/>
      </c>
    </row>
    <row r="347" spans="10:17" ht="17.25">
      <c r="J347" s="118"/>
      <c r="P347" s="118" t="str" cm="1">
        <f t="array" aca="1" ref="P347" ca="1">IF(B347="","",IFERROR(MAX(OFFSET(高値!$E$6,MATCH(TEXT(B347,"0"),TEXT(銘柄管理!$B$6:$B$305,"0"),0)-1,0,1,10)),""))</f>
        <v/>
      </c>
      <c r="Q347" s="118" t="str">
        <f ca="1">IF(B347="","",IFERROR(MIN(OFFSET(安値!$E$6,MATCH(B347,銘柄管理!$B$6:$B$305,0)-1,0,1,10)),""))</f>
        <v/>
      </c>
    </row>
    <row r="348" spans="10:17" ht="17.25">
      <c r="J348" s="118"/>
      <c r="P348" s="118" t="str" cm="1">
        <f t="array" aca="1" ref="P348" ca="1">IF(B348="","",IFERROR(MAX(OFFSET(高値!$E$6,MATCH(TEXT(B348,"0"),TEXT(銘柄管理!$B$6:$B$305,"0"),0)-1,0,1,10)),""))</f>
        <v/>
      </c>
      <c r="Q348" s="118" t="str">
        <f ca="1">IF(B348="","",IFERROR(MIN(OFFSET(安値!$E$6,MATCH(B348,銘柄管理!$B$6:$B$305,0)-1,0,1,10)),""))</f>
        <v/>
      </c>
    </row>
    <row r="349" spans="10:17" ht="17.25">
      <c r="J349" s="118"/>
      <c r="P349" s="118" t="str" cm="1">
        <f t="array" aca="1" ref="P349" ca="1">IF(B349="","",IFERROR(MAX(OFFSET(高値!$E$6,MATCH(TEXT(B349,"0"),TEXT(銘柄管理!$B$6:$B$305,"0"),0)-1,0,1,10)),""))</f>
        <v/>
      </c>
      <c r="Q349" s="118" t="str">
        <f ca="1">IF(B349="","",IFERROR(MIN(OFFSET(安値!$E$6,MATCH(B349,銘柄管理!$B$6:$B$305,0)-1,0,1,10)),""))</f>
        <v/>
      </c>
    </row>
    <row r="350" spans="10:17" ht="17.25">
      <c r="J350" s="118"/>
      <c r="P350" s="118" t="str" cm="1">
        <f t="array" aca="1" ref="P350" ca="1">IF(B350="","",IFERROR(MAX(OFFSET(高値!$E$6,MATCH(TEXT(B350,"0"),TEXT(銘柄管理!$B$6:$B$305,"0"),0)-1,0,1,10)),""))</f>
        <v/>
      </c>
      <c r="Q350" s="118" t="str">
        <f ca="1">IF(B350="","",IFERROR(MIN(OFFSET(安値!$E$6,MATCH(B350,銘柄管理!$B$6:$B$305,0)-1,0,1,10)),""))</f>
        <v/>
      </c>
    </row>
    <row r="351" spans="10:17" ht="17.25">
      <c r="J351" s="118"/>
      <c r="P351" s="118" t="str" cm="1">
        <f t="array" aca="1" ref="P351" ca="1">IF(B351="","",IFERROR(MAX(OFFSET(高値!$E$6,MATCH(TEXT(B351,"0"),TEXT(銘柄管理!$B$6:$B$305,"0"),0)-1,0,1,10)),""))</f>
        <v/>
      </c>
      <c r="Q351" s="118" t="str">
        <f ca="1">IF(B351="","",IFERROR(MIN(OFFSET(安値!$E$6,MATCH(B351,銘柄管理!$B$6:$B$305,0)-1,0,1,10)),""))</f>
        <v/>
      </c>
    </row>
    <row r="352" spans="10:17" ht="17.25">
      <c r="J352" s="118"/>
      <c r="P352" s="118" t="str" cm="1">
        <f t="array" aca="1" ref="P352" ca="1">IF(B352="","",IFERROR(MAX(OFFSET(高値!$E$6,MATCH(TEXT(B352,"0"),TEXT(銘柄管理!$B$6:$B$305,"0"),0)-1,0,1,10)),""))</f>
        <v/>
      </c>
      <c r="Q352" s="118" t="str">
        <f ca="1">IF(B352="","",IFERROR(MIN(OFFSET(安値!$E$6,MATCH(B352,銘柄管理!$B$6:$B$305,0)-1,0,1,10)),""))</f>
        <v/>
      </c>
    </row>
    <row r="353" spans="10:17" ht="17.25">
      <c r="J353" s="118"/>
      <c r="P353" s="118" t="str" cm="1">
        <f t="array" aca="1" ref="P353" ca="1">IF(B353="","",IFERROR(MAX(OFFSET(高値!$E$6,MATCH(TEXT(B353,"0"),TEXT(銘柄管理!$B$6:$B$305,"0"),0)-1,0,1,10)),""))</f>
        <v/>
      </c>
      <c r="Q353" s="118" t="str">
        <f ca="1">IF(B353="","",IFERROR(MIN(OFFSET(安値!$E$6,MATCH(B353,銘柄管理!$B$6:$B$305,0)-1,0,1,10)),""))</f>
        <v/>
      </c>
    </row>
    <row r="354" spans="10:17" ht="17.25">
      <c r="J354" s="118"/>
      <c r="P354" s="118" t="str" cm="1">
        <f t="array" aca="1" ref="P354" ca="1">IF(B354="","",IFERROR(MAX(OFFSET(高値!$E$6,MATCH(TEXT(B354,"0"),TEXT(銘柄管理!$B$6:$B$305,"0"),0)-1,0,1,10)),""))</f>
        <v/>
      </c>
      <c r="Q354" s="118" t="str">
        <f ca="1">IF(B354="","",IFERROR(MIN(OFFSET(安値!$E$6,MATCH(B354,銘柄管理!$B$6:$B$305,0)-1,0,1,10)),""))</f>
        <v/>
      </c>
    </row>
    <row r="355" spans="10:17" ht="17.25">
      <c r="J355" s="118"/>
      <c r="P355" s="118" t="str" cm="1">
        <f t="array" aca="1" ref="P355" ca="1">IF(B355="","",IFERROR(MAX(OFFSET(高値!$E$6,MATCH(TEXT(B355,"0"),TEXT(銘柄管理!$B$6:$B$305,"0"),0)-1,0,1,10)),""))</f>
        <v/>
      </c>
      <c r="Q355" s="118" t="str">
        <f ca="1">IF(B355="","",IFERROR(MIN(OFFSET(安値!$E$6,MATCH(B355,銘柄管理!$B$6:$B$305,0)-1,0,1,10)),""))</f>
        <v/>
      </c>
    </row>
    <row r="356" spans="10:17" ht="17.25">
      <c r="J356" s="118"/>
      <c r="P356" s="118" t="str" cm="1">
        <f t="array" aca="1" ref="P356" ca="1">IF(B356="","",IFERROR(MAX(OFFSET(高値!$E$6,MATCH(TEXT(B356,"0"),TEXT(銘柄管理!$B$6:$B$305,"0"),0)-1,0,1,10)),""))</f>
        <v/>
      </c>
      <c r="Q356" s="118" t="str">
        <f ca="1">IF(B356="","",IFERROR(MIN(OFFSET(安値!$E$6,MATCH(B356,銘柄管理!$B$6:$B$305,0)-1,0,1,10)),""))</f>
        <v/>
      </c>
    </row>
    <row r="357" spans="10:17" ht="17.25">
      <c r="J357" s="118"/>
      <c r="P357" s="118" t="str" cm="1">
        <f t="array" aca="1" ref="P357" ca="1">IF(B357="","",IFERROR(MAX(OFFSET(高値!$E$6,MATCH(TEXT(B357,"0"),TEXT(銘柄管理!$B$6:$B$305,"0"),0)-1,0,1,10)),""))</f>
        <v/>
      </c>
      <c r="Q357" s="118" t="str">
        <f ca="1">IF(B357="","",IFERROR(MIN(OFFSET(安値!$E$6,MATCH(B357,銘柄管理!$B$6:$B$305,0)-1,0,1,10)),""))</f>
        <v/>
      </c>
    </row>
    <row r="358" spans="10:17" ht="17.25">
      <c r="J358" s="118"/>
      <c r="P358" s="118" t="str" cm="1">
        <f t="array" aca="1" ref="P358" ca="1">IF(B358="","",IFERROR(MAX(OFFSET(高値!$E$6,MATCH(TEXT(B358,"0"),TEXT(銘柄管理!$B$6:$B$305,"0"),0)-1,0,1,10)),""))</f>
        <v/>
      </c>
      <c r="Q358" s="118" t="str">
        <f ca="1">IF(B358="","",IFERROR(MIN(OFFSET(安値!$E$6,MATCH(B358,銘柄管理!$B$6:$B$305,0)-1,0,1,10)),""))</f>
        <v/>
      </c>
    </row>
    <row r="359" spans="10:17" ht="17.25">
      <c r="J359" s="118"/>
      <c r="P359" s="118" t="str" cm="1">
        <f t="array" aca="1" ref="P359" ca="1">IF(B359="","",IFERROR(MAX(OFFSET(高値!$E$6,MATCH(TEXT(B359,"0"),TEXT(銘柄管理!$B$6:$B$305,"0"),0)-1,0,1,10)),""))</f>
        <v/>
      </c>
      <c r="Q359" s="118" t="str">
        <f ca="1">IF(B359="","",IFERROR(MIN(OFFSET(安値!$E$6,MATCH(B359,銘柄管理!$B$6:$B$305,0)-1,0,1,10)),""))</f>
        <v/>
      </c>
    </row>
    <row r="360" spans="10:17" ht="17.25">
      <c r="J360" s="118"/>
      <c r="P360" s="118" t="str" cm="1">
        <f t="array" aca="1" ref="P360" ca="1">IF(B360="","",IFERROR(MAX(OFFSET(高値!$E$6,MATCH(TEXT(B360,"0"),TEXT(銘柄管理!$B$6:$B$305,"0"),0)-1,0,1,10)),""))</f>
        <v/>
      </c>
      <c r="Q360" s="118" t="str">
        <f ca="1">IF(B360="","",IFERROR(MIN(OFFSET(安値!$E$6,MATCH(B360,銘柄管理!$B$6:$B$305,0)-1,0,1,10)),""))</f>
        <v/>
      </c>
    </row>
    <row r="361" spans="10:17" ht="17.25">
      <c r="J361" s="118"/>
      <c r="P361" s="118" t="str" cm="1">
        <f t="array" aca="1" ref="P361" ca="1">IF(B361="","",IFERROR(MAX(OFFSET(高値!$E$6,MATCH(TEXT(B361,"0"),TEXT(銘柄管理!$B$6:$B$305,"0"),0)-1,0,1,10)),""))</f>
        <v/>
      </c>
      <c r="Q361" s="118" t="str">
        <f ca="1">IF(B361="","",IFERROR(MIN(OFFSET(安値!$E$6,MATCH(B361,銘柄管理!$B$6:$B$305,0)-1,0,1,10)),""))</f>
        <v/>
      </c>
    </row>
    <row r="362" spans="10:17" ht="17.25">
      <c r="J362" s="118"/>
      <c r="P362" s="118" t="str" cm="1">
        <f t="array" aca="1" ref="P362" ca="1">IF(B362="","",IFERROR(MAX(OFFSET(高値!$E$6,MATCH(TEXT(B362,"0"),TEXT(銘柄管理!$B$6:$B$305,"0"),0)-1,0,1,10)),""))</f>
        <v/>
      </c>
      <c r="Q362" s="118" t="str">
        <f ca="1">IF(B362="","",IFERROR(MIN(OFFSET(安値!$E$6,MATCH(B362,銘柄管理!$B$6:$B$305,0)-1,0,1,10)),""))</f>
        <v/>
      </c>
    </row>
    <row r="363" spans="10:17" ht="17.25">
      <c r="J363" s="118"/>
      <c r="P363" s="118" t="str" cm="1">
        <f t="array" aca="1" ref="P363" ca="1">IF(B363="","",IFERROR(MAX(OFFSET(高値!$E$6,MATCH(TEXT(B363,"0"),TEXT(銘柄管理!$B$6:$B$305,"0"),0)-1,0,1,10)),""))</f>
        <v/>
      </c>
      <c r="Q363" s="118" t="str">
        <f ca="1">IF(B363="","",IFERROR(MIN(OFFSET(安値!$E$6,MATCH(B363,銘柄管理!$B$6:$B$305,0)-1,0,1,10)),""))</f>
        <v/>
      </c>
    </row>
    <row r="364" spans="10:17" ht="17.25">
      <c r="J364" s="118"/>
      <c r="P364" s="118" t="str" cm="1">
        <f t="array" aca="1" ref="P364" ca="1">IF(B364="","",IFERROR(MAX(OFFSET(高値!$E$6,MATCH(TEXT(B364,"0"),TEXT(銘柄管理!$B$6:$B$305,"0"),0)-1,0,1,10)),""))</f>
        <v/>
      </c>
      <c r="Q364" s="118" t="str">
        <f ca="1">IF(B364="","",IFERROR(MIN(OFFSET(安値!$E$6,MATCH(B364,銘柄管理!$B$6:$B$305,0)-1,0,1,10)),""))</f>
        <v/>
      </c>
    </row>
    <row r="365" spans="10:17" ht="17.25">
      <c r="J365" s="118"/>
      <c r="P365" s="118" t="str" cm="1">
        <f t="array" aca="1" ref="P365" ca="1">IF(B365="","",IFERROR(MAX(OFFSET(高値!$E$6,MATCH(TEXT(B365,"0"),TEXT(銘柄管理!$B$6:$B$305,"0"),0)-1,0,1,10)),""))</f>
        <v/>
      </c>
      <c r="Q365" s="118" t="str">
        <f ca="1">IF(B365="","",IFERROR(MIN(OFFSET(安値!$E$6,MATCH(B365,銘柄管理!$B$6:$B$305,0)-1,0,1,10)),""))</f>
        <v/>
      </c>
    </row>
    <row r="366" spans="10:17" ht="17.25">
      <c r="J366" s="118"/>
      <c r="P366" s="118" t="str" cm="1">
        <f t="array" aca="1" ref="P366" ca="1">IF(B366="","",IFERROR(MAX(OFFSET(高値!$E$6,MATCH(TEXT(B366,"0"),TEXT(銘柄管理!$B$6:$B$305,"0"),0)-1,0,1,10)),""))</f>
        <v/>
      </c>
      <c r="Q366" s="118" t="str">
        <f ca="1">IF(B366="","",IFERROR(MIN(OFFSET(安値!$E$6,MATCH(B366,銘柄管理!$B$6:$B$305,0)-1,0,1,10)),""))</f>
        <v/>
      </c>
    </row>
    <row r="367" spans="10:17" ht="17.25">
      <c r="J367" s="118"/>
      <c r="P367" s="118" t="str" cm="1">
        <f t="array" aca="1" ref="P367" ca="1">IF(B367="","",IFERROR(MAX(OFFSET(高値!$E$6,MATCH(TEXT(B367,"0"),TEXT(銘柄管理!$B$6:$B$305,"0"),0)-1,0,1,10)),""))</f>
        <v/>
      </c>
      <c r="Q367" s="118" t="str">
        <f ca="1">IF(B367="","",IFERROR(MIN(OFFSET(安値!$E$6,MATCH(B367,銘柄管理!$B$6:$B$305,0)-1,0,1,10)),""))</f>
        <v/>
      </c>
    </row>
    <row r="368" spans="10:17" ht="17.25">
      <c r="J368" s="118"/>
      <c r="P368" s="118" t="str" cm="1">
        <f t="array" aca="1" ref="P368" ca="1">IF(B368="","",IFERROR(MAX(OFFSET(高値!$E$6,MATCH(TEXT(B368,"0"),TEXT(銘柄管理!$B$6:$B$305,"0"),0)-1,0,1,10)),""))</f>
        <v/>
      </c>
      <c r="Q368" s="118" t="str">
        <f ca="1">IF(B368="","",IFERROR(MIN(OFFSET(安値!$E$6,MATCH(B368,銘柄管理!$B$6:$B$305,0)-1,0,1,10)),""))</f>
        <v/>
      </c>
    </row>
    <row r="369" spans="10:17" ht="17.25">
      <c r="J369" s="118"/>
      <c r="P369" s="118" t="str" cm="1">
        <f t="array" aca="1" ref="P369" ca="1">IF(B369="","",IFERROR(MAX(OFFSET(高値!$E$6,MATCH(TEXT(B369,"0"),TEXT(銘柄管理!$B$6:$B$305,"0"),0)-1,0,1,10)),""))</f>
        <v/>
      </c>
      <c r="Q369" s="118" t="str">
        <f ca="1">IF(B369="","",IFERROR(MIN(OFFSET(安値!$E$6,MATCH(B369,銘柄管理!$B$6:$B$305,0)-1,0,1,10)),""))</f>
        <v/>
      </c>
    </row>
    <row r="370" spans="10:17" ht="17.25">
      <c r="J370" s="118"/>
      <c r="P370" s="118" t="str" cm="1">
        <f t="array" aca="1" ref="P370" ca="1">IF(B370="","",IFERROR(MAX(OFFSET(高値!$E$6,MATCH(TEXT(B370,"0"),TEXT(銘柄管理!$B$6:$B$305,"0"),0)-1,0,1,10)),""))</f>
        <v/>
      </c>
      <c r="Q370" s="118" t="str">
        <f ca="1">IF(B370="","",IFERROR(MIN(OFFSET(安値!$E$6,MATCH(B370,銘柄管理!$B$6:$B$305,0)-1,0,1,10)),""))</f>
        <v/>
      </c>
    </row>
    <row r="371" spans="10:17" ht="17.25">
      <c r="J371" s="118"/>
      <c r="P371" s="118" t="str" cm="1">
        <f t="array" aca="1" ref="P371" ca="1">IF(B371="","",IFERROR(MAX(OFFSET(高値!$E$6,MATCH(TEXT(B371,"0"),TEXT(銘柄管理!$B$6:$B$305,"0"),0)-1,0,1,10)),""))</f>
        <v/>
      </c>
      <c r="Q371" s="118" t="str">
        <f ca="1">IF(B371="","",IFERROR(MIN(OFFSET(安値!$E$6,MATCH(B371,銘柄管理!$B$6:$B$305,0)-1,0,1,10)),""))</f>
        <v/>
      </c>
    </row>
    <row r="372" spans="10:17" ht="17.25">
      <c r="J372" s="118"/>
      <c r="P372" s="118" t="str" cm="1">
        <f t="array" aca="1" ref="P372" ca="1">IF(B372="","",IFERROR(MAX(OFFSET(高値!$E$6,MATCH(TEXT(B372,"0"),TEXT(銘柄管理!$B$6:$B$305,"0"),0)-1,0,1,10)),""))</f>
        <v/>
      </c>
      <c r="Q372" s="118" t="str">
        <f ca="1">IF(B372="","",IFERROR(MIN(OFFSET(安値!$E$6,MATCH(B372,銘柄管理!$B$6:$B$305,0)-1,0,1,10)),""))</f>
        <v/>
      </c>
    </row>
    <row r="373" spans="10:17" ht="17.25">
      <c r="J373" s="118"/>
      <c r="P373" s="118" t="str" cm="1">
        <f t="array" aca="1" ref="P373" ca="1">IF(B373="","",IFERROR(MAX(OFFSET(高値!$E$6,MATCH(TEXT(B373,"0"),TEXT(銘柄管理!$B$6:$B$305,"0"),0)-1,0,1,10)),""))</f>
        <v/>
      </c>
      <c r="Q373" s="118" t="str">
        <f ca="1">IF(B373="","",IFERROR(MIN(OFFSET(安値!$E$6,MATCH(B373,銘柄管理!$B$6:$B$305,0)-1,0,1,10)),""))</f>
        <v/>
      </c>
    </row>
    <row r="374" spans="10:17" ht="17.25">
      <c r="J374" s="118"/>
      <c r="P374" s="118" t="str" cm="1">
        <f t="array" aca="1" ref="P374" ca="1">IF(B374="","",IFERROR(MAX(OFFSET(高値!$E$6,MATCH(TEXT(B374,"0"),TEXT(銘柄管理!$B$6:$B$305,"0"),0)-1,0,1,10)),""))</f>
        <v/>
      </c>
      <c r="Q374" s="118" t="str">
        <f ca="1">IF(B374="","",IFERROR(MIN(OFFSET(安値!$E$6,MATCH(B374,銘柄管理!$B$6:$B$305,0)-1,0,1,10)),""))</f>
        <v/>
      </c>
    </row>
    <row r="375" spans="10:17" ht="17.25">
      <c r="J375" s="118"/>
      <c r="P375" s="118" t="str" cm="1">
        <f t="array" aca="1" ref="P375" ca="1">IF(B375="","",IFERROR(MAX(OFFSET(高値!$E$6,MATCH(TEXT(B375,"0"),TEXT(銘柄管理!$B$6:$B$305,"0"),0)-1,0,1,10)),""))</f>
        <v/>
      </c>
      <c r="Q375" s="118" t="str">
        <f ca="1">IF(B375="","",IFERROR(MIN(OFFSET(安値!$E$6,MATCH(B375,銘柄管理!$B$6:$B$305,0)-1,0,1,10)),""))</f>
        <v/>
      </c>
    </row>
    <row r="376" spans="10:17" ht="17.25">
      <c r="J376" s="118"/>
      <c r="P376" s="118" t="str" cm="1">
        <f t="array" aca="1" ref="P376" ca="1">IF(B376="","",IFERROR(MAX(OFFSET(高値!$E$6,MATCH(TEXT(B376,"0"),TEXT(銘柄管理!$B$6:$B$305,"0"),0)-1,0,1,10)),""))</f>
        <v/>
      </c>
      <c r="Q376" s="118" t="str">
        <f ca="1">IF(B376="","",IFERROR(MIN(OFFSET(安値!$E$6,MATCH(B376,銘柄管理!$B$6:$B$305,0)-1,0,1,10)),""))</f>
        <v/>
      </c>
    </row>
    <row r="377" spans="10:17" ht="17.25">
      <c r="J377" s="118"/>
      <c r="P377" s="118" t="str" cm="1">
        <f t="array" aca="1" ref="P377" ca="1">IF(B377="","",IFERROR(MAX(OFFSET(高値!$E$6,MATCH(TEXT(B377,"0"),TEXT(銘柄管理!$B$6:$B$305,"0"),0)-1,0,1,10)),""))</f>
        <v/>
      </c>
      <c r="Q377" s="118" t="str">
        <f ca="1">IF(B377="","",IFERROR(MIN(OFFSET(安値!$E$6,MATCH(B377,銘柄管理!$B$6:$B$305,0)-1,0,1,10)),""))</f>
        <v/>
      </c>
    </row>
    <row r="378" spans="10:17" ht="17.25">
      <c r="J378" s="118"/>
      <c r="P378" s="118" t="str" cm="1">
        <f t="array" aca="1" ref="P378" ca="1">IF(B378="","",IFERROR(MAX(OFFSET(高値!$E$6,MATCH(TEXT(B378,"0"),TEXT(銘柄管理!$B$6:$B$305,"0"),0)-1,0,1,10)),""))</f>
        <v/>
      </c>
      <c r="Q378" s="118" t="str">
        <f ca="1">IF(B378="","",IFERROR(MIN(OFFSET(安値!$E$6,MATCH(B378,銘柄管理!$B$6:$B$305,0)-1,0,1,10)),""))</f>
        <v/>
      </c>
    </row>
    <row r="379" spans="10:17" ht="17.25">
      <c r="J379" s="118"/>
      <c r="P379" s="118" t="str" cm="1">
        <f t="array" aca="1" ref="P379" ca="1">IF(B379="","",IFERROR(MAX(OFFSET(高値!$E$6,MATCH(TEXT(B379,"0"),TEXT(銘柄管理!$B$6:$B$305,"0"),0)-1,0,1,10)),""))</f>
        <v/>
      </c>
      <c r="Q379" s="118" t="str">
        <f ca="1">IF(B379="","",IFERROR(MIN(OFFSET(安値!$E$6,MATCH(B379,銘柄管理!$B$6:$B$305,0)-1,0,1,10)),""))</f>
        <v/>
      </c>
    </row>
    <row r="380" spans="10:17" ht="17.25">
      <c r="J380" s="118"/>
      <c r="P380" s="118" t="str" cm="1">
        <f t="array" aca="1" ref="P380" ca="1">IF(B380="","",IFERROR(MAX(OFFSET(高値!$E$6,MATCH(TEXT(B380,"0"),TEXT(銘柄管理!$B$6:$B$305,"0"),0)-1,0,1,10)),""))</f>
        <v/>
      </c>
      <c r="Q380" s="118" t="str">
        <f ca="1">IF(B380="","",IFERROR(MIN(OFFSET(安値!$E$6,MATCH(B380,銘柄管理!$B$6:$B$305,0)-1,0,1,10)),""))</f>
        <v/>
      </c>
    </row>
    <row r="381" spans="10:17" ht="17.25">
      <c r="J381" s="118"/>
      <c r="P381" s="118" t="str" cm="1">
        <f t="array" aca="1" ref="P381" ca="1">IF(B381="","",IFERROR(MAX(OFFSET(高値!$E$6,MATCH(TEXT(B381,"0"),TEXT(銘柄管理!$B$6:$B$305,"0"),0)-1,0,1,10)),""))</f>
        <v/>
      </c>
      <c r="Q381" s="118" t="str">
        <f ca="1">IF(B381="","",IFERROR(MIN(OFFSET(安値!$E$6,MATCH(B381,銘柄管理!$B$6:$B$305,0)-1,0,1,10)),""))</f>
        <v/>
      </c>
    </row>
    <row r="382" spans="10:17" ht="17.25">
      <c r="J382" s="118"/>
      <c r="P382" s="118" t="str" cm="1">
        <f t="array" aca="1" ref="P382" ca="1">IF(B382="","",IFERROR(MAX(OFFSET(高値!$E$6,MATCH(TEXT(B382,"0"),TEXT(銘柄管理!$B$6:$B$305,"0"),0)-1,0,1,10)),""))</f>
        <v/>
      </c>
    </row>
    <row r="383" spans="10:17" ht="17.25">
      <c r="J383" s="118"/>
      <c r="P383" s="118" t="str" cm="1">
        <f t="array" aca="1" ref="P383" ca="1">IF(B383="","",IFERROR(MAX(OFFSET(高値!$E$6,MATCH(TEXT(B383,"0"),TEXT(銘柄管理!$B$6:$B$305,"0"),0)-1,0,1,10)),""))</f>
        <v/>
      </c>
    </row>
    <row r="384" spans="10:17" ht="17.25">
      <c r="J384" s="118"/>
      <c r="P384" s="118" t="str" cm="1">
        <f t="array" aca="1" ref="P384" ca="1">IF(B384="","",IFERROR(MAX(OFFSET(高値!$E$6,MATCH(TEXT(B384,"0"),TEXT(銘柄管理!$B$6:$B$305,"0"),0)-1,0,1,10)),""))</f>
        <v/>
      </c>
    </row>
    <row r="385" spans="10:16" ht="17.25">
      <c r="J385" s="118"/>
      <c r="P385" s="118" t="str" cm="1">
        <f t="array" aca="1" ref="P385" ca="1">IF(B385="","",IFERROR(MAX(OFFSET(高値!$E$6,MATCH(TEXT(B385,"0"),TEXT(銘柄管理!$B$6:$B$305,"0"),0)-1,0,1,10)),""))</f>
        <v/>
      </c>
    </row>
    <row r="386" spans="10:16" ht="17.25">
      <c r="J386" s="118"/>
      <c r="P386" s="118" t="str" cm="1">
        <f t="array" aca="1" ref="P386" ca="1">IF(B386="","",IFERROR(MAX(OFFSET(高値!$E$6,MATCH(TEXT(B386,"0"),TEXT(銘柄管理!$B$6:$B$305,"0"),0)-1,0,1,10)),""))</f>
        <v/>
      </c>
    </row>
    <row r="387" spans="10:16" ht="17.25">
      <c r="J387" s="118"/>
      <c r="P387" s="118" t="str" cm="1">
        <f t="array" aca="1" ref="P387" ca="1">IF(B387="","",IFERROR(MAX(OFFSET(高値!$E$6,MATCH(TEXT(B387,"0"),TEXT(銘柄管理!$B$6:$B$305,"0"),0)-1,0,1,10)),""))</f>
        <v/>
      </c>
    </row>
    <row r="388" spans="10:16" ht="17.25">
      <c r="J388" s="118"/>
      <c r="P388" s="118" t="str" cm="1">
        <f t="array" aca="1" ref="P388" ca="1">IF(B388="","",IFERROR(MAX(OFFSET(高値!$E$6,MATCH(TEXT(B388,"0"),TEXT(銘柄管理!$B$6:$B$305,"0"),0)-1,0,1,10)),""))</f>
        <v/>
      </c>
    </row>
    <row r="389" spans="10:16" ht="17.25">
      <c r="P389" s="118" t="str" cm="1">
        <f t="array" aca="1" ref="P389" ca="1">IF(B389="","",IFERROR(MAX(OFFSET(高値!$E$6,MATCH(TEXT(B389,"0"),TEXT(銘柄管理!$B$6:$B$305,"0"),0)-1,0,1,10)),""))</f>
        <v/>
      </c>
    </row>
    <row r="390" spans="10:16" ht="17.25">
      <c r="P390" s="118" t="str" cm="1">
        <f t="array" aca="1" ref="P390" ca="1">IF(B390="","",IFERROR(MAX(OFFSET(高値!$E$6,MATCH(TEXT(B390,"0"),TEXT(銘柄管理!$B$6:$B$305,"0"),0)-1,0,1,10)),""))</f>
        <v/>
      </c>
    </row>
    <row r="391" spans="10:16" ht="17.25">
      <c r="P391" s="118" t="str" cm="1">
        <f t="array" aca="1" ref="P391" ca="1">IF(B391="","",IFERROR(MAX(OFFSET(高値!$E$6,MATCH(TEXT(B391,"0"),TEXT(銘柄管理!$B$6:$B$305,"0"),0)-1,0,1,10)),""))</f>
        <v/>
      </c>
    </row>
    <row r="392" spans="10:16" ht="17.25">
      <c r="P392" s="118" t="str" cm="1">
        <f t="array" aca="1" ref="P392" ca="1">IF(B392="","",IFERROR(MAX(OFFSET(高値!$E$6,MATCH(TEXT(B392,"0"),TEXT(銘柄管理!$B$6:$B$305,"0"),0)-1,0,1,10)),""))</f>
        <v/>
      </c>
    </row>
    <row r="393" spans="10:16" ht="17.25">
      <c r="P393" s="118" t="str" cm="1">
        <f t="array" aca="1" ref="P393" ca="1">IF(B393="","",IFERROR(MAX(OFFSET(高値!$E$6,MATCH(TEXT(B393,"0"),TEXT(銘柄管理!$B$6:$B$305,"0"),0)-1,0,1,10)),""))</f>
        <v/>
      </c>
    </row>
    <row r="394" spans="10:16" ht="17.25">
      <c r="P394" s="118" t="str" cm="1">
        <f t="array" aca="1" ref="P394" ca="1">IF(B394="","",IFERROR(MAX(OFFSET(高値!$E$6,MATCH(TEXT(B394,"0"),TEXT(銘柄管理!$B$6:$B$305,"0"),0)-1,0,1,10)),""))</f>
        <v/>
      </c>
    </row>
    <row r="395" spans="10:16" ht="17.25">
      <c r="P395" s="118" t="str" cm="1">
        <f t="array" aca="1" ref="P395" ca="1">IF(B395="","",IFERROR(MAX(OFFSET(高値!$E$6,MATCH(TEXT(B395,"0"),TEXT(銘柄管理!$B$6:$B$305,"0"),0)-1,0,1,10)),""))</f>
        <v/>
      </c>
    </row>
    <row r="396" spans="10:16" ht="17.25">
      <c r="P396" s="118" t="str" cm="1">
        <f t="array" aca="1" ref="P396" ca="1">IF(B396="","",IFERROR(MAX(OFFSET(高値!$E$6,MATCH(TEXT(B396,"0"),TEXT(銘柄管理!$B$6:$B$305,"0"),0)-1,0,1,10)),""))</f>
        <v/>
      </c>
    </row>
    <row r="397" spans="10:16" ht="17.25">
      <c r="P397" s="118" t="str" cm="1">
        <f t="array" aca="1" ref="P397" ca="1">IF(B397="","",IFERROR(MAX(OFFSET(高値!$E$6,MATCH(TEXT(B397,"0"),TEXT(銘柄管理!$B$6:$B$305,"0"),0)-1,0,1,10)),""))</f>
        <v/>
      </c>
    </row>
    <row r="398" spans="10:16" ht="17.25">
      <c r="P398" s="118" t="str" cm="1">
        <f t="array" aca="1" ref="P398" ca="1">IF(B398="","",IFERROR(MAX(OFFSET(高値!$E$6,MATCH(TEXT(B398,"0"),TEXT(銘柄管理!$B$6:$B$305,"0"),0)-1,0,1,10)),""))</f>
        <v/>
      </c>
    </row>
    <row r="399" spans="10:16" ht="17.25">
      <c r="P399" s="118" t="str" cm="1">
        <f t="array" aca="1" ref="P399" ca="1">IF(B399="","",IFERROR(MAX(OFFSET(高値!$E$6,MATCH(TEXT(B399,"0"),TEXT(銘柄管理!$B$6:$B$305,"0"),0)-1,0,1,10)),""))</f>
        <v/>
      </c>
    </row>
    <row r="400" spans="10:16" ht="17.25">
      <c r="P400" s="118" t="str" cm="1">
        <f t="array" aca="1" ref="P400" ca="1">IF(B400="","",IFERROR(MAX(OFFSET(高値!$E$6,MATCH(TEXT(B400,"0"),TEXT(銘柄管理!$B$6:$B$305,"0"),0)-1,0,1,10)),""))</f>
        <v/>
      </c>
    </row>
    <row r="401" spans="16:16" ht="17.25">
      <c r="P401" s="118" t="str" cm="1">
        <f t="array" aca="1" ref="P401" ca="1">IF(B401="","",IFERROR(MAX(OFFSET(高値!$E$6,MATCH(TEXT(B401,"0"),TEXT(銘柄管理!$B$6:$B$305,"0"),0)-1,0,1,10)),""))</f>
        <v/>
      </c>
    </row>
    <row r="402" spans="16:16" ht="17.25">
      <c r="P402" s="118" t="str" cm="1">
        <f t="array" aca="1" ref="P402" ca="1">IF(B402="","",IFERROR(MAX(OFFSET(高値!$E$6,MATCH(TEXT(B402,"0"),TEXT(銘柄管理!$B$6:$B$305,"0"),0)-1,0,1,10)),""))</f>
        <v/>
      </c>
    </row>
    <row r="403" spans="16:16" ht="17.25">
      <c r="P403" s="118" t="str" cm="1">
        <f t="array" aca="1" ref="P403" ca="1">IF(B403="","",IFERROR(MAX(OFFSET(高値!$E$6,MATCH(TEXT(B403,"0"),TEXT(銘柄管理!$B$6:$B$305,"0"),0)-1,0,1,10)),""))</f>
        <v/>
      </c>
    </row>
    <row r="404" spans="16:16" ht="17.25">
      <c r="P404" s="118" t="str" cm="1">
        <f t="array" aca="1" ref="P404" ca="1">IF(B404="","",IFERROR(MAX(OFFSET(高値!$E$6,MATCH(TEXT(B404,"0"),TEXT(銘柄管理!$B$6:$B$305,"0"),0)-1,0,1,10)),""))</f>
        <v/>
      </c>
    </row>
    <row r="405" spans="16:16" ht="17.25">
      <c r="P405" s="118" t="str" cm="1">
        <f t="array" aca="1" ref="P405" ca="1">IF(B405="","",IFERROR(MAX(OFFSET(高値!$E$6,MATCH(TEXT(B405,"0"),TEXT(銘柄管理!$B$6:$B$305,"0"),0)-1,0,1,10)),""))</f>
        <v/>
      </c>
    </row>
    <row r="406" spans="16:16" ht="17.25">
      <c r="P406" s="118" t="str" cm="1">
        <f t="array" aca="1" ref="P406" ca="1">IF(B406="","",IFERROR(MAX(OFFSET(高値!$E$6,MATCH(TEXT(B406,"0"),TEXT(銘柄管理!$B$6:$B$305,"0"),0)-1,0,1,10)),""))</f>
        <v/>
      </c>
    </row>
    <row r="407" spans="16:16" ht="17.25">
      <c r="P407" s="118" t="str" cm="1">
        <f t="array" aca="1" ref="P407" ca="1">IF(B407="","",IFERROR(MAX(OFFSET(高値!$E$6,MATCH(TEXT(B407,"0"),TEXT(銘柄管理!$B$6:$B$305,"0"),0)-1,0,1,10)),""))</f>
        <v/>
      </c>
    </row>
    <row r="408" spans="16:16" ht="17.25">
      <c r="P408" s="118" t="str" cm="1">
        <f t="array" aca="1" ref="P408" ca="1">IF(B408="","",IFERROR(MAX(OFFSET(高値!$E$6,MATCH(TEXT(B408,"0"),TEXT(銘柄管理!$B$6:$B$305,"0"),0)-1,0,1,10)),""))</f>
        <v/>
      </c>
    </row>
    <row r="409" spans="16:16" ht="17.25">
      <c r="P409" s="118" t="str" cm="1">
        <f t="array" aca="1" ref="P409" ca="1">IF(B409="","",IFERROR(MAX(OFFSET(高値!$E$6,MATCH(TEXT(B409,"0"),TEXT(銘柄管理!$B$6:$B$305,"0"),0)-1,0,1,10)),""))</f>
        <v/>
      </c>
    </row>
    <row r="410" spans="16:16" ht="17.25">
      <c r="P410" s="118" t="str" cm="1">
        <f t="array" aca="1" ref="P410" ca="1">IF(B410="","",IFERROR(MAX(OFFSET(高値!$E$6,MATCH(TEXT(B410,"0"),TEXT(銘柄管理!$B$6:$B$305,"0"),0)-1,0,1,10)),""))</f>
        <v/>
      </c>
    </row>
    <row r="411" spans="16:16" ht="17.25">
      <c r="P411" s="118" t="str" cm="1">
        <f t="array" aca="1" ref="P411" ca="1">IF(B411="","",IFERROR(MAX(OFFSET(高値!$E$6,MATCH(TEXT(B411,"0"),TEXT(銘柄管理!$B$6:$B$305,"0"),0)-1,0,1,10)),""))</f>
        <v/>
      </c>
    </row>
    <row r="412" spans="16:16" ht="17.25">
      <c r="P412" s="118" t="str" cm="1">
        <f t="array" aca="1" ref="P412" ca="1">IF(B412="","",IFERROR(MAX(OFFSET(高値!$E$6,MATCH(TEXT(B412,"0"),TEXT(銘柄管理!$B$6:$B$305,"0"),0)-1,0,1,10)),""))</f>
        <v/>
      </c>
    </row>
    <row r="413" spans="16:16" ht="17.25">
      <c r="P413" s="118" t="str" cm="1">
        <f t="array" aca="1" ref="P413" ca="1">IF(B413="","",IFERROR(MAX(OFFSET(高値!$E$6,MATCH(TEXT(B413,"0"),TEXT(銘柄管理!$B$6:$B$305,"0"),0)-1,0,1,10)),""))</f>
        <v/>
      </c>
    </row>
    <row r="414" spans="16:16" ht="17.25">
      <c r="P414" s="118" t="str" cm="1">
        <f t="array" aca="1" ref="P414" ca="1">IF(B414="","",IFERROR(MAX(OFFSET(高値!$E$6,MATCH(TEXT(B414,"0"),TEXT(銘柄管理!$B$6:$B$305,"0"),0)-1,0,1,10)),""))</f>
        <v/>
      </c>
    </row>
    <row r="415" spans="16:16" ht="17.25">
      <c r="P415" s="118" t="str" cm="1">
        <f t="array" aca="1" ref="P415" ca="1">IF(B415="","",IFERROR(MAX(OFFSET(高値!$E$6,MATCH(TEXT(B415,"0"),TEXT(銘柄管理!$B$6:$B$305,"0"),0)-1,0,1,10)),""))</f>
        <v/>
      </c>
    </row>
    <row r="416" spans="16:16" ht="17.25">
      <c r="P416" s="118" t="str" cm="1">
        <f t="array" aca="1" ref="P416" ca="1">IF(B416="","",IFERROR(MAX(OFFSET(高値!$E$6,MATCH(TEXT(B416,"0"),TEXT(銘柄管理!$B$6:$B$305,"0"),0)-1,0,1,10)),""))</f>
        <v/>
      </c>
    </row>
    <row r="417" spans="16:16" ht="17.25">
      <c r="P417" s="118" t="str" cm="1">
        <f t="array" aca="1" ref="P417" ca="1">IF(B417="","",IFERROR(MAX(OFFSET(高値!$E$6,MATCH(TEXT(B417,"0"),TEXT(銘柄管理!$B$6:$B$305,"0"),0)-1,0,1,10)),""))</f>
        <v/>
      </c>
    </row>
    <row r="418" spans="16:16" ht="17.25">
      <c r="P418" s="118" t="str" cm="1">
        <f t="array" aca="1" ref="P418" ca="1">IF(B418="","",IFERROR(MAX(OFFSET(高値!$E$6,MATCH(TEXT(B418,"0"),TEXT(銘柄管理!$B$6:$B$305,"0"),0)-1,0,1,10)),""))</f>
        <v/>
      </c>
    </row>
    <row r="419" spans="16:16" ht="17.25">
      <c r="P419" s="118" t="str" cm="1">
        <f t="array" aca="1" ref="P419" ca="1">IF(B419="","",IFERROR(MAX(OFFSET(高値!$E$6,MATCH(TEXT(B419,"0"),TEXT(銘柄管理!$B$6:$B$305,"0"),0)-1,0,1,10)),""))</f>
        <v/>
      </c>
    </row>
    <row r="420" spans="16:16" ht="17.25">
      <c r="P420" s="118" t="str" cm="1">
        <f t="array" aca="1" ref="P420" ca="1">IF(B420="","",IFERROR(MAX(OFFSET(高値!$E$6,MATCH(TEXT(B420,"0"),TEXT(銘柄管理!$B$6:$B$305,"0"),0)-1,0,1,10)),""))</f>
        <v/>
      </c>
    </row>
    <row r="421" spans="16:16" ht="17.25">
      <c r="P421" s="118" t="str" cm="1">
        <f t="array" aca="1" ref="P421" ca="1">IF(B421="","",IFERROR(MAX(OFFSET(高値!$E$6,MATCH(TEXT(B421,"0"),TEXT(銘柄管理!$B$6:$B$305,"0"),0)-1,0,1,10)),""))</f>
        <v/>
      </c>
    </row>
    <row r="422" spans="16:16" ht="17.25">
      <c r="P422" s="118" t="str" cm="1">
        <f t="array" aca="1" ref="P422" ca="1">IF(B422="","",IFERROR(MAX(OFFSET(高値!$E$6,MATCH(TEXT(B422,"0"),TEXT(銘柄管理!$B$6:$B$305,"0"),0)-1,0,1,10)),""))</f>
        <v/>
      </c>
    </row>
    <row r="423" spans="16:16" ht="17.25">
      <c r="P423" s="118" t="str" cm="1">
        <f t="array" aca="1" ref="P423" ca="1">IF(B423="","",IFERROR(MAX(OFFSET(高値!$E$6,MATCH(TEXT(B423,"0"),TEXT(銘柄管理!$B$6:$B$305,"0"),0)-1,0,1,10)),""))</f>
        <v/>
      </c>
    </row>
    <row r="424" spans="16:16" ht="17.25">
      <c r="P424" s="118" t="str" cm="1">
        <f t="array" aca="1" ref="P424" ca="1">IF(B424="","",IFERROR(MAX(OFFSET(高値!$E$6,MATCH(TEXT(B424,"0"),TEXT(銘柄管理!$B$6:$B$305,"0"),0)-1,0,1,10)),""))</f>
        <v/>
      </c>
    </row>
    <row r="425" spans="16:16" ht="17.25">
      <c r="P425" s="118" t="str" cm="1">
        <f t="array" aca="1" ref="P425" ca="1">IF(B425="","",IFERROR(MAX(OFFSET(高値!$E$6,MATCH(TEXT(B425,"0"),TEXT(銘柄管理!$B$6:$B$305,"0"),0)-1,0,1,10)),""))</f>
        <v/>
      </c>
    </row>
    <row r="426" spans="16:16" ht="17.25">
      <c r="P426" s="118" t="str" cm="1">
        <f t="array" aca="1" ref="P426" ca="1">IF(B426="","",IFERROR(MAX(OFFSET(高値!$E$6,MATCH(TEXT(B426,"0"),TEXT(銘柄管理!$B$6:$B$305,"0"),0)-1,0,1,10)),""))</f>
        <v/>
      </c>
    </row>
    <row r="427" spans="16:16" ht="17.25">
      <c r="P427" s="118" t="str" cm="1">
        <f t="array" aca="1" ref="P427" ca="1">IF(B427="","",IFERROR(MAX(OFFSET(高値!$E$6,MATCH(TEXT(B427,"0"),TEXT(銘柄管理!$B$6:$B$305,"0"),0)-1,0,1,10)),""))</f>
        <v/>
      </c>
    </row>
    <row r="428" spans="16:16" ht="17.25">
      <c r="P428" s="118" t="str" cm="1">
        <f t="array" aca="1" ref="P428" ca="1">IF(B428="","",IFERROR(MAX(OFFSET(高値!$E$6,MATCH(TEXT(B428,"0"),TEXT(銘柄管理!$B$6:$B$305,"0"),0)-1,0,1,10)),""))</f>
        <v/>
      </c>
    </row>
    <row r="429" spans="16:16" ht="17.25">
      <c r="P429" s="118" t="str" cm="1">
        <f t="array" aca="1" ref="P429" ca="1">IF(B429="","",IFERROR(MAX(OFFSET(高値!$E$6,MATCH(TEXT(B429,"0"),TEXT(銘柄管理!$B$6:$B$305,"0"),0)-1,0,1,10)),""))</f>
        <v/>
      </c>
    </row>
    <row r="430" spans="16:16" ht="17.25">
      <c r="P430" s="118" t="str" cm="1">
        <f t="array" aca="1" ref="P430" ca="1">IF(B430="","",IFERROR(MAX(OFFSET(高値!$E$6,MATCH(TEXT(B430,"0"),TEXT(銘柄管理!$B$6:$B$305,"0"),0)-1,0,1,10)),""))</f>
        <v/>
      </c>
    </row>
    <row r="431" spans="16:16" ht="17.25">
      <c r="P431" s="118" t="str" cm="1">
        <f t="array" aca="1" ref="P431" ca="1">IF(B431="","",IFERROR(MAX(OFFSET(高値!$E$6,MATCH(TEXT(B431,"0"),TEXT(銘柄管理!$B$6:$B$305,"0"),0)-1,0,1,10)),""))</f>
        <v/>
      </c>
    </row>
    <row r="432" spans="16:16" ht="17.25">
      <c r="P432" s="118" t="str" cm="1">
        <f t="array" aca="1" ref="P432" ca="1">IF(B432="","",IFERROR(MAX(OFFSET(高値!$E$6,MATCH(TEXT(B432,"0"),TEXT(銘柄管理!$B$6:$B$305,"0"),0)-1,0,1,10)),""))</f>
        <v/>
      </c>
    </row>
    <row r="433" spans="16:16" ht="17.25">
      <c r="P433" s="118" t="str" cm="1">
        <f t="array" aca="1" ref="P433" ca="1">IF(B433="","",IFERROR(MAX(OFFSET(高値!$E$6,MATCH(TEXT(B433,"0"),TEXT(銘柄管理!$B$6:$B$305,"0"),0)-1,0,1,10)),""))</f>
        <v/>
      </c>
    </row>
    <row r="434" spans="16:16" ht="17.25">
      <c r="P434" s="118" t="str" cm="1">
        <f t="array" aca="1" ref="P434" ca="1">IF(B434="","",IFERROR(MAX(OFFSET(高値!$E$6,MATCH(TEXT(B434,"0"),TEXT(銘柄管理!$B$6:$B$305,"0"),0)-1,0,1,10)),""))</f>
        <v/>
      </c>
    </row>
    <row r="435" spans="16:16" ht="17.25">
      <c r="P435" s="118" t="str" cm="1">
        <f t="array" aca="1" ref="P435" ca="1">IF(B435="","",IFERROR(MAX(OFFSET(高値!$E$6,MATCH(TEXT(B435,"0"),TEXT(銘柄管理!$B$6:$B$305,"0"),0)-1,0,1,10)),""))</f>
        <v/>
      </c>
    </row>
    <row r="436" spans="16:16" ht="17.25">
      <c r="P436" s="118" t="str" cm="1">
        <f t="array" aca="1" ref="P436" ca="1">IF(B436="","",IFERROR(MAX(OFFSET(高値!$E$6,MATCH(TEXT(B436,"0"),TEXT(銘柄管理!$B$6:$B$305,"0"),0)-1,0,1,10)),""))</f>
        <v/>
      </c>
    </row>
    <row r="437" spans="16:16" ht="17.25">
      <c r="P437" s="118" t="str" cm="1">
        <f t="array" aca="1" ref="P437" ca="1">IF(B437="","",IFERROR(MAX(OFFSET(高値!$E$6,MATCH(TEXT(B437,"0"),TEXT(銘柄管理!$B$6:$B$305,"0"),0)-1,0,1,10)),""))</f>
        <v/>
      </c>
    </row>
    <row r="438" spans="16:16" ht="17.25">
      <c r="P438" s="118" t="str" cm="1">
        <f t="array" aca="1" ref="P438" ca="1">IF(B438="","",IFERROR(MAX(OFFSET(高値!$E$6,MATCH(TEXT(B438,"0"),TEXT(銘柄管理!$B$6:$B$305,"0"),0)-1,0,1,10)),""))</f>
        <v/>
      </c>
    </row>
    <row r="439" spans="16:16" ht="17.25">
      <c r="P439" s="118" t="str" cm="1">
        <f t="array" aca="1" ref="P439" ca="1">IF(B439="","",IFERROR(MAX(OFFSET(高値!$E$6,MATCH(TEXT(B439,"0"),TEXT(銘柄管理!$B$6:$B$305,"0"),0)-1,0,1,10)),""))</f>
        <v/>
      </c>
    </row>
    <row r="440" spans="16:16" ht="17.25">
      <c r="P440" s="118" t="str" cm="1">
        <f t="array" aca="1" ref="P440" ca="1">IF(B440="","",IFERROR(MAX(OFFSET(高値!$E$6,MATCH(TEXT(B440,"0"),TEXT(銘柄管理!$B$6:$B$305,"0"),0)-1,0,1,10)),""))</f>
        <v/>
      </c>
    </row>
    <row r="441" spans="16:16" ht="17.25">
      <c r="P441" s="118" t="str" cm="1">
        <f t="array" aca="1" ref="P441" ca="1">IF(B441="","",IFERROR(MAX(OFFSET(高値!$E$6,MATCH(TEXT(B441,"0"),TEXT(銘柄管理!$B$6:$B$305,"0"),0)-1,0,1,10)),""))</f>
        <v/>
      </c>
    </row>
    <row r="442" spans="16:16" ht="17.25">
      <c r="P442" s="118" t="str" cm="1">
        <f t="array" aca="1" ref="P442" ca="1">IF(B442="","",IFERROR(MAX(OFFSET(高値!$E$6,MATCH(TEXT(B442,"0"),TEXT(銘柄管理!$B$6:$B$305,"0"),0)-1,0,1,10)),""))</f>
        <v/>
      </c>
    </row>
    <row r="443" spans="16:16" ht="17.25">
      <c r="P443" s="118" t="str" cm="1">
        <f t="array" aca="1" ref="P443" ca="1">IF(B443="","",IFERROR(MAX(OFFSET(高値!$E$6,MATCH(TEXT(B443,"0"),TEXT(銘柄管理!$B$6:$B$305,"0"),0)-1,0,1,10)),""))</f>
        <v/>
      </c>
    </row>
    <row r="444" spans="16:16" ht="17.25">
      <c r="P444" s="118" t="str" cm="1">
        <f t="array" aca="1" ref="P444" ca="1">IF(B444="","",IFERROR(MAX(OFFSET(高値!$E$6,MATCH(TEXT(B444,"0"),TEXT(銘柄管理!$B$6:$B$305,"0"),0)-1,0,1,10)),""))</f>
        <v/>
      </c>
    </row>
    <row r="445" spans="16:16" ht="17.25">
      <c r="P445" s="118" t="str" cm="1">
        <f t="array" aca="1" ref="P445" ca="1">IF(B445="","",IFERROR(MAX(OFFSET(高値!$E$6,MATCH(TEXT(B445,"0"),TEXT(銘柄管理!$B$6:$B$305,"0"),0)-1,0,1,10)),""))</f>
        <v/>
      </c>
    </row>
    <row r="446" spans="16:16" ht="17.25">
      <c r="P446" s="118" t="str" cm="1">
        <f t="array" aca="1" ref="P446" ca="1">IF(B446="","",IFERROR(MAX(OFFSET(高値!$E$6,MATCH(TEXT(B446,"0"),TEXT(銘柄管理!$B$6:$B$305,"0"),0)-1,0,1,10)),""))</f>
        <v/>
      </c>
    </row>
    <row r="447" spans="16:16" ht="17.25">
      <c r="P447" s="118" t="str" cm="1">
        <f t="array" aca="1" ref="P447" ca="1">IF(B447="","",IFERROR(MAX(OFFSET(高値!$E$6,MATCH(TEXT(B447,"0"),TEXT(銘柄管理!$B$6:$B$305,"0"),0)-1,0,1,10)),""))</f>
        <v/>
      </c>
    </row>
    <row r="448" spans="16:16" ht="17.25">
      <c r="P448" s="118" t="str" cm="1">
        <f t="array" aca="1" ref="P448" ca="1">IF(B448="","",IFERROR(MAX(OFFSET(高値!$E$6,MATCH(TEXT(B448,"0"),TEXT(銘柄管理!$B$6:$B$305,"0"),0)-1,0,1,10)),""))</f>
        <v/>
      </c>
    </row>
    <row r="449" spans="16:16" ht="17.25">
      <c r="P449" s="118" t="str" cm="1">
        <f t="array" aca="1" ref="P449" ca="1">IF(B449="","",IFERROR(MAX(OFFSET(高値!$E$6,MATCH(TEXT(B449,"0"),TEXT(銘柄管理!$B$6:$B$305,"0"),0)-1,0,1,10)),""))</f>
        <v/>
      </c>
    </row>
    <row r="450" spans="16:16" ht="17.25">
      <c r="P450" s="118" t="str" cm="1">
        <f t="array" aca="1" ref="P450" ca="1">IF(B450="","",IFERROR(MAX(OFFSET(高値!$E$6,MATCH(TEXT(B450,"0"),TEXT(銘柄管理!$B$6:$B$305,"0"),0)-1,0,1,10)),""))</f>
        <v/>
      </c>
    </row>
    <row r="451" spans="16:16" ht="17.25">
      <c r="P451" s="118" t="str" cm="1">
        <f t="array" aca="1" ref="P451" ca="1">IF(B451="","",IFERROR(MAX(OFFSET(高値!$E$6,MATCH(TEXT(B451,"0"),TEXT(銘柄管理!$B$6:$B$305,"0"),0)-1,0,1,10)),""))</f>
        <v/>
      </c>
    </row>
    <row r="452" spans="16:16" ht="17.25">
      <c r="P452" s="118" t="str" cm="1">
        <f t="array" aca="1" ref="P452" ca="1">IF(B452="","",IFERROR(MAX(OFFSET(高値!$E$6,MATCH(TEXT(B452,"0"),TEXT(銘柄管理!$B$6:$B$305,"0"),0)-1,0,1,10)),""))</f>
        <v/>
      </c>
    </row>
    <row r="453" spans="16:16" ht="17.25">
      <c r="P453" s="118" t="str" cm="1">
        <f t="array" aca="1" ref="P453" ca="1">IF(B453="","",IFERROR(MAX(OFFSET(高値!$E$6,MATCH(TEXT(B453,"0"),TEXT(銘柄管理!$B$6:$B$305,"0"),0)-1,0,1,10)),""))</f>
        <v/>
      </c>
    </row>
    <row r="454" spans="16:16" ht="17.25">
      <c r="P454" s="118" t="str" cm="1">
        <f t="array" aca="1" ref="P454" ca="1">IF(B454="","",IFERROR(MAX(OFFSET(高値!$E$6,MATCH(TEXT(B454,"0"),TEXT(銘柄管理!$B$6:$B$305,"0"),0)-1,0,1,10)),""))</f>
        <v/>
      </c>
    </row>
    <row r="455" spans="16:16" ht="17.25">
      <c r="P455" s="118" t="str" cm="1">
        <f t="array" aca="1" ref="P455" ca="1">IF(B455="","",IFERROR(MAX(OFFSET(高値!$E$6,MATCH(TEXT(B455,"0"),TEXT(銘柄管理!$B$6:$B$305,"0"),0)-1,0,1,10)),""))</f>
        <v/>
      </c>
    </row>
    <row r="456" spans="16:16" ht="17.25">
      <c r="P456" s="118" t="str" cm="1">
        <f t="array" aca="1" ref="P456" ca="1">IF(B456="","",IFERROR(MAX(OFFSET(高値!$E$6,MATCH(TEXT(B456,"0"),TEXT(銘柄管理!$B$6:$B$305,"0"),0)-1,0,1,10)),""))</f>
        <v/>
      </c>
    </row>
    <row r="457" spans="16:16" ht="17.25">
      <c r="P457" s="118" t="str" cm="1">
        <f t="array" aca="1" ref="P457" ca="1">IF(B457="","",IFERROR(MAX(OFFSET(高値!$E$6,MATCH(TEXT(B457,"0"),TEXT(銘柄管理!$B$6:$B$305,"0"),0)-1,0,1,10)),""))</f>
        <v/>
      </c>
    </row>
    <row r="458" spans="16:16" ht="17.25">
      <c r="P458" s="118" t="str" cm="1">
        <f t="array" aca="1" ref="P458" ca="1">IF(B458="","",IFERROR(MAX(OFFSET(高値!$E$6,MATCH(TEXT(B458,"0"),TEXT(銘柄管理!$B$6:$B$305,"0"),0)-1,0,1,10)),""))</f>
        <v/>
      </c>
    </row>
    <row r="459" spans="16:16" ht="17.25">
      <c r="P459" s="118" t="str" cm="1">
        <f t="array" aca="1" ref="P459" ca="1">IF(B459="","",IFERROR(MAX(OFFSET(高値!$E$6,MATCH(TEXT(B459,"0"),TEXT(銘柄管理!$B$6:$B$305,"0"),0)-1,0,1,10)),""))</f>
        <v/>
      </c>
    </row>
    <row r="460" spans="16:16" ht="17.25">
      <c r="P460" s="118" t="str" cm="1">
        <f t="array" aca="1" ref="P460" ca="1">IF(B460="","",IFERROR(MAX(OFFSET(高値!$E$6,MATCH(TEXT(B460,"0"),TEXT(銘柄管理!$B$6:$B$305,"0"),0)-1,0,1,10)),""))</f>
        <v/>
      </c>
    </row>
    <row r="461" spans="16:16" ht="17.25">
      <c r="P461" s="118" t="str" cm="1">
        <f t="array" aca="1" ref="P461" ca="1">IF(B461="","",IFERROR(MAX(OFFSET(高値!$E$6,MATCH(TEXT(B461,"0"),TEXT(銘柄管理!$B$6:$B$305,"0"),0)-1,0,1,10)),""))</f>
        <v/>
      </c>
    </row>
    <row r="462" spans="16:16" ht="17.25">
      <c r="P462" s="118" t="str" cm="1">
        <f t="array" aca="1" ref="P462" ca="1">IF(B462="","",IFERROR(MAX(OFFSET(高値!$E$6,MATCH(TEXT(B462,"0"),TEXT(銘柄管理!$B$6:$B$305,"0"),0)-1,0,1,10)),""))</f>
        <v/>
      </c>
    </row>
    <row r="463" spans="16:16" ht="17.25">
      <c r="P463" s="118" t="str" cm="1">
        <f t="array" aca="1" ref="P463" ca="1">IF(B463="","",IFERROR(MAX(OFFSET(高値!$E$6,MATCH(TEXT(B463,"0"),TEXT(銘柄管理!$B$6:$B$305,"0"),0)-1,0,1,10)),""))</f>
        <v/>
      </c>
    </row>
    <row r="464" spans="16:16" ht="17.25">
      <c r="P464" s="118" t="str" cm="1">
        <f t="array" aca="1" ref="P464" ca="1">IF(B464="","",IFERROR(MAX(OFFSET(高値!$E$6,MATCH(TEXT(B464,"0"),TEXT(銘柄管理!$B$6:$B$305,"0"),0)-1,0,1,10)),""))</f>
        <v/>
      </c>
    </row>
    <row r="465" spans="16:16" ht="17.25">
      <c r="P465" s="118" t="str" cm="1">
        <f t="array" aca="1" ref="P465" ca="1">IF(B465="","",IFERROR(MAX(OFFSET(高値!$E$6,MATCH(TEXT(B465,"0"),TEXT(銘柄管理!$B$6:$B$305,"0"),0)-1,0,1,10)),""))</f>
        <v/>
      </c>
    </row>
    <row r="466" spans="16:16" ht="17.25">
      <c r="P466" s="118" t="str" cm="1">
        <f t="array" aca="1" ref="P466" ca="1">IF(B466="","",IFERROR(MAX(OFFSET(高値!$E$6,MATCH(TEXT(B466,"0"),TEXT(銘柄管理!$B$6:$B$305,"0"),0)-1,0,1,10)),""))</f>
        <v/>
      </c>
    </row>
    <row r="467" spans="16:16" ht="17.25">
      <c r="P467" s="118" t="str" cm="1">
        <f t="array" aca="1" ref="P467" ca="1">IF(B467="","",IFERROR(MAX(OFFSET(高値!$E$6,MATCH(TEXT(B467,"0"),TEXT(銘柄管理!$B$6:$B$305,"0"),0)-1,0,1,10)),""))</f>
        <v/>
      </c>
    </row>
    <row r="468" spans="16:16" ht="17.25">
      <c r="P468" s="118" t="str" cm="1">
        <f t="array" aca="1" ref="P468" ca="1">IF(B468="","",IFERROR(MAX(OFFSET(高値!$E$6,MATCH(TEXT(B468,"0"),TEXT(銘柄管理!$B$6:$B$305,"0"),0)-1,0,1,10)),""))</f>
        <v/>
      </c>
    </row>
    <row r="469" spans="16:16" ht="17.25">
      <c r="P469" s="118" t="str" cm="1">
        <f t="array" aca="1" ref="P469" ca="1">IF(B469="","",IFERROR(MAX(OFFSET(高値!$E$6,MATCH(TEXT(B469,"0"),TEXT(銘柄管理!$B$6:$B$305,"0"),0)-1,0,1,10)),""))</f>
        <v/>
      </c>
    </row>
    <row r="470" spans="16:16" ht="17.25">
      <c r="P470" s="118" t="str" cm="1">
        <f t="array" aca="1" ref="P470" ca="1">IF(B470="","",IFERROR(MAX(OFFSET(高値!$E$6,MATCH(TEXT(B470,"0"),TEXT(銘柄管理!$B$6:$B$305,"0"),0)-1,0,1,10)),""))</f>
        <v/>
      </c>
    </row>
    <row r="471" spans="16:16" ht="17.25">
      <c r="P471" s="118" t="str" cm="1">
        <f t="array" aca="1" ref="P471" ca="1">IF(B471="","",IFERROR(MAX(OFFSET(高値!$E$6,MATCH(TEXT(B471,"0"),TEXT(銘柄管理!$B$6:$B$305,"0"),0)-1,0,1,10)),""))</f>
        <v/>
      </c>
    </row>
    <row r="472" spans="16:16" ht="17.25">
      <c r="P472" s="118" t="str" cm="1">
        <f t="array" aca="1" ref="P472" ca="1">IF(B472="","",IFERROR(MAX(OFFSET(高値!$E$6,MATCH(TEXT(B472,"0"),TEXT(銘柄管理!$B$6:$B$305,"0"),0)-1,0,1,10)),""))</f>
        <v/>
      </c>
    </row>
    <row r="473" spans="16:16" ht="17.25">
      <c r="P473" s="118" t="str" cm="1">
        <f t="array" aca="1" ref="P473" ca="1">IF(B473="","",IFERROR(MAX(OFFSET(高値!$E$6,MATCH(TEXT(B473,"0"),TEXT(銘柄管理!$B$6:$B$305,"0"),0)-1,0,1,10)),""))</f>
        <v/>
      </c>
    </row>
    <row r="474" spans="16:16" ht="17.25">
      <c r="P474" s="118" t="str" cm="1">
        <f t="array" aca="1" ref="P474" ca="1">IF(B474="","",IFERROR(MAX(OFFSET(高値!$E$6,MATCH(TEXT(B474,"0"),TEXT(銘柄管理!$B$6:$B$305,"0"),0)-1,0,1,10)),""))</f>
        <v/>
      </c>
    </row>
    <row r="475" spans="16:16" ht="17.25">
      <c r="P475" s="118" t="str" cm="1">
        <f t="array" aca="1" ref="P475" ca="1">IF(B475="","",IFERROR(MAX(OFFSET(高値!$E$6,MATCH(TEXT(B475,"0"),TEXT(銘柄管理!$B$6:$B$305,"0"),0)-1,0,1,10)),""))</f>
        <v/>
      </c>
    </row>
    <row r="476" spans="16:16" ht="17.25">
      <c r="P476" s="118" t="str" cm="1">
        <f t="array" aca="1" ref="P476" ca="1">IF(B476="","",IFERROR(MAX(OFFSET(高値!$E$6,MATCH(TEXT(B476,"0"),TEXT(銘柄管理!$B$6:$B$305,"0"),0)-1,0,1,10)),""))</f>
        <v/>
      </c>
    </row>
    <row r="477" spans="16:16" ht="17.25">
      <c r="P477" s="118" t="str" cm="1">
        <f t="array" aca="1" ref="P477" ca="1">IF(B477="","",IFERROR(MAX(OFFSET(高値!$E$6,MATCH(TEXT(B477,"0"),TEXT(銘柄管理!$B$6:$B$305,"0"),0)-1,0,1,10)),""))</f>
        <v/>
      </c>
    </row>
    <row r="478" spans="16:16" ht="17.25">
      <c r="P478" s="118" t="str" cm="1">
        <f t="array" aca="1" ref="P478" ca="1">IF(B478="","",IFERROR(MAX(OFFSET(高値!$E$6,MATCH(TEXT(B478,"0"),TEXT(銘柄管理!$B$6:$B$305,"0"),0)-1,0,1,10)),""))</f>
        <v/>
      </c>
    </row>
    <row r="479" spans="16:16" ht="17.25">
      <c r="P479" s="118" t="str" cm="1">
        <f t="array" aca="1" ref="P479" ca="1">IF(B479="","",IFERROR(MAX(OFFSET(高値!$E$6,MATCH(TEXT(B479,"0"),TEXT(銘柄管理!$B$6:$B$305,"0"),0)-1,0,1,10)),""))</f>
        <v/>
      </c>
    </row>
    <row r="480" spans="16:16" ht="17.25">
      <c r="P480" s="118" t="str" cm="1">
        <f t="array" aca="1" ref="P480" ca="1">IF(B480="","",IFERROR(MAX(OFFSET(高値!$E$6,MATCH(TEXT(B480,"0"),TEXT(銘柄管理!$B$6:$B$305,"0"),0)-1,0,1,10)),""))</f>
        <v/>
      </c>
    </row>
    <row r="481" spans="16:16" ht="17.25">
      <c r="P481" s="118" t="str" cm="1">
        <f t="array" aca="1" ref="P481" ca="1">IF(B481="","",IFERROR(MAX(OFFSET(高値!$E$6,MATCH(TEXT(B481,"0"),TEXT(銘柄管理!$B$6:$B$305,"0"),0)-1,0,1,10)),""))</f>
        <v/>
      </c>
    </row>
    <row r="482" spans="16:16" ht="17.25">
      <c r="P482" s="118" t="str" cm="1">
        <f t="array" aca="1" ref="P482" ca="1">IF(B482="","",IFERROR(MAX(OFFSET(高値!$E$6,MATCH(TEXT(B482,"0"),TEXT(銘柄管理!$B$6:$B$305,"0"),0)-1,0,1,10)),""))</f>
        <v/>
      </c>
    </row>
    <row r="483" spans="16:16" ht="17.25">
      <c r="P483" s="118" t="str" cm="1">
        <f t="array" aca="1" ref="P483" ca="1">IF(B483="","",IFERROR(MAX(OFFSET(高値!$E$6,MATCH(TEXT(B483,"0"),TEXT(銘柄管理!$B$6:$B$305,"0"),0)-1,0,1,10)),""))</f>
        <v/>
      </c>
    </row>
    <row r="484" spans="16:16" ht="17.25">
      <c r="P484" s="118" t="str" cm="1">
        <f t="array" aca="1" ref="P484" ca="1">IF(B484="","",IFERROR(MAX(OFFSET(高値!$E$6,MATCH(TEXT(B484,"0"),TEXT(銘柄管理!$B$6:$B$305,"0"),0)-1,0,1,10)),""))</f>
        <v/>
      </c>
    </row>
    <row r="485" spans="16:16" ht="17.25">
      <c r="P485" s="118" t="str" cm="1">
        <f t="array" aca="1" ref="P485" ca="1">IF(B485="","",IFERROR(MAX(OFFSET(高値!$E$6,MATCH(TEXT(B485,"0"),TEXT(銘柄管理!$B$6:$B$305,"0"),0)-1,0,1,10)),""))</f>
        <v/>
      </c>
    </row>
    <row r="486" spans="16:16" ht="17.25">
      <c r="P486" s="118" t="str" cm="1">
        <f t="array" aca="1" ref="P486" ca="1">IF(B486="","",IFERROR(MAX(OFFSET(高値!$E$6,MATCH(TEXT(B486,"0"),TEXT(銘柄管理!$B$6:$B$305,"0"),0)-1,0,1,10)),""))</f>
        <v/>
      </c>
    </row>
    <row r="487" spans="16:16" ht="17.25">
      <c r="P487" s="118" t="str" cm="1">
        <f t="array" aca="1" ref="P487" ca="1">IF(B487="","",IFERROR(MAX(OFFSET(高値!$E$6,MATCH(TEXT(B487,"0"),TEXT(銘柄管理!$B$6:$B$305,"0"),0)-1,0,1,10)),""))</f>
        <v/>
      </c>
    </row>
    <row r="488" spans="16:16" ht="17.25">
      <c r="P488" s="118" t="str" cm="1">
        <f t="array" aca="1" ref="P488" ca="1">IF(B488="","",IFERROR(MAX(OFFSET(高値!$E$6,MATCH(TEXT(B488,"0"),TEXT(銘柄管理!$B$6:$B$305,"0"),0)-1,0,1,10)),""))</f>
        <v/>
      </c>
    </row>
    <row r="489" spans="16:16" ht="17.25">
      <c r="P489" s="118" t="str" cm="1">
        <f t="array" aca="1" ref="P489" ca="1">IF(B489="","",IFERROR(MAX(OFFSET(高値!$E$6,MATCH(TEXT(B489,"0"),TEXT(銘柄管理!$B$6:$B$305,"0"),0)-1,0,1,10)),""))</f>
        <v/>
      </c>
    </row>
    <row r="490" spans="16:16" ht="17.25">
      <c r="P490" s="118" t="str" cm="1">
        <f t="array" aca="1" ref="P490" ca="1">IF(B490="","",IFERROR(MAX(OFFSET(高値!$E$6,MATCH(TEXT(B490,"0"),TEXT(銘柄管理!$B$6:$B$305,"0"),0)-1,0,1,10)),""))</f>
        <v/>
      </c>
    </row>
    <row r="491" spans="16:16" ht="17.25">
      <c r="P491" s="118" t="str" cm="1">
        <f t="array" aca="1" ref="P491" ca="1">IF(B491="","",IFERROR(MAX(OFFSET(高値!$E$6,MATCH(TEXT(B491,"0"),TEXT(銘柄管理!$B$6:$B$305,"0"),0)-1,0,1,10)),""))</f>
        <v/>
      </c>
    </row>
    <row r="492" spans="16:16" ht="17.25">
      <c r="P492" s="118" t="str" cm="1">
        <f t="array" aca="1" ref="P492" ca="1">IF(B492="","",IFERROR(MAX(OFFSET(高値!$E$6,MATCH(TEXT(B492,"0"),TEXT(銘柄管理!$B$6:$B$305,"0"),0)-1,0,1,10)),""))</f>
        <v/>
      </c>
    </row>
    <row r="493" spans="16:16" ht="17.25">
      <c r="P493" s="118" t="str" cm="1">
        <f t="array" aca="1" ref="P493" ca="1">IF(B493="","",IFERROR(MAX(OFFSET(高値!$E$6,MATCH(TEXT(B493,"0"),TEXT(銘柄管理!$B$6:$B$305,"0"),0)-1,0,1,10)),""))</f>
        <v/>
      </c>
    </row>
    <row r="494" spans="16:16" ht="17.25">
      <c r="P494" s="118" t="str" cm="1">
        <f t="array" aca="1" ref="P494" ca="1">IF(B494="","",IFERROR(MAX(OFFSET(高値!$E$6,MATCH(TEXT(B494,"0"),TEXT(銘柄管理!$B$6:$B$305,"0"),0)-1,0,1,10)),""))</f>
        <v/>
      </c>
    </row>
    <row r="495" spans="16:16" ht="17.25">
      <c r="P495" s="118" t="str" cm="1">
        <f t="array" aca="1" ref="P495" ca="1">IF(B495="","",IFERROR(MAX(OFFSET(高値!$E$6,MATCH(TEXT(B495,"0"),TEXT(銘柄管理!$B$6:$B$305,"0"),0)-1,0,1,10)),""))</f>
        <v/>
      </c>
    </row>
    <row r="496" spans="16:16" ht="17.25">
      <c r="P496" s="118" t="str" cm="1">
        <f t="array" aca="1" ref="P496" ca="1">IF(B496="","",IFERROR(MAX(OFFSET(高値!$E$6,MATCH(TEXT(B496,"0"),TEXT(銘柄管理!$B$6:$B$305,"0"),0)-1,0,1,10)),""))</f>
        <v/>
      </c>
    </row>
    <row r="497" spans="16:16" ht="17.25">
      <c r="P497" s="118" t="str" cm="1">
        <f t="array" aca="1" ref="P497" ca="1">IF(B497="","",IFERROR(MAX(OFFSET(高値!$E$6,MATCH(TEXT(B497,"0"),TEXT(銘柄管理!$B$6:$B$305,"0"),0)-1,0,1,10)),""))</f>
        <v/>
      </c>
    </row>
    <row r="498" spans="16:16" ht="17.25">
      <c r="P498" s="118" t="str" cm="1">
        <f t="array" aca="1" ref="P498" ca="1">IF(B498="","",IFERROR(MAX(OFFSET(高値!$E$6,MATCH(TEXT(B498,"0"),TEXT(銘柄管理!$B$6:$B$305,"0"),0)-1,0,1,10)),""))</f>
        <v/>
      </c>
    </row>
    <row r="499" spans="16:16" ht="17.25">
      <c r="P499" s="118" t="str" cm="1">
        <f t="array" aca="1" ref="P499" ca="1">IF(B499="","",IFERROR(MAX(OFFSET(高値!$E$6,MATCH(TEXT(B499,"0"),TEXT(銘柄管理!$B$6:$B$305,"0"),0)-1,0,1,10)),""))</f>
        <v/>
      </c>
    </row>
  </sheetData>
  <mergeCells count="1">
    <mergeCell ref="A1:X1"/>
  </mergeCells>
  <phoneticPr fontId="16"/>
  <conditionalFormatting sqref="J7:J388 K7:O213 R4:X213 P4:P499 Q4:Q381 B7:I213 B4:O6">
    <cfRule type="expression" dxfId="3" priority="17" stopIfTrue="1">
      <formula>$S4="??利確推奨"</formula>
    </cfRule>
    <cfRule type="expression" dxfId="2" priority="18" stopIfTrue="1">
      <formula>$S4="??損切推奨"</formula>
    </cfRule>
    <cfRule type="expression" dxfId="1" priority="19" stopIfTrue="1">
      <formula>$S4="??STOP推奨"</formula>
    </cfRule>
    <cfRule type="expression" dxfId="0" priority="20" stopIfTrue="1">
      <formula>$S4="?売却済"</formula>
    </cfRule>
  </conditionalFormatting>
  <dataValidations count="1">
    <dataValidation type="list" allowBlank="1" showInputMessage="1" showErrorMessage="1" promptTitle="売買区分" prompt="買 または 売 を選択してください" sqref="C4:C77" xr:uid="{08BBDDBF-C0D0-4915-8F8E-7B6620F1370A}">
      <formula1>"買,売"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A84EB-6A56-4E72-B30E-508AC949F609}">
  <sheetPr codeName="Sheet16"/>
  <dimension ref="A1:BL85"/>
  <sheetViews>
    <sheetView workbookViewId="0">
      <pane ySplit="2" topLeftCell="A3" activePane="bottomLeft" state="frozen"/>
      <selection pane="bottomLeft" activeCell="T27" sqref="T27"/>
    </sheetView>
  </sheetViews>
  <sheetFormatPr defaultRowHeight="13.5"/>
  <cols>
    <col min="1" max="1" width="61" bestFit="1" customWidth="1"/>
    <col min="2" max="3" width="15.25" customWidth="1"/>
    <col min="9" max="9" width="12.125" customWidth="1"/>
  </cols>
  <sheetData>
    <row r="1" spans="1:64" ht="26.25" customHeight="1">
      <c r="A1" s="502" t="s">
        <v>858</v>
      </c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  <c r="T1" s="510"/>
      <c r="U1" s="510"/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0"/>
      <c r="AP1" s="510"/>
      <c r="AQ1" s="510"/>
      <c r="AR1" s="510"/>
      <c r="AS1" s="510"/>
      <c r="AT1" s="510"/>
      <c r="AU1" s="510"/>
      <c r="AV1" s="510"/>
      <c r="AW1" s="510"/>
      <c r="AX1" s="510"/>
      <c r="AY1" s="510"/>
      <c r="AZ1" s="510"/>
      <c r="BA1" s="510"/>
      <c r="BB1" s="510"/>
      <c r="BC1" s="510"/>
      <c r="BD1" s="510"/>
      <c r="BE1" s="510"/>
      <c r="BF1" s="510"/>
      <c r="BG1" s="510"/>
      <c r="BH1" s="510"/>
      <c r="BI1" s="510"/>
      <c r="BJ1" s="510"/>
      <c r="BK1" s="510"/>
      <c r="BL1" s="510"/>
    </row>
    <row r="2" spans="1:64" ht="26.25" customHeight="1">
      <c r="A2" s="511" t="s">
        <v>859</v>
      </c>
      <c r="B2" s="511" t="s">
        <v>860</v>
      </c>
      <c r="C2" s="511" t="s">
        <v>486</v>
      </c>
      <c r="D2" s="503"/>
    </row>
    <row r="3" spans="1:64" ht="26.25" customHeight="1">
      <c r="A3" s="512" t="s">
        <v>861</v>
      </c>
      <c r="B3" s="513" cm="1">
        <f t="array" ref="B3">_xll.RssIndexMarket("DJIA", "現在値")</f>
        <v>51999.67</v>
      </c>
      <c r="C3" s="513" cm="1">
        <f t="array" ref="C3">_xll.RssIndexMarket("DJIA", "前日比率")</f>
        <v>0.64</v>
      </c>
      <c r="I3" t="str" cm="1">
        <f t="array" ref="I3">_xll.RssChartPast($I$4, "DJIA", "D", 20160310, 80)</f>
        <v>=RssChartPast($I$4, "DJIA", "D", 20160310, 80) =&gt; ヘッダー行に有効な項目名が存在しません。</v>
      </c>
    </row>
    <row r="4" spans="1:64" ht="26.25" customHeight="1">
      <c r="A4" s="514" t="s">
        <v>862</v>
      </c>
      <c r="B4" s="515"/>
      <c r="C4" s="515"/>
      <c r="I4" t="str" cm="1">
        <f t="array" ref="I4">_xll.RssChartPast($I$5:$J$5, "DJIA", "D", 20260310, 100)</f>
        <v>=RssChartPast($I$5:$J$5, "DJIA", "D", 20260310, 100) =&gt; 完了</v>
      </c>
    </row>
    <row r="5" spans="1:64" ht="26.25" customHeight="1">
      <c r="A5" s="512" t="s">
        <v>863</v>
      </c>
      <c r="B5" s="513"/>
      <c r="C5" s="513"/>
      <c r="I5" t="s">
        <v>535</v>
      </c>
      <c r="J5" t="s">
        <v>532</v>
      </c>
    </row>
    <row r="6" spans="1:64" ht="26.25" customHeight="1">
      <c r="A6" s="514" t="s">
        <v>864</v>
      </c>
      <c r="B6" s="515"/>
      <c r="C6" s="515"/>
      <c r="I6" t="s">
        <v>882</v>
      </c>
      <c r="J6">
        <v>47706.51</v>
      </c>
    </row>
    <row r="7" spans="1:64" ht="26.25" customHeight="1">
      <c r="A7" s="512" t="s">
        <v>865</v>
      </c>
      <c r="B7" s="513"/>
      <c r="C7" s="513"/>
      <c r="I7" t="s">
        <v>883</v>
      </c>
      <c r="J7">
        <v>47417.27</v>
      </c>
    </row>
    <row r="8" spans="1:64" ht="26.25" customHeight="1">
      <c r="A8" s="514" t="s">
        <v>866</v>
      </c>
      <c r="B8" s="515"/>
      <c r="C8" s="515"/>
      <c r="I8" t="s">
        <v>884</v>
      </c>
      <c r="J8">
        <v>46677.85</v>
      </c>
    </row>
    <row r="9" spans="1:64" ht="26.25" customHeight="1">
      <c r="A9" s="512" t="s">
        <v>867</v>
      </c>
      <c r="B9" s="513"/>
      <c r="C9" s="513"/>
      <c r="I9" t="s">
        <v>885</v>
      </c>
      <c r="J9">
        <v>46558.47</v>
      </c>
    </row>
    <row r="10" spans="1:64" ht="26.25" customHeight="1">
      <c r="I10" t="s">
        <v>886</v>
      </c>
      <c r="J10">
        <v>46946.41</v>
      </c>
    </row>
    <row r="11" spans="1:64" ht="26.25" customHeight="1">
      <c r="A11" s="504" t="s">
        <v>868</v>
      </c>
      <c r="B11" s="516"/>
      <c r="C11" s="516"/>
      <c r="D11" s="516"/>
      <c r="I11" t="s">
        <v>887</v>
      </c>
      <c r="J11">
        <v>46993.26</v>
      </c>
    </row>
    <row r="12" spans="1:64" ht="26.25" customHeight="1">
      <c r="A12" s="505" t="s">
        <v>869</v>
      </c>
      <c r="I12" t="s">
        <v>888</v>
      </c>
      <c r="J12">
        <v>46225.15</v>
      </c>
    </row>
    <row r="13" spans="1:64" ht="26.25" customHeight="1">
      <c r="A13" s="506" t="s">
        <v>870</v>
      </c>
      <c r="I13" t="s">
        <v>889</v>
      </c>
      <c r="J13">
        <v>46021.43</v>
      </c>
    </row>
    <row r="14" spans="1:64" ht="26.25" customHeight="1">
      <c r="A14" s="507" t="s">
        <v>871</v>
      </c>
      <c r="I14" t="s">
        <v>890</v>
      </c>
      <c r="J14">
        <v>45577.47</v>
      </c>
    </row>
    <row r="15" spans="1:64" ht="26.25" customHeight="1">
      <c r="A15" s="508" t="s">
        <v>872</v>
      </c>
      <c r="I15" t="s">
        <v>891</v>
      </c>
      <c r="J15">
        <v>46208.47</v>
      </c>
    </row>
    <row r="16" spans="1:64" ht="26.25" customHeight="1">
      <c r="I16" t="s">
        <v>892</v>
      </c>
      <c r="J16">
        <v>46124.06</v>
      </c>
    </row>
    <row r="17" spans="1:10" ht="26.25" customHeight="1">
      <c r="A17" s="509" t="s">
        <v>873</v>
      </c>
      <c r="B17" s="517"/>
      <c r="C17" s="517"/>
      <c r="D17" s="517"/>
      <c r="I17" t="s">
        <v>893</v>
      </c>
      <c r="J17">
        <v>46429.49</v>
      </c>
    </row>
    <row r="18" spans="1:10" ht="26.25" customHeight="1">
      <c r="A18" t="s">
        <v>874</v>
      </c>
      <c r="I18" t="s">
        <v>894</v>
      </c>
      <c r="J18">
        <v>45960.11</v>
      </c>
    </row>
    <row r="19" spans="1:10" ht="26.25" customHeight="1">
      <c r="A19" t="s">
        <v>875</v>
      </c>
      <c r="I19" t="s">
        <v>895</v>
      </c>
      <c r="J19">
        <v>45166.64</v>
      </c>
    </row>
    <row r="20" spans="1:10" ht="26.25" customHeight="1">
      <c r="A20" t="s">
        <v>876</v>
      </c>
      <c r="I20" t="s">
        <v>896</v>
      </c>
      <c r="J20">
        <v>45216.14</v>
      </c>
    </row>
    <row r="21" spans="1:10" ht="26.25" customHeight="1">
      <c r="I21" t="s">
        <v>897</v>
      </c>
      <c r="J21">
        <v>46341.51</v>
      </c>
    </row>
    <row r="22" spans="1:10" ht="26.25" customHeight="1">
      <c r="I22" t="s">
        <v>898</v>
      </c>
      <c r="J22">
        <v>46565.74</v>
      </c>
    </row>
    <row r="23" spans="1:10">
      <c r="I23" t="s">
        <v>899</v>
      </c>
      <c r="J23">
        <v>46504.67</v>
      </c>
    </row>
    <row r="24" spans="1:10">
      <c r="I24" t="s">
        <v>900</v>
      </c>
      <c r="J24">
        <v>46669.88</v>
      </c>
    </row>
    <row r="25" spans="1:10">
      <c r="I25" t="s">
        <v>901</v>
      </c>
      <c r="J25">
        <v>46584.46</v>
      </c>
    </row>
    <row r="26" spans="1:10">
      <c r="I26" t="s">
        <v>902</v>
      </c>
      <c r="J26">
        <v>47909.919999999998</v>
      </c>
    </row>
    <row r="27" spans="1:10">
      <c r="I27" t="s">
        <v>903</v>
      </c>
      <c r="J27">
        <v>48185.8</v>
      </c>
    </row>
    <row r="28" spans="1:10">
      <c r="I28" t="s">
        <v>904</v>
      </c>
      <c r="J28">
        <v>47916.57</v>
      </c>
    </row>
    <row r="29" spans="1:10">
      <c r="I29" t="s">
        <v>905</v>
      </c>
      <c r="J29">
        <v>48218.25</v>
      </c>
    </row>
    <row r="30" spans="1:10">
      <c r="I30" t="s">
        <v>906</v>
      </c>
      <c r="J30">
        <v>48535.99</v>
      </c>
    </row>
    <row r="31" spans="1:10">
      <c r="I31" t="s">
        <v>907</v>
      </c>
      <c r="J31">
        <v>48463.72</v>
      </c>
    </row>
    <row r="32" spans="1:10">
      <c r="I32" t="s">
        <v>908</v>
      </c>
      <c r="J32">
        <v>48578.720000000001</v>
      </c>
    </row>
    <row r="33" spans="9:10">
      <c r="I33" t="s">
        <v>909</v>
      </c>
      <c r="J33">
        <v>49447.43</v>
      </c>
    </row>
    <row r="34" spans="9:10">
      <c r="I34" t="s">
        <v>910</v>
      </c>
      <c r="J34">
        <v>49442.559999999998</v>
      </c>
    </row>
    <row r="35" spans="9:10">
      <c r="I35" t="s">
        <v>911</v>
      </c>
      <c r="J35">
        <v>49149.38</v>
      </c>
    </row>
    <row r="36" spans="9:10">
      <c r="I36" t="s">
        <v>912</v>
      </c>
      <c r="J36">
        <v>49490.03</v>
      </c>
    </row>
    <row r="37" spans="9:10">
      <c r="I37" t="s">
        <v>913</v>
      </c>
      <c r="J37">
        <v>49310.32</v>
      </c>
    </row>
    <row r="38" spans="9:10">
      <c r="I38" t="s">
        <v>914</v>
      </c>
      <c r="J38">
        <v>49230.71</v>
      </c>
    </row>
    <row r="39" spans="9:10">
      <c r="I39" t="s">
        <v>915</v>
      </c>
      <c r="J39">
        <v>49167.79</v>
      </c>
    </row>
    <row r="40" spans="9:10">
      <c r="I40" t="s">
        <v>916</v>
      </c>
      <c r="J40">
        <v>49141.93</v>
      </c>
    </row>
    <row r="41" spans="9:10">
      <c r="I41" t="s">
        <v>917</v>
      </c>
      <c r="J41">
        <v>48861.81</v>
      </c>
    </row>
    <row r="42" spans="9:10">
      <c r="I42" t="s">
        <v>918</v>
      </c>
      <c r="J42">
        <v>49652.14</v>
      </c>
    </row>
    <row r="43" spans="9:10">
      <c r="I43" t="s">
        <v>919</v>
      </c>
      <c r="J43">
        <v>49499.27</v>
      </c>
    </row>
    <row r="44" spans="9:10">
      <c r="I44" t="s">
        <v>920</v>
      </c>
      <c r="J44">
        <v>48941.9</v>
      </c>
    </row>
    <row r="45" spans="9:10">
      <c r="I45" t="s">
        <v>921</v>
      </c>
      <c r="J45">
        <v>49298.25</v>
      </c>
    </row>
    <row r="46" spans="9:10">
      <c r="I46" t="s">
        <v>922</v>
      </c>
      <c r="J46">
        <v>49910.59</v>
      </c>
    </row>
    <row r="47" spans="9:10">
      <c r="I47" t="s">
        <v>923</v>
      </c>
      <c r="J47">
        <v>49596.97</v>
      </c>
    </row>
    <row r="48" spans="9:10">
      <c r="I48" t="s">
        <v>924</v>
      </c>
      <c r="J48">
        <v>49609.16</v>
      </c>
    </row>
    <row r="49" spans="9:10">
      <c r="I49" t="s">
        <v>925</v>
      </c>
      <c r="J49">
        <v>49704.47</v>
      </c>
    </row>
    <row r="50" spans="9:10">
      <c r="I50" t="s">
        <v>926</v>
      </c>
      <c r="J50">
        <v>49760.56</v>
      </c>
    </row>
    <row r="51" spans="9:10">
      <c r="I51" t="s">
        <v>927</v>
      </c>
      <c r="J51">
        <v>49693.2</v>
      </c>
    </row>
    <row r="52" spans="9:10">
      <c r="I52" t="s">
        <v>928</v>
      </c>
      <c r="J52">
        <v>50063.46</v>
      </c>
    </row>
    <row r="53" spans="9:10">
      <c r="I53" t="s">
        <v>929</v>
      </c>
      <c r="J53">
        <v>49526.17</v>
      </c>
    </row>
    <row r="54" spans="9:10">
      <c r="I54" t="s">
        <v>930</v>
      </c>
      <c r="J54">
        <v>49686.12</v>
      </c>
    </row>
    <row r="55" spans="9:10">
      <c r="I55" t="s">
        <v>931</v>
      </c>
      <c r="J55">
        <v>49363.88</v>
      </c>
    </row>
    <row r="56" spans="9:10">
      <c r="I56" t="s">
        <v>932</v>
      </c>
      <c r="J56">
        <v>50009.35</v>
      </c>
    </row>
    <row r="57" spans="9:10">
      <c r="I57" t="s">
        <v>933</v>
      </c>
      <c r="J57">
        <v>50285.66</v>
      </c>
    </row>
    <row r="58" spans="9:10">
      <c r="I58" t="s">
        <v>934</v>
      </c>
      <c r="J58">
        <v>50579.7</v>
      </c>
    </row>
    <row r="59" spans="9:10">
      <c r="I59" t="s">
        <v>935</v>
      </c>
      <c r="J59">
        <v>50461.68</v>
      </c>
    </row>
    <row r="60" spans="9:10">
      <c r="I60" t="s">
        <v>936</v>
      </c>
      <c r="J60">
        <v>50644.28</v>
      </c>
    </row>
    <row r="61" spans="9:10">
      <c r="I61" t="s">
        <v>937</v>
      </c>
      <c r="J61">
        <v>50668.97</v>
      </c>
    </row>
    <row r="62" spans="9:10">
      <c r="I62" t="s">
        <v>938</v>
      </c>
      <c r="J62">
        <v>51032.46</v>
      </c>
    </row>
    <row r="63" spans="9:10">
      <c r="I63" t="s">
        <v>939</v>
      </c>
      <c r="J63">
        <v>51078.879999999997</v>
      </c>
    </row>
    <row r="64" spans="9:10">
      <c r="I64" t="s">
        <v>940</v>
      </c>
      <c r="J64">
        <v>51307.79</v>
      </c>
    </row>
    <row r="65" spans="9:10">
      <c r="I65" t="s">
        <v>941</v>
      </c>
      <c r="J65">
        <v>50687.07</v>
      </c>
    </row>
    <row r="66" spans="9:10">
      <c r="I66" t="s">
        <v>942</v>
      </c>
      <c r="J66">
        <v>51561.93</v>
      </c>
    </row>
    <row r="67" spans="9:10">
      <c r="I67" t="s">
        <v>943</v>
      </c>
      <c r="J67">
        <v>50866.78</v>
      </c>
    </row>
    <row r="68" spans="9:10">
      <c r="I68" t="s">
        <v>944</v>
      </c>
      <c r="J68">
        <v>50786.01</v>
      </c>
    </row>
    <row r="69" spans="9:10">
      <c r="I69" t="s">
        <v>945</v>
      </c>
      <c r="J69">
        <v>50872.11</v>
      </c>
    </row>
    <row r="70" spans="9:10">
      <c r="I70" t="s">
        <v>946</v>
      </c>
      <c r="J70">
        <v>49918.78</v>
      </c>
    </row>
    <row r="71" spans="9:10">
      <c r="I71" t="s">
        <v>947</v>
      </c>
      <c r="J71">
        <v>50848.75</v>
      </c>
    </row>
    <row r="72" spans="9:10">
      <c r="I72" t="s">
        <v>948</v>
      </c>
      <c r="J72">
        <v>51202.26</v>
      </c>
    </row>
    <row r="73" spans="9:10">
      <c r="I73" s="518" t="s">
        <v>949</v>
      </c>
      <c r="J73" s="518">
        <v>51671.03</v>
      </c>
    </row>
    <row r="74" spans="9:10">
      <c r="I74" s="518" t="s">
        <v>950</v>
      </c>
      <c r="J74" s="518">
        <v>51999.67</v>
      </c>
    </row>
    <row r="75" spans="9:10">
      <c r="I75" s="518" t="s">
        <v>951</v>
      </c>
      <c r="J75" s="518" t="s">
        <v>951</v>
      </c>
    </row>
    <row r="85" spans="9:9">
      <c r="I85" s="518"/>
    </row>
  </sheetData>
  <phoneticPr fontId="1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39FE-F879-49D0-9E6C-AF5B86B4785D}">
  <sheetPr codeName="Sheet19">
    <tabColor theme="0" tint="-0.499984740745262"/>
  </sheetPr>
  <dimension ref="A1"/>
  <sheetViews>
    <sheetView workbookViewId="0">
      <selection activeCell="Q63" sqref="Q63"/>
    </sheetView>
  </sheetViews>
  <sheetFormatPr defaultRowHeight="13.5"/>
  <sheetData/>
  <phoneticPr fontId="16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</vt:i4>
      </vt:variant>
    </vt:vector>
  </HeadingPairs>
  <TitlesOfParts>
    <vt:vector size="19" baseType="lpstr">
      <vt:lpstr>銘柄管理</vt:lpstr>
      <vt:lpstr>買　抽出</vt:lpstr>
      <vt:lpstr>ダッシュボード</vt:lpstr>
      <vt:lpstr>分析</vt:lpstr>
      <vt:lpstr>売分析</vt:lpstr>
      <vt:lpstr>売ダッシュボード</vt:lpstr>
      <vt:lpstr>売抽出</vt:lpstr>
      <vt:lpstr>始値</vt:lpstr>
      <vt:lpstr>高値</vt:lpstr>
      <vt:lpstr>安値</vt:lpstr>
      <vt:lpstr>終値</vt:lpstr>
      <vt:lpstr>出来高</vt:lpstr>
      <vt:lpstr>データ取込</vt:lpstr>
      <vt:lpstr>自動注文決済</vt:lpstr>
      <vt:lpstr>取扱説明書</vt:lpstr>
      <vt:lpstr>管理</vt:lpstr>
      <vt:lpstr>海外指標</vt:lpstr>
      <vt:lpstr>Sheet1</vt:lpstr>
      <vt:lpstr>B93b204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H.A</dc:creator>
  <cp:lastModifiedBy>英明 阿部</cp:lastModifiedBy>
  <cp:lastPrinted>2026-06-05T06:34:21Z</cp:lastPrinted>
  <dcterms:created xsi:type="dcterms:W3CDTF">2026-04-10T12:10:04Z</dcterms:created>
  <dcterms:modified xsi:type="dcterms:W3CDTF">2026-06-17T06:40:43Z</dcterms:modified>
</cp:coreProperties>
</file>